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oliverlysaght/Desktop/CE-Hub/1. Data Observatory/1. Extract/5. Cleaned_datafiles/"/>
    </mc:Choice>
  </mc:AlternateContent>
  <xr:revisionPtr revIDLastSave="0" documentId="13_ncr:1_{0BD8769B-D7B2-7048-BB96-4629BF1ED7F5}" xr6:coauthVersionLast="47" xr6:coauthVersionMax="47" xr10:uidLastSave="{00000000-0000-0000-0000-000000000000}"/>
  <bookViews>
    <workbookView xWindow="0" yWindow="0" windowWidth="25600" windowHeight="16000" firstSheet="2" activeTab="10" xr2:uid="{166AA493-4ACC-F743-8ECD-E296930B745D}"/>
  </bookViews>
  <sheets>
    <sheet name="Sources" sheetId="79" r:id="rId1"/>
    <sheet name="Classifications" sheetId="15" r:id="rId2"/>
    <sheet name="UNU54_Extended" sheetId="80" r:id="rId3"/>
    <sheet name="Classification_trade" sheetId="81" state="hidden" r:id="rId4"/>
    <sheet name="Classification_dom" sheetId="82" state="hidden" r:id="rId5"/>
    <sheet name="Lookup" sheetId="1" state="hidden" r:id="rId6"/>
    <sheet name="YouGov" sheetId="42" state="hidden" r:id="rId7"/>
    <sheet name="Lifespan" sheetId="23" state="hidden" r:id="rId8"/>
    <sheet name="Trade_detail" sheetId="74" state="hidden" r:id="rId9"/>
    <sheet name="Classification_repair" sheetId="89" state="hidden" r:id="rId10"/>
    <sheet name="Lookup_2" sheetId="90" r:id="rId11"/>
    <sheet name="Data" sheetId="88" r:id="rId12"/>
    <sheet name="Inflows" sheetId="25" r:id="rId13"/>
    <sheet name="Stocks" sheetId="14" state="hidden" r:id="rId14"/>
    <sheet name="Dropdown" sheetId="9" state="hidden" r:id="rId15"/>
    <sheet name="Laptop_split" sheetId="75" state="hidden" r:id="rId16"/>
    <sheet name="Bill_of_materials" sheetId="30" state="hidden" r:id="rId17"/>
    <sheet name="Sheet3" sheetId="33" state="hidden" r:id="rId18"/>
    <sheet name="BoM" sheetId="24" state="hidden" r:id="rId19"/>
    <sheet name="Composition" sheetId="13" state="hidden" r:id="rId20"/>
    <sheet name="Lifespan_weibull" sheetId="85" r:id="rId21"/>
    <sheet name="Mass_trend" sheetId="84" r:id="rId22"/>
    <sheet name="BOM_average" sheetId="51" r:id="rId23"/>
    <sheet name="BOM_detail" sheetId="83" r:id="rId24"/>
    <sheet name="Outflow_route" sheetId="86" r:id="rId25"/>
    <sheet name="Outflow_routing" sheetId="54" state="hidden" r:id="rId26"/>
    <sheet name="Sector_emissions" sheetId="87" r:id="rId27"/>
    <sheet name="Energy_demand" sheetId="46" state="hidden" r:id="rId28"/>
    <sheet name="Emissions_factors" sheetId="19" state="hidden" r:id="rId29"/>
    <sheet name="eBay_data" sheetId="27" state="hidden" r:id="rId30"/>
    <sheet name="Sales_price" sheetId="77" state="hidden" r:id="rId31"/>
    <sheet name="Model" sheetId="16" state="hidden" r:id="rId32"/>
    <sheet name="Product_lifespan" sheetId="28" state="hidden" r:id="rId33"/>
    <sheet name="LOG" sheetId="63" state="hidden" r:id="rId34"/>
    <sheet name="Output" sheetId="41" state="hidden" r:id="rId35"/>
    <sheet name="Smartphone_B" sheetId="32" state="hidden" r:id="rId36"/>
    <sheet name="Scenario_comparison" sheetId="66" state="hidden" r:id="rId37"/>
    <sheet name="Scenario_comp_summary" sheetId="76" state="hidden" r:id="rId38"/>
    <sheet name="Smartphone_0" sheetId="52" state="hidden" r:id="rId39"/>
    <sheet name="Smartphone_1" sheetId="64" state="hidden" r:id="rId40"/>
    <sheet name="Smartphone_2" sheetId="65" state="hidden" r:id="rId41"/>
    <sheet name="Laptop_0" sheetId="68" state="hidden" r:id="rId42"/>
    <sheet name="Laptop_1" sheetId="69" state="hidden" r:id="rId43"/>
    <sheet name="Laptop_2" sheetId="70" state="hidden" r:id="rId44"/>
    <sheet name="Tablet_0" sheetId="71" state="hidden" r:id="rId45"/>
    <sheet name="Tablet_1" sheetId="72" state="hidden" r:id="rId46"/>
    <sheet name="Tablet_2" sheetId="73" state="hidden" r:id="rId47"/>
    <sheet name="GVA" sheetId="35" state="hidden" r:id="rId48"/>
    <sheet name="Sheet4" sheetId="36" state="hidden" r:id="rId49"/>
    <sheet name="Dummy" sheetId="5" state="hidden" r:id="rId50"/>
    <sheet name="Wrap_textiles" sheetId="4" state="hidden" r:id="rId51"/>
  </sheets>
  <externalReferences>
    <externalReference r:id="rId52"/>
  </externalReferences>
  <definedNames>
    <definedName name="solver_adj" localSheetId="41" hidden="1">Laptop_0!$H$38</definedName>
    <definedName name="solver_adj" localSheetId="42" hidden="1">Laptop_1!$H$38</definedName>
    <definedName name="solver_adj" localSheetId="43" hidden="1">Laptop_2!$H$38</definedName>
    <definedName name="solver_adj" localSheetId="38" hidden="1">Smartphone_0!$H$38</definedName>
    <definedName name="solver_adj" localSheetId="39" hidden="1">Smartphone_1!$H$38</definedName>
    <definedName name="solver_adj" localSheetId="40" hidden="1">Smartphone_2!$H$38</definedName>
    <definedName name="solver_adj" localSheetId="35" hidden="1">Smartphone_B!$O$47</definedName>
    <definedName name="solver_adj" localSheetId="44" hidden="1">Tablet_0!$H$38</definedName>
    <definedName name="solver_adj" localSheetId="45" hidden="1">Tablet_1!$H$38</definedName>
    <definedName name="solver_adj" localSheetId="46" hidden="1">Tablet_2!$H$38</definedName>
    <definedName name="solver_cvg" localSheetId="41" hidden="1">0.0001</definedName>
    <definedName name="solver_cvg" localSheetId="42" hidden="1">0.0001</definedName>
    <definedName name="solver_cvg" localSheetId="43" hidden="1">0.0001</definedName>
    <definedName name="solver_cvg" localSheetId="38" hidden="1">0.0001</definedName>
    <definedName name="solver_cvg" localSheetId="39" hidden="1">0.0001</definedName>
    <definedName name="solver_cvg" localSheetId="40" hidden="1">0.0001</definedName>
    <definedName name="solver_cvg" localSheetId="35" hidden="1">0.0001</definedName>
    <definedName name="solver_cvg" localSheetId="44" hidden="1">0.0001</definedName>
    <definedName name="solver_cvg" localSheetId="45" hidden="1">0.0001</definedName>
    <definedName name="solver_cvg" localSheetId="46" hidden="1">0.0001</definedName>
    <definedName name="solver_drv" localSheetId="41" hidden="1">1</definedName>
    <definedName name="solver_drv" localSheetId="42" hidden="1">1</definedName>
    <definedName name="solver_drv" localSheetId="43" hidden="1">1</definedName>
    <definedName name="solver_drv" localSheetId="38" hidden="1">1</definedName>
    <definedName name="solver_drv" localSheetId="39" hidden="1">1</definedName>
    <definedName name="solver_drv" localSheetId="40" hidden="1">1</definedName>
    <definedName name="solver_drv" localSheetId="35" hidden="1">1</definedName>
    <definedName name="solver_drv" localSheetId="44" hidden="1">1</definedName>
    <definedName name="solver_drv" localSheetId="45" hidden="1">1</definedName>
    <definedName name="solver_drv" localSheetId="46" hidden="1">1</definedName>
    <definedName name="solver_eng" localSheetId="41" hidden="1">1</definedName>
    <definedName name="solver_eng" localSheetId="42" hidden="1">1</definedName>
    <definedName name="solver_eng" localSheetId="43" hidden="1">1</definedName>
    <definedName name="solver_eng" localSheetId="38" hidden="1">1</definedName>
    <definedName name="solver_eng" localSheetId="39" hidden="1">1</definedName>
    <definedName name="solver_eng" localSheetId="40" hidden="1">1</definedName>
    <definedName name="solver_eng" localSheetId="35" hidden="1">1</definedName>
    <definedName name="solver_eng" localSheetId="44" hidden="1">1</definedName>
    <definedName name="solver_eng" localSheetId="45" hidden="1">1</definedName>
    <definedName name="solver_eng" localSheetId="46" hidden="1">1</definedName>
    <definedName name="solver_itr" localSheetId="41" hidden="1">2147483647</definedName>
    <definedName name="solver_itr" localSheetId="42" hidden="1">2147483647</definedName>
    <definedName name="solver_itr" localSheetId="43" hidden="1">2147483647</definedName>
    <definedName name="solver_itr" localSheetId="38" hidden="1">2147483647</definedName>
    <definedName name="solver_itr" localSheetId="39" hidden="1">2147483647</definedName>
    <definedName name="solver_itr" localSheetId="40" hidden="1">2147483647</definedName>
    <definedName name="solver_itr" localSheetId="35" hidden="1">2147483647</definedName>
    <definedName name="solver_itr" localSheetId="44" hidden="1">2147483647</definedName>
    <definedName name="solver_itr" localSheetId="45" hidden="1">2147483647</definedName>
    <definedName name="solver_itr" localSheetId="46" hidden="1">2147483647</definedName>
    <definedName name="solver_lin" localSheetId="41" hidden="1">2</definedName>
    <definedName name="solver_lin" localSheetId="42" hidden="1">2</definedName>
    <definedName name="solver_lin" localSheetId="43" hidden="1">2</definedName>
    <definedName name="solver_lin" localSheetId="38" hidden="1">2</definedName>
    <definedName name="solver_lin" localSheetId="39" hidden="1">2</definedName>
    <definedName name="solver_lin" localSheetId="40" hidden="1">2</definedName>
    <definedName name="solver_lin" localSheetId="35" hidden="1">2</definedName>
    <definedName name="solver_lin" localSheetId="44" hidden="1">2</definedName>
    <definedName name="solver_lin" localSheetId="45" hidden="1">2</definedName>
    <definedName name="solver_lin" localSheetId="46" hidden="1">2</definedName>
    <definedName name="solver_mip" localSheetId="41" hidden="1">2147483647</definedName>
    <definedName name="solver_mip" localSheetId="42" hidden="1">2147483647</definedName>
    <definedName name="solver_mip" localSheetId="43" hidden="1">2147483647</definedName>
    <definedName name="solver_mip" localSheetId="38" hidden="1">2147483647</definedName>
    <definedName name="solver_mip" localSheetId="39" hidden="1">2147483647</definedName>
    <definedName name="solver_mip" localSheetId="40" hidden="1">2147483647</definedName>
    <definedName name="solver_mip" localSheetId="35" hidden="1">2147483647</definedName>
    <definedName name="solver_mip" localSheetId="44" hidden="1">2147483647</definedName>
    <definedName name="solver_mip" localSheetId="45" hidden="1">2147483647</definedName>
    <definedName name="solver_mip" localSheetId="46" hidden="1">2147483647</definedName>
    <definedName name="solver_mni" localSheetId="41" hidden="1">30</definedName>
    <definedName name="solver_mni" localSheetId="42" hidden="1">30</definedName>
    <definedName name="solver_mni" localSheetId="43" hidden="1">30</definedName>
    <definedName name="solver_mni" localSheetId="38" hidden="1">30</definedName>
    <definedName name="solver_mni" localSheetId="39" hidden="1">30</definedName>
    <definedName name="solver_mni" localSheetId="40" hidden="1">30</definedName>
    <definedName name="solver_mni" localSheetId="35" hidden="1">30</definedName>
    <definedName name="solver_mni" localSheetId="44" hidden="1">30</definedName>
    <definedName name="solver_mni" localSheetId="45" hidden="1">30</definedName>
    <definedName name="solver_mni" localSheetId="46" hidden="1">30</definedName>
    <definedName name="solver_mrt" localSheetId="41" hidden="1">0.075</definedName>
    <definedName name="solver_mrt" localSheetId="42" hidden="1">0.075</definedName>
    <definedName name="solver_mrt" localSheetId="43" hidden="1">0.075</definedName>
    <definedName name="solver_mrt" localSheetId="38" hidden="1">0.075</definedName>
    <definedName name="solver_mrt" localSheetId="39" hidden="1">0.075</definedName>
    <definedName name="solver_mrt" localSheetId="40" hidden="1">0.075</definedName>
    <definedName name="solver_mrt" localSheetId="35" hidden="1">0.075</definedName>
    <definedName name="solver_mrt" localSheetId="44" hidden="1">0.075</definedName>
    <definedName name="solver_mrt" localSheetId="45" hidden="1">0.075</definedName>
    <definedName name="solver_mrt" localSheetId="46" hidden="1">0.075</definedName>
    <definedName name="solver_msl" localSheetId="41" hidden="1">2</definedName>
    <definedName name="solver_msl" localSheetId="42" hidden="1">2</definedName>
    <definedName name="solver_msl" localSheetId="43" hidden="1">2</definedName>
    <definedName name="solver_msl" localSheetId="38" hidden="1">2</definedName>
    <definedName name="solver_msl" localSheetId="39" hidden="1">2</definedName>
    <definedName name="solver_msl" localSheetId="40" hidden="1">2</definedName>
    <definedName name="solver_msl" localSheetId="35" hidden="1">2</definedName>
    <definedName name="solver_msl" localSheetId="44" hidden="1">2</definedName>
    <definedName name="solver_msl" localSheetId="45" hidden="1">2</definedName>
    <definedName name="solver_msl" localSheetId="46" hidden="1">2</definedName>
    <definedName name="solver_neg" localSheetId="41" hidden="1">1</definedName>
    <definedName name="solver_neg" localSheetId="42" hidden="1">1</definedName>
    <definedName name="solver_neg" localSheetId="43" hidden="1">1</definedName>
    <definedName name="solver_neg" localSheetId="38" hidden="1">1</definedName>
    <definedName name="solver_neg" localSheetId="39" hidden="1">1</definedName>
    <definedName name="solver_neg" localSheetId="40" hidden="1">1</definedName>
    <definedName name="solver_neg" localSheetId="35" hidden="1">1</definedName>
    <definedName name="solver_neg" localSheetId="44" hidden="1">1</definedName>
    <definedName name="solver_neg" localSheetId="45" hidden="1">1</definedName>
    <definedName name="solver_neg" localSheetId="46" hidden="1">1</definedName>
    <definedName name="solver_nod" localSheetId="41" hidden="1">2147483647</definedName>
    <definedName name="solver_nod" localSheetId="42" hidden="1">2147483647</definedName>
    <definedName name="solver_nod" localSheetId="43" hidden="1">2147483647</definedName>
    <definedName name="solver_nod" localSheetId="38" hidden="1">2147483647</definedName>
    <definedName name="solver_nod" localSheetId="39" hidden="1">2147483647</definedName>
    <definedName name="solver_nod" localSheetId="40" hidden="1">2147483647</definedName>
    <definedName name="solver_nod" localSheetId="35" hidden="1">2147483647</definedName>
    <definedName name="solver_nod" localSheetId="44" hidden="1">2147483647</definedName>
    <definedName name="solver_nod" localSheetId="45" hidden="1">2147483647</definedName>
    <definedName name="solver_nod" localSheetId="46" hidden="1">2147483647</definedName>
    <definedName name="solver_num" localSheetId="41" hidden="1">0</definedName>
    <definedName name="solver_num" localSheetId="42" hidden="1">0</definedName>
    <definedName name="solver_num" localSheetId="43" hidden="1">0</definedName>
    <definedName name="solver_num" localSheetId="38" hidden="1">0</definedName>
    <definedName name="solver_num" localSheetId="39" hidden="1">0</definedName>
    <definedName name="solver_num" localSheetId="40" hidden="1">0</definedName>
    <definedName name="solver_num" localSheetId="35" hidden="1">0</definedName>
    <definedName name="solver_num" localSheetId="44" hidden="1">0</definedName>
    <definedName name="solver_num" localSheetId="45" hidden="1">0</definedName>
    <definedName name="solver_num" localSheetId="46" hidden="1">0</definedName>
    <definedName name="solver_opt" localSheetId="41" hidden="1">Laptop_0!$K$67</definedName>
    <definedName name="solver_opt" localSheetId="42" hidden="1">Laptop_1!$K$67</definedName>
    <definedName name="solver_opt" localSheetId="43" hidden="1">Laptop_2!$K$67</definedName>
    <definedName name="solver_opt" localSheetId="38" hidden="1">Smartphone_0!$K$67</definedName>
    <definedName name="solver_opt" localSheetId="39" hidden="1">Smartphone_1!$K$67</definedName>
    <definedName name="solver_opt" localSheetId="40" hidden="1">Smartphone_2!$K$67</definedName>
    <definedName name="solver_opt" localSheetId="35" hidden="1">Smartphone_B!$R$87</definedName>
    <definedName name="solver_opt" localSheetId="44" hidden="1">Tablet_0!$K$67</definedName>
    <definedName name="solver_opt" localSheetId="45" hidden="1">Tablet_1!$K$67</definedName>
    <definedName name="solver_opt" localSheetId="46" hidden="1">Tablet_2!$K$67</definedName>
    <definedName name="solver_pre" localSheetId="41" hidden="1">0.000001</definedName>
    <definedName name="solver_pre" localSheetId="42" hidden="1">0.000001</definedName>
    <definedName name="solver_pre" localSheetId="43" hidden="1">0.000001</definedName>
    <definedName name="solver_pre" localSheetId="38" hidden="1">0.000001</definedName>
    <definedName name="solver_pre" localSheetId="39" hidden="1">0.000001</definedName>
    <definedName name="solver_pre" localSheetId="40" hidden="1">0.000001</definedName>
    <definedName name="solver_pre" localSheetId="35" hidden="1">0.000001</definedName>
    <definedName name="solver_pre" localSheetId="44" hidden="1">0.000001</definedName>
    <definedName name="solver_pre" localSheetId="45" hidden="1">0.000001</definedName>
    <definedName name="solver_pre" localSheetId="46" hidden="1">0.000001</definedName>
    <definedName name="solver_rbv" localSheetId="41" hidden="1">1</definedName>
    <definedName name="solver_rbv" localSheetId="42" hidden="1">1</definedName>
    <definedName name="solver_rbv" localSheetId="43" hidden="1">1</definedName>
    <definedName name="solver_rbv" localSheetId="38" hidden="1">1</definedName>
    <definedName name="solver_rbv" localSheetId="39" hidden="1">1</definedName>
    <definedName name="solver_rbv" localSheetId="40" hidden="1">1</definedName>
    <definedName name="solver_rbv" localSheetId="35" hidden="1">1</definedName>
    <definedName name="solver_rbv" localSheetId="44" hidden="1">1</definedName>
    <definedName name="solver_rbv" localSheetId="45" hidden="1">1</definedName>
    <definedName name="solver_rbv" localSheetId="46" hidden="1">1</definedName>
    <definedName name="solver_rlx" localSheetId="41" hidden="1">1</definedName>
    <definedName name="solver_rlx" localSheetId="42" hidden="1">1</definedName>
    <definedName name="solver_rlx" localSheetId="43" hidden="1">1</definedName>
    <definedName name="solver_rlx" localSheetId="38" hidden="1">1</definedName>
    <definedName name="solver_rlx" localSheetId="39" hidden="1">1</definedName>
    <definedName name="solver_rlx" localSheetId="40" hidden="1">1</definedName>
    <definedName name="solver_rlx" localSheetId="35" hidden="1">1</definedName>
    <definedName name="solver_rlx" localSheetId="44" hidden="1">1</definedName>
    <definedName name="solver_rlx" localSheetId="45" hidden="1">1</definedName>
    <definedName name="solver_rlx" localSheetId="46" hidden="1">1</definedName>
    <definedName name="solver_rsd" localSheetId="41" hidden="1">0</definedName>
    <definedName name="solver_rsd" localSheetId="42" hidden="1">0</definedName>
    <definedName name="solver_rsd" localSheetId="43" hidden="1">0</definedName>
    <definedName name="solver_rsd" localSheetId="38" hidden="1">0</definedName>
    <definedName name="solver_rsd" localSheetId="39" hidden="1">0</definedName>
    <definedName name="solver_rsd" localSheetId="40" hidden="1">0</definedName>
    <definedName name="solver_rsd" localSheetId="35" hidden="1">0</definedName>
    <definedName name="solver_rsd" localSheetId="44" hidden="1">0</definedName>
    <definedName name="solver_rsd" localSheetId="45" hidden="1">0</definedName>
    <definedName name="solver_rsd" localSheetId="46" hidden="1">0</definedName>
    <definedName name="solver_scl" localSheetId="41" hidden="1">2</definedName>
    <definedName name="solver_scl" localSheetId="42" hidden="1">2</definedName>
    <definedName name="solver_scl" localSheetId="43" hidden="1">2</definedName>
    <definedName name="solver_scl" localSheetId="38" hidden="1">2</definedName>
    <definedName name="solver_scl" localSheetId="39" hidden="1">2</definedName>
    <definedName name="solver_scl" localSheetId="40" hidden="1">2</definedName>
    <definedName name="solver_scl" localSheetId="35" hidden="1">2</definedName>
    <definedName name="solver_scl" localSheetId="44" hidden="1">2</definedName>
    <definedName name="solver_scl" localSheetId="45" hidden="1">2</definedName>
    <definedName name="solver_scl" localSheetId="46" hidden="1">2</definedName>
    <definedName name="solver_sho" localSheetId="41" hidden="1">2</definedName>
    <definedName name="solver_sho" localSheetId="42" hidden="1">2</definedName>
    <definedName name="solver_sho" localSheetId="43" hidden="1">2</definedName>
    <definedName name="solver_sho" localSheetId="38" hidden="1">2</definedName>
    <definedName name="solver_sho" localSheetId="39" hidden="1">2</definedName>
    <definedName name="solver_sho" localSheetId="40" hidden="1">2</definedName>
    <definedName name="solver_sho" localSheetId="35" hidden="1">2</definedName>
    <definedName name="solver_sho" localSheetId="44" hidden="1">2</definedName>
    <definedName name="solver_sho" localSheetId="45" hidden="1">2</definedName>
    <definedName name="solver_sho" localSheetId="46" hidden="1">2</definedName>
    <definedName name="solver_ssz" localSheetId="41" hidden="1">100</definedName>
    <definedName name="solver_ssz" localSheetId="42" hidden="1">100</definedName>
    <definedName name="solver_ssz" localSheetId="43" hidden="1">100</definedName>
    <definedName name="solver_ssz" localSheetId="38" hidden="1">100</definedName>
    <definedName name="solver_ssz" localSheetId="39" hidden="1">100</definedName>
    <definedName name="solver_ssz" localSheetId="40" hidden="1">100</definedName>
    <definedName name="solver_ssz" localSheetId="35" hidden="1">100</definedName>
    <definedName name="solver_ssz" localSheetId="44" hidden="1">100</definedName>
    <definedName name="solver_ssz" localSheetId="45" hidden="1">100</definedName>
    <definedName name="solver_ssz" localSheetId="46" hidden="1">100</definedName>
    <definedName name="solver_tim" localSheetId="41" hidden="1">2147483647</definedName>
    <definedName name="solver_tim" localSheetId="42" hidden="1">2147483647</definedName>
    <definedName name="solver_tim" localSheetId="43" hidden="1">2147483647</definedName>
    <definedName name="solver_tim" localSheetId="38" hidden="1">2147483647</definedName>
    <definedName name="solver_tim" localSheetId="39" hidden="1">2147483647</definedName>
    <definedName name="solver_tim" localSheetId="40" hidden="1">2147483647</definedName>
    <definedName name="solver_tim" localSheetId="35" hidden="1">2147483647</definedName>
    <definedName name="solver_tim" localSheetId="44" hidden="1">2147483647</definedName>
    <definedName name="solver_tim" localSheetId="45" hidden="1">2147483647</definedName>
    <definedName name="solver_tim" localSheetId="46" hidden="1">2147483647</definedName>
    <definedName name="solver_tol" localSheetId="41" hidden="1">0.01</definedName>
    <definedName name="solver_tol" localSheetId="42" hidden="1">0.01</definedName>
    <definedName name="solver_tol" localSheetId="43" hidden="1">0.01</definedName>
    <definedName name="solver_tol" localSheetId="38" hidden="1">0.01</definedName>
    <definedName name="solver_tol" localSheetId="39" hidden="1">0.01</definedName>
    <definedName name="solver_tol" localSheetId="40" hidden="1">0.01</definedName>
    <definedName name="solver_tol" localSheetId="35" hidden="1">0.01</definedName>
    <definedName name="solver_tol" localSheetId="44" hidden="1">0.01</definedName>
    <definedName name="solver_tol" localSheetId="45" hidden="1">0.01</definedName>
    <definedName name="solver_tol" localSheetId="46" hidden="1">0.01</definedName>
    <definedName name="solver_typ" localSheetId="41" hidden="1">3</definedName>
    <definedName name="solver_typ" localSheetId="42" hidden="1">3</definedName>
    <definedName name="solver_typ" localSheetId="43" hidden="1">3</definedName>
    <definedName name="solver_typ" localSheetId="38" hidden="1">3</definedName>
    <definedName name="solver_typ" localSheetId="39" hidden="1">3</definedName>
    <definedName name="solver_typ" localSheetId="40" hidden="1">3</definedName>
    <definedName name="solver_typ" localSheetId="35" hidden="1">3</definedName>
    <definedName name="solver_typ" localSheetId="44" hidden="1">3</definedName>
    <definedName name="solver_typ" localSheetId="45" hidden="1">3</definedName>
    <definedName name="solver_typ" localSheetId="46" hidden="1">3</definedName>
    <definedName name="solver_val" localSheetId="41" hidden="1">1244973</definedName>
    <definedName name="solver_val" localSheetId="42" hidden="1">1244973</definedName>
    <definedName name="solver_val" localSheetId="43" hidden="1">1244973</definedName>
    <definedName name="solver_val" localSheetId="38" hidden="1">1244973</definedName>
    <definedName name="solver_val" localSheetId="39" hidden="1">1244973</definedName>
    <definedName name="solver_val" localSheetId="40" hidden="1">1244973</definedName>
    <definedName name="solver_val" localSheetId="35" hidden="1">1244973</definedName>
    <definedName name="solver_val" localSheetId="44" hidden="1">1244973</definedName>
    <definedName name="solver_val" localSheetId="45" hidden="1">1244973</definedName>
    <definedName name="solver_val" localSheetId="46" hidden="1">1244973</definedName>
    <definedName name="solver_ver" localSheetId="41" hidden="1">2</definedName>
    <definedName name="solver_ver" localSheetId="42" hidden="1">2</definedName>
    <definedName name="solver_ver" localSheetId="43" hidden="1">2</definedName>
    <definedName name="solver_ver" localSheetId="38" hidden="1">2</definedName>
    <definedName name="solver_ver" localSheetId="39" hidden="1">2</definedName>
    <definedName name="solver_ver" localSheetId="40" hidden="1">2</definedName>
    <definedName name="solver_ver" localSheetId="35" hidden="1">2</definedName>
    <definedName name="solver_ver" localSheetId="44" hidden="1">2</definedName>
    <definedName name="solver_ver" localSheetId="45" hidden="1">2</definedName>
    <definedName name="solver_ver" localSheetId="46" hidden="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57" i="86" l="1"/>
  <c r="J58" i="86"/>
  <c r="K58" i="86" s="1"/>
  <c r="J59" i="86"/>
  <c r="J60" i="86"/>
  <c r="J61" i="86"/>
  <c r="J62" i="86"/>
  <c r="K62" i="86" s="1"/>
  <c r="J63" i="86"/>
  <c r="J64" i="86"/>
  <c r="J65" i="86"/>
  <c r="J66" i="86"/>
  <c r="K66" i="86" s="1"/>
  <c r="J67" i="86"/>
  <c r="J68" i="86"/>
  <c r="J69" i="86"/>
  <c r="J70" i="86"/>
  <c r="J71" i="86"/>
  <c r="J72" i="86"/>
  <c r="J73" i="86"/>
  <c r="J74" i="86"/>
  <c r="K74" i="86" s="1"/>
  <c r="J75" i="86"/>
  <c r="J76" i="86"/>
  <c r="J77" i="86"/>
  <c r="J78" i="86"/>
  <c r="K78" i="86" s="1"/>
  <c r="J79" i="86"/>
  <c r="J80" i="86"/>
  <c r="J81" i="86"/>
  <c r="J82" i="86"/>
  <c r="K82" i="86" s="1"/>
  <c r="J83" i="86"/>
  <c r="J84" i="86"/>
  <c r="J85" i="86"/>
  <c r="J86" i="86"/>
  <c r="J87" i="86"/>
  <c r="J88" i="86"/>
  <c r="J89" i="86"/>
  <c r="J90" i="86"/>
  <c r="K90" i="86" s="1"/>
  <c r="J91" i="86"/>
  <c r="J92" i="86"/>
  <c r="J93" i="86"/>
  <c r="J94" i="86"/>
  <c r="K94" i="86" s="1"/>
  <c r="J95" i="86"/>
  <c r="J96" i="86"/>
  <c r="J97" i="86"/>
  <c r="J98" i="86"/>
  <c r="K98" i="86" s="1"/>
  <c r="J99" i="86"/>
  <c r="J100" i="86"/>
  <c r="J101" i="86"/>
  <c r="J102" i="86"/>
  <c r="J103" i="86"/>
  <c r="J104" i="86"/>
  <c r="J105" i="86"/>
  <c r="J106" i="86"/>
  <c r="K106" i="86" s="1"/>
  <c r="J107" i="86"/>
  <c r="J108" i="86"/>
  <c r="J109" i="86"/>
  <c r="I57" i="86"/>
  <c r="I58" i="86"/>
  <c r="I59" i="86"/>
  <c r="I60" i="86"/>
  <c r="I61" i="86"/>
  <c r="I62" i="86"/>
  <c r="I63" i="86"/>
  <c r="I64" i="86"/>
  <c r="I65" i="86"/>
  <c r="I66" i="86"/>
  <c r="I67" i="86"/>
  <c r="I68" i="86"/>
  <c r="I69" i="86"/>
  <c r="I70" i="86"/>
  <c r="I71" i="86"/>
  <c r="I72" i="86"/>
  <c r="I73" i="86"/>
  <c r="I74" i="86"/>
  <c r="I75" i="86"/>
  <c r="I76" i="86"/>
  <c r="I77" i="86"/>
  <c r="I78" i="86"/>
  <c r="I79" i="86"/>
  <c r="I80" i="86"/>
  <c r="I81" i="86"/>
  <c r="I82" i="86"/>
  <c r="I83" i="86"/>
  <c r="I84" i="86"/>
  <c r="I85" i="86"/>
  <c r="I86" i="86"/>
  <c r="I87" i="86"/>
  <c r="I88" i="86"/>
  <c r="I89" i="86"/>
  <c r="I90" i="86"/>
  <c r="I91" i="86"/>
  <c r="I92" i="86"/>
  <c r="I93" i="86"/>
  <c r="I94" i="86"/>
  <c r="I95" i="86"/>
  <c r="I96" i="86"/>
  <c r="I97" i="86"/>
  <c r="I98" i="86"/>
  <c r="I99" i="86"/>
  <c r="I100" i="86"/>
  <c r="I101" i="86"/>
  <c r="I102" i="86"/>
  <c r="I103" i="86"/>
  <c r="I104" i="86"/>
  <c r="I105" i="86"/>
  <c r="I106" i="86"/>
  <c r="I107" i="86"/>
  <c r="I108" i="86"/>
  <c r="I109" i="86"/>
  <c r="H57" i="86"/>
  <c r="H58" i="86"/>
  <c r="H59" i="86"/>
  <c r="H60" i="86"/>
  <c r="H61" i="86"/>
  <c r="H62" i="86"/>
  <c r="H63" i="86"/>
  <c r="H64" i="86"/>
  <c r="H65" i="86"/>
  <c r="H66" i="86"/>
  <c r="H67" i="86"/>
  <c r="H68" i="86"/>
  <c r="H69" i="86"/>
  <c r="H70" i="86"/>
  <c r="H71" i="86"/>
  <c r="H72" i="86"/>
  <c r="H73" i="86"/>
  <c r="H74" i="86"/>
  <c r="H75" i="86"/>
  <c r="H76" i="86"/>
  <c r="H77" i="86"/>
  <c r="H78" i="86"/>
  <c r="H79" i="86"/>
  <c r="H80" i="86"/>
  <c r="H81" i="86"/>
  <c r="H82" i="86"/>
  <c r="H83" i="86"/>
  <c r="H84" i="86"/>
  <c r="H85" i="86"/>
  <c r="H86" i="86"/>
  <c r="H87" i="86"/>
  <c r="H88" i="86"/>
  <c r="H89" i="86"/>
  <c r="H90" i="86"/>
  <c r="H91" i="86"/>
  <c r="H92" i="86"/>
  <c r="H93" i="86"/>
  <c r="H94" i="86"/>
  <c r="H95" i="86"/>
  <c r="H96" i="86"/>
  <c r="H97" i="86"/>
  <c r="H98" i="86"/>
  <c r="H99" i="86"/>
  <c r="H100" i="86"/>
  <c r="H101" i="86"/>
  <c r="H102" i="86"/>
  <c r="H103" i="86"/>
  <c r="H104" i="86"/>
  <c r="H105" i="86"/>
  <c r="H106" i="86"/>
  <c r="H107" i="86"/>
  <c r="H108" i="86"/>
  <c r="H109" i="86"/>
  <c r="G57" i="86"/>
  <c r="G58" i="86"/>
  <c r="G59" i="86"/>
  <c r="G60" i="86"/>
  <c r="G61" i="86"/>
  <c r="G62" i="86"/>
  <c r="G63" i="86"/>
  <c r="G64" i="86"/>
  <c r="G65" i="86"/>
  <c r="G66" i="86"/>
  <c r="G67" i="86"/>
  <c r="G68" i="86"/>
  <c r="G69" i="86"/>
  <c r="G70" i="86"/>
  <c r="G71" i="86"/>
  <c r="G72" i="86"/>
  <c r="G73" i="86"/>
  <c r="G74" i="86"/>
  <c r="G75" i="86"/>
  <c r="G76" i="86"/>
  <c r="G77" i="86"/>
  <c r="G78" i="86"/>
  <c r="G79" i="86"/>
  <c r="G80" i="86"/>
  <c r="G81" i="86"/>
  <c r="G82" i="86"/>
  <c r="G83" i="86"/>
  <c r="G84" i="86"/>
  <c r="G85" i="86"/>
  <c r="G86" i="86"/>
  <c r="G87" i="86"/>
  <c r="G88" i="86"/>
  <c r="G89" i="86"/>
  <c r="G90" i="86"/>
  <c r="G91" i="86"/>
  <c r="G92" i="86"/>
  <c r="G93" i="86"/>
  <c r="G94" i="86"/>
  <c r="G95" i="86"/>
  <c r="G96" i="86"/>
  <c r="G97" i="86"/>
  <c r="G98" i="86"/>
  <c r="G99" i="86"/>
  <c r="G100" i="86"/>
  <c r="G101" i="86"/>
  <c r="G102" i="86"/>
  <c r="G103" i="86"/>
  <c r="G104" i="86"/>
  <c r="G105" i="86"/>
  <c r="G106" i="86"/>
  <c r="G107" i="86"/>
  <c r="G108" i="86"/>
  <c r="G109" i="86"/>
  <c r="F57" i="86"/>
  <c r="F58" i="86"/>
  <c r="F59" i="86"/>
  <c r="F60" i="86"/>
  <c r="F61" i="86"/>
  <c r="F62" i="86"/>
  <c r="F63" i="86"/>
  <c r="F64" i="86"/>
  <c r="F65" i="86"/>
  <c r="F66" i="86"/>
  <c r="F67" i="86"/>
  <c r="F68" i="86"/>
  <c r="F69" i="86"/>
  <c r="F70" i="86"/>
  <c r="F71" i="86"/>
  <c r="F72" i="86"/>
  <c r="F73" i="86"/>
  <c r="F74" i="86"/>
  <c r="F75" i="86"/>
  <c r="F76" i="86"/>
  <c r="F77" i="86"/>
  <c r="F78" i="86"/>
  <c r="F79" i="86"/>
  <c r="F80" i="86"/>
  <c r="F81" i="86"/>
  <c r="F82" i="86"/>
  <c r="F83" i="86"/>
  <c r="F84" i="86"/>
  <c r="F85" i="86"/>
  <c r="F86" i="86"/>
  <c r="F87" i="86"/>
  <c r="F88" i="86"/>
  <c r="F89" i="86"/>
  <c r="F90" i="86"/>
  <c r="F91" i="86"/>
  <c r="F92" i="86"/>
  <c r="F93" i="86"/>
  <c r="F94" i="86"/>
  <c r="F95" i="86"/>
  <c r="F96" i="86"/>
  <c r="F97" i="86"/>
  <c r="F98" i="86"/>
  <c r="F99" i="86"/>
  <c r="F100" i="86"/>
  <c r="F101" i="86"/>
  <c r="F102" i="86"/>
  <c r="F103" i="86"/>
  <c r="F104" i="86"/>
  <c r="F105" i="86"/>
  <c r="F106" i="86"/>
  <c r="F107" i="86"/>
  <c r="F108" i="86"/>
  <c r="F109" i="86"/>
  <c r="E57" i="86"/>
  <c r="E58" i="86"/>
  <c r="E59" i="86"/>
  <c r="E60" i="86"/>
  <c r="E61" i="86"/>
  <c r="E62" i="86"/>
  <c r="E63" i="86"/>
  <c r="E64" i="86"/>
  <c r="E65" i="86"/>
  <c r="E66" i="86"/>
  <c r="E67" i="86"/>
  <c r="E68" i="86"/>
  <c r="E69" i="86"/>
  <c r="E70" i="86"/>
  <c r="E71" i="86"/>
  <c r="E72" i="86"/>
  <c r="E73" i="86"/>
  <c r="E74" i="86"/>
  <c r="E75" i="86"/>
  <c r="E76" i="86"/>
  <c r="E77" i="86"/>
  <c r="E78" i="86"/>
  <c r="E79" i="86"/>
  <c r="E80" i="86"/>
  <c r="E81" i="86"/>
  <c r="E82" i="86"/>
  <c r="E83" i="86"/>
  <c r="E84" i="86"/>
  <c r="E85" i="86"/>
  <c r="E86" i="86"/>
  <c r="E87" i="86"/>
  <c r="E88" i="86"/>
  <c r="E89" i="86"/>
  <c r="E90" i="86"/>
  <c r="E91" i="86"/>
  <c r="E92" i="86"/>
  <c r="E93" i="86"/>
  <c r="E94" i="86"/>
  <c r="E95" i="86"/>
  <c r="E96" i="86"/>
  <c r="E97" i="86"/>
  <c r="E98" i="86"/>
  <c r="E99" i="86"/>
  <c r="E100" i="86"/>
  <c r="E101" i="86"/>
  <c r="E102" i="86"/>
  <c r="E103" i="86"/>
  <c r="E104" i="86"/>
  <c r="E105" i="86"/>
  <c r="E106" i="86"/>
  <c r="E107" i="86"/>
  <c r="E108" i="86"/>
  <c r="E109" i="86"/>
  <c r="J56" i="86"/>
  <c r="I56" i="86"/>
  <c r="H56" i="86"/>
  <c r="G56" i="86"/>
  <c r="F56" i="86"/>
  <c r="E56" i="86"/>
  <c r="D57" i="86"/>
  <c r="D58" i="86"/>
  <c r="D59" i="86"/>
  <c r="K59" i="86" s="1"/>
  <c r="D60" i="86"/>
  <c r="D61" i="86"/>
  <c r="D62" i="86"/>
  <c r="D63" i="86"/>
  <c r="K63" i="86" s="1"/>
  <c r="D64" i="86"/>
  <c r="D65" i="86"/>
  <c r="D66" i="86"/>
  <c r="D67" i="86"/>
  <c r="K67" i="86" s="1"/>
  <c r="D68" i="86"/>
  <c r="D69" i="86"/>
  <c r="D70" i="86"/>
  <c r="D71" i="86"/>
  <c r="K71" i="86" s="1"/>
  <c r="D72" i="86"/>
  <c r="D73" i="86"/>
  <c r="D74" i="86"/>
  <c r="D75" i="86"/>
  <c r="K75" i="86" s="1"/>
  <c r="D76" i="86"/>
  <c r="D77" i="86"/>
  <c r="D78" i="86"/>
  <c r="D79" i="86"/>
  <c r="K79" i="86" s="1"/>
  <c r="D80" i="86"/>
  <c r="D81" i="86"/>
  <c r="D82" i="86"/>
  <c r="D83" i="86"/>
  <c r="K83" i="86" s="1"/>
  <c r="D84" i="86"/>
  <c r="D85" i="86"/>
  <c r="D86" i="86"/>
  <c r="D87" i="86"/>
  <c r="K87" i="86" s="1"/>
  <c r="D88" i="86"/>
  <c r="D89" i="86"/>
  <c r="D90" i="86"/>
  <c r="D91" i="86"/>
  <c r="K91" i="86" s="1"/>
  <c r="D92" i="86"/>
  <c r="D93" i="86"/>
  <c r="D94" i="86"/>
  <c r="D95" i="86"/>
  <c r="K95" i="86" s="1"/>
  <c r="D96" i="86"/>
  <c r="D97" i="86"/>
  <c r="D98" i="86"/>
  <c r="D99" i="86"/>
  <c r="K99" i="86" s="1"/>
  <c r="D100" i="86"/>
  <c r="D101" i="86"/>
  <c r="D102" i="86"/>
  <c r="D103" i="86"/>
  <c r="K103" i="86" s="1"/>
  <c r="D104" i="86"/>
  <c r="D105" i="86"/>
  <c r="D106" i="86"/>
  <c r="D107" i="86"/>
  <c r="K107" i="86" s="1"/>
  <c r="D108" i="86"/>
  <c r="D109" i="86"/>
  <c r="D56" i="86"/>
  <c r="K70" i="86"/>
  <c r="K86" i="86"/>
  <c r="K102" i="86"/>
  <c r="K3" i="86"/>
  <c r="K4" i="86"/>
  <c r="K5" i="86"/>
  <c r="K6" i="86"/>
  <c r="K7" i="86"/>
  <c r="K8" i="86"/>
  <c r="K9" i="86"/>
  <c r="K10" i="86"/>
  <c r="K11" i="86"/>
  <c r="K12" i="86"/>
  <c r="K13" i="86"/>
  <c r="K14" i="86"/>
  <c r="K15" i="86"/>
  <c r="K16" i="86"/>
  <c r="K17" i="86"/>
  <c r="K18" i="86"/>
  <c r="K19" i="86"/>
  <c r="K20" i="86"/>
  <c r="K21" i="86"/>
  <c r="K22" i="86"/>
  <c r="K23" i="86"/>
  <c r="K24" i="86"/>
  <c r="K25" i="86"/>
  <c r="K26" i="86"/>
  <c r="K27" i="86"/>
  <c r="K28" i="86"/>
  <c r="K29" i="86"/>
  <c r="K30" i="86"/>
  <c r="K31" i="86"/>
  <c r="K32" i="86"/>
  <c r="K33" i="86"/>
  <c r="K34" i="86"/>
  <c r="K35" i="86"/>
  <c r="K36" i="86"/>
  <c r="K37" i="86"/>
  <c r="K38" i="86"/>
  <c r="K39" i="86"/>
  <c r="K40" i="86"/>
  <c r="K41" i="86"/>
  <c r="K42" i="86"/>
  <c r="K43" i="86"/>
  <c r="K44" i="86"/>
  <c r="K45" i="86"/>
  <c r="K46" i="86"/>
  <c r="K47" i="86"/>
  <c r="K48" i="86"/>
  <c r="K49" i="86"/>
  <c r="K50" i="86"/>
  <c r="K51" i="86"/>
  <c r="K52" i="86"/>
  <c r="K53" i="86"/>
  <c r="K54" i="86"/>
  <c r="K55" i="86"/>
  <c r="K2" i="86"/>
  <c r="T31" i="90"/>
  <c r="T30" i="90"/>
  <c r="T18" i="90"/>
  <c r="T17" i="90"/>
  <c r="T16" i="90"/>
  <c r="AX4" i="85"/>
  <c r="AY4" i="85"/>
  <c r="AX5" i="85"/>
  <c r="AY5" i="85"/>
  <c r="AX6" i="85"/>
  <c r="AY6" i="85"/>
  <c r="AX7" i="85"/>
  <c r="AY7" i="85"/>
  <c r="AX8" i="85"/>
  <c r="AY8" i="85"/>
  <c r="AX9" i="85"/>
  <c r="AY9" i="85"/>
  <c r="AX10" i="85"/>
  <c r="AY10" i="85"/>
  <c r="AX11" i="85"/>
  <c r="AY11" i="85"/>
  <c r="AX12" i="85"/>
  <c r="AY12" i="85"/>
  <c r="AX13" i="85"/>
  <c r="AY13" i="85"/>
  <c r="AX14" i="85"/>
  <c r="AY14" i="85"/>
  <c r="AX15" i="85"/>
  <c r="AY15" i="85"/>
  <c r="AX16" i="85"/>
  <c r="AY16" i="85"/>
  <c r="AX17" i="85"/>
  <c r="AY17" i="85"/>
  <c r="AX18" i="85"/>
  <c r="AY18" i="85"/>
  <c r="AX19" i="85"/>
  <c r="AY19" i="85"/>
  <c r="AX20" i="85"/>
  <c r="AY20" i="85"/>
  <c r="AX21" i="85"/>
  <c r="AY21" i="85"/>
  <c r="AX22" i="85"/>
  <c r="AY22" i="85"/>
  <c r="AX23" i="85"/>
  <c r="AY23" i="85"/>
  <c r="AX24" i="85"/>
  <c r="AY24" i="85"/>
  <c r="AX25" i="85"/>
  <c r="AY25" i="85"/>
  <c r="AX26" i="85"/>
  <c r="AY26" i="85"/>
  <c r="AX27" i="85"/>
  <c r="AY27" i="85"/>
  <c r="AX28" i="85"/>
  <c r="AY28" i="85"/>
  <c r="AX29" i="85"/>
  <c r="AY29" i="85"/>
  <c r="AX30" i="85"/>
  <c r="AY30" i="85"/>
  <c r="AX31" i="85"/>
  <c r="AY31" i="85"/>
  <c r="AX32" i="85"/>
  <c r="AY32" i="85"/>
  <c r="AX33" i="85"/>
  <c r="AY33" i="85"/>
  <c r="AX34" i="85"/>
  <c r="AY34" i="85"/>
  <c r="AX35" i="85"/>
  <c r="AY35" i="85"/>
  <c r="AX36" i="85"/>
  <c r="AY36" i="85"/>
  <c r="AX37" i="85"/>
  <c r="AY37" i="85"/>
  <c r="AX38" i="85"/>
  <c r="AY38" i="85"/>
  <c r="AX39" i="85"/>
  <c r="AY39" i="85"/>
  <c r="AX40" i="85"/>
  <c r="AY40" i="85"/>
  <c r="AX41" i="85"/>
  <c r="AY41" i="85"/>
  <c r="AX42" i="85"/>
  <c r="AY42" i="85"/>
  <c r="AX43" i="85"/>
  <c r="AY43" i="85"/>
  <c r="AX44" i="85"/>
  <c r="AY44" i="85"/>
  <c r="AX45" i="85"/>
  <c r="AY45" i="85"/>
  <c r="AX46" i="85"/>
  <c r="AY46" i="85"/>
  <c r="AX47" i="85"/>
  <c r="AY47" i="85"/>
  <c r="AX48" i="85"/>
  <c r="AY48" i="85"/>
  <c r="AX49" i="85"/>
  <c r="AY49" i="85"/>
  <c r="AX50" i="85"/>
  <c r="AY50" i="85"/>
  <c r="AX51" i="85"/>
  <c r="AY51" i="85"/>
  <c r="AX52" i="85"/>
  <c r="AY52" i="85"/>
  <c r="AX53" i="85"/>
  <c r="AY53" i="85"/>
  <c r="AX54" i="85"/>
  <c r="AY54" i="85"/>
  <c r="AX55" i="85"/>
  <c r="AY55" i="85"/>
  <c r="AX56" i="85"/>
  <c r="AY56" i="85"/>
  <c r="AX57" i="85"/>
  <c r="AY57" i="85"/>
  <c r="AX58" i="85"/>
  <c r="AY58" i="85"/>
  <c r="AX59" i="85"/>
  <c r="AY59" i="85"/>
  <c r="AX60" i="85"/>
  <c r="AY60" i="85"/>
  <c r="AX61" i="85"/>
  <c r="AY61" i="85"/>
  <c r="AX62" i="85"/>
  <c r="AY62" i="85"/>
  <c r="AX63" i="85"/>
  <c r="AY63" i="85"/>
  <c r="AX64" i="85"/>
  <c r="AY64" i="85"/>
  <c r="AX65" i="85"/>
  <c r="AY65" i="85"/>
  <c r="AX66" i="85"/>
  <c r="AY66" i="85"/>
  <c r="AX67" i="85"/>
  <c r="AY67" i="85"/>
  <c r="AX68" i="85"/>
  <c r="AY68" i="85"/>
  <c r="AX69" i="85"/>
  <c r="AY69" i="85"/>
  <c r="AX70" i="85"/>
  <c r="AY70" i="85"/>
  <c r="AX71" i="85"/>
  <c r="AY71" i="85"/>
  <c r="AX72" i="85"/>
  <c r="AY72" i="85"/>
  <c r="AX73" i="85"/>
  <c r="AY73" i="85"/>
  <c r="AX74" i="85"/>
  <c r="AY74" i="85"/>
  <c r="AX75" i="85"/>
  <c r="AY75" i="85"/>
  <c r="L4" i="85"/>
  <c r="M4" i="85"/>
  <c r="N4" i="85"/>
  <c r="O4" i="85"/>
  <c r="P4" i="85"/>
  <c r="Q4" i="85"/>
  <c r="R4" i="85"/>
  <c r="S4" i="85"/>
  <c r="T4" i="85"/>
  <c r="U4" i="85"/>
  <c r="V4" i="85"/>
  <c r="W4" i="85"/>
  <c r="X4" i="85"/>
  <c r="Y4" i="85"/>
  <c r="Z4" i="85"/>
  <c r="AA4" i="85"/>
  <c r="AB4" i="85"/>
  <c r="AC4" i="85"/>
  <c r="AD4" i="85"/>
  <c r="AE4" i="85"/>
  <c r="AF4" i="85"/>
  <c r="AG4" i="85"/>
  <c r="AH4" i="85"/>
  <c r="AI4" i="85"/>
  <c r="AJ4" i="85"/>
  <c r="AK4" i="85"/>
  <c r="AL4" i="85"/>
  <c r="AM4" i="85"/>
  <c r="AN4" i="85"/>
  <c r="AO4" i="85"/>
  <c r="AP4" i="85"/>
  <c r="AQ4" i="85"/>
  <c r="AR4" i="85"/>
  <c r="AS4" i="85"/>
  <c r="AT4" i="85"/>
  <c r="AU4" i="85"/>
  <c r="AV4" i="85"/>
  <c r="AW4" i="85"/>
  <c r="L5" i="85"/>
  <c r="M5" i="85"/>
  <c r="N5" i="85"/>
  <c r="O5" i="85"/>
  <c r="P5" i="85"/>
  <c r="Q5" i="85"/>
  <c r="R5" i="85"/>
  <c r="S5" i="85"/>
  <c r="T5" i="85"/>
  <c r="U5" i="85"/>
  <c r="V5" i="85"/>
  <c r="W5" i="85"/>
  <c r="X5" i="85"/>
  <c r="Y5" i="85"/>
  <c r="Z5" i="85"/>
  <c r="AA5" i="85"/>
  <c r="AB5" i="85"/>
  <c r="AC5" i="85"/>
  <c r="AD5" i="85"/>
  <c r="AE5" i="85"/>
  <c r="AF5" i="85"/>
  <c r="AG5" i="85"/>
  <c r="AH5" i="85"/>
  <c r="AI5" i="85"/>
  <c r="AJ5" i="85"/>
  <c r="AK5" i="85"/>
  <c r="AL5" i="85"/>
  <c r="AM5" i="85"/>
  <c r="AN5" i="85"/>
  <c r="AO5" i="85"/>
  <c r="AP5" i="85"/>
  <c r="AQ5" i="85"/>
  <c r="AR5" i="85"/>
  <c r="AS5" i="85"/>
  <c r="AT5" i="85"/>
  <c r="AU5" i="85"/>
  <c r="AV5" i="85"/>
  <c r="AW5" i="85"/>
  <c r="L6" i="85"/>
  <c r="M6" i="85"/>
  <c r="N6" i="85"/>
  <c r="O6" i="85"/>
  <c r="P6" i="85"/>
  <c r="Q6" i="85"/>
  <c r="R6" i="85"/>
  <c r="S6" i="85"/>
  <c r="T6" i="85"/>
  <c r="U6" i="85"/>
  <c r="V6" i="85"/>
  <c r="W6" i="85"/>
  <c r="X6" i="85"/>
  <c r="Y6" i="85"/>
  <c r="Z6" i="85"/>
  <c r="AA6" i="85"/>
  <c r="AB6" i="85"/>
  <c r="AC6" i="85"/>
  <c r="AD6" i="85"/>
  <c r="AE6" i="85"/>
  <c r="AF6" i="85"/>
  <c r="AG6" i="85"/>
  <c r="AH6" i="85"/>
  <c r="AI6" i="85"/>
  <c r="AJ6" i="85"/>
  <c r="AK6" i="85"/>
  <c r="AL6" i="85"/>
  <c r="AM6" i="85"/>
  <c r="AN6" i="85"/>
  <c r="AO6" i="85"/>
  <c r="AP6" i="85"/>
  <c r="AQ6" i="85"/>
  <c r="AR6" i="85"/>
  <c r="AS6" i="85"/>
  <c r="AT6" i="85"/>
  <c r="AU6" i="85"/>
  <c r="AV6" i="85"/>
  <c r="AW6" i="85"/>
  <c r="L7" i="85"/>
  <c r="M7" i="85"/>
  <c r="N7" i="85"/>
  <c r="O7" i="85"/>
  <c r="P7" i="85"/>
  <c r="Q7" i="85"/>
  <c r="R7" i="85"/>
  <c r="S7" i="85"/>
  <c r="T7" i="85"/>
  <c r="U7" i="85"/>
  <c r="V7" i="85"/>
  <c r="W7" i="85"/>
  <c r="X7" i="85"/>
  <c r="Y7" i="85"/>
  <c r="Z7" i="85"/>
  <c r="AA7" i="85"/>
  <c r="AB7" i="85"/>
  <c r="AC7" i="85"/>
  <c r="AD7" i="85"/>
  <c r="AE7" i="85"/>
  <c r="AF7" i="85"/>
  <c r="AG7" i="85"/>
  <c r="AH7" i="85"/>
  <c r="AI7" i="85"/>
  <c r="AJ7" i="85"/>
  <c r="AK7" i="85"/>
  <c r="AL7" i="85"/>
  <c r="AM7" i="85"/>
  <c r="AN7" i="85"/>
  <c r="AO7" i="85"/>
  <c r="AP7" i="85"/>
  <c r="AQ7" i="85"/>
  <c r="AR7" i="85"/>
  <c r="AS7" i="85"/>
  <c r="AT7" i="85"/>
  <c r="AU7" i="85"/>
  <c r="AV7" i="85"/>
  <c r="AW7" i="85"/>
  <c r="L8" i="85"/>
  <c r="M8" i="85"/>
  <c r="N8" i="85"/>
  <c r="O8" i="85"/>
  <c r="P8" i="85"/>
  <c r="Q8" i="85"/>
  <c r="R8" i="85"/>
  <c r="S8" i="85"/>
  <c r="T8" i="85"/>
  <c r="U8" i="85"/>
  <c r="V8" i="85"/>
  <c r="W8" i="85"/>
  <c r="X8" i="85"/>
  <c r="Y8" i="85"/>
  <c r="Z8" i="85"/>
  <c r="AA8" i="85"/>
  <c r="AB8" i="85"/>
  <c r="AC8" i="85"/>
  <c r="AD8" i="85"/>
  <c r="AE8" i="85"/>
  <c r="AF8" i="85"/>
  <c r="AG8" i="85"/>
  <c r="AH8" i="85"/>
  <c r="AI8" i="85"/>
  <c r="AJ8" i="85"/>
  <c r="AK8" i="85"/>
  <c r="AL8" i="85"/>
  <c r="AM8" i="85"/>
  <c r="AN8" i="85"/>
  <c r="AO8" i="85"/>
  <c r="AP8" i="85"/>
  <c r="AQ8" i="85"/>
  <c r="AR8" i="85"/>
  <c r="AS8" i="85"/>
  <c r="AT8" i="85"/>
  <c r="AU8" i="85"/>
  <c r="AV8" i="85"/>
  <c r="AW8" i="85"/>
  <c r="L9" i="85"/>
  <c r="M9" i="85"/>
  <c r="N9" i="85"/>
  <c r="O9" i="85"/>
  <c r="P9" i="85"/>
  <c r="Q9" i="85"/>
  <c r="R9" i="85"/>
  <c r="S9" i="85"/>
  <c r="T9" i="85"/>
  <c r="U9" i="85"/>
  <c r="V9" i="85"/>
  <c r="W9" i="85"/>
  <c r="X9" i="85"/>
  <c r="Y9" i="85"/>
  <c r="Z9" i="85"/>
  <c r="AA9" i="85"/>
  <c r="AB9" i="85"/>
  <c r="AC9" i="85"/>
  <c r="AD9" i="85"/>
  <c r="AE9" i="85"/>
  <c r="AF9" i="85"/>
  <c r="AG9" i="85"/>
  <c r="AH9" i="85"/>
  <c r="AI9" i="85"/>
  <c r="AJ9" i="85"/>
  <c r="AK9" i="85"/>
  <c r="AL9" i="85"/>
  <c r="AM9" i="85"/>
  <c r="AN9" i="85"/>
  <c r="AO9" i="85"/>
  <c r="AP9" i="85"/>
  <c r="AQ9" i="85"/>
  <c r="AR9" i="85"/>
  <c r="AS9" i="85"/>
  <c r="AT9" i="85"/>
  <c r="AU9" i="85"/>
  <c r="AV9" i="85"/>
  <c r="AW9" i="85"/>
  <c r="L10" i="85"/>
  <c r="M10" i="85"/>
  <c r="N10" i="85"/>
  <c r="O10" i="85"/>
  <c r="P10" i="85"/>
  <c r="Q10" i="85"/>
  <c r="R10" i="85"/>
  <c r="S10" i="85"/>
  <c r="T10" i="85"/>
  <c r="U10" i="85"/>
  <c r="V10" i="85"/>
  <c r="W10" i="85"/>
  <c r="X10" i="85"/>
  <c r="Y10" i="85"/>
  <c r="Z10" i="85"/>
  <c r="AA10" i="85"/>
  <c r="AB10" i="85"/>
  <c r="AC10" i="85"/>
  <c r="AD10" i="85"/>
  <c r="AE10" i="85"/>
  <c r="AF10" i="85"/>
  <c r="AG10" i="85"/>
  <c r="AH10" i="85"/>
  <c r="AI10" i="85"/>
  <c r="AJ10" i="85"/>
  <c r="AK10" i="85"/>
  <c r="AL10" i="85"/>
  <c r="AM10" i="85"/>
  <c r="AN10" i="85"/>
  <c r="AO10" i="85"/>
  <c r="AP10" i="85"/>
  <c r="AQ10" i="85"/>
  <c r="AR10" i="85"/>
  <c r="AS10" i="85"/>
  <c r="AT10" i="85"/>
  <c r="AU10" i="85"/>
  <c r="AV10" i="85"/>
  <c r="AW10" i="85"/>
  <c r="L11" i="85"/>
  <c r="M11" i="85"/>
  <c r="N11" i="85"/>
  <c r="O11" i="85"/>
  <c r="P11" i="85"/>
  <c r="Q11" i="85"/>
  <c r="R11" i="85"/>
  <c r="S11" i="85"/>
  <c r="T11" i="85"/>
  <c r="U11" i="85"/>
  <c r="V11" i="85"/>
  <c r="W11" i="85"/>
  <c r="X11" i="85"/>
  <c r="Y11" i="85"/>
  <c r="Z11" i="85"/>
  <c r="AA11" i="85"/>
  <c r="AB11" i="85"/>
  <c r="AC11" i="85"/>
  <c r="AD11" i="85"/>
  <c r="AE11" i="85"/>
  <c r="AF11" i="85"/>
  <c r="AG11" i="85"/>
  <c r="AH11" i="85"/>
  <c r="AI11" i="85"/>
  <c r="AJ11" i="85"/>
  <c r="AK11" i="85"/>
  <c r="AL11" i="85"/>
  <c r="AM11" i="85"/>
  <c r="AN11" i="85"/>
  <c r="AO11" i="85"/>
  <c r="AP11" i="85"/>
  <c r="AQ11" i="85"/>
  <c r="AR11" i="85"/>
  <c r="AS11" i="85"/>
  <c r="AT11" i="85"/>
  <c r="AU11" i="85"/>
  <c r="AV11" i="85"/>
  <c r="AW11" i="85"/>
  <c r="L12" i="85"/>
  <c r="M12" i="85"/>
  <c r="N12" i="85"/>
  <c r="O12" i="85"/>
  <c r="P12" i="85"/>
  <c r="Q12" i="85"/>
  <c r="R12" i="85"/>
  <c r="S12" i="85"/>
  <c r="T12" i="85"/>
  <c r="U12" i="85"/>
  <c r="V12" i="85"/>
  <c r="W12" i="85"/>
  <c r="X12" i="85"/>
  <c r="Y12" i="85"/>
  <c r="Z12" i="85"/>
  <c r="AA12" i="85"/>
  <c r="AB12" i="85"/>
  <c r="AC12" i="85"/>
  <c r="AD12" i="85"/>
  <c r="AE12" i="85"/>
  <c r="AF12" i="85"/>
  <c r="AG12" i="85"/>
  <c r="AH12" i="85"/>
  <c r="AI12" i="85"/>
  <c r="AJ12" i="85"/>
  <c r="AK12" i="85"/>
  <c r="AL12" i="85"/>
  <c r="AM12" i="85"/>
  <c r="AN12" i="85"/>
  <c r="AO12" i="85"/>
  <c r="AP12" i="85"/>
  <c r="AQ12" i="85"/>
  <c r="AR12" i="85"/>
  <c r="AS12" i="85"/>
  <c r="AT12" i="85"/>
  <c r="AU12" i="85"/>
  <c r="AV12" i="85"/>
  <c r="AW12" i="85"/>
  <c r="L13" i="85"/>
  <c r="M13" i="85"/>
  <c r="N13" i="85"/>
  <c r="O13" i="85"/>
  <c r="P13" i="85"/>
  <c r="Q13" i="85"/>
  <c r="R13" i="85"/>
  <c r="S13" i="85"/>
  <c r="T13" i="85"/>
  <c r="U13" i="85"/>
  <c r="V13" i="85"/>
  <c r="W13" i="85"/>
  <c r="X13" i="85"/>
  <c r="Y13" i="85"/>
  <c r="Z13" i="85"/>
  <c r="AA13" i="85"/>
  <c r="AB13" i="85"/>
  <c r="AC13" i="85"/>
  <c r="AD13" i="85"/>
  <c r="AE13" i="85"/>
  <c r="AF13" i="85"/>
  <c r="AG13" i="85"/>
  <c r="AH13" i="85"/>
  <c r="AI13" i="85"/>
  <c r="AJ13" i="85"/>
  <c r="AK13" i="85"/>
  <c r="AL13" i="85"/>
  <c r="AM13" i="85"/>
  <c r="AN13" i="85"/>
  <c r="AO13" i="85"/>
  <c r="AP13" i="85"/>
  <c r="AQ13" i="85"/>
  <c r="AR13" i="85"/>
  <c r="AS13" i="85"/>
  <c r="AT13" i="85"/>
  <c r="AU13" i="85"/>
  <c r="AV13" i="85"/>
  <c r="AW13" i="85"/>
  <c r="L14" i="85"/>
  <c r="M14" i="85"/>
  <c r="N14" i="85"/>
  <c r="O14" i="85"/>
  <c r="P14" i="85"/>
  <c r="Q14" i="85"/>
  <c r="R14" i="85"/>
  <c r="S14" i="85"/>
  <c r="T14" i="85"/>
  <c r="U14" i="85"/>
  <c r="V14" i="85"/>
  <c r="W14" i="85"/>
  <c r="X14" i="85"/>
  <c r="Y14" i="85"/>
  <c r="Z14" i="85"/>
  <c r="AA14" i="85"/>
  <c r="AB14" i="85"/>
  <c r="AC14" i="85"/>
  <c r="AD14" i="85"/>
  <c r="AE14" i="85"/>
  <c r="AF14" i="85"/>
  <c r="AG14" i="85"/>
  <c r="AH14" i="85"/>
  <c r="AI14" i="85"/>
  <c r="AJ14" i="85"/>
  <c r="AK14" i="85"/>
  <c r="AL14" i="85"/>
  <c r="AM14" i="85"/>
  <c r="AN14" i="85"/>
  <c r="AO14" i="85"/>
  <c r="AP14" i="85"/>
  <c r="AQ14" i="85"/>
  <c r="AR14" i="85"/>
  <c r="AS14" i="85"/>
  <c r="AT14" i="85"/>
  <c r="AU14" i="85"/>
  <c r="AV14" i="85"/>
  <c r="AW14" i="85"/>
  <c r="L15" i="85"/>
  <c r="M15" i="85"/>
  <c r="N15" i="85"/>
  <c r="O15" i="85"/>
  <c r="P15" i="85"/>
  <c r="Q15" i="85"/>
  <c r="R15" i="85"/>
  <c r="S15" i="85"/>
  <c r="T15" i="85"/>
  <c r="U15" i="85"/>
  <c r="V15" i="85"/>
  <c r="W15" i="85"/>
  <c r="X15" i="85"/>
  <c r="Y15" i="85"/>
  <c r="Z15" i="85"/>
  <c r="AA15" i="85"/>
  <c r="AB15" i="85"/>
  <c r="AC15" i="85"/>
  <c r="AD15" i="85"/>
  <c r="AE15" i="85"/>
  <c r="AF15" i="85"/>
  <c r="AG15" i="85"/>
  <c r="AH15" i="85"/>
  <c r="AI15" i="85"/>
  <c r="AJ15" i="85"/>
  <c r="AK15" i="85"/>
  <c r="AL15" i="85"/>
  <c r="AM15" i="85"/>
  <c r="AN15" i="85"/>
  <c r="AO15" i="85"/>
  <c r="AP15" i="85"/>
  <c r="AQ15" i="85"/>
  <c r="AR15" i="85"/>
  <c r="AS15" i="85"/>
  <c r="AT15" i="85"/>
  <c r="AU15" i="85"/>
  <c r="AV15" i="85"/>
  <c r="AW15" i="85"/>
  <c r="L16" i="85"/>
  <c r="M16" i="85"/>
  <c r="N16" i="85"/>
  <c r="O16" i="85"/>
  <c r="P16" i="85"/>
  <c r="Q16" i="85"/>
  <c r="R16" i="85"/>
  <c r="S16" i="85"/>
  <c r="T16" i="85"/>
  <c r="U16" i="85"/>
  <c r="V16" i="85"/>
  <c r="W16" i="85"/>
  <c r="X16" i="85"/>
  <c r="Y16" i="85"/>
  <c r="Z16" i="85"/>
  <c r="AA16" i="85"/>
  <c r="AB16" i="85"/>
  <c r="AC16" i="85"/>
  <c r="AD16" i="85"/>
  <c r="AE16" i="85"/>
  <c r="AF16" i="85"/>
  <c r="AG16" i="85"/>
  <c r="AH16" i="85"/>
  <c r="AI16" i="85"/>
  <c r="AJ16" i="85"/>
  <c r="AK16" i="85"/>
  <c r="AL16" i="85"/>
  <c r="AM16" i="85"/>
  <c r="AN16" i="85"/>
  <c r="AO16" i="85"/>
  <c r="AP16" i="85"/>
  <c r="AQ16" i="85"/>
  <c r="AR16" i="85"/>
  <c r="AS16" i="85"/>
  <c r="AT16" i="85"/>
  <c r="AU16" i="85"/>
  <c r="AV16" i="85"/>
  <c r="AW16" i="85"/>
  <c r="L17" i="85"/>
  <c r="M17" i="85"/>
  <c r="N17" i="85"/>
  <c r="O17" i="85"/>
  <c r="P17" i="85"/>
  <c r="Q17" i="85"/>
  <c r="R17" i="85"/>
  <c r="S17" i="85"/>
  <c r="T17" i="85"/>
  <c r="U17" i="85"/>
  <c r="V17" i="85"/>
  <c r="W17" i="85"/>
  <c r="X17" i="85"/>
  <c r="Y17" i="85"/>
  <c r="Z17" i="85"/>
  <c r="AA17" i="85"/>
  <c r="AB17" i="85"/>
  <c r="AC17" i="85"/>
  <c r="AD17" i="85"/>
  <c r="AE17" i="85"/>
  <c r="AF17" i="85"/>
  <c r="AG17" i="85"/>
  <c r="AH17" i="85"/>
  <c r="AI17" i="85"/>
  <c r="AJ17" i="85"/>
  <c r="AK17" i="85"/>
  <c r="AL17" i="85"/>
  <c r="AM17" i="85"/>
  <c r="AN17" i="85"/>
  <c r="AO17" i="85"/>
  <c r="AP17" i="85"/>
  <c r="AQ17" i="85"/>
  <c r="AR17" i="85"/>
  <c r="AS17" i="85"/>
  <c r="AT17" i="85"/>
  <c r="AU17" i="85"/>
  <c r="AV17" i="85"/>
  <c r="AW17" i="85"/>
  <c r="L18" i="85"/>
  <c r="M18" i="85"/>
  <c r="N18" i="85"/>
  <c r="O18" i="85"/>
  <c r="P18" i="85"/>
  <c r="Q18" i="85"/>
  <c r="R18" i="85"/>
  <c r="S18" i="85"/>
  <c r="T18" i="85"/>
  <c r="U18" i="85"/>
  <c r="V18" i="85"/>
  <c r="W18" i="85"/>
  <c r="X18" i="85"/>
  <c r="Y18" i="85"/>
  <c r="Z18" i="85"/>
  <c r="AA18" i="85"/>
  <c r="AB18" i="85"/>
  <c r="AC18" i="85"/>
  <c r="AD18" i="85"/>
  <c r="AE18" i="85"/>
  <c r="AF18" i="85"/>
  <c r="AG18" i="85"/>
  <c r="AH18" i="85"/>
  <c r="AI18" i="85"/>
  <c r="AJ18" i="85"/>
  <c r="AK18" i="85"/>
  <c r="AL18" i="85"/>
  <c r="AM18" i="85"/>
  <c r="AN18" i="85"/>
  <c r="AO18" i="85"/>
  <c r="AP18" i="85"/>
  <c r="AQ18" i="85"/>
  <c r="AR18" i="85"/>
  <c r="AS18" i="85"/>
  <c r="AT18" i="85"/>
  <c r="AU18" i="85"/>
  <c r="AV18" i="85"/>
  <c r="AW18" i="85"/>
  <c r="L19" i="85"/>
  <c r="M19" i="85"/>
  <c r="N19" i="85"/>
  <c r="O19" i="85"/>
  <c r="P19" i="85"/>
  <c r="Q19" i="85"/>
  <c r="R19" i="85"/>
  <c r="S19" i="85"/>
  <c r="T19" i="85"/>
  <c r="U19" i="85"/>
  <c r="V19" i="85"/>
  <c r="W19" i="85"/>
  <c r="X19" i="85"/>
  <c r="Y19" i="85"/>
  <c r="Z19" i="85"/>
  <c r="AA19" i="85"/>
  <c r="AB19" i="85"/>
  <c r="AC19" i="85"/>
  <c r="AD19" i="85"/>
  <c r="AE19" i="85"/>
  <c r="AF19" i="85"/>
  <c r="AG19" i="85"/>
  <c r="AH19" i="85"/>
  <c r="AI19" i="85"/>
  <c r="AJ19" i="85"/>
  <c r="AK19" i="85"/>
  <c r="AL19" i="85"/>
  <c r="AM19" i="85"/>
  <c r="AN19" i="85"/>
  <c r="AO19" i="85"/>
  <c r="AP19" i="85"/>
  <c r="AQ19" i="85"/>
  <c r="AR19" i="85"/>
  <c r="AS19" i="85"/>
  <c r="AT19" i="85"/>
  <c r="AU19" i="85"/>
  <c r="AV19" i="85"/>
  <c r="AW19" i="85"/>
  <c r="L20" i="85"/>
  <c r="M20" i="85"/>
  <c r="N20" i="85"/>
  <c r="O20" i="85"/>
  <c r="P20" i="85"/>
  <c r="Q20" i="85"/>
  <c r="R20" i="85"/>
  <c r="S20" i="85"/>
  <c r="T20" i="85"/>
  <c r="U20" i="85"/>
  <c r="V20" i="85"/>
  <c r="W20" i="85"/>
  <c r="X20" i="85"/>
  <c r="Y20" i="85"/>
  <c r="Z20" i="85"/>
  <c r="AA20" i="85"/>
  <c r="AB20" i="85"/>
  <c r="AC20" i="85"/>
  <c r="AD20" i="85"/>
  <c r="AE20" i="85"/>
  <c r="AF20" i="85"/>
  <c r="AG20" i="85"/>
  <c r="AH20" i="85"/>
  <c r="AI20" i="85"/>
  <c r="AJ20" i="85"/>
  <c r="AK20" i="85"/>
  <c r="AL20" i="85"/>
  <c r="AM20" i="85"/>
  <c r="AN20" i="85"/>
  <c r="AO20" i="85"/>
  <c r="AP20" i="85"/>
  <c r="AQ20" i="85"/>
  <c r="AR20" i="85"/>
  <c r="AS20" i="85"/>
  <c r="AT20" i="85"/>
  <c r="AU20" i="85"/>
  <c r="AV20" i="85"/>
  <c r="AW20" i="85"/>
  <c r="L21" i="85"/>
  <c r="M21" i="85"/>
  <c r="N21" i="85"/>
  <c r="O21" i="85"/>
  <c r="P21" i="85"/>
  <c r="Q21" i="85"/>
  <c r="R21" i="85"/>
  <c r="S21" i="85"/>
  <c r="T21" i="85"/>
  <c r="U21" i="85"/>
  <c r="V21" i="85"/>
  <c r="W21" i="85"/>
  <c r="X21" i="85"/>
  <c r="Y21" i="85"/>
  <c r="Z21" i="85"/>
  <c r="AA21" i="85"/>
  <c r="AB21" i="85"/>
  <c r="AC21" i="85"/>
  <c r="AD21" i="85"/>
  <c r="AE21" i="85"/>
  <c r="AF21" i="85"/>
  <c r="AG21" i="85"/>
  <c r="AH21" i="85"/>
  <c r="AI21" i="85"/>
  <c r="AJ21" i="85"/>
  <c r="AK21" i="85"/>
  <c r="AL21" i="85"/>
  <c r="AM21" i="85"/>
  <c r="AN21" i="85"/>
  <c r="AO21" i="85"/>
  <c r="AP21" i="85"/>
  <c r="AQ21" i="85"/>
  <c r="AR21" i="85"/>
  <c r="AS21" i="85"/>
  <c r="AT21" i="85"/>
  <c r="AU21" i="85"/>
  <c r="AV21" i="85"/>
  <c r="AW21" i="85"/>
  <c r="L22" i="85"/>
  <c r="M22" i="85"/>
  <c r="N22" i="85"/>
  <c r="O22" i="85"/>
  <c r="P22" i="85"/>
  <c r="Q22" i="85"/>
  <c r="R22" i="85"/>
  <c r="S22" i="85"/>
  <c r="T22" i="85"/>
  <c r="U22" i="85"/>
  <c r="V22" i="85"/>
  <c r="W22" i="85"/>
  <c r="X22" i="85"/>
  <c r="Y22" i="85"/>
  <c r="Z22" i="85"/>
  <c r="AA22" i="85"/>
  <c r="AB22" i="85"/>
  <c r="AC22" i="85"/>
  <c r="AD22" i="85"/>
  <c r="AE22" i="85"/>
  <c r="AF22" i="85"/>
  <c r="AG22" i="85"/>
  <c r="AH22" i="85"/>
  <c r="AI22" i="85"/>
  <c r="AJ22" i="85"/>
  <c r="AK22" i="85"/>
  <c r="AL22" i="85"/>
  <c r="AM22" i="85"/>
  <c r="AN22" i="85"/>
  <c r="AO22" i="85"/>
  <c r="AP22" i="85"/>
  <c r="AQ22" i="85"/>
  <c r="AR22" i="85"/>
  <c r="AS22" i="85"/>
  <c r="AT22" i="85"/>
  <c r="AU22" i="85"/>
  <c r="AV22" i="85"/>
  <c r="AW22" i="85"/>
  <c r="L23" i="85"/>
  <c r="M23" i="85"/>
  <c r="N23" i="85"/>
  <c r="O23" i="85"/>
  <c r="P23" i="85"/>
  <c r="Q23" i="85"/>
  <c r="R23" i="85"/>
  <c r="S23" i="85"/>
  <c r="T23" i="85"/>
  <c r="U23" i="85"/>
  <c r="V23" i="85"/>
  <c r="W23" i="85"/>
  <c r="X23" i="85"/>
  <c r="Y23" i="85"/>
  <c r="Z23" i="85"/>
  <c r="AA23" i="85"/>
  <c r="AB23" i="85"/>
  <c r="AC23" i="85"/>
  <c r="AD23" i="85"/>
  <c r="AE23" i="85"/>
  <c r="AF23" i="85"/>
  <c r="AG23" i="85"/>
  <c r="AH23" i="85"/>
  <c r="AI23" i="85"/>
  <c r="AJ23" i="85"/>
  <c r="AK23" i="85"/>
  <c r="AL23" i="85"/>
  <c r="AM23" i="85"/>
  <c r="AN23" i="85"/>
  <c r="AO23" i="85"/>
  <c r="AP23" i="85"/>
  <c r="AQ23" i="85"/>
  <c r="AR23" i="85"/>
  <c r="AS23" i="85"/>
  <c r="AT23" i="85"/>
  <c r="AU23" i="85"/>
  <c r="AV23" i="85"/>
  <c r="AW23" i="85"/>
  <c r="L24" i="85"/>
  <c r="M24" i="85"/>
  <c r="N24" i="85"/>
  <c r="O24" i="85"/>
  <c r="P24" i="85"/>
  <c r="Q24" i="85"/>
  <c r="R24" i="85"/>
  <c r="S24" i="85"/>
  <c r="T24" i="85"/>
  <c r="U24" i="85"/>
  <c r="V24" i="85"/>
  <c r="W24" i="85"/>
  <c r="X24" i="85"/>
  <c r="Y24" i="85"/>
  <c r="Z24" i="85"/>
  <c r="AA24" i="85"/>
  <c r="AB24" i="85"/>
  <c r="AC24" i="85"/>
  <c r="AD24" i="85"/>
  <c r="AE24" i="85"/>
  <c r="AF24" i="85"/>
  <c r="AG24" i="85"/>
  <c r="AH24" i="85"/>
  <c r="AI24" i="85"/>
  <c r="AJ24" i="85"/>
  <c r="AK24" i="85"/>
  <c r="AL24" i="85"/>
  <c r="AM24" i="85"/>
  <c r="AN24" i="85"/>
  <c r="AO24" i="85"/>
  <c r="AP24" i="85"/>
  <c r="AQ24" i="85"/>
  <c r="AR24" i="85"/>
  <c r="AS24" i="85"/>
  <c r="AT24" i="85"/>
  <c r="AU24" i="85"/>
  <c r="AV24" i="85"/>
  <c r="AW24" i="85"/>
  <c r="L25" i="85"/>
  <c r="M25" i="85"/>
  <c r="N25" i="85"/>
  <c r="O25" i="85"/>
  <c r="P25" i="85"/>
  <c r="Q25" i="85"/>
  <c r="R25" i="85"/>
  <c r="S25" i="85"/>
  <c r="T25" i="85"/>
  <c r="U25" i="85"/>
  <c r="V25" i="85"/>
  <c r="W25" i="85"/>
  <c r="X25" i="85"/>
  <c r="Y25" i="85"/>
  <c r="Z25" i="85"/>
  <c r="AA25" i="85"/>
  <c r="AB25" i="85"/>
  <c r="AC25" i="85"/>
  <c r="AD25" i="85"/>
  <c r="AE25" i="85"/>
  <c r="AF25" i="85"/>
  <c r="AG25" i="85"/>
  <c r="AH25" i="85"/>
  <c r="AI25" i="85"/>
  <c r="AJ25" i="85"/>
  <c r="AK25" i="85"/>
  <c r="AL25" i="85"/>
  <c r="AM25" i="85"/>
  <c r="AN25" i="85"/>
  <c r="AO25" i="85"/>
  <c r="AP25" i="85"/>
  <c r="AQ25" i="85"/>
  <c r="AR25" i="85"/>
  <c r="AS25" i="85"/>
  <c r="AT25" i="85"/>
  <c r="AU25" i="85"/>
  <c r="AV25" i="85"/>
  <c r="AW25" i="85"/>
  <c r="L26" i="85"/>
  <c r="M26" i="85"/>
  <c r="N26" i="85"/>
  <c r="O26" i="85"/>
  <c r="P26" i="85"/>
  <c r="Q26" i="85"/>
  <c r="R26" i="85"/>
  <c r="S26" i="85"/>
  <c r="T26" i="85"/>
  <c r="U26" i="85"/>
  <c r="V26" i="85"/>
  <c r="W26" i="85"/>
  <c r="X26" i="85"/>
  <c r="Y26" i="85"/>
  <c r="Z26" i="85"/>
  <c r="AA26" i="85"/>
  <c r="AB26" i="85"/>
  <c r="AC26" i="85"/>
  <c r="AD26" i="85"/>
  <c r="AE26" i="85"/>
  <c r="AF26" i="85"/>
  <c r="AG26" i="85"/>
  <c r="AH26" i="85"/>
  <c r="AI26" i="85"/>
  <c r="AJ26" i="85"/>
  <c r="AK26" i="85"/>
  <c r="AL26" i="85"/>
  <c r="AM26" i="85"/>
  <c r="AN26" i="85"/>
  <c r="AO26" i="85"/>
  <c r="AP26" i="85"/>
  <c r="AQ26" i="85"/>
  <c r="AR26" i="85"/>
  <c r="AS26" i="85"/>
  <c r="AT26" i="85"/>
  <c r="AU26" i="85"/>
  <c r="AV26" i="85"/>
  <c r="AW26" i="85"/>
  <c r="L27" i="85"/>
  <c r="M27" i="85"/>
  <c r="N27" i="85"/>
  <c r="O27" i="85"/>
  <c r="P27" i="85"/>
  <c r="Q27" i="85"/>
  <c r="R27" i="85"/>
  <c r="S27" i="85"/>
  <c r="T27" i="85"/>
  <c r="U27" i="85"/>
  <c r="V27" i="85"/>
  <c r="W27" i="85"/>
  <c r="X27" i="85"/>
  <c r="Y27" i="85"/>
  <c r="Z27" i="85"/>
  <c r="AA27" i="85"/>
  <c r="AB27" i="85"/>
  <c r="AC27" i="85"/>
  <c r="AD27" i="85"/>
  <c r="AE27" i="85"/>
  <c r="AF27" i="85"/>
  <c r="AG27" i="85"/>
  <c r="AH27" i="85"/>
  <c r="AI27" i="85"/>
  <c r="AJ27" i="85"/>
  <c r="AK27" i="85"/>
  <c r="AL27" i="85"/>
  <c r="AM27" i="85"/>
  <c r="AN27" i="85"/>
  <c r="AO27" i="85"/>
  <c r="AP27" i="85"/>
  <c r="AQ27" i="85"/>
  <c r="AR27" i="85"/>
  <c r="AS27" i="85"/>
  <c r="AT27" i="85"/>
  <c r="AU27" i="85"/>
  <c r="AV27" i="85"/>
  <c r="AW27" i="85"/>
  <c r="L28" i="85"/>
  <c r="M28" i="85"/>
  <c r="N28" i="85"/>
  <c r="O28" i="85"/>
  <c r="P28" i="85"/>
  <c r="Q28" i="85"/>
  <c r="R28" i="85"/>
  <c r="S28" i="85"/>
  <c r="T28" i="85"/>
  <c r="U28" i="85"/>
  <c r="V28" i="85"/>
  <c r="W28" i="85"/>
  <c r="X28" i="85"/>
  <c r="Y28" i="85"/>
  <c r="Z28" i="85"/>
  <c r="AA28" i="85"/>
  <c r="AB28" i="85"/>
  <c r="AC28" i="85"/>
  <c r="AD28" i="85"/>
  <c r="AE28" i="85"/>
  <c r="AF28" i="85"/>
  <c r="AG28" i="85"/>
  <c r="AH28" i="85"/>
  <c r="AI28" i="85"/>
  <c r="AJ28" i="85"/>
  <c r="AK28" i="85"/>
  <c r="AL28" i="85"/>
  <c r="AM28" i="85"/>
  <c r="AN28" i="85"/>
  <c r="AO28" i="85"/>
  <c r="AP28" i="85"/>
  <c r="AQ28" i="85"/>
  <c r="AR28" i="85"/>
  <c r="AS28" i="85"/>
  <c r="AT28" i="85"/>
  <c r="AU28" i="85"/>
  <c r="AV28" i="85"/>
  <c r="AW28" i="85"/>
  <c r="L29" i="85"/>
  <c r="M29" i="85"/>
  <c r="N29" i="85"/>
  <c r="O29" i="85"/>
  <c r="P29" i="85"/>
  <c r="Q29" i="85"/>
  <c r="R29" i="85"/>
  <c r="S29" i="85"/>
  <c r="T29" i="85"/>
  <c r="U29" i="85"/>
  <c r="V29" i="85"/>
  <c r="W29" i="85"/>
  <c r="X29" i="85"/>
  <c r="Y29" i="85"/>
  <c r="Z29" i="85"/>
  <c r="AA29" i="85"/>
  <c r="AB29" i="85"/>
  <c r="AC29" i="85"/>
  <c r="AD29" i="85"/>
  <c r="AE29" i="85"/>
  <c r="AF29" i="85"/>
  <c r="AG29" i="85"/>
  <c r="AH29" i="85"/>
  <c r="AI29" i="85"/>
  <c r="AJ29" i="85"/>
  <c r="AK29" i="85"/>
  <c r="AL29" i="85"/>
  <c r="AM29" i="85"/>
  <c r="AN29" i="85"/>
  <c r="AO29" i="85"/>
  <c r="AP29" i="85"/>
  <c r="AQ29" i="85"/>
  <c r="AR29" i="85"/>
  <c r="AS29" i="85"/>
  <c r="AT29" i="85"/>
  <c r="AU29" i="85"/>
  <c r="AV29" i="85"/>
  <c r="AW29" i="85"/>
  <c r="L30" i="85"/>
  <c r="M30" i="85"/>
  <c r="N30" i="85"/>
  <c r="O30" i="85"/>
  <c r="P30" i="85"/>
  <c r="Q30" i="85"/>
  <c r="R30" i="85"/>
  <c r="S30" i="85"/>
  <c r="T30" i="85"/>
  <c r="U30" i="85"/>
  <c r="V30" i="85"/>
  <c r="W30" i="85"/>
  <c r="X30" i="85"/>
  <c r="Y30" i="85"/>
  <c r="Z30" i="85"/>
  <c r="AA30" i="85"/>
  <c r="AB30" i="85"/>
  <c r="AC30" i="85"/>
  <c r="AD30" i="85"/>
  <c r="AE30" i="85"/>
  <c r="AF30" i="85"/>
  <c r="AG30" i="85"/>
  <c r="AH30" i="85"/>
  <c r="AI30" i="85"/>
  <c r="AJ30" i="85"/>
  <c r="AK30" i="85"/>
  <c r="AL30" i="85"/>
  <c r="AM30" i="85"/>
  <c r="AN30" i="85"/>
  <c r="AO30" i="85"/>
  <c r="AP30" i="85"/>
  <c r="AQ30" i="85"/>
  <c r="AR30" i="85"/>
  <c r="AS30" i="85"/>
  <c r="AT30" i="85"/>
  <c r="AU30" i="85"/>
  <c r="AV30" i="85"/>
  <c r="AW30" i="85"/>
  <c r="L31" i="85"/>
  <c r="M31" i="85"/>
  <c r="N31" i="85"/>
  <c r="O31" i="85"/>
  <c r="P31" i="85"/>
  <c r="Q31" i="85"/>
  <c r="R31" i="85"/>
  <c r="S31" i="85"/>
  <c r="T31" i="85"/>
  <c r="U31" i="85"/>
  <c r="V31" i="85"/>
  <c r="W31" i="85"/>
  <c r="X31" i="85"/>
  <c r="Y31" i="85"/>
  <c r="Z31" i="85"/>
  <c r="AA31" i="85"/>
  <c r="AB31" i="85"/>
  <c r="AC31" i="85"/>
  <c r="AD31" i="85"/>
  <c r="AE31" i="85"/>
  <c r="AF31" i="85"/>
  <c r="AG31" i="85"/>
  <c r="AH31" i="85"/>
  <c r="AI31" i="85"/>
  <c r="AJ31" i="85"/>
  <c r="AK31" i="85"/>
  <c r="AL31" i="85"/>
  <c r="AM31" i="85"/>
  <c r="AN31" i="85"/>
  <c r="AO31" i="85"/>
  <c r="AP31" i="85"/>
  <c r="AQ31" i="85"/>
  <c r="AR31" i="85"/>
  <c r="AS31" i="85"/>
  <c r="AT31" i="85"/>
  <c r="AU31" i="85"/>
  <c r="AV31" i="85"/>
  <c r="AW31" i="85"/>
  <c r="L32" i="85"/>
  <c r="M32" i="85"/>
  <c r="N32" i="85"/>
  <c r="O32" i="85"/>
  <c r="P32" i="85"/>
  <c r="Q32" i="85"/>
  <c r="R32" i="85"/>
  <c r="S32" i="85"/>
  <c r="T32" i="85"/>
  <c r="U32" i="85"/>
  <c r="V32" i="85"/>
  <c r="W32" i="85"/>
  <c r="X32" i="85"/>
  <c r="Y32" i="85"/>
  <c r="Z32" i="85"/>
  <c r="AA32" i="85"/>
  <c r="AB32" i="85"/>
  <c r="AC32" i="85"/>
  <c r="AD32" i="85"/>
  <c r="AE32" i="85"/>
  <c r="AF32" i="85"/>
  <c r="AG32" i="85"/>
  <c r="AH32" i="85"/>
  <c r="AI32" i="85"/>
  <c r="AJ32" i="85"/>
  <c r="AK32" i="85"/>
  <c r="AL32" i="85"/>
  <c r="AM32" i="85"/>
  <c r="AN32" i="85"/>
  <c r="AO32" i="85"/>
  <c r="AP32" i="85"/>
  <c r="AQ32" i="85"/>
  <c r="AR32" i="85"/>
  <c r="AS32" i="85"/>
  <c r="AT32" i="85"/>
  <c r="AU32" i="85"/>
  <c r="AV32" i="85"/>
  <c r="AW32" i="85"/>
  <c r="L33" i="85"/>
  <c r="M33" i="85"/>
  <c r="N33" i="85"/>
  <c r="O33" i="85"/>
  <c r="P33" i="85"/>
  <c r="Q33" i="85"/>
  <c r="R33" i="85"/>
  <c r="S33" i="85"/>
  <c r="T33" i="85"/>
  <c r="U33" i="85"/>
  <c r="V33" i="85"/>
  <c r="W33" i="85"/>
  <c r="X33" i="85"/>
  <c r="Y33" i="85"/>
  <c r="Z33" i="85"/>
  <c r="AA33" i="85"/>
  <c r="AB33" i="85"/>
  <c r="AC33" i="85"/>
  <c r="AD33" i="85"/>
  <c r="AE33" i="85"/>
  <c r="AF33" i="85"/>
  <c r="AG33" i="85"/>
  <c r="AH33" i="85"/>
  <c r="AI33" i="85"/>
  <c r="AJ33" i="85"/>
  <c r="AK33" i="85"/>
  <c r="AL33" i="85"/>
  <c r="AM33" i="85"/>
  <c r="AN33" i="85"/>
  <c r="AO33" i="85"/>
  <c r="AP33" i="85"/>
  <c r="AQ33" i="85"/>
  <c r="AR33" i="85"/>
  <c r="AS33" i="85"/>
  <c r="AT33" i="85"/>
  <c r="AU33" i="85"/>
  <c r="AV33" i="85"/>
  <c r="AW33" i="85"/>
  <c r="L34" i="85"/>
  <c r="M34" i="85"/>
  <c r="N34" i="85"/>
  <c r="O34" i="85"/>
  <c r="P34" i="85"/>
  <c r="Q34" i="85"/>
  <c r="R34" i="85"/>
  <c r="S34" i="85"/>
  <c r="T34" i="85"/>
  <c r="U34" i="85"/>
  <c r="V34" i="85"/>
  <c r="W34" i="85"/>
  <c r="X34" i="85"/>
  <c r="Y34" i="85"/>
  <c r="Z34" i="85"/>
  <c r="AA34" i="85"/>
  <c r="AB34" i="85"/>
  <c r="AC34" i="85"/>
  <c r="AD34" i="85"/>
  <c r="AE34" i="85"/>
  <c r="AF34" i="85"/>
  <c r="AG34" i="85"/>
  <c r="AH34" i="85"/>
  <c r="AI34" i="85"/>
  <c r="AJ34" i="85"/>
  <c r="AK34" i="85"/>
  <c r="AL34" i="85"/>
  <c r="AM34" i="85"/>
  <c r="AN34" i="85"/>
  <c r="AO34" i="85"/>
  <c r="AP34" i="85"/>
  <c r="AQ34" i="85"/>
  <c r="AR34" i="85"/>
  <c r="AS34" i="85"/>
  <c r="AT34" i="85"/>
  <c r="AU34" i="85"/>
  <c r="AV34" i="85"/>
  <c r="AW34" i="85"/>
  <c r="L35" i="85"/>
  <c r="M35" i="85"/>
  <c r="N35" i="85"/>
  <c r="O35" i="85"/>
  <c r="P35" i="85"/>
  <c r="Q35" i="85"/>
  <c r="R35" i="85"/>
  <c r="S35" i="85"/>
  <c r="T35" i="85"/>
  <c r="U35" i="85"/>
  <c r="V35" i="85"/>
  <c r="W35" i="85"/>
  <c r="X35" i="85"/>
  <c r="Y35" i="85"/>
  <c r="Z35" i="85"/>
  <c r="AA35" i="85"/>
  <c r="AB35" i="85"/>
  <c r="AC35" i="85"/>
  <c r="AD35" i="85"/>
  <c r="AE35" i="85"/>
  <c r="AF35" i="85"/>
  <c r="AG35" i="85"/>
  <c r="AH35" i="85"/>
  <c r="AI35" i="85"/>
  <c r="AJ35" i="85"/>
  <c r="AK35" i="85"/>
  <c r="AL35" i="85"/>
  <c r="AM35" i="85"/>
  <c r="AN35" i="85"/>
  <c r="AO35" i="85"/>
  <c r="AP35" i="85"/>
  <c r="AQ35" i="85"/>
  <c r="AR35" i="85"/>
  <c r="AS35" i="85"/>
  <c r="AT35" i="85"/>
  <c r="AU35" i="85"/>
  <c r="AV35" i="85"/>
  <c r="AW35" i="85"/>
  <c r="L36" i="85"/>
  <c r="M36" i="85"/>
  <c r="N36" i="85"/>
  <c r="O36" i="85"/>
  <c r="P36" i="85"/>
  <c r="Q36" i="85"/>
  <c r="R36" i="85"/>
  <c r="S36" i="85"/>
  <c r="T36" i="85"/>
  <c r="U36" i="85"/>
  <c r="V36" i="85"/>
  <c r="W36" i="85"/>
  <c r="X36" i="85"/>
  <c r="Y36" i="85"/>
  <c r="Z36" i="85"/>
  <c r="AA36" i="85"/>
  <c r="AB36" i="85"/>
  <c r="AC36" i="85"/>
  <c r="AD36" i="85"/>
  <c r="AE36" i="85"/>
  <c r="AF36" i="85"/>
  <c r="AG36" i="85"/>
  <c r="AH36" i="85"/>
  <c r="AI36" i="85"/>
  <c r="AJ36" i="85"/>
  <c r="AK36" i="85"/>
  <c r="AL36" i="85"/>
  <c r="AM36" i="85"/>
  <c r="AN36" i="85"/>
  <c r="AO36" i="85"/>
  <c r="AP36" i="85"/>
  <c r="AQ36" i="85"/>
  <c r="AR36" i="85"/>
  <c r="AS36" i="85"/>
  <c r="AT36" i="85"/>
  <c r="AU36" i="85"/>
  <c r="AV36" i="85"/>
  <c r="AW36" i="85"/>
  <c r="L37" i="85"/>
  <c r="M37" i="85"/>
  <c r="N37" i="85"/>
  <c r="O37" i="85"/>
  <c r="P37" i="85"/>
  <c r="Q37" i="85"/>
  <c r="R37" i="85"/>
  <c r="S37" i="85"/>
  <c r="T37" i="85"/>
  <c r="U37" i="85"/>
  <c r="V37" i="85"/>
  <c r="W37" i="85"/>
  <c r="X37" i="85"/>
  <c r="Y37" i="85"/>
  <c r="Z37" i="85"/>
  <c r="AA37" i="85"/>
  <c r="AB37" i="85"/>
  <c r="AC37" i="85"/>
  <c r="AD37" i="85"/>
  <c r="AE37" i="85"/>
  <c r="AF37" i="85"/>
  <c r="AG37" i="85"/>
  <c r="AH37" i="85"/>
  <c r="AI37" i="85"/>
  <c r="AJ37" i="85"/>
  <c r="AK37" i="85"/>
  <c r="AL37" i="85"/>
  <c r="AM37" i="85"/>
  <c r="AN37" i="85"/>
  <c r="AO37" i="85"/>
  <c r="AP37" i="85"/>
  <c r="AQ37" i="85"/>
  <c r="AR37" i="85"/>
  <c r="AS37" i="85"/>
  <c r="AT37" i="85"/>
  <c r="AU37" i="85"/>
  <c r="AV37" i="85"/>
  <c r="AW37" i="85"/>
  <c r="L38" i="85"/>
  <c r="M38" i="85"/>
  <c r="N38" i="85"/>
  <c r="O38" i="85"/>
  <c r="P38" i="85"/>
  <c r="Q38" i="85"/>
  <c r="R38" i="85"/>
  <c r="S38" i="85"/>
  <c r="T38" i="85"/>
  <c r="U38" i="85"/>
  <c r="V38" i="85"/>
  <c r="W38" i="85"/>
  <c r="X38" i="85"/>
  <c r="Y38" i="85"/>
  <c r="Z38" i="85"/>
  <c r="AA38" i="85"/>
  <c r="AB38" i="85"/>
  <c r="AC38" i="85"/>
  <c r="AD38" i="85"/>
  <c r="AE38" i="85"/>
  <c r="AF38" i="85"/>
  <c r="AG38" i="85"/>
  <c r="AH38" i="85"/>
  <c r="AI38" i="85"/>
  <c r="AJ38" i="85"/>
  <c r="AK38" i="85"/>
  <c r="AL38" i="85"/>
  <c r="AM38" i="85"/>
  <c r="AN38" i="85"/>
  <c r="AO38" i="85"/>
  <c r="AP38" i="85"/>
  <c r="AQ38" i="85"/>
  <c r="AR38" i="85"/>
  <c r="AS38" i="85"/>
  <c r="AT38" i="85"/>
  <c r="AU38" i="85"/>
  <c r="AV38" i="85"/>
  <c r="AW38" i="85"/>
  <c r="L39" i="85"/>
  <c r="M39" i="85"/>
  <c r="N39" i="85"/>
  <c r="O39" i="85"/>
  <c r="P39" i="85"/>
  <c r="Q39" i="85"/>
  <c r="R39" i="85"/>
  <c r="S39" i="85"/>
  <c r="T39" i="85"/>
  <c r="U39" i="85"/>
  <c r="V39" i="85"/>
  <c r="W39" i="85"/>
  <c r="X39" i="85"/>
  <c r="Y39" i="85"/>
  <c r="Z39" i="85"/>
  <c r="AA39" i="85"/>
  <c r="AB39" i="85"/>
  <c r="AC39" i="85"/>
  <c r="AD39" i="85"/>
  <c r="AE39" i="85"/>
  <c r="AF39" i="85"/>
  <c r="AG39" i="85"/>
  <c r="AH39" i="85"/>
  <c r="AI39" i="85"/>
  <c r="AJ39" i="85"/>
  <c r="AK39" i="85"/>
  <c r="AL39" i="85"/>
  <c r="AM39" i="85"/>
  <c r="AN39" i="85"/>
  <c r="AO39" i="85"/>
  <c r="AP39" i="85"/>
  <c r="AQ39" i="85"/>
  <c r="AR39" i="85"/>
  <c r="AS39" i="85"/>
  <c r="AT39" i="85"/>
  <c r="AU39" i="85"/>
  <c r="AV39" i="85"/>
  <c r="AW39" i="85"/>
  <c r="L40" i="85"/>
  <c r="M40" i="85"/>
  <c r="N40" i="85"/>
  <c r="O40" i="85"/>
  <c r="P40" i="85"/>
  <c r="Q40" i="85"/>
  <c r="R40" i="85"/>
  <c r="S40" i="85"/>
  <c r="T40" i="85"/>
  <c r="U40" i="85"/>
  <c r="V40" i="85"/>
  <c r="W40" i="85"/>
  <c r="X40" i="85"/>
  <c r="Y40" i="85"/>
  <c r="Z40" i="85"/>
  <c r="AA40" i="85"/>
  <c r="AB40" i="85"/>
  <c r="AC40" i="85"/>
  <c r="AD40" i="85"/>
  <c r="AE40" i="85"/>
  <c r="AF40" i="85"/>
  <c r="AG40" i="85"/>
  <c r="AH40" i="85"/>
  <c r="AI40" i="85"/>
  <c r="AJ40" i="85"/>
  <c r="AK40" i="85"/>
  <c r="AL40" i="85"/>
  <c r="AM40" i="85"/>
  <c r="AN40" i="85"/>
  <c r="AO40" i="85"/>
  <c r="AP40" i="85"/>
  <c r="AQ40" i="85"/>
  <c r="AR40" i="85"/>
  <c r="AS40" i="85"/>
  <c r="AT40" i="85"/>
  <c r="AU40" i="85"/>
  <c r="AV40" i="85"/>
  <c r="AW40" i="85"/>
  <c r="L41" i="85"/>
  <c r="M41" i="85"/>
  <c r="N41" i="85"/>
  <c r="O41" i="85"/>
  <c r="P41" i="85"/>
  <c r="Q41" i="85"/>
  <c r="R41" i="85"/>
  <c r="S41" i="85"/>
  <c r="T41" i="85"/>
  <c r="U41" i="85"/>
  <c r="V41" i="85"/>
  <c r="W41" i="85"/>
  <c r="X41" i="85"/>
  <c r="Y41" i="85"/>
  <c r="Z41" i="85"/>
  <c r="AA41" i="85"/>
  <c r="AB41" i="85"/>
  <c r="AC41" i="85"/>
  <c r="AD41" i="85"/>
  <c r="AE41" i="85"/>
  <c r="AF41" i="85"/>
  <c r="AG41" i="85"/>
  <c r="AH41" i="85"/>
  <c r="AI41" i="85"/>
  <c r="AJ41" i="85"/>
  <c r="AK41" i="85"/>
  <c r="AL41" i="85"/>
  <c r="AM41" i="85"/>
  <c r="AN41" i="85"/>
  <c r="AO41" i="85"/>
  <c r="AP41" i="85"/>
  <c r="AQ41" i="85"/>
  <c r="AR41" i="85"/>
  <c r="AS41" i="85"/>
  <c r="AT41" i="85"/>
  <c r="AU41" i="85"/>
  <c r="AV41" i="85"/>
  <c r="AW41" i="85"/>
  <c r="L42" i="85"/>
  <c r="M42" i="85"/>
  <c r="N42" i="85"/>
  <c r="O42" i="85"/>
  <c r="P42" i="85"/>
  <c r="Q42" i="85"/>
  <c r="R42" i="85"/>
  <c r="S42" i="85"/>
  <c r="T42" i="85"/>
  <c r="U42" i="85"/>
  <c r="V42" i="85"/>
  <c r="W42" i="85"/>
  <c r="X42" i="85"/>
  <c r="Y42" i="85"/>
  <c r="Z42" i="85"/>
  <c r="AA42" i="85"/>
  <c r="AB42" i="85"/>
  <c r="AC42" i="85"/>
  <c r="AD42" i="85"/>
  <c r="AE42" i="85"/>
  <c r="AF42" i="85"/>
  <c r="AG42" i="85"/>
  <c r="AH42" i="85"/>
  <c r="AI42" i="85"/>
  <c r="AJ42" i="85"/>
  <c r="AK42" i="85"/>
  <c r="AL42" i="85"/>
  <c r="AM42" i="85"/>
  <c r="AN42" i="85"/>
  <c r="AO42" i="85"/>
  <c r="AP42" i="85"/>
  <c r="AQ42" i="85"/>
  <c r="AR42" i="85"/>
  <c r="AS42" i="85"/>
  <c r="AT42" i="85"/>
  <c r="AU42" i="85"/>
  <c r="AV42" i="85"/>
  <c r="AW42" i="85"/>
  <c r="L43" i="85"/>
  <c r="M43" i="85"/>
  <c r="N43" i="85"/>
  <c r="O43" i="85"/>
  <c r="P43" i="85"/>
  <c r="Q43" i="85"/>
  <c r="R43" i="85"/>
  <c r="S43" i="85"/>
  <c r="T43" i="85"/>
  <c r="U43" i="85"/>
  <c r="V43" i="85"/>
  <c r="W43" i="85"/>
  <c r="X43" i="85"/>
  <c r="Y43" i="85"/>
  <c r="Z43" i="85"/>
  <c r="AA43" i="85"/>
  <c r="AB43" i="85"/>
  <c r="AC43" i="85"/>
  <c r="AD43" i="85"/>
  <c r="AE43" i="85"/>
  <c r="AF43" i="85"/>
  <c r="AG43" i="85"/>
  <c r="AH43" i="85"/>
  <c r="AI43" i="85"/>
  <c r="AJ43" i="85"/>
  <c r="AK43" i="85"/>
  <c r="AL43" i="85"/>
  <c r="AM43" i="85"/>
  <c r="AN43" i="85"/>
  <c r="AO43" i="85"/>
  <c r="AP43" i="85"/>
  <c r="AQ43" i="85"/>
  <c r="AR43" i="85"/>
  <c r="AS43" i="85"/>
  <c r="AT43" i="85"/>
  <c r="AU43" i="85"/>
  <c r="AV43" i="85"/>
  <c r="AW43" i="85"/>
  <c r="L44" i="85"/>
  <c r="M44" i="85"/>
  <c r="N44" i="85"/>
  <c r="O44" i="85"/>
  <c r="P44" i="85"/>
  <c r="Q44" i="85"/>
  <c r="R44" i="85"/>
  <c r="S44" i="85"/>
  <c r="T44" i="85"/>
  <c r="U44" i="85"/>
  <c r="V44" i="85"/>
  <c r="W44" i="85"/>
  <c r="X44" i="85"/>
  <c r="Y44" i="85"/>
  <c r="Z44" i="85"/>
  <c r="AA44" i="85"/>
  <c r="AB44" i="85"/>
  <c r="AC44" i="85"/>
  <c r="AD44" i="85"/>
  <c r="AE44" i="85"/>
  <c r="AF44" i="85"/>
  <c r="AG44" i="85"/>
  <c r="AH44" i="85"/>
  <c r="AI44" i="85"/>
  <c r="AJ44" i="85"/>
  <c r="AK44" i="85"/>
  <c r="AL44" i="85"/>
  <c r="AM44" i="85"/>
  <c r="AN44" i="85"/>
  <c r="AO44" i="85"/>
  <c r="AP44" i="85"/>
  <c r="AQ44" i="85"/>
  <c r="AR44" i="85"/>
  <c r="AS44" i="85"/>
  <c r="AT44" i="85"/>
  <c r="AU44" i="85"/>
  <c r="AV44" i="85"/>
  <c r="AW44" i="85"/>
  <c r="L45" i="85"/>
  <c r="M45" i="85"/>
  <c r="N45" i="85"/>
  <c r="O45" i="85"/>
  <c r="P45" i="85"/>
  <c r="Q45" i="85"/>
  <c r="R45" i="85"/>
  <c r="S45" i="85"/>
  <c r="T45" i="85"/>
  <c r="U45" i="85"/>
  <c r="V45" i="85"/>
  <c r="W45" i="85"/>
  <c r="X45" i="85"/>
  <c r="Y45" i="85"/>
  <c r="Z45" i="85"/>
  <c r="AA45" i="85"/>
  <c r="AB45" i="85"/>
  <c r="AC45" i="85"/>
  <c r="AD45" i="85"/>
  <c r="AE45" i="85"/>
  <c r="AF45" i="85"/>
  <c r="AG45" i="85"/>
  <c r="AH45" i="85"/>
  <c r="AI45" i="85"/>
  <c r="AJ45" i="85"/>
  <c r="AK45" i="85"/>
  <c r="AL45" i="85"/>
  <c r="AM45" i="85"/>
  <c r="AN45" i="85"/>
  <c r="AO45" i="85"/>
  <c r="AP45" i="85"/>
  <c r="AQ45" i="85"/>
  <c r="AR45" i="85"/>
  <c r="AS45" i="85"/>
  <c r="AT45" i="85"/>
  <c r="AU45" i="85"/>
  <c r="AV45" i="85"/>
  <c r="AW45" i="85"/>
  <c r="L46" i="85"/>
  <c r="M46" i="85"/>
  <c r="N46" i="85"/>
  <c r="O46" i="85"/>
  <c r="P46" i="85"/>
  <c r="Q46" i="85"/>
  <c r="R46" i="85"/>
  <c r="S46" i="85"/>
  <c r="T46" i="85"/>
  <c r="U46" i="85"/>
  <c r="V46" i="85"/>
  <c r="W46" i="85"/>
  <c r="X46" i="85"/>
  <c r="Y46" i="85"/>
  <c r="Z46" i="85"/>
  <c r="AA46" i="85"/>
  <c r="AB46" i="85"/>
  <c r="AC46" i="85"/>
  <c r="AD46" i="85"/>
  <c r="AE46" i="85"/>
  <c r="AF46" i="85"/>
  <c r="AG46" i="85"/>
  <c r="AH46" i="85"/>
  <c r="AI46" i="85"/>
  <c r="AJ46" i="85"/>
  <c r="AK46" i="85"/>
  <c r="AL46" i="85"/>
  <c r="AM46" i="85"/>
  <c r="AN46" i="85"/>
  <c r="AO46" i="85"/>
  <c r="AP46" i="85"/>
  <c r="AQ46" i="85"/>
  <c r="AR46" i="85"/>
  <c r="AS46" i="85"/>
  <c r="AT46" i="85"/>
  <c r="AU46" i="85"/>
  <c r="AV46" i="85"/>
  <c r="AW46" i="85"/>
  <c r="L47" i="85"/>
  <c r="M47" i="85"/>
  <c r="N47" i="85"/>
  <c r="O47" i="85"/>
  <c r="P47" i="85"/>
  <c r="Q47" i="85"/>
  <c r="R47" i="85"/>
  <c r="S47" i="85"/>
  <c r="T47" i="85"/>
  <c r="U47" i="85"/>
  <c r="V47" i="85"/>
  <c r="W47" i="85"/>
  <c r="X47" i="85"/>
  <c r="Y47" i="85"/>
  <c r="Z47" i="85"/>
  <c r="AA47" i="85"/>
  <c r="AB47" i="85"/>
  <c r="AC47" i="85"/>
  <c r="AD47" i="85"/>
  <c r="AE47" i="85"/>
  <c r="AF47" i="85"/>
  <c r="AG47" i="85"/>
  <c r="AH47" i="85"/>
  <c r="AI47" i="85"/>
  <c r="AJ47" i="85"/>
  <c r="AK47" i="85"/>
  <c r="AL47" i="85"/>
  <c r="AM47" i="85"/>
  <c r="AN47" i="85"/>
  <c r="AO47" i="85"/>
  <c r="AP47" i="85"/>
  <c r="AQ47" i="85"/>
  <c r="AR47" i="85"/>
  <c r="AS47" i="85"/>
  <c r="AT47" i="85"/>
  <c r="AU47" i="85"/>
  <c r="AV47" i="85"/>
  <c r="AW47" i="85"/>
  <c r="L48" i="85"/>
  <c r="M48" i="85"/>
  <c r="N48" i="85"/>
  <c r="O48" i="85"/>
  <c r="P48" i="85"/>
  <c r="Q48" i="85"/>
  <c r="R48" i="85"/>
  <c r="S48" i="85"/>
  <c r="T48" i="85"/>
  <c r="U48" i="85"/>
  <c r="V48" i="85"/>
  <c r="W48" i="85"/>
  <c r="X48" i="85"/>
  <c r="Y48" i="85"/>
  <c r="Z48" i="85"/>
  <c r="AA48" i="85"/>
  <c r="AB48" i="85"/>
  <c r="AC48" i="85"/>
  <c r="AD48" i="85"/>
  <c r="AE48" i="85"/>
  <c r="AF48" i="85"/>
  <c r="AG48" i="85"/>
  <c r="AH48" i="85"/>
  <c r="AI48" i="85"/>
  <c r="AJ48" i="85"/>
  <c r="AK48" i="85"/>
  <c r="AL48" i="85"/>
  <c r="AM48" i="85"/>
  <c r="AN48" i="85"/>
  <c r="AO48" i="85"/>
  <c r="AP48" i="85"/>
  <c r="AQ48" i="85"/>
  <c r="AR48" i="85"/>
  <c r="AS48" i="85"/>
  <c r="AT48" i="85"/>
  <c r="AU48" i="85"/>
  <c r="AV48" i="85"/>
  <c r="AW48" i="85"/>
  <c r="L49" i="85"/>
  <c r="M49" i="85"/>
  <c r="N49" i="85"/>
  <c r="O49" i="85"/>
  <c r="P49" i="85"/>
  <c r="Q49" i="85"/>
  <c r="R49" i="85"/>
  <c r="S49" i="85"/>
  <c r="T49" i="85"/>
  <c r="U49" i="85"/>
  <c r="V49" i="85"/>
  <c r="W49" i="85"/>
  <c r="X49" i="85"/>
  <c r="Y49" i="85"/>
  <c r="Z49" i="85"/>
  <c r="AA49" i="85"/>
  <c r="AB49" i="85"/>
  <c r="AC49" i="85"/>
  <c r="AD49" i="85"/>
  <c r="AE49" i="85"/>
  <c r="AF49" i="85"/>
  <c r="AG49" i="85"/>
  <c r="AH49" i="85"/>
  <c r="AI49" i="85"/>
  <c r="AJ49" i="85"/>
  <c r="AK49" i="85"/>
  <c r="AL49" i="85"/>
  <c r="AM49" i="85"/>
  <c r="AN49" i="85"/>
  <c r="AO49" i="85"/>
  <c r="AP49" i="85"/>
  <c r="AQ49" i="85"/>
  <c r="AR49" i="85"/>
  <c r="AS49" i="85"/>
  <c r="AT49" i="85"/>
  <c r="AU49" i="85"/>
  <c r="AV49" i="85"/>
  <c r="AW49" i="85"/>
  <c r="L50" i="85"/>
  <c r="M50" i="85"/>
  <c r="N50" i="85"/>
  <c r="O50" i="85"/>
  <c r="P50" i="85"/>
  <c r="Q50" i="85"/>
  <c r="R50" i="85"/>
  <c r="S50" i="85"/>
  <c r="T50" i="85"/>
  <c r="U50" i="85"/>
  <c r="V50" i="85"/>
  <c r="W50" i="85"/>
  <c r="X50" i="85"/>
  <c r="Y50" i="85"/>
  <c r="Z50" i="85"/>
  <c r="AA50" i="85"/>
  <c r="AB50" i="85"/>
  <c r="AC50" i="85"/>
  <c r="AD50" i="85"/>
  <c r="AE50" i="85"/>
  <c r="AF50" i="85"/>
  <c r="AG50" i="85"/>
  <c r="AH50" i="85"/>
  <c r="AI50" i="85"/>
  <c r="AJ50" i="85"/>
  <c r="AK50" i="85"/>
  <c r="AL50" i="85"/>
  <c r="AM50" i="85"/>
  <c r="AN50" i="85"/>
  <c r="AO50" i="85"/>
  <c r="AP50" i="85"/>
  <c r="AQ50" i="85"/>
  <c r="AR50" i="85"/>
  <c r="AS50" i="85"/>
  <c r="AT50" i="85"/>
  <c r="AU50" i="85"/>
  <c r="AV50" i="85"/>
  <c r="AW50" i="85"/>
  <c r="L51" i="85"/>
  <c r="M51" i="85"/>
  <c r="N51" i="85"/>
  <c r="O51" i="85"/>
  <c r="P51" i="85"/>
  <c r="Q51" i="85"/>
  <c r="R51" i="85"/>
  <c r="S51" i="85"/>
  <c r="T51" i="85"/>
  <c r="U51" i="85"/>
  <c r="V51" i="85"/>
  <c r="W51" i="85"/>
  <c r="X51" i="85"/>
  <c r="Y51" i="85"/>
  <c r="Z51" i="85"/>
  <c r="AA51" i="85"/>
  <c r="AB51" i="85"/>
  <c r="AC51" i="85"/>
  <c r="AD51" i="85"/>
  <c r="AE51" i="85"/>
  <c r="AF51" i="85"/>
  <c r="AG51" i="85"/>
  <c r="AH51" i="85"/>
  <c r="AI51" i="85"/>
  <c r="AJ51" i="85"/>
  <c r="AK51" i="85"/>
  <c r="AL51" i="85"/>
  <c r="AM51" i="85"/>
  <c r="AN51" i="85"/>
  <c r="AO51" i="85"/>
  <c r="AP51" i="85"/>
  <c r="AQ51" i="85"/>
  <c r="AR51" i="85"/>
  <c r="AS51" i="85"/>
  <c r="AT51" i="85"/>
  <c r="AU51" i="85"/>
  <c r="AV51" i="85"/>
  <c r="AW51" i="85"/>
  <c r="L52" i="85"/>
  <c r="M52" i="85"/>
  <c r="N52" i="85"/>
  <c r="O52" i="85"/>
  <c r="P52" i="85"/>
  <c r="Q52" i="85"/>
  <c r="R52" i="85"/>
  <c r="S52" i="85"/>
  <c r="T52" i="85"/>
  <c r="U52" i="85"/>
  <c r="V52" i="85"/>
  <c r="W52" i="85"/>
  <c r="X52" i="85"/>
  <c r="Y52" i="85"/>
  <c r="Z52" i="85"/>
  <c r="AA52" i="85"/>
  <c r="AB52" i="85"/>
  <c r="AC52" i="85"/>
  <c r="AD52" i="85"/>
  <c r="AE52" i="85"/>
  <c r="AF52" i="85"/>
  <c r="AG52" i="85"/>
  <c r="AH52" i="85"/>
  <c r="AI52" i="85"/>
  <c r="AJ52" i="85"/>
  <c r="AK52" i="85"/>
  <c r="AL52" i="85"/>
  <c r="AM52" i="85"/>
  <c r="AN52" i="85"/>
  <c r="AO52" i="85"/>
  <c r="AP52" i="85"/>
  <c r="AQ52" i="85"/>
  <c r="AR52" i="85"/>
  <c r="AS52" i="85"/>
  <c r="AT52" i="85"/>
  <c r="AU52" i="85"/>
  <c r="AV52" i="85"/>
  <c r="AW52" i="85"/>
  <c r="L53" i="85"/>
  <c r="M53" i="85"/>
  <c r="N53" i="85"/>
  <c r="O53" i="85"/>
  <c r="P53" i="85"/>
  <c r="Q53" i="85"/>
  <c r="R53" i="85"/>
  <c r="S53" i="85"/>
  <c r="T53" i="85"/>
  <c r="U53" i="85"/>
  <c r="V53" i="85"/>
  <c r="W53" i="85"/>
  <c r="X53" i="85"/>
  <c r="Y53" i="85"/>
  <c r="Z53" i="85"/>
  <c r="AA53" i="85"/>
  <c r="AB53" i="85"/>
  <c r="AC53" i="85"/>
  <c r="AD53" i="85"/>
  <c r="AE53" i="85"/>
  <c r="AF53" i="85"/>
  <c r="AG53" i="85"/>
  <c r="AH53" i="85"/>
  <c r="AI53" i="85"/>
  <c r="AJ53" i="85"/>
  <c r="AK53" i="85"/>
  <c r="AL53" i="85"/>
  <c r="AM53" i="85"/>
  <c r="AN53" i="85"/>
  <c r="AO53" i="85"/>
  <c r="AP53" i="85"/>
  <c r="AQ53" i="85"/>
  <c r="AR53" i="85"/>
  <c r="AS53" i="85"/>
  <c r="AT53" i="85"/>
  <c r="AU53" i="85"/>
  <c r="AV53" i="85"/>
  <c r="AW53" i="85"/>
  <c r="L54" i="85"/>
  <c r="M54" i="85"/>
  <c r="N54" i="85"/>
  <c r="O54" i="85"/>
  <c r="P54" i="85"/>
  <c r="Q54" i="85"/>
  <c r="R54" i="85"/>
  <c r="S54" i="85"/>
  <c r="T54" i="85"/>
  <c r="U54" i="85"/>
  <c r="V54" i="85"/>
  <c r="W54" i="85"/>
  <c r="X54" i="85"/>
  <c r="Y54" i="85"/>
  <c r="Z54" i="85"/>
  <c r="AA54" i="85"/>
  <c r="AB54" i="85"/>
  <c r="AC54" i="85"/>
  <c r="AD54" i="85"/>
  <c r="AE54" i="85"/>
  <c r="AF54" i="85"/>
  <c r="AG54" i="85"/>
  <c r="AH54" i="85"/>
  <c r="AI54" i="85"/>
  <c r="AJ54" i="85"/>
  <c r="AK54" i="85"/>
  <c r="AL54" i="85"/>
  <c r="AM54" i="85"/>
  <c r="AN54" i="85"/>
  <c r="AO54" i="85"/>
  <c r="AP54" i="85"/>
  <c r="AQ54" i="85"/>
  <c r="AR54" i="85"/>
  <c r="AS54" i="85"/>
  <c r="AT54" i="85"/>
  <c r="AU54" i="85"/>
  <c r="AV54" i="85"/>
  <c r="AW54" i="85"/>
  <c r="L55" i="85"/>
  <c r="M55" i="85"/>
  <c r="N55" i="85"/>
  <c r="O55" i="85"/>
  <c r="P55" i="85"/>
  <c r="Q55" i="85"/>
  <c r="R55" i="85"/>
  <c r="S55" i="85"/>
  <c r="T55" i="85"/>
  <c r="U55" i="85"/>
  <c r="V55" i="85"/>
  <c r="W55" i="85"/>
  <c r="X55" i="85"/>
  <c r="Y55" i="85"/>
  <c r="Z55" i="85"/>
  <c r="AA55" i="85"/>
  <c r="AB55" i="85"/>
  <c r="AC55" i="85"/>
  <c r="AD55" i="85"/>
  <c r="AE55" i="85"/>
  <c r="AF55" i="85"/>
  <c r="AG55" i="85"/>
  <c r="AH55" i="85"/>
  <c r="AI55" i="85"/>
  <c r="AJ55" i="85"/>
  <c r="AK55" i="85"/>
  <c r="AL55" i="85"/>
  <c r="AM55" i="85"/>
  <c r="AN55" i="85"/>
  <c r="AO55" i="85"/>
  <c r="AP55" i="85"/>
  <c r="AQ55" i="85"/>
  <c r="AR55" i="85"/>
  <c r="AS55" i="85"/>
  <c r="AT55" i="85"/>
  <c r="AU55" i="85"/>
  <c r="AV55" i="85"/>
  <c r="AW55" i="85"/>
  <c r="L56" i="85"/>
  <c r="M56" i="85"/>
  <c r="N56" i="85"/>
  <c r="O56" i="85"/>
  <c r="P56" i="85"/>
  <c r="Q56" i="85"/>
  <c r="R56" i="85"/>
  <c r="S56" i="85"/>
  <c r="T56" i="85"/>
  <c r="U56" i="85"/>
  <c r="V56" i="85"/>
  <c r="W56" i="85"/>
  <c r="X56" i="85"/>
  <c r="Y56" i="85"/>
  <c r="Z56" i="85"/>
  <c r="AA56" i="85"/>
  <c r="AB56" i="85"/>
  <c r="AC56" i="85"/>
  <c r="AD56" i="85"/>
  <c r="AE56" i="85"/>
  <c r="AF56" i="85"/>
  <c r="AG56" i="85"/>
  <c r="AH56" i="85"/>
  <c r="AI56" i="85"/>
  <c r="AJ56" i="85"/>
  <c r="AK56" i="85"/>
  <c r="AL56" i="85"/>
  <c r="AM56" i="85"/>
  <c r="AN56" i="85"/>
  <c r="AO56" i="85"/>
  <c r="AP56" i="85"/>
  <c r="AQ56" i="85"/>
  <c r="AR56" i="85"/>
  <c r="AS56" i="85"/>
  <c r="AT56" i="85"/>
  <c r="AU56" i="85"/>
  <c r="AV56" i="85"/>
  <c r="AW56" i="85"/>
  <c r="L57" i="85"/>
  <c r="M57" i="85"/>
  <c r="N57" i="85"/>
  <c r="O57" i="85"/>
  <c r="P57" i="85"/>
  <c r="Q57" i="85"/>
  <c r="R57" i="85"/>
  <c r="S57" i="85"/>
  <c r="T57" i="85"/>
  <c r="U57" i="85"/>
  <c r="V57" i="85"/>
  <c r="W57" i="85"/>
  <c r="X57" i="85"/>
  <c r="Y57" i="85"/>
  <c r="Z57" i="85"/>
  <c r="AA57" i="85"/>
  <c r="AB57" i="85"/>
  <c r="AC57" i="85"/>
  <c r="AD57" i="85"/>
  <c r="AE57" i="85"/>
  <c r="AF57" i="85"/>
  <c r="AG57" i="85"/>
  <c r="AH57" i="85"/>
  <c r="AI57" i="85"/>
  <c r="AJ57" i="85"/>
  <c r="AK57" i="85"/>
  <c r="AL57" i="85"/>
  <c r="AM57" i="85"/>
  <c r="AN57" i="85"/>
  <c r="AO57" i="85"/>
  <c r="AP57" i="85"/>
  <c r="AQ57" i="85"/>
  <c r="AR57" i="85"/>
  <c r="AS57" i="85"/>
  <c r="AT57" i="85"/>
  <c r="AU57" i="85"/>
  <c r="AV57" i="85"/>
  <c r="AW57" i="85"/>
  <c r="L58" i="85"/>
  <c r="M58" i="85"/>
  <c r="N58" i="85"/>
  <c r="O58" i="85"/>
  <c r="P58" i="85"/>
  <c r="Q58" i="85"/>
  <c r="R58" i="85"/>
  <c r="S58" i="85"/>
  <c r="T58" i="85"/>
  <c r="U58" i="85"/>
  <c r="V58" i="85"/>
  <c r="W58" i="85"/>
  <c r="X58" i="85"/>
  <c r="Y58" i="85"/>
  <c r="Z58" i="85"/>
  <c r="AA58" i="85"/>
  <c r="AB58" i="85"/>
  <c r="AC58" i="85"/>
  <c r="AD58" i="85"/>
  <c r="AE58" i="85"/>
  <c r="AF58" i="85"/>
  <c r="AG58" i="85"/>
  <c r="AH58" i="85"/>
  <c r="AI58" i="85"/>
  <c r="AJ58" i="85"/>
  <c r="AK58" i="85"/>
  <c r="AL58" i="85"/>
  <c r="AM58" i="85"/>
  <c r="AN58" i="85"/>
  <c r="AO58" i="85"/>
  <c r="AP58" i="85"/>
  <c r="AQ58" i="85"/>
  <c r="AR58" i="85"/>
  <c r="AS58" i="85"/>
  <c r="AT58" i="85"/>
  <c r="AU58" i="85"/>
  <c r="AV58" i="85"/>
  <c r="AW58" i="85"/>
  <c r="L59" i="85"/>
  <c r="M59" i="85"/>
  <c r="N59" i="85"/>
  <c r="O59" i="85"/>
  <c r="P59" i="85"/>
  <c r="Q59" i="85"/>
  <c r="R59" i="85"/>
  <c r="S59" i="85"/>
  <c r="T59" i="85"/>
  <c r="U59" i="85"/>
  <c r="V59" i="85"/>
  <c r="W59" i="85"/>
  <c r="X59" i="85"/>
  <c r="Y59" i="85"/>
  <c r="Z59" i="85"/>
  <c r="AA59" i="85"/>
  <c r="AB59" i="85"/>
  <c r="AC59" i="85"/>
  <c r="AD59" i="85"/>
  <c r="AE59" i="85"/>
  <c r="AF59" i="85"/>
  <c r="AG59" i="85"/>
  <c r="AH59" i="85"/>
  <c r="AI59" i="85"/>
  <c r="AJ59" i="85"/>
  <c r="AK59" i="85"/>
  <c r="AL59" i="85"/>
  <c r="AM59" i="85"/>
  <c r="AN59" i="85"/>
  <c r="AO59" i="85"/>
  <c r="AP59" i="85"/>
  <c r="AQ59" i="85"/>
  <c r="AR59" i="85"/>
  <c r="AS59" i="85"/>
  <c r="AT59" i="85"/>
  <c r="AU59" i="85"/>
  <c r="AV59" i="85"/>
  <c r="AW59" i="85"/>
  <c r="L60" i="85"/>
  <c r="M60" i="85"/>
  <c r="N60" i="85"/>
  <c r="O60" i="85"/>
  <c r="P60" i="85"/>
  <c r="Q60" i="85"/>
  <c r="R60" i="85"/>
  <c r="S60" i="85"/>
  <c r="T60" i="85"/>
  <c r="U60" i="85"/>
  <c r="V60" i="85"/>
  <c r="W60" i="85"/>
  <c r="X60" i="85"/>
  <c r="Y60" i="85"/>
  <c r="Z60" i="85"/>
  <c r="AA60" i="85"/>
  <c r="AB60" i="85"/>
  <c r="AC60" i="85"/>
  <c r="AD60" i="85"/>
  <c r="AE60" i="85"/>
  <c r="AF60" i="85"/>
  <c r="AG60" i="85"/>
  <c r="AH60" i="85"/>
  <c r="AI60" i="85"/>
  <c r="AJ60" i="85"/>
  <c r="AK60" i="85"/>
  <c r="AL60" i="85"/>
  <c r="AM60" i="85"/>
  <c r="AN60" i="85"/>
  <c r="AO60" i="85"/>
  <c r="AP60" i="85"/>
  <c r="AQ60" i="85"/>
  <c r="AR60" i="85"/>
  <c r="AS60" i="85"/>
  <c r="AT60" i="85"/>
  <c r="AU60" i="85"/>
  <c r="AV60" i="85"/>
  <c r="AW60" i="85"/>
  <c r="L61" i="85"/>
  <c r="M61" i="85"/>
  <c r="N61" i="85"/>
  <c r="O61" i="85"/>
  <c r="P61" i="85"/>
  <c r="Q61" i="85"/>
  <c r="R61" i="85"/>
  <c r="S61" i="85"/>
  <c r="T61" i="85"/>
  <c r="U61" i="85"/>
  <c r="V61" i="85"/>
  <c r="W61" i="85"/>
  <c r="X61" i="85"/>
  <c r="Y61" i="85"/>
  <c r="Z61" i="85"/>
  <c r="AA61" i="85"/>
  <c r="AB61" i="85"/>
  <c r="AC61" i="85"/>
  <c r="AD61" i="85"/>
  <c r="AE61" i="85"/>
  <c r="AF61" i="85"/>
  <c r="AG61" i="85"/>
  <c r="AH61" i="85"/>
  <c r="AI61" i="85"/>
  <c r="AJ61" i="85"/>
  <c r="AK61" i="85"/>
  <c r="AL61" i="85"/>
  <c r="AM61" i="85"/>
  <c r="AN61" i="85"/>
  <c r="AO61" i="85"/>
  <c r="AP61" i="85"/>
  <c r="AQ61" i="85"/>
  <c r="AR61" i="85"/>
  <c r="AS61" i="85"/>
  <c r="AT61" i="85"/>
  <c r="AU61" i="85"/>
  <c r="AV61" i="85"/>
  <c r="AW61" i="85"/>
  <c r="L62" i="85"/>
  <c r="M62" i="85"/>
  <c r="N62" i="85"/>
  <c r="O62" i="85"/>
  <c r="P62" i="85"/>
  <c r="Q62" i="85"/>
  <c r="R62" i="85"/>
  <c r="S62" i="85"/>
  <c r="T62" i="85"/>
  <c r="U62" i="85"/>
  <c r="V62" i="85"/>
  <c r="W62" i="85"/>
  <c r="X62" i="85"/>
  <c r="Y62" i="85"/>
  <c r="Z62" i="85"/>
  <c r="AA62" i="85"/>
  <c r="AB62" i="85"/>
  <c r="AC62" i="85"/>
  <c r="AD62" i="85"/>
  <c r="AE62" i="85"/>
  <c r="AF62" i="85"/>
  <c r="AG62" i="85"/>
  <c r="AH62" i="85"/>
  <c r="AI62" i="85"/>
  <c r="AJ62" i="85"/>
  <c r="AK62" i="85"/>
  <c r="AL62" i="85"/>
  <c r="AM62" i="85"/>
  <c r="AN62" i="85"/>
  <c r="AO62" i="85"/>
  <c r="AP62" i="85"/>
  <c r="AQ62" i="85"/>
  <c r="AR62" i="85"/>
  <c r="AS62" i="85"/>
  <c r="AT62" i="85"/>
  <c r="AU62" i="85"/>
  <c r="AV62" i="85"/>
  <c r="AW62" i="85"/>
  <c r="L63" i="85"/>
  <c r="M63" i="85"/>
  <c r="N63" i="85"/>
  <c r="O63" i="85"/>
  <c r="P63" i="85"/>
  <c r="Q63" i="85"/>
  <c r="R63" i="85"/>
  <c r="S63" i="85"/>
  <c r="T63" i="85"/>
  <c r="U63" i="85"/>
  <c r="V63" i="85"/>
  <c r="W63" i="85"/>
  <c r="X63" i="85"/>
  <c r="Y63" i="85"/>
  <c r="Z63" i="85"/>
  <c r="AA63" i="85"/>
  <c r="AB63" i="85"/>
  <c r="AC63" i="85"/>
  <c r="AD63" i="85"/>
  <c r="AE63" i="85"/>
  <c r="AF63" i="85"/>
  <c r="AG63" i="85"/>
  <c r="AH63" i="85"/>
  <c r="AI63" i="85"/>
  <c r="AJ63" i="85"/>
  <c r="AK63" i="85"/>
  <c r="AL63" i="85"/>
  <c r="AM63" i="85"/>
  <c r="AN63" i="85"/>
  <c r="AO63" i="85"/>
  <c r="AP63" i="85"/>
  <c r="AQ63" i="85"/>
  <c r="AR63" i="85"/>
  <c r="AS63" i="85"/>
  <c r="AT63" i="85"/>
  <c r="AU63" i="85"/>
  <c r="AV63" i="85"/>
  <c r="AW63" i="85"/>
  <c r="L64" i="85"/>
  <c r="M64" i="85"/>
  <c r="N64" i="85"/>
  <c r="O64" i="85"/>
  <c r="P64" i="85"/>
  <c r="Q64" i="85"/>
  <c r="R64" i="85"/>
  <c r="S64" i="85"/>
  <c r="T64" i="85"/>
  <c r="U64" i="85"/>
  <c r="V64" i="85"/>
  <c r="W64" i="85"/>
  <c r="X64" i="85"/>
  <c r="Y64" i="85"/>
  <c r="Z64" i="85"/>
  <c r="AA64" i="85"/>
  <c r="AB64" i="85"/>
  <c r="AC64" i="85"/>
  <c r="AD64" i="85"/>
  <c r="AE64" i="85"/>
  <c r="AF64" i="85"/>
  <c r="AG64" i="85"/>
  <c r="AH64" i="85"/>
  <c r="AI64" i="85"/>
  <c r="AJ64" i="85"/>
  <c r="AK64" i="85"/>
  <c r="AL64" i="85"/>
  <c r="AM64" i="85"/>
  <c r="AN64" i="85"/>
  <c r="AO64" i="85"/>
  <c r="AP64" i="85"/>
  <c r="AQ64" i="85"/>
  <c r="AR64" i="85"/>
  <c r="AS64" i="85"/>
  <c r="AT64" i="85"/>
  <c r="AU64" i="85"/>
  <c r="AV64" i="85"/>
  <c r="AW64" i="85"/>
  <c r="L65" i="85"/>
  <c r="M65" i="85"/>
  <c r="N65" i="85"/>
  <c r="O65" i="85"/>
  <c r="P65" i="85"/>
  <c r="Q65" i="85"/>
  <c r="R65" i="85"/>
  <c r="S65" i="85"/>
  <c r="T65" i="85"/>
  <c r="U65" i="85"/>
  <c r="V65" i="85"/>
  <c r="W65" i="85"/>
  <c r="X65" i="85"/>
  <c r="Y65" i="85"/>
  <c r="Z65" i="85"/>
  <c r="AA65" i="85"/>
  <c r="AB65" i="85"/>
  <c r="AC65" i="85"/>
  <c r="AD65" i="85"/>
  <c r="AE65" i="85"/>
  <c r="AF65" i="85"/>
  <c r="AG65" i="85"/>
  <c r="AH65" i="85"/>
  <c r="AI65" i="85"/>
  <c r="AJ65" i="85"/>
  <c r="AK65" i="85"/>
  <c r="AL65" i="85"/>
  <c r="AM65" i="85"/>
  <c r="AN65" i="85"/>
  <c r="AO65" i="85"/>
  <c r="AP65" i="85"/>
  <c r="AQ65" i="85"/>
  <c r="AR65" i="85"/>
  <c r="AS65" i="85"/>
  <c r="AT65" i="85"/>
  <c r="AU65" i="85"/>
  <c r="AV65" i="85"/>
  <c r="AW65" i="85"/>
  <c r="L66" i="85"/>
  <c r="M66" i="85"/>
  <c r="N66" i="85"/>
  <c r="O66" i="85"/>
  <c r="P66" i="85"/>
  <c r="Q66" i="85"/>
  <c r="R66" i="85"/>
  <c r="S66" i="85"/>
  <c r="T66" i="85"/>
  <c r="U66" i="85"/>
  <c r="V66" i="85"/>
  <c r="W66" i="85"/>
  <c r="X66" i="85"/>
  <c r="Y66" i="85"/>
  <c r="Z66" i="85"/>
  <c r="AA66" i="85"/>
  <c r="AB66" i="85"/>
  <c r="AC66" i="85"/>
  <c r="AD66" i="85"/>
  <c r="AE66" i="85"/>
  <c r="AF66" i="85"/>
  <c r="AG66" i="85"/>
  <c r="AH66" i="85"/>
  <c r="AI66" i="85"/>
  <c r="AJ66" i="85"/>
  <c r="AK66" i="85"/>
  <c r="AL66" i="85"/>
  <c r="AM66" i="85"/>
  <c r="AN66" i="85"/>
  <c r="AO66" i="85"/>
  <c r="AP66" i="85"/>
  <c r="AQ66" i="85"/>
  <c r="AR66" i="85"/>
  <c r="AS66" i="85"/>
  <c r="AT66" i="85"/>
  <c r="AU66" i="85"/>
  <c r="AV66" i="85"/>
  <c r="AW66" i="85"/>
  <c r="L67" i="85"/>
  <c r="M67" i="85"/>
  <c r="N67" i="85"/>
  <c r="O67" i="85"/>
  <c r="P67" i="85"/>
  <c r="Q67" i="85"/>
  <c r="R67" i="85"/>
  <c r="S67" i="85"/>
  <c r="T67" i="85"/>
  <c r="U67" i="85"/>
  <c r="V67" i="85"/>
  <c r="W67" i="85"/>
  <c r="X67" i="85"/>
  <c r="Y67" i="85"/>
  <c r="Z67" i="85"/>
  <c r="AA67" i="85"/>
  <c r="AB67" i="85"/>
  <c r="AC67" i="85"/>
  <c r="AD67" i="85"/>
  <c r="AE67" i="85"/>
  <c r="AF67" i="85"/>
  <c r="AG67" i="85"/>
  <c r="AH67" i="85"/>
  <c r="AI67" i="85"/>
  <c r="AJ67" i="85"/>
  <c r="AK67" i="85"/>
  <c r="AL67" i="85"/>
  <c r="AM67" i="85"/>
  <c r="AN67" i="85"/>
  <c r="AO67" i="85"/>
  <c r="AP67" i="85"/>
  <c r="AQ67" i="85"/>
  <c r="AR67" i="85"/>
  <c r="AS67" i="85"/>
  <c r="AT67" i="85"/>
  <c r="AU67" i="85"/>
  <c r="AV67" i="85"/>
  <c r="AW67" i="85"/>
  <c r="L68" i="85"/>
  <c r="M68" i="85"/>
  <c r="N68" i="85"/>
  <c r="O68" i="85"/>
  <c r="P68" i="85"/>
  <c r="Q68" i="85"/>
  <c r="R68" i="85"/>
  <c r="S68" i="85"/>
  <c r="T68" i="85"/>
  <c r="U68" i="85"/>
  <c r="V68" i="85"/>
  <c r="W68" i="85"/>
  <c r="X68" i="85"/>
  <c r="Y68" i="85"/>
  <c r="Z68" i="85"/>
  <c r="AA68" i="85"/>
  <c r="AB68" i="85"/>
  <c r="AC68" i="85"/>
  <c r="AD68" i="85"/>
  <c r="AE68" i="85"/>
  <c r="AF68" i="85"/>
  <c r="AG68" i="85"/>
  <c r="AH68" i="85"/>
  <c r="AI68" i="85"/>
  <c r="AJ68" i="85"/>
  <c r="AK68" i="85"/>
  <c r="AL68" i="85"/>
  <c r="AM68" i="85"/>
  <c r="AN68" i="85"/>
  <c r="AO68" i="85"/>
  <c r="AP68" i="85"/>
  <c r="AQ68" i="85"/>
  <c r="AR68" i="85"/>
  <c r="AS68" i="85"/>
  <c r="AT68" i="85"/>
  <c r="AU68" i="85"/>
  <c r="AV68" i="85"/>
  <c r="AW68" i="85"/>
  <c r="L69" i="85"/>
  <c r="M69" i="85"/>
  <c r="N69" i="85"/>
  <c r="O69" i="85"/>
  <c r="P69" i="85"/>
  <c r="Q69" i="85"/>
  <c r="R69" i="85"/>
  <c r="S69" i="85"/>
  <c r="T69" i="85"/>
  <c r="U69" i="85"/>
  <c r="V69" i="85"/>
  <c r="W69" i="85"/>
  <c r="X69" i="85"/>
  <c r="Y69" i="85"/>
  <c r="Z69" i="85"/>
  <c r="AA69" i="85"/>
  <c r="AB69" i="85"/>
  <c r="AC69" i="85"/>
  <c r="AD69" i="85"/>
  <c r="AE69" i="85"/>
  <c r="AF69" i="85"/>
  <c r="AG69" i="85"/>
  <c r="AH69" i="85"/>
  <c r="AI69" i="85"/>
  <c r="AJ69" i="85"/>
  <c r="AK69" i="85"/>
  <c r="AL69" i="85"/>
  <c r="AM69" i="85"/>
  <c r="AN69" i="85"/>
  <c r="AO69" i="85"/>
  <c r="AP69" i="85"/>
  <c r="AQ69" i="85"/>
  <c r="AR69" i="85"/>
  <c r="AS69" i="85"/>
  <c r="AT69" i="85"/>
  <c r="AU69" i="85"/>
  <c r="AV69" i="85"/>
  <c r="AW69" i="85"/>
  <c r="L70" i="85"/>
  <c r="M70" i="85"/>
  <c r="N70" i="85"/>
  <c r="O70" i="85"/>
  <c r="P70" i="85"/>
  <c r="Q70" i="85"/>
  <c r="R70" i="85"/>
  <c r="S70" i="85"/>
  <c r="T70" i="85"/>
  <c r="U70" i="85"/>
  <c r="V70" i="85"/>
  <c r="W70" i="85"/>
  <c r="X70" i="85"/>
  <c r="Y70" i="85"/>
  <c r="Z70" i="85"/>
  <c r="AA70" i="85"/>
  <c r="AB70" i="85"/>
  <c r="AC70" i="85"/>
  <c r="AD70" i="85"/>
  <c r="AE70" i="85"/>
  <c r="AF70" i="85"/>
  <c r="AG70" i="85"/>
  <c r="AH70" i="85"/>
  <c r="AI70" i="85"/>
  <c r="AJ70" i="85"/>
  <c r="AK70" i="85"/>
  <c r="AL70" i="85"/>
  <c r="AM70" i="85"/>
  <c r="AN70" i="85"/>
  <c r="AO70" i="85"/>
  <c r="AP70" i="85"/>
  <c r="AQ70" i="85"/>
  <c r="AR70" i="85"/>
  <c r="AS70" i="85"/>
  <c r="AT70" i="85"/>
  <c r="AU70" i="85"/>
  <c r="AV70" i="85"/>
  <c r="AW70" i="85"/>
  <c r="L71" i="85"/>
  <c r="M71" i="85"/>
  <c r="N71" i="85"/>
  <c r="O71" i="85"/>
  <c r="P71" i="85"/>
  <c r="Q71" i="85"/>
  <c r="R71" i="85"/>
  <c r="S71" i="85"/>
  <c r="T71" i="85"/>
  <c r="U71" i="85"/>
  <c r="V71" i="85"/>
  <c r="W71" i="85"/>
  <c r="X71" i="85"/>
  <c r="Y71" i="85"/>
  <c r="Z71" i="85"/>
  <c r="AA71" i="85"/>
  <c r="AB71" i="85"/>
  <c r="AC71" i="85"/>
  <c r="AD71" i="85"/>
  <c r="AE71" i="85"/>
  <c r="AF71" i="85"/>
  <c r="AG71" i="85"/>
  <c r="AH71" i="85"/>
  <c r="AI71" i="85"/>
  <c r="AJ71" i="85"/>
  <c r="AK71" i="85"/>
  <c r="AL71" i="85"/>
  <c r="AM71" i="85"/>
  <c r="AN71" i="85"/>
  <c r="AO71" i="85"/>
  <c r="AP71" i="85"/>
  <c r="AQ71" i="85"/>
  <c r="AR71" i="85"/>
  <c r="AS71" i="85"/>
  <c r="AT71" i="85"/>
  <c r="AU71" i="85"/>
  <c r="AV71" i="85"/>
  <c r="AW71" i="85"/>
  <c r="L72" i="85"/>
  <c r="M72" i="85"/>
  <c r="N72" i="85"/>
  <c r="O72" i="85"/>
  <c r="P72" i="85"/>
  <c r="Q72" i="85"/>
  <c r="R72" i="85"/>
  <c r="S72" i="85"/>
  <c r="T72" i="85"/>
  <c r="U72" i="85"/>
  <c r="V72" i="85"/>
  <c r="W72" i="85"/>
  <c r="X72" i="85"/>
  <c r="Y72" i="85"/>
  <c r="Z72" i="85"/>
  <c r="AA72" i="85"/>
  <c r="AB72" i="85"/>
  <c r="AC72" i="85"/>
  <c r="AD72" i="85"/>
  <c r="AE72" i="85"/>
  <c r="AF72" i="85"/>
  <c r="AG72" i="85"/>
  <c r="AH72" i="85"/>
  <c r="AI72" i="85"/>
  <c r="AJ72" i="85"/>
  <c r="AK72" i="85"/>
  <c r="AL72" i="85"/>
  <c r="AM72" i="85"/>
  <c r="AN72" i="85"/>
  <c r="AO72" i="85"/>
  <c r="AP72" i="85"/>
  <c r="AQ72" i="85"/>
  <c r="AR72" i="85"/>
  <c r="AS72" i="85"/>
  <c r="AT72" i="85"/>
  <c r="AU72" i="85"/>
  <c r="AV72" i="85"/>
  <c r="AW72" i="85"/>
  <c r="L73" i="85"/>
  <c r="M73" i="85"/>
  <c r="N73" i="85"/>
  <c r="O73" i="85"/>
  <c r="P73" i="85"/>
  <c r="Q73" i="85"/>
  <c r="R73" i="85"/>
  <c r="S73" i="85"/>
  <c r="T73" i="85"/>
  <c r="U73" i="85"/>
  <c r="V73" i="85"/>
  <c r="W73" i="85"/>
  <c r="X73" i="85"/>
  <c r="Y73" i="85"/>
  <c r="Z73" i="85"/>
  <c r="AA73" i="85"/>
  <c r="AB73" i="85"/>
  <c r="AC73" i="85"/>
  <c r="AD73" i="85"/>
  <c r="AE73" i="85"/>
  <c r="AF73" i="85"/>
  <c r="AG73" i="85"/>
  <c r="AH73" i="85"/>
  <c r="AI73" i="85"/>
  <c r="AJ73" i="85"/>
  <c r="AK73" i="85"/>
  <c r="AL73" i="85"/>
  <c r="AM73" i="85"/>
  <c r="AN73" i="85"/>
  <c r="AO73" i="85"/>
  <c r="AP73" i="85"/>
  <c r="AQ73" i="85"/>
  <c r="AR73" i="85"/>
  <c r="AS73" i="85"/>
  <c r="AT73" i="85"/>
  <c r="AU73" i="85"/>
  <c r="AV73" i="85"/>
  <c r="AW73" i="85"/>
  <c r="L74" i="85"/>
  <c r="M74" i="85"/>
  <c r="N74" i="85"/>
  <c r="O74" i="85"/>
  <c r="P74" i="85"/>
  <c r="Q74" i="85"/>
  <c r="R74" i="85"/>
  <c r="S74" i="85"/>
  <c r="T74" i="85"/>
  <c r="U74" i="85"/>
  <c r="V74" i="85"/>
  <c r="W74" i="85"/>
  <c r="X74" i="85"/>
  <c r="Y74" i="85"/>
  <c r="Z74" i="85"/>
  <c r="AA74" i="85"/>
  <c r="AB74" i="85"/>
  <c r="AC74" i="85"/>
  <c r="AD74" i="85"/>
  <c r="AE74" i="85"/>
  <c r="AF74" i="85"/>
  <c r="AG74" i="85"/>
  <c r="AH74" i="85"/>
  <c r="AI74" i="85"/>
  <c r="AJ74" i="85"/>
  <c r="AK74" i="85"/>
  <c r="AL74" i="85"/>
  <c r="AM74" i="85"/>
  <c r="AN74" i="85"/>
  <c r="AO74" i="85"/>
  <c r="AP74" i="85"/>
  <c r="AQ74" i="85"/>
  <c r="AR74" i="85"/>
  <c r="AS74" i="85"/>
  <c r="AT74" i="85"/>
  <c r="AU74" i="85"/>
  <c r="AV74" i="85"/>
  <c r="AW74" i="85"/>
  <c r="L75" i="85"/>
  <c r="M75" i="85"/>
  <c r="N75" i="85"/>
  <c r="O75" i="85"/>
  <c r="P75" i="85"/>
  <c r="Q75" i="85"/>
  <c r="R75" i="85"/>
  <c r="S75" i="85"/>
  <c r="T75" i="85"/>
  <c r="U75" i="85"/>
  <c r="V75" i="85"/>
  <c r="W75" i="85"/>
  <c r="X75" i="85"/>
  <c r="Y75" i="85"/>
  <c r="Z75" i="85"/>
  <c r="AA75" i="85"/>
  <c r="AB75" i="85"/>
  <c r="AC75" i="85"/>
  <c r="AD75" i="85"/>
  <c r="AE75" i="85"/>
  <c r="AF75" i="85"/>
  <c r="AG75" i="85"/>
  <c r="AH75" i="85"/>
  <c r="AI75" i="85"/>
  <c r="AJ75" i="85"/>
  <c r="AK75" i="85"/>
  <c r="AL75" i="85"/>
  <c r="AM75" i="85"/>
  <c r="AN75" i="85"/>
  <c r="AO75" i="85"/>
  <c r="AP75" i="85"/>
  <c r="AQ75" i="85"/>
  <c r="AR75" i="85"/>
  <c r="AS75" i="85"/>
  <c r="AT75" i="85"/>
  <c r="AU75" i="85"/>
  <c r="AV75" i="85"/>
  <c r="AW75" i="85"/>
  <c r="K5" i="85"/>
  <c r="K6" i="85"/>
  <c r="K7" i="85"/>
  <c r="K8" i="85"/>
  <c r="K9" i="85"/>
  <c r="K10" i="85"/>
  <c r="K11" i="85"/>
  <c r="K12" i="85"/>
  <c r="K13" i="85"/>
  <c r="K14" i="85"/>
  <c r="K15" i="85"/>
  <c r="K16" i="85"/>
  <c r="K17" i="85"/>
  <c r="K18" i="85"/>
  <c r="K19" i="85"/>
  <c r="K20" i="85"/>
  <c r="K21" i="85"/>
  <c r="K22" i="85"/>
  <c r="K23" i="85"/>
  <c r="K24" i="85"/>
  <c r="K25" i="85"/>
  <c r="K26" i="85"/>
  <c r="K27" i="85"/>
  <c r="K28" i="85"/>
  <c r="K29" i="85"/>
  <c r="K30" i="85"/>
  <c r="K31" i="85"/>
  <c r="K32" i="85"/>
  <c r="K33" i="85"/>
  <c r="K34" i="85"/>
  <c r="K35" i="85"/>
  <c r="K36" i="85"/>
  <c r="K37" i="85"/>
  <c r="K38" i="85"/>
  <c r="K39" i="85"/>
  <c r="K40" i="85"/>
  <c r="K41" i="85"/>
  <c r="K42" i="85"/>
  <c r="K43" i="85"/>
  <c r="K44" i="85"/>
  <c r="K45" i="85"/>
  <c r="K46" i="85"/>
  <c r="K47" i="85"/>
  <c r="K48" i="85"/>
  <c r="K49" i="85"/>
  <c r="K50" i="85"/>
  <c r="K51" i="85"/>
  <c r="K52" i="85"/>
  <c r="K53" i="85"/>
  <c r="K54" i="85"/>
  <c r="K55" i="85"/>
  <c r="K56" i="85"/>
  <c r="K57" i="85"/>
  <c r="K58" i="85"/>
  <c r="K59" i="85"/>
  <c r="K60" i="85"/>
  <c r="K61" i="85"/>
  <c r="K62" i="85"/>
  <c r="K63" i="85"/>
  <c r="K64" i="85"/>
  <c r="K65" i="85"/>
  <c r="K66" i="85"/>
  <c r="K67" i="85"/>
  <c r="K68" i="85"/>
  <c r="K69" i="85"/>
  <c r="K70" i="85"/>
  <c r="K71" i="85"/>
  <c r="K72" i="85"/>
  <c r="K73" i="85"/>
  <c r="K74" i="85"/>
  <c r="K75" i="85"/>
  <c r="K4" i="85"/>
  <c r="K3" i="85"/>
  <c r="L3" i="85"/>
  <c r="M3" i="85"/>
  <c r="N3" i="85"/>
  <c r="O3" i="85"/>
  <c r="P3" i="85"/>
  <c r="Q3" i="85"/>
  <c r="R3" i="85"/>
  <c r="S3" i="85"/>
  <c r="T3" i="85"/>
  <c r="U3" i="85"/>
  <c r="V3" i="85"/>
  <c r="W3" i="85"/>
  <c r="X3" i="85"/>
  <c r="Y3" i="85"/>
  <c r="Z3" i="85"/>
  <c r="AA3" i="85"/>
  <c r="AB3" i="85"/>
  <c r="AC3" i="85"/>
  <c r="AD3" i="85"/>
  <c r="AE3" i="85"/>
  <c r="AF3" i="85"/>
  <c r="AG3" i="85"/>
  <c r="AH3" i="85"/>
  <c r="AI3" i="85"/>
  <c r="AJ3" i="85"/>
  <c r="AK3" i="85"/>
  <c r="AL3" i="85"/>
  <c r="AM3" i="85"/>
  <c r="AN3" i="85"/>
  <c r="AO3" i="85"/>
  <c r="AP3" i="85"/>
  <c r="AQ3" i="85"/>
  <c r="AR3" i="85"/>
  <c r="AS3" i="85"/>
  <c r="AT3" i="85"/>
  <c r="AU3" i="85"/>
  <c r="AV3" i="85"/>
  <c r="AW3" i="85"/>
  <c r="AX3" i="85"/>
  <c r="AY3" i="85"/>
  <c r="J4" i="85"/>
  <c r="J5" i="85"/>
  <c r="J6" i="85"/>
  <c r="J7" i="85"/>
  <c r="J8" i="85"/>
  <c r="J9" i="85"/>
  <c r="J10" i="85"/>
  <c r="J11" i="85"/>
  <c r="J12" i="85"/>
  <c r="J13" i="85"/>
  <c r="J14" i="85"/>
  <c r="J15" i="85"/>
  <c r="J16" i="85"/>
  <c r="J17" i="85"/>
  <c r="J18" i="85"/>
  <c r="J19" i="85"/>
  <c r="J20" i="85"/>
  <c r="J21" i="85"/>
  <c r="J22" i="85"/>
  <c r="J23" i="85"/>
  <c r="J24" i="85"/>
  <c r="J25" i="85"/>
  <c r="J26" i="85"/>
  <c r="J27" i="85"/>
  <c r="J28" i="85"/>
  <c r="J29" i="85"/>
  <c r="J30" i="85"/>
  <c r="J31" i="85"/>
  <c r="J32" i="85"/>
  <c r="J33" i="85"/>
  <c r="J34" i="85"/>
  <c r="J35" i="85"/>
  <c r="J36" i="85"/>
  <c r="J37" i="85"/>
  <c r="J38" i="85"/>
  <c r="J39" i="85"/>
  <c r="J40" i="85"/>
  <c r="J41" i="85"/>
  <c r="J42" i="85"/>
  <c r="J43" i="85"/>
  <c r="J44" i="85"/>
  <c r="J45" i="85"/>
  <c r="J46" i="85"/>
  <c r="J47" i="85"/>
  <c r="J48" i="85"/>
  <c r="J49" i="85"/>
  <c r="J50" i="85"/>
  <c r="J51" i="85"/>
  <c r="J52" i="85"/>
  <c r="J53" i="85"/>
  <c r="J54" i="85"/>
  <c r="J55" i="85"/>
  <c r="J56" i="85"/>
  <c r="J57" i="85"/>
  <c r="J58" i="85"/>
  <c r="J59" i="85"/>
  <c r="J60" i="85"/>
  <c r="J61" i="85"/>
  <c r="J62" i="85"/>
  <c r="J63" i="85"/>
  <c r="J64" i="85"/>
  <c r="J65" i="85"/>
  <c r="J66" i="85"/>
  <c r="J67" i="85"/>
  <c r="J68" i="85"/>
  <c r="J69" i="85"/>
  <c r="J70" i="85"/>
  <c r="J71" i="85"/>
  <c r="J72" i="85"/>
  <c r="J73" i="85"/>
  <c r="J74" i="85"/>
  <c r="J75" i="85"/>
  <c r="I4" i="85"/>
  <c r="I5" i="85"/>
  <c r="I6" i="85"/>
  <c r="I7" i="85"/>
  <c r="I8" i="85"/>
  <c r="I9" i="85"/>
  <c r="I10" i="85"/>
  <c r="I11" i="85"/>
  <c r="I12" i="85"/>
  <c r="I13" i="85"/>
  <c r="I14" i="85"/>
  <c r="I15" i="85"/>
  <c r="I16" i="85"/>
  <c r="I17" i="85"/>
  <c r="I18" i="85"/>
  <c r="I19" i="85"/>
  <c r="I20" i="85"/>
  <c r="I21" i="85"/>
  <c r="I22" i="85"/>
  <c r="I23" i="85"/>
  <c r="I24" i="85"/>
  <c r="I25" i="85"/>
  <c r="I26" i="85"/>
  <c r="I27" i="85"/>
  <c r="I28" i="85"/>
  <c r="I29" i="85"/>
  <c r="I30" i="85"/>
  <c r="I31" i="85"/>
  <c r="I32" i="85"/>
  <c r="I33" i="85"/>
  <c r="I34" i="85"/>
  <c r="I35" i="85"/>
  <c r="I36" i="85"/>
  <c r="I37" i="85"/>
  <c r="I38" i="85"/>
  <c r="I39" i="85"/>
  <c r="I40" i="85"/>
  <c r="I41" i="85"/>
  <c r="I42" i="85"/>
  <c r="I43" i="85"/>
  <c r="I44" i="85"/>
  <c r="I45" i="85"/>
  <c r="I46" i="85"/>
  <c r="I47" i="85"/>
  <c r="I48" i="85"/>
  <c r="I49" i="85"/>
  <c r="I50" i="85"/>
  <c r="I51" i="85"/>
  <c r="I52" i="85"/>
  <c r="I53" i="85"/>
  <c r="I54" i="85"/>
  <c r="I55" i="85"/>
  <c r="I56" i="85"/>
  <c r="I57" i="85"/>
  <c r="I58" i="85"/>
  <c r="I59" i="85"/>
  <c r="I60" i="85"/>
  <c r="I61" i="85"/>
  <c r="I62" i="85"/>
  <c r="I63" i="85"/>
  <c r="I64" i="85"/>
  <c r="I65" i="85"/>
  <c r="I66" i="85"/>
  <c r="I67" i="85"/>
  <c r="I68" i="85"/>
  <c r="I69" i="85"/>
  <c r="I70" i="85"/>
  <c r="I71" i="85"/>
  <c r="I72" i="85"/>
  <c r="I73" i="85"/>
  <c r="I74" i="85"/>
  <c r="I75" i="85"/>
  <c r="J3" i="85"/>
  <c r="I3" i="85"/>
  <c r="K109" i="86" l="1"/>
  <c r="K105" i="86"/>
  <c r="K101" i="86"/>
  <c r="K97" i="86"/>
  <c r="K93" i="86"/>
  <c r="K89" i="86"/>
  <c r="K85" i="86"/>
  <c r="K81" i="86"/>
  <c r="K77" i="86"/>
  <c r="K73" i="86"/>
  <c r="K69" i="86"/>
  <c r="K65" i="86"/>
  <c r="K61" i="86"/>
  <c r="K57" i="86"/>
  <c r="K108" i="86"/>
  <c r="K104" i="86"/>
  <c r="K100" i="86"/>
  <c r="K96" i="86"/>
  <c r="K92" i="86"/>
  <c r="K88" i="86"/>
  <c r="K84" i="86"/>
  <c r="K80" i="86"/>
  <c r="K76" i="86"/>
  <c r="K72" i="86"/>
  <c r="K68" i="86"/>
  <c r="K64" i="86"/>
  <c r="K60" i="86"/>
  <c r="K56" i="86"/>
  <c r="N332" i="83"/>
  <c r="J314" i="83"/>
  <c r="I314" i="83"/>
  <c r="H314" i="83"/>
  <c r="G314" i="83"/>
  <c r="F314" i="83"/>
  <c r="E314" i="83"/>
  <c r="D314" i="83"/>
  <c r="O312" i="83"/>
  <c r="O311" i="83"/>
  <c r="N311" i="83"/>
  <c r="O310" i="83"/>
  <c r="O309" i="83"/>
  <c r="O308" i="83"/>
  <c r="N308" i="83"/>
  <c r="N314" i="83" s="1"/>
  <c r="O307" i="83"/>
  <c r="O306" i="83"/>
  <c r="O314" i="83" s="1"/>
  <c r="L304" i="83"/>
  <c r="J304" i="83"/>
  <c r="E304" i="83"/>
  <c r="I302" i="83"/>
  <c r="G302" i="83"/>
  <c r="F302" i="83"/>
  <c r="E302" i="83"/>
  <c r="O302" i="83" s="1"/>
  <c r="G301" i="83"/>
  <c r="F301" i="83"/>
  <c r="D301" i="83"/>
  <c r="O301" i="83" s="1"/>
  <c r="N300" i="83"/>
  <c r="G300" i="83"/>
  <c r="F300" i="83"/>
  <c r="O300" i="83" s="1"/>
  <c r="G299" i="83"/>
  <c r="O299" i="83" s="1"/>
  <c r="F299" i="83"/>
  <c r="N298" i="83"/>
  <c r="M298" i="83"/>
  <c r="G298" i="83"/>
  <c r="F298" i="83"/>
  <c r="E298" i="83"/>
  <c r="D298" i="83"/>
  <c r="O298" i="83" s="1"/>
  <c r="I297" i="83"/>
  <c r="G297" i="83"/>
  <c r="F297" i="83"/>
  <c r="O297" i="83" s="1"/>
  <c r="F296" i="83"/>
  <c r="O296" i="83" s="1"/>
  <c r="M295" i="83"/>
  <c r="M304" i="83" s="1"/>
  <c r="I295" i="83"/>
  <c r="F295" i="83"/>
  <c r="E295" i="83"/>
  <c r="D295" i="83"/>
  <c r="O295" i="83" s="1"/>
  <c r="N294" i="83"/>
  <c r="M294" i="83"/>
  <c r="I294" i="83"/>
  <c r="I304" i="83" s="1"/>
  <c r="G294" i="83"/>
  <c r="F294" i="83"/>
  <c r="E294" i="83"/>
  <c r="D294" i="83"/>
  <c r="D304" i="83" s="1"/>
  <c r="N293" i="83"/>
  <c r="N304" i="83" s="1"/>
  <c r="J293" i="83"/>
  <c r="G293" i="83"/>
  <c r="G304" i="83" s="1"/>
  <c r="F293" i="83"/>
  <c r="O293" i="83" s="1"/>
  <c r="G292" i="83"/>
  <c r="F292" i="83"/>
  <c r="O292" i="83" s="1"/>
  <c r="M258" i="83"/>
  <c r="I258" i="83"/>
  <c r="O258" i="83" s="1"/>
  <c r="M248" i="83"/>
  <c r="G248" i="83"/>
  <c r="E248" i="83"/>
  <c r="O246" i="83"/>
  <c r="N245" i="83"/>
  <c r="I245" i="83"/>
  <c r="F245" i="83"/>
  <c r="E245" i="83"/>
  <c r="D245" i="83"/>
  <c r="O245" i="83" s="1"/>
  <c r="N244" i="83"/>
  <c r="M244" i="83"/>
  <c r="I244" i="83"/>
  <c r="G244" i="83"/>
  <c r="F244" i="83"/>
  <c r="E244" i="83"/>
  <c r="D244" i="83"/>
  <c r="O244" i="83" s="1"/>
  <c r="N243" i="83"/>
  <c r="N248" i="83" s="1"/>
  <c r="I243" i="83"/>
  <c r="I248" i="83" s="1"/>
  <c r="F243" i="83"/>
  <c r="E243" i="83"/>
  <c r="D243" i="83"/>
  <c r="D248" i="83" s="1"/>
  <c r="G242" i="83"/>
  <c r="F242" i="83"/>
  <c r="F248" i="83" s="1"/>
  <c r="N235" i="83"/>
  <c r="I235" i="83"/>
  <c r="F235" i="83"/>
  <c r="G233" i="83"/>
  <c r="F233" i="83"/>
  <c r="E233" i="83"/>
  <c r="O233" i="83" s="1"/>
  <c r="G232" i="83"/>
  <c r="G235" i="83" s="1"/>
  <c r="F232" i="83"/>
  <c r="E232" i="83"/>
  <c r="E235" i="83" s="1"/>
  <c r="D232" i="83"/>
  <c r="O232" i="83" s="1"/>
  <c r="O231" i="83"/>
  <c r="D230" i="83"/>
  <c r="O230" i="83" s="1"/>
  <c r="D229" i="83"/>
  <c r="D235" i="83" s="1"/>
  <c r="O228" i="83"/>
  <c r="N220" i="83"/>
  <c r="D220" i="83"/>
  <c r="E218" i="83"/>
  <c r="D218" i="83"/>
  <c r="O218" i="83" s="1"/>
  <c r="I217" i="83"/>
  <c r="G217" i="83"/>
  <c r="F217" i="83"/>
  <c r="E217" i="83"/>
  <c r="O217" i="83" s="1"/>
  <c r="D217" i="83"/>
  <c r="O216" i="83"/>
  <c r="I215" i="83"/>
  <c r="O215" i="83" s="1"/>
  <c r="O214" i="83"/>
  <c r="G213" i="83"/>
  <c r="E213" i="83"/>
  <c r="O213" i="83" s="1"/>
  <c r="D213" i="83"/>
  <c r="I212" i="83"/>
  <c r="G212" i="83"/>
  <c r="F212" i="83"/>
  <c r="E212" i="83"/>
  <c r="O212" i="83" s="1"/>
  <c r="D212" i="83"/>
  <c r="O211" i="83"/>
  <c r="I211" i="83"/>
  <c r="F211" i="83"/>
  <c r="F210" i="83"/>
  <c r="E210" i="83"/>
  <c r="E220" i="83" s="1"/>
  <c r="D210" i="83"/>
  <c r="O210" i="83" s="1"/>
  <c r="O209" i="83"/>
  <c r="O208" i="83"/>
  <c r="O207" i="83"/>
  <c r="G206" i="83"/>
  <c r="G220" i="83" s="1"/>
  <c r="F206" i="83"/>
  <c r="F220" i="83" s="1"/>
  <c r="N176" i="83"/>
  <c r="E176" i="83"/>
  <c r="D176" i="83"/>
  <c r="O174" i="83"/>
  <c r="G174" i="83"/>
  <c r="I173" i="83"/>
  <c r="I176" i="83" s="1"/>
  <c r="F173" i="83"/>
  <c r="O173" i="83" s="1"/>
  <c r="E173" i="83"/>
  <c r="N172" i="83"/>
  <c r="G172" i="83"/>
  <c r="O172" i="83" s="1"/>
  <c r="F172" i="83"/>
  <c r="G171" i="83"/>
  <c r="F171" i="83"/>
  <c r="F176" i="83" s="1"/>
  <c r="N166" i="83"/>
  <c r="I166" i="83"/>
  <c r="G166" i="83"/>
  <c r="F166" i="83"/>
  <c r="E166" i="83"/>
  <c r="D166" i="83"/>
  <c r="O166" i="83" s="1"/>
  <c r="O164" i="83"/>
  <c r="O163" i="83"/>
  <c r="O162" i="83"/>
  <c r="O161" i="83"/>
  <c r="I156" i="83"/>
  <c r="F156" i="83"/>
  <c r="E156" i="83"/>
  <c r="D156" i="83"/>
  <c r="G154" i="83"/>
  <c r="O154" i="83" s="1"/>
  <c r="D154" i="83"/>
  <c r="O153" i="83"/>
  <c r="I153" i="83"/>
  <c r="O152" i="83"/>
  <c r="N152" i="83"/>
  <c r="N156" i="83" s="1"/>
  <c r="G152" i="83"/>
  <c r="F152" i="83"/>
  <c r="O151" i="83"/>
  <c r="G151" i="83"/>
  <c r="G156" i="83" s="1"/>
  <c r="F151" i="83"/>
  <c r="N141" i="83"/>
  <c r="K141" i="83"/>
  <c r="G141" i="83"/>
  <c r="O141" i="83" s="1"/>
  <c r="N130" i="83"/>
  <c r="K130" i="83"/>
  <c r="I130" i="83"/>
  <c r="F130" i="83"/>
  <c r="E130" i="83"/>
  <c r="D130" i="83"/>
  <c r="O128" i="83"/>
  <c r="N127" i="83"/>
  <c r="M127" i="83"/>
  <c r="M130" i="83" s="1"/>
  <c r="G127" i="83"/>
  <c r="O127" i="83" s="1"/>
  <c r="O126" i="83"/>
  <c r="O125" i="83"/>
  <c r="N125" i="83"/>
  <c r="O124" i="83"/>
  <c r="K124" i="83"/>
  <c r="O123" i="83"/>
  <c r="N113" i="83"/>
  <c r="O113" i="83" s="1"/>
  <c r="O107" i="83"/>
  <c r="O101" i="83"/>
  <c r="O95" i="83"/>
  <c r="N87" i="83"/>
  <c r="K87" i="83"/>
  <c r="G87" i="83"/>
  <c r="F87" i="83"/>
  <c r="E87" i="83"/>
  <c r="D87" i="83"/>
  <c r="O85" i="83"/>
  <c r="O84" i="83"/>
  <c r="O83" i="83"/>
  <c r="I83" i="83"/>
  <c r="I87" i="83" s="1"/>
  <c r="O82" i="83"/>
  <c r="O81" i="83"/>
  <c r="O80" i="83"/>
  <c r="O79" i="83"/>
  <c r="O78" i="83"/>
  <c r="O77" i="83"/>
  <c r="O76" i="83"/>
  <c r="O75" i="83"/>
  <c r="I73" i="83"/>
  <c r="F73" i="83"/>
  <c r="I71" i="83"/>
  <c r="G71" i="83"/>
  <c r="F71" i="83"/>
  <c r="E71" i="83"/>
  <c r="O71" i="83" s="1"/>
  <c r="N70" i="83"/>
  <c r="N73" i="83" s="1"/>
  <c r="I70" i="83"/>
  <c r="G70" i="83"/>
  <c r="G73" i="83" s="1"/>
  <c r="F70" i="83"/>
  <c r="E70" i="83"/>
  <c r="E73" i="83" s="1"/>
  <c r="O73" i="83" s="1"/>
  <c r="F69" i="83"/>
  <c r="O69" i="83" s="1"/>
  <c r="N66" i="83"/>
  <c r="L66" i="83"/>
  <c r="I66" i="83"/>
  <c r="G66" i="83"/>
  <c r="F66" i="83"/>
  <c r="E66" i="83"/>
  <c r="O66" i="83" s="1"/>
  <c r="O64" i="83"/>
  <c r="O63" i="83"/>
  <c r="O62" i="83"/>
  <c r="N59" i="83"/>
  <c r="L59" i="83"/>
  <c r="I59" i="83"/>
  <c r="G59" i="83"/>
  <c r="F59" i="83"/>
  <c r="E59" i="83"/>
  <c r="D59" i="83"/>
  <c r="O59" i="83" s="1"/>
  <c r="O57" i="83"/>
  <c r="O56" i="83"/>
  <c r="O55" i="83"/>
  <c r="N53" i="83"/>
  <c r="J53" i="83"/>
  <c r="I53" i="83"/>
  <c r="H53" i="83"/>
  <c r="G53" i="83"/>
  <c r="F53" i="83"/>
  <c r="O51" i="83"/>
  <c r="O50" i="83"/>
  <c r="O53" i="83" s="1"/>
  <c r="N47" i="83"/>
  <c r="J47" i="83"/>
  <c r="I47" i="83"/>
  <c r="H47" i="83"/>
  <c r="G47" i="83"/>
  <c r="F47" i="83"/>
  <c r="E47" i="83"/>
  <c r="D47" i="83"/>
  <c r="O45" i="83"/>
  <c r="O44" i="83"/>
  <c r="O47" i="83" s="1"/>
  <c r="N41" i="83"/>
  <c r="J41" i="83"/>
  <c r="I41" i="83"/>
  <c r="H41" i="83"/>
  <c r="G41" i="83"/>
  <c r="F41" i="83"/>
  <c r="D41" i="83"/>
  <c r="O39" i="83"/>
  <c r="O41" i="83" s="1"/>
  <c r="O38" i="83"/>
  <c r="N35" i="83"/>
  <c r="J35" i="83"/>
  <c r="I35" i="83"/>
  <c r="H35" i="83"/>
  <c r="G35" i="83"/>
  <c r="F35" i="83"/>
  <c r="D35" i="83"/>
  <c r="O33" i="83"/>
  <c r="O35" i="83" s="1"/>
  <c r="O32" i="83"/>
  <c r="O29" i="83"/>
  <c r="N29" i="83"/>
  <c r="J29" i="83"/>
  <c r="I29" i="83"/>
  <c r="H29" i="83"/>
  <c r="G29" i="83"/>
  <c r="F29" i="83"/>
  <c r="E29" i="83"/>
  <c r="D29" i="83"/>
  <c r="O27" i="83"/>
  <c r="O26" i="83"/>
  <c r="N23" i="83"/>
  <c r="J23" i="83"/>
  <c r="I23" i="83"/>
  <c r="G23" i="83"/>
  <c r="F23" i="83"/>
  <c r="E23" i="83"/>
  <c r="D23" i="83"/>
  <c r="O21" i="83"/>
  <c r="H21" i="83"/>
  <c r="H23" i="83" s="1"/>
  <c r="O20" i="83"/>
  <c r="O23" i="83" s="1"/>
  <c r="G20" i="83"/>
  <c r="J17" i="83"/>
  <c r="I17" i="83"/>
  <c r="H17" i="83"/>
  <c r="F17" i="83"/>
  <c r="O15" i="83"/>
  <c r="N15" i="83"/>
  <c r="N17" i="83" s="1"/>
  <c r="G15" i="83"/>
  <c r="E15" i="83"/>
  <c r="E17" i="83" s="1"/>
  <c r="O14" i="83"/>
  <c r="O17" i="83" s="1"/>
  <c r="G14" i="83"/>
  <c r="G17" i="83" s="1"/>
  <c r="N11" i="83"/>
  <c r="J11" i="83"/>
  <c r="I11" i="83"/>
  <c r="H11" i="83"/>
  <c r="F11" i="83"/>
  <c r="G9" i="83"/>
  <c r="O9" i="83" s="1"/>
  <c r="O8" i="83"/>
  <c r="O11" i="83" s="1"/>
  <c r="N5" i="83"/>
  <c r="J5" i="83"/>
  <c r="I5" i="83"/>
  <c r="H5" i="83"/>
  <c r="G5" i="83"/>
  <c r="F5" i="83"/>
  <c r="D5" i="83"/>
  <c r="O3" i="83"/>
  <c r="O5" i="83" s="1"/>
  <c r="O2" i="83"/>
  <c r="B40" i="28"/>
  <c r="B39" i="28"/>
  <c r="B38" i="28"/>
  <c r="B33" i="28"/>
  <c r="B32" i="28"/>
  <c r="B31" i="28"/>
  <c r="B26" i="28"/>
  <c r="B25" i="28"/>
  <c r="B24" i="28"/>
  <c r="T187" i="73"/>
  <c r="U187" i="73"/>
  <c r="V187" i="73"/>
  <c r="W187" i="73"/>
  <c r="X187" i="73"/>
  <c r="Y187" i="73"/>
  <c r="Z187" i="73"/>
  <c r="AA187" i="73"/>
  <c r="AB187" i="73"/>
  <c r="S187" i="73"/>
  <c r="S187" i="70"/>
  <c r="W189" i="70"/>
  <c r="H29" i="66" s="1"/>
  <c r="E32" i="54"/>
  <c r="E30" i="54"/>
  <c r="K14" i="54"/>
  <c r="F17" i="54" s="1"/>
  <c r="K13" i="54"/>
  <c r="G16" i="54" s="1"/>
  <c r="T189" i="73"/>
  <c r="E43" i="66" s="1"/>
  <c r="U189" i="73"/>
  <c r="F43" i="66" s="1"/>
  <c r="V189" i="73"/>
  <c r="G43" i="66" s="1"/>
  <c r="W189" i="73"/>
  <c r="H43" i="66" s="1"/>
  <c r="X189" i="73"/>
  <c r="I43" i="66" s="1"/>
  <c r="Y189" i="73"/>
  <c r="J43" i="66" s="1"/>
  <c r="Z189" i="73"/>
  <c r="K43" i="66" s="1"/>
  <c r="AA189" i="73"/>
  <c r="L43" i="66" s="1"/>
  <c r="AB189" i="73"/>
  <c r="M43" i="66" s="1"/>
  <c r="S189" i="73"/>
  <c r="D43" i="66" s="1"/>
  <c r="T189" i="72"/>
  <c r="E42" i="66" s="1"/>
  <c r="U189" i="72"/>
  <c r="F42" i="66" s="1"/>
  <c r="V189" i="72"/>
  <c r="G42" i="66" s="1"/>
  <c r="W189" i="72"/>
  <c r="H42" i="66" s="1"/>
  <c r="X189" i="72"/>
  <c r="I42" i="66" s="1"/>
  <c r="Y189" i="72"/>
  <c r="J42" i="66" s="1"/>
  <c r="Z189" i="72"/>
  <c r="K42" i="66" s="1"/>
  <c r="AA189" i="72"/>
  <c r="L42" i="66" s="1"/>
  <c r="AB189" i="72"/>
  <c r="M42" i="66" s="1"/>
  <c r="S189" i="72"/>
  <c r="D42" i="66" s="1"/>
  <c r="T189" i="70"/>
  <c r="E29" i="66" s="1"/>
  <c r="U189" i="70"/>
  <c r="F29" i="66" s="1"/>
  <c r="V189" i="70"/>
  <c r="G29" i="66" s="1"/>
  <c r="X189" i="70"/>
  <c r="I29" i="66" s="1"/>
  <c r="Y189" i="70"/>
  <c r="J29" i="66" s="1"/>
  <c r="Z189" i="70"/>
  <c r="K29" i="66" s="1"/>
  <c r="AA189" i="70"/>
  <c r="L29" i="66" s="1"/>
  <c r="AB189" i="70"/>
  <c r="M29" i="66" s="1"/>
  <c r="H17" i="77"/>
  <c r="H18" i="77"/>
  <c r="H19" i="77"/>
  <c r="H20" i="77"/>
  <c r="H21" i="77"/>
  <c r="H22" i="77"/>
  <c r="H23" i="77"/>
  <c r="H24" i="77"/>
  <c r="H25" i="77"/>
  <c r="H26" i="77"/>
  <c r="H27" i="77"/>
  <c r="H28" i="77"/>
  <c r="H29" i="77"/>
  <c r="H16" i="77"/>
  <c r="H3" i="77"/>
  <c r="H4" i="77"/>
  <c r="H5" i="77"/>
  <c r="H6" i="77"/>
  <c r="H7" i="77"/>
  <c r="H8" i="77"/>
  <c r="H9" i="77"/>
  <c r="H10" i="77"/>
  <c r="H11" i="77"/>
  <c r="H12" i="77"/>
  <c r="H13" i="77"/>
  <c r="H14" i="77"/>
  <c r="H15" i="77"/>
  <c r="H2" i="77"/>
  <c r="O130" i="83" l="1"/>
  <c r="O156" i="83"/>
  <c r="O87" i="83"/>
  <c r="I220" i="83"/>
  <c r="G130" i="83"/>
  <c r="G176" i="83"/>
  <c r="O176" i="83" s="1"/>
  <c r="G11" i="83"/>
  <c r="O70" i="83"/>
  <c r="O229" i="83"/>
  <c r="O235" i="83" s="1"/>
  <c r="O243" i="83"/>
  <c r="F304" i="83"/>
  <c r="O171" i="83"/>
  <c r="O206" i="83"/>
  <c r="O220" i="83" s="1"/>
  <c r="O242" i="83"/>
  <c r="O248" i="83" s="1"/>
  <c r="O294" i="83"/>
  <c r="O304" i="83" s="1"/>
  <c r="I17" i="54"/>
  <c r="J16" i="54"/>
  <c r="F16" i="54"/>
  <c r="F18" i="54" s="1"/>
  <c r="E17" i="54"/>
  <c r="I16" i="54"/>
  <c r="I18" i="54" s="1"/>
  <c r="E16" i="54"/>
  <c r="H17" i="54"/>
  <c r="H16" i="54"/>
  <c r="D17" i="54"/>
  <c r="G17" i="54"/>
  <c r="G18" i="54" s="1"/>
  <c r="D16" i="54"/>
  <c r="D18" i="54" s="1"/>
  <c r="J17" i="54"/>
  <c r="J18" i="54" s="1"/>
  <c r="N42" i="66"/>
  <c r="N43" i="66"/>
  <c r="D78" i="68"/>
  <c r="D79" i="68"/>
  <c r="E79" i="68"/>
  <c r="D80" i="68"/>
  <c r="E80" i="68"/>
  <c r="F80" i="68"/>
  <c r="D81" i="68"/>
  <c r="E81" i="68"/>
  <c r="F81" i="68"/>
  <c r="G81" i="68"/>
  <c r="D82" i="68"/>
  <c r="E82" i="68"/>
  <c r="F82" i="68"/>
  <c r="G82" i="68"/>
  <c r="H82" i="68"/>
  <c r="D83" i="68"/>
  <c r="E83" i="68"/>
  <c r="F83" i="68"/>
  <c r="G83" i="68"/>
  <c r="H83" i="68"/>
  <c r="I83" i="68"/>
  <c r="D84" i="68"/>
  <c r="E84" i="68"/>
  <c r="F84" i="68"/>
  <c r="G84" i="68"/>
  <c r="H84" i="68"/>
  <c r="I84" i="68"/>
  <c r="J84" i="68"/>
  <c r="D85" i="68"/>
  <c r="E85" i="68"/>
  <c r="F85" i="68"/>
  <c r="G85" i="68"/>
  <c r="H85" i="68"/>
  <c r="I85" i="68"/>
  <c r="J85" i="68"/>
  <c r="K85" i="68"/>
  <c r="D86" i="68"/>
  <c r="E86" i="68"/>
  <c r="F86" i="68"/>
  <c r="G86" i="68"/>
  <c r="H86" i="68"/>
  <c r="I86" i="68"/>
  <c r="J86" i="68"/>
  <c r="K86" i="68"/>
  <c r="L86" i="68"/>
  <c r="D87" i="68"/>
  <c r="E87" i="68"/>
  <c r="F87" i="68"/>
  <c r="G87" i="68"/>
  <c r="H87" i="68"/>
  <c r="I87" i="68"/>
  <c r="J87" i="68"/>
  <c r="K87" i="68"/>
  <c r="L87" i="68"/>
  <c r="M87" i="68"/>
  <c r="D88" i="68"/>
  <c r="E88" i="68"/>
  <c r="F88" i="68"/>
  <c r="G88" i="68"/>
  <c r="H88" i="68"/>
  <c r="I88" i="68"/>
  <c r="J88" i="68"/>
  <c r="K88" i="68"/>
  <c r="L88" i="68"/>
  <c r="M88" i="68"/>
  <c r="N88" i="68"/>
  <c r="D89" i="68"/>
  <c r="E89" i="68"/>
  <c r="F89" i="68"/>
  <c r="G89" i="68"/>
  <c r="H89" i="68"/>
  <c r="I89" i="68"/>
  <c r="J89" i="68"/>
  <c r="K89" i="68"/>
  <c r="L89" i="68"/>
  <c r="M89" i="68"/>
  <c r="N89" i="68"/>
  <c r="O89" i="68"/>
  <c r="D90" i="68"/>
  <c r="E90" i="68"/>
  <c r="F90" i="68"/>
  <c r="G90" i="68"/>
  <c r="H90" i="68"/>
  <c r="I90" i="68"/>
  <c r="J90" i="68"/>
  <c r="K90" i="68"/>
  <c r="L90" i="68"/>
  <c r="M90" i="68"/>
  <c r="N90" i="68"/>
  <c r="O90" i="68"/>
  <c r="P90" i="68"/>
  <c r="D91" i="68"/>
  <c r="E91" i="68"/>
  <c r="F91" i="68"/>
  <c r="G91" i="68"/>
  <c r="H91" i="68"/>
  <c r="I91" i="68"/>
  <c r="J91" i="68"/>
  <c r="K91" i="68"/>
  <c r="L91" i="68"/>
  <c r="M91" i="68"/>
  <c r="N91" i="68"/>
  <c r="O91" i="68"/>
  <c r="P91" i="68"/>
  <c r="Q91" i="68"/>
  <c r="D92" i="68"/>
  <c r="E92" i="68"/>
  <c r="F92" i="68"/>
  <c r="G92" i="68"/>
  <c r="H92" i="68"/>
  <c r="I92" i="68"/>
  <c r="J92" i="68"/>
  <c r="K92" i="68"/>
  <c r="L92" i="68"/>
  <c r="M92" i="68"/>
  <c r="N92" i="68"/>
  <c r="O92" i="68"/>
  <c r="P92" i="68"/>
  <c r="Q92" i="68"/>
  <c r="R92" i="68"/>
  <c r="D93" i="68"/>
  <c r="E93" i="68"/>
  <c r="F93" i="68"/>
  <c r="G93" i="68"/>
  <c r="H93" i="68"/>
  <c r="I93" i="68"/>
  <c r="J93" i="68"/>
  <c r="K93" i="68"/>
  <c r="L93" i="68"/>
  <c r="M93" i="68"/>
  <c r="N93" i="68"/>
  <c r="O93" i="68"/>
  <c r="P93" i="68"/>
  <c r="Q93" i="68"/>
  <c r="R93" i="68"/>
  <c r="S93" i="68"/>
  <c r="D94" i="68"/>
  <c r="E94" i="68"/>
  <c r="F94" i="68"/>
  <c r="G94" i="68"/>
  <c r="H94" i="68"/>
  <c r="I94" i="68"/>
  <c r="J94" i="68"/>
  <c r="K94" i="68"/>
  <c r="L94" i="68"/>
  <c r="M94" i="68"/>
  <c r="N94" i="68"/>
  <c r="O94" i="68"/>
  <c r="P94" i="68"/>
  <c r="Q94" i="68"/>
  <c r="R94" i="68"/>
  <c r="S94" i="68"/>
  <c r="T94" i="68"/>
  <c r="D95" i="68"/>
  <c r="E95" i="68"/>
  <c r="F95" i="68"/>
  <c r="G95" i="68"/>
  <c r="H95" i="68"/>
  <c r="I95" i="68"/>
  <c r="J95" i="68"/>
  <c r="K95" i="68"/>
  <c r="L95" i="68"/>
  <c r="M95" i="68"/>
  <c r="N95" i="68"/>
  <c r="O95" i="68"/>
  <c r="P95" i="68"/>
  <c r="Q95" i="68"/>
  <c r="R95" i="68"/>
  <c r="S95" i="68"/>
  <c r="T95" i="68"/>
  <c r="U95" i="68"/>
  <c r="D96" i="68"/>
  <c r="E96" i="68"/>
  <c r="F96" i="68"/>
  <c r="G96" i="68"/>
  <c r="H96" i="68"/>
  <c r="I96" i="68"/>
  <c r="J96" i="68"/>
  <c r="K96" i="68"/>
  <c r="L96" i="68"/>
  <c r="M96" i="68"/>
  <c r="N96" i="68"/>
  <c r="O96" i="68"/>
  <c r="P96" i="68"/>
  <c r="Q96" i="68"/>
  <c r="R96" i="68"/>
  <c r="S96" i="68"/>
  <c r="T96" i="68"/>
  <c r="U96" i="68"/>
  <c r="V96" i="68"/>
  <c r="D97" i="68"/>
  <c r="E97" i="68"/>
  <c r="F97" i="68"/>
  <c r="G97" i="68"/>
  <c r="H97" i="68"/>
  <c r="I97" i="68"/>
  <c r="J97" i="68"/>
  <c r="K97" i="68"/>
  <c r="L97" i="68"/>
  <c r="M97" i="68"/>
  <c r="N97" i="68"/>
  <c r="O97" i="68"/>
  <c r="P97" i="68"/>
  <c r="Q97" i="68"/>
  <c r="R97" i="68"/>
  <c r="S97" i="68"/>
  <c r="T97" i="68"/>
  <c r="U97" i="68"/>
  <c r="V97" i="68"/>
  <c r="W97" i="68"/>
  <c r="D98" i="68"/>
  <c r="E98" i="68"/>
  <c r="F98" i="68"/>
  <c r="G98" i="68"/>
  <c r="H98" i="68"/>
  <c r="I98" i="68"/>
  <c r="J98" i="68"/>
  <c r="K98" i="68"/>
  <c r="L98" i="68"/>
  <c r="M98" i="68"/>
  <c r="N98" i="68"/>
  <c r="O98" i="68"/>
  <c r="P98" i="68"/>
  <c r="Q98" i="68"/>
  <c r="R98" i="68"/>
  <c r="S98" i="68"/>
  <c r="T98" i="68"/>
  <c r="U98" i="68"/>
  <c r="V98" i="68"/>
  <c r="W98" i="68"/>
  <c r="X98" i="68"/>
  <c r="D99" i="68"/>
  <c r="E99" i="68"/>
  <c r="F99" i="68"/>
  <c r="G99" i="68"/>
  <c r="H99" i="68"/>
  <c r="I99" i="68"/>
  <c r="J99" i="68"/>
  <c r="K99" i="68"/>
  <c r="L99" i="68"/>
  <c r="M99" i="68"/>
  <c r="N99" i="68"/>
  <c r="O99" i="68"/>
  <c r="P99" i="68"/>
  <c r="Q99" i="68"/>
  <c r="R99" i="68"/>
  <c r="S99" i="68"/>
  <c r="T99" i="68"/>
  <c r="U99" i="68"/>
  <c r="V99" i="68"/>
  <c r="W99" i="68"/>
  <c r="X99" i="68"/>
  <c r="Y99" i="68"/>
  <c r="D100" i="68"/>
  <c r="E100" i="68"/>
  <c r="F100" i="68"/>
  <c r="G100" i="68"/>
  <c r="H100" i="68"/>
  <c r="I100" i="68"/>
  <c r="J100" i="68"/>
  <c r="K100" i="68"/>
  <c r="L100" i="68"/>
  <c r="M100" i="68"/>
  <c r="N100" i="68"/>
  <c r="O100" i="68"/>
  <c r="P100" i="68"/>
  <c r="Q100" i="68"/>
  <c r="R100" i="68"/>
  <c r="S100" i="68"/>
  <c r="T100" i="68"/>
  <c r="U100" i="68"/>
  <c r="V100" i="68"/>
  <c r="W100" i="68"/>
  <c r="X100" i="68"/>
  <c r="Y100" i="68"/>
  <c r="Z100" i="68"/>
  <c r="D101" i="68"/>
  <c r="E101" i="68"/>
  <c r="F101" i="68"/>
  <c r="G101" i="68"/>
  <c r="H101" i="68"/>
  <c r="I101" i="68"/>
  <c r="J101" i="68"/>
  <c r="K101" i="68"/>
  <c r="L101" i="68"/>
  <c r="M101" i="68"/>
  <c r="N101" i="68"/>
  <c r="O101" i="68"/>
  <c r="P101" i="68"/>
  <c r="Q101" i="68"/>
  <c r="R101" i="68"/>
  <c r="S101" i="68"/>
  <c r="T101" i="68"/>
  <c r="U101" i="68"/>
  <c r="V101" i="68"/>
  <c r="W101" i="68"/>
  <c r="X101" i="68"/>
  <c r="Y101" i="68"/>
  <c r="Z101" i="68"/>
  <c r="AA101" i="68"/>
  <c r="C77" i="68"/>
  <c r="C78" i="68"/>
  <c r="C79" i="68"/>
  <c r="C80" i="68"/>
  <c r="C81" i="68"/>
  <c r="C82" i="68"/>
  <c r="C83" i="68"/>
  <c r="C84" i="68"/>
  <c r="C85" i="68"/>
  <c r="C86" i="68"/>
  <c r="C87" i="68"/>
  <c r="C88" i="68"/>
  <c r="C89" i="68"/>
  <c r="C90" i="68"/>
  <c r="C91" i="68"/>
  <c r="C92" i="68"/>
  <c r="C93" i="68"/>
  <c r="C94" i="68"/>
  <c r="C95" i="68"/>
  <c r="C96" i="68"/>
  <c r="C97" i="68"/>
  <c r="C98" i="68"/>
  <c r="C99" i="68"/>
  <c r="C100" i="68"/>
  <c r="C101" i="68"/>
  <c r="D78" i="69"/>
  <c r="D79" i="69"/>
  <c r="E79" i="69"/>
  <c r="D80" i="69"/>
  <c r="E80" i="69"/>
  <c r="F80" i="69"/>
  <c r="D81" i="69"/>
  <c r="E81" i="69"/>
  <c r="F81" i="69"/>
  <c r="G81" i="69"/>
  <c r="D82" i="69"/>
  <c r="E82" i="69"/>
  <c r="F82" i="69"/>
  <c r="G82" i="69"/>
  <c r="H82" i="69"/>
  <c r="D83" i="69"/>
  <c r="E83" i="69"/>
  <c r="F83" i="69"/>
  <c r="G83" i="69"/>
  <c r="H83" i="69"/>
  <c r="I83" i="69"/>
  <c r="D84" i="69"/>
  <c r="E84" i="69"/>
  <c r="F84" i="69"/>
  <c r="G84" i="69"/>
  <c r="H84" i="69"/>
  <c r="I84" i="69"/>
  <c r="J84" i="69"/>
  <c r="D85" i="69"/>
  <c r="E85" i="69"/>
  <c r="F85" i="69"/>
  <c r="G85" i="69"/>
  <c r="H85" i="69"/>
  <c r="I85" i="69"/>
  <c r="J85" i="69"/>
  <c r="K85" i="69"/>
  <c r="D86" i="69"/>
  <c r="E86" i="69"/>
  <c r="F86" i="69"/>
  <c r="G86" i="69"/>
  <c r="H86" i="69"/>
  <c r="I86" i="69"/>
  <c r="J86" i="69"/>
  <c r="K86" i="69"/>
  <c r="L86" i="69"/>
  <c r="D87" i="69"/>
  <c r="E87" i="69"/>
  <c r="F87" i="69"/>
  <c r="G87" i="69"/>
  <c r="H87" i="69"/>
  <c r="I87" i="69"/>
  <c r="J87" i="69"/>
  <c r="K87" i="69"/>
  <c r="L87" i="69"/>
  <c r="M87" i="69"/>
  <c r="D88" i="69"/>
  <c r="E88" i="69"/>
  <c r="F88" i="69"/>
  <c r="G88" i="69"/>
  <c r="H88" i="69"/>
  <c r="I88" i="69"/>
  <c r="J88" i="69"/>
  <c r="K88" i="69"/>
  <c r="L88" i="69"/>
  <c r="M88" i="69"/>
  <c r="N88" i="69"/>
  <c r="D89" i="69"/>
  <c r="E89" i="69"/>
  <c r="F89" i="69"/>
  <c r="G89" i="69"/>
  <c r="H89" i="69"/>
  <c r="I89" i="69"/>
  <c r="J89" i="69"/>
  <c r="K89" i="69"/>
  <c r="L89" i="69"/>
  <c r="M89" i="69"/>
  <c r="N89" i="69"/>
  <c r="O89" i="69"/>
  <c r="D90" i="69"/>
  <c r="E90" i="69"/>
  <c r="F90" i="69"/>
  <c r="G90" i="69"/>
  <c r="H90" i="69"/>
  <c r="I90" i="69"/>
  <c r="J90" i="69"/>
  <c r="K90" i="69"/>
  <c r="L90" i="69"/>
  <c r="M90" i="69"/>
  <c r="N90" i="69"/>
  <c r="O90" i="69"/>
  <c r="P90" i="69"/>
  <c r="D91" i="69"/>
  <c r="E91" i="69"/>
  <c r="F91" i="69"/>
  <c r="G91" i="69"/>
  <c r="H91" i="69"/>
  <c r="I91" i="69"/>
  <c r="J91" i="69"/>
  <c r="K91" i="69"/>
  <c r="L91" i="69"/>
  <c r="M91" i="69"/>
  <c r="N91" i="69"/>
  <c r="O91" i="69"/>
  <c r="P91" i="69"/>
  <c r="Q91" i="69"/>
  <c r="D92" i="69"/>
  <c r="E92" i="69"/>
  <c r="F92" i="69"/>
  <c r="G92" i="69"/>
  <c r="H92" i="69"/>
  <c r="I92" i="69"/>
  <c r="J92" i="69"/>
  <c r="K92" i="69"/>
  <c r="L92" i="69"/>
  <c r="M92" i="69"/>
  <c r="N92" i="69"/>
  <c r="O92" i="69"/>
  <c r="P92" i="69"/>
  <c r="Q92" i="69"/>
  <c r="R92" i="69"/>
  <c r="D93" i="69"/>
  <c r="E93" i="69"/>
  <c r="F93" i="69"/>
  <c r="G93" i="69"/>
  <c r="H93" i="69"/>
  <c r="I93" i="69"/>
  <c r="J93" i="69"/>
  <c r="K93" i="69"/>
  <c r="L93" i="69"/>
  <c r="M93" i="69"/>
  <c r="N93" i="69"/>
  <c r="O93" i="69"/>
  <c r="P93" i="69"/>
  <c r="Q93" i="69"/>
  <c r="R93" i="69"/>
  <c r="S93" i="69"/>
  <c r="D94" i="69"/>
  <c r="E94" i="69"/>
  <c r="F94" i="69"/>
  <c r="G94" i="69"/>
  <c r="H94" i="69"/>
  <c r="I94" i="69"/>
  <c r="J94" i="69"/>
  <c r="K94" i="69"/>
  <c r="L94" i="69"/>
  <c r="M94" i="69"/>
  <c r="N94" i="69"/>
  <c r="O94" i="69"/>
  <c r="P94" i="69"/>
  <c r="Q94" i="69"/>
  <c r="R94" i="69"/>
  <c r="S94" i="69"/>
  <c r="T94" i="69"/>
  <c r="D95" i="69"/>
  <c r="E95" i="69"/>
  <c r="F95" i="69"/>
  <c r="G95" i="69"/>
  <c r="H95" i="69"/>
  <c r="I95" i="69"/>
  <c r="J95" i="69"/>
  <c r="K95" i="69"/>
  <c r="L95" i="69"/>
  <c r="M95" i="69"/>
  <c r="N95" i="69"/>
  <c r="O95" i="69"/>
  <c r="P95" i="69"/>
  <c r="Q95" i="69"/>
  <c r="R95" i="69"/>
  <c r="S95" i="69"/>
  <c r="T95" i="69"/>
  <c r="U95" i="69"/>
  <c r="D96" i="69"/>
  <c r="E96" i="69"/>
  <c r="F96" i="69"/>
  <c r="G96" i="69"/>
  <c r="H96" i="69"/>
  <c r="I96" i="69"/>
  <c r="J96" i="69"/>
  <c r="K96" i="69"/>
  <c r="L96" i="69"/>
  <c r="M96" i="69"/>
  <c r="N96" i="69"/>
  <c r="O96" i="69"/>
  <c r="P96" i="69"/>
  <c r="Q96" i="69"/>
  <c r="R96" i="69"/>
  <c r="S96" i="69"/>
  <c r="T96" i="69"/>
  <c r="U96" i="69"/>
  <c r="V96" i="69"/>
  <c r="D97" i="69"/>
  <c r="E97" i="69"/>
  <c r="F97" i="69"/>
  <c r="G97" i="69"/>
  <c r="H97" i="69"/>
  <c r="I97" i="69"/>
  <c r="J97" i="69"/>
  <c r="K97" i="69"/>
  <c r="L97" i="69"/>
  <c r="M97" i="69"/>
  <c r="N97" i="69"/>
  <c r="O97" i="69"/>
  <c r="P97" i="69"/>
  <c r="Q97" i="69"/>
  <c r="R97" i="69"/>
  <c r="S97" i="69"/>
  <c r="T97" i="69"/>
  <c r="U97" i="69"/>
  <c r="V97" i="69"/>
  <c r="W97" i="69"/>
  <c r="D98" i="69"/>
  <c r="E98" i="69"/>
  <c r="F98" i="69"/>
  <c r="G98" i="69"/>
  <c r="H98" i="69"/>
  <c r="I98" i="69"/>
  <c r="J98" i="69"/>
  <c r="K98" i="69"/>
  <c r="L98" i="69"/>
  <c r="M98" i="69"/>
  <c r="N98" i="69"/>
  <c r="O98" i="69"/>
  <c r="P98" i="69"/>
  <c r="Q98" i="69"/>
  <c r="R98" i="69"/>
  <c r="S98" i="69"/>
  <c r="T98" i="69"/>
  <c r="U98" i="69"/>
  <c r="V98" i="69"/>
  <c r="W98" i="69"/>
  <c r="X98" i="69"/>
  <c r="D99" i="69"/>
  <c r="E99" i="69"/>
  <c r="F99" i="69"/>
  <c r="G99" i="69"/>
  <c r="H99" i="69"/>
  <c r="I99" i="69"/>
  <c r="J99" i="69"/>
  <c r="K99" i="69"/>
  <c r="L99" i="69"/>
  <c r="M99" i="69"/>
  <c r="N99" i="69"/>
  <c r="O99" i="69"/>
  <c r="P99" i="69"/>
  <c r="Q99" i="69"/>
  <c r="R99" i="69"/>
  <c r="S99" i="69"/>
  <c r="T99" i="69"/>
  <c r="U99" i="69"/>
  <c r="V99" i="69"/>
  <c r="W99" i="69"/>
  <c r="X99" i="69"/>
  <c r="Y99" i="69"/>
  <c r="D100" i="69"/>
  <c r="E100" i="69"/>
  <c r="F100" i="69"/>
  <c r="G100" i="69"/>
  <c r="H100" i="69"/>
  <c r="I100" i="69"/>
  <c r="J100" i="69"/>
  <c r="K100" i="69"/>
  <c r="L100" i="69"/>
  <c r="M100" i="69"/>
  <c r="N100" i="69"/>
  <c r="O100" i="69"/>
  <c r="P100" i="69"/>
  <c r="Q100" i="69"/>
  <c r="R100" i="69"/>
  <c r="S100" i="69"/>
  <c r="T100" i="69"/>
  <c r="U100" i="69"/>
  <c r="V100" i="69"/>
  <c r="W100" i="69"/>
  <c r="X100" i="69"/>
  <c r="Y100" i="69"/>
  <c r="Z100" i="69"/>
  <c r="D101" i="69"/>
  <c r="E101" i="69"/>
  <c r="F101" i="69"/>
  <c r="G101" i="69"/>
  <c r="H101" i="69"/>
  <c r="I101" i="69"/>
  <c r="J101" i="69"/>
  <c r="K101" i="69"/>
  <c r="L101" i="69"/>
  <c r="M101" i="69"/>
  <c r="N101" i="69"/>
  <c r="O101" i="69"/>
  <c r="P101" i="69"/>
  <c r="Q101" i="69"/>
  <c r="R101" i="69"/>
  <c r="S101" i="69"/>
  <c r="T101" i="69"/>
  <c r="U101" i="69"/>
  <c r="V101" i="69"/>
  <c r="W101" i="69"/>
  <c r="X101" i="69"/>
  <c r="Y101" i="69"/>
  <c r="Z101" i="69"/>
  <c r="AA101" i="69"/>
  <c r="C77" i="69"/>
  <c r="C78" i="69"/>
  <c r="C79" i="69"/>
  <c r="C80" i="69"/>
  <c r="C81" i="69"/>
  <c r="C82" i="69"/>
  <c r="C83" i="69"/>
  <c r="C84" i="69"/>
  <c r="C85" i="69"/>
  <c r="C86" i="69"/>
  <c r="C87" i="69"/>
  <c r="C88" i="69"/>
  <c r="C89" i="69"/>
  <c r="C90" i="69"/>
  <c r="C91" i="69"/>
  <c r="C92" i="69"/>
  <c r="C93" i="69"/>
  <c r="C94" i="69"/>
  <c r="C95" i="69"/>
  <c r="C96" i="69"/>
  <c r="C97" i="69"/>
  <c r="C98" i="69"/>
  <c r="C99" i="69"/>
  <c r="C100" i="69"/>
  <c r="C101" i="69"/>
  <c r="D78" i="70"/>
  <c r="D79" i="70"/>
  <c r="E79" i="70"/>
  <c r="D80" i="70"/>
  <c r="E80" i="70"/>
  <c r="F80" i="70"/>
  <c r="D81" i="70"/>
  <c r="E81" i="70"/>
  <c r="F81" i="70"/>
  <c r="G81" i="70"/>
  <c r="D82" i="70"/>
  <c r="E82" i="70"/>
  <c r="F82" i="70"/>
  <c r="G82" i="70"/>
  <c r="H82" i="70"/>
  <c r="D83" i="70"/>
  <c r="E83" i="70"/>
  <c r="F83" i="70"/>
  <c r="G83" i="70"/>
  <c r="H83" i="70"/>
  <c r="I83" i="70"/>
  <c r="D84" i="70"/>
  <c r="E84" i="70"/>
  <c r="F84" i="70"/>
  <c r="G84" i="70"/>
  <c r="H84" i="70"/>
  <c r="I84" i="70"/>
  <c r="J84" i="70"/>
  <c r="D85" i="70"/>
  <c r="E85" i="70"/>
  <c r="F85" i="70"/>
  <c r="G85" i="70"/>
  <c r="H85" i="70"/>
  <c r="I85" i="70"/>
  <c r="J85" i="70"/>
  <c r="K85" i="70"/>
  <c r="D86" i="70"/>
  <c r="E86" i="70"/>
  <c r="F86" i="70"/>
  <c r="G86" i="70"/>
  <c r="H86" i="70"/>
  <c r="I86" i="70"/>
  <c r="J86" i="70"/>
  <c r="K86" i="70"/>
  <c r="L86" i="70"/>
  <c r="D87" i="70"/>
  <c r="E87" i="70"/>
  <c r="F87" i="70"/>
  <c r="G87" i="70"/>
  <c r="H87" i="70"/>
  <c r="I87" i="70"/>
  <c r="J87" i="70"/>
  <c r="K87" i="70"/>
  <c r="L87" i="70"/>
  <c r="M87" i="70"/>
  <c r="D88" i="70"/>
  <c r="E88" i="70"/>
  <c r="F88" i="70"/>
  <c r="G88" i="70"/>
  <c r="H88" i="70"/>
  <c r="I88" i="70"/>
  <c r="J88" i="70"/>
  <c r="K88" i="70"/>
  <c r="L88" i="70"/>
  <c r="M88" i="70"/>
  <c r="N88" i="70"/>
  <c r="D89" i="70"/>
  <c r="E89" i="70"/>
  <c r="F89" i="70"/>
  <c r="G89" i="70"/>
  <c r="H89" i="70"/>
  <c r="I89" i="70"/>
  <c r="J89" i="70"/>
  <c r="K89" i="70"/>
  <c r="L89" i="70"/>
  <c r="M89" i="70"/>
  <c r="N89" i="70"/>
  <c r="O89" i="70"/>
  <c r="D90" i="70"/>
  <c r="E90" i="70"/>
  <c r="F90" i="70"/>
  <c r="G90" i="70"/>
  <c r="H90" i="70"/>
  <c r="I90" i="70"/>
  <c r="J90" i="70"/>
  <c r="K90" i="70"/>
  <c r="L90" i="70"/>
  <c r="M90" i="70"/>
  <c r="N90" i="70"/>
  <c r="O90" i="70"/>
  <c r="P90" i="70"/>
  <c r="D91" i="70"/>
  <c r="E91" i="70"/>
  <c r="F91" i="70"/>
  <c r="G91" i="70"/>
  <c r="H91" i="70"/>
  <c r="I91" i="70"/>
  <c r="J91" i="70"/>
  <c r="K91" i="70"/>
  <c r="L91" i="70"/>
  <c r="M91" i="70"/>
  <c r="N91" i="70"/>
  <c r="O91" i="70"/>
  <c r="P91" i="70"/>
  <c r="Q91" i="70"/>
  <c r="D92" i="70"/>
  <c r="E92" i="70"/>
  <c r="F92" i="70"/>
  <c r="G92" i="70"/>
  <c r="H92" i="70"/>
  <c r="I92" i="70"/>
  <c r="J92" i="70"/>
  <c r="K92" i="70"/>
  <c r="L92" i="70"/>
  <c r="M92" i="70"/>
  <c r="N92" i="70"/>
  <c r="O92" i="70"/>
  <c r="P92" i="70"/>
  <c r="Q92" i="70"/>
  <c r="R92" i="70"/>
  <c r="D93" i="70"/>
  <c r="E93" i="70"/>
  <c r="F93" i="70"/>
  <c r="G93" i="70"/>
  <c r="H93" i="70"/>
  <c r="I93" i="70"/>
  <c r="J93" i="70"/>
  <c r="K93" i="70"/>
  <c r="L93" i="70"/>
  <c r="M93" i="70"/>
  <c r="N93" i="70"/>
  <c r="O93" i="70"/>
  <c r="P93" i="70"/>
  <c r="Q93" i="70"/>
  <c r="R93" i="70"/>
  <c r="S93" i="70"/>
  <c r="D94" i="70"/>
  <c r="E94" i="70"/>
  <c r="F94" i="70"/>
  <c r="G94" i="70"/>
  <c r="H94" i="70"/>
  <c r="I94" i="70"/>
  <c r="J94" i="70"/>
  <c r="K94" i="70"/>
  <c r="L94" i="70"/>
  <c r="M94" i="70"/>
  <c r="N94" i="70"/>
  <c r="O94" i="70"/>
  <c r="P94" i="70"/>
  <c r="Q94" i="70"/>
  <c r="R94" i="70"/>
  <c r="S94" i="70"/>
  <c r="T94" i="70"/>
  <c r="D95" i="70"/>
  <c r="E95" i="70"/>
  <c r="F95" i="70"/>
  <c r="G95" i="70"/>
  <c r="H95" i="70"/>
  <c r="I95" i="70"/>
  <c r="J95" i="70"/>
  <c r="K95" i="70"/>
  <c r="L95" i="70"/>
  <c r="M95" i="70"/>
  <c r="N95" i="70"/>
  <c r="O95" i="70"/>
  <c r="P95" i="70"/>
  <c r="Q95" i="70"/>
  <c r="R95" i="70"/>
  <c r="S95" i="70"/>
  <c r="T95" i="70"/>
  <c r="U95" i="70"/>
  <c r="D96" i="70"/>
  <c r="E96" i="70"/>
  <c r="F96" i="70"/>
  <c r="G96" i="70"/>
  <c r="H96" i="70"/>
  <c r="I96" i="70"/>
  <c r="J96" i="70"/>
  <c r="K96" i="70"/>
  <c r="L96" i="70"/>
  <c r="M96" i="70"/>
  <c r="N96" i="70"/>
  <c r="O96" i="70"/>
  <c r="P96" i="70"/>
  <c r="Q96" i="70"/>
  <c r="R96" i="70"/>
  <c r="S96" i="70"/>
  <c r="T96" i="70"/>
  <c r="U96" i="70"/>
  <c r="V96" i="70"/>
  <c r="D97" i="70"/>
  <c r="E97" i="70"/>
  <c r="F97" i="70"/>
  <c r="G97" i="70"/>
  <c r="H97" i="70"/>
  <c r="I97" i="70"/>
  <c r="J97" i="70"/>
  <c r="K97" i="70"/>
  <c r="L97" i="70"/>
  <c r="M97" i="70"/>
  <c r="N97" i="70"/>
  <c r="O97" i="70"/>
  <c r="P97" i="70"/>
  <c r="Q97" i="70"/>
  <c r="R97" i="70"/>
  <c r="S97" i="70"/>
  <c r="T97" i="70"/>
  <c r="U97" i="70"/>
  <c r="V97" i="70"/>
  <c r="W97" i="70"/>
  <c r="D98" i="70"/>
  <c r="E98" i="70"/>
  <c r="F98" i="70"/>
  <c r="G98" i="70"/>
  <c r="H98" i="70"/>
  <c r="I98" i="70"/>
  <c r="J98" i="70"/>
  <c r="K98" i="70"/>
  <c r="L98" i="70"/>
  <c r="M98" i="70"/>
  <c r="N98" i="70"/>
  <c r="O98" i="70"/>
  <c r="P98" i="70"/>
  <c r="Q98" i="70"/>
  <c r="R98" i="70"/>
  <c r="S98" i="70"/>
  <c r="T98" i="70"/>
  <c r="U98" i="70"/>
  <c r="V98" i="70"/>
  <c r="W98" i="70"/>
  <c r="X98" i="70"/>
  <c r="D99" i="70"/>
  <c r="E99" i="70"/>
  <c r="F99" i="70"/>
  <c r="G99" i="70"/>
  <c r="H99" i="70"/>
  <c r="I99" i="70"/>
  <c r="J99" i="70"/>
  <c r="K99" i="70"/>
  <c r="L99" i="70"/>
  <c r="M99" i="70"/>
  <c r="N99" i="70"/>
  <c r="O99" i="70"/>
  <c r="P99" i="70"/>
  <c r="Q99" i="70"/>
  <c r="R99" i="70"/>
  <c r="S99" i="70"/>
  <c r="T99" i="70"/>
  <c r="U99" i="70"/>
  <c r="V99" i="70"/>
  <c r="W99" i="70"/>
  <c r="X99" i="70"/>
  <c r="Y99" i="70"/>
  <c r="D100" i="70"/>
  <c r="E100" i="70"/>
  <c r="F100" i="70"/>
  <c r="G100" i="70"/>
  <c r="H100" i="70"/>
  <c r="I100" i="70"/>
  <c r="J100" i="70"/>
  <c r="K100" i="70"/>
  <c r="L100" i="70"/>
  <c r="M100" i="70"/>
  <c r="N100" i="70"/>
  <c r="O100" i="70"/>
  <c r="P100" i="70"/>
  <c r="Q100" i="70"/>
  <c r="R100" i="70"/>
  <c r="S100" i="70"/>
  <c r="T100" i="70"/>
  <c r="U100" i="70"/>
  <c r="V100" i="70"/>
  <c r="W100" i="70"/>
  <c r="X100" i="70"/>
  <c r="Y100" i="70"/>
  <c r="Z100" i="70"/>
  <c r="D101" i="70"/>
  <c r="E101" i="70"/>
  <c r="F101" i="70"/>
  <c r="G101" i="70"/>
  <c r="H101" i="70"/>
  <c r="I101" i="70"/>
  <c r="J101" i="70"/>
  <c r="K101" i="70"/>
  <c r="L101" i="70"/>
  <c r="M101" i="70"/>
  <c r="N101" i="70"/>
  <c r="O101" i="70"/>
  <c r="P101" i="70"/>
  <c r="Q101" i="70"/>
  <c r="R101" i="70"/>
  <c r="S101" i="70"/>
  <c r="T101" i="70"/>
  <c r="U101" i="70"/>
  <c r="V101" i="70"/>
  <c r="W101" i="70"/>
  <c r="X101" i="70"/>
  <c r="Y101" i="70"/>
  <c r="Z101" i="70"/>
  <c r="AA101" i="70"/>
  <c r="C77" i="70"/>
  <c r="C78" i="70"/>
  <c r="C79" i="70"/>
  <c r="C80" i="70"/>
  <c r="C81" i="70"/>
  <c r="C82" i="70"/>
  <c r="C83" i="70"/>
  <c r="C84" i="70"/>
  <c r="C85" i="70"/>
  <c r="C86" i="70"/>
  <c r="C87" i="70"/>
  <c r="C88" i="70"/>
  <c r="C89" i="70"/>
  <c r="C90" i="70"/>
  <c r="C91" i="70"/>
  <c r="C92" i="70"/>
  <c r="C93" i="70"/>
  <c r="C94" i="70"/>
  <c r="C95" i="70"/>
  <c r="C96" i="70"/>
  <c r="C97" i="70"/>
  <c r="C98" i="70"/>
  <c r="C99" i="70"/>
  <c r="C100" i="70"/>
  <c r="C101" i="70"/>
  <c r="D78" i="52"/>
  <c r="D79" i="52"/>
  <c r="E79" i="52"/>
  <c r="D80" i="52"/>
  <c r="E80" i="52"/>
  <c r="F80" i="52"/>
  <c r="D81" i="52"/>
  <c r="E81" i="52"/>
  <c r="F81" i="52"/>
  <c r="G81" i="52"/>
  <c r="D82" i="52"/>
  <c r="E82" i="52"/>
  <c r="F82" i="52"/>
  <c r="G82" i="52"/>
  <c r="H82" i="52"/>
  <c r="D83" i="52"/>
  <c r="E83" i="52"/>
  <c r="F83" i="52"/>
  <c r="G83" i="52"/>
  <c r="H83" i="52"/>
  <c r="I83" i="52"/>
  <c r="D84" i="52"/>
  <c r="E84" i="52"/>
  <c r="F84" i="52"/>
  <c r="G84" i="52"/>
  <c r="H84" i="52"/>
  <c r="I84" i="52"/>
  <c r="J84" i="52"/>
  <c r="D85" i="52"/>
  <c r="E85" i="52"/>
  <c r="F85" i="52"/>
  <c r="G85" i="52"/>
  <c r="H85" i="52"/>
  <c r="I85" i="52"/>
  <c r="J85" i="52"/>
  <c r="K85" i="52"/>
  <c r="D86" i="52"/>
  <c r="E86" i="52"/>
  <c r="F86" i="52"/>
  <c r="G86" i="52"/>
  <c r="H86" i="52"/>
  <c r="I86" i="52"/>
  <c r="J86" i="52"/>
  <c r="K86" i="52"/>
  <c r="L86" i="52"/>
  <c r="D87" i="52"/>
  <c r="E87" i="52"/>
  <c r="F87" i="52"/>
  <c r="G87" i="52"/>
  <c r="H87" i="52"/>
  <c r="I87" i="52"/>
  <c r="J87" i="52"/>
  <c r="K87" i="52"/>
  <c r="L87" i="52"/>
  <c r="M87" i="52"/>
  <c r="D88" i="52"/>
  <c r="E88" i="52"/>
  <c r="F88" i="52"/>
  <c r="G88" i="52"/>
  <c r="H88" i="52"/>
  <c r="I88" i="52"/>
  <c r="J88" i="52"/>
  <c r="K88" i="52"/>
  <c r="L88" i="52"/>
  <c r="M88" i="52"/>
  <c r="N88" i="52"/>
  <c r="D89" i="52"/>
  <c r="E89" i="52"/>
  <c r="F89" i="52"/>
  <c r="G89" i="52"/>
  <c r="H89" i="52"/>
  <c r="I89" i="52"/>
  <c r="J89" i="52"/>
  <c r="K89" i="52"/>
  <c r="L89" i="52"/>
  <c r="M89" i="52"/>
  <c r="N89" i="52"/>
  <c r="O89" i="52"/>
  <c r="D90" i="52"/>
  <c r="E90" i="52"/>
  <c r="F90" i="52"/>
  <c r="G90" i="52"/>
  <c r="H90" i="52"/>
  <c r="I90" i="52"/>
  <c r="J90" i="52"/>
  <c r="K90" i="52"/>
  <c r="L90" i="52"/>
  <c r="M90" i="52"/>
  <c r="N90" i="52"/>
  <c r="O90" i="52"/>
  <c r="P90" i="52"/>
  <c r="D91" i="52"/>
  <c r="E91" i="52"/>
  <c r="F91" i="52"/>
  <c r="G91" i="52"/>
  <c r="H91" i="52"/>
  <c r="I91" i="52"/>
  <c r="J91" i="52"/>
  <c r="K91" i="52"/>
  <c r="L91" i="52"/>
  <c r="M91" i="52"/>
  <c r="N91" i="52"/>
  <c r="O91" i="52"/>
  <c r="P91" i="52"/>
  <c r="Q91" i="52"/>
  <c r="D92" i="52"/>
  <c r="E92" i="52"/>
  <c r="F92" i="52"/>
  <c r="G92" i="52"/>
  <c r="H92" i="52"/>
  <c r="I92" i="52"/>
  <c r="J92" i="52"/>
  <c r="K92" i="52"/>
  <c r="L92" i="52"/>
  <c r="M92" i="52"/>
  <c r="N92" i="52"/>
  <c r="O92" i="52"/>
  <c r="P92" i="52"/>
  <c r="Q92" i="52"/>
  <c r="R92" i="52"/>
  <c r="D93" i="52"/>
  <c r="E93" i="52"/>
  <c r="F93" i="52"/>
  <c r="G93" i="52"/>
  <c r="H93" i="52"/>
  <c r="I93" i="52"/>
  <c r="J93" i="52"/>
  <c r="K93" i="52"/>
  <c r="L93" i="52"/>
  <c r="M93" i="52"/>
  <c r="N93" i="52"/>
  <c r="O93" i="52"/>
  <c r="P93" i="52"/>
  <c r="Q93" i="52"/>
  <c r="R93" i="52"/>
  <c r="S93" i="52"/>
  <c r="D94" i="52"/>
  <c r="E94" i="52"/>
  <c r="F94" i="52"/>
  <c r="G94" i="52"/>
  <c r="H94" i="52"/>
  <c r="I94" i="52"/>
  <c r="J94" i="52"/>
  <c r="K94" i="52"/>
  <c r="L94" i="52"/>
  <c r="M94" i="52"/>
  <c r="N94" i="52"/>
  <c r="O94" i="52"/>
  <c r="P94" i="52"/>
  <c r="Q94" i="52"/>
  <c r="R94" i="52"/>
  <c r="S94" i="52"/>
  <c r="T94" i="52"/>
  <c r="D95" i="52"/>
  <c r="E95" i="52"/>
  <c r="F95" i="52"/>
  <c r="G95" i="52"/>
  <c r="H95" i="52"/>
  <c r="I95" i="52"/>
  <c r="J95" i="52"/>
  <c r="K95" i="52"/>
  <c r="L95" i="52"/>
  <c r="M95" i="52"/>
  <c r="N95" i="52"/>
  <c r="O95" i="52"/>
  <c r="P95" i="52"/>
  <c r="Q95" i="52"/>
  <c r="R95" i="52"/>
  <c r="S95" i="52"/>
  <c r="T95" i="52"/>
  <c r="U95" i="52"/>
  <c r="D96" i="52"/>
  <c r="E96" i="52"/>
  <c r="F96" i="52"/>
  <c r="G96" i="52"/>
  <c r="H96" i="52"/>
  <c r="I96" i="52"/>
  <c r="J96" i="52"/>
  <c r="K96" i="52"/>
  <c r="L96" i="52"/>
  <c r="M96" i="52"/>
  <c r="N96" i="52"/>
  <c r="O96" i="52"/>
  <c r="P96" i="52"/>
  <c r="Q96" i="52"/>
  <c r="R96" i="52"/>
  <c r="S96" i="52"/>
  <c r="T96" i="52"/>
  <c r="U96" i="52"/>
  <c r="V96" i="52"/>
  <c r="D97" i="52"/>
  <c r="E97" i="52"/>
  <c r="F97" i="52"/>
  <c r="G97" i="52"/>
  <c r="H97" i="52"/>
  <c r="I97" i="52"/>
  <c r="J97" i="52"/>
  <c r="K97" i="52"/>
  <c r="L97" i="52"/>
  <c r="M97" i="52"/>
  <c r="N97" i="52"/>
  <c r="O97" i="52"/>
  <c r="P97" i="52"/>
  <c r="Q97" i="52"/>
  <c r="R97" i="52"/>
  <c r="S97" i="52"/>
  <c r="T97" i="52"/>
  <c r="U97" i="52"/>
  <c r="V97" i="52"/>
  <c r="W97" i="52"/>
  <c r="D98" i="52"/>
  <c r="E98" i="52"/>
  <c r="F98" i="52"/>
  <c r="G98" i="52"/>
  <c r="H98" i="52"/>
  <c r="I98" i="52"/>
  <c r="J98" i="52"/>
  <c r="K98" i="52"/>
  <c r="L98" i="52"/>
  <c r="M98" i="52"/>
  <c r="N98" i="52"/>
  <c r="O98" i="52"/>
  <c r="P98" i="52"/>
  <c r="Q98" i="52"/>
  <c r="R98" i="52"/>
  <c r="S98" i="52"/>
  <c r="T98" i="52"/>
  <c r="U98" i="52"/>
  <c r="V98" i="52"/>
  <c r="W98" i="52"/>
  <c r="X98" i="52"/>
  <c r="D99" i="52"/>
  <c r="E99" i="52"/>
  <c r="F99" i="52"/>
  <c r="G99" i="52"/>
  <c r="H99" i="52"/>
  <c r="I99" i="52"/>
  <c r="J99" i="52"/>
  <c r="K99" i="52"/>
  <c r="L99" i="52"/>
  <c r="M99" i="52"/>
  <c r="N99" i="52"/>
  <c r="O99" i="52"/>
  <c r="P99" i="52"/>
  <c r="Q99" i="52"/>
  <c r="R99" i="52"/>
  <c r="S99" i="52"/>
  <c r="T99" i="52"/>
  <c r="U99" i="52"/>
  <c r="V99" i="52"/>
  <c r="W99" i="52"/>
  <c r="X99" i="52"/>
  <c r="Y99" i="52"/>
  <c r="D100" i="52"/>
  <c r="E100" i="52"/>
  <c r="F100" i="52"/>
  <c r="G100" i="52"/>
  <c r="H100" i="52"/>
  <c r="I100" i="52"/>
  <c r="J100" i="52"/>
  <c r="K100" i="52"/>
  <c r="L100" i="52"/>
  <c r="M100" i="52"/>
  <c r="N100" i="52"/>
  <c r="O100" i="52"/>
  <c r="P100" i="52"/>
  <c r="Q100" i="52"/>
  <c r="R100" i="52"/>
  <c r="S100" i="52"/>
  <c r="T100" i="52"/>
  <c r="U100" i="52"/>
  <c r="V100" i="52"/>
  <c r="W100" i="52"/>
  <c r="X100" i="52"/>
  <c r="Y100" i="52"/>
  <c r="Z100" i="52"/>
  <c r="D101" i="52"/>
  <c r="E101" i="52"/>
  <c r="F101" i="52"/>
  <c r="G101" i="52"/>
  <c r="H101" i="52"/>
  <c r="I101" i="52"/>
  <c r="J101" i="52"/>
  <c r="K101" i="52"/>
  <c r="L101" i="52"/>
  <c r="M101" i="52"/>
  <c r="N101" i="52"/>
  <c r="O101" i="52"/>
  <c r="P101" i="52"/>
  <c r="Q101" i="52"/>
  <c r="R101" i="52"/>
  <c r="S101" i="52"/>
  <c r="T101" i="52"/>
  <c r="U101" i="52"/>
  <c r="V101" i="52"/>
  <c r="W101" i="52"/>
  <c r="X101" i="52"/>
  <c r="Y101" i="52"/>
  <c r="Z101" i="52"/>
  <c r="AA101" i="52"/>
  <c r="C77" i="52"/>
  <c r="C78" i="52"/>
  <c r="C79" i="52"/>
  <c r="C80" i="52"/>
  <c r="C81" i="52"/>
  <c r="C82" i="52"/>
  <c r="C83" i="52"/>
  <c r="C84" i="52"/>
  <c r="C85" i="52"/>
  <c r="C86" i="52"/>
  <c r="C87" i="52"/>
  <c r="C88" i="52"/>
  <c r="C89" i="52"/>
  <c r="C90" i="52"/>
  <c r="C91" i="52"/>
  <c r="C92" i="52"/>
  <c r="C93" i="52"/>
  <c r="C94" i="52"/>
  <c r="C95" i="52"/>
  <c r="C96" i="52"/>
  <c r="C97" i="52"/>
  <c r="C98" i="52"/>
  <c r="C99" i="52"/>
  <c r="C100" i="52"/>
  <c r="C101" i="52"/>
  <c r="S138" i="71"/>
  <c r="T138" i="71"/>
  <c r="U138" i="71"/>
  <c r="V138" i="71"/>
  <c r="W138" i="71"/>
  <c r="X138" i="71"/>
  <c r="Y138" i="71"/>
  <c r="Z138" i="71"/>
  <c r="AA138" i="71"/>
  <c r="AB138" i="71"/>
  <c r="S139" i="71"/>
  <c r="T139" i="71"/>
  <c r="U139" i="71"/>
  <c r="V139" i="71"/>
  <c r="W139" i="71"/>
  <c r="X139" i="71"/>
  <c r="Y139" i="71"/>
  <c r="Z139" i="71"/>
  <c r="AA139" i="71"/>
  <c r="AB139" i="71"/>
  <c r="S140" i="71"/>
  <c r="T140" i="71"/>
  <c r="U140" i="71"/>
  <c r="V140" i="71"/>
  <c r="W140" i="71"/>
  <c r="X140" i="71"/>
  <c r="Y140" i="71"/>
  <c r="Z140" i="71"/>
  <c r="AA140" i="71"/>
  <c r="AB140" i="71"/>
  <c r="S141" i="71"/>
  <c r="T141" i="71"/>
  <c r="U141" i="71"/>
  <c r="V141" i="71"/>
  <c r="W141" i="71"/>
  <c r="X141" i="71"/>
  <c r="Y141" i="71"/>
  <c r="Z141" i="71"/>
  <c r="AA141" i="71"/>
  <c r="AB141" i="71"/>
  <c r="S142" i="71"/>
  <c r="T142" i="71"/>
  <c r="U142" i="71"/>
  <c r="V142" i="71"/>
  <c r="W142" i="71"/>
  <c r="X142" i="71"/>
  <c r="Y142" i="71"/>
  <c r="Z142" i="71"/>
  <c r="AA142" i="71"/>
  <c r="AB142" i="71"/>
  <c r="S143" i="71"/>
  <c r="T143" i="71"/>
  <c r="U143" i="71"/>
  <c r="V143" i="71"/>
  <c r="W143" i="71"/>
  <c r="X143" i="71"/>
  <c r="Y143" i="71"/>
  <c r="Z143" i="71"/>
  <c r="AA143" i="71"/>
  <c r="AB143" i="71"/>
  <c r="S144" i="71"/>
  <c r="T144" i="71"/>
  <c r="U144" i="71"/>
  <c r="V144" i="71"/>
  <c r="W144" i="71"/>
  <c r="X144" i="71"/>
  <c r="Y144" i="71"/>
  <c r="Z144" i="71"/>
  <c r="AA144" i="71"/>
  <c r="AB144" i="71"/>
  <c r="S145" i="71"/>
  <c r="T145" i="71"/>
  <c r="U145" i="71"/>
  <c r="V145" i="71"/>
  <c r="W145" i="71"/>
  <c r="X145" i="71"/>
  <c r="Y145" i="71"/>
  <c r="Z145" i="71"/>
  <c r="AA145" i="71"/>
  <c r="AB145" i="71"/>
  <c r="S146" i="71"/>
  <c r="T146" i="71"/>
  <c r="U146" i="71"/>
  <c r="V146" i="71"/>
  <c r="W146" i="71"/>
  <c r="X146" i="71"/>
  <c r="Y146" i="71"/>
  <c r="Z146" i="71"/>
  <c r="AA146" i="71"/>
  <c r="AB146" i="71"/>
  <c r="S147" i="71"/>
  <c r="T147" i="71"/>
  <c r="U147" i="71"/>
  <c r="V147" i="71"/>
  <c r="W147" i="71"/>
  <c r="X147" i="71"/>
  <c r="Y147" i="71"/>
  <c r="Z147" i="71"/>
  <c r="AA147" i="71"/>
  <c r="AB147" i="71"/>
  <c r="S148" i="71"/>
  <c r="T148" i="71"/>
  <c r="U148" i="71"/>
  <c r="V148" i="71"/>
  <c r="W148" i="71"/>
  <c r="X148" i="71"/>
  <c r="Y148" i="71"/>
  <c r="Z148" i="71"/>
  <c r="AA148" i="71"/>
  <c r="AB148" i="71"/>
  <c r="S149" i="71"/>
  <c r="D37" i="66" s="1"/>
  <c r="T149" i="71"/>
  <c r="E37" i="66" s="1"/>
  <c r="U149" i="71"/>
  <c r="F37" i="66" s="1"/>
  <c r="V149" i="71"/>
  <c r="G37" i="66" s="1"/>
  <c r="W149" i="71"/>
  <c r="H37" i="66" s="1"/>
  <c r="X149" i="71"/>
  <c r="I37" i="66" s="1"/>
  <c r="Y149" i="71"/>
  <c r="J37" i="66" s="1"/>
  <c r="Z149" i="71"/>
  <c r="K37" i="66" s="1"/>
  <c r="AA149" i="71"/>
  <c r="L37" i="66" s="1"/>
  <c r="AB149" i="71"/>
  <c r="M37" i="66" s="1"/>
  <c r="S150" i="71"/>
  <c r="D36" i="66" s="1"/>
  <c r="T150" i="71"/>
  <c r="E36" i="66" s="1"/>
  <c r="U150" i="71"/>
  <c r="F36" i="66" s="1"/>
  <c r="V150" i="71"/>
  <c r="G36" i="66" s="1"/>
  <c r="W150" i="71"/>
  <c r="H36" i="66" s="1"/>
  <c r="X150" i="71"/>
  <c r="I36" i="66" s="1"/>
  <c r="Y150" i="71"/>
  <c r="J36" i="66" s="1"/>
  <c r="Z150" i="71"/>
  <c r="K36" i="66" s="1"/>
  <c r="AA150" i="71"/>
  <c r="L36" i="66" s="1"/>
  <c r="AB150" i="71"/>
  <c r="M36" i="66" s="1"/>
  <c r="S145" i="68"/>
  <c r="T145" i="68"/>
  <c r="U145" i="68"/>
  <c r="V145" i="68"/>
  <c r="W145" i="68"/>
  <c r="X145" i="68"/>
  <c r="Y145" i="68"/>
  <c r="Z145" i="68"/>
  <c r="AA145" i="68"/>
  <c r="AB145" i="68"/>
  <c r="S144" i="68"/>
  <c r="T144" i="68"/>
  <c r="U144" i="68"/>
  <c r="V144" i="68"/>
  <c r="W144" i="68"/>
  <c r="X144" i="68"/>
  <c r="Y144" i="68"/>
  <c r="Z144" i="68"/>
  <c r="AA144" i="68"/>
  <c r="AB144" i="68"/>
  <c r="S143" i="68"/>
  <c r="T143" i="68"/>
  <c r="U143" i="68"/>
  <c r="V143" i="68"/>
  <c r="W143" i="68"/>
  <c r="X143" i="68"/>
  <c r="Y143" i="68"/>
  <c r="Z143" i="68"/>
  <c r="AA143" i="68"/>
  <c r="AB143" i="68"/>
  <c r="S142" i="68"/>
  <c r="T142" i="68"/>
  <c r="U142" i="68"/>
  <c r="V142" i="68"/>
  <c r="W142" i="68"/>
  <c r="X142" i="68"/>
  <c r="Y142" i="68"/>
  <c r="Z142" i="68"/>
  <c r="AA142" i="68"/>
  <c r="AB142" i="68"/>
  <c r="S141" i="68"/>
  <c r="T141" i="68"/>
  <c r="U141" i="68"/>
  <c r="V141" i="68"/>
  <c r="W141" i="68"/>
  <c r="X141" i="68"/>
  <c r="Y141" i="68"/>
  <c r="Z141" i="68"/>
  <c r="AA141" i="68"/>
  <c r="AB141" i="68"/>
  <c r="S140" i="68"/>
  <c r="T140" i="68"/>
  <c r="U140" i="68"/>
  <c r="V140" i="68"/>
  <c r="W140" i="68"/>
  <c r="X140" i="68"/>
  <c r="Y140" i="68"/>
  <c r="Z140" i="68"/>
  <c r="AA140" i="68"/>
  <c r="AB140" i="68"/>
  <c r="S139" i="68"/>
  <c r="T139" i="68"/>
  <c r="U139" i="68"/>
  <c r="V139" i="68"/>
  <c r="W139" i="68"/>
  <c r="X139" i="68"/>
  <c r="Y139" i="68"/>
  <c r="Z139" i="68"/>
  <c r="AA139" i="68"/>
  <c r="AB139" i="68"/>
  <c r="S148" i="68"/>
  <c r="T148" i="68"/>
  <c r="U148" i="68"/>
  <c r="V148" i="68"/>
  <c r="W148" i="68"/>
  <c r="X148" i="68"/>
  <c r="Y148" i="68"/>
  <c r="Z148" i="68"/>
  <c r="AA148" i="68"/>
  <c r="AB148" i="68"/>
  <c r="S147" i="68"/>
  <c r="T147" i="68"/>
  <c r="U147" i="68"/>
  <c r="V147" i="68"/>
  <c r="W147" i="68"/>
  <c r="X147" i="68"/>
  <c r="Y147" i="68"/>
  <c r="Z147" i="68"/>
  <c r="AA147" i="68"/>
  <c r="AB147" i="68"/>
  <c r="S146" i="68"/>
  <c r="T146" i="68"/>
  <c r="U146" i="68"/>
  <c r="V146" i="68"/>
  <c r="W146" i="68"/>
  <c r="X146" i="68"/>
  <c r="Y146" i="68"/>
  <c r="Z146" i="68"/>
  <c r="AA146" i="68"/>
  <c r="AB146" i="68"/>
  <c r="S138" i="68"/>
  <c r="T138" i="68"/>
  <c r="U138" i="68"/>
  <c r="V138" i="68"/>
  <c r="W138" i="68"/>
  <c r="X138" i="68"/>
  <c r="Y138" i="68"/>
  <c r="Z138" i="68"/>
  <c r="AA138" i="68"/>
  <c r="AB138" i="68"/>
  <c r="F35" i="46"/>
  <c r="F36" i="46"/>
  <c r="F37" i="46"/>
  <c r="F38" i="46"/>
  <c r="F39" i="46"/>
  <c r="F40" i="46"/>
  <c r="F41" i="46"/>
  <c r="F42" i="46"/>
  <c r="F43" i="46"/>
  <c r="F44" i="46"/>
  <c r="F45" i="46"/>
  <c r="F46" i="46"/>
  <c r="F47" i="46"/>
  <c r="F48" i="46"/>
  <c r="F49" i="46"/>
  <c r="F50" i="46"/>
  <c r="F51" i="46"/>
  <c r="F52" i="46"/>
  <c r="F53" i="46"/>
  <c r="F54" i="46"/>
  <c r="F55" i="46"/>
  <c r="F56" i="46"/>
  <c r="F57" i="46"/>
  <c r="F58" i="46"/>
  <c r="F59" i="46"/>
  <c r="F60" i="46"/>
  <c r="F61" i="46"/>
  <c r="F62" i="46"/>
  <c r="F63" i="46"/>
  <c r="F64" i="46"/>
  <c r="F65" i="46"/>
  <c r="F66" i="46"/>
  <c r="F34" i="46"/>
  <c r="AB32" i="71"/>
  <c r="AA31" i="71"/>
  <c r="Z30" i="71"/>
  <c r="Z99" i="71" s="1"/>
  <c r="Y29" i="71"/>
  <c r="X28" i="71"/>
  <c r="W27" i="71"/>
  <c r="V26" i="71"/>
  <c r="V95" i="71" s="1"/>
  <c r="U25" i="71"/>
  <c r="T24" i="71"/>
  <c r="S23" i="71"/>
  <c r="S35" i="72"/>
  <c r="T35" i="72"/>
  <c r="U35" i="72"/>
  <c r="V35" i="72"/>
  <c r="W35" i="72"/>
  <c r="X35" i="72"/>
  <c r="Y35" i="72"/>
  <c r="Z35" i="72"/>
  <c r="AA35" i="72"/>
  <c r="AB35" i="72"/>
  <c r="T37" i="72"/>
  <c r="U37" i="72"/>
  <c r="V37" i="72"/>
  <c r="W37" i="72"/>
  <c r="X37" i="72"/>
  <c r="Y37" i="72"/>
  <c r="Z37" i="72"/>
  <c r="AA37" i="72"/>
  <c r="AB37" i="72"/>
  <c r="T36" i="72"/>
  <c r="U36" i="72"/>
  <c r="V36" i="72"/>
  <c r="W36" i="72"/>
  <c r="X36" i="72"/>
  <c r="Y36" i="72"/>
  <c r="Z36" i="72"/>
  <c r="AA36" i="72"/>
  <c r="AB36" i="72"/>
  <c r="T37" i="73"/>
  <c r="U37" i="73"/>
  <c r="V37" i="73"/>
  <c r="W37" i="73"/>
  <c r="X37" i="73"/>
  <c r="Y37" i="73"/>
  <c r="Z37" i="73"/>
  <c r="AA37" i="73"/>
  <c r="AB37" i="73"/>
  <c r="T36" i="73"/>
  <c r="U36" i="73"/>
  <c r="V36" i="73"/>
  <c r="W36" i="73"/>
  <c r="X36" i="73"/>
  <c r="Y36" i="73"/>
  <c r="Z36" i="73"/>
  <c r="AA36" i="73"/>
  <c r="AB36" i="73"/>
  <c r="S35" i="73"/>
  <c r="T35" i="73"/>
  <c r="U35" i="73"/>
  <c r="V35" i="73"/>
  <c r="W35" i="73"/>
  <c r="X35" i="73"/>
  <c r="Y35" i="73"/>
  <c r="Z35" i="73"/>
  <c r="AA35" i="73"/>
  <c r="AB35" i="73"/>
  <c r="C35" i="73"/>
  <c r="C35" i="72"/>
  <c r="T37" i="71"/>
  <c r="U37" i="71"/>
  <c r="V37" i="71"/>
  <c r="W37" i="71"/>
  <c r="X37" i="71"/>
  <c r="Y37" i="71"/>
  <c r="Z37" i="71"/>
  <c r="AA37" i="71"/>
  <c r="AB37" i="71"/>
  <c r="T36" i="71"/>
  <c r="U36" i="71"/>
  <c r="V36" i="71"/>
  <c r="W36" i="71"/>
  <c r="X36" i="71"/>
  <c r="Y36" i="71"/>
  <c r="Z36" i="71"/>
  <c r="AA36" i="71"/>
  <c r="AB36" i="71"/>
  <c r="S35" i="71"/>
  <c r="T35" i="71"/>
  <c r="U35" i="71"/>
  <c r="V35" i="71"/>
  <c r="W35" i="71"/>
  <c r="X35" i="71"/>
  <c r="Y35" i="71"/>
  <c r="Z35" i="71"/>
  <c r="AA35" i="71"/>
  <c r="AB35" i="71"/>
  <c r="C35" i="71"/>
  <c r="T189" i="69"/>
  <c r="E28" i="66" s="1"/>
  <c r="U189" i="69"/>
  <c r="F28" i="66" s="1"/>
  <c r="V189" i="69"/>
  <c r="G28" i="66" s="1"/>
  <c r="W189" i="69"/>
  <c r="H28" i="66" s="1"/>
  <c r="X189" i="69"/>
  <c r="I28" i="66" s="1"/>
  <c r="Y189" i="69"/>
  <c r="J28" i="66" s="1"/>
  <c r="Z189" i="69"/>
  <c r="K28" i="66" s="1"/>
  <c r="AA189" i="69"/>
  <c r="L28" i="66" s="1"/>
  <c r="AB189" i="69"/>
  <c r="M28" i="66" s="1"/>
  <c r="T36" i="70"/>
  <c r="U36" i="70"/>
  <c r="V36" i="70"/>
  <c r="W36" i="70"/>
  <c r="X36" i="70"/>
  <c r="Y36" i="70"/>
  <c r="Z36" i="70"/>
  <c r="AA36" i="70"/>
  <c r="AB36" i="70"/>
  <c r="T37" i="70"/>
  <c r="U37" i="70"/>
  <c r="V37" i="70"/>
  <c r="W37" i="70"/>
  <c r="X37" i="70"/>
  <c r="Y37" i="70"/>
  <c r="Z37" i="70"/>
  <c r="AA37" i="70"/>
  <c r="AB37" i="70"/>
  <c r="S35" i="70"/>
  <c r="T35" i="70"/>
  <c r="U35" i="70"/>
  <c r="V35" i="70"/>
  <c r="W35" i="70"/>
  <c r="X35" i="70"/>
  <c r="Y35" i="70"/>
  <c r="Z35" i="70"/>
  <c r="AA35" i="70"/>
  <c r="AB35" i="70"/>
  <c r="C35" i="70"/>
  <c r="T36" i="69"/>
  <c r="U36" i="69"/>
  <c r="V36" i="69"/>
  <c r="W36" i="69"/>
  <c r="X36" i="69"/>
  <c r="Y36" i="69"/>
  <c r="Z36" i="69"/>
  <c r="AA36" i="69"/>
  <c r="AB36" i="69"/>
  <c r="T37" i="69"/>
  <c r="U37" i="69"/>
  <c r="V37" i="69"/>
  <c r="W37" i="69"/>
  <c r="X37" i="69"/>
  <c r="Y37" i="69"/>
  <c r="Z37" i="69"/>
  <c r="AA37" i="69"/>
  <c r="AB37" i="69"/>
  <c r="S35" i="69"/>
  <c r="T35" i="69"/>
  <c r="U35" i="69"/>
  <c r="V35" i="69"/>
  <c r="W35" i="69"/>
  <c r="X35" i="69"/>
  <c r="Y35" i="69"/>
  <c r="Z35" i="69"/>
  <c r="AA35" i="69"/>
  <c r="AB35" i="69"/>
  <c r="C35" i="69"/>
  <c r="T37" i="68"/>
  <c r="U37" i="68"/>
  <c r="V37" i="68"/>
  <c r="W37" i="68"/>
  <c r="X37" i="68"/>
  <c r="Y37" i="68"/>
  <c r="Z37" i="68"/>
  <c r="AA37" i="68"/>
  <c r="AB37" i="68"/>
  <c r="T36" i="68"/>
  <c r="U36" i="68"/>
  <c r="V36" i="68"/>
  <c r="W36" i="68"/>
  <c r="X36" i="68"/>
  <c r="Y36" i="68"/>
  <c r="Z36" i="68"/>
  <c r="AA36" i="68"/>
  <c r="AB36" i="68"/>
  <c r="S35" i="68"/>
  <c r="T35" i="68"/>
  <c r="U35" i="68"/>
  <c r="V35" i="68"/>
  <c r="W35" i="68"/>
  <c r="X35" i="68"/>
  <c r="Y35" i="68"/>
  <c r="Z35" i="68"/>
  <c r="AA35" i="68"/>
  <c r="AB35" i="68"/>
  <c r="C35" i="68"/>
  <c r="R37" i="65"/>
  <c r="S37" i="65"/>
  <c r="T37" i="65"/>
  <c r="U37" i="65"/>
  <c r="V37" i="65"/>
  <c r="W37" i="65"/>
  <c r="X37" i="65"/>
  <c r="Y37" i="65"/>
  <c r="Z37" i="65"/>
  <c r="AA37" i="65"/>
  <c r="AB37" i="65"/>
  <c r="R35" i="65"/>
  <c r="S35" i="65"/>
  <c r="T35" i="65"/>
  <c r="U35" i="65"/>
  <c r="V35" i="65"/>
  <c r="W35" i="65"/>
  <c r="X35" i="65"/>
  <c r="Y35" i="65"/>
  <c r="Z35" i="65"/>
  <c r="AA35" i="65"/>
  <c r="AB35" i="65"/>
  <c r="C35" i="65"/>
  <c r="H214" i="25"/>
  <c r="H215" i="25"/>
  <c r="E35" i="72" s="1"/>
  <c r="H216" i="25"/>
  <c r="F35" i="71" s="1"/>
  <c r="H217" i="25"/>
  <c r="H218" i="25"/>
  <c r="H219" i="25"/>
  <c r="I35" i="72" s="1"/>
  <c r="H220" i="25"/>
  <c r="H221" i="25"/>
  <c r="H222" i="25"/>
  <c r="H223" i="25"/>
  <c r="M35" i="72" s="1"/>
  <c r="H224" i="25"/>
  <c r="N35" i="71" s="1"/>
  <c r="H225" i="25"/>
  <c r="H226" i="25"/>
  <c r="H227" i="25"/>
  <c r="Q35" i="72" s="1"/>
  <c r="H228" i="25"/>
  <c r="H229" i="25"/>
  <c r="H230" i="25"/>
  <c r="H231" i="25"/>
  <c r="H232" i="25"/>
  <c r="H233" i="25"/>
  <c r="H234" i="25"/>
  <c r="H235" i="25"/>
  <c r="C36" i="71" s="1"/>
  <c r="H236" i="25"/>
  <c r="H237" i="25"/>
  <c r="H238" i="25"/>
  <c r="F36" i="72" s="1"/>
  <c r="H239" i="25"/>
  <c r="H240" i="25"/>
  <c r="H241" i="25"/>
  <c r="H242" i="25"/>
  <c r="J36" i="72" s="1"/>
  <c r="H243" i="25"/>
  <c r="K36" i="71" s="1"/>
  <c r="H244" i="25"/>
  <c r="H245" i="25"/>
  <c r="H246" i="25"/>
  <c r="N36" i="72" s="1"/>
  <c r="H247" i="25"/>
  <c r="H248" i="25"/>
  <c r="H249" i="25"/>
  <c r="H250" i="25"/>
  <c r="R36" i="72" s="1"/>
  <c r="H251" i="25"/>
  <c r="H252" i="25"/>
  <c r="H253" i="25"/>
  <c r="H254" i="25"/>
  <c r="H255" i="25"/>
  <c r="H256" i="25"/>
  <c r="H257" i="25"/>
  <c r="H258" i="25"/>
  <c r="H259" i="25"/>
  <c r="H260" i="25"/>
  <c r="D37" i="71" s="1"/>
  <c r="H261" i="25"/>
  <c r="H262" i="25"/>
  <c r="H263" i="25"/>
  <c r="H264" i="25"/>
  <c r="H37" i="71" s="1"/>
  <c r="H265" i="25"/>
  <c r="H266" i="25"/>
  <c r="H267" i="25"/>
  <c r="H268" i="25"/>
  <c r="L37" i="71" s="1"/>
  <c r="H269" i="25"/>
  <c r="H270" i="25"/>
  <c r="H271" i="25"/>
  <c r="H272" i="25"/>
  <c r="P37" i="71" s="1"/>
  <c r="H273" i="25"/>
  <c r="H274" i="25"/>
  <c r="H275" i="25"/>
  <c r="S37" i="71" s="1"/>
  <c r="H276" i="25"/>
  <c r="H277" i="25"/>
  <c r="H278" i="25"/>
  <c r="H279" i="25"/>
  <c r="H280" i="25"/>
  <c r="H281" i="25"/>
  <c r="H282" i="25"/>
  <c r="H283" i="25"/>
  <c r="H284" i="25"/>
  <c r="H285" i="25"/>
  <c r="H286" i="25"/>
  <c r="H287" i="25"/>
  <c r="H288" i="25"/>
  <c r="H289" i="25"/>
  <c r="H290" i="25"/>
  <c r="H291" i="25"/>
  <c r="H292" i="25"/>
  <c r="H293" i="25"/>
  <c r="H294" i="25"/>
  <c r="H295" i="25"/>
  <c r="H296" i="25"/>
  <c r="H297" i="25"/>
  <c r="H298" i="25"/>
  <c r="H299" i="25"/>
  <c r="H300" i="25"/>
  <c r="H301" i="25"/>
  <c r="H302" i="25"/>
  <c r="H303" i="25"/>
  <c r="H304" i="25"/>
  <c r="H305" i="25"/>
  <c r="H306" i="25"/>
  <c r="H307" i="25"/>
  <c r="H308" i="25"/>
  <c r="H309" i="25"/>
  <c r="H310" i="25"/>
  <c r="H311" i="25"/>
  <c r="H312" i="25"/>
  <c r="H313" i="25"/>
  <c r="H314" i="25"/>
  <c r="H315" i="25"/>
  <c r="H316" i="25"/>
  <c r="H317" i="25"/>
  <c r="H318" i="25"/>
  <c r="H319" i="25"/>
  <c r="H320" i="25"/>
  <c r="H321" i="25"/>
  <c r="H322" i="25"/>
  <c r="H323" i="25"/>
  <c r="H324" i="25"/>
  <c r="H325" i="25"/>
  <c r="H326" i="25"/>
  <c r="H327" i="25"/>
  <c r="H328" i="25"/>
  <c r="H329" i="25"/>
  <c r="H330" i="25"/>
  <c r="H331" i="25"/>
  <c r="H332" i="25"/>
  <c r="H333" i="25"/>
  <c r="H334" i="25"/>
  <c r="H335" i="25"/>
  <c r="H336" i="25"/>
  <c r="H337" i="25"/>
  <c r="F5" i="75"/>
  <c r="J5" i="75" s="1"/>
  <c r="F6" i="75"/>
  <c r="J6" i="75" s="1"/>
  <c r="F7" i="75"/>
  <c r="J7" i="75" s="1"/>
  <c r="F8" i="75"/>
  <c r="J8" i="75" s="1"/>
  <c r="F9" i="75"/>
  <c r="I9" i="75" s="1"/>
  <c r="F10" i="75"/>
  <c r="I10" i="75" s="1"/>
  <c r="F11" i="75"/>
  <c r="J11" i="75" s="1"/>
  <c r="F12" i="75"/>
  <c r="J12" i="75" s="1"/>
  <c r="F13" i="75"/>
  <c r="J13" i="75" s="1"/>
  <c r="F14" i="75"/>
  <c r="J14" i="75" s="1"/>
  <c r="F15" i="75"/>
  <c r="J15" i="75" s="1"/>
  <c r="F16" i="75"/>
  <c r="J16" i="75" s="1"/>
  <c r="F17" i="75"/>
  <c r="I17" i="75" s="1"/>
  <c r="F18" i="75"/>
  <c r="J18" i="75" s="1"/>
  <c r="F19" i="75"/>
  <c r="J19" i="75" s="1"/>
  <c r="F4" i="75"/>
  <c r="J4" i="75" s="1"/>
  <c r="E5" i="75"/>
  <c r="G5" i="75" s="1"/>
  <c r="E6" i="75"/>
  <c r="H6" i="75" s="1"/>
  <c r="E7" i="75"/>
  <c r="H7" i="75" s="1"/>
  <c r="E8" i="75"/>
  <c r="H8" i="75" s="1"/>
  <c r="E9" i="75"/>
  <c r="H9" i="75" s="1"/>
  <c r="E10" i="75"/>
  <c r="G10" i="75" s="1"/>
  <c r="E11" i="75"/>
  <c r="H11" i="75" s="1"/>
  <c r="E12" i="75"/>
  <c r="H12" i="75" s="1"/>
  <c r="E13" i="75"/>
  <c r="H13" i="75" s="1"/>
  <c r="E14" i="75"/>
  <c r="H14" i="75" s="1"/>
  <c r="E15" i="75"/>
  <c r="H15" i="75" s="1"/>
  <c r="E16" i="75"/>
  <c r="H16" i="75" s="1"/>
  <c r="E17" i="75"/>
  <c r="H17" i="75" s="1"/>
  <c r="E18" i="75"/>
  <c r="G18" i="75" s="1"/>
  <c r="E19" i="75"/>
  <c r="H19" i="75" s="1"/>
  <c r="E4" i="75"/>
  <c r="H4" i="75" s="1"/>
  <c r="T93" i="71" l="1"/>
  <c r="X97" i="71"/>
  <c r="AB101" i="71"/>
  <c r="E18" i="54"/>
  <c r="D6" i="54" s="1"/>
  <c r="P6" i="54"/>
  <c r="T5" i="54"/>
  <c r="R6" i="54"/>
  <c r="I5" i="54"/>
  <c r="Y5" i="54"/>
  <c r="K6" i="54"/>
  <c r="AA6" i="54"/>
  <c r="R5" i="54"/>
  <c r="B6" i="54"/>
  <c r="E4" i="54"/>
  <c r="I4" i="54"/>
  <c r="M4" i="54"/>
  <c r="Q4" i="54"/>
  <c r="U4" i="54"/>
  <c r="Y4" i="54"/>
  <c r="D4" i="54"/>
  <c r="F4" i="54"/>
  <c r="J4" i="54"/>
  <c r="N4" i="54"/>
  <c r="R4" i="54"/>
  <c r="V4" i="54"/>
  <c r="Z4" i="54"/>
  <c r="H4" i="54"/>
  <c r="T4" i="54"/>
  <c r="B4" i="54"/>
  <c r="C4" i="54"/>
  <c r="G4" i="54"/>
  <c r="K4" i="54"/>
  <c r="O4" i="54"/>
  <c r="S4" i="54"/>
  <c r="W4" i="54"/>
  <c r="AA4" i="54"/>
  <c r="L4" i="54"/>
  <c r="P4" i="54"/>
  <c r="X4" i="54"/>
  <c r="H18" i="54"/>
  <c r="G6" i="75"/>
  <c r="I18" i="75"/>
  <c r="J10" i="75"/>
  <c r="O37" i="72"/>
  <c r="O37" i="73"/>
  <c r="C37" i="71"/>
  <c r="C38" i="71" s="1"/>
  <c r="C37" i="73"/>
  <c r="S36" i="73"/>
  <c r="S36" i="72"/>
  <c r="G36" i="73"/>
  <c r="G36" i="72"/>
  <c r="Q35" i="71"/>
  <c r="I35" i="71"/>
  <c r="S36" i="71"/>
  <c r="Q35" i="73"/>
  <c r="C37" i="72"/>
  <c r="J36" i="73"/>
  <c r="G14" i="75"/>
  <c r="H18" i="75"/>
  <c r="H10" i="75"/>
  <c r="I14" i="75"/>
  <c r="I6" i="75"/>
  <c r="K37" i="72"/>
  <c r="K37" i="73"/>
  <c r="G17" i="75"/>
  <c r="G9" i="75"/>
  <c r="H5" i="75"/>
  <c r="I13" i="75"/>
  <c r="J17" i="75"/>
  <c r="J9" i="75"/>
  <c r="R37" i="72"/>
  <c r="R38" i="72" s="1"/>
  <c r="R37" i="71"/>
  <c r="R37" i="73"/>
  <c r="J37" i="72"/>
  <c r="J37" i="71"/>
  <c r="J37" i="73"/>
  <c r="P35" i="71"/>
  <c r="P35" i="72"/>
  <c r="P35" i="73"/>
  <c r="L35" i="71"/>
  <c r="L35" i="72"/>
  <c r="L35" i="73"/>
  <c r="H35" i="71"/>
  <c r="H35" i="72"/>
  <c r="H35" i="73"/>
  <c r="D35" i="71"/>
  <c r="D35" i="72"/>
  <c r="D35" i="73"/>
  <c r="R36" i="71"/>
  <c r="R38" i="71" s="1"/>
  <c r="J36" i="71"/>
  <c r="K37" i="71"/>
  <c r="M35" i="73"/>
  <c r="F36" i="73"/>
  <c r="S37" i="72"/>
  <c r="S37" i="73"/>
  <c r="G37" i="72"/>
  <c r="G37" i="73"/>
  <c r="O36" i="73"/>
  <c r="O36" i="72"/>
  <c r="K36" i="73"/>
  <c r="K36" i="72"/>
  <c r="C36" i="73"/>
  <c r="C38" i="73" s="1"/>
  <c r="C36" i="72"/>
  <c r="C38" i="72" s="1"/>
  <c r="G13" i="75"/>
  <c r="I5" i="75"/>
  <c r="N37" i="72"/>
  <c r="N37" i="71"/>
  <c r="N37" i="73"/>
  <c r="F37" i="72"/>
  <c r="F37" i="71"/>
  <c r="F37" i="73"/>
  <c r="G4" i="75"/>
  <c r="G16" i="75"/>
  <c r="G12" i="75"/>
  <c r="G8" i="75"/>
  <c r="I4" i="75"/>
  <c r="I16" i="75"/>
  <c r="I12" i="75"/>
  <c r="I8" i="75"/>
  <c r="Q37" i="71"/>
  <c r="Q37" i="73"/>
  <c r="Q37" i="72"/>
  <c r="M37" i="71"/>
  <c r="M37" i="73"/>
  <c r="M37" i="72"/>
  <c r="I37" i="71"/>
  <c r="I37" i="73"/>
  <c r="I37" i="72"/>
  <c r="E37" i="71"/>
  <c r="E37" i="73"/>
  <c r="E37" i="72"/>
  <c r="Q36" i="72"/>
  <c r="Q36" i="71"/>
  <c r="Q36" i="73"/>
  <c r="M36" i="72"/>
  <c r="M36" i="71"/>
  <c r="M36" i="73"/>
  <c r="I36" i="72"/>
  <c r="I36" i="71"/>
  <c r="I36" i="73"/>
  <c r="E36" i="72"/>
  <c r="E38" i="72" s="1"/>
  <c r="E36" i="71"/>
  <c r="E36" i="73"/>
  <c r="O35" i="71"/>
  <c r="O35" i="72"/>
  <c r="O38" i="72" s="1"/>
  <c r="O35" i="73"/>
  <c r="K35" i="71"/>
  <c r="K38" i="71" s="1"/>
  <c r="K35" i="72"/>
  <c r="K35" i="73"/>
  <c r="G35" i="71"/>
  <c r="G35" i="72"/>
  <c r="G35" i="73"/>
  <c r="M35" i="71"/>
  <c r="E35" i="71"/>
  <c r="O36" i="71"/>
  <c r="G36" i="71"/>
  <c r="I35" i="73"/>
  <c r="R36" i="73"/>
  <c r="G19" i="75"/>
  <c r="G15" i="75"/>
  <c r="G11" i="75"/>
  <c r="G7" i="75"/>
  <c r="I19" i="75"/>
  <c r="I15" i="75"/>
  <c r="I11" i="75"/>
  <c r="I7" i="75"/>
  <c r="P37" i="73"/>
  <c r="P37" i="72"/>
  <c r="L37" i="73"/>
  <c r="L37" i="72"/>
  <c r="H37" i="73"/>
  <c r="H37" i="72"/>
  <c r="D37" i="73"/>
  <c r="D37" i="72"/>
  <c r="P36" i="71"/>
  <c r="P36" i="73"/>
  <c r="P36" i="72"/>
  <c r="L36" i="71"/>
  <c r="L36" i="73"/>
  <c r="L36" i="72"/>
  <c r="H36" i="71"/>
  <c r="H36" i="73"/>
  <c r="H36" i="72"/>
  <c r="D36" i="71"/>
  <c r="D36" i="73"/>
  <c r="D36" i="72"/>
  <c r="N35" i="72"/>
  <c r="N35" i="73"/>
  <c r="N38" i="73" s="1"/>
  <c r="J35" i="72"/>
  <c r="J38" i="72" s="1"/>
  <c r="J35" i="73"/>
  <c r="F35" i="72"/>
  <c r="F35" i="73"/>
  <c r="J35" i="71"/>
  <c r="N36" i="71"/>
  <c r="N38" i="71" s="1"/>
  <c r="F36" i="71"/>
  <c r="O37" i="71"/>
  <c r="G37" i="71"/>
  <c r="E35" i="73"/>
  <c r="E38" i="73" s="1"/>
  <c r="N36" i="73"/>
  <c r="U94" i="71"/>
  <c r="Y98" i="71"/>
  <c r="D79" i="73"/>
  <c r="F81" i="73"/>
  <c r="E82" i="73"/>
  <c r="D83" i="73"/>
  <c r="H83" i="73"/>
  <c r="G84" i="73"/>
  <c r="E79" i="73"/>
  <c r="D80" i="73"/>
  <c r="G81" i="73"/>
  <c r="F82" i="73"/>
  <c r="E83" i="73"/>
  <c r="I83" i="73"/>
  <c r="E80" i="73"/>
  <c r="D81" i="73"/>
  <c r="G82" i="73"/>
  <c r="F83" i="73"/>
  <c r="E84" i="73"/>
  <c r="I84" i="73"/>
  <c r="D78" i="73"/>
  <c r="F80" i="73"/>
  <c r="E81" i="73"/>
  <c r="D82" i="73"/>
  <c r="H82" i="73"/>
  <c r="G83" i="73"/>
  <c r="F84" i="73"/>
  <c r="G85" i="73"/>
  <c r="K85" i="73"/>
  <c r="F86" i="73"/>
  <c r="J86" i="73"/>
  <c r="E87" i="73"/>
  <c r="I87" i="73"/>
  <c r="M87" i="73"/>
  <c r="D88" i="73"/>
  <c r="H88" i="73"/>
  <c r="L88" i="73"/>
  <c r="G89" i="73"/>
  <c r="K89" i="73"/>
  <c r="O89" i="73"/>
  <c r="F90" i="73"/>
  <c r="J90" i="73"/>
  <c r="N90" i="73"/>
  <c r="E91" i="73"/>
  <c r="I91" i="73"/>
  <c r="M91" i="73"/>
  <c r="Q91" i="73"/>
  <c r="D92" i="73"/>
  <c r="H92" i="73"/>
  <c r="L92" i="73"/>
  <c r="P92" i="73"/>
  <c r="G93" i="73"/>
  <c r="K93" i="73"/>
  <c r="O93" i="73"/>
  <c r="S93" i="73"/>
  <c r="F94" i="73"/>
  <c r="J94" i="73"/>
  <c r="N94" i="73"/>
  <c r="R94" i="73"/>
  <c r="E95" i="73"/>
  <c r="I95" i="73"/>
  <c r="M95" i="73"/>
  <c r="Q95" i="73"/>
  <c r="U95" i="73"/>
  <c r="D96" i="73"/>
  <c r="H96" i="73"/>
  <c r="L96" i="73"/>
  <c r="P96" i="73"/>
  <c r="T96" i="73"/>
  <c r="G97" i="73"/>
  <c r="K97" i="73"/>
  <c r="O97" i="73"/>
  <c r="S97" i="73"/>
  <c r="W97" i="73"/>
  <c r="F98" i="73"/>
  <c r="J98" i="73"/>
  <c r="N98" i="73"/>
  <c r="R98" i="73"/>
  <c r="V98" i="73"/>
  <c r="E99" i="73"/>
  <c r="I99" i="73"/>
  <c r="M99" i="73"/>
  <c r="Q99" i="73"/>
  <c r="U99" i="73"/>
  <c r="Y99" i="73"/>
  <c r="D100" i="73"/>
  <c r="H100" i="73"/>
  <c r="H84" i="73"/>
  <c r="D85" i="73"/>
  <c r="H85" i="73"/>
  <c r="G86" i="73"/>
  <c r="K86" i="73"/>
  <c r="F87" i="73"/>
  <c r="J87" i="73"/>
  <c r="E88" i="73"/>
  <c r="I88" i="73"/>
  <c r="M88" i="73"/>
  <c r="D89" i="73"/>
  <c r="H89" i="73"/>
  <c r="L89" i="73"/>
  <c r="G90" i="73"/>
  <c r="K90" i="73"/>
  <c r="O90" i="73"/>
  <c r="F91" i="73"/>
  <c r="J91" i="73"/>
  <c r="N91" i="73"/>
  <c r="E92" i="73"/>
  <c r="I92" i="73"/>
  <c r="M92" i="73"/>
  <c r="Q92" i="73"/>
  <c r="D93" i="73"/>
  <c r="H93" i="73"/>
  <c r="L93" i="73"/>
  <c r="P93" i="73"/>
  <c r="G94" i="73"/>
  <c r="K94" i="73"/>
  <c r="O94" i="73"/>
  <c r="S94" i="73"/>
  <c r="F95" i="73"/>
  <c r="J95" i="73"/>
  <c r="N95" i="73"/>
  <c r="R95" i="73"/>
  <c r="E96" i="73"/>
  <c r="I96" i="73"/>
  <c r="M96" i="73"/>
  <c r="Q96" i="73"/>
  <c r="U96" i="73"/>
  <c r="D97" i="73"/>
  <c r="H97" i="73"/>
  <c r="L97" i="73"/>
  <c r="P97" i="73"/>
  <c r="J84" i="73"/>
  <c r="E85" i="73"/>
  <c r="I85" i="73"/>
  <c r="D86" i="73"/>
  <c r="H86" i="73"/>
  <c r="L86" i="73"/>
  <c r="G87" i="73"/>
  <c r="K87" i="73"/>
  <c r="F88" i="73"/>
  <c r="J88" i="73"/>
  <c r="N88" i="73"/>
  <c r="E89" i="73"/>
  <c r="I89" i="73"/>
  <c r="M89" i="73"/>
  <c r="D90" i="73"/>
  <c r="H90" i="73"/>
  <c r="L90" i="73"/>
  <c r="P90" i="73"/>
  <c r="G91" i="73"/>
  <c r="K91" i="73"/>
  <c r="O91" i="73"/>
  <c r="F92" i="73"/>
  <c r="J92" i="73"/>
  <c r="N92" i="73"/>
  <c r="R92" i="73"/>
  <c r="E93" i="73"/>
  <c r="I93" i="73"/>
  <c r="M93" i="73"/>
  <c r="Q93" i="73"/>
  <c r="D94" i="73"/>
  <c r="H94" i="73"/>
  <c r="L94" i="73"/>
  <c r="P94" i="73"/>
  <c r="T94" i="73"/>
  <c r="G95" i="73"/>
  <c r="K95" i="73"/>
  <c r="O95" i="73"/>
  <c r="S95" i="73"/>
  <c r="F96" i="73"/>
  <c r="J96" i="73"/>
  <c r="N96" i="73"/>
  <c r="R96" i="73"/>
  <c r="V96" i="73"/>
  <c r="E97" i="73"/>
  <c r="I97" i="73"/>
  <c r="M97" i="73"/>
  <c r="Q97" i="73"/>
  <c r="U97" i="73"/>
  <c r="D98" i="73"/>
  <c r="H98" i="73"/>
  <c r="L98" i="73"/>
  <c r="P98" i="73"/>
  <c r="T98" i="73"/>
  <c r="X98" i="73"/>
  <c r="G99" i="73"/>
  <c r="K99" i="73"/>
  <c r="D84" i="73"/>
  <c r="F85" i="73"/>
  <c r="J85" i="73"/>
  <c r="E86" i="73"/>
  <c r="I86" i="73"/>
  <c r="D87" i="73"/>
  <c r="H87" i="73"/>
  <c r="L87" i="73"/>
  <c r="G88" i="73"/>
  <c r="K88" i="73"/>
  <c r="F89" i="73"/>
  <c r="J89" i="73"/>
  <c r="N89" i="73"/>
  <c r="E90" i="73"/>
  <c r="I90" i="73"/>
  <c r="M90" i="73"/>
  <c r="D91" i="73"/>
  <c r="H91" i="73"/>
  <c r="L91" i="73"/>
  <c r="P91" i="73"/>
  <c r="G92" i="73"/>
  <c r="K92" i="73"/>
  <c r="O92" i="73"/>
  <c r="F93" i="73"/>
  <c r="J93" i="73"/>
  <c r="N93" i="73"/>
  <c r="R93" i="73"/>
  <c r="E94" i="73"/>
  <c r="I94" i="73"/>
  <c r="M94" i="73"/>
  <c r="Q94" i="73"/>
  <c r="D95" i="73"/>
  <c r="H95" i="73"/>
  <c r="L95" i="73"/>
  <c r="P95" i="73"/>
  <c r="T95" i="73"/>
  <c r="G96" i="73"/>
  <c r="K96" i="73"/>
  <c r="O96" i="73"/>
  <c r="S96" i="73"/>
  <c r="F97" i="73"/>
  <c r="J97" i="73"/>
  <c r="N97" i="73"/>
  <c r="R97" i="73"/>
  <c r="V97" i="73"/>
  <c r="E98" i="73"/>
  <c r="I98" i="73"/>
  <c r="M98" i="73"/>
  <c r="Q98" i="73"/>
  <c r="U98" i="73"/>
  <c r="D99" i="73"/>
  <c r="H99" i="73"/>
  <c r="L99" i="73"/>
  <c r="P99" i="73"/>
  <c r="S98" i="73"/>
  <c r="J99" i="73"/>
  <c r="S99" i="73"/>
  <c r="X99" i="73"/>
  <c r="E100" i="73"/>
  <c r="J100" i="73"/>
  <c r="N100" i="73"/>
  <c r="R100" i="73"/>
  <c r="V100" i="73"/>
  <c r="Z100" i="73"/>
  <c r="E101" i="73"/>
  <c r="I101" i="73"/>
  <c r="M101" i="73"/>
  <c r="Q101" i="73"/>
  <c r="U101" i="73"/>
  <c r="Y101" i="73"/>
  <c r="C77" i="73"/>
  <c r="C81" i="73"/>
  <c r="C85" i="73"/>
  <c r="C89" i="73"/>
  <c r="C93" i="73"/>
  <c r="C97" i="73"/>
  <c r="C101" i="73"/>
  <c r="D78" i="72"/>
  <c r="F80" i="72"/>
  <c r="E81" i="72"/>
  <c r="D82" i="72"/>
  <c r="H82" i="72"/>
  <c r="G83" i="72"/>
  <c r="F84" i="72"/>
  <c r="J84" i="72"/>
  <c r="E85" i="72"/>
  <c r="I85" i="72"/>
  <c r="D86" i="72"/>
  <c r="H86" i="72"/>
  <c r="L86" i="72"/>
  <c r="G87" i="72"/>
  <c r="K87" i="72"/>
  <c r="F88" i="72"/>
  <c r="J88" i="72"/>
  <c r="N88" i="72"/>
  <c r="E89" i="72"/>
  <c r="I89" i="72"/>
  <c r="M89" i="72"/>
  <c r="D90" i="72"/>
  <c r="H90" i="72"/>
  <c r="L90" i="72"/>
  <c r="P90" i="72"/>
  <c r="G91" i="72"/>
  <c r="K91" i="72"/>
  <c r="O91" i="72"/>
  <c r="F92" i="72"/>
  <c r="J92" i="72"/>
  <c r="N92" i="72"/>
  <c r="R92" i="72"/>
  <c r="E93" i="72"/>
  <c r="I93" i="72"/>
  <c r="M93" i="72"/>
  <c r="Q93" i="72"/>
  <c r="D94" i="72"/>
  <c r="H94" i="72"/>
  <c r="L94" i="72"/>
  <c r="P94" i="72"/>
  <c r="T94" i="72"/>
  <c r="G95" i="72"/>
  <c r="K95" i="72"/>
  <c r="O95" i="72"/>
  <c r="S95" i="72"/>
  <c r="F96" i="72"/>
  <c r="J96" i="72"/>
  <c r="N96" i="72"/>
  <c r="R96" i="72"/>
  <c r="V96" i="72"/>
  <c r="E97" i="72"/>
  <c r="I97" i="72"/>
  <c r="M97" i="72"/>
  <c r="Q97" i="72"/>
  <c r="U97" i="72"/>
  <c r="D98" i="72"/>
  <c r="H98" i="72"/>
  <c r="L98" i="72"/>
  <c r="P98" i="72"/>
  <c r="G98" i="73"/>
  <c r="W98" i="73"/>
  <c r="N99" i="73"/>
  <c r="T99" i="73"/>
  <c r="F100" i="73"/>
  <c r="K100" i="73"/>
  <c r="O100" i="73"/>
  <c r="S100" i="73"/>
  <c r="W100" i="73"/>
  <c r="F101" i="73"/>
  <c r="J101" i="73"/>
  <c r="N101" i="73"/>
  <c r="R101" i="73"/>
  <c r="V101" i="73"/>
  <c r="Z101" i="73"/>
  <c r="C78" i="73"/>
  <c r="C82" i="73"/>
  <c r="C86" i="73"/>
  <c r="C90" i="73"/>
  <c r="C94" i="73"/>
  <c r="C98" i="73"/>
  <c r="D79" i="72"/>
  <c r="F81" i="72"/>
  <c r="E82" i="72"/>
  <c r="D83" i="72"/>
  <c r="H83" i="72"/>
  <c r="G84" i="72"/>
  <c r="F85" i="72"/>
  <c r="J85" i="72"/>
  <c r="E86" i="72"/>
  <c r="I86" i="72"/>
  <c r="D87" i="72"/>
  <c r="H87" i="72"/>
  <c r="L87" i="72"/>
  <c r="G88" i="72"/>
  <c r="K88" i="72"/>
  <c r="F89" i="72"/>
  <c r="J89" i="72"/>
  <c r="N89" i="72"/>
  <c r="E90" i="72"/>
  <c r="I90" i="72"/>
  <c r="M90" i="72"/>
  <c r="D91" i="72"/>
  <c r="H91" i="72"/>
  <c r="L91" i="72"/>
  <c r="P91" i="72"/>
  <c r="G92" i="72"/>
  <c r="K92" i="72"/>
  <c r="O92" i="72"/>
  <c r="F93" i="72"/>
  <c r="J93" i="72"/>
  <c r="N93" i="72"/>
  <c r="R93" i="72"/>
  <c r="E94" i="72"/>
  <c r="I94" i="72"/>
  <c r="M94" i="72"/>
  <c r="Q94" i="72"/>
  <c r="T97" i="73"/>
  <c r="K98" i="73"/>
  <c r="O99" i="73"/>
  <c r="V99" i="73"/>
  <c r="G100" i="73"/>
  <c r="L100" i="73"/>
  <c r="P100" i="73"/>
  <c r="T100" i="73"/>
  <c r="X100" i="73"/>
  <c r="G101" i="73"/>
  <c r="K101" i="73"/>
  <c r="O101" i="73"/>
  <c r="S101" i="73"/>
  <c r="W101" i="73"/>
  <c r="AA101" i="73"/>
  <c r="C79" i="73"/>
  <c r="C83" i="73"/>
  <c r="C87" i="73"/>
  <c r="C91" i="73"/>
  <c r="C95" i="73"/>
  <c r="C99" i="73"/>
  <c r="E79" i="72"/>
  <c r="D80" i="72"/>
  <c r="G81" i="72"/>
  <c r="F82" i="72"/>
  <c r="E83" i="72"/>
  <c r="I83" i="72"/>
  <c r="D84" i="72"/>
  <c r="H84" i="72"/>
  <c r="G85" i="72"/>
  <c r="K85" i="72"/>
  <c r="F86" i="72"/>
  <c r="J86" i="72"/>
  <c r="E87" i="72"/>
  <c r="I87" i="72"/>
  <c r="M87" i="72"/>
  <c r="D88" i="72"/>
  <c r="H88" i="72"/>
  <c r="L88" i="72"/>
  <c r="G89" i="72"/>
  <c r="K89" i="72"/>
  <c r="O89" i="72"/>
  <c r="F90" i="72"/>
  <c r="J90" i="72"/>
  <c r="N90" i="72"/>
  <c r="E91" i="72"/>
  <c r="I91" i="72"/>
  <c r="M91" i="72"/>
  <c r="Q91" i="72"/>
  <c r="D92" i="72"/>
  <c r="H92" i="72"/>
  <c r="L92" i="72"/>
  <c r="P92" i="72"/>
  <c r="G93" i="72"/>
  <c r="K93" i="72"/>
  <c r="O93" i="72"/>
  <c r="S93" i="72"/>
  <c r="F94" i="72"/>
  <c r="J94" i="72"/>
  <c r="N94" i="72"/>
  <c r="R94" i="72"/>
  <c r="E95" i="72"/>
  <c r="I95" i="72"/>
  <c r="M95" i="72"/>
  <c r="Q95" i="72"/>
  <c r="U95" i="72"/>
  <c r="D96" i="72"/>
  <c r="H96" i="72"/>
  <c r="L96" i="72"/>
  <c r="P96" i="72"/>
  <c r="T96" i="72"/>
  <c r="G97" i="72"/>
  <c r="K97" i="72"/>
  <c r="O97" i="72"/>
  <c r="S97" i="72"/>
  <c r="W97" i="72"/>
  <c r="F98" i="72"/>
  <c r="J98" i="72"/>
  <c r="N98" i="72"/>
  <c r="R98" i="72"/>
  <c r="V98" i="72"/>
  <c r="E99" i="72"/>
  <c r="I99" i="72"/>
  <c r="O98" i="73"/>
  <c r="F99" i="73"/>
  <c r="R99" i="73"/>
  <c r="W99" i="73"/>
  <c r="I100" i="73"/>
  <c r="M100" i="73"/>
  <c r="Q100" i="73"/>
  <c r="U100" i="73"/>
  <c r="Y100" i="73"/>
  <c r="D101" i="73"/>
  <c r="H101" i="73"/>
  <c r="L101" i="73"/>
  <c r="P101" i="73"/>
  <c r="T101" i="73"/>
  <c r="X101" i="73"/>
  <c r="C80" i="73"/>
  <c r="C84" i="73"/>
  <c r="C88" i="73"/>
  <c r="C92" i="73"/>
  <c r="C96" i="73"/>
  <c r="C100" i="73"/>
  <c r="E80" i="72"/>
  <c r="D81" i="72"/>
  <c r="G82" i="72"/>
  <c r="F83" i="72"/>
  <c r="E84" i="72"/>
  <c r="I84" i="72"/>
  <c r="D85" i="72"/>
  <c r="H85" i="72"/>
  <c r="G86" i="72"/>
  <c r="K86" i="72"/>
  <c r="F87" i="72"/>
  <c r="J87" i="72"/>
  <c r="E88" i="72"/>
  <c r="I88" i="72"/>
  <c r="M88" i="72"/>
  <c r="D89" i="72"/>
  <c r="H89" i="72"/>
  <c r="L89" i="72"/>
  <c r="G90" i="72"/>
  <c r="K90" i="72"/>
  <c r="O90" i="72"/>
  <c r="F91" i="72"/>
  <c r="J91" i="72"/>
  <c r="N91" i="72"/>
  <c r="E92" i="72"/>
  <c r="I92" i="72"/>
  <c r="M92" i="72"/>
  <c r="Q92" i="72"/>
  <c r="D93" i="72"/>
  <c r="H93" i="72"/>
  <c r="L93" i="72"/>
  <c r="P93" i="72"/>
  <c r="G94" i="72"/>
  <c r="K94" i="72"/>
  <c r="O94" i="72"/>
  <c r="S94" i="72"/>
  <c r="F95" i="72"/>
  <c r="J95" i="72"/>
  <c r="N95" i="72"/>
  <c r="R95" i="72"/>
  <c r="E96" i="72"/>
  <c r="I96" i="72"/>
  <c r="M96" i="72"/>
  <c r="Q96" i="72"/>
  <c r="U96" i="72"/>
  <c r="D97" i="72"/>
  <c r="H97" i="72"/>
  <c r="L97" i="72"/>
  <c r="P97" i="72"/>
  <c r="T97" i="72"/>
  <c r="G98" i="72"/>
  <c r="K98" i="72"/>
  <c r="O98" i="72"/>
  <c r="S98" i="72"/>
  <c r="W98" i="72"/>
  <c r="F99" i="72"/>
  <c r="J99" i="72"/>
  <c r="D95" i="72"/>
  <c r="T95" i="72"/>
  <c r="K96" i="72"/>
  <c r="R97" i="72"/>
  <c r="I98" i="72"/>
  <c r="U98" i="72"/>
  <c r="D99" i="72"/>
  <c r="L99" i="72"/>
  <c r="P99" i="72"/>
  <c r="T99" i="72"/>
  <c r="X99" i="72"/>
  <c r="G100" i="72"/>
  <c r="K100" i="72"/>
  <c r="O100" i="72"/>
  <c r="S100" i="72"/>
  <c r="W100" i="72"/>
  <c r="F101" i="72"/>
  <c r="J101" i="72"/>
  <c r="N101" i="72"/>
  <c r="R101" i="72"/>
  <c r="V101" i="72"/>
  <c r="Z101" i="72"/>
  <c r="C78" i="72"/>
  <c r="C82" i="72"/>
  <c r="C86" i="72"/>
  <c r="C90" i="72"/>
  <c r="C94" i="72"/>
  <c r="C98" i="72"/>
  <c r="D79" i="71"/>
  <c r="F81" i="71"/>
  <c r="E82" i="71"/>
  <c r="D83" i="71"/>
  <c r="H83" i="71"/>
  <c r="G84" i="71"/>
  <c r="F85" i="71"/>
  <c r="J85" i="71"/>
  <c r="E86" i="71"/>
  <c r="I86" i="71"/>
  <c r="D87" i="71"/>
  <c r="H87" i="71"/>
  <c r="L87" i="71"/>
  <c r="G88" i="71"/>
  <c r="K88" i="71"/>
  <c r="F89" i="71"/>
  <c r="J89" i="71"/>
  <c r="N89" i="71"/>
  <c r="E90" i="71"/>
  <c r="I90" i="71"/>
  <c r="M90" i="71"/>
  <c r="D91" i="71"/>
  <c r="H91" i="71"/>
  <c r="L91" i="71"/>
  <c r="P91" i="71"/>
  <c r="G92" i="71"/>
  <c r="K92" i="71"/>
  <c r="O92" i="71"/>
  <c r="F93" i="71"/>
  <c r="J93" i="71"/>
  <c r="N93" i="71"/>
  <c r="R93" i="71"/>
  <c r="E94" i="71"/>
  <c r="I94" i="71"/>
  <c r="M94" i="71"/>
  <c r="Q94" i="71"/>
  <c r="D95" i="71"/>
  <c r="H95" i="71"/>
  <c r="L95" i="71"/>
  <c r="P95" i="71"/>
  <c r="T95" i="71"/>
  <c r="G96" i="71"/>
  <c r="K96" i="71"/>
  <c r="O96" i="71"/>
  <c r="S96" i="71"/>
  <c r="F97" i="71"/>
  <c r="J97" i="71"/>
  <c r="N97" i="71"/>
  <c r="R97" i="71"/>
  <c r="V97" i="71"/>
  <c r="E98" i="71"/>
  <c r="H95" i="72"/>
  <c r="O96" i="72"/>
  <c r="F97" i="72"/>
  <c r="V97" i="72"/>
  <c r="M98" i="72"/>
  <c r="X98" i="72"/>
  <c r="G99" i="72"/>
  <c r="M99" i="72"/>
  <c r="Q99" i="72"/>
  <c r="U99" i="72"/>
  <c r="Y99" i="72"/>
  <c r="D100" i="72"/>
  <c r="H100" i="72"/>
  <c r="L100" i="72"/>
  <c r="P100" i="72"/>
  <c r="T100" i="72"/>
  <c r="X100" i="72"/>
  <c r="G101" i="72"/>
  <c r="K101" i="72"/>
  <c r="O101" i="72"/>
  <c r="S101" i="72"/>
  <c r="W101" i="72"/>
  <c r="AA101" i="72"/>
  <c r="C79" i="72"/>
  <c r="C83" i="72"/>
  <c r="C87" i="72"/>
  <c r="C91" i="72"/>
  <c r="C95" i="72"/>
  <c r="C99" i="72"/>
  <c r="E79" i="71"/>
  <c r="D80" i="71"/>
  <c r="G81" i="71"/>
  <c r="F82" i="71"/>
  <c r="E83" i="71"/>
  <c r="I83" i="71"/>
  <c r="D84" i="71"/>
  <c r="H84" i="71"/>
  <c r="G85" i="71"/>
  <c r="K85" i="71"/>
  <c r="F86" i="71"/>
  <c r="J86" i="71"/>
  <c r="E87" i="71"/>
  <c r="I87" i="71"/>
  <c r="M87" i="71"/>
  <c r="D88" i="71"/>
  <c r="H88" i="71"/>
  <c r="L88" i="71"/>
  <c r="G89" i="71"/>
  <c r="K89" i="71"/>
  <c r="O89" i="71"/>
  <c r="F90" i="71"/>
  <c r="J90" i="71"/>
  <c r="N90" i="71"/>
  <c r="E91" i="71"/>
  <c r="I91" i="71"/>
  <c r="M91" i="71"/>
  <c r="Q91" i="71"/>
  <c r="D92" i="71"/>
  <c r="H92" i="71"/>
  <c r="L92" i="71"/>
  <c r="P92" i="71"/>
  <c r="G93" i="71"/>
  <c r="K93" i="71"/>
  <c r="O93" i="71"/>
  <c r="S93" i="71"/>
  <c r="F94" i="71"/>
  <c r="J94" i="71"/>
  <c r="N94" i="71"/>
  <c r="R94" i="71"/>
  <c r="E95" i="71"/>
  <c r="I95" i="71"/>
  <c r="M95" i="71"/>
  <c r="Q95" i="71"/>
  <c r="U95" i="71"/>
  <c r="D96" i="71"/>
  <c r="H96" i="71"/>
  <c r="L96" i="71"/>
  <c r="P96" i="71"/>
  <c r="T96" i="71"/>
  <c r="G97" i="71"/>
  <c r="K97" i="71"/>
  <c r="O97" i="71"/>
  <c r="L95" i="72"/>
  <c r="S96" i="72"/>
  <c r="J97" i="72"/>
  <c r="Q98" i="72"/>
  <c r="H99" i="72"/>
  <c r="N99" i="72"/>
  <c r="R99" i="72"/>
  <c r="V99" i="72"/>
  <c r="E100" i="72"/>
  <c r="I100" i="72"/>
  <c r="M100" i="72"/>
  <c r="Q100" i="72"/>
  <c r="U100" i="72"/>
  <c r="Y100" i="72"/>
  <c r="D101" i="72"/>
  <c r="H101" i="72"/>
  <c r="L101" i="72"/>
  <c r="P101" i="72"/>
  <c r="T101" i="72"/>
  <c r="X101" i="72"/>
  <c r="C80" i="72"/>
  <c r="C84" i="72"/>
  <c r="C88" i="72"/>
  <c r="C92" i="72"/>
  <c r="C96" i="72"/>
  <c r="C100" i="72"/>
  <c r="E80" i="71"/>
  <c r="D81" i="71"/>
  <c r="G82" i="71"/>
  <c r="F83" i="71"/>
  <c r="E84" i="71"/>
  <c r="I84" i="71"/>
  <c r="D85" i="71"/>
  <c r="H85" i="71"/>
  <c r="G86" i="71"/>
  <c r="K86" i="71"/>
  <c r="F87" i="71"/>
  <c r="J87" i="71"/>
  <c r="E88" i="71"/>
  <c r="I88" i="71"/>
  <c r="M88" i="71"/>
  <c r="D89" i="71"/>
  <c r="H89" i="71"/>
  <c r="L89" i="71"/>
  <c r="G90" i="71"/>
  <c r="K90" i="71"/>
  <c r="O90" i="71"/>
  <c r="F91" i="71"/>
  <c r="J91" i="71"/>
  <c r="N91" i="71"/>
  <c r="E92" i="71"/>
  <c r="I92" i="71"/>
  <c r="M92" i="71"/>
  <c r="Q92" i="71"/>
  <c r="D93" i="71"/>
  <c r="H93" i="71"/>
  <c r="L93" i="71"/>
  <c r="P93" i="71"/>
  <c r="G94" i="71"/>
  <c r="K94" i="71"/>
  <c r="O94" i="71"/>
  <c r="S94" i="71"/>
  <c r="F95" i="71"/>
  <c r="J95" i="71"/>
  <c r="N95" i="71"/>
  <c r="R95" i="71"/>
  <c r="E96" i="71"/>
  <c r="I96" i="71"/>
  <c r="M96" i="71"/>
  <c r="Q96" i="71"/>
  <c r="U96" i="71"/>
  <c r="D97" i="71"/>
  <c r="H97" i="71"/>
  <c r="L97" i="71"/>
  <c r="P97" i="71"/>
  <c r="T97" i="71"/>
  <c r="P95" i="72"/>
  <c r="G96" i="72"/>
  <c r="N97" i="72"/>
  <c r="E98" i="72"/>
  <c r="T98" i="72"/>
  <c r="K99" i="72"/>
  <c r="O99" i="72"/>
  <c r="S99" i="72"/>
  <c r="W99" i="72"/>
  <c r="F100" i="72"/>
  <c r="J100" i="72"/>
  <c r="N100" i="72"/>
  <c r="R100" i="72"/>
  <c r="V100" i="72"/>
  <c r="Z100" i="72"/>
  <c r="E101" i="72"/>
  <c r="I101" i="72"/>
  <c r="M101" i="72"/>
  <c r="Q101" i="72"/>
  <c r="U101" i="72"/>
  <c r="Y101" i="72"/>
  <c r="C77" i="72"/>
  <c r="C81" i="72"/>
  <c r="C85" i="72"/>
  <c r="C89" i="72"/>
  <c r="C93" i="72"/>
  <c r="C97" i="72"/>
  <c r="C101" i="72"/>
  <c r="D78" i="71"/>
  <c r="F80" i="71"/>
  <c r="E81" i="71"/>
  <c r="D82" i="71"/>
  <c r="H82" i="71"/>
  <c r="G83" i="71"/>
  <c r="F84" i="71"/>
  <c r="J84" i="71"/>
  <c r="E85" i="71"/>
  <c r="I85" i="71"/>
  <c r="D86" i="71"/>
  <c r="H86" i="71"/>
  <c r="L86" i="71"/>
  <c r="G87" i="71"/>
  <c r="K87" i="71"/>
  <c r="F88" i="71"/>
  <c r="J88" i="71"/>
  <c r="N88" i="71"/>
  <c r="E89" i="71"/>
  <c r="I89" i="71"/>
  <c r="M89" i="71"/>
  <c r="D90" i="71"/>
  <c r="H90" i="71"/>
  <c r="L90" i="71"/>
  <c r="P90" i="71"/>
  <c r="G91" i="71"/>
  <c r="K91" i="71"/>
  <c r="O91" i="71"/>
  <c r="F92" i="71"/>
  <c r="J92" i="71"/>
  <c r="N92" i="71"/>
  <c r="R92" i="71"/>
  <c r="E93" i="71"/>
  <c r="I93" i="71"/>
  <c r="M93" i="71"/>
  <c r="Q93" i="71"/>
  <c r="D94" i="71"/>
  <c r="H94" i="71"/>
  <c r="L94" i="71"/>
  <c r="P94" i="71"/>
  <c r="T94" i="71"/>
  <c r="G95" i="71"/>
  <c r="K95" i="71"/>
  <c r="O95" i="71"/>
  <c r="S95" i="71"/>
  <c r="F96" i="71"/>
  <c r="J96" i="71"/>
  <c r="N96" i="71"/>
  <c r="R96" i="71"/>
  <c r="V96" i="71"/>
  <c r="E97" i="71"/>
  <c r="I97" i="71"/>
  <c r="M97" i="71"/>
  <c r="Q97" i="71"/>
  <c r="W97" i="71"/>
  <c r="F98" i="71"/>
  <c r="J98" i="71"/>
  <c r="N98" i="71"/>
  <c r="R98" i="71"/>
  <c r="V98" i="71"/>
  <c r="E99" i="71"/>
  <c r="I99" i="71"/>
  <c r="M99" i="71"/>
  <c r="Q99" i="71"/>
  <c r="U99" i="71"/>
  <c r="Y99" i="71"/>
  <c r="D100" i="71"/>
  <c r="H100" i="71"/>
  <c r="L100" i="71"/>
  <c r="P100" i="71"/>
  <c r="T100" i="71"/>
  <c r="X100" i="71"/>
  <c r="G101" i="71"/>
  <c r="K101" i="71"/>
  <c r="O101" i="71"/>
  <c r="S101" i="71"/>
  <c r="W101" i="71"/>
  <c r="AA101" i="71"/>
  <c r="C79" i="71"/>
  <c r="C83" i="71"/>
  <c r="C87" i="71"/>
  <c r="C91" i="71"/>
  <c r="C95" i="71"/>
  <c r="C99" i="71"/>
  <c r="G98" i="71"/>
  <c r="K98" i="71"/>
  <c r="O98" i="71"/>
  <c r="S98" i="71"/>
  <c r="W98" i="71"/>
  <c r="F99" i="71"/>
  <c r="J99" i="71"/>
  <c r="N99" i="71"/>
  <c r="R99" i="71"/>
  <c r="V99" i="71"/>
  <c r="E100" i="71"/>
  <c r="I100" i="71"/>
  <c r="M100" i="71"/>
  <c r="Q100" i="71"/>
  <c r="U100" i="71"/>
  <c r="Y100" i="71"/>
  <c r="D101" i="71"/>
  <c r="H101" i="71"/>
  <c r="L101" i="71"/>
  <c r="P101" i="71"/>
  <c r="T101" i="71"/>
  <c r="X101" i="71"/>
  <c r="C80" i="71"/>
  <c r="C84" i="71"/>
  <c r="C88" i="71"/>
  <c r="C92" i="71"/>
  <c r="C96" i="71"/>
  <c r="C100" i="71"/>
  <c r="S97" i="71"/>
  <c r="H98" i="71"/>
  <c r="L98" i="71"/>
  <c r="P98" i="71"/>
  <c r="T98" i="71"/>
  <c r="X98" i="71"/>
  <c r="G99" i="71"/>
  <c r="K99" i="71"/>
  <c r="O99" i="71"/>
  <c r="S99" i="71"/>
  <c r="W99" i="71"/>
  <c r="F100" i="71"/>
  <c r="J100" i="71"/>
  <c r="N100" i="71"/>
  <c r="R100" i="71"/>
  <c r="V100" i="71"/>
  <c r="Z100" i="71"/>
  <c r="E101" i="71"/>
  <c r="I101" i="71"/>
  <c r="M101" i="71"/>
  <c r="Q101" i="71"/>
  <c r="U101" i="71"/>
  <c r="Y101" i="71"/>
  <c r="C77" i="71"/>
  <c r="C81" i="71"/>
  <c r="C85" i="71"/>
  <c r="C89" i="71"/>
  <c r="C93" i="71"/>
  <c r="C97" i="71"/>
  <c r="C101" i="71"/>
  <c r="U97" i="71"/>
  <c r="D98" i="71"/>
  <c r="I98" i="71"/>
  <c r="M98" i="71"/>
  <c r="Q98" i="71"/>
  <c r="U98" i="71"/>
  <c r="D99" i="71"/>
  <c r="H99" i="71"/>
  <c r="L99" i="71"/>
  <c r="P99" i="71"/>
  <c r="T99" i="71"/>
  <c r="X99" i="71"/>
  <c r="G100" i="71"/>
  <c r="K100" i="71"/>
  <c r="O100" i="71"/>
  <c r="S100" i="71"/>
  <c r="W100" i="71"/>
  <c r="F101" i="71"/>
  <c r="J101" i="71"/>
  <c r="N101" i="71"/>
  <c r="R101" i="71"/>
  <c r="V101" i="71"/>
  <c r="Z101" i="71"/>
  <c r="C78" i="71"/>
  <c r="C82" i="71"/>
  <c r="C86" i="71"/>
  <c r="C90" i="71"/>
  <c r="C94" i="71"/>
  <c r="C98" i="71"/>
  <c r="S92" i="71"/>
  <c r="W96" i="71"/>
  <c r="AA100" i="71"/>
  <c r="N37" i="66"/>
  <c r="N36" i="66"/>
  <c r="R36" i="65"/>
  <c r="S36" i="65"/>
  <c r="T36" i="65"/>
  <c r="U36" i="65"/>
  <c r="V36" i="65"/>
  <c r="W36" i="65"/>
  <c r="X36" i="65"/>
  <c r="Y36" i="65"/>
  <c r="Z36" i="65"/>
  <c r="AA36" i="65"/>
  <c r="AB36" i="65"/>
  <c r="R37" i="64"/>
  <c r="S37" i="64"/>
  <c r="T37" i="64"/>
  <c r="U37" i="64"/>
  <c r="V37" i="64"/>
  <c r="W37" i="64"/>
  <c r="X37" i="64"/>
  <c r="Y37" i="64"/>
  <c r="Z37" i="64"/>
  <c r="AA37" i="64"/>
  <c r="AB37" i="64"/>
  <c r="R36" i="64"/>
  <c r="S36" i="64"/>
  <c r="T36" i="64"/>
  <c r="U36" i="64"/>
  <c r="V36" i="64"/>
  <c r="W36" i="64"/>
  <c r="X36" i="64"/>
  <c r="Y36" i="64"/>
  <c r="Z36" i="64"/>
  <c r="AA36" i="64"/>
  <c r="AB36" i="64"/>
  <c r="R35" i="64"/>
  <c r="S35" i="64"/>
  <c r="T35" i="64"/>
  <c r="U35" i="64"/>
  <c r="V35" i="64"/>
  <c r="W35" i="64"/>
  <c r="X35" i="64"/>
  <c r="Y35" i="64"/>
  <c r="Z35" i="64"/>
  <c r="AA35" i="64"/>
  <c r="AB35" i="64"/>
  <c r="C35" i="64"/>
  <c r="R36" i="52"/>
  <c r="S36" i="52"/>
  <c r="T36" i="52"/>
  <c r="U36" i="52"/>
  <c r="V36" i="52"/>
  <c r="W36" i="52"/>
  <c r="X36" i="52"/>
  <c r="Y36" i="52"/>
  <c r="Z36" i="52"/>
  <c r="AA36" i="52"/>
  <c r="AB36" i="52"/>
  <c r="R37" i="52"/>
  <c r="S37" i="52"/>
  <c r="T37" i="52"/>
  <c r="U37" i="52"/>
  <c r="V37" i="52"/>
  <c r="W37" i="52"/>
  <c r="X37" i="52"/>
  <c r="Y37" i="52"/>
  <c r="Z37" i="52"/>
  <c r="AA37" i="52"/>
  <c r="AB37" i="52"/>
  <c r="H2" i="25"/>
  <c r="D35" i="65" s="1"/>
  <c r="H3" i="25"/>
  <c r="E35" i="52" s="1"/>
  <c r="H4" i="25"/>
  <c r="H5" i="25"/>
  <c r="H6" i="25"/>
  <c r="H35" i="65" s="1"/>
  <c r="H7" i="25"/>
  <c r="I35" i="52" s="1"/>
  <c r="H8" i="25"/>
  <c r="H9" i="25"/>
  <c r="H10" i="25"/>
  <c r="L35" i="65" s="1"/>
  <c r="H11" i="25"/>
  <c r="M35" i="52" s="1"/>
  <c r="H12" i="25"/>
  <c r="H13" i="25"/>
  <c r="H14" i="25"/>
  <c r="P35" i="65" s="1"/>
  <c r="H15" i="25"/>
  <c r="Q35" i="52" s="1"/>
  <c r="H16" i="25"/>
  <c r="H17" i="25"/>
  <c r="H18" i="25"/>
  <c r="H19" i="25"/>
  <c r="F36" i="65" s="1"/>
  <c r="H20" i="25"/>
  <c r="H21" i="25"/>
  <c r="H22" i="25"/>
  <c r="H23" i="25"/>
  <c r="J36" i="65" s="1"/>
  <c r="H24" i="25"/>
  <c r="H25" i="25"/>
  <c r="H26" i="25"/>
  <c r="H27" i="25"/>
  <c r="N36" i="65" s="1"/>
  <c r="H28" i="25"/>
  <c r="H29" i="25"/>
  <c r="H30" i="25"/>
  <c r="H31" i="25"/>
  <c r="C37" i="52" s="1"/>
  <c r="H32" i="25"/>
  <c r="D37" i="65" s="1"/>
  <c r="H33" i="25"/>
  <c r="H34" i="25"/>
  <c r="H35" i="25"/>
  <c r="H36" i="25"/>
  <c r="H37" i="65" s="1"/>
  <c r="H37" i="25"/>
  <c r="H38" i="25"/>
  <c r="H39" i="25"/>
  <c r="H40" i="25"/>
  <c r="L37" i="65" s="1"/>
  <c r="H41" i="25"/>
  <c r="H42" i="25"/>
  <c r="H43" i="25"/>
  <c r="H44" i="25"/>
  <c r="P37" i="65" s="1"/>
  <c r="H45" i="25"/>
  <c r="H46" i="25"/>
  <c r="H47" i="25"/>
  <c r="H48" i="25"/>
  <c r="H49" i="25"/>
  <c r="H50" i="25"/>
  <c r="H51" i="25"/>
  <c r="H52" i="25"/>
  <c r="H53" i="25"/>
  <c r="H54" i="25"/>
  <c r="H55" i="25"/>
  <c r="H56" i="25"/>
  <c r="H57" i="25"/>
  <c r="H58" i="25"/>
  <c r="H59" i="25"/>
  <c r="H60" i="25"/>
  <c r="H61" i="25"/>
  <c r="H62" i="25"/>
  <c r="H63" i="25"/>
  <c r="H64" i="25"/>
  <c r="H65" i="25"/>
  <c r="H66" i="25"/>
  <c r="H67" i="25"/>
  <c r="H68" i="25"/>
  <c r="H69" i="25"/>
  <c r="H70" i="25"/>
  <c r="H71" i="25"/>
  <c r="H72" i="25"/>
  <c r="H73" i="25"/>
  <c r="H74" i="25"/>
  <c r="H75" i="25"/>
  <c r="H76" i="25"/>
  <c r="H77" i="25"/>
  <c r="H78" i="25"/>
  <c r="H79" i="25"/>
  <c r="H80" i="25"/>
  <c r="H81" i="25"/>
  <c r="H82" i="25"/>
  <c r="H83" i="25"/>
  <c r="H84" i="25"/>
  <c r="H85" i="25"/>
  <c r="H86" i="25"/>
  <c r="H87" i="25"/>
  <c r="H88" i="25"/>
  <c r="H89" i="25"/>
  <c r="H90" i="25"/>
  <c r="H91" i="25"/>
  <c r="H92" i="25"/>
  <c r="H93" i="25"/>
  <c r="H94" i="25"/>
  <c r="H95" i="25"/>
  <c r="H96" i="25"/>
  <c r="H97" i="25"/>
  <c r="H98" i="25"/>
  <c r="H99" i="25"/>
  <c r="H100" i="25"/>
  <c r="H101" i="25"/>
  <c r="H102" i="25"/>
  <c r="H103" i="25"/>
  <c r="H104" i="25"/>
  <c r="H105" i="25"/>
  <c r="H106" i="25"/>
  <c r="H107" i="25"/>
  <c r="H108" i="25"/>
  <c r="H109" i="25"/>
  <c r="H110" i="25"/>
  <c r="H111" i="25"/>
  <c r="H112" i="25"/>
  <c r="H113" i="25"/>
  <c r="H114" i="25"/>
  <c r="H115" i="25"/>
  <c r="H116" i="25"/>
  <c r="H117" i="25"/>
  <c r="H118" i="25"/>
  <c r="H119" i="25"/>
  <c r="H120" i="25"/>
  <c r="H121" i="25"/>
  <c r="H122" i="25"/>
  <c r="H123" i="25"/>
  <c r="H124" i="25"/>
  <c r="H125" i="25"/>
  <c r="H126" i="25"/>
  <c r="H127" i="25"/>
  <c r="H128" i="25"/>
  <c r="H129" i="25"/>
  <c r="H130" i="25"/>
  <c r="H131" i="25"/>
  <c r="H132" i="25"/>
  <c r="H133" i="25"/>
  <c r="H134" i="25"/>
  <c r="H135" i="25"/>
  <c r="H136" i="25"/>
  <c r="H137" i="25"/>
  <c r="H138" i="25"/>
  <c r="H139" i="25"/>
  <c r="H140" i="25"/>
  <c r="H141" i="25"/>
  <c r="H142" i="25"/>
  <c r="H143" i="25"/>
  <c r="H144" i="25"/>
  <c r="H145" i="25"/>
  <c r="H146" i="25"/>
  <c r="H147" i="25"/>
  <c r="H148" i="25"/>
  <c r="H149" i="25"/>
  <c r="H150" i="25"/>
  <c r="H151" i="25"/>
  <c r="H152" i="25"/>
  <c r="H153" i="25"/>
  <c r="H154" i="25"/>
  <c r="H155" i="25"/>
  <c r="H156" i="25"/>
  <c r="H157" i="25"/>
  <c r="H158" i="25"/>
  <c r="H159" i="25"/>
  <c r="H160" i="25"/>
  <c r="H161" i="25"/>
  <c r="H162" i="25"/>
  <c r="H163" i="25"/>
  <c r="H164" i="25"/>
  <c r="H165" i="25"/>
  <c r="H166" i="25"/>
  <c r="H167" i="25"/>
  <c r="H168" i="25"/>
  <c r="H169" i="25"/>
  <c r="H170" i="25"/>
  <c r="H171" i="25"/>
  <c r="H172" i="25"/>
  <c r="H173" i="25"/>
  <c r="H174" i="25"/>
  <c r="H175" i="25"/>
  <c r="H176" i="25"/>
  <c r="H177" i="25"/>
  <c r="H178" i="25"/>
  <c r="H179" i="25"/>
  <c r="H180" i="25"/>
  <c r="H181" i="25"/>
  <c r="H182" i="25"/>
  <c r="H183" i="25"/>
  <c r="H184" i="25"/>
  <c r="H185" i="25"/>
  <c r="H186" i="25"/>
  <c r="H187" i="25"/>
  <c r="H188" i="25"/>
  <c r="H189" i="25"/>
  <c r="H190" i="25"/>
  <c r="H191" i="25"/>
  <c r="H192" i="25"/>
  <c r="H193" i="25"/>
  <c r="H194" i="25"/>
  <c r="H195" i="25"/>
  <c r="H196" i="25"/>
  <c r="H197" i="25"/>
  <c r="H198" i="25"/>
  <c r="H199" i="25"/>
  <c r="H200" i="25"/>
  <c r="H201" i="25"/>
  <c r="H202" i="25"/>
  <c r="H203" i="25"/>
  <c r="H204" i="25"/>
  <c r="H205" i="25"/>
  <c r="H206" i="25"/>
  <c r="H207" i="25"/>
  <c r="H208" i="25"/>
  <c r="H209" i="25"/>
  <c r="H210" i="25"/>
  <c r="H211" i="25"/>
  <c r="H212" i="25"/>
  <c r="H213" i="25"/>
  <c r="C36" i="52"/>
  <c r="S35" i="52"/>
  <c r="T35" i="52"/>
  <c r="U35" i="52"/>
  <c r="V35" i="52"/>
  <c r="W35" i="52"/>
  <c r="X35" i="52"/>
  <c r="Y35" i="52"/>
  <c r="Z35" i="52"/>
  <c r="AA35" i="52"/>
  <c r="AB35" i="52"/>
  <c r="R35" i="52"/>
  <c r="C35" i="52"/>
  <c r="C67" i="73"/>
  <c r="C67" i="72"/>
  <c r="AB132" i="71"/>
  <c r="AA132" i="71"/>
  <c r="Z132" i="71"/>
  <c r="Y132" i="71"/>
  <c r="X132" i="71"/>
  <c r="W132" i="71"/>
  <c r="V132" i="71"/>
  <c r="U132" i="71"/>
  <c r="T132" i="71"/>
  <c r="S132" i="71"/>
  <c r="C67" i="71"/>
  <c r="S150" i="68"/>
  <c r="D22" i="66" s="1"/>
  <c r="T150" i="68"/>
  <c r="E22" i="66" s="1"/>
  <c r="U150" i="68"/>
  <c r="F22" i="66" s="1"/>
  <c r="V150" i="68"/>
  <c r="G22" i="66" s="1"/>
  <c r="W150" i="68"/>
  <c r="H22" i="66" s="1"/>
  <c r="X150" i="68"/>
  <c r="I22" i="66" s="1"/>
  <c r="Y150" i="68"/>
  <c r="J22" i="66" s="1"/>
  <c r="Z150" i="68"/>
  <c r="K22" i="66" s="1"/>
  <c r="AA150" i="68"/>
  <c r="L22" i="66" s="1"/>
  <c r="AB150" i="68"/>
  <c r="M22" i="66" s="1"/>
  <c r="S149" i="68"/>
  <c r="D23" i="66" s="1"/>
  <c r="T149" i="68"/>
  <c r="E23" i="66" s="1"/>
  <c r="U149" i="68"/>
  <c r="F23" i="66" s="1"/>
  <c r="V149" i="68"/>
  <c r="G23" i="66" s="1"/>
  <c r="W149" i="68"/>
  <c r="H23" i="66" s="1"/>
  <c r="X149" i="68"/>
  <c r="I23" i="66" s="1"/>
  <c r="Y149" i="68"/>
  <c r="J23" i="66" s="1"/>
  <c r="Z149" i="68"/>
  <c r="K23" i="66" s="1"/>
  <c r="AA149" i="68"/>
  <c r="L23" i="66" s="1"/>
  <c r="AB149" i="68"/>
  <c r="M23" i="66" s="1"/>
  <c r="U132" i="68"/>
  <c r="V132" i="68"/>
  <c r="W132" i="68"/>
  <c r="Z132" i="68"/>
  <c r="AA132" i="68"/>
  <c r="AB32" i="68"/>
  <c r="AA31" i="68"/>
  <c r="Z30" i="68"/>
  <c r="Z99" i="68" s="1"/>
  <c r="Y29" i="68"/>
  <c r="Y98" i="68" s="1"/>
  <c r="X28" i="68"/>
  <c r="W27" i="68"/>
  <c r="V26" i="68"/>
  <c r="U25" i="68"/>
  <c r="T24" i="68"/>
  <c r="S23" i="68"/>
  <c r="AA31" i="52"/>
  <c r="AA100" i="52" s="1"/>
  <c r="Z30" i="52"/>
  <c r="Z99" i="52" s="1"/>
  <c r="Y29" i="52"/>
  <c r="Y98" i="52" s="1"/>
  <c r="X28" i="52"/>
  <c r="X97" i="52" s="1"/>
  <c r="W27" i="52"/>
  <c r="W96" i="52" s="1"/>
  <c r="V26" i="52"/>
  <c r="V95" i="52" s="1"/>
  <c r="U25" i="52"/>
  <c r="U94" i="52" s="1"/>
  <c r="T24" i="52"/>
  <c r="T93" i="52" s="1"/>
  <c r="S23" i="52"/>
  <c r="S92" i="52" s="1"/>
  <c r="C67" i="70"/>
  <c r="C67" i="69"/>
  <c r="AB132" i="68"/>
  <c r="T132" i="68"/>
  <c r="Y132" i="68"/>
  <c r="X132" i="68"/>
  <c r="S132" i="68"/>
  <c r="C67" i="68"/>
  <c r="AA101" i="65"/>
  <c r="Z101" i="65"/>
  <c r="Y101" i="65"/>
  <c r="X101" i="65"/>
  <c r="W101" i="65"/>
  <c r="V101" i="65"/>
  <c r="U101" i="65"/>
  <c r="T101" i="65"/>
  <c r="S101" i="65"/>
  <c r="R101" i="65"/>
  <c r="Q101" i="65"/>
  <c r="P101" i="65"/>
  <c r="O101" i="65"/>
  <c r="N101" i="65"/>
  <c r="M101" i="65"/>
  <c r="L101" i="65"/>
  <c r="K101" i="65"/>
  <c r="J101" i="65"/>
  <c r="I101" i="65"/>
  <c r="H101" i="65"/>
  <c r="G101" i="65"/>
  <c r="F101" i="65"/>
  <c r="E101" i="65"/>
  <c r="D101" i="65"/>
  <c r="C101" i="65"/>
  <c r="Z100" i="65"/>
  <c r="Y100" i="65"/>
  <c r="X100" i="65"/>
  <c r="W100" i="65"/>
  <c r="V100" i="65"/>
  <c r="U100" i="65"/>
  <c r="T100" i="65"/>
  <c r="S100" i="65"/>
  <c r="R100" i="65"/>
  <c r="Q100" i="65"/>
  <c r="P100" i="65"/>
  <c r="O100" i="65"/>
  <c r="N100" i="65"/>
  <c r="M100" i="65"/>
  <c r="L100" i="65"/>
  <c r="K100" i="65"/>
  <c r="J100" i="65"/>
  <c r="I100" i="65"/>
  <c r="H100" i="65"/>
  <c r="G100" i="65"/>
  <c r="F100" i="65"/>
  <c r="E100" i="65"/>
  <c r="D100" i="65"/>
  <c r="C100" i="65"/>
  <c r="Y99" i="65"/>
  <c r="X99" i="65"/>
  <c r="W99" i="65"/>
  <c r="V99" i="65"/>
  <c r="U99" i="65"/>
  <c r="T99" i="65"/>
  <c r="S99" i="65"/>
  <c r="R99" i="65"/>
  <c r="Q99" i="65"/>
  <c r="P99" i="65"/>
  <c r="O99" i="65"/>
  <c r="N99" i="65"/>
  <c r="M99" i="65"/>
  <c r="L99" i="65"/>
  <c r="K99" i="65"/>
  <c r="J99" i="65"/>
  <c r="I99" i="65"/>
  <c r="H99" i="65"/>
  <c r="G99" i="65"/>
  <c r="F99" i="65"/>
  <c r="E99" i="65"/>
  <c r="D99" i="65"/>
  <c r="C99" i="65"/>
  <c r="X98" i="65"/>
  <c r="W98" i="65"/>
  <c r="V98" i="65"/>
  <c r="U98" i="65"/>
  <c r="T98" i="65"/>
  <c r="S98" i="65"/>
  <c r="R98" i="65"/>
  <c r="Q98" i="65"/>
  <c r="P98" i="65"/>
  <c r="O98" i="65"/>
  <c r="N98" i="65"/>
  <c r="M98" i="65"/>
  <c r="L98" i="65"/>
  <c r="K98" i="65"/>
  <c r="J98" i="65"/>
  <c r="I98" i="65"/>
  <c r="H98" i="65"/>
  <c r="G98" i="65"/>
  <c r="F98" i="65"/>
  <c r="E98" i="65"/>
  <c r="D98" i="65"/>
  <c r="C98" i="65"/>
  <c r="W97" i="65"/>
  <c r="V97" i="65"/>
  <c r="U97" i="65"/>
  <c r="T97" i="65"/>
  <c r="S97" i="65"/>
  <c r="R97" i="65"/>
  <c r="Q97" i="65"/>
  <c r="P97" i="65"/>
  <c r="O97" i="65"/>
  <c r="N97" i="65"/>
  <c r="M97" i="65"/>
  <c r="L97" i="65"/>
  <c r="K97" i="65"/>
  <c r="J97" i="65"/>
  <c r="I97" i="65"/>
  <c r="H97" i="65"/>
  <c r="G97" i="65"/>
  <c r="F97" i="65"/>
  <c r="E97" i="65"/>
  <c r="D97" i="65"/>
  <c r="C97" i="65"/>
  <c r="V96" i="65"/>
  <c r="U96" i="65"/>
  <c r="T96" i="65"/>
  <c r="S96" i="65"/>
  <c r="R96" i="65"/>
  <c r="Q96" i="65"/>
  <c r="P96" i="65"/>
  <c r="O96" i="65"/>
  <c r="N96" i="65"/>
  <c r="M96" i="65"/>
  <c r="L96" i="65"/>
  <c r="K96" i="65"/>
  <c r="J96" i="65"/>
  <c r="I96" i="65"/>
  <c r="H96" i="65"/>
  <c r="G96" i="65"/>
  <c r="F96" i="65"/>
  <c r="E96" i="65"/>
  <c r="D96" i="65"/>
  <c r="C96" i="65"/>
  <c r="U95" i="65"/>
  <c r="T95" i="65"/>
  <c r="S95" i="65"/>
  <c r="R95" i="65"/>
  <c r="Q95" i="65"/>
  <c r="P95" i="65"/>
  <c r="O95" i="65"/>
  <c r="N95" i="65"/>
  <c r="M95" i="65"/>
  <c r="L95" i="65"/>
  <c r="K95" i="65"/>
  <c r="J95" i="65"/>
  <c r="I95" i="65"/>
  <c r="H95" i="65"/>
  <c r="G95" i="65"/>
  <c r="F95" i="65"/>
  <c r="E95" i="65"/>
  <c r="D95" i="65"/>
  <c r="C95" i="65"/>
  <c r="T94" i="65"/>
  <c r="S94" i="65"/>
  <c r="R94" i="65"/>
  <c r="Q94" i="65"/>
  <c r="P94" i="65"/>
  <c r="O94" i="65"/>
  <c r="N94" i="65"/>
  <c r="M94" i="65"/>
  <c r="L94" i="65"/>
  <c r="K94" i="65"/>
  <c r="J94" i="65"/>
  <c r="I94" i="65"/>
  <c r="H94" i="65"/>
  <c r="G94" i="65"/>
  <c r="F94" i="65"/>
  <c r="E94" i="65"/>
  <c r="D94" i="65"/>
  <c r="C94" i="65"/>
  <c r="S93" i="65"/>
  <c r="R93" i="65"/>
  <c r="Q93" i="65"/>
  <c r="P93" i="65"/>
  <c r="O93" i="65"/>
  <c r="N93" i="65"/>
  <c r="M93" i="65"/>
  <c r="L93" i="65"/>
  <c r="K93" i="65"/>
  <c r="J93" i="65"/>
  <c r="I93" i="65"/>
  <c r="H93" i="65"/>
  <c r="G93" i="65"/>
  <c r="F93" i="65"/>
  <c r="E93" i="65"/>
  <c r="D93" i="65"/>
  <c r="C93" i="65"/>
  <c r="R92" i="65"/>
  <c r="Q92" i="65"/>
  <c r="P92" i="65"/>
  <c r="O92" i="65"/>
  <c r="N92" i="65"/>
  <c r="M92" i="65"/>
  <c r="L92" i="65"/>
  <c r="K92" i="65"/>
  <c r="J92" i="65"/>
  <c r="I92" i="65"/>
  <c r="H92" i="65"/>
  <c r="G92" i="65"/>
  <c r="F92" i="65"/>
  <c r="E92" i="65"/>
  <c r="D92" i="65"/>
  <c r="C92" i="65"/>
  <c r="Q91" i="65"/>
  <c r="P91" i="65"/>
  <c r="O91" i="65"/>
  <c r="N91" i="65"/>
  <c r="M91" i="65"/>
  <c r="L91" i="65"/>
  <c r="K91" i="65"/>
  <c r="J91" i="65"/>
  <c r="I91" i="65"/>
  <c r="H91" i="65"/>
  <c r="G91" i="65"/>
  <c r="F91" i="65"/>
  <c r="E91" i="65"/>
  <c r="D91" i="65"/>
  <c r="C91" i="65"/>
  <c r="P90" i="65"/>
  <c r="O90" i="65"/>
  <c r="N90" i="65"/>
  <c r="M90" i="65"/>
  <c r="L90" i="65"/>
  <c r="K90" i="65"/>
  <c r="J90" i="65"/>
  <c r="I90" i="65"/>
  <c r="H90" i="65"/>
  <c r="G90" i="65"/>
  <c r="F90" i="65"/>
  <c r="E90" i="65"/>
  <c r="D90" i="65"/>
  <c r="C90" i="65"/>
  <c r="O89" i="65"/>
  <c r="N89" i="65"/>
  <c r="M89" i="65"/>
  <c r="L89" i="65"/>
  <c r="K89" i="65"/>
  <c r="J89" i="65"/>
  <c r="I89" i="65"/>
  <c r="H89" i="65"/>
  <c r="G89" i="65"/>
  <c r="F89" i="65"/>
  <c r="E89" i="65"/>
  <c r="D89" i="65"/>
  <c r="C89" i="65"/>
  <c r="N88" i="65"/>
  <c r="M88" i="65"/>
  <c r="L88" i="65"/>
  <c r="K88" i="65"/>
  <c r="J88" i="65"/>
  <c r="I88" i="65"/>
  <c r="H88" i="65"/>
  <c r="G88" i="65"/>
  <c r="F88" i="65"/>
  <c r="E88" i="65"/>
  <c r="D88" i="65"/>
  <c r="C88" i="65"/>
  <c r="M87" i="65"/>
  <c r="L87" i="65"/>
  <c r="K87" i="65"/>
  <c r="J87" i="65"/>
  <c r="I87" i="65"/>
  <c r="H87" i="65"/>
  <c r="G87" i="65"/>
  <c r="F87" i="65"/>
  <c r="E87" i="65"/>
  <c r="D87" i="65"/>
  <c r="C87" i="65"/>
  <c r="L86" i="65"/>
  <c r="K86" i="65"/>
  <c r="J86" i="65"/>
  <c r="I86" i="65"/>
  <c r="H86" i="65"/>
  <c r="G86" i="65"/>
  <c r="F86" i="65"/>
  <c r="E86" i="65"/>
  <c r="D86" i="65"/>
  <c r="C86" i="65"/>
  <c r="K85" i="65"/>
  <c r="J85" i="65"/>
  <c r="I85" i="65"/>
  <c r="H85" i="65"/>
  <c r="G85" i="65"/>
  <c r="F85" i="65"/>
  <c r="E85" i="65"/>
  <c r="D85" i="65"/>
  <c r="C85" i="65"/>
  <c r="J84" i="65"/>
  <c r="I84" i="65"/>
  <c r="H84" i="65"/>
  <c r="G84" i="65"/>
  <c r="F84" i="65"/>
  <c r="E84" i="65"/>
  <c r="D84" i="65"/>
  <c r="C84" i="65"/>
  <c r="I83" i="65"/>
  <c r="H83" i="65"/>
  <c r="G83" i="65"/>
  <c r="F83" i="65"/>
  <c r="E83" i="65"/>
  <c r="D83" i="65"/>
  <c r="C83" i="65"/>
  <c r="H82" i="65"/>
  <c r="G82" i="65"/>
  <c r="F82" i="65"/>
  <c r="E82" i="65"/>
  <c r="D82" i="65"/>
  <c r="C82" i="65"/>
  <c r="G81" i="65"/>
  <c r="F81" i="65"/>
  <c r="E81" i="65"/>
  <c r="D81" i="65"/>
  <c r="C81" i="65"/>
  <c r="F80" i="65"/>
  <c r="E80" i="65"/>
  <c r="D80" i="65"/>
  <c r="C80" i="65"/>
  <c r="E79" i="65"/>
  <c r="D79" i="65"/>
  <c r="C79" i="65"/>
  <c r="D78" i="65"/>
  <c r="C78" i="65"/>
  <c r="C77" i="65"/>
  <c r="C67" i="65"/>
  <c r="AA101" i="64"/>
  <c r="Z101" i="64"/>
  <c r="Y101" i="64"/>
  <c r="X101" i="64"/>
  <c r="W101" i="64"/>
  <c r="V101" i="64"/>
  <c r="U101" i="64"/>
  <c r="T101" i="64"/>
  <c r="S101" i="64"/>
  <c r="R101" i="64"/>
  <c r="Q101" i="64"/>
  <c r="P101" i="64"/>
  <c r="O101" i="64"/>
  <c r="N101" i="64"/>
  <c r="M101" i="64"/>
  <c r="L101" i="64"/>
  <c r="K101" i="64"/>
  <c r="J101" i="64"/>
  <c r="I101" i="64"/>
  <c r="H101" i="64"/>
  <c r="G101" i="64"/>
  <c r="F101" i="64"/>
  <c r="E101" i="64"/>
  <c r="D101" i="64"/>
  <c r="C101" i="64"/>
  <c r="Z100" i="64"/>
  <c r="Y100" i="64"/>
  <c r="X100" i="64"/>
  <c r="W100" i="64"/>
  <c r="V100" i="64"/>
  <c r="U100" i="64"/>
  <c r="T100" i="64"/>
  <c r="S100" i="64"/>
  <c r="R100" i="64"/>
  <c r="Q100" i="64"/>
  <c r="P100" i="64"/>
  <c r="O100" i="64"/>
  <c r="N100" i="64"/>
  <c r="M100" i="64"/>
  <c r="L100" i="64"/>
  <c r="K100" i="64"/>
  <c r="J100" i="64"/>
  <c r="I100" i="64"/>
  <c r="H100" i="64"/>
  <c r="G100" i="64"/>
  <c r="F100" i="64"/>
  <c r="E100" i="64"/>
  <c r="D100" i="64"/>
  <c r="C100" i="64"/>
  <c r="Y99" i="64"/>
  <c r="X99" i="64"/>
  <c r="W99" i="64"/>
  <c r="V99" i="64"/>
  <c r="U99" i="64"/>
  <c r="T99" i="64"/>
  <c r="S99" i="64"/>
  <c r="R99" i="64"/>
  <c r="Q99" i="64"/>
  <c r="P99" i="64"/>
  <c r="O99" i="64"/>
  <c r="N99" i="64"/>
  <c r="M99" i="64"/>
  <c r="L99" i="64"/>
  <c r="K99" i="64"/>
  <c r="J99" i="64"/>
  <c r="I99" i="64"/>
  <c r="H99" i="64"/>
  <c r="G99" i="64"/>
  <c r="F99" i="64"/>
  <c r="E99" i="64"/>
  <c r="D99" i="64"/>
  <c r="C99" i="64"/>
  <c r="X98" i="64"/>
  <c r="W98" i="64"/>
  <c r="V98" i="64"/>
  <c r="U98" i="64"/>
  <c r="T98" i="64"/>
  <c r="S98" i="64"/>
  <c r="R98" i="64"/>
  <c r="Q98" i="64"/>
  <c r="P98" i="64"/>
  <c r="O98" i="64"/>
  <c r="N98" i="64"/>
  <c r="M98" i="64"/>
  <c r="L98" i="64"/>
  <c r="K98" i="64"/>
  <c r="J98" i="64"/>
  <c r="I98" i="64"/>
  <c r="H98" i="64"/>
  <c r="G98" i="64"/>
  <c r="F98" i="64"/>
  <c r="E98" i="64"/>
  <c r="D98" i="64"/>
  <c r="C98" i="64"/>
  <c r="W97" i="64"/>
  <c r="V97" i="64"/>
  <c r="U97" i="64"/>
  <c r="T97" i="64"/>
  <c r="S97" i="64"/>
  <c r="R97" i="64"/>
  <c r="Q97" i="64"/>
  <c r="P97" i="64"/>
  <c r="O97" i="64"/>
  <c r="N97" i="64"/>
  <c r="M97" i="64"/>
  <c r="L97" i="64"/>
  <c r="K97" i="64"/>
  <c r="J97" i="64"/>
  <c r="I97" i="64"/>
  <c r="H97" i="64"/>
  <c r="G97" i="64"/>
  <c r="F97" i="64"/>
  <c r="E97" i="64"/>
  <c r="D97" i="64"/>
  <c r="C97" i="64"/>
  <c r="V96" i="64"/>
  <c r="U96" i="64"/>
  <c r="T96" i="64"/>
  <c r="S96" i="64"/>
  <c r="R96" i="64"/>
  <c r="Q96" i="64"/>
  <c r="P96" i="64"/>
  <c r="O96" i="64"/>
  <c r="N96" i="64"/>
  <c r="M96" i="64"/>
  <c r="L96" i="64"/>
  <c r="K96" i="64"/>
  <c r="J96" i="64"/>
  <c r="I96" i="64"/>
  <c r="H96" i="64"/>
  <c r="G96" i="64"/>
  <c r="F96" i="64"/>
  <c r="E96" i="64"/>
  <c r="D96" i="64"/>
  <c r="C96" i="64"/>
  <c r="U95" i="64"/>
  <c r="T95" i="64"/>
  <c r="S95" i="64"/>
  <c r="R95" i="64"/>
  <c r="Q95" i="64"/>
  <c r="P95" i="64"/>
  <c r="O95" i="64"/>
  <c r="N95" i="64"/>
  <c r="M95" i="64"/>
  <c r="L95" i="64"/>
  <c r="K95" i="64"/>
  <c r="J95" i="64"/>
  <c r="I95" i="64"/>
  <c r="H95" i="64"/>
  <c r="G95" i="64"/>
  <c r="F95" i="64"/>
  <c r="E95" i="64"/>
  <c r="D95" i="64"/>
  <c r="C95" i="64"/>
  <c r="T94" i="64"/>
  <c r="S94" i="64"/>
  <c r="R94" i="64"/>
  <c r="Q94" i="64"/>
  <c r="P94" i="64"/>
  <c r="O94" i="64"/>
  <c r="N94" i="64"/>
  <c r="M94" i="64"/>
  <c r="L94" i="64"/>
  <c r="K94" i="64"/>
  <c r="J94" i="64"/>
  <c r="I94" i="64"/>
  <c r="H94" i="64"/>
  <c r="G94" i="64"/>
  <c r="F94" i="64"/>
  <c r="E94" i="64"/>
  <c r="D94" i="64"/>
  <c r="C94" i="64"/>
  <c r="S93" i="64"/>
  <c r="R93" i="64"/>
  <c r="Q93" i="64"/>
  <c r="P93" i="64"/>
  <c r="O93" i="64"/>
  <c r="N93" i="64"/>
  <c r="M93" i="64"/>
  <c r="L93" i="64"/>
  <c r="K93" i="64"/>
  <c r="J93" i="64"/>
  <c r="I93" i="64"/>
  <c r="H93" i="64"/>
  <c r="G93" i="64"/>
  <c r="F93" i="64"/>
  <c r="E93" i="64"/>
  <c r="D93" i="64"/>
  <c r="C93" i="64"/>
  <c r="R92" i="64"/>
  <c r="Q92" i="64"/>
  <c r="P92" i="64"/>
  <c r="O92" i="64"/>
  <c r="N92" i="64"/>
  <c r="M92" i="64"/>
  <c r="L92" i="64"/>
  <c r="K92" i="64"/>
  <c r="J92" i="64"/>
  <c r="I92" i="64"/>
  <c r="H92" i="64"/>
  <c r="G92" i="64"/>
  <c r="F92" i="64"/>
  <c r="E92" i="64"/>
  <c r="D92" i="64"/>
  <c r="C92" i="64"/>
  <c r="Q91" i="64"/>
  <c r="P91" i="64"/>
  <c r="O91" i="64"/>
  <c r="N91" i="64"/>
  <c r="M91" i="64"/>
  <c r="L91" i="64"/>
  <c r="K91" i="64"/>
  <c r="J91" i="64"/>
  <c r="I91" i="64"/>
  <c r="H91" i="64"/>
  <c r="G91" i="64"/>
  <c r="F91" i="64"/>
  <c r="E91" i="64"/>
  <c r="D91" i="64"/>
  <c r="C91" i="64"/>
  <c r="P90" i="64"/>
  <c r="O90" i="64"/>
  <c r="N90" i="64"/>
  <c r="M90" i="64"/>
  <c r="L90" i="64"/>
  <c r="K90" i="64"/>
  <c r="J90" i="64"/>
  <c r="I90" i="64"/>
  <c r="H90" i="64"/>
  <c r="G90" i="64"/>
  <c r="F90" i="64"/>
  <c r="E90" i="64"/>
  <c r="D90" i="64"/>
  <c r="C90" i="64"/>
  <c r="O89" i="64"/>
  <c r="N89" i="64"/>
  <c r="M89" i="64"/>
  <c r="L89" i="64"/>
  <c r="K89" i="64"/>
  <c r="J89" i="64"/>
  <c r="I89" i="64"/>
  <c r="H89" i="64"/>
  <c r="G89" i="64"/>
  <c r="F89" i="64"/>
  <c r="E89" i="64"/>
  <c r="D89" i="64"/>
  <c r="C89" i="64"/>
  <c r="N88" i="64"/>
  <c r="M88" i="64"/>
  <c r="L88" i="64"/>
  <c r="K88" i="64"/>
  <c r="J88" i="64"/>
  <c r="I88" i="64"/>
  <c r="H88" i="64"/>
  <c r="G88" i="64"/>
  <c r="F88" i="64"/>
  <c r="E88" i="64"/>
  <c r="D88" i="64"/>
  <c r="C88" i="64"/>
  <c r="M87" i="64"/>
  <c r="L87" i="64"/>
  <c r="K87" i="64"/>
  <c r="J87" i="64"/>
  <c r="I87" i="64"/>
  <c r="H87" i="64"/>
  <c r="G87" i="64"/>
  <c r="F87" i="64"/>
  <c r="E87" i="64"/>
  <c r="D87" i="64"/>
  <c r="C87" i="64"/>
  <c r="L86" i="64"/>
  <c r="K86" i="64"/>
  <c r="J86" i="64"/>
  <c r="I86" i="64"/>
  <c r="H86" i="64"/>
  <c r="G86" i="64"/>
  <c r="F86" i="64"/>
  <c r="E86" i="64"/>
  <c r="D86" i="64"/>
  <c r="C86" i="64"/>
  <c r="K85" i="64"/>
  <c r="J85" i="64"/>
  <c r="I85" i="64"/>
  <c r="H85" i="64"/>
  <c r="G85" i="64"/>
  <c r="F85" i="64"/>
  <c r="E85" i="64"/>
  <c r="D85" i="64"/>
  <c r="C85" i="64"/>
  <c r="J84" i="64"/>
  <c r="I84" i="64"/>
  <c r="H84" i="64"/>
  <c r="G84" i="64"/>
  <c r="F84" i="64"/>
  <c r="E84" i="64"/>
  <c r="D84" i="64"/>
  <c r="C84" i="64"/>
  <c r="I83" i="64"/>
  <c r="H83" i="64"/>
  <c r="G83" i="64"/>
  <c r="F83" i="64"/>
  <c r="E83" i="64"/>
  <c r="D83" i="64"/>
  <c r="C83" i="64"/>
  <c r="H82" i="64"/>
  <c r="G82" i="64"/>
  <c r="F82" i="64"/>
  <c r="E82" i="64"/>
  <c r="D82" i="64"/>
  <c r="C82" i="64"/>
  <c r="G81" i="64"/>
  <c r="F81" i="64"/>
  <c r="E81" i="64"/>
  <c r="D81" i="64"/>
  <c r="C81" i="64"/>
  <c r="F80" i="64"/>
  <c r="E80" i="64"/>
  <c r="D80" i="64"/>
  <c r="C80" i="64"/>
  <c r="E79" i="64"/>
  <c r="D79" i="64"/>
  <c r="C79" i="64"/>
  <c r="D78" i="64"/>
  <c r="C78" i="64"/>
  <c r="C77" i="64"/>
  <c r="C67" i="64"/>
  <c r="C70" i="64" s="1"/>
  <c r="F38" i="73" l="1"/>
  <c r="G38" i="73"/>
  <c r="X5" i="54"/>
  <c r="N5" i="54"/>
  <c r="W6" i="54"/>
  <c r="G6" i="54"/>
  <c r="U5" i="54"/>
  <c r="E5" i="54"/>
  <c r="N6" i="54"/>
  <c r="P5" i="54"/>
  <c r="Y6" i="54"/>
  <c r="I6" i="54"/>
  <c r="S5" i="54"/>
  <c r="C5" i="54"/>
  <c r="L6" i="54"/>
  <c r="F38" i="72"/>
  <c r="F146" i="72" s="1"/>
  <c r="M38" i="72"/>
  <c r="Z5" i="54"/>
  <c r="J5" i="54"/>
  <c r="S6" i="54"/>
  <c r="C6" i="54"/>
  <c r="Q5" i="54"/>
  <c r="Z6" i="54"/>
  <c r="J6" i="54"/>
  <c r="L5" i="54"/>
  <c r="U6" i="54"/>
  <c r="E6" i="54"/>
  <c r="O5" i="54"/>
  <c r="X6" i="54"/>
  <c r="H6" i="54"/>
  <c r="D5" i="54"/>
  <c r="M6" i="54"/>
  <c r="W5" i="54"/>
  <c r="G5" i="54"/>
  <c r="P35" i="52"/>
  <c r="J38" i="73"/>
  <c r="J141" i="73" s="1"/>
  <c r="R38" i="73"/>
  <c r="E38" i="71"/>
  <c r="O38" i="73"/>
  <c r="I38" i="72"/>
  <c r="I143" i="72" s="1"/>
  <c r="V5" i="54"/>
  <c r="F5" i="54"/>
  <c r="O6" i="54"/>
  <c r="B5" i="54"/>
  <c r="C72" i="69" s="1"/>
  <c r="M5" i="54"/>
  <c r="V6" i="54"/>
  <c r="F6" i="54"/>
  <c r="H5" i="54"/>
  <c r="Q6" i="54"/>
  <c r="AA5" i="54"/>
  <c r="K5" i="54"/>
  <c r="T6" i="54"/>
  <c r="K38" i="72"/>
  <c r="Q38" i="72"/>
  <c r="F38" i="71"/>
  <c r="F147" i="71" s="1"/>
  <c r="N38" i="72"/>
  <c r="N150" i="72" s="1"/>
  <c r="G38" i="72"/>
  <c r="R22" i="73"/>
  <c r="N22" i="66"/>
  <c r="J38" i="71"/>
  <c r="I38" i="73"/>
  <c r="I146" i="73" s="1"/>
  <c r="M38" i="71"/>
  <c r="M140" i="71" s="1"/>
  <c r="K38" i="73"/>
  <c r="C71" i="64"/>
  <c r="F139" i="71"/>
  <c r="F143" i="71"/>
  <c r="F144" i="71"/>
  <c r="F148" i="71"/>
  <c r="F132" i="71" s="1"/>
  <c r="F149" i="71"/>
  <c r="F138" i="71"/>
  <c r="F150" i="71"/>
  <c r="F10" i="71"/>
  <c r="F79" i="71" s="1"/>
  <c r="M139" i="72"/>
  <c r="M143" i="72"/>
  <c r="M147" i="72"/>
  <c r="M140" i="72"/>
  <c r="M144" i="72"/>
  <c r="M148" i="72"/>
  <c r="M141" i="72"/>
  <c r="M145" i="72"/>
  <c r="M149" i="72"/>
  <c r="M150" i="72"/>
  <c r="M138" i="72"/>
  <c r="M142" i="72"/>
  <c r="M146" i="72"/>
  <c r="M17" i="72"/>
  <c r="M86" i="72" s="1"/>
  <c r="N139" i="71"/>
  <c r="N143" i="71"/>
  <c r="N147" i="71"/>
  <c r="N140" i="71"/>
  <c r="N144" i="71"/>
  <c r="N148" i="71"/>
  <c r="N132" i="71" s="1"/>
  <c r="N141" i="71"/>
  <c r="N145" i="71"/>
  <c r="N149" i="71"/>
  <c r="N138" i="71"/>
  <c r="N142" i="71"/>
  <c r="N146" i="71"/>
  <c r="N150" i="71"/>
  <c r="N18" i="71"/>
  <c r="N87" i="71" s="1"/>
  <c r="I139" i="72"/>
  <c r="I144" i="72"/>
  <c r="I149" i="72"/>
  <c r="I150" i="72"/>
  <c r="E139" i="72"/>
  <c r="E143" i="72"/>
  <c r="E147" i="72"/>
  <c r="E140" i="72"/>
  <c r="E144" i="72"/>
  <c r="E148" i="72"/>
  <c r="E141" i="72"/>
  <c r="E145" i="72"/>
  <c r="E149" i="72"/>
  <c r="E142" i="72"/>
  <c r="E146" i="72"/>
  <c r="E150" i="72"/>
  <c r="E138" i="72"/>
  <c r="E9" i="72"/>
  <c r="E78" i="72" s="1"/>
  <c r="C138" i="71"/>
  <c r="C147" i="71"/>
  <c r="C143" i="71"/>
  <c r="C139" i="71"/>
  <c r="C146" i="71"/>
  <c r="C142" i="71"/>
  <c r="C150" i="71"/>
  <c r="C145" i="71"/>
  <c r="C141" i="71"/>
  <c r="C149" i="71"/>
  <c r="C144" i="71"/>
  <c r="C140" i="71"/>
  <c r="C7" i="71"/>
  <c r="C76" i="71" s="1"/>
  <c r="C148" i="71"/>
  <c r="Q139" i="72"/>
  <c r="Q143" i="72"/>
  <c r="Q147" i="72"/>
  <c r="Q140" i="72"/>
  <c r="Q144" i="72"/>
  <c r="Q148" i="72"/>
  <c r="Q141" i="72"/>
  <c r="Q145" i="72"/>
  <c r="Q149" i="72"/>
  <c r="Q146" i="72"/>
  <c r="Q150" i="72"/>
  <c r="Q138" i="72"/>
  <c r="Q142" i="72"/>
  <c r="Q21" i="72"/>
  <c r="Q90" i="72" s="1"/>
  <c r="C179" i="68"/>
  <c r="C183" i="68" s="1"/>
  <c r="C178" i="68"/>
  <c r="C174" i="68"/>
  <c r="C170" i="68"/>
  <c r="C177" i="68"/>
  <c r="C173" i="68"/>
  <c r="C169" i="68"/>
  <c r="C180" i="68"/>
  <c r="C184" i="68" s="1"/>
  <c r="C176" i="68"/>
  <c r="C172" i="68"/>
  <c r="C168" i="68"/>
  <c r="C175" i="68"/>
  <c r="C171" i="68"/>
  <c r="C177" i="69"/>
  <c r="C173" i="69"/>
  <c r="C169" i="69"/>
  <c r="C180" i="69"/>
  <c r="C184" i="69" s="1"/>
  <c r="C176" i="69"/>
  <c r="C172" i="69"/>
  <c r="C168" i="69"/>
  <c r="C179" i="69"/>
  <c r="C175" i="69"/>
  <c r="C171" i="69"/>
  <c r="C178" i="69"/>
  <c r="C174" i="69"/>
  <c r="C170" i="69"/>
  <c r="S92" i="68"/>
  <c r="W96" i="68"/>
  <c r="AA100" i="68"/>
  <c r="R37" i="70"/>
  <c r="R37" i="69"/>
  <c r="R37" i="68"/>
  <c r="N37" i="70"/>
  <c r="N37" i="69"/>
  <c r="N37" i="68"/>
  <c r="J37" i="69"/>
  <c r="J37" i="68"/>
  <c r="J37" i="70"/>
  <c r="F37" i="69"/>
  <c r="F37" i="68"/>
  <c r="F37" i="70"/>
  <c r="R36" i="68"/>
  <c r="R36" i="69"/>
  <c r="R38" i="69" s="1"/>
  <c r="R36" i="70"/>
  <c r="R38" i="70" s="1"/>
  <c r="N36" i="70"/>
  <c r="N36" i="68"/>
  <c r="N36" i="69"/>
  <c r="J36" i="68"/>
  <c r="J36" i="70"/>
  <c r="J36" i="69"/>
  <c r="F36" i="70"/>
  <c r="F36" i="69"/>
  <c r="F36" i="68"/>
  <c r="P35" i="70"/>
  <c r="P35" i="69"/>
  <c r="P35" i="68"/>
  <c r="L35" i="70"/>
  <c r="L35" i="68"/>
  <c r="L35" i="69"/>
  <c r="H35" i="70"/>
  <c r="H35" i="68"/>
  <c r="H35" i="69"/>
  <c r="D35" i="70"/>
  <c r="D35" i="68"/>
  <c r="D35" i="69"/>
  <c r="N37" i="64"/>
  <c r="N37" i="65"/>
  <c r="J37" i="64"/>
  <c r="J37" i="65"/>
  <c r="F37" i="64"/>
  <c r="F37" i="65"/>
  <c r="Q36" i="52"/>
  <c r="Q36" i="65"/>
  <c r="M36" i="52"/>
  <c r="M36" i="65"/>
  <c r="I36" i="52"/>
  <c r="I36" i="65"/>
  <c r="E36" i="52"/>
  <c r="E36" i="65"/>
  <c r="F141" i="73"/>
  <c r="F145" i="73"/>
  <c r="F149" i="73"/>
  <c r="F138" i="73"/>
  <c r="F142" i="73"/>
  <c r="F146" i="73"/>
  <c r="F150" i="73"/>
  <c r="F139" i="73"/>
  <c r="F143" i="73"/>
  <c r="F147" i="73"/>
  <c r="F140" i="73"/>
  <c r="F144" i="73"/>
  <c r="F148" i="73"/>
  <c r="F10" i="73"/>
  <c r="F79" i="73" s="1"/>
  <c r="N141" i="73"/>
  <c r="N145" i="73"/>
  <c r="N149" i="73"/>
  <c r="N138" i="73"/>
  <c r="N142" i="73"/>
  <c r="N146" i="73"/>
  <c r="N150" i="73"/>
  <c r="N139" i="73"/>
  <c r="N143" i="73"/>
  <c r="N147" i="73"/>
  <c r="N144" i="73"/>
  <c r="N148" i="73"/>
  <c r="N140" i="73"/>
  <c r="N18" i="73"/>
  <c r="N87" i="73" s="1"/>
  <c r="G140" i="73"/>
  <c r="G144" i="73"/>
  <c r="G148" i="73"/>
  <c r="G141" i="73"/>
  <c r="G145" i="73"/>
  <c r="G149" i="73"/>
  <c r="G138" i="73"/>
  <c r="G142" i="73"/>
  <c r="G146" i="73"/>
  <c r="G150" i="73"/>
  <c r="G143" i="73"/>
  <c r="G147" i="73"/>
  <c r="G139" i="73"/>
  <c r="G11" i="73"/>
  <c r="G80" i="73" s="1"/>
  <c r="K141" i="72"/>
  <c r="K145" i="72"/>
  <c r="K149" i="72"/>
  <c r="K138" i="72"/>
  <c r="K142" i="72"/>
  <c r="K146" i="72"/>
  <c r="K150" i="72"/>
  <c r="K139" i="72"/>
  <c r="K143" i="72"/>
  <c r="K147" i="72"/>
  <c r="K140" i="72"/>
  <c r="K144" i="72"/>
  <c r="K148" i="72"/>
  <c r="K15" i="72"/>
  <c r="K84" i="72" s="1"/>
  <c r="O38" i="71"/>
  <c r="R139" i="71"/>
  <c r="R143" i="71"/>
  <c r="R147" i="71"/>
  <c r="R140" i="71"/>
  <c r="R144" i="71"/>
  <c r="R148" i="71"/>
  <c r="R132" i="71" s="1"/>
  <c r="R141" i="71"/>
  <c r="R145" i="71"/>
  <c r="R149" i="71"/>
  <c r="R138" i="71"/>
  <c r="R142" i="71"/>
  <c r="R146" i="71"/>
  <c r="R150" i="71"/>
  <c r="R22" i="71"/>
  <c r="R91" i="71" s="1"/>
  <c r="H38" i="73"/>
  <c r="L38" i="72"/>
  <c r="P38" i="71"/>
  <c r="Q38" i="71"/>
  <c r="C179" i="70"/>
  <c r="C175" i="70"/>
  <c r="C171" i="70"/>
  <c r="C178" i="70"/>
  <c r="C182" i="70" s="1"/>
  <c r="C174" i="70"/>
  <c r="C170" i="70"/>
  <c r="C177" i="70"/>
  <c r="C173" i="70"/>
  <c r="C169" i="70"/>
  <c r="C180" i="70"/>
  <c r="C184" i="70" s="1"/>
  <c r="C176" i="70"/>
  <c r="C172" i="70"/>
  <c r="C168" i="70"/>
  <c r="T93" i="68"/>
  <c r="X97" i="68"/>
  <c r="AB101" i="68"/>
  <c r="C70" i="73"/>
  <c r="C177" i="73"/>
  <c r="C173" i="73"/>
  <c r="C169" i="73"/>
  <c r="C180" i="73"/>
  <c r="C184" i="73" s="1"/>
  <c r="C176" i="73"/>
  <c r="C172" i="73"/>
  <c r="C168" i="73"/>
  <c r="C178" i="73"/>
  <c r="C182" i="73" s="1"/>
  <c r="C174" i="73"/>
  <c r="C170" i="73"/>
  <c r="C175" i="73"/>
  <c r="C171" i="73"/>
  <c r="C179" i="73"/>
  <c r="Q37" i="69"/>
  <c r="Q37" i="70"/>
  <c r="Q37" i="68"/>
  <c r="M37" i="69"/>
  <c r="M37" i="70"/>
  <c r="M37" i="68"/>
  <c r="I37" i="69"/>
  <c r="I37" i="70"/>
  <c r="I37" i="68"/>
  <c r="E37" i="69"/>
  <c r="E37" i="68"/>
  <c r="E37" i="70"/>
  <c r="Q36" i="70"/>
  <c r="Q36" i="69"/>
  <c r="Q36" i="68"/>
  <c r="M36" i="70"/>
  <c r="M36" i="68"/>
  <c r="M36" i="69"/>
  <c r="I36" i="70"/>
  <c r="I36" i="68"/>
  <c r="I36" i="69"/>
  <c r="E36" i="70"/>
  <c r="E36" i="69"/>
  <c r="E36" i="68"/>
  <c r="O35" i="70"/>
  <c r="O35" i="68"/>
  <c r="O35" i="69"/>
  <c r="K35" i="70"/>
  <c r="K35" i="69"/>
  <c r="K35" i="68"/>
  <c r="G35" i="68"/>
  <c r="G35" i="69"/>
  <c r="G35" i="70"/>
  <c r="Q37" i="64"/>
  <c r="Q37" i="65"/>
  <c r="M37" i="64"/>
  <c r="M37" i="65"/>
  <c r="I37" i="64"/>
  <c r="I37" i="65"/>
  <c r="E37" i="64"/>
  <c r="E37" i="65"/>
  <c r="P36" i="64"/>
  <c r="P36" i="65"/>
  <c r="P38" i="65" s="1"/>
  <c r="P141" i="65" s="1"/>
  <c r="L36" i="64"/>
  <c r="L36" i="65"/>
  <c r="H36" i="64"/>
  <c r="H36" i="65"/>
  <c r="D36" i="64"/>
  <c r="D36" i="65"/>
  <c r="D38" i="65" s="1"/>
  <c r="O35" i="52"/>
  <c r="O35" i="65"/>
  <c r="K35" i="52"/>
  <c r="K35" i="65"/>
  <c r="K38" i="65" s="1"/>
  <c r="K141" i="65" s="1"/>
  <c r="G35" i="52"/>
  <c r="G35" i="65"/>
  <c r="F142" i="72"/>
  <c r="F143" i="72"/>
  <c r="F148" i="72"/>
  <c r="F10" i="72"/>
  <c r="F79" i="72" s="1"/>
  <c r="G141" i="72"/>
  <c r="G145" i="72"/>
  <c r="G149" i="72"/>
  <c r="G138" i="72"/>
  <c r="G142" i="72"/>
  <c r="G146" i="72"/>
  <c r="G150" i="72"/>
  <c r="G139" i="72"/>
  <c r="G143" i="72"/>
  <c r="G147" i="72"/>
  <c r="G140" i="72"/>
  <c r="G144" i="72"/>
  <c r="G148" i="72"/>
  <c r="G11" i="72"/>
  <c r="G80" i="72" s="1"/>
  <c r="K138" i="71"/>
  <c r="K142" i="71"/>
  <c r="K146" i="71"/>
  <c r="K150" i="71"/>
  <c r="K139" i="71"/>
  <c r="K143" i="71"/>
  <c r="K147" i="71"/>
  <c r="K140" i="71"/>
  <c r="K144" i="71"/>
  <c r="K148" i="71"/>
  <c r="K141" i="71"/>
  <c r="K145" i="71"/>
  <c r="K149" i="71"/>
  <c r="K15" i="71"/>
  <c r="K84" i="71" s="1"/>
  <c r="M38" i="73"/>
  <c r="D38" i="73"/>
  <c r="H38" i="72"/>
  <c r="L38" i="71"/>
  <c r="R138" i="72"/>
  <c r="R142" i="72"/>
  <c r="R146" i="72"/>
  <c r="R150" i="72"/>
  <c r="R139" i="72"/>
  <c r="R143" i="72"/>
  <c r="R147" i="72"/>
  <c r="R140" i="72"/>
  <c r="R144" i="72"/>
  <c r="R148" i="72"/>
  <c r="R132" i="72" s="1"/>
  <c r="R141" i="72"/>
  <c r="R145" i="72"/>
  <c r="R149" i="72"/>
  <c r="V38" i="72"/>
  <c r="Z38" i="72"/>
  <c r="W38" i="72"/>
  <c r="AA38" i="72"/>
  <c r="T38" i="72"/>
  <c r="X38" i="72"/>
  <c r="AB38" i="72"/>
  <c r="R22" i="72"/>
  <c r="R91" i="72" s="1"/>
  <c r="U38" i="72"/>
  <c r="Y38" i="72"/>
  <c r="S38" i="72"/>
  <c r="Q38" i="73"/>
  <c r="U94" i="68"/>
  <c r="N23" i="66"/>
  <c r="C179" i="72"/>
  <c r="C175" i="72"/>
  <c r="C171" i="72"/>
  <c r="C178" i="72"/>
  <c r="C174" i="72"/>
  <c r="C170" i="72"/>
  <c r="C180" i="72"/>
  <c r="C176" i="72"/>
  <c r="C172" i="72"/>
  <c r="C168" i="72"/>
  <c r="C177" i="72"/>
  <c r="C173" i="72"/>
  <c r="C169" i="72"/>
  <c r="P37" i="68"/>
  <c r="P37" i="70"/>
  <c r="P37" i="69"/>
  <c r="L37" i="68"/>
  <c r="L37" i="70"/>
  <c r="L37" i="69"/>
  <c r="H37" i="68"/>
  <c r="H37" i="70"/>
  <c r="H37" i="69"/>
  <c r="D37" i="68"/>
  <c r="D37" i="70"/>
  <c r="D37" i="69"/>
  <c r="P36" i="70"/>
  <c r="P36" i="68"/>
  <c r="P36" i="69"/>
  <c r="L36" i="70"/>
  <c r="L36" i="69"/>
  <c r="L36" i="68"/>
  <c r="H36" i="70"/>
  <c r="H36" i="69"/>
  <c r="H36" i="68"/>
  <c r="D36" i="70"/>
  <c r="D36" i="69"/>
  <c r="D36" i="68"/>
  <c r="N35" i="68"/>
  <c r="N38" i="68" s="1"/>
  <c r="N18" i="68" s="1"/>
  <c r="N35" i="70"/>
  <c r="N35" i="69"/>
  <c r="J35" i="68"/>
  <c r="J35" i="70"/>
  <c r="J38" i="70" s="1"/>
  <c r="J35" i="69"/>
  <c r="F35" i="68"/>
  <c r="F35" i="69"/>
  <c r="F35" i="70"/>
  <c r="F38" i="70" s="1"/>
  <c r="O36" i="64"/>
  <c r="O36" i="65"/>
  <c r="K36" i="64"/>
  <c r="K36" i="65"/>
  <c r="G36" i="64"/>
  <c r="G36" i="65"/>
  <c r="C36" i="64"/>
  <c r="C36" i="65"/>
  <c r="C38" i="65" s="1"/>
  <c r="N35" i="52"/>
  <c r="N35" i="65"/>
  <c r="J35" i="52"/>
  <c r="J35" i="65"/>
  <c r="F35" i="52"/>
  <c r="F35" i="65"/>
  <c r="E138" i="73"/>
  <c r="E142" i="73"/>
  <c r="E146" i="73"/>
  <c r="E150" i="73"/>
  <c r="E139" i="73"/>
  <c r="E143" i="73"/>
  <c r="E147" i="73"/>
  <c r="E140" i="73"/>
  <c r="E144" i="73"/>
  <c r="E148" i="73"/>
  <c r="E145" i="73"/>
  <c r="E149" i="73"/>
  <c r="E141" i="73"/>
  <c r="E9" i="73"/>
  <c r="E78" i="73" s="1"/>
  <c r="J138" i="73"/>
  <c r="J139" i="73"/>
  <c r="J140" i="73"/>
  <c r="R141" i="73"/>
  <c r="R145" i="73"/>
  <c r="R149" i="73"/>
  <c r="R138" i="73"/>
  <c r="R142" i="73"/>
  <c r="R146" i="73"/>
  <c r="R150" i="73"/>
  <c r="R139" i="73"/>
  <c r="R143" i="73"/>
  <c r="R147" i="73"/>
  <c r="R140" i="73"/>
  <c r="R144" i="73"/>
  <c r="R148" i="73"/>
  <c r="R132" i="73" s="1"/>
  <c r="R91" i="73"/>
  <c r="E140" i="71"/>
  <c r="E144" i="71"/>
  <c r="E148" i="71"/>
  <c r="E132" i="71" s="1"/>
  <c r="E141" i="71"/>
  <c r="E145" i="71"/>
  <c r="E149" i="71"/>
  <c r="E138" i="71"/>
  <c r="E142" i="71"/>
  <c r="E146" i="71"/>
  <c r="E150" i="71"/>
  <c r="E139" i="71"/>
  <c r="E143" i="71"/>
  <c r="E147" i="71"/>
  <c r="E9" i="71"/>
  <c r="E78" i="71" s="1"/>
  <c r="G38" i="71"/>
  <c r="O140" i="73"/>
  <c r="O144" i="73"/>
  <c r="O148" i="73"/>
  <c r="O141" i="73"/>
  <c r="O145" i="73"/>
  <c r="O149" i="73"/>
  <c r="O138" i="73"/>
  <c r="O142" i="73"/>
  <c r="O146" i="73"/>
  <c r="O150" i="73"/>
  <c r="O139" i="73"/>
  <c r="O143" i="73"/>
  <c r="O147" i="73"/>
  <c r="O19" i="73"/>
  <c r="O88" i="73" s="1"/>
  <c r="C147" i="72"/>
  <c r="C143" i="72"/>
  <c r="C139" i="72"/>
  <c r="C150" i="72"/>
  <c r="C146" i="72"/>
  <c r="C142" i="72"/>
  <c r="C138" i="72"/>
  <c r="C149" i="72"/>
  <c r="C145" i="72"/>
  <c r="C141" i="72"/>
  <c r="C148" i="72"/>
  <c r="C144" i="72"/>
  <c r="C140" i="72"/>
  <c r="C7" i="72"/>
  <c r="C76" i="72" s="1"/>
  <c r="D38" i="72"/>
  <c r="H38" i="71"/>
  <c r="P38" i="73"/>
  <c r="V95" i="68"/>
  <c r="C174" i="71"/>
  <c r="C170" i="71"/>
  <c r="C178" i="71"/>
  <c r="C177" i="71"/>
  <c r="C173" i="71"/>
  <c r="C169" i="71"/>
  <c r="C168" i="71"/>
  <c r="C176" i="71"/>
  <c r="C172" i="71"/>
  <c r="C180" i="71"/>
  <c r="C175" i="71"/>
  <c r="C171" i="71"/>
  <c r="C179" i="71"/>
  <c r="C183" i="71" s="1"/>
  <c r="S37" i="70"/>
  <c r="S37" i="69"/>
  <c r="S37" i="68"/>
  <c r="O37" i="70"/>
  <c r="O37" i="69"/>
  <c r="O37" i="68"/>
  <c r="K37" i="70"/>
  <c r="K37" i="69"/>
  <c r="K37" i="68"/>
  <c r="G37" i="70"/>
  <c r="G37" i="69"/>
  <c r="G37" i="68"/>
  <c r="C37" i="69"/>
  <c r="C37" i="70"/>
  <c r="C37" i="68"/>
  <c r="S36" i="69"/>
  <c r="S36" i="68"/>
  <c r="S36" i="70"/>
  <c r="O36" i="69"/>
  <c r="O36" i="68"/>
  <c r="O36" i="70"/>
  <c r="K36" i="69"/>
  <c r="K36" i="68"/>
  <c r="K36" i="70"/>
  <c r="G36" i="69"/>
  <c r="G36" i="68"/>
  <c r="G36" i="70"/>
  <c r="C36" i="70"/>
  <c r="C36" i="69"/>
  <c r="C38" i="69" s="1"/>
  <c r="C36" i="68"/>
  <c r="Q35" i="69"/>
  <c r="Q35" i="70"/>
  <c r="Q38" i="70" s="1"/>
  <c r="Q35" i="68"/>
  <c r="M35" i="69"/>
  <c r="M35" i="70"/>
  <c r="M35" i="68"/>
  <c r="M38" i="68" s="1"/>
  <c r="I35" i="69"/>
  <c r="I35" i="70"/>
  <c r="I35" i="68"/>
  <c r="E35" i="69"/>
  <c r="E38" i="69" s="1"/>
  <c r="E35" i="70"/>
  <c r="E35" i="68"/>
  <c r="O37" i="64"/>
  <c r="O37" i="65"/>
  <c r="K37" i="64"/>
  <c r="K37" i="65"/>
  <c r="G37" i="64"/>
  <c r="G37" i="65"/>
  <c r="C37" i="64"/>
  <c r="C37" i="65"/>
  <c r="Q35" i="64"/>
  <c r="Q35" i="65"/>
  <c r="M35" i="64"/>
  <c r="M35" i="65"/>
  <c r="I35" i="64"/>
  <c r="I35" i="65"/>
  <c r="E35" i="64"/>
  <c r="E35" i="65"/>
  <c r="J139" i="71"/>
  <c r="J143" i="71"/>
  <c r="J147" i="71"/>
  <c r="J140" i="71"/>
  <c r="J144" i="71"/>
  <c r="J148" i="71"/>
  <c r="J141" i="71"/>
  <c r="J145" i="71"/>
  <c r="J149" i="71"/>
  <c r="J138" i="71"/>
  <c r="J142" i="71"/>
  <c r="J146" i="71"/>
  <c r="J150" i="71"/>
  <c r="J14" i="71"/>
  <c r="J83" i="71" s="1"/>
  <c r="J138" i="72"/>
  <c r="J142" i="72"/>
  <c r="J146" i="72"/>
  <c r="J150" i="72"/>
  <c r="J139" i="72"/>
  <c r="J143" i="72"/>
  <c r="J147" i="72"/>
  <c r="J140" i="72"/>
  <c r="J144" i="72"/>
  <c r="J148" i="72"/>
  <c r="J145" i="72"/>
  <c r="J149" i="72"/>
  <c r="J141" i="72"/>
  <c r="J14" i="72"/>
  <c r="J83" i="72" s="1"/>
  <c r="I142" i="73"/>
  <c r="I148" i="73"/>
  <c r="M141" i="71"/>
  <c r="M142" i="71"/>
  <c r="M143" i="71"/>
  <c r="K140" i="73"/>
  <c r="K144" i="73"/>
  <c r="K148" i="73"/>
  <c r="K141" i="73"/>
  <c r="K145" i="73"/>
  <c r="K149" i="73"/>
  <c r="K138" i="73"/>
  <c r="K142" i="73"/>
  <c r="K146" i="73"/>
  <c r="K150" i="73"/>
  <c r="K139" i="73"/>
  <c r="K143" i="73"/>
  <c r="K147" i="73"/>
  <c r="K15" i="73"/>
  <c r="K84" i="73" s="1"/>
  <c r="O141" i="72"/>
  <c r="O145" i="72"/>
  <c r="O149" i="72"/>
  <c r="O138" i="72"/>
  <c r="O142" i="72"/>
  <c r="O146" i="72"/>
  <c r="O150" i="72"/>
  <c r="O139" i="72"/>
  <c r="O143" i="72"/>
  <c r="O147" i="72"/>
  <c r="O148" i="72"/>
  <c r="O140" i="72"/>
  <c r="O144" i="72"/>
  <c r="O19" i="72"/>
  <c r="O88" i="72" s="1"/>
  <c r="C150" i="73"/>
  <c r="C146" i="73"/>
  <c r="C142" i="73"/>
  <c r="C138" i="73"/>
  <c r="C149" i="73"/>
  <c r="C145" i="73"/>
  <c r="C141" i="73"/>
  <c r="C148" i="73"/>
  <c r="C144" i="73"/>
  <c r="C140" i="73"/>
  <c r="C139" i="73"/>
  <c r="C147" i="73"/>
  <c r="C143" i="73"/>
  <c r="C7" i="73"/>
  <c r="C76" i="73" s="1"/>
  <c r="D38" i="71"/>
  <c r="L38" i="73"/>
  <c r="P38" i="72"/>
  <c r="I38" i="71"/>
  <c r="C72" i="73"/>
  <c r="C38" i="52"/>
  <c r="C148" i="52" s="1"/>
  <c r="H35" i="52"/>
  <c r="K37" i="52"/>
  <c r="D36" i="52"/>
  <c r="L37" i="64"/>
  <c r="G37" i="52"/>
  <c r="P36" i="52"/>
  <c r="N36" i="64"/>
  <c r="H37" i="64"/>
  <c r="L36" i="52"/>
  <c r="J36" i="64"/>
  <c r="D37" i="64"/>
  <c r="O37" i="52"/>
  <c r="H36" i="52"/>
  <c r="F36" i="64"/>
  <c r="P37" i="64"/>
  <c r="L35" i="64"/>
  <c r="D35" i="64"/>
  <c r="N37" i="52"/>
  <c r="J37" i="52"/>
  <c r="F37" i="52"/>
  <c r="O36" i="52"/>
  <c r="O38" i="52" s="1"/>
  <c r="K36" i="52"/>
  <c r="G36" i="52"/>
  <c r="O35" i="64"/>
  <c r="O38" i="64" s="1"/>
  <c r="O144" i="64" s="1"/>
  <c r="K35" i="64"/>
  <c r="K38" i="64" s="1"/>
  <c r="K146" i="64" s="1"/>
  <c r="G35" i="64"/>
  <c r="Q36" i="64"/>
  <c r="M36" i="64"/>
  <c r="I36" i="64"/>
  <c r="E36" i="64"/>
  <c r="L38" i="65"/>
  <c r="L148" i="65" s="1"/>
  <c r="L132" i="65" s="1"/>
  <c r="H38" i="65"/>
  <c r="H145" i="65" s="1"/>
  <c r="P35" i="64"/>
  <c r="H35" i="64"/>
  <c r="H38" i="64" s="1"/>
  <c r="L35" i="52"/>
  <c r="D35" i="52"/>
  <c r="Q37" i="52"/>
  <c r="M37" i="52"/>
  <c r="M38" i="52" s="1"/>
  <c r="I37" i="52"/>
  <c r="I38" i="52" s="1"/>
  <c r="E37" i="52"/>
  <c r="E38" i="52" s="1"/>
  <c r="N36" i="52"/>
  <c r="N38" i="52" s="1"/>
  <c r="J36" i="52"/>
  <c r="J38" i="52" s="1"/>
  <c r="F36" i="52"/>
  <c r="N35" i="64"/>
  <c r="J35" i="64"/>
  <c r="F35" i="64"/>
  <c r="F38" i="64" s="1"/>
  <c r="F143" i="64" s="1"/>
  <c r="P37" i="52"/>
  <c r="L37" i="52"/>
  <c r="H37" i="52"/>
  <c r="D37" i="52"/>
  <c r="R22" i="52"/>
  <c r="R91" i="52" s="1"/>
  <c r="C183" i="73"/>
  <c r="C71" i="73"/>
  <c r="C73" i="73"/>
  <c r="C184" i="72"/>
  <c r="C182" i="72"/>
  <c r="C73" i="72"/>
  <c r="C71" i="72"/>
  <c r="C70" i="72"/>
  <c r="C184" i="71"/>
  <c r="C182" i="71"/>
  <c r="C71" i="71"/>
  <c r="C73" i="71"/>
  <c r="C70" i="71"/>
  <c r="C71" i="70"/>
  <c r="C73" i="70"/>
  <c r="C70" i="70"/>
  <c r="C183" i="69"/>
  <c r="C182" i="69"/>
  <c r="C71" i="69"/>
  <c r="C73" i="69"/>
  <c r="C70" i="69"/>
  <c r="C182" i="68"/>
  <c r="C71" i="68"/>
  <c r="C73" i="68"/>
  <c r="C70" i="68"/>
  <c r="L150" i="65"/>
  <c r="L145" i="65"/>
  <c r="C179" i="65"/>
  <c r="C177" i="65"/>
  <c r="C175" i="65"/>
  <c r="C173" i="65"/>
  <c r="C180" i="65"/>
  <c r="C184" i="65" s="1"/>
  <c r="C178" i="65"/>
  <c r="C182" i="65" s="1"/>
  <c r="C176" i="65"/>
  <c r="C174" i="65"/>
  <c r="C172" i="65"/>
  <c r="C170" i="65"/>
  <c r="C168" i="65"/>
  <c r="C171" i="65"/>
  <c r="C169" i="65"/>
  <c r="C72" i="65"/>
  <c r="C70" i="65"/>
  <c r="C71" i="65"/>
  <c r="C73" i="65"/>
  <c r="F138" i="64"/>
  <c r="K143" i="64"/>
  <c r="C175" i="64"/>
  <c r="C174" i="64"/>
  <c r="C172" i="64"/>
  <c r="C170" i="64"/>
  <c r="C177" i="64"/>
  <c r="C176" i="64"/>
  <c r="C179" i="64"/>
  <c r="C183" i="64" s="1"/>
  <c r="C178" i="64"/>
  <c r="C182" i="64" s="1"/>
  <c r="C180" i="64"/>
  <c r="C184" i="64" s="1"/>
  <c r="C171" i="64"/>
  <c r="C169" i="64"/>
  <c r="C173" i="64"/>
  <c r="C168" i="64"/>
  <c r="C73" i="64"/>
  <c r="R150" i="52"/>
  <c r="S150" i="52"/>
  <c r="D8" i="66" s="1"/>
  <c r="D8" i="76" s="1"/>
  <c r="T150" i="52"/>
  <c r="E8" i="66" s="1"/>
  <c r="E8" i="76" s="1"/>
  <c r="U150" i="52"/>
  <c r="F8" i="66" s="1"/>
  <c r="F8" i="76" s="1"/>
  <c r="V150" i="52"/>
  <c r="G8" i="66" s="1"/>
  <c r="G8" i="76" s="1"/>
  <c r="W150" i="52"/>
  <c r="H8" i="66" s="1"/>
  <c r="H8" i="76" s="1"/>
  <c r="X150" i="52"/>
  <c r="I8" i="66" s="1"/>
  <c r="I8" i="76" s="1"/>
  <c r="Y150" i="52"/>
  <c r="J8" i="66" s="1"/>
  <c r="J8" i="76" s="1"/>
  <c r="Z150" i="52"/>
  <c r="K8" i="66" s="1"/>
  <c r="K8" i="76" s="1"/>
  <c r="AA150" i="52"/>
  <c r="L8" i="66" s="1"/>
  <c r="L8" i="76" s="1"/>
  <c r="AB150" i="52"/>
  <c r="M8" i="66" s="1"/>
  <c r="M8" i="76" s="1"/>
  <c r="R149" i="52"/>
  <c r="S149" i="52"/>
  <c r="D9" i="66" s="1"/>
  <c r="D11" i="76" s="1"/>
  <c r="T149" i="52"/>
  <c r="E9" i="66" s="1"/>
  <c r="E11" i="76" s="1"/>
  <c r="U149" i="52"/>
  <c r="F9" i="66" s="1"/>
  <c r="F11" i="76" s="1"/>
  <c r="V149" i="52"/>
  <c r="G9" i="66" s="1"/>
  <c r="G11" i="76" s="1"/>
  <c r="W149" i="52"/>
  <c r="H9" i="66" s="1"/>
  <c r="H11" i="76" s="1"/>
  <c r="X149" i="52"/>
  <c r="I9" i="66" s="1"/>
  <c r="I11" i="76" s="1"/>
  <c r="Y149" i="52"/>
  <c r="J9" i="66" s="1"/>
  <c r="J11" i="76" s="1"/>
  <c r="Z149" i="52"/>
  <c r="K9" i="66" s="1"/>
  <c r="K11" i="76" s="1"/>
  <c r="AA149" i="52"/>
  <c r="L9" i="66" s="1"/>
  <c r="L11" i="76" s="1"/>
  <c r="AB149" i="52"/>
  <c r="M9" i="66" s="1"/>
  <c r="M11" i="76" s="1"/>
  <c r="R148" i="52"/>
  <c r="R132" i="52" s="1"/>
  <c r="S148" i="52"/>
  <c r="S132" i="52" s="1"/>
  <c r="T148" i="52"/>
  <c r="T132" i="52" s="1"/>
  <c r="U148" i="52"/>
  <c r="U132" i="52" s="1"/>
  <c r="V148" i="52"/>
  <c r="V132" i="52" s="1"/>
  <c r="W148" i="52"/>
  <c r="W132" i="52" s="1"/>
  <c r="X148" i="52"/>
  <c r="X132" i="52" s="1"/>
  <c r="Y148" i="52"/>
  <c r="Y132" i="52" s="1"/>
  <c r="Z148" i="52"/>
  <c r="Z132" i="52" s="1"/>
  <c r="AA148" i="52"/>
  <c r="AA132" i="52" s="1"/>
  <c r="AB148" i="52"/>
  <c r="AB132" i="52" s="1"/>
  <c r="R147" i="52"/>
  <c r="S147" i="52"/>
  <c r="T147" i="52"/>
  <c r="U147" i="52"/>
  <c r="V147" i="52"/>
  <c r="W147" i="52"/>
  <c r="X147" i="52"/>
  <c r="Y147" i="52"/>
  <c r="Z147" i="52"/>
  <c r="AA147" i="52"/>
  <c r="AB147" i="52"/>
  <c r="R146" i="52"/>
  <c r="S146" i="52"/>
  <c r="T146" i="52"/>
  <c r="U146" i="52"/>
  <c r="V146" i="52"/>
  <c r="W146" i="52"/>
  <c r="X146" i="52"/>
  <c r="Y146" i="52"/>
  <c r="Z146" i="52"/>
  <c r="AA146" i="52"/>
  <c r="AB146" i="52"/>
  <c r="R145" i="52"/>
  <c r="S145" i="52"/>
  <c r="T145" i="52"/>
  <c r="U145" i="52"/>
  <c r="V145" i="52"/>
  <c r="W145" i="52"/>
  <c r="X145" i="52"/>
  <c r="Y145" i="52"/>
  <c r="Z145" i="52"/>
  <c r="AA145" i="52"/>
  <c r="AB145" i="52"/>
  <c r="R144" i="52"/>
  <c r="S144" i="52"/>
  <c r="T144" i="52"/>
  <c r="U144" i="52"/>
  <c r="V144" i="52"/>
  <c r="W144" i="52"/>
  <c r="X144" i="52"/>
  <c r="Y144" i="52"/>
  <c r="Z144" i="52"/>
  <c r="AA144" i="52"/>
  <c r="AB144" i="52"/>
  <c r="R143" i="52"/>
  <c r="S143" i="52"/>
  <c r="T143" i="52"/>
  <c r="U143" i="52"/>
  <c r="V143" i="52"/>
  <c r="W143" i="52"/>
  <c r="X143" i="52"/>
  <c r="Y143" i="52"/>
  <c r="Z143" i="52"/>
  <c r="AA143" i="52"/>
  <c r="AB143" i="52"/>
  <c r="R142" i="52"/>
  <c r="S142" i="52"/>
  <c r="T142" i="52"/>
  <c r="U142" i="52"/>
  <c r="V142" i="52"/>
  <c r="W142" i="52"/>
  <c r="X142" i="52"/>
  <c r="Y142" i="52"/>
  <c r="Z142" i="52"/>
  <c r="AA142" i="52"/>
  <c r="AB142" i="52"/>
  <c r="R141" i="52"/>
  <c r="S141" i="52"/>
  <c r="T141" i="52"/>
  <c r="U141" i="52"/>
  <c r="V141" i="52"/>
  <c r="W141" i="52"/>
  <c r="X141" i="52"/>
  <c r="Y141" i="52"/>
  <c r="Z141" i="52"/>
  <c r="AA141" i="52"/>
  <c r="AB141" i="52"/>
  <c r="R140" i="52"/>
  <c r="S140" i="52"/>
  <c r="T140" i="52"/>
  <c r="U140" i="52"/>
  <c r="V140" i="52"/>
  <c r="W140" i="52"/>
  <c r="X140" i="52"/>
  <c r="Y140" i="52"/>
  <c r="Z140" i="52"/>
  <c r="AA140" i="52"/>
  <c r="AB140" i="52"/>
  <c r="R139" i="52"/>
  <c r="S139" i="52"/>
  <c r="T139" i="52"/>
  <c r="U139" i="52"/>
  <c r="V139" i="52"/>
  <c r="W139" i="52"/>
  <c r="X139" i="52"/>
  <c r="Y139" i="52"/>
  <c r="Z139" i="52"/>
  <c r="AA139" i="52"/>
  <c r="AB139" i="52"/>
  <c r="R138" i="52"/>
  <c r="S138" i="52"/>
  <c r="T138" i="52"/>
  <c r="U138" i="52"/>
  <c r="V138" i="52"/>
  <c r="W138" i="52"/>
  <c r="X138" i="52"/>
  <c r="Y138" i="52"/>
  <c r="Z138" i="52"/>
  <c r="AA138" i="52"/>
  <c r="AB138" i="52"/>
  <c r="C24" i="28"/>
  <c r="M11" i="28"/>
  <c r="L11" i="28"/>
  <c r="M10" i="28"/>
  <c r="L10" i="28"/>
  <c r="M9" i="28"/>
  <c r="L9" i="28"/>
  <c r="D40" i="28"/>
  <c r="T22" i="73" s="1"/>
  <c r="E40" i="28"/>
  <c r="U22" i="73" s="1"/>
  <c r="F40" i="28"/>
  <c r="V22" i="73" s="1"/>
  <c r="G40" i="28"/>
  <c r="W22" i="73" s="1"/>
  <c r="H40" i="28"/>
  <c r="X22" i="73" s="1"/>
  <c r="I40" i="28"/>
  <c r="Y22" i="73" s="1"/>
  <c r="J40" i="28"/>
  <c r="Z22" i="73" s="1"/>
  <c r="K40" i="28"/>
  <c r="AA22" i="73" s="1"/>
  <c r="L40" i="28"/>
  <c r="AB22" i="73" s="1"/>
  <c r="M40" i="28"/>
  <c r="N40" i="28"/>
  <c r="O40" i="28"/>
  <c r="P40" i="28"/>
  <c r="Q40" i="28"/>
  <c r="R40" i="28"/>
  <c r="S40" i="28"/>
  <c r="T40" i="28"/>
  <c r="U40" i="28"/>
  <c r="V40" i="28"/>
  <c r="W40" i="28"/>
  <c r="X40" i="28"/>
  <c r="Y40" i="28"/>
  <c r="Z40" i="28"/>
  <c r="AA40" i="28"/>
  <c r="AB40" i="28"/>
  <c r="AC40" i="28"/>
  <c r="AD40" i="28"/>
  <c r="AE40" i="28"/>
  <c r="AF40" i="28"/>
  <c r="AG40" i="28"/>
  <c r="C40" i="28"/>
  <c r="S22" i="73" s="1"/>
  <c r="D38" i="28"/>
  <c r="E38" i="28"/>
  <c r="F38" i="28"/>
  <c r="G38" i="28"/>
  <c r="H38" i="28"/>
  <c r="I38" i="28"/>
  <c r="J38" i="28"/>
  <c r="K38" i="28"/>
  <c r="L38" i="28"/>
  <c r="M38" i="28"/>
  <c r="N38" i="28"/>
  <c r="O38" i="28"/>
  <c r="P38" i="28"/>
  <c r="Q38" i="28"/>
  <c r="R38" i="28"/>
  <c r="S38" i="28"/>
  <c r="T38" i="28"/>
  <c r="U38" i="28"/>
  <c r="V38" i="28"/>
  <c r="W38" i="28"/>
  <c r="X38" i="28"/>
  <c r="Y38" i="28"/>
  <c r="Z38" i="28"/>
  <c r="AA38" i="28"/>
  <c r="AB38" i="28"/>
  <c r="AC38" i="28"/>
  <c r="AD38" i="28"/>
  <c r="AE38" i="28"/>
  <c r="AF38" i="28"/>
  <c r="AG38" i="28"/>
  <c r="D39" i="28"/>
  <c r="E39" i="28"/>
  <c r="F39" i="28"/>
  <c r="G39" i="28"/>
  <c r="H39" i="28"/>
  <c r="I39" i="28"/>
  <c r="J39" i="28"/>
  <c r="K39" i="28"/>
  <c r="L39" i="28"/>
  <c r="M39" i="28"/>
  <c r="N39" i="28"/>
  <c r="O39" i="28"/>
  <c r="P39" i="28"/>
  <c r="Q39" i="28"/>
  <c r="R39" i="28"/>
  <c r="S39" i="28"/>
  <c r="T39" i="28"/>
  <c r="U39" i="28"/>
  <c r="V39" i="28"/>
  <c r="W39" i="28"/>
  <c r="X39" i="28"/>
  <c r="Y39" i="28"/>
  <c r="Z39" i="28"/>
  <c r="AA39" i="28"/>
  <c r="AB39" i="28"/>
  <c r="AC39" i="28"/>
  <c r="AD39" i="28"/>
  <c r="AE39" i="28"/>
  <c r="AF39" i="28"/>
  <c r="AG39" i="28"/>
  <c r="C39" i="28"/>
  <c r="C38" i="28"/>
  <c r="D33" i="28"/>
  <c r="E33" i="28"/>
  <c r="F33" i="28"/>
  <c r="G33" i="28"/>
  <c r="H33" i="28"/>
  <c r="I33" i="28"/>
  <c r="J33" i="28"/>
  <c r="K33" i="28"/>
  <c r="L33" i="28"/>
  <c r="M33" i="28"/>
  <c r="N33" i="28"/>
  <c r="O33" i="28"/>
  <c r="P33" i="28"/>
  <c r="Q33" i="28"/>
  <c r="R33" i="28"/>
  <c r="S33" i="28"/>
  <c r="T33" i="28"/>
  <c r="U33" i="28"/>
  <c r="V33" i="28"/>
  <c r="W33" i="28"/>
  <c r="X33" i="28"/>
  <c r="Y33" i="28"/>
  <c r="Z33" i="28"/>
  <c r="AA33" i="28"/>
  <c r="AB33" i="28"/>
  <c r="AC33" i="28"/>
  <c r="AD33" i="28"/>
  <c r="AE33" i="28"/>
  <c r="AF33" i="28"/>
  <c r="AG33" i="28"/>
  <c r="D32" i="28"/>
  <c r="E32" i="28"/>
  <c r="F32" i="28"/>
  <c r="G32" i="28"/>
  <c r="H32" i="28"/>
  <c r="I32" i="28"/>
  <c r="J32" i="28"/>
  <c r="K32" i="28"/>
  <c r="L32" i="28"/>
  <c r="M32" i="28"/>
  <c r="N32" i="28"/>
  <c r="O32" i="28"/>
  <c r="P32" i="28"/>
  <c r="Q32" i="28"/>
  <c r="R32" i="28"/>
  <c r="S32" i="28"/>
  <c r="T32" i="28"/>
  <c r="U32" i="28"/>
  <c r="V32" i="28"/>
  <c r="W32" i="28"/>
  <c r="X32" i="28"/>
  <c r="Y32" i="28"/>
  <c r="Z32" i="28"/>
  <c r="AA32" i="28"/>
  <c r="AB32" i="28"/>
  <c r="AC32" i="28"/>
  <c r="AD32" i="28"/>
  <c r="AE32" i="28"/>
  <c r="AF32" i="28"/>
  <c r="AG32" i="28"/>
  <c r="C33" i="28"/>
  <c r="C32" i="28"/>
  <c r="E31" i="28"/>
  <c r="F31" i="28"/>
  <c r="G31" i="28"/>
  <c r="H31" i="28"/>
  <c r="I31" i="28"/>
  <c r="J31" i="28"/>
  <c r="K31" i="28"/>
  <c r="L31" i="28"/>
  <c r="M31" i="28"/>
  <c r="N31" i="28"/>
  <c r="O31" i="28"/>
  <c r="P31" i="28"/>
  <c r="Q31" i="28"/>
  <c r="R31" i="28"/>
  <c r="S31" i="28"/>
  <c r="T31" i="28"/>
  <c r="U31" i="28"/>
  <c r="V31" i="28"/>
  <c r="W31" i="28"/>
  <c r="X31" i="28"/>
  <c r="Y31" i="28"/>
  <c r="Z31" i="28"/>
  <c r="AA31" i="28"/>
  <c r="AB31" i="28"/>
  <c r="AC31" i="28"/>
  <c r="AD31" i="28"/>
  <c r="AE31" i="28"/>
  <c r="AF31" i="28"/>
  <c r="AG31" i="28"/>
  <c r="D31" i="28"/>
  <c r="C31" i="28"/>
  <c r="AB32" i="52"/>
  <c r="AB101" i="52" s="1"/>
  <c r="D26" i="28"/>
  <c r="E26" i="28"/>
  <c r="F26" i="28"/>
  <c r="G26" i="28"/>
  <c r="H26" i="28"/>
  <c r="T18" i="71" s="1"/>
  <c r="T87" i="71" s="1"/>
  <c r="I26" i="28"/>
  <c r="J26" i="28"/>
  <c r="O11" i="73" s="1"/>
  <c r="O80" i="73" s="1"/>
  <c r="K26" i="28"/>
  <c r="L26" i="28"/>
  <c r="X18" i="71" s="1"/>
  <c r="X87" i="71" s="1"/>
  <c r="M26" i="28"/>
  <c r="N26" i="28"/>
  <c r="Z18" i="71" s="1"/>
  <c r="Z87" i="71" s="1"/>
  <c r="O26" i="28"/>
  <c r="P26" i="28"/>
  <c r="T10" i="71" s="1"/>
  <c r="T79" i="71" s="1"/>
  <c r="Q26" i="28"/>
  <c r="R26" i="28"/>
  <c r="S26" i="28"/>
  <c r="T26" i="28"/>
  <c r="Y11" i="72" s="1"/>
  <c r="Y80" i="72" s="1"/>
  <c r="U26" i="28"/>
  <c r="V26" i="28"/>
  <c r="AA11" i="73" s="1"/>
  <c r="AA80" i="73" s="1"/>
  <c r="W26" i="28"/>
  <c r="X26" i="28"/>
  <c r="AB10" i="73" s="1"/>
  <c r="AB79" i="73" s="1"/>
  <c r="Y26" i="28"/>
  <c r="Z26" i="28"/>
  <c r="AA7" i="71" s="1"/>
  <c r="AA76" i="71" s="1"/>
  <c r="AA26" i="28"/>
  <c r="AB26" i="28"/>
  <c r="AC26" i="28"/>
  <c r="AD26" i="28"/>
  <c r="AE26" i="28"/>
  <c r="AF26" i="28"/>
  <c r="C26" i="28"/>
  <c r="E25" i="28"/>
  <c r="F25" i="28"/>
  <c r="G25" i="28"/>
  <c r="H25" i="28"/>
  <c r="I25" i="28"/>
  <c r="J25" i="28"/>
  <c r="K25" i="28"/>
  <c r="AB23" i="68" s="1"/>
  <c r="L25" i="28"/>
  <c r="M25" i="28"/>
  <c r="N25" i="28"/>
  <c r="O25" i="28"/>
  <c r="P25" i="28"/>
  <c r="Q25" i="28"/>
  <c r="R25" i="28"/>
  <c r="S25" i="28"/>
  <c r="T25" i="28"/>
  <c r="U25" i="28"/>
  <c r="V25" i="28"/>
  <c r="W25" i="28"/>
  <c r="X25" i="28"/>
  <c r="Y25" i="28"/>
  <c r="Z25" i="28"/>
  <c r="AA25" i="28"/>
  <c r="AB25" i="28"/>
  <c r="AC25" i="28"/>
  <c r="AD25" i="28"/>
  <c r="AE25" i="28"/>
  <c r="AF25" i="28"/>
  <c r="D25" i="28"/>
  <c r="C25" i="28"/>
  <c r="E24" i="28"/>
  <c r="F24" i="28"/>
  <c r="G24" i="28"/>
  <c r="H24" i="28"/>
  <c r="I24" i="28"/>
  <c r="J24" i="28"/>
  <c r="K24" i="28"/>
  <c r="AB23" i="52" s="1"/>
  <c r="AB92" i="52" s="1"/>
  <c r="L24" i="28"/>
  <c r="AB22" i="52" s="1"/>
  <c r="AB91" i="52" s="1"/>
  <c r="M24" i="28"/>
  <c r="N24" i="28"/>
  <c r="O24" i="28"/>
  <c r="P24" i="28"/>
  <c r="Q24" i="28"/>
  <c r="R24" i="28"/>
  <c r="S24" i="28"/>
  <c r="T24" i="28"/>
  <c r="U24" i="28"/>
  <c r="V24" i="28"/>
  <c r="W24" i="28"/>
  <c r="X24" i="28"/>
  <c r="Y24" i="28"/>
  <c r="Z24" i="28"/>
  <c r="AA24" i="28"/>
  <c r="AB24" i="28"/>
  <c r="AC24" i="28"/>
  <c r="AD24" i="28"/>
  <c r="AE24" i="28"/>
  <c r="AF24" i="28"/>
  <c r="D24" i="28"/>
  <c r="D120" i="32"/>
  <c r="E120" i="32"/>
  <c r="F120" i="32"/>
  <c r="G120" i="32"/>
  <c r="H120" i="32"/>
  <c r="I120" i="32"/>
  <c r="J120" i="32"/>
  <c r="K120" i="32"/>
  <c r="L120" i="32"/>
  <c r="M120" i="32"/>
  <c r="N120" i="32"/>
  <c r="O120" i="32"/>
  <c r="P120" i="32"/>
  <c r="Q120" i="32"/>
  <c r="R120" i="32"/>
  <c r="S120" i="32"/>
  <c r="T120" i="32"/>
  <c r="U120" i="32"/>
  <c r="V120" i="32"/>
  <c r="D119" i="32"/>
  <c r="E119" i="32"/>
  <c r="F119" i="32"/>
  <c r="G119" i="32"/>
  <c r="H119" i="32"/>
  <c r="I119" i="32"/>
  <c r="J119" i="32"/>
  <c r="K119" i="32"/>
  <c r="L119" i="32"/>
  <c r="M119" i="32"/>
  <c r="N119" i="32"/>
  <c r="O119" i="32"/>
  <c r="P119" i="32"/>
  <c r="Q119" i="32"/>
  <c r="R119" i="32"/>
  <c r="S119" i="32"/>
  <c r="T119" i="32"/>
  <c r="U119" i="32"/>
  <c r="D118" i="32"/>
  <c r="E118" i="32"/>
  <c r="F118" i="32"/>
  <c r="G118" i="32"/>
  <c r="H118" i="32"/>
  <c r="I118" i="32"/>
  <c r="J118" i="32"/>
  <c r="K118" i="32"/>
  <c r="L118" i="32"/>
  <c r="M118" i="32"/>
  <c r="N118" i="32"/>
  <c r="O118" i="32"/>
  <c r="P118" i="32"/>
  <c r="Q118" i="32"/>
  <c r="R118" i="32"/>
  <c r="S118" i="32"/>
  <c r="T118" i="32"/>
  <c r="D117" i="32"/>
  <c r="E117" i="32"/>
  <c r="F117" i="32"/>
  <c r="G117" i="32"/>
  <c r="H117" i="32"/>
  <c r="I117" i="32"/>
  <c r="J117" i="32"/>
  <c r="K117" i="32"/>
  <c r="L117" i="32"/>
  <c r="M117" i="32"/>
  <c r="N117" i="32"/>
  <c r="O117" i="32"/>
  <c r="P117" i="32"/>
  <c r="Q117" i="32"/>
  <c r="R117" i="32"/>
  <c r="S117" i="32"/>
  <c r="D116" i="32"/>
  <c r="E116" i="32"/>
  <c r="F116" i="32"/>
  <c r="G116" i="32"/>
  <c r="H116" i="32"/>
  <c r="I116" i="32"/>
  <c r="J116" i="32"/>
  <c r="K116" i="32"/>
  <c r="L116" i="32"/>
  <c r="M116" i="32"/>
  <c r="N116" i="32"/>
  <c r="O116" i="32"/>
  <c r="P116" i="32"/>
  <c r="Q116" i="32"/>
  <c r="R116" i="32"/>
  <c r="D115" i="32"/>
  <c r="E115" i="32"/>
  <c r="F115" i="32"/>
  <c r="G115" i="32"/>
  <c r="H115" i="32"/>
  <c r="I115" i="32"/>
  <c r="J115" i="32"/>
  <c r="K115" i="32"/>
  <c r="L115" i="32"/>
  <c r="M115" i="32"/>
  <c r="N115" i="32"/>
  <c r="O115" i="32"/>
  <c r="P115" i="32"/>
  <c r="Q115" i="32"/>
  <c r="D114" i="32"/>
  <c r="E114" i="32"/>
  <c r="F114" i="32"/>
  <c r="G114" i="32"/>
  <c r="H114" i="32"/>
  <c r="I114" i="32"/>
  <c r="J114" i="32"/>
  <c r="K114" i="32"/>
  <c r="L114" i="32"/>
  <c r="M114" i="32"/>
  <c r="N114" i="32"/>
  <c r="O114" i="32"/>
  <c r="P114" i="32"/>
  <c r="D113" i="32"/>
  <c r="E113" i="32"/>
  <c r="F113" i="32"/>
  <c r="G113" i="32"/>
  <c r="H113" i="32"/>
  <c r="I113" i="32"/>
  <c r="J113" i="32"/>
  <c r="K113" i="32"/>
  <c r="L113" i="32"/>
  <c r="M113" i="32"/>
  <c r="N113" i="32"/>
  <c r="O113" i="32"/>
  <c r="D112" i="32"/>
  <c r="E112" i="32"/>
  <c r="F112" i="32"/>
  <c r="G112" i="32"/>
  <c r="H112" i="32"/>
  <c r="I112" i="32"/>
  <c r="J112" i="32"/>
  <c r="K112" i="32"/>
  <c r="L112" i="32"/>
  <c r="M112" i="32"/>
  <c r="N112" i="32"/>
  <c r="D111" i="32"/>
  <c r="E111" i="32"/>
  <c r="F111" i="32"/>
  <c r="G111" i="32"/>
  <c r="H111" i="32"/>
  <c r="I111" i="32"/>
  <c r="J111" i="32"/>
  <c r="K111" i="32"/>
  <c r="L111" i="32"/>
  <c r="M111" i="32"/>
  <c r="D110" i="32"/>
  <c r="E110" i="32"/>
  <c r="F110" i="32"/>
  <c r="G110" i="32"/>
  <c r="H110" i="32"/>
  <c r="I110" i="32"/>
  <c r="J110" i="32"/>
  <c r="K110" i="32"/>
  <c r="L110" i="32"/>
  <c r="D109" i="32"/>
  <c r="E109" i="32"/>
  <c r="F109" i="32"/>
  <c r="G109" i="32"/>
  <c r="H109" i="32"/>
  <c r="I109" i="32"/>
  <c r="J109" i="32"/>
  <c r="K109" i="32"/>
  <c r="D108" i="32"/>
  <c r="E108" i="32"/>
  <c r="F108" i="32"/>
  <c r="G108" i="32"/>
  <c r="H108" i="32"/>
  <c r="I108" i="32"/>
  <c r="J108" i="32"/>
  <c r="D107" i="32"/>
  <c r="E107" i="32"/>
  <c r="F107" i="32"/>
  <c r="G107" i="32"/>
  <c r="H107" i="32"/>
  <c r="I107" i="32"/>
  <c r="D106" i="32"/>
  <c r="E106" i="32"/>
  <c r="F106" i="32"/>
  <c r="G106" i="32"/>
  <c r="H106" i="32"/>
  <c r="D105" i="32"/>
  <c r="E105" i="32"/>
  <c r="F105" i="32"/>
  <c r="G105" i="32"/>
  <c r="D104" i="32"/>
  <c r="E104" i="32"/>
  <c r="F104" i="32"/>
  <c r="D103" i="32"/>
  <c r="E103" i="32"/>
  <c r="D102"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31" i="32"/>
  <c r="C132" i="32"/>
  <c r="C133" i="32"/>
  <c r="C134" i="32"/>
  <c r="C135" i="32"/>
  <c r="M15" i="28"/>
  <c r="M16" i="28"/>
  <c r="M14" i="28"/>
  <c r="L15" i="28"/>
  <c r="L16" i="28"/>
  <c r="L14" i="28"/>
  <c r="F20" i="19"/>
  <c r="G20" i="19"/>
  <c r="H20" i="19"/>
  <c r="E20" i="19"/>
  <c r="Z127" i="52" s="1"/>
  <c r="C183" i="65" l="1"/>
  <c r="L147" i="65"/>
  <c r="C72" i="68"/>
  <c r="C72" i="72"/>
  <c r="P38" i="64"/>
  <c r="I144" i="73"/>
  <c r="I138" i="73"/>
  <c r="Q38" i="69"/>
  <c r="J148" i="73"/>
  <c r="J150" i="73"/>
  <c r="J149" i="73"/>
  <c r="C183" i="72"/>
  <c r="N141" i="72"/>
  <c r="F145" i="72"/>
  <c r="F144" i="72"/>
  <c r="F139" i="72"/>
  <c r="F138" i="72"/>
  <c r="I146" i="72"/>
  <c r="I145" i="72"/>
  <c r="I140" i="72"/>
  <c r="T8" i="64"/>
  <c r="T77" i="64" s="1"/>
  <c r="L138" i="65"/>
  <c r="L142" i="65"/>
  <c r="C72" i="70"/>
  <c r="C72" i="71"/>
  <c r="C72" i="64"/>
  <c r="P38" i="52"/>
  <c r="N38" i="64"/>
  <c r="N148" i="64" s="1"/>
  <c r="N132" i="64" s="1"/>
  <c r="I38" i="64"/>
  <c r="I144" i="64" s="1"/>
  <c r="D38" i="64"/>
  <c r="I13" i="73"/>
  <c r="I82" i="73" s="1"/>
  <c r="I110" i="73" s="1"/>
  <c r="I143" i="73"/>
  <c r="J14" i="73"/>
  <c r="J83" i="73" s="1"/>
  <c r="J147" i="73"/>
  <c r="J146" i="73"/>
  <c r="J145" i="73"/>
  <c r="N147" i="72"/>
  <c r="F141" i="72"/>
  <c r="F140" i="72"/>
  <c r="F150" i="72"/>
  <c r="C183" i="70"/>
  <c r="I142" i="72"/>
  <c r="I141" i="72"/>
  <c r="I147" i="72"/>
  <c r="K13" i="72"/>
  <c r="K82" i="72" s="1"/>
  <c r="L139" i="65"/>
  <c r="L144" i="65"/>
  <c r="I149" i="73"/>
  <c r="I139" i="73"/>
  <c r="J144" i="73"/>
  <c r="J143" i="73"/>
  <c r="J142" i="73"/>
  <c r="N38" i="70"/>
  <c r="U18" i="70" s="1"/>
  <c r="N146" i="72"/>
  <c r="F149" i="72"/>
  <c r="F147" i="72"/>
  <c r="I13" i="72"/>
  <c r="I82" i="72" s="1"/>
  <c r="I138" i="72"/>
  <c r="I148" i="72"/>
  <c r="I132" i="72" s="1"/>
  <c r="C147" i="65"/>
  <c r="C141" i="65"/>
  <c r="C149" i="65"/>
  <c r="C146" i="65"/>
  <c r="C138" i="65"/>
  <c r="U21" i="73"/>
  <c r="Y21" i="73"/>
  <c r="R21" i="73"/>
  <c r="R90" i="73" s="1"/>
  <c r="R118" i="73" s="1"/>
  <c r="V21" i="73"/>
  <c r="Z21" i="73"/>
  <c r="S21" i="73"/>
  <c r="W21" i="73"/>
  <c r="AA21" i="73"/>
  <c r="T21" i="73"/>
  <c r="X21" i="73"/>
  <c r="AB21" i="73"/>
  <c r="AB90" i="73" s="1"/>
  <c r="Q21" i="73"/>
  <c r="N8" i="76"/>
  <c r="D145" i="64"/>
  <c r="I146" i="64"/>
  <c r="M38" i="64"/>
  <c r="L38" i="64"/>
  <c r="M139" i="71"/>
  <c r="M138" i="71"/>
  <c r="M148" i="71"/>
  <c r="I38" i="68"/>
  <c r="M38" i="70"/>
  <c r="J38" i="68"/>
  <c r="N148" i="72"/>
  <c r="N132" i="72" s="1"/>
  <c r="N11" i="76"/>
  <c r="L141" i="65"/>
  <c r="L149" i="65"/>
  <c r="L146" i="65"/>
  <c r="N149" i="68"/>
  <c r="J38" i="64"/>
  <c r="Q38" i="52"/>
  <c r="Q38" i="64"/>
  <c r="M17" i="71"/>
  <c r="M86" i="71" s="1"/>
  <c r="M114" i="71" s="1"/>
  <c r="M150" i="71"/>
  <c r="M149" i="71"/>
  <c r="M144" i="71"/>
  <c r="I145" i="73"/>
  <c r="I140" i="73"/>
  <c r="I150" i="73"/>
  <c r="E38" i="68"/>
  <c r="E149" i="68" s="1"/>
  <c r="I38" i="70"/>
  <c r="M38" i="69"/>
  <c r="C38" i="68"/>
  <c r="X7" i="68" s="1"/>
  <c r="F38" i="68"/>
  <c r="N38" i="69"/>
  <c r="N149" i="72"/>
  <c r="N144" i="72"/>
  <c r="N139" i="72"/>
  <c r="N138" i="72"/>
  <c r="R38" i="68"/>
  <c r="F146" i="71"/>
  <c r="F145" i="71"/>
  <c r="F140" i="71"/>
  <c r="U21" i="70"/>
  <c r="Y21" i="70"/>
  <c r="Q21" i="70"/>
  <c r="R21" i="70"/>
  <c r="V21" i="70"/>
  <c r="Z21" i="70"/>
  <c r="S21" i="70"/>
  <c r="W21" i="70"/>
  <c r="AA21" i="70"/>
  <c r="T21" i="70"/>
  <c r="X21" i="70"/>
  <c r="AB21" i="70"/>
  <c r="T22" i="70"/>
  <c r="X22" i="70"/>
  <c r="AB22" i="70"/>
  <c r="U22" i="70"/>
  <c r="Y22" i="70"/>
  <c r="V22" i="70"/>
  <c r="Z22" i="70"/>
  <c r="S22" i="70"/>
  <c r="W22" i="70"/>
  <c r="AA22" i="70"/>
  <c r="R22" i="70"/>
  <c r="AB7" i="68"/>
  <c r="AB76" i="68" s="1"/>
  <c r="AB104" i="68" s="1"/>
  <c r="F38" i="69"/>
  <c r="N18" i="72"/>
  <c r="N87" i="72" s="1"/>
  <c r="N143" i="72"/>
  <c r="N142" i="72"/>
  <c r="Z7" i="68"/>
  <c r="Z76" i="68" s="1"/>
  <c r="X13" i="68"/>
  <c r="V10" i="71"/>
  <c r="V79" i="71" s="1"/>
  <c r="J10" i="71"/>
  <c r="J79" i="71" s="1"/>
  <c r="L143" i="65"/>
  <c r="L140" i="65"/>
  <c r="E38" i="64"/>
  <c r="E150" i="64" s="1"/>
  <c r="G38" i="64"/>
  <c r="K38" i="52"/>
  <c r="M147" i="71"/>
  <c r="M146" i="71"/>
  <c r="M145" i="71"/>
  <c r="I141" i="73"/>
  <c r="I147" i="73"/>
  <c r="E38" i="70"/>
  <c r="I38" i="69"/>
  <c r="Q38" i="68"/>
  <c r="J38" i="69"/>
  <c r="N145" i="72"/>
  <c r="N140" i="72"/>
  <c r="F142" i="71"/>
  <c r="F141" i="71"/>
  <c r="C172" i="32"/>
  <c r="C139" i="32"/>
  <c r="C143" i="32"/>
  <c r="C147" i="32"/>
  <c r="C151" i="32"/>
  <c r="C155" i="32"/>
  <c r="C159" i="32"/>
  <c r="C163" i="32"/>
  <c r="C167" i="32"/>
  <c r="D141" i="32"/>
  <c r="G143" i="32"/>
  <c r="H144" i="32"/>
  <c r="D144" i="32"/>
  <c r="F145" i="32"/>
  <c r="I146" i="32"/>
  <c r="E146" i="32"/>
  <c r="I147" i="32"/>
  <c r="E147" i="32"/>
  <c r="J148" i="32"/>
  <c r="F148" i="32"/>
  <c r="L149" i="32"/>
  <c r="H149" i="32"/>
  <c r="D149" i="32"/>
  <c r="K150" i="32"/>
  <c r="G150" i="32"/>
  <c r="O151" i="32"/>
  <c r="K151" i="32"/>
  <c r="G151" i="32"/>
  <c r="P152" i="32"/>
  <c r="L152" i="32"/>
  <c r="H152" i="32"/>
  <c r="D152" i="32"/>
  <c r="N153" i="32"/>
  <c r="J153" i="32"/>
  <c r="F153" i="32"/>
  <c r="Q154" i="32"/>
  <c r="M154" i="32"/>
  <c r="I154" i="32"/>
  <c r="E154" i="32"/>
  <c r="Q155" i="32"/>
  <c r="M155" i="32"/>
  <c r="I155" i="32"/>
  <c r="E155" i="32"/>
  <c r="R156" i="32"/>
  <c r="N156" i="32"/>
  <c r="J156" i="32"/>
  <c r="F156" i="32"/>
  <c r="T157" i="32"/>
  <c r="P157" i="32"/>
  <c r="L157" i="32"/>
  <c r="H157" i="32"/>
  <c r="D157" i="32"/>
  <c r="S158" i="32"/>
  <c r="O158" i="32"/>
  <c r="K158" i="32"/>
  <c r="G158" i="32"/>
  <c r="AL173" i="32"/>
  <c r="AD173" i="32"/>
  <c r="V173" i="32"/>
  <c r="N173" i="32"/>
  <c r="F173" i="32"/>
  <c r="AG172" i="32"/>
  <c r="Y172" i="32"/>
  <c r="Q172" i="32"/>
  <c r="I172" i="32"/>
  <c r="AJ171" i="32"/>
  <c r="AB171" i="32"/>
  <c r="T171" i="32"/>
  <c r="L171" i="32"/>
  <c r="D171" i="32"/>
  <c r="AE170" i="32"/>
  <c r="W170" i="32"/>
  <c r="O170" i="32"/>
  <c r="G170" i="32"/>
  <c r="AH169" i="32"/>
  <c r="Z169" i="32"/>
  <c r="R169" i="32"/>
  <c r="J169" i="32"/>
  <c r="AK168" i="32"/>
  <c r="AC168" i="32"/>
  <c r="U168" i="32"/>
  <c r="M168" i="32"/>
  <c r="E168" i="32"/>
  <c r="AF167" i="32"/>
  <c r="X167" i="32"/>
  <c r="P167" i="32"/>
  <c r="H167" i="32"/>
  <c r="AI166" i="32"/>
  <c r="AA166" i="32"/>
  <c r="S166" i="32"/>
  <c r="K166" i="32"/>
  <c r="AL165" i="32"/>
  <c r="AD165" i="32"/>
  <c r="V165" i="32"/>
  <c r="N165" i="32"/>
  <c r="F165" i="32"/>
  <c r="AG164" i="32"/>
  <c r="Y164" i="32"/>
  <c r="Q164" i="32"/>
  <c r="I164" i="32"/>
  <c r="AJ163" i="32"/>
  <c r="AB163" i="32"/>
  <c r="T163" i="32"/>
  <c r="L163" i="32"/>
  <c r="D163" i="32"/>
  <c r="AE162" i="32"/>
  <c r="W162" i="32"/>
  <c r="O162" i="32"/>
  <c r="G162" i="32"/>
  <c r="AH161" i="32"/>
  <c r="Z161" i="32"/>
  <c r="R161" i="32"/>
  <c r="J161" i="32"/>
  <c r="AK160" i="32"/>
  <c r="AC160" i="32"/>
  <c r="U160" i="32"/>
  <c r="M160" i="32"/>
  <c r="E160" i="32"/>
  <c r="AF159" i="32"/>
  <c r="X159" i="32"/>
  <c r="P159" i="32"/>
  <c r="H159" i="32"/>
  <c r="AB26" i="52"/>
  <c r="AB95" i="52" s="1"/>
  <c r="Z24" i="52"/>
  <c r="Z93" i="52" s="1"/>
  <c r="Y23" i="52"/>
  <c r="Y92" i="52" s="1"/>
  <c r="Y120" i="52" s="1"/>
  <c r="AA25" i="52"/>
  <c r="AA94" i="52" s="1"/>
  <c r="X22" i="52"/>
  <c r="X91" i="52" s="1"/>
  <c r="AA30" i="68"/>
  <c r="V25" i="68"/>
  <c r="Y28" i="68"/>
  <c r="X27" i="68"/>
  <c r="Z29" i="68"/>
  <c r="W26" i="68"/>
  <c r="AB31" i="68"/>
  <c r="U24" i="68"/>
  <c r="T23" i="68"/>
  <c r="O18" i="68"/>
  <c r="O87" i="68" s="1"/>
  <c r="J13" i="68"/>
  <c r="D7" i="68"/>
  <c r="S7" i="68"/>
  <c r="Z18" i="68"/>
  <c r="Z87" i="68" s="1"/>
  <c r="Z115" i="68" s="1"/>
  <c r="O7" i="68"/>
  <c r="O76" i="68" s="1"/>
  <c r="O104" i="68" s="1"/>
  <c r="AB24" i="68"/>
  <c r="AA23" i="68"/>
  <c r="V18" i="68"/>
  <c r="V87" i="68" s="1"/>
  <c r="K7" i="68"/>
  <c r="AB28" i="68"/>
  <c r="AA27" i="68"/>
  <c r="Z26" i="68"/>
  <c r="X24" i="68"/>
  <c r="W23" i="68"/>
  <c r="Y25" i="68"/>
  <c r="R18" i="68"/>
  <c r="R87" i="68" s="1"/>
  <c r="G7" i="68"/>
  <c r="AB7" i="71"/>
  <c r="AB76" i="71" s="1"/>
  <c r="AB7" i="72"/>
  <c r="AB76" i="72" s="1"/>
  <c r="AB7" i="73"/>
  <c r="AB76" i="73" s="1"/>
  <c r="Z9" i="72"/>
  <c r="Z78" i="72" s="1"/>
  <c r="Z9" i="73"/>
  <c r="Z78" i="73" s="1"/>
  <c r="AA10" i="72"/>
  <c r="AA79" i="72" s="1"/>
  <c r="AB11" i="72"/>
  <c r="AB80" i="72" s="1"/>
  <c r="AA10" i="73"/>
  <c r="AA79" i="73" s="1"/>
  <c r="AB11" i="73"/>
  <c r="AB80" i="73" s="1"/>
  <c r="Z9" i="71"/>
  <c r="Z78" i="71" s="1"/>
  <c r="Z106" i="71" s="1"/>
  <c r="X7" i="73"/>
  <c r="X76" i="73" s="1"/>
  <c r="AA10" i="71"/>
  <c r="AA79" i="71" s="1"/>
  <c r="AA107" i="71" s="1"/>
  <c r="X7" i="71"/>
  <c r="X76" i="71" s="1"/>
  <c r="X7" i="72"/>
  <c r="X76" i="72" s="1"/>
  <c r="AB15" i="72"/>
  <c r="AB84" i="72" s="1"/>
  <c r="W10" i="72"/>
  <c r="W79" i="72" s="1"/>
  <c r="X11" i="72"/>
  <c r="X80" i="72" s="1"/>
  <c r="AB15" i="71"/>
  <c r="AB84" i="71" s="1"/>
  <c r="W10" i="73"/>
  <c r="W79" i="73" s="1"/>
  <c r="X11" i="73"/>
  <c r="X80" i="73" s="1"/>
  <c r="AA14" i="73"/>
  <c r="AA83" i="73" s="1"/>
  <c r="V9" i="71"/>
  <c r="V78" i="71" s="1"/>
  <c r="AA14" i="71"/>
  <c r="AA83" i="71" s="1"/>
  <c r="AB15" i="73"/>
  <c r="AB84" i="73" s="1"/>
  <c r="T7" i="73"/>
  <c r="T76" i="73" s="1"/>
  <c r="W10" i="71"/>
  <c r="W79" i="71" s="1"/>
  <c r="Z13" i="72"/>
  <c r="Z82" i="72" s="1"/>
  <c r="T7" i="71"/>
  <c r="T76" i="71" s="1"/>
  <c r="T7" i="72"/>
  <c r="T76" i="72" s="1"/>
  <c r="V9" i="72"/>
  <c r="V78" i="72" s="1"/>
  <c r="V9" i="73"/>
  <c r="V78" i="73" s="1"/>
  <c r="AA14" i="72"/>
  <c r="AA83" i="72" s="1"/>
  <c r="AA111" i="72" s="1"/>
  <c r="Z13" i="73"/>
  <c r="Z82" i="73" s="1"/>
  <c r="AA18" i="71"/>
  <c r="AA87" i="71" s="1"/>
  <c r="S10" i="73"/>
  <c r="S79" i="73" s="1"/>
  <c r="AA18" i="73"/>
  <c r="AA87" i="73" s="1"/>
  <c r="T11" i="73"/>
  <c r="T80" i="73" s="1"/>
  <c r="W14" i="73"/>
  <c r="W83" i="73" s="1"/>
  <c r="R9" i="71"/>
  <c r="R78" i="71" s="1"/>
  <c r="W14" i="71"/>
  <c r="W83" i="71" s="1"/>
  <c r="W111" i="71" s="1"/>
  <c r="X15" i="73"/>
  <c r="X84" i="73" s="1"/>
  <c r="P7" i="73"/>
  <c r="P76" i="73" s="1"/>
  <c r="S10" i="71"/>
  <c r="S79" i="71" s="1"/>
  <c r="V13" i="72"/>
  <c r="V82" i="72" s="1"/>
  <c r="P7" i="71"/>
  <c r="P76" i="71" s="1"/>
  <c r="P7" i="72"/>
  <c r="P76" i="72" s="1"/>
  <c r="AB19" i="72"/>
  <c r="AB88" i="72" s="1"/>
  <c r="R9" i="72"/>
  <c r="R78" i="72" s="1"/>
  <c r="R9" i="73"/>
  <c r="R78" i="73" s="1"/>
  <c r="AB19" i="73"/>
  <c r="AB88" i="73" s="1"/>
  <c r="W14" i="72"/>
  <c r="W83" i="72" s="1"/>
  <c r="V13" i="73"/>
  <c r="V82" i="73" s="1"/>
  <c r="Z17" i="72"/>
  <c r="Z86" i="72" s="1"/>
  <c r="Z114" i="72" s="1"/>
  <c r="X15" i="72"/>
  <c r="X84" i="72" s="1"/>
  <c r="S10" i="72"/>
  <c r="S79" i="72" s="1"/>
  <c r="AA18" i="72"/>
  <c r="AA87" i="72" s="1"/>
  <c r="T11" i="72"/>
  <c r="T80" i="72" s="1"/>
  <c r="X15" i="71"/>
  <c r="X84" i="71" s="1"/>
  <c r="Z17" i="71"/>
  <c r="Z86" i="71" s="1"/>
  <c r="AB23" i="71"/>
  <c r="AB92" i="71" s="1"/>
  <c r="AB120" i="71" s="1"/>
  <c r="O10" i="71"/>
  <c r="O79" i="71" s="1"/>
  <c r="R13" i="72"/>
  <c r="R82" i="72" s="1"/>
  <c r="L7" i="71"/>
  <c r="L76" i="71" s="1"/>
  <c r="L7" i="72"/>
  <c r="L76" i="72" s="1"/>
  <c r="X19" i="72"/>
  <c r="X88" i="72" s="1"/>
  <c r="N9" i="72"/>
  <c r="N78" i="72" s="1"/>
  <c r="N9" i="73"/>
  <c r="N78" i="73" s="1"/>
  <c r="X19" i="73"/>
  <c r="X88" i="73" s="1"/>
  <c r="S14" i="72"/>
  <c r="S83" i="72" s="1"/>
  <c r="R13" i="73"/>
  <c r="R82" i="73" s="1"/>
  <c r="V17" i="72"/>
  <c r="V86" i="72" s="1"/>
  <c r="Z21" i="72"/>
  <c r="Z90" i="72" s="1"/>
  <c r="Z118" i="72" s="1"/>
  <c r="T15" i="72"/>
  <c r="T84" i="72" s="1"/>
  <c r="AA22" i="71"/>
  <c r="O10" i="72"/>
  <c r="O79" i="72" s="1"/>
  <c r="W18" i="72"/>
  <c r="W87" i="72" s="1"/>
  <c r="P11" i="72"/>
  <c r="P80" i="72" s="1"/>
  <c r="T15" i="71"/>
  <c r="T84" i="71" s="1"/>
  <c r="V17" i="71"/>
  <c r="V86" i="71" s="1"/>
  <c r="W18" i="71"/>
  <c r="W87" i="71" s="1"/>
  <c r="O10" i="73"/>
  <c r="O79" i="73" s="1"/>
  <c r="W18" i="73"/>
  <c r="W87" i="73" s="1"/>
  <c r="P11" i="73"/>
  <c r="P80" i="73" s="1"/>
  <c r="AA22" i="72"/>
  <c r="S14" i="73"/>
  <c r="S83" i="73" s="1"/>
  <c r="N9" i="71"/>
  <c r="N78" i="71" s="1"/>
  <c r="S14" i="71"/>
  <c r="S83" i="71" s="1"/>
  <c r="T15" i="73"/>
  <c r="T84" i="73" s="1"/>
  <c r="L7" i="73"/>
  <c r="L76" i="73" s="1"/>
  <c r="AB27" i="71"/>
  <c r="AB96" i="71" s="1"/>
  <c r="AB124" i="71" s="1"/>
  <c r="AA26" i="71"/>
  <c r="Y24" i="71"/>
  <c r="X23" i="71"/>
  <c r="Z25" i="71"/>
  <c r="J9" i="72"/>
  <c r="J78" i="72" s="1"/>
  <c r="J9" i="73"/>
  <c r="J78" i="73" s="1"/>
  <c r="J106" i="73" s="1"/>
  <c r="T19" i="73"/>
  <c r="T88" i="73" s="1"/>
  <c r="O14" i="72"/>
  <c r="O83" i="72" s="1"/>
  <c r="N13" i="73"/>
  <c r="N82" i="73" s="1"/>
  <c r="R17" i="72"/>
  <c r="R86" i="72" s="1"/>
  <c r="V21" i="72"/>
  <c r="V90" i="72" s="1"/>
  <c r="P15" i="72"/>
  <c r="P84" i="72" s="1"/>
  <c r="W22" i="71"/>
  <c r="K10" i="72"/>
  <c r="K79" i="72" s="1"/>
  <c r="K107" i="72" s="1"/>
  <c r="S18" i="72"/>
  <c r="S87" i="72" s="1"/>
  <c r="L11" i="72"/>
  <c r="L80" i="72" s="1"/>
  <c r="P15" i="71"/>
  <c r="P84" i="71" s="1"/>
  <c r="R17" i="71"/>
  <c r="R86" i="71" s="1"/>
  <c r="S18" i="71"/>
  <c r="S87" i="71" s="1"/>
  <c r="K10" i="73"/>
  <c r="K79" i="73" s="1"/>
  <c r="S18" i="73"/>
  <c r="S87" i="73" s="1"/>
  <c r="L11" i="73"/>
  <c r="L80" i="73" s="1"/>
  <c r="W22" i="72"/>
  <c r="O14" i="73"/>
  <c r="O83" i="73" s="1"/>
  <c r="J9" i="71"/>
  <c r="J78" i="71" s="1"/>
  <c r="J106" i="71" s="1"/>
  <c r="O14" i="71"/>
  <c r="O83" i="71" s="1"/>
  <c r="O111" i="71" s="1"/>
  <c r="P15" i="73"/>
  <c r="P84" i="73" s="1"/>
  <c r="H7" i="73"/>
  <c r="H76" i="73" s="1"/>
  <c r="K10" i="71"/>
  <c r="K79" i="71" s="1"/>
  <c r="N13" i="72"/>
  <c r="N82" i="72" s="1"/>
  <c r="H7" i="71"/>
  <c r="H76" i="71" s="1"/>
  <c r="H7" i="72"/>
  <c r="H76" i="72" s="1"/>
  <c r="T19" i="72"/>
  <c r="T88" i="72" s="1"/>
  <c r="C105" i="52"/>
  <c r="E108" i="52"/>
  <c r="D110" i="52"/>
  <c r="F111" i="52"/>
  <c r="G112" i="52"/>
  <c r="G113" i="52"/>
  <c r="G114" i="52"/>
  <c r="G115" i="52"/>
  <c r="F116" i="52"/>
  <c r="N116" i="52"/>
  <c r="J117" i="52"/>
  <c r="E118" i="52"/>
  <c r="M118" i="52"/>
  <c r="G119" i="52"/>
  <c r="O119" i="52"/>
  <c r="H120" i="52"/>
  <c r="P120" i="52"/>
  <c r="H121" i="52"/>
  <c r="P121" i="52"/>
  <c r="F122" i="52"/>
  <c r="N122" i="52"/>
  <c r="D123" i="52"/>
  <c r="L123" i="52"/>
  <c r="T123" i="52"/>
  <c r="I124" i="52"/>
  <c r="Q124" i="52"/>
  <c r="E125" i="52"/>
  <c r="M125" i="52"/>
  <c r="U125" i="52"/>
  <c r="H126" i="52"/>
  <c r="P126" i="52"/>
  <c r="X126" i="52"/>
  <c r="J127" i="52"/>
  <c r="R127" i="52"/>
  <c r="C128" i="52"/>
  <c r="K128" i="52"/>
  <c r="S128" i="52"/>
  <c r="C129" i="52"/>
  <c r="K129" i="52"/>
  <c r="S129" i="52"/>
  <c r="AA129" i="52"/>
  <c r="U122" i="68"/>
  <c r="AA128" i="68"/>
  <c r="X129" i="73"/>
  <c r="T129" i="73"/>
  <c r="P129" i="73"/>
  <c r="L129" i="73"/>
  <c r="H129" i="73"/>
  <c r="D129" i="73"/>
  <c r="X128" i="73"/>
  <c r="T128" i="73"/>
  <c r="P128" i="73"/>
  <c r="L128" i="73"/>
  <c r="H128" i="73"/>
  <c r="D128" i="73"/>
  <c r="W127" i="73"/>
  <c r="S127" i="73"/>
  <c r="O127" i="73"/>
  <c r="K127" i="73"/>
  <c r="G127" i="73"/>
  <c r="C127" i="73"/>
  <c r="U126" i="73"/>
  <c r="Q126" i="73"/>
  <c r="M126" i="73"/>
  <c r="I126" i="73"/>
  <c r="E126" i="73"/>
  <c r="V125" i="73"/>
  <c r="R125" i="73"/>
  <c r="N125" i="73"/>
  <c r="J125" i="73"/>
  <c r="F125" i="73"/>
  <c r="V124" i="73"/>
  <c r="R124" i="73"/>
  <c r="N124" i="73"/>
  <c r="J124" i="73"/>
  <c r="F124" i="73"/>
  <c r="U123" i="73"/>
  <c r="Q123" i="73"/>
  <c r="M123" i="73"/>
  <c r="I123" i="73"/>
  <c r="E123" i="73"/>
  <c r="S122" i="73"/>
  <c r="O122" i="73"/>
  <c r="K122" i="73"/>
  <c r="G122" i="73"/>
  <c r="C122" i="73"/>
  <c r="P121" i="73"/>
  <c r="L121" i="73"/>
  <c r="H121" i="73"/>
  <c r="D121" i="73"/>
  <c r="P120" i="73"/>
  <c r="L120" i="73"/>
  <c r="H120" i="73"/>
  <c r="D120" i="73"/>
  <c r="O119" i="73"/>
  <c r="K119" i="73"/>
  <c r="G119" i="73"/>
  <c r="C119" i="73"/>
  <c r="M118" i="73"/>
  <c r="I118" i="73"/>
  <c r="E118" i="73"/>
  <c r="N117" i="73"/>
  <c r="J117" i="73"/>
  <c r="F117" i="73"/>
  <c r="N116" i="73"/>
  <c r="J116" i="73"/>
  <c r="F116" i="73"/>
  <c r="M115" i="73"/>
  <c r="I115" i="73"/>
  <c r="E115" i="73"/>
  <c r="K114" i="73"/>
  <c r="G114" i="73"/>
  <c r="C114" i="73"/>
  <c r="H113" i="73"/>
  <c r="D113" i="73"/>
  <c r="H112" i="73"/>
  <c r="D112" i="73"/>
  <c r="G111" i="73"/>
  <c r="C111" i="73"/>
  <c r="E110" i="73"/>
  <c r="F109" i="73"/>
  <c r="F108" i="73"/>
  <c r="E107" i="73"/>
  <c r="C106" i="73"/>
  <c r="AA129" i="72"/>
  <c r="W129" i="72"/>
  <c r="S129" i="72"/>
  <c r="O129" i="72"/>
  <c r="K129" i="72"/>
  <c r="G129" i="72"/>
  <c r="C129" i="72"/>
  <c r="W128" i="72"/>
  <c r="S128" i="72"/>
  <c r="O128" i="72"/>
  <c r="K128" i="72"/>
  <c r="G128" i="72"/>
  <c r="C128" i="72"/>
  <c r="V127" i="72"/>
  <c r="R127" i="72"/>
  <c r="N127" i="72"/>
  <c r="J127" i="72"/>
  <c r="F127" i="72"/>
  <c r="X126" i="72"/>
  <c r="T126" i="72"/>
  <c r="P126" i="72"/>
  <c r="L126" i="72"/>
  <c r="H126" i="72"/>
  <c r="D126" i="72"/>
  <c r="U125" i="72"/>
  <c r="Q125" i="72"/>
  <c r="M125" i="72"/>
  <c r="I125" i="72"/>
  <c r="E125" i="72"/>
  <c r="U124" i="72"/>
  <c r="Q124" i="72"/>
  <c r="M124" i="72"/>
  <c r="I124" i="72"/>
  <c r="E124" i="72"/>
  <c r="T123" i="72"/>
  <c r="P123" i="72"/>
  <c r="L123" i="72"/>
  <c r="H123" i="72"/>
  <c r="D123" i="72"/>
  <c r="R122" i="72"/>
  <c r="N122" i="72"/>
  <c r="J122" i="72"/>
  <c r="F122" i="72"/>
  <c r="S121" i="72"/>
  <c r="O121" i="72"/>
  <c r="K121" i="72"/>
  <c r="G121" i="72"/>
  <c r="C121" i="72"/>
  <c r="O120" i="72"/>
  <c r="K120" i="72"/>
  <c r="G120" i="72"/>
  <c r="C120" i="72"/>
  <c r="N119" i="72"/>
  <c r="J119" i="72"/>
  <c r="F119" i="72"/>
  <c r="P118" i="72"/>
  <c r="L118" i="72"/>
  <c r="H118" i="72"/>
  <c r="D118" i="72"/>
  <c r="M117" i="72"/>
  <c r="I117" i="72"/>
  <c r="E117" i="72"/>
  <c r="M116" i="72"/>
  <c r="I116" i="72"/>
  <c r="E116" i="72"/>
  <c r="L115" i="72"/>
  <c r="H115" i="72"/>
  <c r="D115" i="72"/>
  <c r="J114" i="72"/>
  <c r="F114" i="72"/>
  <c r="K113" i="72"/>
  <c r="G113" i="72"/>
  <c r="C113" i="72"/>
  <c r="G112" i="72"/>
  <c r="C112" i="72"/>
  <c r="F111" i="72"/>
  <c r="H110" i="72"/>
  <c r="D110" i="72"/>
  <c r="E109" i="72"/>
  <c r="E108" i="72"/>
  <c r="D107" i="72"/>
  <c r="C105" i="72"/>
  <c r="Z129" i="71"/>
  <c r="V129" i="71"/>
  <c r="R129" i="71"/>
  <c r="N129" i="71"/>
  <c r="J129" i="71"/>
  <c r="F129" i="71"/>
  <c r="Z128" i="71"/>
  <c r="V128" i="71"/>
  <c r="R128" i="71"/>
  <c r="N128" i="71"/>
  <c r="J128" i="71"/>
  <c r="F128" i="71"/>
  <c r="Y127" i="71"/>
  <c r="U127" i="71"/>
  <c r="Q127" i="71"/>
  <c r="M127" i="71"/>
  <c r="I127" i="71"/>
  <c r="E127" i="71"/>
  <c r="W126" i="71"/>
  <c r="S126" i="71"/>
  <c r="O126" i="71"/>
  <c r="K126" i="71"/>
  <c r="G126" i="71"/>
  <c r="C126" i="71"/>
  <c r="T125" i="71"/>
  <c r="P125" i="71"/>
  <c r="L125" i="71"/>
  <c r="H125" i="71"/>
  <c r="D125" i="71"/>
  <c r="T124" i="71"/>
  <c r="P124" i="71"/>
  <c r="L124" i="71"/>
  <c r="H124" i="71"/>
  <c r="D124" i="71"/>
  <c r="S123" i="71"/>
  <c r="O123" i="71"/>
  <c r="K123" i="71"/>
  <c r="G123" i="71"/>
  <c r="C123" i="71"/>
  <c r="Q122" i="71"/>
  <c r="M122" i="71"/>
  <c r="I122" i="71"/>
  <c r="E122" i="71"/>
  <c r="R121" i="71"/>
  <c r="N121" i="71"/>
  <c r="J121" i="71"/>
  <c r="F121" i="71"/>
  <c r="R120" i="71"/>
  <c r="N120" i="71"/>
  <c r="J120" i="71"/>
  <c r="F120" i="71"/>
  <c r="Q119" i="71"/>
  <c r="M119" i="71"/>
  <c r="I119" i="71"/>
  <c r="E119" i="71"/>
  <c r="O118" i="71"/>
  <c r="K118" i="71"/>
  <c r="G118" i="71"/>
  <c r="C118" i="71"/>
  <c r="L117" i="71"/>
  <c r="H117" i="71"/>
  <c r="D117" i="71"/>
  <c r="L116" i="71"/>
  <c r="H116" i="71"/>
  <c r="D116" i="71"/>
  <c r="K115" i="71"/>
  <c r="G115" i="71"/>
  <c r="C115" i="71"/>
  <c r="I114" i="71"/>
  <c r="E114" i="71"/>
  <c r="J113" i="71"/>
  <c r="F113" i="71"/>
  <c r="J112" i="71"/>
  <c r="F112" i="71"/>
  <c r="I111" i="71"/>
  <c r="E111" i="71"/>
  <c r="G110" i="71"/>
  <c r="C110" i="71"/>
  <c r="D109" i="71"/>
  <c r="D108" i="71"/>
  <c r="C107" i="71"/>
  <c r="V123" i="71"/>
  <c r="U122" i="71"/>
  <c r="D107" i="68"/>
  <c r="D109" i="68"/>
  <c r="D110" i="68"/>
  <c r="H110" i="68"/>
  <c r="G111" i="68"/>
  <c r="E112" i="68"/>
  <c r="I112" i="68"/>
  <c r="F113" i="68"/>
  <c r="J113" i="68"/>
  <c r="E115" i="68"/>
  <c r="H117" i="68"/>
  <c r="L118" i="68"/>
  <c r="O119" i="68"/>
  <c r="Q121" i="68"/>
  <c r="P122" i="68"/>
  <c r="N124" i="68"/>
  <c r="I125" i="68"/>
  <c r="D126" i="68"/>
  <c r="T126" i="68"/>
  <c r="O127" i="68"/>
  <c r="J128" i="68"/>
  <c r="Z128" i="68"/>
  <c r="Q129" i="68"/>
  <c r="C106" i="68"/>
  <c r="C110" i="68"/>
  <c r="C120" i="68"/>
  <c r="X129" i="70"/>
  <c r="T129" i="70"/>
  <c r="P129" i="70"/>
  <c r="L129" i="70"/>
  <c r="H129" i="70"/>
  <c r="D129" i="70"/>
  <c r="X128" i="70"/>
  <c r="T128" i="70"/>
  <c r="P128" i="70"/>
  <c r="L128" i="70"/>
  <c r="H128" i="70"/>
  <c r="D128" i="70"/>
  <c r="W127" i="70"/>
  <c r="S127" i="70"/>
  <c r="O127" i="70"/>
  <c r="K127" i="70"/>
  <c r="G127" i="70"/>
  <c r="C127" i="70"/>
  <c r="U126" i="70"/>
  <c r="Q126" i="70"/>
  <c r="M126" i="70"/>
  <c r="I126" i="70"/>
  <c r="E126" i="70"/>
  <c r="V125" i="70"/>
  <c r="R125" i="70"/>
  <c r="N125" i="70"/>
  <c r="J125" i="70"/>
  <c r="F125" i="70"/>
  <c r="V124" i="70"/>
  <c r="R124" i="70"/>
  <c r="N124" i="70"/>
  <c r="J124" i="70"/>
  <c r="F124" i="70"/>
  <c r="U123" i="70"/>
  <c r="Q123" i="70"/>
  <c r="M123" i="70"/>
  <c r="I123" i="70"/>
  <c r="E123" i="70"/>
  <c r="S122" i="70"/>
  <c r="O122" i="70"/>
  <c r="K122" i="70"/>
  <c r="G122" i="70"/>
  <c r="C122" i="70"/>
  <c r="P121" i="70"/>
  <c r="L121" i="70"/>
  <c r="H121" i="70"/>
  <c r="D121" i="70"/>
  <c r="P120" i="70"/>
  <c r="L120" i="70"/>
  <c r="H120" i="70"/>
  <c r="D120" i="70"/>
  <c r="O119" i="70"/>
  <c r="K119" i="70"/>
  <c r="G119" i="70"/>
  <c r="C119" i="70"/>
  <c r="M118" i="70"/>
  <c r="I118" i="70"/>
  <c r="E118" i="70"/>
  <c r="N117" i="70"/>
  <c r="J117" i="70"/>
  <c r="F117" i="70"/>
  <c r="N116" i="70"/>
  <c r="J116" i="70"/>
  <c r="F116" i="70"/>
  <c r="M115" i="70"/>
  <c r="I115" i="70"/>
  <c r="E115" i="70"/>
  <c r="K114" i="70"/>
  <c r="G114" i="70"/>
  <c r="C114" i="70"/>
  <c r="H113" i="70"/>
  <c r="D113" i="70"/>
  <c r="H112" i="70"/>
  <c r="D112" i="70"/>
  <c r="G111" i="70"/>
  <c r="C111" i="70"/>
  <c r="E110" i="70"/>
  <c r="F109" i="70"/>
  <c r="F108" i="70"/>
  <c r="E107" i="70"/>
  <c r="C106" i="70"/>
  <c r="Y129" i="69"/>
  <c r="U129" i="69"/>
  <c r="Q129" i="69"/>
  <c r="M129" i="69"/>
  <c r="I129" i="69"/>
  <c r="E129" i="69"/>
  <c r="Y128" i="69"/>
  <c r="U128" i="69"/>
  <c r="Q128" i="69"/>
  <c r="M128" i="69"/>
  <c r="I128" i="69"/>
  <c r="E128" i="69"/>
  <c r="X127" i="69"/>
  <c r="T127" i="69"/>
  <c r="P127" i="69"/>
  <c r="L127" i="69"/>
  <c r="H127" i="69"/>
  <c r="D127" i="69"/>
  <c r="V126" i="69"/>
  <c r="R126" i="69"/>
  <c r="N126" i="69"/>
  <c r="J126" i="69"/>
  <c r="F126" i="69"/>
  <c r="W125" i="69"/>
  <c r="S125" i="69"/>
  <c r="O125" i="69"/>
  <c r="K125" i="69"/>
  <c r="G125" i="69"/>
  <c r="C125" i="69"/>
  <c r="S124" i="69"/>
  <c r="O124" i="69"/>
  <c r="K124" i="69"/>
  <c r="G124" i="69"/>
  <c r="C124" i="69"/>
  <c r="R123" i="69"/>
  <c r="N123" i="69"/>
  <c r="J123" i="69"/>
  <c r="F123" i="69"/>
  <c r="T122" i="69"/>
  <c r="P122" i="69"/>
  <c r="L122" i="69"/>
  <c r="H122" i="69"/>
  <c r="D122" i="69"/>
  <c r="Q121" i="69"/>
  <c r="M121" i="69"/>
  <c r="I121" i="69"/>
  <c r="E121" i="69"/>
  <c r="Q120" i="69"/>
  <c r="M120" i="69"/>
  <c r="I120" i="69"/>
  <c r="E120" i="69"/>
  <c r="P119" i="69"/>
  <c r="L119" i="69"/>
  <c r="H119" i="69"/>
  <c r="D119" i="69"/>
  <c r="N118" i="69"/>
  <c r="J118" i="69"/>
  <c r="F118" i="69"/>
  <c r="O117" i="69"/>
  <c r="K117" i="69"/>
  <c r="G117" i="69"/>
  <c r="C117" i="69"/>
  <c r="K116" i="69"/>
  <c r="G116" i="69"/>
  <c r="C116" i="69"/>
  <c r="J115" i="69"/>
  <c r="F115" i="69"/>
  <c r="L114" i="69"/>
  <c r="H114" i="69"/>
  <c r="D114" i="69"/>
  <c r="I113" i="69"/>
  <c r="E113" i="69"/>
  <c r="I112" i="69"/>
  <c r="E112" i="69"/>
  <c r="H111" i="69"/>
  <c r="D111" i="69"/>
  <c r="F110" i="69"/>
  <c r="G109" i="69"/>
  <c r="C109" i="69"/>
  <c r="C108" i="69"/>
  <c r="D106" i="69"/>
  <c r="Z129" i="68"/>
  <c r="T129" i="68"/>
  <c r="O129" i="68"/>
  <c r="J129" i="68"/>
  <c r="D129" i="68"/>
  <c r="W128" i="68"/>
  <c r="Q128" i="68"/>
  <c r="L128" i="68"/>
  <c r="G128" i="68"/>
  <c r="X127" i="68"/>
  <c r="R127" i="68"/>
  <c r="M127" i="68"/>
  <c r="H127" i="68"/>
  <c r="C127" i="68"/>
  <c r="S126" i="68"/>
  <c r="N126" i="68"/>
  <c r="I126" i="68"/>
  <c r="C126" i="68"/>
  <c r="S125" i="68"/>
  <c r="N125" i="68"/>
  <c r="H125" i="68"/>
  <c r="U124" i="68"/>
  <c r="P124" i="68"/>
  <c r="K124" i="68"/>
  <c r="E124" i="68"/>
  <c r="T123" i="68"/>
  <c r="P123" i="68"/>
  <c r="L123" i="68"/>
  <c r="H123" i="68"/>
  <c r="D123" i="68"/>
  <c r="Q122" i="68"/>
  <c r="K122" i="68"/>
  <c r="F122" i="68"/>
  <c r="R121" i="68"/>
  <c r="L121" i="68"/>
  <c r="G121" i="68"/>
  <c r="Q120" i="68"/>
  <c r="M120" i="68"/>
  <c r="I120" i="68"/>
  <c r="E120" i="68"/>
  <c r="N119" i="68"/>
  <c r="I119" i="68"/>
  <c r="D119" i="68"/>
  <c r="M118" i="68"/>
  <c r="G118" i="68"/>
  <c r="O117" i="68"/>
  <c r="J117" i="68"/>
  <c r="E117" i="68"/>
  <c r="L116" i="68"/>
  <c r="H116" i="68"/>
  <c r="D116" i="68"/>
  <c r="J115" i="68"/>
  <c r="D115" i="68"/>
  <c r="I114" i="68"/>
  <c r="D114" i="68"/>
  <c r="AA129" i="73"/>
  <c r="W129" i="73"/>
  <c r="S129" i="73"/>
  <c r="O129" i="73"/>
  <c r="K129" i="73"/>
  <c r="G129" i="73"/>
  <c r="C129" i="73"/>
  <c r="W128" i="73"/>
  <c r="S128" i="73"/>
  <c r="O128" i="73"/>
  <c r="K128" i="73"/>
  <c r="G128" i="73"/>
  <c r="C128" i="73"/>
  <c r="V127" i="73"/>
  <c r="R127" i="73"/>
  <c r="N127" i="73"/>
  <c r="J127" i="73"/>
  <c r="F127" i="73"/>
  <c r="X126" i="73"/>
  <c r="T126" i="73"/>
  <c r="P126" i="73"/>
  <c r="L126" i="73"/>
  <c r="H126" i="73"/>
  <c r="D126" i="73"/>
  <c r="U125" i="73"/>
  <c r="Q125" i="73"/>
  <c r="M125" i="73"/>
  <c r="I125" i="73"/>
  <c r="E125" i="73"/>
  <c r="U124" i="73"/>
  <c r="Q124" i="73"/>
  <c r="M124" i="73"/>
  <c r="I124" i="73"/>
  <c r="E124" i="73"/>
  <c r="T123" i="73"/>
  <c r="P123" i="73"/>
  <c r="L123" i="73"/>
  <c r="H123" i="73"/>
  <c r="D123" i="73"/>
  <c r="R122" i="73"/>
  <c r="N122" i="73"/>
  <c r="J122" i="73"/>
  <c r="F122" i="73"/>
  <c r="S121" i="73"/>
  <c r="O121" i="73"/>
  <c r="K121" i="73"/>
  <c r="G121" i="73"/>
  <c r="C121" i="73"/>
  <c r="O120" i="73"/>
  <c r="K120" i="73"/>
  <c r="G120" i="73"/>
  <c r="C120" i="73"/>
  <c r="N119" i="73"/>
  <c r="J119" i="73"/>
  <c r="F119" i="73"/>
  <c r="P118" i="73"/>
  <c r="L118" i="73"/>
  <c r="H118" i="73"/>
  <c r="D118" i="73"/>
  <c r="M117" i="73"/>
  <c r="I117" i="73"/>
  <c r="E117" i="73"/>
  <c r="M116" i="73"/>
  <c r="I116" i="73"/>
  <c r="E116" i="73"/>
  <c r="L115" i="73"/>
  <c r="H115" i="73"/>
  <c r="D115" i="73"/>
  <c r="J114" i="73"/>
  <c r="F114" i="73"/>
  <c r="K113" i="73"/>
  <c r="G113" i="73"/>
  <c r="C113" i="73"/>
  <c r="G112" i="73"/>
  <c r="C112" i="73"/>
  <c r="F111" i="73"/>
  <c r="H110" i="73"/>
  <c r="D110" i="73"/>
  <c r="E109" i="73"/>
  <c r="E108" i="73"/>
  <c r="D107" i="73"/>
  <c r="C105" i="73"/>
  <c r="Z129" i="72"/>
  <c r="V129" i="72"/>
  <c r="R129" i="72"/>
  <c r="N129" i="72"/>
  <c r="J129" i="72"/>
  <c r="F129" i="72"/>
  <c r="Z128" i="72"/>
  <c r="V128" i="72"/>
  <c r="R128" i="72"/>
  <c r="N128" i="72"/>
  <c r="J128" i="72"/>
  <c r="F128" i="72"/>
  <c r="Y127" i="72"/>
  <c r="U127" i="72"/>
  <c r="Q127" i="72"/>
  <c r="M127" i="72"/>
  <c r="I127" i="72"/>
  <c r="E127" i="72"/>
  <c r="W126" i="72"/>
  <c r="S126" i="72"/>
  <c r="O126" i="72"/>
  <c r="K126" i="72"/>
  <c r="G126" i="72"/>
  <c r="C126" i="72"/>
  <c r="T125" i="72"/>
  <c r="P125" i="72"/>
  <c r="L125" i="72"/>
  <c r="H125" i="72"/>
  <c r="D125" i="72"/>
  <c r="T124" i="72"/>
  <c r="P124" i="72"/>
  <c r="L124" i="72"/>
  <c r="H124" i="72"/>
  <c r="D124" i="72"/>
  <c r="S123" i="72"/>
  <c r="O123" i="72"/>
  <c r="K123" i="72"/>
  <c r="G123" i="72"/>
  <c r="C123" i="72"/>
  <c r="Q122" i="72"/>
  <c r="M122" i="72"/>
  <c r="I122" i="72"/>
  <c r="E122" i="72"/>
  <c r="R121" i="72"/>
  <c r="N121" i="72"/>
  <c r="J121" i="72"/>
  <c r="F121" i="72"/>
  <c r="R120" i="72"/>
  <c r="N120" i="72"/>
  <c r="J120" i="72"/>
  <c r="F120" i="72"/>
  <c r="Q119" i="72"/>
  <c r="M119" i="72"/>
  <c r="I119" i="72"/>
  <c r="E119" i="72"/>
  <c r="O118" i="72"/>
  <c r="K118" i="72"/>
  <c r="G118" i="72"/>
  <c r="C118" i="72"/>
  <c r="L117" i="72"/>
  <c r="H117" i="72"/>
  <c r="D117" i="72"/>
  <c r="L116" i="72"/>
  <c r="H116" i="72"/>
  <c r="D116" i="72"/>
  <c r="K115" i="72"/>
  <c r="G115" i="72"/>
  <c r="C115" i="72"/>
  <c r="I114" i="72"/>
  <c r="E114" i="72"/>
  <c r="J113" i="72"/>
  <c r="F113" i="72"/>
  <c r="J112" i="72"/>
  <c r="F112" i="72"/>
  <c r="I111" i="72"/>
  <c r="E111" i="72"/>
  <c r="G110" i="72"/>
  <c r="C110" i="72"/>
  <c r="D109" i="72"/>
  <c r="D108" i="72"/>
  <c r="C107" i="72"/>
  <c r="Y129" i="71"/>
  <c r="U129" i="71"/>
  <c r="Q129" i="71"/>
  <c r="M129" i="71"/>
  <c r="I129" i="71"/>
  <c r="E129" i="71"/>
  <c r="Y128" i="71"/>
  <c r="U128" i="71"/>
  <c r="Q128" i="71"/>
  <c r="M128" i="71"/>
  <c r="I128" i="71"/>
  <c r="E128" i="71"/>
  <c r="X127" i="71"/>
  <c r="T127" i="71"/>
  <c r="P127" i="71"/>
  <c r="L127" i="71"/>
  <c r="H127" i="71"/>
  <c r="D127" i="71"/>
  <c r="V126" i="71"/>
  <c r="R126" i="71"/>
  <c r="N126" i="71"/>
  <c r="J126" i="71"/>
  <c r="F126" i="71"/>
  <c r="W125" i="71"/>
  <c r="S125" i="71"/>
  <c r="O125" i="71"/>
  <c r="K125" i="71"/>
  <c r="G125" i="71"/>
  <c r="C125" i="71"/>
  <c r="S124" i="71"/>
  <c r="O124" i="71"/>
  <c r="K124" i="71"/>
  <c r="G124" i="71"/>
  <c r="C124" i="71"/>
  <c r="R123" i="71"/>
  <c r="N123" i="71"/>
  <c r="J123" i="71"/>
  <c r="F123" i="71"/>
  <c r="T122" i="71"/>
  <c r="P122" i="71"/>
  <c r="L122" i="71"/>
  <c r="H122" i="71"/>
  <c r="D122" i="71"/>
  <c r="Q121" i="71"/>
  <c r="M121" i="71"/>
  <c r="I121" i="71"/>
  <c r="E121" i="71"/>
  <c r="Q120" i="71"/>
  <c r="M120" i="71"/>
  <c r="I120" i="71"/>
  <c r="E120" i="71"/>
  <c r="P119" i="71"/>
  <c r="L119" i="71"/>
  <c r="H119" i="71"/>
  <c r="D119" i="71"/>
  <c r="N118" i="71"/>
  <c r="J118" i="71"/>
  <c r="F118" i="71"/>
  <c r="O117" i="71"/>
  <c r="K117" i="71"/>
  <c r="G117" i="71"/>
  <c r="C117" i="71"/>
  <c r="K116" i="71"/>
  <c r="G116" i="71"/>
  <c r="C116" i="71"/>
  <c r="J115" i="71"/>
  <c r="F115" i="71"/>
  <c r="L114" i="71"/>
  <c r="H114" i="71"/>
  <c r="D114" i="71"/>
  <c r="I113" i="71"/>
  <c r="E113" i="71"/>
  <c r="I112" i="71"/>
  <c r="E112" i="71"/>
  <c r="H111" i="71"/>
  <c r="D111" i="71"/>
  <c r="F110" i="71"/>
  <c r="G109" i="71"/>
  <c r="C109" i="71"/>
  <c r="C108" i="71"/>
  <c r="D106" i="71"/>
  <c r="AB129" i="71"/>
  <c r="W124" i="71"/>
  <c r="T121" i="71"/>
  <c r="E107" i="68"/>
  <c r="E109" i="68"/>
  <c r="E110" i="68"/>
  <c r="D111" i="68"/>
  <c r="H111" i="68"/>
  <c r="F112" i="68"/>
  <c r="J112" i="68"/>
  <c r="G113" i="68"/>
  <c r="K113" i="68"/>
  <c r="I115" i="68"/>
  <c r="L117" i="68"/>
  <c r="P118" i="68"/>
  <c r="E121" i="68"/>
  <c r="D122" i="68"/>
  <c r="T122" i="68"/>
  <c r="R124" i="68"/>
  <c r="M125" i="68"/>
  <c r="H126" i="68"/>
  <c r="X126" i="68"/>
  <c r="S127" i="68"/>
  <c r="N128" i="68"/>
  <c r="E129" i="68"/>
  <c r="U129" i="68"/>
  <c r="C107" i="68"/>
  <c r="C111" i="68"/>
  <c r="C121" i="68"/>
  <c r="AA129" i="70"/>
  <c r="W129" i="70"/>
  <c r="S129" i="70"/>
  <c r="O129" i="70"/>
  <c r="K129" i="70"/>
  <c r="G129" i="70"/>
  <c r="C129" i="70"/>
  <c r="W128" i="70"/>
  <c r="S128" i="70"/>
  <c r="O128" i="70"/>
  <c r="K128" i="70"/>
  <c r="G128" i="70"/>
  <c r="C128" i="70"/>
  <c r="V127" i="70"/>
  <c r="R127" i="70"/>
  <c r="N127" i="70"/>
  <c r="J127" i="70"/>
  <c r="F127" i="70"/>
  <c r="X126" i="70"/>
  <c r="T126" i="70"/>
  <c r="P126" i="70"/>
  <c r="L126" i="70"/>
  <c r="H126" i="70"/>
  <c r="D126" i="70"/>
  <c r="U125" i="70"/>
  <c r="Q125" i="70"/>
  <c r="M125" i="70"/>
  <c r="I125" i="70"/>
  <c r="E125" i="70"/>
  <c r="U124" i="70"/>
  <c r="Q124" i="70"/>
  <c r="M124" i="70"/>
  <c r="I124" i="70"/>
  <c r="E124" i="70"/>
  <c r="T123" i="70"/>
  <c r="P123" i="70"/>
  <c r="L123" i="70"/>
  <c r="H123" i="70"/>
  <c r="D123" i="70"/>
  <c r="R122" i="70"/>
  <c r="N122" i="70"/>
  <c r="J122" i="70"/>
  <c r="F122" i="70"/>
  <c r="S121" i="70"/>
  <c r="O121" i="70"/>
  <c r="K121" i="70"/>
  <c r="G121" i="70"/>
  <c r="C121" i="70"/>
  <c r="O120" i="70"/>
  <c r="K120" i="70"/>
  <c r="G120" i="70"/>
  <c r="C120" i="70"/>
  <c r="N119" i="70"/>
  <c r="J119" i="70"/>
  <c r="F119" i="70"/>
  <c r="P118" i="70"/>
  <c r="L118" i="70"/>
  <c r="H118" i="70"/>
  <c r="D118" i="70"/>
  <c r="M117" i="70"/>
  <c r="I117" i="70"/>
  <c r="E117" i="70"/>
  <c r="M116" i="70"/>
  <c r="I116" i="70"/>
  <c r="E116" i="70"/>
  <c r="L115" i="70"/>
  <c r="H115" i="70"/>
  <c r="D115" i="70"/>
  <c r="J114" i="70"/>
  <c r="F114" i="70"/>
  <c r="K113" i="70"/>
  <c r="G113" i="70"/>
  <c r="C113" i="70"/>
  <c r="G112" i="70"/>
  <c r="C112" i="70"/>
  <c r="F111" i="70"/>
  <c r="H110" i="70"/>
  <c r="D110" i="70"/>
  <c r="E109" i="70"/>
  <c r="E108" i="70"/>
  <c r="D107" i="70"/>
  <c r="C105" i="70"/>
  <c r="X129" i="69"/>
  <c r="T129" i="69"/>
  <c r="P129" i="69"/>
  <c r="L129" i="69"/>
  <c r="H129" i="69"/>
  <c r="D129" i="69"/>
  <c r="X128" i="69"/>
  <c r="T128" i="69"/>
  <c r="P128" i="69"/>
  <c r="L128" i="69"/>
  <c r="H128" i="69"/>
  <c r="D128" i="69"/>
  <c r="W127" i="69"/>
  <c r="S127" i="69"/>
  <c r="O127" i="69"/>
  <c r="K127" i="69"/>
  <c r="G127" i="69"/>
  <c r="C127" i="69"/>
  <c r="U126" i="69"/>
  <c r="Q126" i="69"/>
  <c r="M126" i="69"/>
  <c r="I126" i="69"/>
  <c r="E126" i="69"/>
  <c r="V125" i="69"/>
  <c r="R125" i="69"/>
  <c r="N125" i="69"/>
  <c r="J125" i="69"/>
  <c r="F125" i="69"/>
  <c r="V124" i="69"/>
  <c r="R124" i="69"/>
  <c r="N124" i="69"/>
  <c r="J124" i="69"/>
  <c r="F124" i="69"/>
  <c r="U123" i="69"/>
  <c r="Q123" i="69"/>
  <c r="M123" i="69"/>
  <c r="I123" i="69"/>
  <c r="E123" i="69"/>
  <c r="S122" i="69"/>
  <c r="O122" i="69"/>
  <c r="K122" i="69"/>
  <c r="G122" i="69"/>
  <c r="C122" i="69"/>
  <c r="P121" i="69"/>
  <c r="L121" i="69"/>
  <c r="H121" i="69"/>
  <c r="D121" i="69"/>
  <c r="P120" i="69"/>
  <c r="L120" i="69"/>
  <c r="H120" i="69"/>
  <c r="D120" i="69"/>
  <c r="O119" i="69"/>
  <c r="K119" i="69"/>
  <c r="G119" i="69"/>
  <c r="C119" i="69"/>
  <c r="M118" i="69"/>
  <c r="I118" i="69"/>
  <c r="E118" i="69"/>
  <c r="N117" i="69"/>
  <c r="J117" i="69"/>
  <c r="F117" i="69"/>
  <c r="N116" i="69"/>
  <c r="J116" i="69"/>
  <c r="F116" i="69"/>
  <c r="M115" i="69"/>
  <c r="I115" i="69"/>
  <c r="E115" i="69"/>
  <c r="K114" i="69"/>
  <c r="G114" i="69"/>
  <c r="C114" i="69"/>
  <c r="H113" i="69"/>
  <c r="D113" i="69"/>
  <c r="H112" i="69"/>
  <c r="D112" i="69"/>
  <c r="G111" i="69"/>
  <c r="C111" i="69"/>
  <c r="E110" i="69"/>
  <c r="F109" i="69"/>
  <c r="F108" i="69"/>
  <c r="E107" i="69"/>
  <c r="C106" i="69"/>
  <c r="X129" i="68"/>
  <c r="S129" i="68"/>
  <c r="N129" i="68"/>
  <c r="H129" i="68"/>
  <c r="C129" i="68"/>
  <c r="U128" i="68"/>
  <c r="P128" i="68"/>
  <c r="K128" i="68"/>
  <c r="E128" i="68"/>
  <c r="V127" i="68"/>
  <c r="Q127" i="68"/>
  <c r="L127" i="68"/>
  <c r="F127" i="68"/>
  <c r="W126" i="68"/>
  <c r="R126" i="68"/>
  <c r="M126" i="68"/>
  <c r="G126" i="68"/>
  <c r="W125" i="68"/>
  <c r="R125" i="68"/>
  <c r="L125" i="68"/>
  <c r="G125" i="68"/>
  <c r="T124" i="68"/>
  <c r="O124" i="68"/>
  <c r="I124" i="68"/>
  <c r="D124" i="68"/>
  <c r="S123" i="68"/>
  <c r="O123" i="68"/>
  <c r="K123" i="68"/>
  <c r="G123" i="68"/>
  <c r="C123" i="68"/>
  <c r="O122" i="68"/>
  <c r="J122" i="68"/>
  <c r="E122" i="68"/>
  <c r="P121" i="68"/>
  <c r="K121" i="68"/>
  <c r="F121" i="68"/>
  <c r="P120" i="68"/>
  <c r="L120" i="68"/>
  <c r="H120" i="68"/>
  <c r="D120" i="68"/>
  <c r="M119" i="68"/>
  <c r="H119" i="68"/>
  <c r="C119" i="68"/>
  <c r="K118" i="68"/>
  <c r="F118" i="68"/>
  <c r="N117" i="68"/>
  <c r="I117" i="68"/>
  <c r="C117" i="68"/>
  <c r="K116" i="68"/>
  <c r="Z129" i="73"/>
  <c r="V129" i="73"/>
  <c r="R129" i="73"/>
  <c r="N129" i="73"/>
  <c r="J129" i="73"/>
  <c r="F129" i="73"/>
  <c r="Z128" i="73"/>
  <c r="V128" i="73"/>
  <c r="R128" i="73"/>
  <c r="N128" i="73"/>
  <c r="J128" i="73"/>
  <c r="F128" i="73"/>
  <c r="Y127" i="73"/>
  <c r="U127" i="73"/>
  <c r="Q127" i="73"/>
  <c r="M127" i="73"/>
  <c r="I127" i="73"/>
  <c r="E127" i="73"/>
  <c r="W126" i="73"/>
  <c r="S126" i="73"/>
  <c r="O126" i="73"/>
  <c r="K126" i="73"/>
  <c r="G126" i="73"/>
  <c r="C126" i="73"/>
  <c r="T125" i="73"/>
  <c r="P125" i="73"/>
  <c r="L125" i="73"/>
  <c r="H125" i="73"/>
  <c r="D125" i="73"/>
  <c r="T124" i="73"/>
  <c r="P124" i="73"/>
  <c r="L124" i="73"/>
  <c r="H124" i="73"/>
  <c r="D124" i="73"/>
  <c r="S123" i="73"/>
  <c r="O123" i="73"/>
  <c r="K123" i="73"/>
  <c r="G123" i="73"/>
  <c r="C123" i="73"/>
  <c r="Q122" i="73"/>
  <c r="M122" i="73"/>
  <c r="I122" i="73"/>
  <c r="E122" i="73"/>
  <c r="R121" i="73"/>
  <c r="N121" i="73"/>
  <c r="J121" i="73"/>
  <c r="F121" i="73"/>
  <c r="R120" i="73"/>
  <c r="N120" i="73"/>
  <c r="J120" i="73"/>
  <c r="F120" i="73"/>
  <c r="Q119" i="73"/>
  <c r="M119" i="73"/>
  <c r="I119" i="73"/>
  <c r="E119" i="73"/>
  <c r="O118" i="73"/>
  <c r="K118" i="73"/>
  <c r="G118" i="73"/>
  <c r="C118" i="73"/>
  <c r="L117" i="73"/>
  <c r="H117" i="73"/>
  <c r="D117" i="73"/>
  <c r="L116" i="73"/>
  <c r="H116" i="73"/>
  <c r="D116" i="73"/>
  <c r="K115" i="73"/>
  <c r="G115" i="73"/>
  <c r="C115" i="73"/>
  <c r="I114" i="73"/>
  <c r="E114" i="73"/>
  <c r="J113" i="73"/>
  <c r="F113" i="73"/>
  <c r="J112" i="73"/>
  <c r="F112" i="73"/>
  <c r="I111" i="73"/>
  <c r="E111" i="73"/>
  <c r="G110" i="73"/>
  <c r="C110" i="73"/>
  <c r="D109" i="73"/>
  <c r="D108" i="73"/>
  <c r="C107" i="73"/>
  <c r="Y129" i="72"/>
  <c r="U129" i="72"/>
  <c r="Q129" i="72"/>
  <c r="M129" i="72"/>
  <c r="I129" i="72"/>
  <c r="E129" i="72"/>
  <c r="Y128" i="72"/>
  <c r="U128" i="72"/>
  <c r="Q128" i="72"/>
  <c r="M128" i="72"/>
  <c r="I128" i="72"/>
  <c r="E128" i="72"/>
  <c r="X127" i="72"/>
  <c r="T127" i="72"/>
  <c r="P127" i="72"/>
  <c r="L127" i="72"/>
  <c r="H127" i="72"/>
  <c r="D127" i="72"/>
  <c r="V126" i="72"/>
  <c r="R126" i="72"/>
  <c r="N126" i="72"/>
  <c r="J126" i="72"/>
  <c r="F126" i="72"/>
  <c r="W125" i="72"/>
  <c r="S125" i="72"/>
  <c r="O125" i="72"/>
  <c r="K125" i="72"/>
  <c r="G125" i="72"/>
  <c r="C125" i="72"/>
  <c r="S124" i="72"/>
  <c r="O124" i="72"/>
  <c r="K124" i="72"/>
  <c r="G124" i="72"/>
  <c r="C124" i="72"/>
  <c r="R123" i="72"/>
  <c r="N123" i="72"/>
  <c r="J123" i="72"/>
  <c r="F123" i="72"/>
  <c r="T122" i="72"/>
  <c r="P122" i="72"/>
  <c r="L122" i="72"/>
  <c r="H122" i="72"/>
  <c r="D122" i="72"/>
  <c r="Q121" i="72"/>
  <c r="M121" i="72"/>
  <c r="I121" i="72"/>
  <c r="E121" i="72"/>
  <c r="Q120" i="72"/>
  <c r="M120" i="72"/>
  <c r="I120" i="72"/>
  <c r="E120" i="72"/>
  <c r="P119" i="72"/>
  <c r="L119" i="72"/>
  <c r="H119" i="72"/>
  <c r="D119" i="72"/>
  <c r="N118" i="72"/>
  <c r="J118" i="72"/>
  <c r="F118" i="72"/>
  <c r="O117" i="72"/>
  <c r="K117" i="72"/>
  <c r="G117" i="72"/>
  <c r="C117" i="72"/>
  <c r="K116" i="72"/>
  <c r="G116" i="72"/>
  <c r="C116" i="72"/>
  <c r="J115" i="72"/>
  <c r="F115" i="72"/>
  <c r="L114" i="72"/>
  <c r="H114" i="72"/>
  <c r="D114" i="72"/>
  <c r="I113" i="72"/>
  <c r="E113" i="72"/>
  <c r="I112" i="72"/>
  <c r="E112" i="72"/>
  <c r="H111" i="72"/>
  <c r="D111" i="72"/>
  <c r="F110" i="72"/>
  <c r="G109" i="72"/>
  <c r="C109" i="72"/>
  <c r="C108" i="72"/>
  <c r="D106" i="72"/>
  <c r="X129" i="71"/>
  <c r="T129" i="71"/>
  <c r="P129" i="71"/>
  <c r="L129" i="71"/>
  <c r="H129" i="71"/>
  <c r="D129" i="71"/>
  <c r="X128" i="71"/>
  <c r="T128" i="71"/>
  <c r="P128" i="71"/>
  <c r="L128" i="71"/>
  <c r="H128" i="71"/>
  <c r="D128" i="71"/>
  <c r="W127" i="71"/>
  <c r="S127" i="71"/>
  <c r="O127" i="71"/>
  <c r="K127" i="71"/>
  <c r="G127" i="71"/>
  <c r="C127" i="71"/>
  <c r="U126" i="71"/>
  <c r="Q126" i="71"/>
  <c r="M126" i="71"/>
  <c r="I126" i="71"/>
  <c r="E126" i="71"/>
  <c r="V125" i="71"/>
  <c r="R125" i="71"/>
  <c r="N125" i="71"/>
  <c r="J125" i="71"/>
  <c r="F125" i="71"/>
  <c r="V124" i="71"/>
  <c r="R124" i="71"/>
  <c r="N124" i="71"/>
  <c r="J124" i="71"/>
  <c r="F124" i="71"/>
  <c r="U123" i="71"/>
  <c r="Q123" i="71"/>
  <c r="M123" i="71"/>
  <c r="I123" i="71"/>
  <c r="E123" i="71"/>
  <c r="S122" i="71"/>
  <c r="O122" i="71"/>
  <c r="K122" i="71"/>
  <c r="G122" i="71"/>
  <c r="C122" i="71"/>
  <c r="P121" i="71"/>
  <c r="L121" i="71"/>
  <c r="H121" i="71"/>
  <c r="D121" i="71"/>
  <c r="P120" i="71"/>
  <c r="L120" i="71"/>
  <c r="H120" i="71"/>
  <c r="D120" i="71"/>
  <c r="O119" i="71"/>
  <c r="K119" i="71"/>
  <c r="G119" i="71"/>
  <c r="C119" i="71"/>
  <c r="M118" i="71"/>
  <c r="I118" i="71"/>
  <c r="E118" i="71"/>
  <c r="N117" i="71"/>
  <c r="J117" i="71"/>
  <c r="F117" i="71"/>
  <c r="N116" i="71"/>
  <c r="J116" i="71"/>
  <c r="F116" i="71"/>
  <c r="M115" i="71"/>
  <c r="I115" i="71"/>
  <c r="E115" i="71"/>
  <c r="K114" i="71"/>
  <c r="G114" i="71"/>
  <c r="C114" i="71"/>
  <c r="H113" i="71"/>
  <c r="D113" i="71"/>
  <c r="H112" i="71"/>
  <c r="D112" i="71"/>
  <c r="G111" i="71"/>
  <c r="C111" i="71"/>
  <c r="E110" i="71"/>
  <c r="F109" i="71"/>
  <c r="F108" i="71"/>
  <c r="E107" i="71"/>
  <c r="C106" i="71"/>
  <c r="Z127" i="71"/>
  <c r="Y126" i="71"/>
  <c r="D108" i="68"/>
  <c r="F109" i="68"/>
  <c r="F110" i="68"/>
  <c r="E111" i="68"/>
  <c r="I111" i="68"/>
  <c r="G112" i="68"/>
  <c r="D113" i="68"/>
  <c r="H113" i="68"/>
  <c r="F114" i="68"/>
  <c r="M115" i="68"/>
  <c r="D118" i="68"/>
  <c r="G119" i="68"/>
  <c r="I121" i="68"/>
  <c r="H122" i="68"/>
  <c r="F124" i="68"/>
  <c r="V124" i="68"/>
  <c r="Q125" i="68"/>
  <c r="L126" i="68"/>
  <c r="G127" i="68"/>
  <c r="W127" i="68"/>
  <c r="R128" i="68"/>
  <c r="I129" i="68"/>
  <c r="Y129" i="68"/>
  <c r="C108" i="68"/>
  <c r="C112" i="68"/>
  <c r="C125" i="68"/>
  <c r="Z129" i="70"/>
  <c r="V129" i="70"/>
  <c r="R129" i="70"/>
  <c r="N129" i="70"/>
  <c r="J129" i="70"/>
  <c r="F129" i="70"/>
  <c r="Z128" i="70"/>
  <c r="V128" i="70"/>
  <c r="R128" i="70"/>
  <c r="N128" i="70"/>
  <c r="J128" i="70"/>
  <c r="F128" i="70"/>
  <c r="Y127" i="70"/>
  <c r="U127" i="70"/>
  <c r="Q127" i="70"/>
  <c r="M127" i="70"/>
  <c r="I127" i="70"/>
  <c r="E127" i="70"/>
  <c r="W126" i="70"/>
  <c r="S126" i="70"/>
  <c r="O126" i="70"/>
  <c r="K126" i="70"/>
  <c r="G126" i="70"/>
  <c r="C126" i="70"/>
  <c r="T125" i="70"/>
  <c r="P125" i="70"/>
  <c r="L125" i="70"/>
  <c r="H125" i="70"/>
  <c r="D125" i="70"/>
  <c r="T124" i="70"/>
  <c r="P124" i="70"/>
  <c r="L124" i="70"/>
  <c r="H124" i="70"/>
  <c r="D124" i="70"/>
  <c r="S123" i="70"/>
  <c r="O123" i="70"/>
  <c r="K123" i="70"/>
  <c r="G123" i="70"/>
  <c r="C123" i="70"/>
  <c r="Q122" i="70"/>
  <c r="M122" i="70"/>
  <c r="I122" i="70"/>
  <c r="E122" i="70"/>
  <c r="R121" i="70"/>
  <c r="N121" i="70"/>
  <c r="J121" i="70"/>
  <c r="F121" i="70"/>
  <c r="R120" i="70"/>
  <c r="N120" i="70"/>
  <c r="J120" i="70"/>
  <c r="F120" i="70"/>
  <c r="Q119" i="70"/>
  <c r="M119" i="70"/>
  <c r="I119" i="70"/>
  <c r="E119" i="70"/>
  <c r="O118" i="70"/>
  <c r="K118" i="70"/>
  <c r="G118" i="70"/>
  <c r="C118" i="70"/>
  <c r="L117" i="70"/>
  <c r="H117" i="70"/>
  <c r="D117" i="70"/>
  <c r="L116" i="70"/>
  <c r="H116" i="70"/>
  <c r="D116" i="70"/>
  <c r="K115" i="70"/>
  <c r="G115" i="70"/>
  <c r="C115" i="70"/>
  <c r="I114" i="70"/>
  <c r="E114" i="70"/>
  <c r="J113" i="70"/>
  <c r="F113" i="70"/>
  <c r="J112" i="70"/>
  <c r="F112" i="70"/>
  <c r="I111" i="70"/>
  <c r="E111" i="70"/>
  <c r="G110" i="70"/>
  <c r="C110" i="70"/>
  <c r="D109" i="70"/>
  <c r="D108" i="70"/>
  <c r="C107" i="70"/>
  <c r="AA129" i="69"/>
  <c r="W129" i="69"/>
  <c r="S129" i="69"/>
  <c r="O129" i="69"/>
  <c r="K129" i="69"/>
  <c r="G129" i="69"/>
  <c r="C129" i="69"/>
  <c r="W128" i="69"/>
  <c r="S128" i="69"/>
  <c r="O128" i="69"/>
  <c r="K128" i="69"/>
  <c r="G128" i="69"/>
  <c r="C128" i="69"/>
  <c r="V127" i="69"/>
  <c r="R127" i="69"/>
  <c r="N127" i="69"/>
  <c r="J127" i="69"/>
  <c r="F127" i="69"/>
  <c r="X126" i="69"/>
  <c r="T126" i="69"/>
  <c r="P126" i="69"/>
  <c r="L126" i="69"/>
  <c r="H126" i="69"/>
  <c r="D126" i="69"/>
  <c r="U125" i="69"/>
  <c r="Q125" i="69"/>
  <c r="M125" i="69"/>
  <c r="I125" i="69"/>
  <c r="E125" i="69"/>
  <c r="U124" i="69"/>
  <c r="Q124" i="69"/>
  <c r="M124" i="69"/>
  <c r="I124" i="69"/>
  <c r="E124" i="69"/>
  <c r="T123" i="69"/>
  <c r="P123" i="69"/>
  <c r="L123" i="69"/>
  <c r="H123" i="69"/>
  <c r="D123" i="69"/>
  <c r="R122" i="69"/>
  <c r="N122" i="69"/>
  <c r="J122" i="69"/>
  <c r="F122" i="69"/>
  <c r="S121" i="69"/>
  <c r="O121" i="69"/>
  <c r="K121" i="69"/>
  <c r="G121" i="69"/>
  <c r="C121" i="69"/>
  <c r="O120" i="69"/>
  <c r="K120" i="69"/>
  <c r="G120" i="69"/>
  <c r="C120" i="69"/>
  <c r="N119" i="69"/>
  <c r="J119" i="69"/>
  <c r="F119" i="69"/>
  <c r="P118" i="69"/>
  <c r="L118" i="69"/>
  <c r="H118" i="69"/>
  <c r="D118" i="69"/>
  <c r="M117" i="69"/>
  <c r="I117" i="69"/>
  <c r="E117" i="69"/>
  <c r="M116" i="69"/>
  <c r="I116" i="69"/>
  <c r="E116" i="69"/>
  <c r="L115" i="69"/>
  <c r="H115" i="69"/>
  <c r="D115" i="69"/>
  <c r="J114" i="69"/>
  <c r="F114" i="69"/>
  <c r="K113" i="69"/>
  <c r="G113" i="69"/>
  <c r="C113" i="69"/>
  <c r="G112" i="69"/>
  <c r="C112" i="69"/>
  <c r="F111" i="69"/>
  <c r="H110" i="69"/>
  <c r="D110" i="69"/>
  <c r="E109" i="69"/>
  <c r="E108" i="69"/>
  <c r="D107" i="69"/>
  <c r="C105" i="69"/>
  <c r="W129" i="68"/>
  <c r="R129" i="68"/>
  <c r="L129" i="68"/>
  <c r="G129" i="68"/>
  <c r="Y128" i="68"/>
  <c r="T128" i="68"/>
  <c r="O128" i="68"/>
  <c r="I128" i="68"/>
  <c r="D128" i="68"/>
  <c r="U127" i="68"/>
  <c r="P127" i="68"/>
  <c r="J127" i="68"/>
  <c r="E127" i="68"/>
  <c r="V126" i="68"/>
  <c r="Q126" i="68"/>
  <c r="Y129" i="73"/>
  <c r="U129" i="73"/>
  <c r="Q129" i="73"/>
  <c r="M129" i="73"/>
  <c r="I129" i="73"/>
  <c r="E129" i="73"/>
  <c r="Y128" i="73"/>
  <c r="U128" i="73"/>
  <c r="Q128" i="73"/>
  <c r="M128" i="73"/>
  <c r="I128" i="73"/>
  <c r="E128" i="73"/>
  <c r="X127" i="73"/>
  <c r="T127" i="73"/>
  <c r="P127" i="73"/>
  <c r="L127" i="73"/>
  <c r="H127" i="73"/>
  <c r="D127" i="73"/>
  <c r="V126" i="73"/>
  <c r="R126" i="73"/>
  <c r="N126" i="73"/>
  <c r="J126" i="73"/>
  <c r="F126" i="73"/>
  <c r="W125" i="73"/>
  <c r="S125" i="73"/>
  <c r="O125" i="73"/>
  <c r="K125" i="73"/>
  <c r="G125" i="73"/>
  <c r="C125" i="73"/>
  <c r="S124" i="73"/>
  <c r="O124" i="73"/>
  <c r="K124" i="73"/>
  <c r="G124" i="73"/>
  <c r="C124" i="73"/>
  <c r="R123" i="73"/>
  <c r="N123" i="73"/>
  <c r="J123" i="73"/>
  <c r="F123" i="73"/>
  <c r="T122" i="73"/>
  <c r="P122" i="73"/>
  <c r="L122" i="73"/>
  <c r="H122" i="73"/>
  <c r="D122" i="73"/>
  <c r="Q121" i="73"/>
  <c r="M121" i="73"/>
  <c r="I121" i="73"/>
  <c r="E121" i="73"/>
  <c r="Q120" i="73"/>
  <c r="M120" i="73"/>
  <c r="I120" i="73"/>
  <c r="E120" i="73"/>
  <c r="P119" i="73"/>
  <c r="L119" i="73"/>
  <c r="H119" i="73"/>
  <c r="D119" i="73"/>
  <c r="N118" i="73"/>
  <c r="J118" i="73"/>
  <c r="F118" i="73"/>
  <c r="O117" i="73"/>
  <c r="K117" i="73"/>
  <c r="G117" i="73"/>
  <c r="C117" i="73"/>
  <c r="K116" i="73"/>
  <c r="G116" i="73"/>
  <c r="C116" i="73"/>
  <c r="J115" i="73"/>
  <c r="F115" i="73"/>
  <c r="L114" i="73"/>
  <c r="H114" i="73"/>
  <c r="D114" i="73"/>
  <c r="I113" i="73"/>
  <c r="E113" i="73"/>
  <c r="I112" i="73"/>
  <c r="E112" i="73"/>
  <c r="H111" i="73"/>
  <c r="D111" i="73"/>
  <c r="F110" i="73"/>
  <c r="G109" i="73"/>
  <c r="C109" i="73"/>
  <c r="C108" i="73"/>
  <c r="D106" i="73"/>
  <c r="X129" i="72"/>
  <c r="T129" i="72"/>
  <c r="P129" i="72"/>
  <c r="L129" i="72"/>
  <c r="H129" i="72"/>
  <c r="D129" i="72"/>
  <c r="X128" i="72"/>
  <c r="T128" i="72"/>
  <c r="P128" i="72"/>
  <c r="L128" i="72"/>
  <c r="H128" i="72"/>
  <c r="D128" i="72"/>
  <c r="W127" i="72"/>
  <c r="S127" i="72"/>
  <c r="O127" i="72"/>
  <c r="K127" i="72"/>
  <c r="G127" i="72"/>
  <c r="C127" i="72"/>
  <c r="U126" i="72"/>
  <c r="Q126" i="72"/>
  <c r="M126" i="72"/>
  <c r="I126" i="72"/>
  <c r="E126" i="72"/>
  <c r="V125" i="72"/>
  <c r="R125" i="72"/>
  <c r="N125" i="72"/>
  <c r="J125" i="72"/>
  <c r="F125" i="72"/>
  <c r="V124" i="72"/>
  <c r="R124" i="72"/>
  <c r="N124" i="72"/>
  <c r="J124" i="72"/>
  <c r="F124" i="72"/>
  <c r="U123" i="72"/>
  <c r="Q123" i="72"/>
  <c r="M123" i="72"/>
  <c r="I123" i="72"/>
  <c r="E123" i="72"/>
  <c r="S122" i="72"/>
  <c r="O122" i="72"/>
  <c r="K122" i="72"/>
  <c r="G122" i="72"/>
  <c r="C122" i="72"/>
  <c r="P121" i="72"/>
  <c r="L121" i="72"/>
  <c r="H121" i="72"/>
  <c r="D121" i="72"/>
  <c r="P120" i="72"/>
  <c r="L120" i="72"/>
  <c r="H120" i="72"/>
  <c r="D120" i="72"/>
  <c r="O119" i="72"/>
  <c r="K119" i="72"/>
  <c r="G119" i="72"/>
  <c r="C119" i="72"/>
  <c r="M118" i="72"/>
  <c r="I118" i="72"/>
  <c r="E118" i="72"/>
  <c r="N117" i="72"/>
  <c r="J117" i="72"/>
  <c r="F117" i="72"/>
  <c r="N116" i="72"/>
  <c r="J116" i="72"/>
  <c r="F116" i="72"/>
  <c r="M115" i="72"/>
  <c r="I115" i="72"/>
  <c r="E115" i="72"/>
  <c r="K114" i="72"/>
  <c r="G114" i="72"/>
  <c r="C114" i="72"/>
  <c r="H113" i="72"/>
  <c r="D113" i="72"/>
  <c r="H112" i="72"/>
  <c r="D112" i="72"/>
  <c r="G111" i="72"/>
  <c r="C111" i="72"/>
  <c r="E110" i="72"/>
  <c r="F109" i="72"/>
  <c r="F108" i="72"/>
  <c r="E107" i="72"/>
  <c r="C106" i="72"/>
  <c r="AA129" i="71"/>
  <c r="W129" i="71"/>
  <c r="S129" i="71"/>
  <c r="O129" i="71"/>
  <c r="K129" i="71"/>
  <c r="G129" i="71"/>
  <c r="C129" i="71"/>
  <c r="W128" i="71"/>
  <c r="S128" i="71"/>
  <c r="O128" i="71"/>
  <c r="K128" i="71"/>
  <c r="G128" i="71"/>
  <c r="C128" i="71"/>
  <c r="V127" i="71"/>
  <c r="R127" i="71"/>
  <c r="N127" i="71"/>
  <c r="J127" i="71"/>
  <c r="F127" i="71"/>
  <c r="X126" i="71"/>
  <c r="T126" i="71"/>
  <c r="P126" i="71"/>
  <c r="L126" i="71"/>
  <c r="H126" i="71"/>
  <c r="D126" i="71"/>
  <c r="U125" i="71"/>
  <c r="Q125" i="71"/>
  <c r="M125" i="71"/>
  <c r="I125" i="71"/>
  <c r="E125" i="71"/>
  <c r="U124" i="71"/>
  <c r="Q124" i="71"/>
  <c r="M124" i="71"/>
  <c r="I124" i="71"/>
  <c r="E124" i="71"/>
  <c r="T123" i="71"/>
  <c r="P123" i="71"/>
  <c r="L123" i="71"/>
  <c r="H123" i="71"/>
  <c r="D123" i="71"/>
  <c r="R122" i="71"/>
  <c r="N122" i="71"/>
  <c r="J122" i="71"/>
  <c r="F122" i="71"/>
  <c r="S121" i="71"/>
  <c r="O121" i="71"/>
  <c r="K121" i="71"/>
  <c r="G121" i="71"/>
  <c r="C121" i="71"/>
  <c r="O120" i="71"/>
  <c r="K120" i="71"/>
  <c r="G120" i="71"/>
  <c r="C120" i="71"/>
  <c r="N119" i="71"/>
  <c r="J119" i="71"/>
  <c r="F119" i="71"/>
  <c r="P118" i="71"/>
  <c r="L118" i="71"/>
  <c r="H118" i="71"/>
  <c r="D118" i="71"/>
  <c r="M117" i="71"/>
  <c r="I117" i="71"/>
  <c r="E117" i="71"/>
  <c r="M116" i="71"/>
  <c r="I116" i="71"/>
  <c r="E116" i="71"/>
  <c r="L115" i="71"/>
  <c r="H115" i="71"/>
  <c r="D115" i="71"/>
  <c r="J114" i="71"/>
  <c r="F114" i="71"/>
  <c r="K113" i="71"/>
  <c r="G113" i="71"/>
  <c r="C113" i="71"/>
  <c r="G112" i="71"/>
  <c r="C112" i="71"/>
  <c r="F111" i="71"/>
  <c r="H110" i="71"/>
  <c r="D110" i="71"/>
  <c r="E109" i="71"/>
  <c r="E108" i="71"/>
  <c r="D107" i="71"/>
  <c r="C105" i="71"/>
  <c r="AA128" i="71"/>
  <c r="X125" i="71"/>
  <c r="S120" i="71"/>
  <c r="D106" i="68"/>
  <c r="F108" i="68"/>
  <c r="G109" i="68"/>
  <c r="G110" i="68"/>
  <c r="F111" i="68"/>
  <c r="D112" i="68"/>
  <c r="H112" i="68"/>
  <c r="E113" i="68"/>
  <c r="I113" i="68"/>
  <c r="J114" i="68"/>
  <c r="D117" i="68"/>
  <c r="H118" i="68"/>
  <c r="K119" i="68"/>
  <c r="M121" i="68"/>
  <c r="L122" i="68"/>
  <c r="J124" i="68"/>
  <c r="E125" i="68"/>
  <c r="U125" i="68"/>
  <c r="P126" i="68"/>
  <c r="K127" i="68"/>
  <c r="F128" i="68"/>
  <c r="V128" i="68"/>
  <c r="M129" i="68"/>
  <c r="C105" i="68"/>
  <c r="C109" i="68"/>
  <c r="C113" i="68"/>
  <c r="C128" i="68"/>
  <c r="Y129" i="70"/>
  <c r="U129" i="70"/>
  <c r="Q129" i="70"/>
  <c r="M129" i="70"/>
  <c r="I129" i="70"/>
  <c r="E129" i="70"/>
  <c r="Y128" i="70"/>
  <c r="U128" i="70"/>
  <c r="Q128" i="70"/>
  <c r="M128" i="70"/>
  <c r="I128" i="70"/>
  <c r="E128" i="70"/>
  <c r="X127" i="70"/>
  <c r="T127" i="70"/>
  <c r="P127" i="70"/>
  <c r="L127" i="70"/>
  <c r="H127" i="70"/>
  <c r="D127" i="70"/>
  <c r="V126" i="70"/>
  <c r="R126" i="70"/>
  <c r="N126" i="70"/>
  <c r="J126" i="70"/>
  <c r="F126" i="70"/>
  <c r="W125" i="70"/>
  <c r="S125" i="70"/>
  <c r="O125" i="70"/>
  <c r="K125" i="70"/>
  <c r="G125" i="70"/>
  <c r="C125" i="70"/>
  <c r="S124" i="70"/>
  <c r="O124" i="70"/>
  <c r="K124" i="70"/>
  <c r="G124" i="70"/>
  <c r="C124" i="70"/>
  <c r="R123" i="70"/>
  <c r="N123" i="70"/>
  <c r="J123" i="70"/>
  <c r="F123" i="70"/>
  <c r="T122" i="70"/>
  <c r="P122" i="70"/>
  <c r="L122" i="70"/>
  <c r="H122" i="70"/>
  <c r="D122" i="70"/>
  <c r="Q121" i="70"/>
  <c r="M121" i="70"/>
  <c r="I121" i="70"/>
  <c r="E121" i="70"/>
  <c r="Q120" i="70"/>
  <c r="M120" i="70"/>
  <c r="I120" i="70"/>
  <c r="E120" i="70"/>
  <c r="P119" i="70"/>
  <c r="L119" i="70"/>
  <c r="H119" i="70"/>
  <c r="D119" i="70"/>
  <c r="N118" i="70"/>
  <c r="J118" i="70"/>
  <c r="F118" i="70"/>
  <c r="O117" i="70"/>
  <c r="K117" i="70"/>
  <c r="G117" i="70"/>
  <c r="C117" i="70"/>
  <c r="K116" i="70"/>
  <c r="G116" i="70"/>
  <c r="C116" i="70"/>
  <c r="J115" i="70"/>
  <c r="F115" i="70"/>
  <c r="L114" i="70"/>
  <c r="H114" i="70"/>
  <c r="D114" i="70"/>
  <c r="I113" i="70"/>
  <c r="E113" i="70"/>
  <c r="I112" i="70"/>
  <c r="E112" i="70"/>
  <c r="H111" i="70"/>
  <c r="D111" i="70"/>
  <c r="F110" i="70"/>
  <c r="G109" i="70"/>
  <c r="C109" i="70"/>
  <c r="C108" i="70"/>
  <c r="D106" i="70"/>
  <c r="Z129" i="69"/>
  <c r="V129" i="69"/>
  <c r="R129" i="69"/>
  <c r="N129" i="69"/>
  <c r="J129" i="69"/>
  <c r="F129" i="69"/>
  <c r="Z128" i="69"/>
  <c r="V128" i="69"/>
  <c r="R128" i="69"/>
  <c r="N128" i="69"/>
  <c r="J128" i="69"/>
  <c r="F128" i="69"/>
  <c r="Y127" i="69"/>
  <c r="U127" i="69"/>
  <c r="Q127" i="69"/>
  <c r="M127" i="69"/>
  <c r="I127" i="69"/>
  <c r="E127" i="69"/>
  <c r="W126" i="69"/>
  <c r="S126" i="69"/>
  <c r="O126" i="69"/>
  <c r="K126" i="69"/>
  <c r="G126" i="69"/>
  <c r="C126" i="69"/>
  <c r="T125" i="69"/>
  <c r="P125" i="69"/>
  <c r="L125" i="69"/>
  <c r="H125" i="69"/>
  <c r="D125" i="69"/>
  <c r="T124" i="69"/>
  <c r="P124" i="69"/>
  <c r="L124" i="69"/>
  <c r="H124" i="69"/>
  <c r="D124" i="69"/>
  <c r="S123" i="69"/>
  <c r="O123" i="69"/>
  <c r="K123" i="69"/>
  <c r="G123" i="69"/>
  <c r="C123" i="69"/>
  <c r="Q122" i="69"/>
  <c r="M122" i="69"/>
  <c r="I122" i="69"/>
  <c r="E122" i="69"/>
  <c r="R121" i="69"/>
  <c r="N121" i="69"/>
  <c r="J121" i="69"/>
  <c r="F121" i="69"/>
  <c r="R120" i="69"/>
  <c r="N120" i="69"/>
  <c r="J120" i="69"/>
  <c r="F120" i="69"/>
  <c r="Q119" i="69"/>
  <c r="M119" i="69"/>
  <c r="I119" i="69"/>
  <c r="E119" i="69"/>
  <c r="O118" i="69"/>
  <c r="K118" i="69"/>
  <c r="G118" i="69"/>
  <c r="C118" i="69"/>
  <c r="L117" i="69"/>
  <c r="H117" i="69"/>
  <c r="D117" i="69"/>
  <c r="L116" i="69"/>
  <c r="H116" i="69"/>
  <c r="D116" i="69"/>
  <c r="K115" i="69"/>
  <c r="G115" i="69"/>
  <c r="C115" i="69"/>
  <c r="I114" i="69"/>
  <c r="E114" i="69"/>
  <c r="J113" i="69"/>
  <c r="F113" i="69"/>
  <c r="J112" i="69"/>
  <c r="F112" i="69"/>
  <c r="I111" i="69"/>
  <c r="E111" i="69"/>
  <c r="G110" i="69"/>
  <c r="C110" i="69"/>
  <c r="D109" i="69"/>
  <c r="D108" i="69"/>
  <c r="C107" i="69"/>
  <c r="AA129" i="68"/>
  <c r="V129" i="68"/>
  <c r="P129" i="68"/>
  <c r="K129" i="68"/>
  <c r="F129" i="68"/>
  <c r="X128" i="68"/>
  <c r="S128" i="68"/>
  <c r="M128" i="68"/>
  <c r="H128" i="68"/>
  <c r="Y127" i="68"/>
  <c r="T127" i="68"/>
  <c r="N127" i="68"/>
  <c r="I127" i="68"/>
  <c r="D127" i="68"/>
  <c r="U126" i="68"/>
  <c r="O126" i="68"/>
  <c r="J126" i="68"/>
  <c r="E126" i="68"/>
  <c r="T125" i="68"/>
  <c r="O125" i="68"/>
  <c r="J125" i="68"/>
  <c r="D125" i="68"/>
  <c r="Q124" i="68"/>
  <c r="L124" i="68"/>
  <c r="G124" i="68"/>
  <c r="U123" i="68"/>
  <c r="Q123" i="68"/>
  <c r="M123" i="68"/>
  <c r="I123" i="68"/>
  <c r="E123" i="68"/>
  <c r="R122" i="68"/>
  <c r="M122" i="68"/>
  <c r="G122" i="68"/>
  <c r="S121" i="68"/>
  <c r="N121" i="68"/>
  <c r="H121" i="68"/>
  <c r="R120" i="68"/>
  <c r="N120" i="68"/>
  <c r="J120" i="68"/>
  <c r="F120" i="68"/>
  <c r="P119" i="68"/>
  <c r="J119" i="68"/>
  <c r="E119" i="68"/>
  <c r="N118" i="68"/>
  <c r="I118" i="68"/>
  <c r="C118" i="68"/>
  <c r="K117" i="68"/>
  <c r="F117" i="68"/>
  <c r="M116" i="68"/>
  <c r="I116" i="68"/>
  <c r="E116" i="68"/>
  <c r="K115" i="68"/>
  <c r="F115" i="68"/>
  <c r="K114" i="68"/>
  <c r="E114" i="68"/>
  <c r="K126" i="68"/>
  <c r="K125" i="68"/>
  <c r="H124" i="68"/>
  <c r="J123" i="68"/>
  <c r="I122" i="68"/>
  <c r="D121" i="68"/>
  <c r="Q119" i="68"/>
  <c r="J118" i="68"/>
  <c r="N116" i="68"/>
  <c r="C116" i="68"/>
  <c r="C115" i="68"/>
  <c r="C114" i="68"/>
  <c r="F126" i="68"/>
  <c r="F125" i="68"/>
  <c r="C124" i="68"/>
  <c r="F123" i="68"/>
  <c r="C122" i="68"/>
  <c r="O120" i="68"/>
  <c r="L119" i="68"/>
  <c r="E118" i="68"/>
  <c r="J116" i="68"/>
  <c r="L115" i="68"/>
  <c r="L114" i="68"/>
  <c r="E108" i="68"/>
  <c r="V125" i="68"/>
  <c r="S124" i="68"/>
  <c r="R123" i="68"/>
  <c r="S122" i="68"/>
  <c r="O121" i="68"/>
  <c r="K120" i="68"/>
  <c r="F119" i="68"/>
  <c r="M117" i="68"/>
  <c r="G116" i="68"/>
  <c r="H115" i="68"/>
  <c r="H114" i="68"/>
  <c r="P125" i="68"/>
  <c r="M124" i="68"/>
  <c r="N123" i="68"/>
  <c r="N122" i="68"/>
  <c r="J121" i="68"/>
  <c r="G120" i="68"/>
  <c r="O118" i="68"/>
  <c r="G117" i="68"/>
  <c r="F116" i="68"/>
  <c r="G115" i="68"/>
  <c r="G114" i="68"/>
  <c r="F108" i="64"/>
  <c r="F116" i="64"/>
  <c r="I113" i="64"/>
  <c r="K117" i="64"/>
  <c r="C107" i="64"/>
  <c r="J112" i="64"/>
  <c r="D116" i="64"/>
  <c r="G118" i="64"/>
  <c r="J120" i="64"/>
  <c r="D107" i="64"/>
  <c r="H110" i="64"/>
  <c r="C113" i="64"/>
  <c r="J114" i="64"/>
  <c r="E116" i="64"/>
  <c r="I117" i="64"/>
  <c r="L118" i="64"/>
  <c r="N119" i="64"/>
  <c r="O120" i="64"/>
  <c r="O121" i="64"/>
  <c r="N122" i="64"/>
  <c r="L123" i="64"/>
  <c r="I124" i="64"/>
  <c r="E125" i="64"/>
  <c r="U125" i="64"/>
  <c r="P126" i="64"/>
  <c r="J127" i="64"/>
  <c r="C128" i="64"/>
  <c r="S128" i="64"/>
  <c r="K129" i="64"/>
  <c r="AA129" i="64"/>
  <c r="G109" i="65"/>
  <c r="E112" i="65"/>
  <c r="D114" i="65"/>
  <c r="J115" i="65"/>
  <c r="C117" i="65"/>
  <c r="F118" i="65"/>
  <c r="E115" i="64"/>
  <c r="J117" i="64"/>
  <c r="M118" i="64"/>
  <c r="O119" i="64"/>
  <c r="P120" i="64"/>
  <c r="P121" i="64"/>
  <c r="O122" i="64"/>
  <c r="M123" i="64"/>
  <c r="J124" i="64"/>
  <c r="F125" i="64"/>
  <c r="V125" i="64"/>
  <c r="Q126" i="64"/>
  <c r="K127" i="64"/>
  <c r="D128" i="64"/>
  <c r="T128" i="64"/>
  <c r="L129" i="64"/>
  <c r="C107" i="65"/>
  <c r="G110" i="65"/>
  <c r="J112" i="65"/>
  <c r="I114" i="65"/>
  <c r="D116" i="65"/>
  <c r="H117" i="65"/>
  <c r="K118" i="65"/>
  <c r="M119" i="65"/>
  <c r="N120" i="65"/>
  <c r="N121" i="65"/>
  <c r="M122" i="65"/>
  <c r="K123" i="65"/>
  <c r="H124" i="65"/>
  <c r="D125" i="65"/>
  <c r="T125" i="65"/>
  <c r="O126" i="65"/>
  <c r="I127" i="65"/>
  <c r="Y127" i="65"/>
  <c r="R128" i="65"/>
  <c r="J129" i="65"/>
  <c r="Z129" i="65"/>
  <c r="H112" i="64"/>
  <c r="D111" i="64"/>
  <c r="J115" i="64"/>
  <c r="O117" i="64"/>
  <c r="H119" i="64"/>
  <c r="M120" i="64"/>
  <c r="M121" i="64"/>
  <c r="L122" i="64"/>
  <c r="J123" i="64"/>
  <c r="G124" i="64"/>
  <c r="C125" i="64"/>
  <c r="S125" i="64"/>
  <c r="N126" i="64"/>
  <c r="H127" i="64"/>
  <c r="X127" i="64"/>
  <c r="Q128" i="64"/>
  <c r="I129" i="64"/>
  <c r="Y129" i="64"/>
  <c r="E109" i="65"/>
  <c r="C112" i="65"/>
  <c r="K113" i="65"/>
  <c r="H115" i="65"/>
  <c r="M116" i="65"/>
  <c r="D118" i="65"/>
  <c r="F119" i="65"/>
  <c r="G120" i="65"/>
  <c r="G121" i="65"/>
  <c r="F122" i="65"/>
  <c r="D123" i="65"/>
  <c r="T123" i="65"/>
  <c r="Q124" i="65"/>
  <c r="M125" i="65"/>
  <c r="H126" i="65"/>
  <c r="X126" i="65"/>
  <c r="R127" i="65"/>
  <c r="K128" i="65"/>
  <c r="C129" i="65"/>
  <c r="S129" i="65"/>
  <c r="D112" i="64"/>
  <c r="G109" i="64"/>
  <c r="D108" i="64"/>
  <c r="F113" i="64"/>
  <c r="L116" i="64"/>
  <c r="E119" i="64"/>
  <c r="F121" i="64"/>
  <c r="I122" i="64"/>
  <c r="G123" i="64"/>
  <c r="D124" i="64"/>
  <c r="T124" i="64"/>
  <c r="P125" i="64"/>
  <c r="K126" i="64"/>
  <c r="E127" i="64"/>
  <c r="U127" i="64"/>
  <c r="N128" i="64"/>
  <c r="F129" i="64"/>
  <c r="V129" i="64"/>
  <c r="F108" i="65"/>
  <c r="G111" i="65"/>
  <c r="H113" i="65"/>
  <c r="E115" i="65"/>
  <c r="J116" i="65"/>
  <c r="N117" i="65"/>
  <c r="C119" i="65"/>
  <c r="D120" i="65"/>
  <c r="D121" i="65"/>
  <c r="C122" i="65"/>
  <c r="S122" i="65"/>
  <c r="Q123" i="65"/>
  <c r="N124" i="65"/>
  <c r="J125" i="65"/>
  <c r="E126" i="65"/>
  <c r="U126" i="65"/>
  <c r="O127" i="65"/>
  <c r="H119" i="65"/>
  <c r="I120" i="65"/>
  <c r="I121" i="65"/>
  <c r="H122" i="65"/>
  <c r="F123" i="65"/>
  <c r="C124" i="65"/>
  <c r="S124" i="65"/>
  <c r="O125" i="65"/>
  <c r="J126" i="65"/>
  <c r="D127" i="65"/>
  <c r="T127" i="65"/>
  <c r="M128" i="65"/>
  <c r="E129" i="65"/>
  <c r="U129" i="65"/>
  <c r="P128" i="65"/>
  <c r="H129" i="65"/>
  <c r="X129" i="65"/>
  <c r="R119" i="72"/>
  <c r="D115" i="52"/>
  <c r="AA128" i="52"/>
  <c r="W124" i="52"/>
  <c r="R119" i="52"/>
  <c r="X129" i="52"/>
  <c r="T129" i="52"/>
  <c r="P129" i="52"/>
  <c r="L129" i="52"/>
  <c r="H129" i="52"/>
  <c r="D129" i="52"/>
  <c r="X128" i="52"/>
  <c r="T128" i="52"/>
  <c r="P128" i="52"/>
  <c r="L128" i="52"/>
  <c r="H128" i="52"/>
  <c r="D128" i="52"/>
  <c r="W127" i="52"/>
  <c r="S127" i="52"/>
  <c r="O127" i="52"/>
  <c r="K127" i="52"/>
  <c r="G127" i="52"/>
  <c r="C127" i="52"/>
  <c r="U126" i="52"/>
  <c r="Q126" i="52"/>
  <c r="M126" i="52"/>
  <c r="I126" i="52"/>
  <c r="E126" i="52"/>
  <c r="V125" i="52"/>
  <c r="R125" i="52"/>
  <c r="N125" i="52"/>
  <c r="J125" i="52"/>
  <c r="F125" i="52"/>
  <c r="V124" i="52"/>
  <c r="R124" i="52"/>
  <c r="N124" i="52"/>
  <c r="J124" i="52"/>
  <c r="F124" i="52"/>
  <c r="U123" i="52"/>
  <c r="Q123" i="52"/>
  <c r="M123" i="52"/>
  <c r="I123" i="52"/>
  <c r="E123" i="52"/>
  <c r="S122" i="52"/>
  <c r="O122" i="52"/>
  <c r="K122" i="52"/>
  <c r="G122" i="52"/>
  <c r="C122" i="52"/>
  <c r="Q121" i="52"/>
  <c r="M121" i="52"/>
  <c r="I121" i="52"/>
  <c r="E121" i="52"/>
  <c r="Q120" i="52"/>
  <c r="M120" i="52"/>
  <c r="I120" i="52"/>
  <c r="E120" i="52"/>
  <c r="P119" i="52"/>
  <c r="L119" i="52"/>
  <c r="H119" i="52"/>
  <c r="D119" i="52"/>
  <c r="N118" i="52"/>
  <c r="J118" i="52"/>
  <c r="F118" i="52"/>
  <c r="O117" i="52"/>
  <c r="K117" i="52"/>
  <c r="G117" i="52"/>
  <c r="C117" i="52"/>
  <c r="K116" i="52"/>
  <c r="G116" i="52"/>
  <c r="C116" i="52"/>
  <c r="I115" i="52"/>
  <c r="C115" i="52"/>
  <c r="H114" i="52"/>
  <c r="C114" i="52"/>
  <c r="H113" i="52"/>
  <c r="D113" i="52"/>
  <c r="H112" i="52"/>
  <c r="D112" i="52"/>
  <c r="G111" i="52"/>
  <c r="C111" i="52"/>
  <c r="E110" i="52"/>
  <c r="F109" i="52"/>
  <c r="F108" i="52"/>
  <c r="E107" i="52"/>
  <c r="C106" i="52"/>
  <c r="E159" i="32"/>
  <c r="I159" i="32"/>
  <c r="M159" i="32"/>
  <c r="Q159" i="32"/>
  <c r="U159" i="32"/>
  <c r="Y159" i="32"/>
  <c r="AC159" i="32"/>
  <c r="AG159" i="32"/>
  <c r="AK159" i="32"/>
  <c r="F160" i="32"/>
  <c r="J160" i="32"/>
  <c r="N160" i="32"/>
  <c r="R160" i="32"/>
  <c r="V160" i="32"/>
  <c r="Z160" i="32"/>
  <c r="AD160" i="32"/>
  <c r="AH160" i="32"/>
  <c r="AL160" i="32"/>
  <c r="G161" i="32"/>
  <c r="K161" i="32"/>
  <c r="O161" i="32"/>
  <c r="S161" i="32"/>
  <c r="W161" i="32"/>
  <c r="AA161" i="32"/>
  <c r="AE161" i="32"/>
  <c r="AI161" i="32"/>
  <c r="D162" i="32"/>
  <c r="H162" i="32"/>
  <c r="L162" i="32"/>
  <c r="P162" i="32"/>
  <c r="T162" i="32"/>
  <c r="X162" i="32"/>
  <c r="AB162" i="32"/>
  <c r="AF162" i="32"/>
  <c r="AJ162" i="32"/>
  <c r="E163" i="32"/>
  <c r="I163" i="32"/>
  <c r="M163" i="32"/>
  <c r="Q163" i="32"/>
  <c r="U163" i="32"/>
  <c r="Y163" i="32"/>
  <c r="AC163" i="32"/>
  <c r="AG163" i="32"/>
  <c r="AK163" i="32"/>
  <c r="F164" i="32"/>
  <c r="J164" i="32"/>
  <c r="N164" i="32"/>
  <c r="R164" i="32"/>
  <c r="V164" i="32"/>
  <c r="Z164" i="32"/>
  <c r="AD164" i="32"/>
  <c r="AH164" i="32"/>
  <c r="AL164" i="32"/>
  <c r="G165" i="32"/>
  <c r="K165" i="32"/>
  <c r="O165" i="32"/>
  <c r="S165" i="32"/>
  <c r="W165" i="32"/>
  <c r="AA165" i="32"/>
  <c r="AE165" i="32"/>
  <c r="AI165" i="32"/>
  <c r="D166" i="32"/>
  <c r="H166" i="32"/>
  <c r="L166" i="32"/>
  <c r="P166" i="32"/>
  <c r="T166" i="32"/>
  <c r="X166" i="32"/>
  <c r="AB166" i="32"/>
  <c r="AF166" i="32"/>
  <c r="AJ166" i="32"/>
  <c r="E167" i="32"/>
  <c r="I167" i="32"/>
  <c r="M167" i="32"/>
  <c r="Q167" i="32"/>
  <c r="U167" i="32"/>
  <c r="Y167" i="32"/>
  <c r="AC167" i="32"/>
  <c r="AG167" i="32"/>
  <c r="AK167" i="32"/>
  <c r="F168" i="32"/>
  <c r="J168" i="32"/>
  <c r="N168" i="32"/>
  <c r="R168" i="32"/>
  <c r="V168" i="32"/>
  <c r="Z168" i="32"/>
  <c r="AD168" i="32"/>
  <c r="AH168" i="32"/>
  <c r="AL168" i="32"/>
  <c r="G169" i="32"/>
  <c r="K169" i="32"/>
  <c r="O169" i="32"/>
  <c r="S169" i="32"/>
  <c r="W169" i="32"/>
  <c r="AA169" i="32"/>
  <c r="AE169" i="32"/>
  <c r="AI169" i="32"/>
  <c r="D170" i="32"/>
  <c r="H170" i="32"/>
  <c r="L170" i="32"/>
  <c r="P170" i="32"/>
  <c r="T170" i="32"/>
  <c r="X170" i="32"/>
  <c r="AB170" i="32"/>
  <c r="AF170" i="32"/>
  <c r="AJ170" i="32"/>
  <c r="E171" i="32"/>
  <c r="I171" i="32"/>
  <c r="M171" i="32"/>
  <c r="Q171" i="32"/>
  <c r="U171" i="32"/>
  <c r="Y171" i="32"/>
  <c r="AC171" i="32"/>
  <c r="AG171" i="32"/>
  <c r="AK171" i="32"/>
  <c r="F172" i="32"/>
  <c r="J172" i="32"/>
  <c r="N172" i="32"/>
  <c r="R172" i="32"/>
  <c r="V172" i="32"/>
  <c r="Z172" i="32"/>
  <c r="AD172" i="32"/>
  <c r="AH172" i="32"/>
  <c r="AL172" i="32"/>
  <c r="G173" i="32"/>
  <c r="K173" i="32"/>
  <c r="O173" i="32"/>
  <c r="S173" i="32"/>
  <c r="W173" i="32"/>
  <c r="AA173" i="32"/>
  <c r="AE173" i="32"/>
  <c r="AI173" i="32"/>
  <c r="G111" i="64"/>
  <c r="C108" i="64"/>
  <c r="L114" i="64"/>
  <c r="J118" i="64"/>
  <c r="D109" i="64"/>
  <c r="J113" i="64"/>
  <c r="H116" i="64"/>
  <c r="O118" i="64"/>
  <c r="R120" i="64"/>
  <c r="E108" i="64"/>
  <c r="F111" i="64"/>
  <c r="G113" i="64"/>
  <c r="D115" i="64"/>
  <c r="I116" i="64"/>
  <c r="M117" i="64"/>
  <c r="P118" i="64"/>
  <c r="C120" i="64"/>
  <c r="C121" i="64"/>
  <c r="S121" i="64"/>
  <c r="R122" i="64"/>
  <c r="P123" i="64"/>
  <c r="M124" i="64"/>
  <c r="I125" i="64"/>
  <c r="D126" i="64"/>
  <c r="T126" i="64"/>
  <c r="N127" i="64"/>
  <c r="G128" i="64"/>
  <c r="W128" i="64"/>
  <c r="O129" i="64"/>
  <c r="D106" i="65"/>
  <c r="F110" i="65"/>
  <c r="I112" i="65"/>
  <c r="H114" i="65"/>
  <c r="C116" i="65"/>
  <c r="G117" i="65"/>
  <c r="J118" i="65"/>
  <c r="E107" i="64"/>
  <c r="J116" i="64"/>
  <c r="N117" i="64"/>
  <c r="C119" i="64"/>
  <c r="D120" i="64"/>
  <c r="D121" i="64"/>
  <c r="C122" i="64"/>
  <c r="S122" i="64"/>
  <c r="Q123" i="64"/>
  <c r="N124" i="64"/>
  <c r="J125" i="64"/>
  <c r="E126" i="64"/>
  <c r="U126" i="64"/>
  <c r="O127" i="64"/>
  <c r="H128" i="64"/>
  <c r="X128" i="64"/>
  <c r="P129" i="64"/>
  <c r="D108" i="65"/>
  <c r="E111" i="65"/>
  <c r="F113" i="65"/>
  <c r="C115" i="65"/>
  <c r="H116" i="65"/>
  <c r="L117" i="65"/>
  <c r="O118" i="65"/>
  <c r="Q119" i="65"/>
  <c r="R120" i="65"/>
  <c r="R121" i="65"/>
  <c r="Q122" i="65"/>
  <c r="O123" i="65"/>
  <c r="L124" i="65"/>
  <c r="H125" i="65"/>
  <c r="C126" i="65"/>
  <c r="S126" i="65"/>
  <c r="M127" i="65"/>
  <c r="F128" i="65"/>
  <c r="V128" i="65"/>
  <c r="N129" i="65"/>
  <c r="C114" i="64"/>
  <c r="E113" i="64"/>
  <c r="G116" i="64"/>
  <c r="F118" i="64"/>
  <c r="P119" i="64"/>
  <c r="Q120" i="64"/>
  <c r="Q121" i="64"/>
  <c r="P122" i="64"/>
  <c r="N123" i="64"/>
  <c r="K124" i="64"/>
  <c r="G125" i="64"/>
  <c r="W125" i="64"/>
  <c r="R126" i="64"/>
  <c r="L127" i="64"/>
  <c r="E128" i="64"/>
  <c r="U128" i="64"/>
  <c r="M129" i="64"/>
  <c r="C105" i="65"/>
  <c r="D110" i="65"/>
  <c r="G112" i="65"/>
  <c r="F114" i="65"/>
  <c r="L115" i="65"/>
  <c r="E117" i="65"/>
  <c r="H118" i="65"/>
  <c r="J119" i="65"/>
  <c r="K120" i="65"/>
  <c r="K121" i="65"/>
  <c r="J122" i="65"/>
  <c r="H123" i="65"/>
  <c r="E124" i="65"/>
  <c r="U124" i="65"/>
  <c r="Q125" i="65"/>
  <c r="L126" i="65"/>
  <c r="F127" i="65"/>
  <c r="V127" i="65"/>
  <c r="O128" i="65"/>
  <c r="G129" i="65"/>
  <c r="W129" i="65"/>
  <c r="G114" i="64"/>
  <c r="H111" i="64"/>
  <c r="G110" i="64"/>
  <c r="E114" i="64"/>
  <c r="H117" i="64"/>
  <c r="I119" i="64"/>
  <c r="N121" i="64"/>
  <c r="M122" i="64"/>
  <c r="K123" i="64"/>
  <c r="H124" i="64"/>
  <c r="D125" i="64"/>
  <c r="T125" i="64"/>
  <c r="O126" i="64"/>
  <c r="I127" i="64"/>
  <c r="Y127" i="64"/>
  <c r="R128" i="64"/>
  <c r="J129" i="64"/>
  <c r="Z129" i="64"/>
  <c r="F109" i="65"/>
  <c r="D112" i="65"/>
  <c r="C114" i="65"/>
  <c r="I115" i="65"/>
  <c r="N116" i="65"/>
  <c r="E118" i="65"/>
  <c r="G119" i="65"/>
  <c r="H120" i="65"/>
  <c r="H121" i="65"/>
  <c r="G122" i="65"/>
  <c r="E123" i="65"/>
  <c r="U123" i="65"/>
  <c r="R124" i="65"/>
  <c r="N125" i="65"/>
  <c r="I126" i="65"/>
  <c r="C127" i="65"/>
  <c r="S127" i="65"/>
  <c r="L119" i="65"/>
  <c r="M120" i="65"/>
  <c r="M121" i="65"/>
  <c r="L122" i="65"/>
  <c r="J123" i="65"/>
  <c r="G124" i="65"/>
  <c r="C125" i="65"/>
  <c r="S125" i="65"/>
  <c r="N126" i="65"/>
  <c r="H127" i="65"/>
  <c r="X127" i="65"/>
  <c r="Q128" i="65"/>
  <c r="I129" i="65"/>
  <c r="Y129" i="65"/>
  <c r="D128" i="65"/>
  <c r="T128" i="65"/>
  <c r="L129" i="65"/>
  <c r="V123" i="68"/>
  <c r="Y126" i="68"/>
  <c r="H115" i="52"/>
  <c r="H113" i="64"/>
  <c r="F110" i="64"/>
  <c r="C116" i="64"/>
  <c r="L119" i="64"/>
  <c r="C110" i="64"/>
  <c r="I114" i="64"/>
  <c r="D117" i="64"/>
  <c r="M119" i="64"/>
  <c r="J121" i="64"/>
  <c r="E109" i="64"/>
  <c r="C112" i="64"/>
  <c r="K113" i="64"/>
  <c r="H115" i="64"/>
  <c r="M116" i="64"/>
  <c r="D118" i="64"/>
  <c r="F119" i="64"/>
  <c r="G120" i="64"/>
  <c r="G121" i="64"/>
  <c r="F122" i="64"/>
  <c r="D123" i="64"/>
  <c r="T123" i="64"/>
  <c r="Q124" i="64"/>
  <c r="M125" i="64"/>
  <c r="H126" i="64"/>
  <c r="X126" i="64"/>
  <c r="R127" i="64"/>
  <c r="K128" i="64"/>
  <c r="C129" i="64"/>
  <c r="S129" i="64"/>
  <c r="C108" i="65"/>
  <c r="D111" i="65"/>
  <c r="E113" i="65"/>
  <c r="L114" i="65"/>
  <c r="G116" i="65"/>
  <c r="K117" i="65"/>
  <c r="N118" i="65"/>
  <c r="C111" i="64"/>
  <c r="N116" i="64"/>
  <c r="E118" i="64"/>
  <c r="G119" i="64"/>
  <c r="H120" i="64"/>
  <c r="H121" i="64"/>
  <c r="G122" i="64"/>
  <c r="E123" i="64"/>
  <c r="U123" i="64"/>
  <c r="R124" i="64"/>
  <c r="N125" i="64"/>
  <c r="I126" i="64"/>
  <c r="C127" i="64"/>
  <c r="S127" i="64"/>
  <c r="L128" i="64"/>
  <c r="D129" i="64"/>
  <c r="T129" i="64"/>
  <c r="D109" i="65"/>
  <c r="I111" i="65"/>
  <c r="J113" i="65"/>
  <c r="G115" i="65"/>
  <c r="L116" i="65"/>
  <c r="C118" i="65"/>
  <c r="E119" i="65"/>
  <c r="F120" i="65"/>
  <c r="F121" i="65"/>
  <c r="E122" i="65"/>
  <c r="C123" i="65"/>
  <c r="S123" i="65"/>
  <c r="P124" i="65"/>
  <c r="L125" i="65"/>
  <c r="G126" i="65"/>
  <c r="W126" i="65"/>
  <c r="Q127" i="65"/>
  <c r="J128" i="65"/>
  <c r="Z128" i="65"/>
  <c r="R129" i="65"/>
  <c r="C106" i="64"/>
  <c r="I115" i="64"/>
  <c r="D114" i="64"/>
  <c r="K116" i="64"/>
  <c r="N118" i="64"/>
  <c r="E120" i="64"/>
  <c r="E121" i="64"/>
  <c r="D122" i="64"/>
  <c r="T122" i="64"/>
  <c r="R123" i="64"/>
  <c r="O124" i="64"/>
  <c r="K125" i="64"/>
  <c r="F126" i="64"/>
  <c r="V126" i="64"/>
  <c r="P127" i="64"/>
  <c r="I128" i="64"/>
  <c r="Y128" i="64"/>
  <c r="Q129" i="64"/>
  <c r="D107" i="65"/>
  <c r="H110" i="65"/>
  <c r="C113" i="65"/>
  <c r="J114" i="65"/>
  <c r="E116" i="65"/>
  <c r="I117" i="65"/>
  <c r="L118" i="65"/>
  <c r="N119" i="65"/>
  <c r="O120" i="65"/>
  <c r="O121" i="65"/>
  <c r="N122" i="65"/>
  <c r="L123" i="65"/>
  <c r="I124" i="65"/>
  <c r="E125" i="65"/>
  <c r="U125" i="65"/>
  <c r="P126" i="65"/>
  <c r="J127" i="65"/>
  <c r="C128" i="65"/>
  <c r="S128" i="65"/>
  <c r="K129" i="65"/>
  <c r="AA129" i="65"/>
  <c r="M115" i="64"/>
  <c r="I112" i="64"/>
  <c r="E111" i="64"/>
  <c r="C115" i="64"/>
  <c r="C118" i="64"/>
  <c r="Q119" i="64"/>
  <c r="R121" i="64"/>
  <c r="Q122" i="64"/>
  <c r="O123" i="64"/>
  <c r="L124" i="64"/>
  <c r="H125" i="64"/>
  <c r="C126" i="64"/>
  <c r="S126" i="64"/>
  <c r="M127" i="64"/>
  <c r="F128" i="64"/>
  <c r="V128" i="64"/>
  <c r="N129" i="64"/>
  <c r="C106" i="65"/>
  <c r="E110" i="65"/>
  <c r="H112" i="65"/>
  <c r="G114" i="65"/>
  <c r="M115" i="65"/>
  <c r="F117" i="65"/>
  <c r="I118" i="65"/>
  <c r="K119" i="65"/>
  <c r="L120" i="65"/>
  <c r="L121" i="65"/>
  <c r="K122" i="65"/>
  <c r="I123" i="65"/>
  <c r="F124" i="65"/>
  <c r="V124" i="65"/>
  <c r="R125" i="65"/>
  <c r="M126" i="65"/>
  <c r="G127" i="65"/>
  <c r="W127" i="65"/>
  <c r="P119" i="65"/>
  <c r="Q120" i="65"/>
  <c r="Q121" i="65"/>
  <c r="P122" i="65"/>
  <c r="N123" i="65"/>
  <c r="K124" i="65"/>
  <c r="G125" i="65"/>
  <c r="W125" i="65"/>
  <c r="R126" i="65"/>
  <c r="L127" i="65"/>
  <c r="E128" i="65"/>
  <c r="U128" i="65"/>
  <c r="M129" i="65"/>
  <c r="X125" i="68"/>
  <c r="H128" i="65"/>
  <c r="X128" i="65"/>
  <c r="P129" i="65"/>
  <c r="F114" i="52"/>
  <c r="L115" i="52"/>
  <c r="Y126" i="52"/>
  <c r="U122" i="52"/>
  <c r="Z129" i="52"/>
  <c r="V129" i="52"/>
  <c r="R129" i="52"/>
  <c r="N129" i="52"/>
  <c r="J129" i="52"/>
  <c r="F129" i="52"/>
  <c r="Z128" i="52"/>
  <c r="V128" i="52"/>
  <c r="R128" i="52"/>
  <c r="N128" i="52"/>
  <c r="J128" i="52"/>
  <c r="F128" i="52"/>
  <c r="Y127" i="52"/>
  <c r="U127" i="52"/>
  <c r="Q127" i="52"/>
  <c r="M127" i="52"/>
  <c r="I127" i="52"/>
  <c r="E127" i="52"/>
  <c r="W126" i="52"/>
  <c r="S126" i="52"/>
  <c r="O126" i="52"/>
  <c r="K126" i="52"/>
  <c r="G126" i="52"/>
  <c r="C126" i="52"/>
  <c r="T125" i="52"/>
  <c r="P125" i="52"/>
  <c r="L125" i="52"/>
  <c r="H125" i="52"/>
  <c r="D125" i="52"/>
  <c r="T124" i="52"/>
  <c r="P124" i="52"/>
  <c r="L124" i="52"/>
  <c r="H124" i="52"/>
  <c r="D124" i="52"/>
  <c r="S123" i="52"/>
  <c r="O123" i="52"/>
  <c r="K123" i="52"/>
  <c r="G123" i="52"/>
  <c r="C123" i="52"/>
  <c r="Q122" i="52"/>
  <c r="M122" i="52"/>
  <c r="I122" i="52"/>
  <c r="E122" i="52"/>
  <c r="S121" i="52"/>
  <c r="O121" i="52"/>
  <c r="K121" i="52"/>
  <c r="G121" i="52"/>
  <c r="C121" i="52"/>
  <c r="O120" i="52"/>
  <c r="K120" i="52"/>
  <c r="G120" i="52"/>
  <c r="C120" i="52"/>
  <c r="N119" i="52"/>
  <c r="J119" i="52"/>
  <c r="F119" i="52"/>
  <c r="P118" i="52"/>
  <c r="L118" i="52"/>
  <c r="H118" i="52"/>
  <c r="D118" i="52"/>
  <c r="M117" i="52"/>
  <c r="I117" i="52"/>
  <c r="E117" i="52"/>
  <c r="M116" i="52"/>
  <c r="I116" i="52"/>
  <c r="E116" i="52"/>
  <c r="K115" i="52"/>
  <c r="F115" i="52"/>
  <c r="K114" i="52"/>
  <c r="E114" i="52"/>
  <c r="J113" i="52"/>
  <c r="F113" i="52"/>
  <c r="J112" i="52"/>
  <c r="F112" i="52"/>
  <c r="I111" i="52"/>
  <c r="E111" i="52"/>
  <c r="G110" i="52"/>
  <c r="C110" i="52"/>
  <c r="D109" i="52"/>
  <c r="D108" i="52"/>
  <c r="C107" i="52"/>
  <c r="G159" i="32"/>
  <c r="K159" i="32"/>
  <c r="O159" i="32"/>
  <c r="S159" i="32"/>
  <c r="W159" i="32"/>
  <c r="AA159" i="32"/>
  <c r="AE159" i="32"/>
  <c r="AI159" i="32"/>
  <c r="D160" i="32"/>
  <c r="H160" i="32"/>
  <c r="L160" i="32"/>
  <c r="P160" i="32"/>
  <c r="T160" i="32"/>
  <c r="X160" i="32"/>
  <c r="AB160" i="32"/>
  <c r="AF160" i="32"/>
  <c r="AJ160" i="32"/>
  <c r="E161" i="32"/>
  <c r="I161" i="32"/>
  <c r="M161" i="32"/>
  <c r="Q161" i="32"/>
  <c r="U161" i="32"/>
  <c r="Y161" i="32"/>
  <c r="AC161" i="32"/>
  <c r="AG161" i="32"/>
  <c r="AK161" i="32"/>
  <c r="F162" i="32"/>
  <c r="J162" i="32"/>
  <c r="N162" i="32"/>
  <c r="R162" i="32"/>
  <c r="V162" i="32"/>
  <c r="Z162" i="32"/>
  <c r="AD162" i="32"/>
  <c r="AH162" i="32"/>
  <c r="AL162" i="32"/>
  <c r="G163" i="32"/>
  <c r="K163" i="32"/>
  <c r="O163" i="32"/>
  <c r="S163" i="32"/>
  <c r="W163" i="32"/>
  <c r="AA163" i="32"/>
  <c r="AE163" i="32"/>
  <c r="AI163" i="32"/>
  <c r="D164" i="32"/>
  <c r="H164" i="32"/>
  <c r="L164" i="32"/>
  <c r="P164" i="32"/>
  <c r="T164" i="32"/>
  <c r="X164" i="32"/>
  <c r="AB164" i="32"/>
  <c r="AF164" i="32"/>
  <c r="AJ164" i="32"/>
  <c r="E165" i="32"/>
  <c r="I165" i="32"/>
  <c r="M165" i="32"/>
  <c r="Q165" i="32"/>
  <c r="U165" i="32"/>
  <c r="Y165" i="32"/>
  <c r="AC165" i="32"/>
  <c r="AG165" i="32"/>
  <c r="AK165" i="32"/>
  <c r="F166" i="32"/>
  <c r="J166" i="32"/>
  <c r="N166" i="32"/>
  <c r="R166" i="32"/>
  <c r="V166" i="32"/>
  <c r="Z166" i="32"/>
  <c r="AD166" i="32"/>
  <c r="AH166" i="32"/>
  <c r="AL166" i="32"/>
  <c r="G167" i="32"/>
  <c r="K167" i="32"/>
  <c r="O167" i="32"/>
  <c r="S167" i="32"/>
  <c r="W167" i="32"/>
  <c r="AA167" i="32"/>
  <c r="AE167" i="32"/>
  <c r="AI167" i="32"/>
  <c r="D168" i="32"/>
  <c r="H168" i="32"/>
  <c r="L168" i="32"/>
  <c r="P168" i="32"/>
  <c r="T168" i="32"/>
  <c r="X168" i="32"/>
  <c r="AB168" i="32"/>
  <c r="AF168" i="32"/>
  <c r="AJ168" i="32"/>
  <c r="E169" i="32"/>
  <c r="I169" i="32"/>
  <c r="M169" i="32"/>
  <c r="Q169" i="32"/>
  <c r="U169" i="32"/>
  <c r="Y169" i="32"/>
  <c r="AC169" i="32"/>
  <c r="AG169" i="32"/>
  <c r="AK169" i="32"/>
  <c r="F170" i="32"/>
  <c r="J170" i="32"/>
  <c r="N170" i="32"/>
  <c r="R170" i="32"/>
  <c r="V170" i="32"/>
  <c r="Z170" i="32"/>
  <c r="AD170" i="32"/>
  <c r="AH170" i="32"/>
  <c r="AL170" i="32"/>
  <c r="G171" i="32"/>
  <c r="K171" i="32"/>
  <c r="O171" i="32"/>
  <c r="S171" i="32"/>
  <c r="W171" i="32"/>
  <c r="AA171" i="32"/>
  <c r="AE171" i="32"/>
  <c r="AI171" i="32"/>
  <c r="D172" i="32"/>
  <c r="H172" i="32"/>
  <c r="L172" i="32"/>
  <c r="P172" i="32"/>
  <c r="T172" i="32"/>
  <c r="X172" i="32"/>
  <c r="AB172" i="32"/>
  <c r="AF172" i="32"/>
  <c r="AJ172" i="32"/>
  <c r="E173" i="32"/>
  <c r="I173" i="32"/>
  <c r="M173" i="32"/>
  <c r="Q173" i="32"/>
  <c r="U173" i="32"/>
  <c r="Y173" i="32"/>
  <c r="AC173" i="32"/>
  <c r="AG173" i="32"/>
  <c r="AK173" i="32"/>
  <c r="K114" i="64"/>
  <c r="E112" i="64"/>
  <c r="C117" i="64"/>
  <c r="I111" i="64"/>
  <c r="G115" i="64"/>
  <c r="L117" i="64"/>
  <c r="F120" i="64"/>
  <c r="C105" i="64"/>
  <c r="D110" i="64"/>
  <c r="G112" i="64"/>
  <c r="F114" i="64"/>
  <c r="L115" i="64"/>
  <c r="E117" i="64"/>
  <c r="H118" i="64"/>
  <c r="J119" i="64"/>
  <c r="K120" i="64"/>
  <c r="K121" i="64"/>
  <c r="J122" i="64"/>
  <c r="H123" i="64"/>
  <c r="E124" i="64"/>
  <c r="U124" i="64"/>
  <c r="Q125" i="64"/>
  <c r="L126" i="64"/>
  <c r="F127" i="64"/>
  <c r="V127" i="64"/>
  <c r="O128" i="64"/>
  <c r="G129" i="64"/>
  <c r="W129" i="64"/>
  <c r="C109" i="65"/>
  <c r="H111" i="65"/>
  <c r="I113" i="65"/>
  <c r="F115" i="65"/>
  <c r="K116" i="65"/>
  <c r="O117" i="65"/>
  <c r="D119" i="65"/>
  <c r="D113" i="64"/>
  <c r="F117" i="64"/>
  <c r="I118" i="64"/>
  <c r="K119" i="64"/>
  <c r="L120" i="64"/>
  <c r="L121" i="64"/>
  <c r="K122" i="64"/>
  <c r="I123" i="64"/>
  <c r="F124" i="64"/>
  <c r="V124" i="64"/>
  <c r="R125" i="64"/>
  <c r="M126" i="64"/>
  <c r="G127" i="64"/>
  <c r="W127" i="64"/>
  <c r="P128" i="64"/>
  <c r="H129" i="64"/>
  <c r="X129" i="64"/>
  <c r="C110" i="65"/>
  <c r="F112" i="65"/>
  <c r="E114" i="65"/>
  <c r="K115" i="65"/>
  <c r="D117" i="65"/>
  <c r="G118" i="65"/>
  <c r="I119" i="65"/>
  <c r="J120" i="65"/>
  <c r="J121" i="65"/>
  <c r="I122" i="65"/>
  <c r="G123" i="65"/>
  <c r="D124" i="65"/>
  <c r="T124" i="65"/>
  <c r="P125" i="65"/>
  <c r="K126" i="65"/>
  <c r="E127" i="65"/>
  <c r="U127" i="65"/>
  <c r="N128" i="65"/>
  <c r="F129" i="65"/>
  <c r="V129" i="65"/>
  <c r="E110" i="64"/>
  <c r="C109" i="64"/>
  <c r="F115" i="64"/>
  <c r="G117" i="64"/>
  <c r="D119" i="64"/>
  <c r="I120" i="64"/>
  <c r="I121" i="64"/>
  <c r="H122" i="64"/>
  <c r="F123" i="64"/>
  <c r="C124" i="64"/>
  <c r="S124" i="64"/>
  <c r="O125" i="64"/>
  <c r="J126" i="64"/>
  <c r="D127" i="64"/>
  <c r="T127" i="64"/>
  <c r="M128" i="64"/>
  <c r="E129" i="64"/>
  <c r="U129" i="64"/>
  <c r="E108" i="65"/>
  <c r="F111" i="65"/>
  <c r="G113" i="65"/>
  <c r="D115" i="65"/>
  <c r="I116" i="65"/>
  <c r="M117" i="65"/>
  <c r="P118" i="65"/>
  <c r="C120" i="65"/>
  <c r="C121" i="65"/>
  <c r="S121" i="65"/>
  <c r="R122" i="65"/>
  <c r="P123" i="65"/>
  <c r="M124" i="65"/>
  <c r="I125" i="65"/>
  <c r="D126" i="65"/>
  <c r="T126" i="65"/>
  <c r="N127" i="65"/>
  <c r="G128" i="65"/>
  <c r="W128" i="65"/>
  <c r="O129" i="65"/>
  <c r="F109" i="64"/>
  <c r="D106" i="64"/>
  <c r="H114" i="64"/>
  <c r="F112" i="64"/>
  <c r="K115" i="64"/>
  <c r="K118" i="64"/>
  <c r="N120" i="64"/>
  <c r="E122" i="64"/>
  <c r="C123" i="64"/>
  <c r="S123" i="64"/>
  <c r="P124" i="64"/>
  <c r="L125" i="64"/>
  <c r="G126" i="64"/>
  <c r="W126" i="64"/>
  <c r="Q127" i="64"/>
  <c r="J128" i="64"/>
  <c r="Z128" i="64"/>
  <c r="R129" i="64"/>
  <c r="E107" i="65"/>
  <c r="C111" i="65"/>
  <c r="D113" i="65"/>
  <c r="K114" i="65"/>
  <c r="F116" i="65"/>
  <c r="J117" i="65"/>
  <c r="M118" i="65"/>
  <c r="O119" i="65"/>
  <c r="P120" i="65"/>
  <c r="P121" i="65"/>
  <c r="O122" i="65"/>
  <c r="M123" i="65"/>
  <c r="J124" i="65"/>
  <c r="F125" i="65"/>
  <c r="V125" i="65"/>
  <c r="Q126" i="65"/>
  <c r="K127" i="65"/>
  <c r="E120" i="65"/>
  <c r="E121" i="65"/>
  <c r="D122" i="65"/>
  <c r="T122" i="65"/>
  <c r="R123" i="65"/>
  <c r="O124" i="65"/>
  <c r="K125" i="65"/>
  <c r="F126" i="65"/>
  <c r="V126" i="65"/>
  <c r="P127" i="65"/>
  <c r="I128" i="65"/>
  <c r="Y128" i="65"/>
  <c r="Q129" i="65"/>
  <c r="L128" i="65"/>
  <c r="D129" i="65"/>
  <c r="T129" i="65"/>
  <c r="Z127" i="68"/>
  <c r="J114" i="52"/>
  <c r="C171" i="32"/>
  <c r="C140" i="32"/>
  <c r="C144" i="32"/>
  <c r="C148" i="32"/>
  <c r="C152" i="32"/>
  <c r="C156" i="32"/>
  <c r="C160" i="32"/>
  <c r="C164" i="32"/>
  <c r="C168" i="32"/>
  <c r="F142" i="32"/>
  <c r="F143" i="32"/>
  <c r="G144" i="32"/>
  <c r="I145" i="32"/>
  <c r="E145" i="32"/>
  <c r="H146" i="32"/>
  <c r="D146" i="32"/>
  <c r="H147" i="32"/>
  <c r="D147" i="32"/>
  <c r="I148" i="32"/>
  <c r="E148" i="32"/>
  <c r="K149" i="32"/>
  <c r="G149" i="32"/>
  <c r="N150" i="32"/>
  <c r="J150" i="32"/>
  <c r="F150" i="32"/>
  <c r="N151" i="32"/>
  <c r="J151" i="32"/>
  <c r="F151" i="32"/>
  <c r="O152" i="32"/>
  <c r="K152" i="32"/>
  <c r="G152" i="32"/>
  <c r="Q153" i="32"/>
  <c r="M153" i="32"/>
  <c r="I153" i="32"/>
  <c r="E153" i="32"/>
  <c r="P154" i="32"/>
  <c r="L154" i="32"/>
  <c r="H154" i="32"/>
  <c r="D154" i="32"/>
  <c r="AJ173" i="32"/>
  <c r="AB173" i="32"/>
  <c r="T173" i="32"/>
  <c r="L173" i="32"/>
  <c r="D173" i="32"/>
  <c r="AE172" i="32"/>
  <c r="W172" i="32"/>
  <c r="O172" i="32"/>
  <c r="G172" i="32"/>
  <c r="AH171" i="32"/>
  <c r="Z171" i="32"/>
  <c r="R171" i="32"/>
  <c r="J171" i="32"/>
  <c r="AK170" i="32"/>
  <c r="AC170" i="32"/>
  <c r="U170" i="32"/>
  <c r="M170" i="32"/>
  <c r="E170" i="32"/>
  <c r="AF169" i="32"/>
  <c r="X169" i="32"/>
  <c r="P169" i="32"/>
  <c r="H169" i="32"/>
  <c r="AI168" i="32"/>
  <c r="AA168" i="32"/>
  <c r="S168" i="32"/>
  <c r="K168" i="32"/>
  <c r="AL167" i="32"/>
  <c r="AD167" i="32"/>
  <c r="V167" i="32"/>
  <c r="N167" i="32"/>
  <c r="F167" i="32"/>
  <c r="AG166" i="32"/>
  <c r="Y166" i="32"/>
  <c r="Q166" i="32"/>
  <c r="I166" i="32"/>
  <c r="AJ165" i="32"/>
  <c r="AB165" i="32"/>
  <c r="T165" i="32"/>
  <c r="L165" i="32"/>
  <c r="D165" i="32"/>
  <c r="AE164" i="32"/>
  <c r="W164" i="32"/>
  <c r="O164" i="32"/>
  <c r="G164" i="32"/>
  <c r="AH163" i="32"/>
  <c r="Z163" i="32"/>
  <c r="R163" i="32"/>
  <c r="J163" i="32"/>
  <c r="AK162" i="32"/>
  <c r="AC162" i="32"/>
  <c r="U162" i="32"/>
  <c r="M162" i="32"/>
  <c r="E162" i="32"/>
  <c r="AF161" i="32"/>
  <c r="X161" i="32"/>
  <c r="P161" i="32"/>
  <c r="H161" i="32"/>
  <c r="AI160" i="32"/>
  <c r="AA160" i="32"/>
  <c r="S160" i="32"/>
  <c r="K160" i="32"/>
  <c r="AL159" i="32"/>
  <c r="AD159" i="32"/>
  <c r="V159" i="32"/>
  <c r="N159" i="32"/>
  <c r="F159" i="32"/>
  <c r="Z104" i="68"/>
  <c r="U87" i="70"/>
  <c r="U115" i="70" s="1"/>
  <c r="D106" i="52"/>
  <c r="C109" i="52"/>
  <c r="F110" i="52"/>
  <c r="H111" i="52"/>
  <c r="I112" i="52"/>
  <c r="I113" i="52"/>
  <c r="I114" i="52"/>
  <c r="J115" i="52"/>
  <c r="H116" i="52"/>
  <c r="D117" i="52"/>
  <c r="L117" i="52"/>
  <c r="G118" i="52"/>
  <c r="O118" i="52"/>
  <c r="I119" i="52"/>
  <c r="Q119" i="52"/>
  <c r="J120" i="52"/>
  <c r="R120" i="52"/>
  <c r="J121" i="52"/>
  <c r="R121" i="52"/>
  <c r="H122" i="52"/>
  <c r="P122" i="52"/>
  <c r="F123" i="52"/>
  <c r="N123" i="52"/>
  <c r="C124" i="52"/>
  <c r="K124" i="52"/>
  <c r="S124" i="52"/>
  <c r="G125" i="52"/>
  <c r="O125" i="52"/>
  <c r="W125" i="52"/>
  <c r="J126" i="52"/>
  <c r="R126" i="52"/>
  <c r="D127" i="52"/>
  <c r="L127" i="52"/>
  <c r="T127" i="52"/>
  <c r="E128" i="52"/>
  <c r="M128" i="52"/>
  <c r="U128" i="52"/>
  <c r="E129" i="52"/>
  <c r="M129" i="52"/>
  <c r="U129" i="52"/>
  <c r="S120" i="52"/>
  <c r="T121" i="68"/>
  <c r="W124" i="68"/>
  <c r="C170" i="32"/>
  <c r="C141" i="32"/>
  <c r="C145" i="32"/>
  <c r="C149" i="32"/>
  <c r="C153" i="32"/>
  <c r="C157" i="32"/>
  <c r="C161" i="32"/>
  <c r="C165" i="32"/>
  <c r="D140" i="32"/>
  <c r="E142" i="32"/>
  <c r="E143" i="32"/>
  <c r="F144" i="32"/>
  <c r="H145" i="32"/>
  <c r="D145" i="32"/>
  <c r="G146" i="32"/>
  <c r="K147" i="32"/>
  <c r="G147" i="32"/>
  <c r="L148" i="32"/>
  <c r="H148" i="32"/>
  <c r="D148" i="32"/>
  <c r="J149" i="32"/>
  <c r="F149" i="32"/>
  <c r="M150" i="32"/>
  <c r="I150" i="32"/>
  <c r="E150" i="32"/>
  <c r="M151" i="32"/>
  <c r="I151" i="32"/>
  <c r="E151" i="32"/>
  <c r="N152" i="32"/>
  <c r="J152" i="32"/>
  <c r="F152" i="32"/>
  <c r="P153" i="32"/>
  <c r="L153" i="32"/>
  <c r="H153" i="32"/>
  <c r="D153" i="32"/>
  <c r="O154" i="32"/>
  <c r="K154" i="32"/>
  <c r="G154" i="32"/>
  <c r="S155" i="32"/>
  <c r="O155" i="32"/>
  <c r="K155" i="32"/>
  <c r="G155" i="32"/>
  <c r="T156" i="32"/>
  <c r="P156" i="32"/>
  <c r="L156" i="32"/>
  <c r="H156" i="32"/>
  <c r="D156" i="32"/>
  <c r="R157" i="32"/>
  <c r="N157" i="32"/>
  <c r="J157" i="32"/>
  <c r="F157" i="32"/>
  <c r="U158" i="32"/>
  <c r="Q158" i="32"/>
  <c r="M158" i="32"/>
  <c r="I158" i="32"/>
  <c r="E158" i="32"/>
  <c r="AH173" i="32"/>
  <c r="Z173" i="32"/>
  <c r="R173" i="32"/>
  <c r="J173" i="32"/>
  <c r="AK172" i="32"/>
  <c r="AC172" i="32"/>
  <c r="U172" i="32"/>
  <c r="M172" i="32"/>
  <c r="E172" i="32"/>
  <c r="AF171" i="32"/>
  <c r="X171" i="32"/>
  <c r="P171" i="32"/>
  <c r="H171" i="32"/>
  <c r="AI170" i="32"/>
  <c r="AA170" i="32"/>
  <c r="S170" i="32"/>
  <c r="K170" i="32"/>
  <c r="AL169" i="32"/>
  <c r="AD169" i="32"/>
  <c r="V169" i="32"/>
  <c r="N169" i="32"/>
  <c r="F169" i="32"/>
  <c r="AG168" i="32"/>
  <c r="Y168" i="32"/>
  <c r="Q168" i="32"/>
  <c r="I168" i="32"/>
  <c r="AJ167" i="32"/>
  <c r="AB167" i="32"/>
  <c r="T167" i="32"/>
  <c r="L167" i="32"/>
  <c r="D167" i="32"/>
  <c r="AE166" i="32"/>
  <c r="W166" i="32"/>
  <c r="O166" i="32"/>
  <c r="G166" i="32"/>
  <c r="AH165" i="32"/>
  <c r="Z165" i="32"/>
  <c r="R165" i="32"/>
  <c r="J165" i="32"/>
  <c r="AK164" i="32"/>
  <c r="AC164" i="32"/>
  <c r="U164" i="32"/>
  <c r="M164" i="32"/>
  <c r="E164" i="32"/>
  <c r="AF163" i="32"/>
  <c r="X163" i="32"/>
  <c r="P163" i="32"/>
  <c r="H163" i="32"/>
  <c r="AI162" i="32"/>
  <c r="AA162" i="32"/>
  <c r="S162" i="32"/>
  <c r="K162" i="32"/>
  <c r="AL161" i="32"/>
  <c r="AD161" i="32"/>
  <c r="V161" i="32"/>
  <c r="N161" i="32"/>
  <c r="F161" i="32"/>
  <c r="AG160" i="32"/>
  <c r="Y160" i="32"/>
  <c r="Q160" i="32"/>
  <c r="I160" i="32"/>
  <c r="AJ159" i="32"/>
  <c r="AB159" i="32"/>
  <c r="T159" i="32"/>
  <c r="L159" i="32"/>
  <c r="D159" i="32"/>
  <c r="T105" i="64"/>
  <c r="AB24" i="52"/>
  <c r="AB93" i="52" s="1"/>
  <c r="AA23" i="52"/>
  <c r="AA92" i="52" s="1"/>
  <c r="Z22" i="52"/>
  <c r="Z91" i="52" s="1"/>
  <c r="V22" i="52"/>
  <c r="V91" i="52" s="1"/>
  <c r="Y25" i="52"/>
  <c r="Y94" i="52" s="1"/>
  <c r="AB28" i="52"/>
  <c r="AB97" i="52" s="1"/>
  <c r="AA27" i="52"/>
  <c r="AA96" i="52" s="1"/>
  <c r="Z26" i="52"/>
  <c r="Z95" i="52" s="1"/>
  <c r="X24" i="52"/>
  <c r="X93" i="52" s="1"/>
  <c r="W23" i="52"/>
  <c r="W92" i="52" s="1"/>
  <c r="AB10" i="68"/>
  <c r="AB79" i="68" s="1"/>
  <c r="Y7" i="68"/>
  <c r="Y41" i="68" s="1"/>
  <c r="U7" i="68"/>
  <c r="V41" i="68" s="1"/>
  <c r="AB14" i="68"/>
  <c r="AB83" i="68" s="1"/>
  <c r="AB18" i="68"/>
  <c r="AB87" i="68" s="1"/>
  <c r="Q7" i="68"/>
  <c r="R41" i="68" s="1"/>
  <c r="X14" i="68"/>
  <c r="X18" i="68"/>
  <c r="M7" i="68"/>
  <c r="T14" i="68"/>
  <c r="Z24" i="68"/>
  <c r="Y23" i="68"/>
  <c r="AA25" i="68"/>
  <c r="AB26" i="68"/>
  <c r="P14" i="70"/>
  <c r="P14" i="68"/>
  <c r="T18" i="68"/>
  <c r="I7" i="68"/>
  <c r="Y28" i="71"/>
  <c r="X27" i="71"/>
  <c r="Z29" i="71"/>
  <c r="W26" i="71"/>
  <c r="AB31" i="71"/>
  <c r="U24" i="71"/>
  <c r="T23" i="71"/>
  <c r="AA30" i="71"/>
  <c r="V25" i="71"/>
  <c r="N17" i="72"/>
  <c r="N86" i="72" s="1"/>
  <c r="R21" i="72"/>
  <c r="R90" i="72" s="1"/>
  <c r="L15" i="72"/>
  <c r="L84" i="72" s="1"/>
  <c r="L112" i="72" s="1"/>
  <c r="S22" i="71"/>
  <c r="G10" i="72"/>
  <c r="G79" i="72" s="1"/>
  <c r="O18" i="72"/>
  <c r="O87" i="72" s="1"/>
  <c r="H11" i="72"/>
  <c r="H80" i="72" s="1"/>
  <c r="L15" i="71"/>
  <c r="L84" i="71" s="1"/>
  <c r="N17" i="71"/>
  <c r="N86" i="71" s="1"/>
  <c r="O18" i="71"/>
  <c r="O87" i="71" s="1"/>
  <c r="G10" i="73"/>
  <c r="G79" i="73" s="1"/>
  <c r="O18" i="73"/>
  <c r="H11" i="73"/>
  <c r="H80" i="73" s="1"/>
  <c r="S22" i="72"/>
  <c r="K14" i="73"/>
  <c r="K83" i="73" s="1"/>
  <c r="F9" i="71"/>
  <c r="F78" i="71" s="1"/>
  <c r="K14" i="71"/>
  <c r="K83" i="71" s="1"/>
  <c r="L15" i="73"/>
  <c r="L84" i="73" s="1"/>
  <c r="D7" i="73"/>
  <c r="D76" i="73" s="1"/>
  <c r="G10" i="71"/>
  <c r="G79" i="71" s="1"/>
  <c r="J13" i="72"/>
  <c r="J82" i="72" s="1"/>
  <c r="D7" i="71"/>
  <c r="D76" i="71" s="1"/>
  <c r="D7" i="72"/>
  <c r="D76" i="72" s="1"/>
  <c r="P19" i="72"/>
  <c r="P88" i="72" s="1"/>
  <c r="F9" i="72"/>
  <c r="F78" i="72" s="1"/>
  <c r="F9" i="73"/>
  <c r="F78" i="73" s="1"/>
  <c r="P19" i="73"/>
  <c r="P88" i="73" s="1"/>
  <c r="K14" i="72"/>
  <c r="K83" i="72" s="1"/>
  <c r="J13" i="73"/>
  <c r="J82" i="73" s="1"/>
  <c r="J110" i="73" s="1"/>
  <c r="Z7" i="73"/>
  <c r="Z76" i="73" s="1"/>
  <c r="AB9" i="72"/>
  <c r="AB78" i="72" s="1"/>
  <c r="Z7" i="71"/>
  <c r="Z76" i="71" s="1"/>
  <c r="AB9" i="73"/>
  <c r="AB78" i="73" s="1"/>
  <c r="Z7" i="72"/>
  <c r="Z76" i="72" s="1"/>
  <c r="AB9" i="71"/>
  <c r="AB78" i="71" s="1"/>
  <c r="AB13" i="72"/>
  <c r="AB82" i="72" s="1"/>
  <c r="AB110" i="72" s="1"/>
  <c r="X9" i="72"/>
  <c r="X78" i="72" s="1"/>
  <c r="V7" i="71"/>
  <c r="V76" i="71" s="1"/>
  <c r="Y10" i="72"/>
  <c r="Y79" i="72" s="1"/>
  <c r="X9" i="73"/>
  <c r="X78" i="73" s="1"/>
  <c r="V7" i="72"/>
  <c r="V76" i="72" s="1"/>
  <c r="Y10" i="73"/>
  <c r="Y79" i="73" s="1"/>
  <c r="Z11" i="72"/>
  <c r="Z80" i="72" s="1"/>
  <c r="X9" i="71"/>
  <c r="X78" i="71" s="1"/>
  <c r="X106" i="71" s="1"/>
  <c r="AB13" i="73"/>
  <c r="AB82" i="73" s="1"/>
  <c r="Z11" i="73"/>
  <c r="Z80" i="73" s="1"/>
  <c r="Y10" i="71"/>
  <c r="Y79" i="71" s="1"/>
  <c r="Y107" i="71" s="1"/>
  <c r="V7" i="73"/>
  <c r="V76" i="73" s="1"/>
  <c r="AB17" i="72"/>
  <c r="AB86" i="72" s="1"/>
  <c r="U10" i="73"/>
  <c r="U79" i="73" s="1"/>
  <c r="V11" i="72"/>
  <c r="V80" i="72" s="1"/>
  <c r="Y14" i="73"/>
  <c r="Y83" i="73" s="1"/>
  <c r="T9" i="71"/>
  <c r="T78" i="71" s="1"/>
  <c r="T106" i="71" s="1"/>
  <c r="X13" i="73"/>
  <c r="X82" i="73" s="1"/>
  <c r="V11" i="73"/>
  <c r="V80" i="73" s="1"/>
  <c r="Z15" i="72"/>
  <c r="Z84" i="72" s="1"/>
  <c r="Z112" i="72" s="1"/>
  <c r="U10" i="71"/>
  <c r="U79" i="71" s="1"/>
  <c r="Z15" i="71"/>
  <c r="Z84" i="71" s="1"/>
  <c r="Y14" i="72"/>
  <c r="Y83" i="72" s="1"/>
  <c r="Y111" i="72" s="1"/>
  <c r="Z15" i="73"/>
  <c r="Z84" i="73" s="1"/>
  <c r="R7" i="73"/>
  <c r="R76" i="73" s="1"/>
  <c r="X13" i="72"/>
  <c r="X82" i="72" s="1"/>
  <c r="T9" i="72"/>
  <c r="T78" i="72" s="1"/>
  <c r="R7" i="71"/>
  <c r="R76" i="71" s="1"/>
  <c r="U10" i="72"/>
  <c r="U79" i="72" s="1"/>
  <c r="T9" i="73"/>
  <c r="T78" i="73" s="1"/>
  <c r="R7" i="72"/>
  <c r="R76" i="72" s="1"/>
  <c r="Y14" i="71"/>
  <c r="Y83" i="71" s="1"/>
  <c r="AB17" i="71"/>
  <c r="AB86" i="71" s="1"/>
  <c r="Y18" i="71"/>
  <c r="Y87" i="71" s="1"/>
  <c r="AB21" i="72"/>
  <c r="AB90" i="72" s="1"/>
  <c r="R11" i="73"/>
  <c r="R80" i="73" s="1"/>
  <c r="V15" i="72"/>
  <c r="V84" i="72" s="1"/>
  <c r="Q10" i="71"/>
  <c r="Q79" i="71" s="1"/>
  <c r="V15" i="71"/>
  <c r="V84" i="71" s="1"/>
  <c r="U14" i="72"/>
  <c r="U83" i="72" s="1"/>
  <c r="V15" i="73"/>
  <c r="V84" i="73" s="1"/>
  <c r="Z19" i="72"/>
  <c r="Z88" i="72" s="1"/>
  <c r="N7" i="73"/>
  <c r="N76" i="73" s="1"/>
  <c r="T13" i="72"/>
  <c r="T82" i="72" s="1"/>
  <c r="P9" i="72"/>
  <c r="P78" i="72" s="1"/>
  <c r="N7" i="71"/>
  <c r="N76" i="71" s="1"/>
  <c r="Q10" i="72"/>
  <c r="Q79" i="72" s="1"/>
  <c r="Y18" i="72"/>
  <c r="Y87" i="72" s="1"/>
  <c r="P9" i="73"/>
  <c r="P78" i="73" s="1"/>
  <c r="Z19" i="73"/>
  <c r="Z88" i="73" s="1"/>
  <c r="N7" i="72"/>
  <c r="N76" i="72" s="1"/>
  <c r="U14" i="71"/>
  <c r="U83" i="71" s="1"/>
  <c r="U111" i="71" s="1"/>
  <c r="X17" i="71"/>
  <c r="X86" i="71" s="1"/>
  <c r="X17" i="72"/>
  <c r="X86" i="72" s="1"/>
  <c r="Q10" i="73"/>
  <c r="Q79" i="73" s="1"/>
  <c r="Y18" i="73"/>
  <c r="Y87" i="73" s="1"/>
  <c r="Y115" i="73" s="1"/>
  <c r="R11" i="72"/>
  <c r="U14" i="73"/>
  <c r="U83" i="73" s="1"/>
  <c r="P9" i="71"/>
  <c r="P78" i="71" s="1"/>
  <c r="P106" i="71" s="1"/>
  <c r="T13" i="73"/>
  <c r="T82" i="73" s="1"/>
  <c r="T110" i="73" s="1"/>
  <c r="AA24" i="71"/>
  <c r="Z23" i="71"/>
  <c r="AB25" i="71"/>
  <c r="AB94" i="71" s="1"/>
  <c r="AB122" i="71" s="1"/>
  <c r="M10" i="71"/>
  <c r="M79" i="71" s="1"/>
  <c r="M107" i="71" s="1"/>
  <c r="Y22" i="71"/>
  <c r="R15" i="71"/>
  <c r="R84" i="71" s="1"/>
  <c r="Q14" i="72"/>
  <c r="Q83" i="72" s="1"/>
  <c r="R15" i="73"/>
  <c r="R84" i="73" s="1"/>
  <c r="V19" i="72"/>
  <c r="V88" i="72" s="1"/>
  <c r="J7" i="73"/>
  <c r="J76" i="73" s="1"/>
  <c r="P13" i="72"/>
  <c r="P82" i="72" s="1"/>
  <c r="P110" i="72" s="1"/>
  <c r="L9" i="72"/>
  <c r="L78" i="72" s="1"/>
  <c r="L106" i="72" s="1"/>
  <c r="J7" i="71"/>
  <c r="J76" i="71" s="1"/>
  <c r="M10" i="72"/>
  <c r="M79" i="72" s="1"/>
  <c r="U18" i="72"/>
  <c r="U87" i="72" s="1"/>
  <c r="Y22" i="72"/>
  <c r="L9" i="73"/>
  <c r="L78" i="73" s="1"/>
  <c r="V19" i="73"/>
  <c r="V88" i="73" s="1"/>
  <c r="J7" i="72"/>
  <c r="J76" i="72" s="1"/>
  <c r="Q14" i="71"/>
  <c r="Q83" i="71" s="1"/>
  <c r="T17" i="71"/>
  <c r="T86" i="71" s="1"/>
  <c r="T17" i="72"/>
  <c r="T86" i="72" s="1"/>
  <c r="M10" i="73"/>
  <c r="M79" i="73" s="1"/>
  <c r="U18" i="73"/>
  <c r="U87" i="73" s="1"/>
  <c r="N11" i="72"/>
  <c r="N80" i="72" s="1"/>
  <c r="N108" i="72" s="1"/>
  <c r="Q14" i="73"/>
  <c r="Q83" i="73" s="1"/>
  <c r="L9" i="71"/>
  <c r="L78" i="71" s="1"/>
  <c r="L106" i="71" s="1"/>
  <c r="P13" i="73"/>
  <c r="P82" i="73" s="1"/>
  <c r="U18" i="71"/>
  <c r="U87" i="71" s="1"/>
  <c r="X21" i="72"/>
  <c r="X90" i="72" s="1"/>
  <c r="N11" i="73"/>
  <c r="N80" i="73" s="1"/>
  <c r="R15" i="72"/>
  <c r="R84" i="72" s="1"/>
  <c r="R112" i="72" s="1"/>
  <c r="W24" i="71"/>
  <c r="V23" i="71"/>
  <c r="X25" i="71"/>
  <c r="AA28" i="71"/>
  <c r="Z27" i="71"/>
  <c r="AB29" i="71"/>
  <c r="AB98" i="71" s="1"/>
  <c r="AB126" i="71" s="1"/>
  <c r="Y26" i="71"/>
  <c r="L13" i="72"/>
  <c r="L82" i="72" s="1"/>
  <c r="L110" i="72" s="1"/>
  <c r="H9" i="72"/>
  <c r="H78" i="72" s="1"/>
  <c r="H106" i="72" s="1"/>
  <c r="F7" i="71"/>
  <c r="F76" i="71" s="1"/>
  <c r="I10" i="72"/>
  <c r="I79" i="72" s="1"/>
  <c r="Q18" i="72"/>
  <c r="Q87" i="72" s="1"/>
  <c r="U22" i="72"/>
  <c r="H9" i="73"/>
  <c r="H78" i="73" s="1"/>
  <c r="R19" i="73"/>
  <c r="R88" i="73" s="1"/>
  <c r="F7" i="72"/>
  <c r="F76" i="72" s="1"/>
  <c r="M14" i="71"/>
  <c r="M83" i="71" s="1"/>
  <c r="M111" i="71" s="1"/>
  <c r="P17" i="71"/>
  <c r="P86" i="71" s="1"/>
  <c r="P17" i="72"/>
  <c r="P86" i="72" s="1"/>
  <c r="P114" i="72" s="1"/>
  <c r="I10" i="73"/>
  <c r="I79" i="73" s="1"/>
  <c r="Q18" i="73"/>
  <c r="Q87" i="73" s="1"/>
  <c r="J11" i="72"/>
  <c r="J80" i="72" s="1"/>
  <c r="M14" i="73"/>
  <c r="M83" i="73" s="1"/>
  <c r="H9" i="71"/>
  <c r="H78" i="71" s="1"/>
  <c r="L13" i="73"/>
  <c r="L82" i="73" s="1"/>
  <c r="L110" i="73" s="1"/>
  <c r="Q18" i="71"/>
  <c r="Q87" i="71" s="1"/>
  <c r="T21" i="72"/>
  <c r="T90" i="72" s="1"/>
  <c r="J11" i="73"/>
  <c r="J80" i="73" s="1"/>
  <c r="N15" i="72"/>
  <c r="N84" i="72" s="1"/>
  <c r="I10" i="71"/>
  <c r="I79" i="71" s="1"/>
  <c r="U22" i="71"/>
  <c r="N15" i="71"/>
  <c r="N84" i="71" s="1"/>
  <c r="M14" i="72"/>
  <c r="M83" i="72" s="1"/>
  <c r="N15" i="73"/>
  <c r="N84" i="73" s="1"/>
  <c r="R19" i="72"/>
  <c r="R88" i="72" s="1"/>
  <c r="F7" i="73"/>
  <c r="F76" i="73" s="1"/>
  <c r="D107" i="52"/>
  <c r="E109" i="52"/>
  <c r="H110" i="52"/>
  <c r="C112" i="52"/>
  <c r="C113" i="52"/>
  <c r="K113" i="52"/>
  <c r="L114" i="52"/>
  <c r="M115" i="52"/>
  <c r="J116" i="52"/>
  <c r="F117" i="52"/>
  <c r="N117" i="52"/>
  <c r="I118" i="52"/>
  <c r="C119" i="52"/>
  <c r="K119" i="52"/>
  <c r="D120" i="52"/>
  <c r="L120" i="52"/>
  <c r="D121" i="52"/>
  <c r="L121" i="52"/>
  <c r="T121" i="52"/>
  <c r="J122" i="52"/>
  <c r="R122" i="52"/>
  <c r="H123" i="52"/>
  <c r="P123" i="52"/>
  <c r="E124" i="52"/>
  <c r="M124" i="52"/>
  <c r="U124" i="52"/>
  <c r="I125" i="52"/>
  <c r="Q125" i="52"/>
  <c r="D126" i="52"/>
  <c r="L126" i="52"/>
  <c r="T126" i="52"/>
  <c r="F127" i="52"/>
  <c r="N127" i="52"/>
  <c r="V127" i="52"/>
  <c r="G128" i="52"/>
  <c r="O128" i="52"/>
  <c r="W128" i="52"/>
  <c r="G129" i="52"/>
  <c r="O129" i="52"/>
  <c r="W129" i="52"/>
  <c r="V123" i="52"/>
  <c r="S120" i="68"/>
  <c r="C173" i="32"/>
  <c r="C169" i="32"/>
  <c r="C142" i="32"/>
  <c r="C146" i="32"/>
  <c r="C150" i="32"/>
  <c r="C154" i="32"/>
  <c r="C158" i="32"/>
  <c r="C162" i="32"/>
  <c r="C166" i="32"/>
  <c r="E141" i="32"/>
  <c r="D142" i="32"/>
  <c r="D143" i="32"/>
  <c r="E144" i="32"/>
  <c r="G145" i="32"/>
  <c r="J146" i="32"/>
  <c r="F146" i="32"/>
  <c r="J147" i="32"/>
  <c r="F147" i="32"/>
  <c r="K148" i="32"/>
  <c r="G148" i="32"/>
  <c r="M149" i="32"/>
  <c r="I149" i="32"/>
  <c r="E149" i="32"/>
  <c r="L150" i="32"/>
  <c r="H150" i="32"/>
  <c r="D150" i="32"/>
  <c r="L151" i="32"/>
  <c r="H151" i="32"/>
  <c r="D151" i="32"/>
  <c r="M152" i="32"/>
  <c r="I152" i="32"/>
  <c r="E152" i="32"/>
  <c r="O153" i="32"/>
  <c r="K153" i="32"/>
  <c r="G153" i="32"/>
  <c r="R154" i="32"/>
  <c r="N154" i="32"/>
  <c r="J154" i="32"/>
  <c r="F154" i="32"/>
  <c r="AF173" i="32"/>
  <c r="X173" i="32"/>
  <c r="P173" i="32"/>
  <c r="H173" i="32"/>
  <c r="AI172" i="32"/>
  <c r="AA172" i="32"/>
  <c r="S172" i="32"/>
  <c r="K172" i="32"/>
  <c r="AL171" i="32"/>
  <c r="AD171" i="32"/>
  <c r="V171" i="32"/>
  <c r="N171" i="32"/>
  <c r="F171" i="32"/>
  <c r="AG170" i="32"/>
  <c r="Y170" i="32"/>
  <c r="Q170" i="32"/>
  <c r="I170" i="32"/>
  <c r="AJ169" i="32"/>
  <c r="AB169" i="32"/>
  <c r="T169" i="32"/>
  <c r="L169" i="32"/>
  <c r="D169" i="32"/>
  <c r="AE168" i="32"/>
  <c r="W168" i="32"/>
  <c r="O168" i="32"/>
  <c r="G168" i="32"/>
  <c r="AH167" i="32"/>
  <c r="Z167" i="32"/>
  <c r="R167" i="32"/>
  <c r="J167" i="32"/>
  <c r="AK166" i="32"/>
  <c r="AC166" i="32"/>
  <c r="U166" i="32"/>
  <c r="M166" i="32"/>
  <c r="E166" i="32"/>
  <c r="AF165" i="32"/>
  <c r="X165" i="32"/>
  <c r="P165" i="32"/>
  <c r="H165" i="32"/>
  <c r="AI164" i="32"/>
  <c r="AA164" i="32"/>
  <c r="S164" i="32"/>
  <c r="K164" i="32"/>
  <c r="AL163" i="32"/>
  <c r="AD163" i="32"/>
  <c r="V163" i="32"/>
  <c r="N163" i="32"/>
  <c r="F163" i="32"/>
  <c r="AG162" i="32"/>
  <c r="Y162" i="32"/>
  <c r="Q162" i="32"/>
  <c r="I162" i="32"/>
  <c r="AJ161" i="32"/>
  <c r="AB161" i="32"/>
  <c r="T161" i="32"/>
  <c r="L161" i="32"/>
  <c r="D161" i="32"/>
  <c r="AE160" i="32"/>
  <c r="W160" i="32"/>
  <c r="O160" i="32"/>
  <c r="G160" i="32"/>
  <c r="AH159" i="32"/>
  <c r="Z159" i="32"/>
  <c r="R159" i="32"/>
  <c r="J159" i="32"/>
  <c r="X76" i="68"/>
  <c r="X104" i="68" s="1"/>
  <c r="C108" i="52"/>
  <c r="G109" i="52"/>
  <c r="D111" i="52"/>
  <c r="E112" i="52"/>
  <c r="E113" i="52"/>
  <c r="D114" i="52"/>
  <c r="E115" i="52"/>
  <c r="D116" i="52"/>
  <c r="L116" i="52"/>
  <c r="H117" i="52"/>
  <c r="C118" i="52"/>
  <c r="K118" i="52"/>
  <c r="E119" i="52"/>
  <c r="M119" i="52"/>
  <c r="F120" i="52"/>
  <c r="N120" i="52"/>
  <c r="F121" i="52"/>
  <c r="N121" i="52"/>
  <c r="D122" i="52"/>
  <c r="L122" i="52"/>
  <c r="T122" i="52"/>
  <c r="J123" i="52"/>
  <c r="R123" i="52"/>
  <c r="G124" i="52"/>
  <c r="O124" i="52"/>
  <c r="C125" i="52"/>
  <c r="K125" i="52"/>
  <c r="S125" i="52"/>
  <c r="F126" i="52"/>
  <c r="N126" i="52"/>
  <c r="V126" i="52"/>
  <c r="H127" i="52"/>
  <c r="P127" i="52"/>
  <c r="X127" i="52"/>
  <c r="I128" i="52"/>
  <c r="Q128" i="52"/>
  <c r="Y128" i="52"/>
  <c r="I129" i="52"/>
  <c r="Q129" i="52"/>
  <c r="Y129" i="52"/>
  <c r="X125" i="52"/>
  <c r="AB129" i="68"/>
  <c r="N9" i="66"/>
  <c r="W18" i="68"/>
  <c r="W87" i="68" s="1"/>
  <c r="U14" i="68"/>
  <c r="K10" i="68"/>
  <c r="P18" i="68"/>
  <c r="Q18" i="68"/>
  <c r="W14" i="68"/>
  <c r="T13" i="68"/>
  <c r="R7" i="68"/>
  <c r="S41" i="68" s="1"/>
  <c r="M14" i="68"/>
  <c r="O17" i="68"/>
  <c r="AA22" i="52"/>
  <c r="AA91" i="52" s="1"/>
  <c r="S38" i="64"/>
  <c r="W38" i="64"/>
  <c r="AA38" i="64"/>
  <c r="T38" i="64"/>
  <c r="X38" i="64"/>
  <c r="AB38" i="64"/>
  <c r="U38" i="64"/>
  <c r="Y38" i="64"/>
  <c r="R38" i="64"/>
  <c r="V38" i="64"/>
  <c r="Z38" i="64"/>
  <c r="G38" i="52"/>
  <c r="P140" i="72"/>
  <c r="P144" i="72"/>
  <c r="P148" i="72"/>
  <c r="P141" i="72"/>
  <c r="P145" i="72"/>
  <c r="P149" i="72"/>
  <c r="P138" i="72"/>
  <c r="P142" i="72"/>
  <c r="P146" i="72"/>
  <c r="P150" i="72"/>
  <c r="P139" i="72"/>
  <c r="P143" i="72"/>
  <c r="P147" i="72"/>
  <c r="R20" i="72"/>
  <c r="R89" i="72" s="1"/>
  <c r="R117" i="72" s="1"/>
  <c r="V20" i="72"/>
  <c r="V89" i="72" s="1"/>
  <c r="Z20" i="72"/>
  <c r="Z89" i="72" s="1"/>
  <c r="P20" i="72"/>
  <c r="P89" i="72" s="1"/>
  <c r="S20" i="72"/>
  <c r="S89" i="72" s="1"/>
  <c r="W20" i="72"/>
  <c r="W89" i="72" s="1"/>
  <c r="AA20" i="72"/>
  <c r="AA89" i="72" s="1"/>
  <c r="T20" i="72"/>
  <c r="T89" i="72" s="1"/>
  <c r="X20" i="72"/>
  <c r="X89" i="72" s="1"/>
  <c r="AB20" i="72"/>
  <c r="AB89" i="72" s="1"/>
  <c r="Q20" i="72"/>
  <c r="Q89" i="72" s="1"/>
  <c r="U20" i="72"/>
  <c r="U89" i="72" s="1"/>
  <c r="Y20" i="72"/>
  <c r="Y89" i="72" s="1"/>
  <c r="M7" i="73"/>
  <c r="M76" i="73" s="1"/>
  <c r="W7" i="73"/>
  <c r="W76" i="73" s="1"/>
  <c r="G7" i="73"/>
  <c r="G76" i="73" s="1"/>
  <c r="S19" i="72"/>
  <c r="S88" i="72" s="1"/>
  <c r="S116" i="72" s="1"/>
  <c r="M15" i="73"/>
  <c r="M84" i="73" s="1"/>
  <c r="W15" i="73"/>
  <c r="W84" i="73" s="1"/>
  <c r="AA17" i="71"/>
  <c r="AA86" i="71" s="1"/>
  <c r="Q13" i="73"/>
  <c r="Q82" i="73" s="1"/>
  <c r="Q110" i="73" s="1"/>
  <c r="W13" i="73"/>
  <c r="W82" i="73" s="1"/>
  <c r="T14" i="72"/>
  <c r="T83" i="72" s="1"/>
  <c r="T111" i="72" s="1"/>
  <c r="N14" i="72"/>
  <c r="N83" i="72" s="1"/>
  <c r="V14" i="71"/>
  <c r="V83" i="71" s="1"/>
  <c r="AB14" i="71"/>
  <c r="AB83" i="71" s="1"/>
  <c r="L14" i="71"/>
  <c r="L83" i="71" s="1"/>
  <c r="E142" i="69"/>
  <c r="E147" i="69"/>
  <c r="E139" i="69"/>
  <c r="E143" i="69"/>
  <c r="E146" i="69"/>
  <c r="E140" i="69"/>
  <c r="E144" i="69"/>
  <c r="E149" i="69"/>
  <c r="E138" i="69"/>
  <c r="E141" i="69"/>
  <c r="E145" i="69"/>
  <c r="E148" i="69"/>
  <c r="M143" i="68"/>
  <c r="M139" i="68"/>
  <c r="M147" i="68"/>
  <c r="M142" i="68"/>
  <c r="M146" i="68"/>
  <c r="M145" i="68"/>
  <c r="M141" i="68"/>
  <c r="M138" i="68"/>
  <c r="M144" i="68"/>
  <c r="M140" i="68"/>
  <c r="M148" i="68"/>
  <c r="Q149" i="70"/>
  <c r="Q145" i="70"/>
  <c r="Q141" i="70"/>
  <c r="Q148" i="70"/>
  <c r="Q144" i="70"/>
  <c r="Q140" i="70"/>
  <c r="Q147" i="70"/>
  <c r="Q143" i="70"/>
  <c r="Q139" i="70"/>
  <c r="Q150" i="70"/>
  <c r="Q146" i="70"/>
  <c r="Q142" i="70"/>
  <c r="Q138" i="70"/>
  <c r="C38" i="70"/>
  <c r="H141" i="71"/>
  <c r="H145" i="71"/>
  <c r="H149" i="71"/>
  <c r="H138" i="71"/>
  <c r="H142" i="71"/>
  <c r="H146" i="71"/>
  <c r="H150" i="71"/>
  <c r="H139" i="71"/>
  <c r="H143" i="71"/>
  <c r="H147" i="71"/>
  <c r="H140" i="71"/>
  <c r="H144" i="71"/>
  <c r="H148" i="71"/>
  <c r="H132" i="71" s="1"/>
  <c r="I12" i="71"/>
  <c r="I81" i="71" s="1"/>
  <c r="M12" i="71"/>
  <c r="M81" i="71" s="1"/>
  <c r="Q12" i="71"/>
  <c r="Q81" i="71" s="1"/>
  <c r="U12" i="71"/>
  <c r="U81" i="71" s="1"/>
  <c r="Y12" i="71"/>
  <c r="Y81" i="71" s="1"/>
  <c r="J12" i="71"/>
  <c r="J81" i="71" s="1"/>
  <c r="N12" i="71"/>
  <c r="N81" i="71" s="1"/>
  <c r="R12" i="71"/>
  <c r="R81" i="71" s="1"/>
  <c r="V12" i="71"/>
  <c r="V81" i="71" s="1"/>
  <c r="Z12" i="71"/>
  <c r="Z81" i="71" s="1"/>
  <c r="K12" i="71"/>
  <c r="K81" i="71" s="1"/>
  <c r="O12" i="71"/>
  <c r="O81" i="71" s="1"/>
  <c r="S12" i="71"/>
  <c r="S81" i="71" s="1"/>
  <c r="W12" i="71"/>
  <c r="W81" i="71" s="1"/>
  <c r="AA12" i="71"/>
  <c r="AA81" i="71" s="1"/>
  <c r="L12" i="71"/>
  <c r="L81" i="71" s="1"/>
  <c r="P12" i="71"/>
  <c r="P81" i="71" s="1"/>
  <c r="T12" i="71"/>
  <c r="T81" i="71" s="1"/>
  <c r="X12" i="71"/>
  <c r="X81" i="71" s="1"/>
  <c r="AB12" i="71"/>
  <c r="AB81" i="71" s="1"/>
  <c r="AB109" i="71" s="1"/>
  <c r="H12" i="71"/>
  <c r="H81" i="71" s="1"/>
  <c r="Y7" i="72"/>
  <c r="Y76" i="72" s="1"/>
  <c r="Y104" i="72" s="1"/>
  <c r="I7" i="72"/>
  <c r="I76" i="72" s="1"/>
  <c r="S7" i="72"/>
  <c r="S76" i="72" s="1"/>
  <c r="Y19" i="73"/>
  <c r="Y88" i="73" s="1"/>
  <c r="G138" i="71"/>
  <c r="G142" i="71"/>
  <c r="G146" i="71"/>
  <c r="G150" i="71"/>
  <c r="G139" i="71"/>
  <c r="G143" i="71"/>
  <c r="G147" i="71"/>
  <c r="G140" i="71"/>
  <c r="G144" i="71"/>
  <c r="G148" i="71"/>
  <c r="G141" i="71"/>
  <c r="G145" i="71"/>
  <c r="G149" i="71"/>
  <c r="H11" i="71"/>
  <c r="H80" i="71" s="1"/>
  <c r="L11" i="71"/>
  <c r="L80" i="71" s="1"/>
  <c r="P11" i="71"/>
  <c r="P80" i="71" s="1"/>
  <c r="T11" i="71"/>
  <c r="T80" i="71" s="1"/>
  <c r="X11" i="71"/>
  <c r="X80" i="71" s="1"/>
  <c r="AB11" i="71"/>
  <c r="AB80" i="71" s="1"/>
  <c r="AB108" i="71" s="1"/>
  <c r="G11" i="71"/>
  <c r="G80" i="71" s="1"/>
  <c r="I11" i="71"/>
  <c r="I80" i="71" s="1"/>
  <c r="M11" i="71"/>
  <c r="M80" i="71" s="1"/>
  <c r="Q11" i="71"/>
  <c r="Q80" i="71" s="1"/>
  <c r="U11" i="71"/>
  <c r="U80" i="71" s="1"/>
  <c r="Y11" i="71"/>
  <c r="Y80" i="71" s="1"/>
  <c r="J11" i="71"/>
  <c r="J80" i="71" s="1"/>
  <c r="N11" i="71"/>
  <c r="N80" i="71" s="1"/>
  <c r="R11" i="71"/>
  <c r="R80" i="71" s="1"/>
  <c r="V11" i="71"/>
  <c r="V80" i="71" s="1"/>
  <c r="Z11" i="71"/>
  <c r="Z80" i="71" s="1"/>
  <c r="K11" i="71"/>
  <c r="K80" i="71" s="1"/>
  <c r="O11" i="71"/>
  <c r="O80" i="71" s="1"/>
  <c r="S11" i="71"/>
  <c r="S80" i="71" s="1"/>
  <c r="W11" i="71"/>
  <c r="W80" i="71" s="1"/>
  <c r="AA11" i="71"/>
  <c r="AA80" i="71" s="1"/>
  <c r="Y9" i="71"/>
  <c r="Y78" i="71" s="1"/>
  <c r="I9" i="71"/>
  <c r="I78" i="71" s="1"/>
  <c r="W9" i="71"/>
  <c r="W78" i="71" s="1"/>
  <c r="G9" i="71"/>
  <c r="G78" i="71" s="1"/>
  <c r="AB14" i="73"/>
  <c r="AB83" i="73" s="1"/>
  <c r="L14" i="73"/>
  <c r="L83" i="73" s="1"/>
  <c r="V14" i="73"/>
  <c r="V83" i="73" s="1"/>
  <c r="O9" i="73"/>
  <c r="O78" i="73" s="1"/>
  <c r="O106" i="73" s="1"/>
  <c r="M9" i="73"/>
  <c r="M78" i="73" s="1"/>
  <c r="C38" i="64"/>
  <c r="F138" i="69"/>
  <c r="F141" i="69"/>
  <c r="F145" i="69"/>
  <c r="F148" i="69"/>
  <c r="F142" i="69"/>
  <c r="F147" i="69"/>
  <c r="F139" i="69"/>
  <c r="F143" i="69"/>
  <c r="F146" i="69"/>
  <c r="F140" i="69"/>
  <c r="F144" i="69"/>
  <c r="F149" i="69"/>
  <c r="J144" i="68"/>
  <c r="J140" i="68"/>
  <c r="J148" i="68"/>
  <c r="J132" i="68" s="1"/>
  <c r="J143" i="68"/>
  <c r="J139" i="68"/>
  <c r="J147" i="68"/>
  <c r="J142" i="68"/>
  <c r="J146" i="68"/>
  <c r="J145" i="68"/>
  <c r="J141" i="68"/>
  <c r="J138" i="68"/>
  <c r="Q138" i="73"/>
  <c r="Q142" i="73"/>
  <c r="Q146" i="73"/>
  <c r="Q150" i="73"/>
  <c r="Q139" i="73"/>
  <c r="Q143" i="73"/>
  <c r="Q147" i="73"/>
  <c r="Q140" i="73"/>
  <c r="Q144" i="73"/>
  <c r="Q148" i="73"/>
  <c r="Q132" i="73" s="1"/>
  <c r="Q149" i="73"/>
  <c r="Q141" i="73"/>
  <c r="Q145" i="73"/>
  <c r="V90" i="73"/>
  <c r="Z90" i="73"/>
  <c r="S90" i="73"/>
  <c r="AA90" i="73"/>
  <c r="T90" i="73"/>
  <c r="X90" i="73"/>
  <c r="U90" i="73"/>
  <c r="Y90" i="73"/>
  <c r="Q90" i="73"/>
  <c r="V23" i="72"/>
  <c r="S141" i="72"/>
  <c r="S145" i="72"/>
  <c r="S149" i="72"/>
  <c r="D39" i="66" s="1"/>
  <c r="S138" i="72"/>
  <c r="S142" i="72"/>
  <c r="S146" i="72"/>
  <c r="S150" i="72"/>
  <c r="D38" i="66" s="1"/>
  <c r="S139" i="72"/>
  <c r="S143" i="72"/>
  <c r="S147" i="72"/>
  <c r="S144" i="72"/>
  <c r="S148" i="72"/>
  <c r="S132" i="72" s="1"/>
  <c r="S140" i="72"/>
  <c r="U23" i="72"/>
  <c r="Y23" i="72"/>
  <c r="AB23" i="72"/>
  <c r="AB92" i="72" s="1"/>
  <c r="AB120" i="72" s="1"/>
  <c r="W23" i="72"/>
  <c r="X23" i="72"/>
  <c r="Z23" i="72"/>
  <c r="T23" i="72"/>
  <c r="S23" i="72"/>
  <c r="AA23" i="72"/>
  <c r="X140" i="72"/>
  <c r="X144" i="72"/>
  <c r="X148" i="72"/>
  <c r="X132" i="72" s="1"/>
  <c r="X141" i="72"/>
  <c r="X145" i="72"/>
  <c r="X149" i="72"/>
  <c r="I39" i="66" s="1"/>
  <c r="X138" i="72"/>
  <c r="X142" i="72"/>
  <c r="X146" i="72"/>
  <c r="X150" i="72"/>
  <c r="I38" i="66" s="1"/>
  <c r="X147" i="72"/>
  <c r="X139" i="72"/>
  <c r="X143" i="72"/>
  <c r="Y28" i="72"/>
  <c r="Z28" i="72"/>
  <c r="X28" i="72"/>
  <c r="AA28" i="72"/>
  <c r="AB28" i="72"/>
  <c r="AB97" i="72" s="1"/>
  <c r="AB125" i="72" s="1"/>
  <c r="AA141" i="72"/>
  <c r="AA145" i="72"/>
  <c r="AA149" i="72"/>
  <c r="L39" i="66" s="1"/>
  <c r="AA138" i="72"/>
  <c r="AA142" i="72"/>
  <c r="AA146" i="72"/>
  <c r="AA150" i="72"/>
  <c r="L38" i="66" s="1"/>
  <c r="AA139" i="72"/>
  <c r="AA143" i="72"/>
  <c r="AA147" i="72"/>
  <c r="AA140" i="72"/>
  <c r="AA144" i="72"/>
  <c r="AA148" i="72"/>
  <c r="AA132" i="72" s="1"/>
  <c r="AB31" i="72"/>
  <c r="AB100" i="72" s="1"/>
  <c r="AB128" i="72" s="1"/>
  <c r="AA31" i="72"/>
  <c r="Z138" i="72"/>
  <c r="Z142" i="72"/>
  <c r="Z146" i="72"/>
  <c r="Z150" i="72"/>
  <c r="K38" i="66" s="1"/>
  <c r="Z139" i="72"/>
  <c r="Z143" i="72"/>
  <c r="Z147" i="72"/>
  <c r="Z140" i="72"/>
  <c r="Z144" i="72"/>
  <c r="Z148" i="72"/>
  <c r="Z132" i="72" s="1"/>
  <c r="Z145" i="72"/>
  <c r="Z149" i="72"/>
  <c r="K39" i="66" s="1"/>
  <c r="Z141" i="72"/>
  <c r="AA30" i="72"/>
  <c r="AB30" i="72"/>
  <c r="AB99" i="72" s="1"/>
  <c r="AB127" i="72" s="1"/>
  <c r="Z30" i="72"/>
  <c r="H140" i="72"/>
  <c r="H144" i="72"/>
  <c r="H148" i="72"/>
  <c r="H132" i="72" s="1"/>
  <c r="H141" i="72"/>
  <c r="H145" i="72"/>
  <c r="H149" i="72"/>
  <c r="H138" i="72"/>
  <c r="H142" i="72"/>
  <c r="H146" i="72"/>
  <c r="H150" i="72"/>
  <c r="H147" i="72"/>
  <c r="H139" i="72"/>
  <c r="H143" i="72"/>
  <c r="J12" i="72"/>
  <c r="J81" i="72" s="1"/>
  <c r="J109" i="72" s="1"/>
  <c r="N12" i="72"/>
  <c r="N81" i="72" s="1"/>
  <c r="R12" i="72"/>
  <c r="R81" i="72" s="1"/>
  <c r="V12" i="72"/>
  <c r="V81" i="72" s="1"/>
  <c r="Z12" i="72"/>
  <c r="Z81" i="72" s="1"/>
  <c r="H12" i="72"/>
  <c r="H81" i="72" s="1"/>
  <c r="K12" i="72"/>
  <c r="K81" i="72" s="1"/>
  <c r="O12" i="72"/>
  <c r="O81" i="72" s="1"/>
  <c r="O109" i="72" s="1"/>
  <c r="S12" i="72"/>
  <c r="S81" i="72" s="1"/>
  <c r="S109" i="72" s="1"/>
  <c r="W12" i="72"/>
  <c r="W81" i="72" s="1"/>
  <c r="AA12" i="72"/>
  <c r="AA81" i="72" s="1"/>
  <c r="L12" i="72"/>
  <c r="L81" i="72" s="1"/>
  <c r="P12" i="72"/>
  <c r="P81" i="72" s="1"/>
  <c r="T12" i="72"/>
  <c r="T81" i="72" s="1"/>
  <c r="X12" i="72"/>
  <c r="X81" i="72" s="1"/>
  <c r="AB12" i="72"/>
  <c r="AB81" i="72" s="1"/>
  <c r="AB109" i="72" s="1"/>
  <c r="I12" i="72"/>
  <c r="I81" i="72" s="1"/>
  <c r="I109" i="72" s="1"/>
  <c r="M12" i="72"/>
  <c r="M81" i="72" s="1"/>
  <c r="Q12" i="72"/>
  <c r="Q81" i="72" s="1"/>
  <c r="U12" i="72"/>
  <c r="U81" i="72" s="1"/>
  <c r="Y12" i="72"/>
  <c r="Y81" i="72" s="1"/>
  <c r="Y109" i="72" s="1"/>
  <c r="U15" i="71"/>
  <c r="U84" i="71" s="1"/>
  <c r="AA15" i="71"/>
  <c r="AA84" i="71" s="1"/>
  <c r="AA11" i="72"/>
  <c r="AA80" i="72" s="1"/>
  <c r="K11" i="72"/>
  <c r="K80" i="72" s="1"/>
  <c r="K108" i="72" s="1"/>
  <c r="U11" i="72"/>
  <c r="U80" i="72" s="1"/>
  <c r="AB18" i="72"/>
  <c r="N10" i="72"/>
  <c r="N79" i="72" s="1"/>
  <c r="N107" i="72" s="1"/>
  <c r="AB10" i="72"/>
  <c r="AB79" i="72" s="1"/>
  <c r="AB107" i="72" s="1"/>
  <c r="L10" i="72"/>
  <c r="L79" i="72" s="1"/>
  <c r="G38" i="69"/>
  <c r="K38" i="70"/>
  <c r="R15" i="70" s="1"/>
  <c r="H139" i="73"/>
  <c r="H143" i="73"/>
  <c r="H147" i="73"/>
  <c r="H140" i="73"/>
  <c r="H144" i="73"/>
  <c r="H148" i="73"/>
  <c r="H141" i="73"/>
  <c r="H145" i="73"/>
  <c r="H149" i="73"/>
  <c r="H150" i="73"/>
  <c r="H138" i="73"/>
  <c r="H142" i="73"/>
  <c r="H146" i="73"/>
  <c r="J12" i="73"/>
  <c r="J81" i="73" s="1"/>
  <c r="N12" i="73"/>
  <c r="N81" i="73" s="1"/>
  <c r="R12" i="73"/>
  <c r="R81" i="73" s="1"/>
  <c r="R109" i="73" s="1"/>
  <c r="V12" i="73"/>
  <c r="Z12" i="73"/>
  <c r="Z81" i="73" s="1"/>
  <c r="H12" i="73"/>
  <c r="H81" i="73" s="1"/>
  <c r="H109" i="73" s="1"/>
  <c r="K12" i="73"/>
  <c r="O12" i="73"/>
  <c r="O81" i="73" s="1"/>
  <c r="S12" i="73"/>
  <c r="S81" i="73" s="1"/>
  <c r="W12" i="73"/>
  <c r="W81" i="73" s="1"/>
  <c r="W109" i="73" s="1"/>
  <c r="AA12" i="73"/>
  <c r="AA81" i="73" s="1"/>
  <c r="L12" i="73"/>
  <c r="L81" i="73" s="1"/>
  <c r="P12" i="73"/>
  <c r="P81" i="73" s="1"/>
  <c r="T12" i="73"/>
  <c r="T81" i="73" s="1"/>
  <c r="X12" i="73"/>
  <c r="X81" i="73" s="1"/>
  <c r="AB12" i="73"/>
  <c r="AB81" i="73" s="1"/>
  <c r="AB109" i="73" s="1"/>
  <c r="I12" i="73"/>
  <c r="I81" i="73" s="1"/>
  <c r="M12" i="73"/>
  <c r="M81" i="73" s="1"/>
  <c r="Q12" i="73"/>
  <c r="U12" i="73"/>
  <c r="U81" i="73" s="1"/>
  <c r="U109" i="73" s="1"/>
  <c r="Y12" i="73"/>
  <c r="Y81" i="73" s="1"/>
  <c r="Z22" i="71"/>
  <c r="Q15" i="72"/>
  <c r="Q84" i="72" s="1"/>
  <c r="AA15" i="72"/>
  <c r="AA84" i="72" s="1"/>
  <c r="W11" i="73"/>
  <c r="W80" i="73" s="1"/>
  <c r="Q11" i="73"/>
  <c r="Q80" i="73" s="1"/>
  <c r="Z18" i="73"/>
  <c r="Z87" i="73" s="1"/>
  <c r="X18" i="73"/>
  <c r="X87" i="73" s="1"/>
  <c r="Z10" i="73"/>
  <c r="Z79" i="73" s="1"/>
  <c r="J10" i="73"/>
  <c r="J79" i="73" s="1"/>
  <c r="X10" i="73"/>
  <c r="X79" i="73" s="1"/>
  <c r="H10" i="73"/>
  <c r="H79" i="73" s="1"/>
  <c r="D38" i="70"/>
  <c r="L38" i="69"/>
  <c r="P38" i="69"/>
  <c r="R138" i="69"/>
  <c r="R141" i="69"/>
  <c r="R145" i="69"/>
  <c r="R148" i="69"/>
  <c r="R132" i="69" s="1"/>
  <c r="U38" i="69"/>
  <c r="Y38" i="69"/>
  <c r="R142" i="69"/>
  <c r="R147" i="69"/>
  <c r="V38" i="69"/>
  <c r="Z38" i="69"/>
  <c r="R139" i="69"/>
  <c r="R143" i="69"/>
  <c r="R146" i="69"/>
  <c r="R140" i="69"/>
  <c r="R144" i="69"/>
  <c r="R149" i="69"/>
  <c r="AA38" i="69"/>
  <c r="T38" i="69"/>
  <c r="AB38" i="69"/>
  <c r="W38" i="69"/>
  <c r="X38" i="69"/>
  <c r="R150" i="69"/>
  <c r="T22" i="69"/>
  <c r="X22" i="69"/>
  <c r="AB22" i="69"/>
  <c r="AB91" i="69" s="1"/>
  <c r="AB119" i="69" s="1"/>
  <c r="U22" i="69"/>
  <c r="Y22" i="69"/>
  <c r="V22" i="69"/>
  <c r="Z22" i="69"/>
  <c r="R22" i="69"/>
  <c r="S22" i="69"/>
  <c r="W22" i="69"/>
  <c r="AA22" i="69"/>
  <c r="S21" i="72"/>
  <c r="S90" i="72" s="1"/>
  <c r="M7" i="71"/>
  <c r="M76" i="71" s="1"/>
  <c r="W7" i="71"/>
  <c r="W76" i="71" s="1"/>
  <c r="G7" i="71"/>
  <c r="G76" i="71" s="1"/>
  <c r="O9" i="72"/>
  <c r="O78" i="72" s="1"/>
  <c r="M9" i="72"/>
  <c r="M78" i="72" s="1"/>
  <c r="U13" i="72"/>
  <c r="U82" i="72" s="1"/>
  <c r="U110" i="72" s="1"/>
  <c r="AA13" i="72"/>
  <c r="AA82" i="72" s="1"/>
  <c r="AA110" i="72" s="1"/>
  <c r="V18" i="71"/>
  <c r="V87" i="71" s="1"/>
  <c r="AA17" i="72"/>
  <c r="AA86" i="72" s="1"/>
  <c r="Y17" i="72"/>
  <c r="Y86" i="72" s="1"/>
  <c r="Y114" i="72" s="1"/>
  <c r="P10" i="71"/>
  <c r="P79" i="71" s="1"/>
  <c r="R10" i="71"/>
  <c r="R79" i="71" s="1"/>
  <c r="P155" i="32"/>
  <c r="L155" i="32"/>
  <c r="H155" i="32"/>
  <c r="D155" i="32"/>
  <c r="Q156" i="32"/>
  <c r="M156" i="32"/>
  <c r="I156" i="32"/>
  <c r="E156" i="32"/>
  <c r="S157" i="32"/>
  <c r="O157" i="32"/>
  <c r="K157" i="32"/>
  <c r="G157" i="32"/>
  <c r="V158" i="32"/>
  <c r="R158" i="32"/>
  <c r="N158" i="32"/>
  <c r="J158" i="32"/>
  <c r="F158" i="32"/>
  <c r="AA29" i="52"/>
  <c r="AA98" i="52" s="1"/>
  <c r="X26" i="52"/>
  <c r="X95" i="52" s="1"/>
  <c r="V24" i="52"/>
  <c r="V93" i="52" s="1"/>
  <c r="U23" i="52"/>
  <c r="U92" i="52" s="1"/>
  <c r="AB30" i="52"/>
  <c r="AB99" i="52" s="1"/>
  <c r="W25" i="52"/>
  <c r="W94" i="52" s="1"/>
  <c r="Z28" i="52"/>
  <c r="Z97" i="52" s="1"/>
  <c r="Y27" i="52"/>
  <c r="Y96" i="52" s="1"/>
  <c r="AA24" i="52"/>
  <c r="AA93" i="52" s="1"/>
  <c r="Z23" i="52"/>
  <c r="Z92" i="52" s="1"/>
  <c r="Y22" i="52"/>
  <c r="Y91" i="52" s="1"/>
  <c r="AB25" i="52"/>
  <c r="AB94" i="52" s="1"/>
  <c r="AA28" i="52"/>
  <c r="AA97" i="52" s="1"/>
  <c r="Z27" i="52"/>
  <c r="Z96" i="52" s="1"/>
  <c r="AB29" i="52"/>
  <c r="AB98" i="52" s="1"/>
  <c r="Y26" i="52"/>
  <c r="Y95" i="52" s="1"/>
  <c r="U22" i="52"/>
  <c r="U91" i="52" s="1"/>
  <c r="W24" i="52"/>
  <c r="W93" i="52" s="1"/>
  <c r="V23" i="52"/>
  <c r="V92" i="52" s="1"/>
  <c r="X25" i="52"/>
  <c r="X94" i="52" s="1"/>
  <c r="AB92" i="68"/>
  <c r="AB120" i="68" s="1"/>
  <c r="Z25" i="68"/>
  <c r="AB27" i="68"/>
  <c r="AB96" i="68" s="1"/>
  <c r="AB124" i="68" s="1"/>
  <c r="AA26" i="68"/>
  <c r="Y24" i="68"/>
  <c r="X23" i="68"/>
  <c r="AA25" i="71"/>
  <c r="AB26" i="71"/>
  <c r="AB95" i="71" s="1"/>
  <c r="AB123" i="71" s="1"/>
  <c r="Z24" i="71"/>
  <c r="Y23" i="71"/>
  <c r="AB30" i="71"/>
  <c r="AB99" i="71" s="1"/>
  <c r="AB127" i="71" s="1"/>
  <c r="W25" i="71"/>
  <c r="Z28" i="71"/>
  <c r="Y27" i="71"/>
  <c r="AA29" i="71"/>
  <c r="X26" i="71"/>
  <c r="V24" i="71"/>
  <c r="U23" i="71"/>
  <c r="AB31" i="52"/>
  <c r="AB100" i="52" s="1"/>
  <c r="U24" i="52"/>
  <c r="U93" i="52" s="1"/>
  <c r="T23" i="52"/>
  <c r="T92" i="52" s="1"/>
  <c r="AA30" i="52"/>
  <c r="AA99" i="52" s="1"/>
  <c r="V25" i="52"/>
  <c r="V94" i="52" s="1"/>
  <c r="Y28" i="52"/>
  <c r="Y97" i="52" s="1"/>
  <c r="X27" i="52"/>
  <c r="X96" i="52" s="1"/>
  <c r="Z29" i="52"/>
  <c r="Z98" i="52" s="1"/>
  <c r="W26" i="52"/>
  <c r="W95" i="52" s="1"/>
  <c r="AA18" i="68"/>
  <c r="AA87" i="68" s="1"/>
  <c r="Y14" i="68"/>
  <c r="Y48" i="68" s="1"/>
  <c r="L7" i="68"/>
  <c r="U18" i="68"/>
  <c r="AA14" i="68"/>
  <c r="AB48" i="68" s="1"/>
  <c r="F7" i="68"/>
  <c r="V7" i="68"/>
  <c r="Z21" i="68"/>
  <c r="T22" i="52"/>
  <c r="T91" i="52" s="1"/>
  <c r="L139" i="73"/>
  <c r="L143" i="73"/>
  <c r="L147" i="73"/>
  <c r="L140" i="73"/>
  <c r="L144" i="73"/>
  <c r="L148" i="73"/>
  <c r="L141" i="73"/>
  <c r="L145" i="73"/>
  <c r="L149" i="73"/>
  <c r="L146" i="73"/>
  <c r="L150" i="73"/>
  <c r="L138" i="73"/>
  <c r="L142" i="73"/>
  <c r="P16" i="73"/>
  <c r="P85" i="73" s="1"/>
  <c r="T16" i="73"/>
  <c r="T85" i="73" s="1"/>
  <c r="X16" i="73"/>
  <c r="X85" i="73" s="1"/>
  <c r="AB16" i="73"/>
  <c r="AB85" i="73" s="1"/>
  <c r="L16" i="73"/>
  <c r="L85" i="73" s="1"/>
  <c r="M16" i="73"/>
  <c r="M85" i="73" s="1"/>
  <c r="Q16" i="73"/>
  <c r="Q85" i="73" s="1"/>
  <c r="U16" i="73"/>
  <c r="U85" i="73" s="1"/>
  <c r="Y16" i="73"/>
  <c r="Y85" i="73" s="1"/>
  <c r="N16" i="73"/>
  <c r="N85" i="73" s="1"/>
  <c r="N113" i="73" s="1"/>
  <c r="R16" i="73"/>
  <c r="R85" i="73" s="1"/>
  <c r="R113" i="73" s="1"/>
  <c r="V16" i="73"/>
  <c r="V85" i="73" s="1"/>
  <c r="Z16" i="73"/>
  <c r="Z85" i="73" s="1"/>
  <c r="O16" i="73"/>
  <c r="O85" i="73" s="1"/>
  <c r="O113" i="73" s="1"/>
  <c r="S16" i="73"/>
  <c r="S85" i="73" s="1"/>
  <c r="S113" i="73" s="1"/>
  <c r="W16" i="73"/>
  <c r="W85" i="73" s="1"/>
  <c r="AA16" i="73"/>
  <c r="AA85" i="73" s="1"/>
  <c r="Y7" i="73"/>
  <c r="Y76" i="73" s="1"/>
  <c r="I7" i="73"/>
  <c r="I76" i="73" s="1"/>
  <c r="S7" i="73"/>
  <c r="S76" i="73" s="1"/>
  <c r="Y19" i="72"/>
  <c r="Y88" i="72" s="1"/>
  <c r="Y15" i="73"/>
  <c r="Y84" i="73" s="1"/>
  <c r="S15" i="73"/>
  <c r="S84" i="73" s="1"/>
  <c r="Y17" i="71"/>
  <c r="Y86" i="71" s="1"/>
  <c r="W17" i="71"/>
  <c r="W86" i="71" s="1"/>
  <c r="W114" i="71" s="1"/>
  <c r="M13" i="73"/>
  <c r="M82" i="73" s="1"/>
  <c r="M110" i="73" s="1"/>
  <c r="S13" i="73"/>
  <c r="S82" i="73" s="1"/>
  <c r="P14" i="72"/>
  <c r="P83" i="72" s="1"/>
  <c r="Z14" i="72"/>
  <c r="Z83" i="72" s="1"/>
  <c r="R14" i="71"/>
  <c r="R83" i="71" s="1"/>
  <c r="X14" i="71"/>
  <c r="X83" i="71" s="1"/>
  <c r="I147" i="68"/>
  <c r="I141" i="68"/>
  <c r="I148" i="68"/>
  <c r="I132" i="68" s="1"/>
  <c r="M149" i="70"/>
  <c r="M145" i="70"/>
  <c r="M141" i="70"/>
  <c r="M148" i="70"/>
  <c r="M144" i="70"/>
  <c r="M140" i="70"/>
  <c r="M147" i="70"/>
  <c r="M143" i="70"/>
  <c r="M139" i="70"/>
  <c r="M150" i="70"/>
  <c r="M146" i="70"/>
  <c r="M142" i="70"/>
  <c r="M138" i="70"/>
  <c r="Q142" i="69"/>
  <c r="Q147" i="69"/>
  <c r="Q139" i="69"/>
  <c r="Q143" i="69"/>
  <c r="Q146" i="69"/>
  <c r="Q140" i="69"/>
  <c r="Q144" i="69"/>
  <c r="Q149" i="69"/>
  <c r="Q138" i="69"/>
  <c r="Q141" i="69"/>
  <c r="Q145" i="69"/>
  <c r="Q148" i="69"/>
  <c r="Q132" i="69" s="1"/>
  <c r="D140" i="72"/>
  <c r="D144" i="72"/>
  <c r="D148" i="72"/>
  <c r="D132" i="72" s="1"/>
  <c r="D141" i="72"/>
  <c r="D145" i="72"/>
  <c r="D149" i="72"/>
  <c r="D138" i="72"/>
  <c r="D142" i="72"/>
  <c r="D146" i="72"/>
  <c r="D150" i="72"/>
  <c r="D139" i="72"/>
  <c r="D143" i="72"/>
  <c r="D147" i="72"/>
  <c r="H8" i="72"/>
  <c r="H77" i="72" s="1"/>
  <c r="L8" i="72"/>
  <c r="L77" i="72" s="1"/>
  <c r="P8" i="72"/>
  <c r="P77" i="72" s="1"/>
  <c r="P105" i="72" s="1"/>
  <c r="T8" i="72"/>
  <c r="T77" i="72" s="1"/>
  <c r="X8" i="72"/>
  <c r="X77" i="72" s="1"/>
  <c r="AB8" i="72"/>
  <c r="AB77" i="72" s="1"/>
  <c r="AB105" i="72" s="1"/>
  <c r="D8" i="72"/>
  <c r="D77" i="72" s="1"/>
  <c r="E8" i="72"/>
  <c r="E77" i="72" s="1"/>
  <c r="I8" i="72"/>
  <c r="I77" i="72" s="1"/>
  <c r="M8" i="72"/>
  <c r="Q8" i="72"/>
  <c r="Q77" i="72" s="1"/>
  <c r="Q105" i="72" s="1"/>
  <c r="U8" i="72"/>
  <c r="U77" i="72" s="1"/>
  <c r="Y8" i="72"/>
  <c r="Y77" i="72" s="1"/>
  <c r="F8" i="72"/>
  <c r="F77" i="72" s="1"/>
  <c r="J8" i="72"/>
  <c r="J77" i="72" s="1"/>
  <c r="J105" i="72" s="1"/>
  <c r="N8" i="72"/>
  <c r="N77" i="72" s="1"/>
  <c r="R8" i="72"/>
  <c r="R77" i="72" s="1"/>
  <c r="V8" i="72"/>
  <c r="V77" i="72" s="1"/>
  <c r="V105" i="72" s="1"/>
  <c r="Z8" i="72"/>
  <c r="Z77" i="72" s="1"/>
  <c r="Z105" i="72" s="1"/>
  <c r="G8" i="72"/>
  <c r="G77" i="72" s="1"/>
  <c r="K8" i="72"/>
  <c r="K77" i="72" s="1"/>
  <c r="O8" i="72"/>
  <c r="O77" i="72" s="1"/>
  <c r="S8" i="72"/>
  <c r="S77" i="72" s="1"/>
  <c r="S105" i="72" s="1"/>
  <c r="W8" i="72"/>
  <c r="W77" i="72" s="1"/>
  <c r="AA8" i="72"/>
  <c r="AA77" i="72" s="1"/>
  <c r="U7" i="72"/>
  <c r="U76" i="72" s="1"/>
  <c r="E7" i="72"/>
  <c r="E76" i="72" s="1"/>
  <c r="E104" i="72" s="1"/>
  <c r="O7" i="72"/>
  <c r="O76" i="72" s="1"/>
  <c r="AA19" i="73"/>
  <c r="AA88" i="73" s="1"/>
  <c r="U19" i="73"/>
  <c r="U9" i="71"/>
  <c r="U78" i="71" s="1"/>
  <c r="S9" i="71"/>
  <c r="S78" i="71" s="1"/>
  <c r="X14" i="73"/>
  <c r="X83" i="73" s="1"/>
  <c r="R14" i="73"/>
  <c r="R83" i="73" s="1"/>
  <c r="AA9" i="73"/>
  <c r="AA78" i="73" s="1"/>
  <c r="K9" i="73"/>
  <c r="K78" i="73" s="1"/>
  <c r="Y9" i="73"/>
  <c r="Y78" i="73" s="1"/>
  <c r="I9" i="73"/>
  <c r="I78" i="73" s="1"/>
  <c r="F144" i="68"/>
  <c r="F140" i="68"/>
  <c r="F148" i="68"/>
  <c r="F132" i="68" s="1"/>
  <c r="F143" i="68"/>
  <c r="F139" i="68"/>
  <c r="F147" i="68"/>
  <c r="F142" i="68"/>
  <c r="F146" i="68"/>
  <c r="F145" i="68"/>
  <c r="F141" i="68"/>
  <c r="F138" i="68"/>
  <c r="N138" i="69"/>
  <c r="N142" i="69"/>
  <c r="N146" i="69"/>
  <c r="AB22" i="72"/>
  <c r="AB91" i="72" s="1"/>
  <c r="AB119" i="72" s="1"/>
  <c r="Z29" i="72"/>
  <c r="Y139" i="72"/>
  <c r="Y143" i="72"/>
  <c r="Y147" i="72"/>
  <c r="Y140" i="72"/>
  <c r="Y144" i="72"/>
  <c r="Y148" i="72"/>
  <c r="Y132" i="72" s="1"/>
  <c r="Y141" i="72"/>
  <c r="Y145" i="72"/>
  <c r="Y149" i="72"/>
  <c r="J39" i="66" s="1"/>
  <c r="Y138" i="72"/>
  <c r="Y142" i="72"/>
  <c r="Y146" i="72"/>
  <c r="Y150" i="72"/>
  <c r="J38" i="66" s="1"/>
  <c r="Y29" i="72"/>
  <c r="AA29" i="72"/>
  <c r="AB29" i="72"/>
  <c r="AB98" i="72" s="1"/>
  <c r="AB126" i="72" s="1"/>
  <c r="T140" i="72"/>
  <c r="T144" i="72"/>
  <c r="T148" i="72"/>
  <c r="T132" i="72" s="1"/>
  <c r="T141" i="72"/>
  <c r="T145" i="72"/>
  <c r="T149" i="72"/>
  <c r="E39" i="66" s="1"/>
  <c r="T138" i="72"/>
  <c r="T142" i="72"/>
  <c r="T146" i="72"/>
  <c r="T150" i="72"/>
  <c r="E38" i="66" s="1"/>
  <c r="T139" i="72"/>
  <c r="T143" i="72"/>
  <c r="T147" i="72"/>
  <c r="U24" i="72"/>
  <c r="Y24" i="72"/>
  <c r="V24" i="72"/>
  <c r="Z24" i="72"/>
  <c r="W24" i="72"/>
  <c r="X24" i="72"/>
  <c r="AA24" i="72"/>
  <c r="AB24" i="72"/>
  <c r="AB93" i="72" s="1"/>
  <c r="AB121" i="72" s="1"/>
  <c r="T24" i="72"/>
  <c r="W141" i="72"/>
  <c r="W145" i="72"/>
  <c r="W149" i="72"/>
  <c r="H39" i="66" s="1"/>
  <c r="W138" i="72"/>
  <c r="W142" i="72"/>
  <c r="W146" i="72"/>
  <c r="W150" i="72"/>
  <c r="H38" i="66" s="1"/>
  <c r="W139" i="72"/>
  <c r="W143" i="72"/>
  <c r="W147" i="72"/>
  <c r="W140" i="72"/>
  <c r="W144" i="72"/>
  <c r="W148" i="72"/>
  <c r="W132" i="72" s="1"/>
  <c r="AA27" i="72"/>
  <c r="Z27" i="72"/>
  <c r="AB27" i="72"/>
  <c r="AB96" i="72" s="1"/>
  <c r="AB124" i="72" s="1"/>
  <c r="X27" i="72"/>
  <c r="Y27" i="72"/>
  <c r="W27" i="72"/>
  <c r="V138" i="72"/>
  <c r="V142" i="72"/>
  <c r="V146" i="72"/>
  <c r="V150" i="72"/>
  <c r="G38" i="66" s="1"/>
  <c r="V139" i="72"/>
  <c r="V143" i="72"/>
  <c r="V147" i="72"/>
  <c r="V140" i="72"/>
  <c r="V144" i="72"/>
  <c r="V148" i="72"/>
  <c r="V132" i="72" s="1"/>
  <c r="V149" i="72"/>
  <c r="G39" i="66" s="1"/>
  <c r="V141" i="72"/>
  <c r="V145" i="72"/>
  <c r="Z26" i="72"/>
  <c r="W26" i="72"/>
  <c r="AA26" i="72"/>
  <c r="X26" i="72"/>
  <c r="Y26" i="72"/>
  <c r="AB26" i="72"/>
  <c r="AB95" i="72" s="1"/>
  <c r="AB123" i="72" s="1"/>
  <c r="V26" i="72"/>
  <c r="D139" i="73"/>
  <c r="D143" i="73"/>
  <c r="D147" i="73"/>
  <c r="D140" i="73"/>
  <c r="D144" i="73"/>
  <c r="D148" i="73"/>
  <c r="D132" i="73" s="1"/>
  <c r="D141" i="73"/>
  <c r="D145" i="73"/>
  <c r="D149" i="73"/>
  <c r="D138" i="73"/>
  <c r="D142" i="73"/>
  <c r="D146" i="73"/>
  <c r="D150" i="73"/>
  <c r="H8" i="73"/>
  <c r="H77" i="73" s="1"/>
  <c r="L8" i="73"/>
  <c r="L77" i="73" s="1"/>
  <c r="L105" i="73" s="1"/>
  <c r="P8" i="73"/>
  <c r="P77" i="73" s="1"/>
  <c r="T8" i="73"/>
  <c r="T77" i="73" s="1"/>
  <c r="T105" i="73" s="1"/>
  <c r="X8" i="73"/>
  <c r="AB8" i="73"/>
  <c r="AB77" i="73" s="1"/>
  <c r="AB105" i="73" s="1"/>
  <c r="D8" i="73"/>
  <c r="D77" i="73" s="1"/>
  <c r="E8" i="73"/>
  <c r="E77" i="73" s="1"/>
  <c r="E105" i="73" s="1"/>
  <c r="I8" i="73"/>
  <c r="I77" i="73" s="1"/>
  <c r="I105" i="73" s="1"/>
  <c r="M8" i="73"/>
  <c r="M77" i="73" s="1"/>
  <c r="Q8" i="73"/>
  <c r="Q77" i="73" s="1"/>
  <c r="U8" i="73"/>
  <c r="U77" i="73" s="1"/>
  <c r="Y8" i="73"/>
  <c r="Y77" i="73" s="1"/>
  <c r="F8" i="73"/>
  <c r="F77" i="73" s="1"/>
  <c r="J8" i="73"/>
  <c r="J77" i="73" s="1"/>
  <c r="N8" i="73"/>
  <c r="N77" i="73" s="1"/>
  <c r="R8" i="73"/>
  <c r="R77" i="73" s="1"/>
  <c r="R105" i="73" s="1"/>
  <c r="V8" i="73"/>
  <c r="V77" i="73" s="1"/>
  <c r="Z8" i="73"/>
  <c r="Z77" i="73" s="1"/>
  <c r="G8" i="73"/>
  <c r="K8" i="73"/>
  <c r="K77" i="73" s="1"/>
  <c r="O8" i="73"/>
  <c r="O77" i="73" s="1"/>
  <c r="S8" i="73"/>
  <c r="S77" i="73" s="1"/>
  <c r="W8" i="73"/>
  <c r="W77" i="73" s="1"/>
  <c r="W105" i="73" s="1"/>
  <c r="AA8" i="73"/>
  <c r="AA77" i="73" s="1"/>
  <c r="Q15" i="71"/>
  <c r="Q84" i="71" s="1"/>
  <c r="W15" i="71"/>
  <c r="W84" i="71" s="1"/>
  <c r="W11" i="72"/>
  <c r="W80" i="72" s="1"/>
  <c r="Q11" i="72"/>
  <c r="Q80" i="72" s="1"/>
  <c r="Z18" i="72"/>
  <c r="Z87" i="72" s="1"/>
  <c r="X18" i="72"/>
  <c r="X87" i="72" s="1"/>
  <c r="Z10" i="72"/>
  <c r="Z79" i="72" s="1"/>
  <c r="J10" i="72"/>
  <c r="J79" i="72" s="1"/>
  <c r="X10" i="72"/>
  <c r="X79" i="72" s="1"/>
  <c r="H10" i="72"/>
  <c r="H79" i="72" s="1"/>
  <c r="G38" i="68"/>
  <c r="O38" i="69"/>
  <c r="Q140" i="71"/>
  <c r="Q144" i="71"/>
  <c r="Q148" i="71"/>
  <c r="Q141" i="71"/>
  <c r="Q145" i="71"/>
  <c r="Q149" i="71"/>
  <c r="Q138" i="71"/>
  <c r="Q142" i="71"/>
  <c r="Q146" i="71"/>
  <c r="Q150" i="71"/>
  <c r="Q139" i="71"/>
  <c r="Q143" i="71"/>
  <c r="Q147" i="71"/>
  <c r="U21" i="71"/>
  <c r="U90" i="71" s="1"/>
  <c r="Y21" i="71"/>
  <c r="Y90" i="71" s="1"/>
  <c r="Y118" i="71" s="1"/>
  <c r="R21" i="71"/>
  <c r="R90" i="71" s="1"/>
  <c r="V21" i="71"/>
  <c r="V90" i="71" s="1"/>
  <c r="Z21" i="71"/>
  <c r="Z90" i="71" s="1"/>
  <c r="S21" i="71"/>
  <c r="S90" i="71" s="1"/>
  <c r="W21" i="71"/>
  <c r="W90" i="71" s="1"/>
  <c r="W118" i="71" s="1"/>
  <c r="AA21" i="71"/>
  <c r="AA90" i="71" s="1"/>
  <c r="Q21" i="71"/>
  <c r="Q90" i="71" s="1"/>
  <c r="T21" i="71"/>
  <c r="T90" i="71" s="1"/>
  <c r="X21" i="71"/>
  <c r="AB21" i="71"/>
  <c r="AB90" i="71" s="1"/>
  <c r="AB118" i="71" s="1"/>
  <c r="V22" i="71"/>
  <c r="AB22" i="71"/>
  <c r="AB91" i="71" s="1"/>
  <c r="AB119" i="71" s="1"/>
  <c r="O138" i="71"/>
  <c r="O142" i="71"/>
  <c r="O146" i="71"/>
  <c r="O150" i="71"/>
  <c r="O139" i="71"/>
  <c r="O143" i="71"/>
  <c r="O147" i="71"/>
  <c r="O140" i="71"/>
  <c r="O144" i="71"/>
  <c r="O148" i="71"/>
  <c r="O132" i="71" s="1"/>
  <c r="O141" i="71"/>
  <c r="O145" i="71"/>
  <c r="O149" i="71"/>
  <c r="P19" i="71"/>
  <c r="P88" i="71" s="1"/>
  <c r="T19" i="71"/>
  <c r="T88" i="71" s="1"/>
  <c r="X19" i="71"/>
  <c r="X88" i="71" s="1"/>
  <c r="AB19" i="71"/>
  <c r="AB88" i="71" s="1"/>
  <c r="AB116" i="71" s="1"/>
  <c r="O19" i="71"/>
  <c r="O88" i="71" s="1"/>
  <c r="Q19" i="71"/>
  <c r="Q88" i="71" s="1"/>
  <c r="U19" i="71"/>
  <c r="U88" i="71" s="1"/>
  <c r="Y19" i="71"/>
  <c r="Y88" i="71" s="1"/>
  <c r="R19" i="71"/>
  <c r="R88" i="71" s="1"/>
  <c r="V19" i="71"/>
  <c r="V88" i="71" s="1"/>
  <c r="Z19" i="71"/>
  <c r="Z88" i="71" s="1"/>
  <c r="S19" i="71"/>
  <c r="S88" i="71" s="1"/>
  <c r="W19" i="71"/>
  <c r="W88" i="71" s="1"/>
  <c r="AA19" i="71"/>
  <c r="AA88" i="71" s="1"/>
  <c r="M15" i="72"/>
  <c r="M84" i="72" s="1"/>
  <c r="W15" i="72"/>
  <c r="W84" i="72" s="1"/>
  <c r="W112" i="72" s="1"/>
  <c r="S11" i="73"/>
  <c r="S80" i="73" s="1"/>
  <c r="M11" i="73"/>
  <c r="M80" i="73" s="1"/>
  <c r="V18" i="73"/>
  <c r="V87" i="73" s="1"/>
  <c r="T18" i="73"/>
  <c r="T87" i="73" s="1"/>
  <c r="V10" i="73"/>
  <c r="V79" i="73" s="1"/>
  <c r="T10" i="73"/>
  <c r="T79" i="73" s="1"/>
  <c r="H38" i="69"/>
  <c r="L38" i="68"/>
  <c r="L150" i="68" s="1"/>
  <c r="P38" i="70"/>
  <c r="R140" i="68"/>
  <c r="R143" i="68"/>
  <c r="R147" i="68"/>
  <c r="R146" i="68"/>
  <c r="R141" i="68"/>
  <c r="R149" i="68"/>
  <c r="W22" i="68"/>
  <c r="R22" i="68"/>
  <c r="T22" i="68"/>
  <c r="AB22" i="68"/>
  <c r="Y22" i="68"/>
  <c r="Z22" i="68"/>
  <c r="Y21" i="72"/>
  <c r="Y90" i="72" s="1"/>
  <c r="Y7" i="71"/>
  <c r="Y76" i="71" s="1"/>
  <c r="I7" i="71"/>
  <c r="I76" i="71" s="1"/>
  <c r="S7" i="71"/>
  <c r="S76" i="71" s="1"/>
  <c r="AA9" i="72"/>
  <c r="AA78" i="72" s="1"/>
  <c r="K9" i="72"/>
  <c r="K78" i="72" s="1"/>
  <c r="Y9" i="72"/>
  <c r="Y78" i="72" s="1"/>
  <c r="Y106" i="72" s="1"/>
  <c r="I9" i="72"/>
  <c r="I78" i="72" s="1"/>
  <c r="I106" i="72" s="1"/>
  <c r="Q13" i="72"/>
  <c r="Q82" i="72" s="1"/>
  <c r="W13" i="72"/>
  <c r="W82" i="72" s="1"/>
  <c r="W110" i="72" s="1"/>
  <c r="P18" i="71"/>
  <c r="P87" i="71" s="1"/>
  <c r="P115" i="71" s="1"/>
  <c r="R18" i="71"/>
  <c r="R87" i="71" s="1"/>
  <c r="W17" i="72"/>
  <c r="W86" i="72" s="1"/>
  <c r="U17" i="72"/>
  <c r="U86" i="72" s="1"/>
  <c r="U114" i="72" s="1"/>
  <c r="AB10" i="71"/>
  <c r="AB79" i="71" s="1"/>
  <c r="AB107" i="71" s="1"/>
  <c r="L10" i="71"/>
  <c r="L79" i="71" s="1"/>
  <c r="N10" i="71"/>
  <c r="N79" i="71" s="1"/>
  <c r="N87" i="68"/>
  <c r="N115" i="68" s="1"/>
  <c r="Y18" i="68"/>
  <c r="O14" i="68"/>
  <c r="Q10" i="68"/>
  <c r="J7" i="68"/>
  <c r="J76" i="68" s="1"/>
  <c r="J104" i="68" s="1"/>
  <c r="N15" i="64"/>
  <c r="N84" i="64" s="1"/>
  <c r="N112" i="64" s="1"/>
  <c r="S22" i="52"/>
  <c r="S91" i="52" s="1"/>
  <c r="G8" i="64"/>
  <c r="G77" i="64" s="1"/>
  <c r="G105" i="64" s="1"/>
  <c r="D141" i="71"/>
  <c r="D145" i="71"/>
  <c r="D149" i="71"/>
  <c r="D138" i="71"/>
  <c r="D142" i="71"/>
  <c r="D146" i="71"/>
  <c r="D150" i="71"/>
  <c r="D139" i="71"/>
  <c r="D143" i="71"/>
  <c r="D147" i="71"/>
  <c r="D140" i="71"/>
  <c r="D144" i="71"/>
  <c r="D148" i="71"/>
  <c r="G8" i="71"/>
  <c r="G77" i="71" s="1"/>
  <c r="K8" i="71"/>
  <c r="K77" i="71" s="1"/>
  <c r="O8" i="71"/>
  <c r="O77" i="71" s="1"/>
  <c r="S8" i="71"/>
  <c r="S77" i="71" s="1"/>
  <c r="W8" i="71"/>
  <c r="W77" i="71" s="1"/>
  <c r="AA8" i="71"/>
  <c r="AA77" i="71" s="1"/>
  <c r="H8" i="71"/>
  <c r="H77" i="71" s="1"/>
  <c r="L8" i="71"/>
  <c r="L77" i="71" s="1"/>
  <c r="P8" i="71"/>
  <c r="P77" i="71" s="1"/>
  <c r="T8" i="71"/>
  <c r="T77" i="71" s="1"/>
  <c r="X8" i="71"/>
  <c r="X77" i="71" s="1"/>
  <c r="AB8" i="71"/>
  <c r="AB77" i="71" s="1"/>
  <c r="E8" i="71"/>
  <c r="E77" i="71" s="1"/>
  <c r="I8" i="71"/>
  <c r="I77" i="71" s="1"/>
  <c r="M8" i="71"/>
  <c r="M77" i="71" s="1"/>
  <c r="Q8" i="71"/>
  <c r="Q77" i="71" s="1"/>
  <c r="U8" i="71"/>
  <c r="U77" i="71" s="1"/>
  <c r="Y8" i="71"/>
  <c r="Y77" i="71" s="1"/>
  <c r="F8" i="71"/>
  <c r="F77" i="71" s="1"/>
  <c r="J8" i="71"/>
  <c r="J77" i="71" s="1"/>
  <c r="N8" i="71"/>
  <c r="N77" i="71" s="1"/>
  <c r="R8" i="71"/>
  <c r="R77" i="71" s="1"/>
  <c r="V8" i="71"/>
  <c r="V77" i="71" s="1"/>
  <c r="Z8" i="71"/>
  <c r="Z77" i="71" s="1"/>
  <c r="D8" i="71"/>
  <c r="D77" i="71" s="1"/>
  <c r="U7" i="73"/>
  <c r="U76" i="73" s="1"/>
  <c r="E7" i="73"/>
  <c r="E76" i="73" s="1"/>
  <c r="O7" i="73"/>
  <c r="O76" i="73" s="1"/>
  <c r="AA19" i="72"/>
  <c r="AA88" i="72" s="1"/>
  <c r="U19" i="72"/>
  <c r="U88" i="72" s="1"/>
  <c r="U15" i="73"/>
  <c r="U84" i="73" s="1"/>
  <c r="O15" i="73"/>
  <c r="O84" i="73" s="1"/>
  <c r="U17" i="71"/>
  <c r="U86" i="71" s="1"/>
  <c r="S17" i="71"/>
  <c r="S86" i="71" s="1"/>
  <c r="Y13" i="73"/>
  <c r="Y82" i="73" s="1"/>
  <c r="O13" i="73"/>
  <c r="O82" i="73" s="1"/>
  <c r="O110" i="73" s="1"/>
  <c r="AB14" i="72"/>
  <c r="AB83" i="72" s="1"/>
  <c r="L14" i="72"/>
  <c r="L83" i="72" s="1"/>
  <c r="V14" i="72"/>
  <c r="V83" i="72" s="1"/>
  <c r="N14" i="71"/>
  <c r="N83" i="71" s="1"/>
  <c r="N111" i="71" s="1"/>
  <c r="T14" i="71"/>
  <c r="T83" i="71" s="1"/>
  <c r="E143" i="68"/>
  <c r="E139" i="68"/>
  <c r="E147" i="68"/>
  <c r="E142" i="68"/>
  <c r="E146" i="68"/>
  <c r="E145" i="68"/>
  <c r="E141" i="68"/>
  <c r="E138" i="68"/>
  <c r="E144" i="68"/>
  <c r="E140" i="68"/>
  <c r="E148" i="68"/>
  <c r="E132" i="68" s="1"/>
  <c r="I145" i="70"/>
  <c r="I140" i="70"/>
  <c r="I150" i="70"/>
  <c r="M142" i="69"/>
  <c r="M139" i="69"/>
  <c r="M146" i="69"/>
  <c r="M144" i="69"/>
  <c r="M138" i="69"/>
  <c r="M145" i="69"/>
  <c r="C146" i="68"/>
  <c r="C142" i="68"/>
  <c r="C139" i="68"/>
  <c r="C145" i="68"/>
  <c r="C141" i="68"/>
  <c r="C138" i="68"/>
  <c r="C144" i="68"/>
  <c r="C147" i="68"/>
  <c r="C143" i="68"/>
  <c r="C140" i="68"/>
  <c r="Q7" i="72"/>
  <c r="Q76" i="72" s="1"/>
  <c r="AA7" i="72"/>
  <c r="AA76" i="72" s="1"/>
  <c r="K7" i="72"/>
  <c r="K76" i="72" s="1"/>
  <c r="W19" i="73"/>
  <c r="W88" i="73" s="1"/>
  <c r="Q19" i="73"/>
  <c r="Q88" i="73" s="1"/>
  <c r="Q116" i="73" s="1"/>
  <c r="Q9" i="71"/>
  <c r="Q78" i="71" s="1"/>
  <c r="O9" i="71"/>
  <c r="O78" i="71" s="1"/>
  <c r="O106" i="71" s="1"/>
  <c r="AB91" i="73"/>
  <c r="AB119" i="73" s="1"/>
  <c r="T139" i="73"/>
  <c r="T143" i="73"/>
  <c r="T147" i="73"/>
  <c r="T140" i="73"/>
  <c r="T144" i="73"/>
  <c r="T148" i="73"/>
  <c r="T132" i="73" s="1"/>
  <c r="T141" i="73"/>
  <c r="T145" i="73"/>
  <c r="T149" i="73"/>
  <c r="E41" i="66" s="1"/>
  <c r="T138" i="73"/>
  <c r="T142" i="73"/>
  <c r="T146" i="73"/>
  <c r="T150" i="73"/>
  <c r="E40" i="66" s="1"/>
  <c r="V24" i="73"/>
  <c r="Z24" i="73"/>
  <c r="W24" i="73"/>
  <c r="AA24" i="73"/>
  <c r="X24" i="73"/>
  <c r="Y24" i="73"/>
  <c r="AB24" i="73"/>
  <c r="AB93" i="73" s="1"/>
  <c r="AB121" i="73" s="1"/>
  <c r="T24" i="73"/>
  <c r="U24" i="73"/>
  <c r="T14" i="73"/>
  <c r="T83" i="73" s="1"/>
  <c r="N14" i="73"/>
  <c r="N83" i="73" s="1"/>
  <c r="W9" i="73"/>
  <c r="W78" i="73" s="1"/>
  <c r="W106" i="73" s="1"/>
  <c r="G9" i="73"/>
  <c r="G78" i="73" s="1"/>
  <c r="U9" i="73"/>
  <c r="U78" i="73" s="1"/>
  <c r="J138" i="69"/>
  <c r="J141" i="69"/>
  <c r="J145" i="69"/>
  <c r="J148" i="69"/>
  <c r="J132" i="69" s="1"/>
  <c r="J142" i="69"/>
  <c r="J147" i="69"/>
  <c r="J139" i="69"/>
  <c r="J143" i="69"/>
  <c r="J146" i="69"/>
  <c r="J140" i="69"/>
  <c r="J144" i="69"/>
  <c r="J149" i="69"/>
  <c r="N150" i="70"/>
  <c r="N146" i="70"/>
  <c r="N142" i="70"/>
  <c r="N138" i="70"/>
  <c r="N149" i="70"/>
  <c r="N145" i="70"/>
  <c r="N141" i="70"/>
  <c r="N148" i="70"/>
  <c r="N132" i="70" s="1"/>
  <c r="N144" i="70"/>
  <c r="N140" i="70"/>
  <c r="N147" i="70"/>
  <c r="N143" i="70"/>
  <c r="N139" i="70"/>
  <c r="X22" i="72"/>
  <c r="X25" i="72"/>
  <c r="U139" i="72"/>
  <c r="U143" i="72"/>
  <c r="U147" i="72"/>
  <c r="U140" i="72"/>
  <c r="U144" i="72"/>
  <c r="U148" i="72"/>
  <c r="U132" i="72" s="1"/>
  <c r="U141" i="72"/>
  <c r="U145" i="72"/>
  <c r="U149" i="72"/>
  <c r="F39" i="66" s="1"/>
  <c r="U142" i="72"/>
  <c r="U146" i="72"/>
  <c r="U150" i="72"/>
  <c r="F38" i="66" s="1"/>
  <c r="U138" i="72"/>
  <c r="Y25" i="72"/>
  <c r="AA25" i="72"/>
  <c r="W25" i="72"/>
  <c r="U25" i="72"/>
  <c r="Z25" i="72"/>
  <c r="AB25" i="72"/>
  <c r="AB94" i="72" s="1"/>
  <c r="AB122" i="72" s="1"/>
  <c r="V25" i="72"/>
  <c r="Z22" i="72"/>
  <c r="M138" i="73"/>
  <c r="M142" i="73"/>
  <c r="M146" i="73"/>
  <c r="M150" i="73"/>
  <c r="M139" i="73"/>
  <c r="M143" i="73"/>
  <c r="M147" i="73"/>
  <c r="M140" i="73"/>
  <c r="M144" i="73"/>
  <c r="M148" i="73"/>
  <c r="M132" i="73" s="1"/>
  <c r="M141" i="73"/>
  <c r="M145" i="73"/>
  <c r="M149" i="73"/>
  <c r="P17" i="73"/>
  <c r="P86" i="73" s="1"/>
  <c r="P114" i="73" s="1"/>
  <c r="T17" i="73"/>
  <c r="T86" i="73" s="1"/>
  <c r="X17" i="73"/>
  <c r="X86" i="73" s="1"/>
  <c r="X114" i="73" s="1"/>
  <c r="AB17" i="73"/>
  <c r="AB86" i="73" s="1"/>
  <c r="Q17" i="73"/>
  <c r="Q86" i="73" s="1"/>
  <c r="U17" i="73"/>
  <c r="U86" i="73" s="1"/>
  <c r="Y17" i="73"/>
  <c r="Y86" i="73" s="1"/>
  <c r="Y114" i="73" s="1"/>
  <c r="N17" i="73"/>
  <c r="N86" i="73" s="1"/>
  <c r="R17" i="73"/>
  <c r="R86" i="73" s="1"/>
  <c r="R114" i="73" s="1"/>
  <c r="V17" i="73"/>
  <c r="V86" i="73" s="1"/>
  <c r="Z17" i="73"/>
  <c r="Z86" i="73" s="1"/>
  <c r="O17" i="73"/>
  <c r="O86" i="73" s="1"/>
  <c r="S17" i="73"/>
  <c r="S86" i="73" s="1"/>
  <c r="W17" i="73"/>
  <c r="W86" i="73" s="1"/>
  <c r="AA17" i="73"/>
  <c r="AA86" i="73" s="1"/>
  <c r="M17" i="73"/>
  <c r="M86" i="73" s="1"/>
  <c r="M15" i="71"/>
  <c r="M84" i="71" s="1"/>
  <c r="S15" i="71"/>
  <c r="S84" i="71" s="1"/>
  <c r="S11" i="72"/>
  <c r="S80" i="72" s="1"/>
  <c r="S108" i="72" s="1"/>
  <c r="M11" i="72"/>
  <c r="M80" i="72" s="1"/>
  <c r="V18" i="72"/>
  <c r="V87" i="72" s="1"/>
  <c r="T18" i="72"/>
  <c r="T87" i="72" s="1"/>
  <c r="V10" i="72"/>
  <c r="V79" i="72" s="1"/>
  <c r="T10" i="72"/>
  <c r="T79" i="72" s="1"/>
  <c r="K38" i="68"/>
  <c r="O38" i="68"/>
  <c r="P141" i="71"/>
  <c r="P145" i="71"/>
  <c r="P149" i="71"/>
  <c r="P138" i="71"/>
  <c r="P142" i="71"/>
  <c r="P146" i="71"/>
  <c r="P150" i="71"/>
  <c r="P139" i="71"/>
  <c r="P143" i="71"/>
  <c r="P147" i="71"/>
  <c r="P140" i="71"/>
  <c r="P144" i="71"/>
  <c r="P148" i="71"/>
  <c r="P132" i="71" s="1"/>
  <c r="Q20" i="71"/>
  <c r="Q89" i="71" s="1"/>
  <c r="U20" i="71"/>
  <c r="U89" i="71" s="1"/>
  <c r="Y20" i="71"/>
  <c r="Y89" i="71" s="1"/>
  <c r="R20" i="71"/>
  <c r="R89" i="71" s="1"/>
  <c r="V20" i="71"/>
  <c r="V89" i="71" s="1"/>
  <c r="Z20" i="71"/>
  <c r="Z89" i="71" s="1"/>
  <c r="S20" i="71"/>
  <c r="S89" i="71" s="1"/>
  <c r="W20" i="71"/>
  <c r="W89" i="71" s="1"/>
  <c r="W117" i="71" s="1"/>
  <c r="AA20" i="71"/>
  <c r="AA89" i="71" s="1"/>
  <c r="T20" i="71"/>
  <c r="T89" i="71" s="1"/>
  <c r="X20" i="71"/>
  <c r="X89" i="71" s="1"/>
  <c r="AB20" i="71"/>
  <c r="AB89" i="71" s="1"/>
  <c r="AB117" i="71" s="1"/>
  <c r="P20" i="71"/>
  <c r="P89" i="71" s="1"/>
  <c r="R119" i="71"/>
  <c r="X22" i="71"/>
  <c r="Y15" i="72"/>
  <c r="Y84" i="72" s="1"/>
  <c r="Y112" i="72" s="1"/>
  <c r="S15" i="72"/>
  <c r="S84" i="72" s="1"/>
  <c r="Y11" i="73"/>
  <c r="Y80" i="73" s="1"/>
  <c r="I11" i="73"/>
  <c r="I80" i="73" s="1"/>
  <c r="R18" i="73"/>
  <c r="R87" i="73" s="1"/>
  <c r="R115" i="73" s="1"/>
  <c r="P18" i="73"/>
  <c r="P87" i="73" s="1"/>
  <c r="R10" i="73"/>
  <c r="R79" i="73" s="1"/>
  <c r="P10" i="73"/>
  <c r="P79" i="73" s="1"/>
  <c r="D38" i="69"/>
  <c r="D150" i="69" s="1"/>
  <c r="H38" i="68"/>
  <c r="L38" i="70"/>
  <c r="S16" i="70" s="1"/>
  <c r="U21" i="72"/>
  <c r="U90" i="72" s="1"/>
  <c r="AA21" i="72"/>
  <c r="AA90" i="72" s="1"/>
  <c r="AA118" i="72" s="1"/>
  <c r="U7" i="71"/>
  <c r="U76" i="71" s="1"/>
  <c r="E7" i="71"/>
  <c r="E76" i="71" s="1"/>
  <c r="O7" i="71"/>
  <c r="O76" i="71" s="1"/>
  <c r="W9" i="72"/>
  <c r="W78" i="72" s="1"/>
  <c r="G9" i="72"/>
  <c r="G78" i="72" s="1"/>
  <c r="U9" i="72"/>
  <c r="U78" i="72" s="1"/>
  <c r="M13" i="72"/>
  <c r="M82" i="72" s="1"/>
  <c r="S13" i="72"/>
  <c r="S82" i="72" s="1"/>
  <c r="AB18" i="71"/>
  <c r="AB87" i="71" s="1"/>
  <c r="S17" i="72"/>
  <c r="S86" i="72" s="1"/>
  <c r="S114" i="72" s="1"/>
  <c r="Q17" i="72"/>
  <c r="Q86" i="72" s="1"/>
  <c r="X10" i="71"/>
  <c r="X79" i="71" s="1"/>
  <c r="H10" i="71"/>
  <c r="H79" i="71" s="1"/>
  <c r="Z10" i="71"/>
  <c r="Z79" i="71" s="1"/>
  <c r="R155" i="32"/>
  <c r="N155" i="32"/>
  <c r="J155" i="32"/>
  <c r="F155" i="32"/>
  <c r="S156" i="32"/>
  <c r="O156" i="32"/>
  <c r="K156" i="32"/>
  <c r="G156" i="32"/>
  <c r="U157" i="32"/>
  <c r="Q157" i="32"/>
  <c r="M157" i="32"/>
  <c r="I157" i="32"/>
  <c r="E157" i="32"/>
  <c r="T158" i="32"/>
  <c r="P158" i="32"/>
  <c r="L158" i="32"/>
  <c r="H158" i="32"/>
  <c r="D158" i="32"/>
  <c r="Y24" i="52"/>
  <c r="Y93" i="52" s="1"/>
  <c r="X23" i="52"/>
  <c r="X92" i="52" s="1"/>
  <c r="Z25" i="52"/>
  <c r="Z94" i="52" s="1"/>
  <c r="AB27" i="52"/>
  <c r="AB96" i="52" s="1"/>
  <c r="AA26" i="52"/>
  <c r="AA95" i="52" s="1"/>
  <c r="V24" i="68"/>
  <c r="U23" i="68"/>
  <c r="AB30" i="68"/>
  <c r="W25" i="68"/>
  <c r="Z28" i="68"/>
  <c r="Y27" i="68"/>
  <c r="AA29" i="68"/>
  <c r="X26" i="68"/>
  <c r="AA24" i="68"/>
  <c r="Z23" i="68"/>
  <c r="AB25" i="68"/>
  <c r="AB29" i="68"/>
  <c r="Y26" i="68"/>
  <c r="W24" i="68"/>
  <c r="V23" i="68"/>
  <c r="X25" i="68"/>
  <c r="AA28" i="68"/>
  <c r="Z27" i="68"/>
  <c r="AB24" i="71"/>
  <c r="AB93" i="71" s="1"/>
  <c r="AB121" i="71" s="1"/>
  <c r="AA23" i="71"/>
  <c r="Z26" i="71"/>
  <c r="X24" i="71"/>
  <c r="W23" i="71"/>
  <c r="Y25" i="71"/>
  <c r="AB28" i="71"/>
  <c r="AB97" i="71" s="1"/>
  <c r="AB125" i="71" s="1"/>
  <c r="AA27" i="71"/>
  <c r="N8" i="66"/>
  <c r="S18" i="68"/>
  <c r="S87" i="68" s="1"/>
  <c r="Q14" i="68"/>
  <c r="S14" i="68"/>
  <c r="P13" i="68"/>
  <c r="E7" i="68"/>
  <c r="W22" i="52"/>
  <c r="W91" i="52" s="1"/>
  <c r="J12" i="64"/>
  <c r="J81" i="64" s="1"/>
  <c r="J109" i="64" s="1"/>
  <c r="AA16" i="65"/>
  <c r="AA85" i="65" s="1"/>
  <c r="AA113" i="65" s="1"/>
  <c r="V19" i="64"/>
  <c r="V88" i="64" s="1"/>
  <c r="V116" i="64" s="1"/>
  <c r="I140" i="71"/>
  <c r="I144" i="71"/>
  <c r="I148" i="71"/>
  <c r="I141" i="71"/>
  <c r="I145" i="71"/>
  <c r="I149" i="71"/>
  <c r="I138" i="71"/>
  <c r="I142" i="71"/>
  <c r="I146" i="71"/>
  <c r="I150" i="71"/>
  <c r="I139" i="71"/>
  <c r="I143" i="71"/>
  <c r="I147" i="71"/>
  <c r="M13" i="71"/>
  <c r="Q13" i="71"/>
  <c r="Q82" i="71" s="1"/>
  <c r="U13" i="71"/>
  <c r="Y13" i="71"/>
  <c r="Y82" i="71" s="1"/>
  <c r="J13" i="71"/>
  <c r="J82" i="71" s="1"/>
  <c r="N13" i="71"/>
  <c r="N82" i="71" s="1"/>
  <c r="R13" i="71"/>
  <c r="R82" i="71" s="1"/>
  <c r="V13" i="71"/>
  <c r="V82" i="71" s="1"/>
  <c r="Z13" i="71"/>
  <c r="Z82" i="71" s="1"/>
  <c r="Z110" i="71" s="1"/>
  <c r="K13" i="71"/>
  <c r="K82" i="71" s="1"/>
  <c r="O13" i="71"/>
  <c r="O82" i="71" s="1"/>
  <c r="S13" i="71"/>
  <c r="S82" i="71" s="1"/>
  <c r="W13" i="71"/>
  <c r="W82" i="71" s="1"/>
  <c r="AA13" i="71"/>
  <c r="AA82" i="71" s="1"/>
  <c r="I13" i="71"/>
  <c r="I82" i="71" s="1"/>
  <c r="L13" i="71"/>
  <c r="L82" i="71" s="1"/>
  <c r="P13" i="71"/>
  <c r="P82" i="71" s="1"/>
  <c r="T13" i="71"/>
  <c r="T82" i="71" s="1"/>
  <c r="X13" i="71"/>
  <c r="X82" i="71" s="1"/>
  <c r="AB13" i="71"/>
  <c r="AB82" i="71" s="1"/>
  <c r="Q7" i="73"/>
  <c r="Q76" i="73" s="1"/>
  <c r="AA7" i="73"/>
  <c r="AA76" i="73" s="1"/>
  <c r="K7" i="73"/>
  <c r="K76" i="73" s="1"/>
  <c r="W19" i="72"/>
  <c r="W88" i="72" s="1"/>
  <c r="Q19" i="72"/>
  <c r="Q88" i="72" s="1"/>
  <c r="Q116" i="72" s="1"/>
  <c r="Q15" i="73"/>
  <c r="Q84" i="73" s="1"/>
  <c r="AA15" i="73"/>
  <c r="AA84" i="73" s="1"/>
  <c r="Q17" i="71"/>
  <c r="Q86" i="71" s="1"/>
  <c r="O17" i="71"/>
  <c r="O86" i="71" s="1"/>
  <c r="U13" i="73"/>
  <c r="U82" i="73" s="1"/>
  <c r="AA13" i="73"/>
  <c r="AA82" i="73" s="1"/>
  <c r="K13" i="73"/>
  <c r="K82" i="73" s="1"/>
  <c r="X14" i="72"/>
  <c r="X83" i="72" s="1"/>
  <c r="R14" i="72"/>
  <c r="R83" i="72" s="1"/>
  <c r="Z14" i="71"/>
  <c r="Z83" i="71" s="1"/>
  <c r="Z111" i="71" s="1"/>
  <c r="P14" i="71"/>
  <c r="P83" i="71" s="1"/>
  <c r="E149" i="70"/>
  <c r="E145" i="70"/>
  <c r="E141" i="70"/>
  <c r="E148" i="70"/>
  <c r="E132" i="70" s="1"/>
  <c r="E144" i="70"/>
  <c r="E140" i="70"/>
  <c r="E147" i="70"/>
  <c r="E143" i="70"/>
  <c r="E139" i="70"/>
  <c r="E150" i="70"/>
  <c r="E146" i="70"/>
  <c r="E142" i="70"/>
  <c r="E138" i="70"/>
  <c r="I149" i="69"/>
  <c r="Q143" i="68"/>
  <c r="Q139" i="68"/>
  <c r="Q147" i="68"/>
  <c r="Q142" i="68"/>
  <c r="Q146" i="68"/>
  <c r="Q145" i="68"/>
  <c r="Q141" i="68"/>
  <c r="Q138" i="68"/>
  <c r="Q144" i="68"/>
  <c r="Q140" i="68"/>
  <c r="Q148" i="68"/>
  <c r="C147" i="69"/>
  <c r="C143" i="69"/>
  <c r="C139" i="69"/>
  <c r="C146" i="69"/>
  <c r="C142" i="69"/>
  <c r="C145" i="69"/>
  <c r="C141" i="69"/>
  <c r="C138" i="69"/>
  <c r="F150" i="69"/>
  <c r="C144" i="69"/>
  <c r="C140" i="69"/>
  <c r="P139" i="73"/>
  <c r="P143" i="73"/>
  <c r="P147" i="73"/>
  <c r="P140" i="73"/>
  <c r="P144" i="73"/>
  <c r="P148" i="73"/>
  <c r="P141" i="73"/>
  <c r="P145" i="73"/>
  <c r="P149" i="73"/>
  <c r="P142" i="73"/>
  <c r="P146" i="73"/>
  <c r="P150" i="73"/>
  <c r="P138" i="73"/>
  <c r="R20" i="73"/>
  <c r="R89" i="73" s="1"/>
  <c r="V20" i="73"/>
  <c r="V89" i="73" s="1"/>
  <c r="Z20" i="73"/>
  <c r="Z89" i="73" s="1"/>
  <c r="Z117" i="73" s="1"/>
  <c r="P20" i="73"/>
  <c r="P89" i="73" s="1"/>
  <c r="S20" i="73"/>
  <c r="S89" i="73" s="1"/>
  <c r="W20" i="73"/>
  <c r="W89" i="73" s="1"/>
  <c r="AA20" i="73"/>
  <c r="T20" i="73"/>
  <c r="T89" i="73" s="1"/>
  <c r="X20" i="73"/>
  <c r="X89" i="73" s="1"/>
  <c r="AB20" i="73"/>
  <c r="AB89" i="73" s="1"/>
  <c r="Q20" i="73"/>
  <c r="Q89" i="73" s="1"/>
  <c r="Q117" i="73" s="1"/>
  <c r="U20" i="73"/>
  <c r="U89" i="73" s="1"/>
  <c r="Y20" i="73"/>
  <c r="Y89" i="73" s="1"/>
  <c r="M7" i="72"/>
  <c r="M76" i="72" s="1"/>
  <c r="W7" i="72"/>
  <c r="G7" i="72"/>
  <c r="G76" i="72" s="1"/>
  <c r="S19" i="73"/>
  <c r="S88" i="73" s="1"/>
  <c r="M9" i="71"/>
  <c r="M78" i="71" s="1"/>
  <c r="AA9" i="71"/>
  <c r="AA78" i="71" s="1"/>
  <c r="K9" i="71"/>
  <c r="K78" i="71" s="1"/>
  <c r="R119" i="73"/>
  <c r="S140" i="73"/>
  <c r="S144" i="73"/>
  <c r="S148" i="73"/>
  <c r="S132" i="73" s="1"/>
  <c r="S141" i="73"/>
  <c r="S145" i="73"/>
  <c r="S149" i="73"/>
  <c r="D41" i="66" s="1"/>
  <c r="S138" i="73"/>
  <c r="S142" i="73"/>
  <c r="S146" i="73"/>
  <c r="S150" i="73"/>
  <c r="D40" i="66" s="1"/>
  <c r="S147" i="73"/>
  <c r="S139" i="73"/>
  <c r="S143" i="73"/>
  <c r="U23" i="73"/>
  <c r="Y23" i="73"/>
  <c r="V23" i="73"/>
  <c r="Z23" i="73"/>
  <c r="W23" i="73"/>
  <c r="X23" i="73"/>
  <c r="AA23" i="73"/>
  <c r="T23" i="73"/>
  <c r="AB23" i="73"/>
  <c r="AB92" i="73" s="1"/>
  <c r="AB120" i="73" s="1"/>
  <c r="S23" i="73"/>
  <c r="P14" i="73"/>
  <c r="P83" i="73" s="1"/>
  <c r="Z14" i="73"/>
  <c r="Z83" i="73" s="1"/>
  <c r="S9" i="73"/>
  <c r="S78" i="73" s="1"/>
  <c r="S106" i="73" s="1"/>
  <c r="Q9" i="73"/>
  <c r="Q78" i="73" s="1"/>
  <c r="F150" i="70"/>
  <c r="F146" i="70"/>
  <c r="F142" i="70"/>
  <c r="F138" i="70"/>
  <c r="F149" i="70"/>
  <c r="F145" i="70"/>
  <c r="F141" i="70"/>
  <c r="F148" i="70"/>
  <c r="F144" i="70"/>
  <c r="F140" i="70"/>
  <c r="F147" i="70"/>
  <c r="F143" i="70"/>
  <c r="F139" i="70"/>
  <c r="J150" i="70"/>
  <c r="J146" i="70"/>
  <c r="J142" i="70"/>
  <c r="J138" i="70"/>
  <c r="J149" i="70"/>
  <c r="J145" i="70"/>
  <c r="J141" i="70"/>
  <c r="J148" i="70"/>
  <c r="J132" i="70" s="1"/>
  <c r="J144" i="70"/>
  <c r="J140" i="70"/>
  <c r="J147" i="70"/>
  <c r="J143" i="70"/>
  <c r="J139" i="70"/>
  <c r="N144" i="68"/>
  <c r="N140" i="68"/>
  <c r="N148" i="68"/>
  <c r="N132" i="68" s="1"/>
  <c r="N143" i="68"/>
  <c r="N139" i="68"/>
  <c r="N147" i="68"/>
  <c r="N142" i="68"/>
  <c r="N146" i="68"/>
  <c r="N145" i="68"/>
  <c r="N141" i="68"/>
  <c r="N138" i="68"/>
  <c r="T22" i="72"/>
  <c r="AB140" i="72"/>
  <c r="AB144" i="72"/>
  <c r="AB148" i="72"/>
  <c r="AB132" i="72" s="1"/>
  <c r="AB141" i="72"/>
  <c r="AB145" i="72"/>
  <c r="AB149" i="72"/>
  <c r="M39" i="66" s="1"/>
  <c r="AB138" i="72"/>
  <c r="AB142" i="72"/>
  <c r="AB146" i="72"/>
  <c r="AB150" i="72"/>
  <c r="M38" i="66" s="1"/>
  <c r="AB143" i="72"/>
  <c r="AB147" i="72"/>
  <c r="AB139" i="72"/>
  <c r="AB32" i="72"/>
  <c r="AB101" i="72" s="1"/>
  <c r="AB129" i="72" s="1"/>
  <c r="V22" i="72"/>
  <c r="L141" i="71"/>
  <c r="L145" i="71"/>
  <c r="L149" i="71"/>
  <c r="L138" i="71"/>
  <c r="L142" i="71"/>
  <c r="L146" i="71"/>
  <c r="L150" i="71"/>
  <c r="L139" i="71"/>
  <c r="L143" i="71"/>
  <c r="L147" i="71"/>
  <c r="L140" i="71"/>
  <c r="L144" i="71"/>
  <c r="L148" i="71"/>
  <c r="O16" i="71"/>
  <c r="O85" i="71" s="1"/>
  <c r="S16" i="71"/>
  <c r="S85" i="71" s="1"/>
  <c r="W16" i="71"/>
  <c r="W85" i="71" s="1"/>
  <c r="AA16" i="71"/>
  <c r="AA85" i="71" s="1"/>
  <c r="P16" i="71"/>
  <c r="P85" i="71" s="1"/>
  <c r="T16" i="71"/>
  <c r="T85" i="71" s="1"/>
  <c r="X16" i="71"/>
  <c r="X85" i="71" s="1"/>
  <c r="AB16" i="71"/>
  <c r="AB85" i="71" s="1"/>
  <c r="M16" i="71"/>
  <c r="M85" i="71" s="1"/>
  <c r="Q16" i="71"/>
  <c r="Q85" i="71" s="1"/>
  <c r="U16" i="71"/>
  <c r="U85" i="71" s="1"/>
  <c r="Y16" i="71"/>
  <c r="Y85" i="71" s="1"/>
  <c r="N16" i="71"/>
  <c r="N85" i="71" s="1"/>
  <c r="R16" i="71"/>
  <c r="R85" i="71" s="1"/>
  <c r="V16" i="71"/>
  <c r="V85" i="71" s="1"/>
  <c r="Z16" i="71"/>
  <c r="Z85" i="71" s="1"/>
  <c r="L16" i="71"/>
  <c r="L85" i="71" s="1"/>
  <c r="Y15" i="71"/>
  <c r="Y84" i="71" s="1"/>
  <c r="O15" i="71"/>
  <c r="O84" i="71" s="1"/>
  <c r="O11" i="72"/>
  <c r="O80" i="72" s="1"/>
  <c r="I11" i="72"/>
  <c r="I80" i="72" s="1"/>
  <c r="R18" i="72"/>
  <c r="R87" i="72" s="1"/>
  <c r="P18" i="72"/>
  <c r="P87" i="72" s="1"/>
  <c r="P115" i="72" s="1"/>
  <c r="R10" i="72"/>
  <c r="R79" i="72" s="1"/>
  <c r="P10" i="72"/>
  <c r="P79" i="72" s="1"/>
  <c r="P107" i="72" s="1"/>
  <c r="G38" i="70"/>
  <c r="K38" i="69"/>
  <c r="O38" i="70"/>
  <c r="L140" i="72"/>
  <c r="L144" i="72"/>
  <c r="L148" i="72"/>
  <c r="L132" i="72" s="1"/>
  <c r="L141" i="72"/>
  <c r="L145" i="72"/>
  <c r="L149" i="72"/>
  <c r="L138" i="72"/>
  <c r="L142" i="72"/>
  <c r="L146" i="72"/>
  <c r="L150" i="72"/>
  <c r="L143" i="72"/>
  <c r="L147" i="72"/>
  <c r="L139" i="72"/>
  <c r="P16" i="72"/>
  <c r="P85" i="72" s="1"/>
  <c r="T16" i="72"/>
  <c r="T85" i="72" s="1"/>
  <c r="T113" i="72" s="1"/>
  <c r="X16" i="72"/>
  <c r="X85" i="72" s="1"/>
  <c r="AB16" i="72"/>
  <c r="AB85" i="72" s="1"/>
  <c r="AB113" i="72" s="1"/>
  <c r="L16" i="72"/>
  <c r="L85" i="72" s="1"/>
  <c r="M16" i="72"/>
  <c r="Q16" i="72"/>
  <c r="Q85" i="72" s="1"/>
  <c r="U16" i="72"/>
  <c r="Y16" i="72"/>
  <c r="Y85" i="72" s="1"/>
  <c r="N16" i="72"/>
  <c r="N85" i="72" s="1"/>
  <c r="R16" i="72"/>
  <c r="R85" i="72" s="1"/>
  <c r="V16" i="72"/>
  <c r="V85" i="72" s="1"/>
  <c r="Z16" i="72"/>
  <c r="Z85" i="72" s="1"/>
  <c r="O16" i="72"/>
  <c r="O85" i="72" s="1"/>
  <c r="S16" i="72"/>
  <c r="S85" i="72" s="1"/>
  <c r="W16" i="72"/>
  <c r="W85" i="72" s="1"/>
  <c r="AA16" i="72"/>
  <c r="AA85" i="72" s="1"/>
  <c r="T22" i="71"/>
  <c r="U15" i="72"/>
  <c r="U84" i="72" s="1"/>
  <c r="O15" i="72"/>
  <c r="O84" i="72" s="1"/>
  <c r="O112" i="72" s="1"/>
  <c r="K11" i="73"/>
  <c r="K80" i="73" s="1"/>
  <c r="U11" i="73"/>
  <c r="U80" i="73" s="1"/>
  <c r="AB18" i="73"/>
  <c r="AB87" i="73" s="1"/>
  <c r="N10" i="73"/>
  <c r="N79" i="73" s="1"/>
  <c r="L10" i="73"/>
  <c r="L79" i="73" s="1"/>
  <c r="D38" i="68"/>
  <c r="T8" i="68" s="1"/>
  <c r="T77" i="68" s="1"/>
  <c r="H38" i="70"/>
  <c r="P38" i="68"/>
  <c r="T20" i="68" s="1"/>
  <c r="T89" i="68" s="1"/>
  <c r="R150" i="70"/>
  <c r="R146" i="70"/>
  <c r="R142" i="70"/>
  <c r="R138" i="70"/>
  <c r="R149" i="70"/>
  <c r="R145" i="70"/>
  <c r="R141" i="70"/>
  <c r="R148" i="70"/>
  <c r="R132" i="70" s="1"/>
  <c r="R144" i="70"/>
  <c r="R140" i="70"/>
  <c r="R147" i="70"/>
  <c r="R143" i="70"/>
  <c r="R139" i="70"/>
  <c r="AB91" i="70"/>
  <c r="AB119" i="70" s="1"/>
  <c r="W21" i="72"/>
  <c r="W90" i="72" s="1"/>
  <c r="Q7" i="71"/>
  <c r="Q76" i="71" s="1"/>
  <c r="K7" i="71"/>
  <c r="K76" i="71" s="1"/>
  <c r="S9" i="72"/>
  <c r="S78" i="72" s="1"/>
  <c r="Q9" i="72"/>
  <c r="Q78" i="72" s="1"/>
  <c r="Y13" i="72"/>
  <c r="Y82" i="72" s="1"/>
  <c r="Y110" i="72" s="1"/>
  <c r="O13" i="72"/>
  <c r="O82" i="72" s="1"/>
  <c r="O17" i="72"/>
  <c r="O86" i="72" s="1"/>
  <c r="E132" i="72"/>
  <c r="N132" i="73"/>
  <c r="AB104" i="72"/>
  <c r="C132" i="72"/>
  <c r="C5" i="72"/>
  <c r="C132" i="71"/>
  <c r="C133" i="71"/>
  <c r="O10" i="68"/>
  <c r="O44" i="68" s="1"/>
  <c r="H10" i="68"/>
  <c r="U10" i="68"/>
  <c r="N10" i="68"/>
  <c r="F10" i="68"/>
  <c r="F79" i="68" s="1"/>
  <c r="R10" i="68"/>
  <c r="N150" i="68"/>
  <c r="F150" i="68"/>
  <c r="O52" i="68"/>
  <c r="AA10" i="68"/>
  <c r="L10" i="68"/>
  <c r="X10" i="68"/>
  <c r="S9" i="68"/>
  <c r="G10" i="68"/>
  <c r="H44" i="68" s="1"/>
  <c r="C140" i="65"/>
  <c r="C148" i="65"/>
  <c r="C132" i="65" s="1"/>
  <c r="C143" i="65"/>
  <c r="C142" i="65"/>
  <c r="C150" i="65"/>
  <c r="C145" i="65"/>
  <c r="C5" i="65"/>
  <c r="C164" i="65" s="1"/>
  <c r="C144" i="65"/>
  <c r="C139" i="65"/>
  <c r="V16" i="65"/>
  <c r="V85" i="65" s="1"/>
  <c r="V113" i="65" s="1"/>
  <c r="O149" i="64"/>
  <c r="O140" i="64"/>
  <c r="O141" i="64"/>
  <c r="P140" i="64"/>
  <c r="P145" i="64"/>
  <c r="P144" i="64"/>
  <c r="K140" i="64"/>
  <c r="I140" i="64"/>
  <c r="S20" i="64"/>
  <c r="S89" i="64" s="1"/>
  <c r="S117" i="64" s="1"/>
  <c r="N147" i="64"/>
  <c r="E139" i="64"/>
  <c r="P138" i="64"/>
  <c r="P147" i="64"/>
  <c r="I147" i="64"/>
  <c r="G38" i="65"/>
  <c r="N145" i="64"/>
  <c r="P149" i="65"/>
  <c r="E148" i="64"/>
  <c r="E132" i="64" s="1"/>
  <c r="W16" i="64"/>
  <c r="W85" i="64" s="1"/>
  <c r="W113" i="64" s="1"/>
  <c r="H38" i="52"/>
  <c r="N140" i="64"/>
  <c r="P146" i="65"/>
  <c r="U12" i="64"/>
  <c r="O139" i="64"/>
  <c r="O148" i="64"/>
  <c r="O132" i="64" s="1"/>
  <c r="O145" i="64"/>
  <c r="F150" i="64"/>
  <c r="O142" i="64"/>
  <c r="O150" i="64"/>
  <c r="O147" i="64"/>
  <c r="F149" i="64"/>
  <c r="O138" i="64"/>
  <c r="O146" i="64"/>
  <c r="O143" i="64"/>
  <c r="F142" i="64"/>
  <c r="O38" i="65"/>
  <c r="D144" i="65"/>
  <c r="D147" i="65"/>
  <c r="D139" i="65"/>
  <c r="H8" i="65"/>
  <c r="H77" i="65" s="1"/>
  <c r="H105" i="65" s="1"/>
  <c r="D150" i="65"/>
  <c r="D142" i="65"/>
  <c r="D145" i="65"/>
  <c r="D138" i="65"/>
  <c r="O8" i="65"/>
  <c r="O77" i="65" s="1"/>
  <c r="O105" i="65" s="1"/>
  <c r="R8" i="65"/>
  <c r="R77" i="65" s="1"/>
  <c r="R105" i="65" s="1"/>
  <c r="D148" i="65"/>
  <c r="D132" i="65" s="1"/>
  <c r="D140" i="65"/>
  <c r="D143" i="65"/>
  <c r="D146" i="65"/>
  <c r="D149" i="65"/>
  <c r="D141" i="65"/>
  <c r="J38" i="65"/>
  <c r="P14" i="65" s="1"/>
  <c r="P83" i="65" s="1"/>
  <c r="P111" i="65" s="1"/>
  <c r="N38" i="65"/>
  <c r="N143" i="65" s="1"/>
  <c r="M140" i="64"/>
  <c r="M146" i="64"/>
  <c r="M141" i="64"/>
  <c r="M145" i="64"/>
  <c r="M144" i="64"/>
  <c r="M138" i="64"/>
  <c r="E143" i="64"/>
  <c r="P143" i="65"/>
  <c r="P140" i="65"/>
  <c r="P148" i="65"/>
  <c r="P132" i="65" s="1"/>
  <c r="U14" i="70"/>
  <c r="X8" i="65"/>
  <c r="X77" i="65" s="1"/>
  <c r="X105" i="65" s="1"/>
  <c r="M8" i="65"/>
  <c r="P132" i="72"/>
  <c r="AB117" i="72"/>
  <c r="E142" i="64"/>
  <c r="P138" i="65"/>
  <c r="P145" i="65"/>
  <c r="P142" i="65"/>
  <c r="P150" i="65"/>
  <c r="P117" i="72"/>
  <c r="L132" i="73"/>
  <c r="P11" i="68"/>
  <c r="Z11" i="68"/>
  <c r="Y11" i="68"/>
  <c r="L11" i="68"/>
  <c r="V11" i="68"/>
  <c r="S15" i="68"/>
  <c r="T21" i="68"/>
  <c r="Q21" i="68"/>
  <c r="U21" i="68"/>
  <c r="U55" i="68" s="1"/>
  <c r="E38" i="65"/>
  <c r="E9" i="65" s="1"/>
  <c r="M132" i="71"/>
  <c r="P139" i="65"/>
  <c r="P147" i="65"/>
  <c r="P144" i="65"/>
  <c r="M16" i="70"/>
  <c r="L150" i="69"/>
  <c r="N16" i="69"/>
  <c r="N85" i="69" s="1"/>
  <c r="R16" i="69"/>
  <c r="AB16" i="65"/>
  <c r="Y16" i="65"/>
  <c r="Y85" i="65" s="1"/>
  <c r="Y113" i="65" s="1"/>
  <c r="Q150" i="64"/>
  <c r="I38" i="65"/>
  <c r="I13" i="65" s="1"/>
  <c r="I82" i="65" s="1"/>
  <c r="I110" i="65" s="1"/>
  <c r="S10" i="68"/>
  <c r="P10" i="68"/>
  <c r="M9" i="68"/>
  <c r="I10" i="68"/>
  <c r="Y10" i="68"/>
  <c r="V10" i="68"/>
  <c r="F149" i="68"/>
  <c r="M38" i="65"/>
  <c r="Y17" i="65" s="1"/>
  <c r="D38" i="52"/>
  <c r="W10" i="68"/>
  <c r="T10" i="68"/>
  <c r="M10" i="68"/>
  <c r="N44" i="68" s="1"/>
  <c r="J10" i="68"/>
  <c r="K44" i="68" s="1"/>
  <c r="Z10" i="68"/>
  <c r="Q38" i="65"/>
  <c r="F38" i="52"/>
  <c r="I10" i="52" s="1"/>
  <c r="I79" i="52" s="1"/>
  <c r="L38" i="52"/>
  <c r="F38" i="65"/>
  <c r="F146" i="65" s="1"/>
  <c r="R8" i="70"/>
  <c r="Y8" i="70"/>
  <c r="T8" i="70"/>
  <c r="G8" i="70"/>
  <c r="R19" i="64"/>
  <c r="R88" i="64" s="1"/>
  <c r="R116" i="64" s="1"/>
  <c r="T19" i="64"/>
  <c r="T88" i="64" s="1"/>
  <c r="T116" i="64" s="1"/>
  <c r="D140" i="64"/>
  <c r="D147" i="64"/>
  <c r="D146" i="64"/>
  <c r="N138" i="64"/>
  <c r="N142" i="64"/>
  <c r="N150" i="64"/>
  <c r="N149" i="64"/>
  <c r="I141" i="64"/>
  <c r="I149" i="64"/>
  <c r="I148" i="64"/>
  <c r="I132" i="64" s="1"/>
  <c r="W8" i="64"/>
  <c r="W77" i="64" s="1"/>
  <c r="W105" i="64" s="1"/>
  <c r="D141" i="64"/>
  <c r="D149" i="64"/>
  <c r="D148" i="64"/>
  <c r="D132" i="64" s="1"/>
  <c r="N141" i="64"/>
  <c r="N144" i="64"/>
  <c r="N143" i="64"/>
  <c r="I139" i="64"/>
  <c r="I143" i="64"/>
  <c r="I142" i="64"/>
  <c r="I150" i="64"/>
  <c r="N8" i="64"/>
  <c r="N77" i="64" s="1"/>
  <c r="N105" i="64" s="1"/>
  <c r="L8" i="64"/>
  <c r="L77" i="64" s="1"/>
  <c r="L105" i="64" s="1"/>
  <c r="I8" i="64"/>
  <c r="I77" i="64" s="1"/>
  <c r="I105" i="64" s="1"/>
  <c r="D139" i="64"/>
  <c r="D143" i="64"/>
  <c r="D142" i="64"/>
  <c r="D150" i="64"/>
  <c r="N139" i="64"/>
  <c r="N146" i="64"/>
  <c r="I138" i="64"/>
  <c r="I145" i="64"/>
  <c r="Y8" i="64"/>
  <c r="Y77" i="64" s="1"/>
  <c r="Y105" i="64" s="1"/>
  <c r="C143" i="64"/>
  <c r="C148" i="64"/>
  <c r="C132" i="64" s="1"/>
  <c r="C5" i="64"/>
  <c r="C163" i="64" s="1"/>
  <c r="L140" i="64"/>
  <c r="K142" i="64"/>
  <c r="K150" i="64"/>
  <c r="K147" i="64"/>
  <c r="F139" i="64"/>
  <c r="F146" i="64"/>
  <c r="F145" i="64"/>
  <c r="Q138" i="64"/>
  <c r="Q147" i="64"/>
  <c r="Q144" i="64"/>
  <c r="Y16" i="64"/>
  <c r="Y85" i="64" s="1"/>
  <c r="Y113" i="64" s="1"/>
  <c r="T15" i="64"/>
  <c r="T84" i="64" s="1"/>
  <c r="T112" i="64" s="1"/>
  <c r="L148" i="64"/>
  <c r="L132" i="64" s="1"/>
  <c r="K138" i="64"/>
  <c r="K144" i="64"/>
  <c r="K141" i="64"/>
  <c r="K149" i="64"/>
  <c r="F141" i="64"/>
  <c r="F148" i="64"/>
  <c r="F132" i="64" s="1"/>
  <c r="F147" i="64"/>
  <c r="Q141" i="64"/>
  <c r="Q149" i="64"/>
  <c r="Q146" i="64"/>
  <c r="L145" i="64"/>
  <c r="K139" i="64"/>
  <c r="K148" i="64"/>
  <c r="K132" i="64" s="1"/>
  <c r="K145" i="64"/>
  <c r="F140" i="64"/>
  <c r="F144" i="64"/>
  <c r="Q139" i="64"/>
  <c r="Q145" i="64"/>
  <c r="Q142" i="64"/>
  <c r="Q106" i="71"/>
  <c r="H107" i="71"/>
  <c r="AB129" i="52"/>
  <c r="J139" i="64"/>
  <c r="E141" i="64"/>
  <c r="E145" i="64"/>
  <c r="E144" i="64"/>
  <c r="K142" i="65"/>
  <c r="H139" i="64"/>
  <c r="E138" i="64"/>
  <c r="E147" i="64"/>
  <c r="E146" i="64"/>
  <c r="H142" i="64"/>
  <c r="J147" i="64"/>
  <c r="E140" i="64"/>
  <c r="E149" i="64"/>
  <c r="K147" i="65"/>
  <c r="K139" i="65"/>
  <c r="K144" i="65"/>
  <c r="X110" i="72"/>
  <c r="Q110" i="72"/>
  <c r="K110" i="72"/>
  <c r="AA19" i="68"/>
  <c r="U11" i="70"/>
  <c r="M111" i="72"/>
  <c r="P111" i="72"/>
  <c r="V111" i="72"/>
  <c r="AB111" i="72"/>
  <c r="T14" i="69"/>
  <c r="K132" i="72"/>
  <c r="M112" i="72"/>
  <c r="AB112" i="72"/>
  <c r="I132" i="71"/>
  <c r="P12" i="70"/>
  <c r="N12" i="70"/>
  <c r="Z12" i="65"/>
  <c r="Z81" i="65" s="1"/>
  <c r="Z109" i="65" s="1"/>
  <c r="H150" i="65"/>
  <c r="M12" i="65"/>
  <c r="M81" i="65" s="1"/>
  <c r="M109" i="65" s="1"/>
  <c r="H150" i="64"/>
  <c r="G138" i="64"/>
  <c r="J138" i="64"/>
  <c r="J150" i="64"/>
  <c r="H142" i="65"/>
  <c r="K146" i="65"/>
  <c r="K143" i="65"/>
  <c r="N17" i="68"/>
  <c r="U114" i="73"/>
  <c r="N12" i="64"/>
  <c r="N81" i="64" s="1"/>
  <c r="N109" i="64" s="1"/>
  <c r="J140" i="64"/>
  <c r="J143" i="64"/>
  <c r="K138" i="65"/>
  <c r="K148" i="65"/>
  <c r="K132" i="65" s="1"/>
  <c r="K145" i="65"/>
  <c r="T17" i="68"/>
  <c r="Y17" i="68"/>
  <c r="Y86" i="68" s="1"/>
  <c r="H143" i="64"/>
  <c r="J146" i="64"/>
  <c r="H138" i="65"/>
  <c r="K140" i="65"/>
  <c r="K150" i="65"/>
  <c r="K149" i="65"/>
  <c r="AA17" i="68"/>
  <c r="J132" i="72"/>
  <c r="H132" i="73"/>
  <c r="K106" i="72"/>
  <c r="I104" i="72"/>
  <c r="S115" i="73"/>
  <c r="I132" i="73"/>
  <c r="P19" i="69"/>
  <c r="P88" i="69" s="1"/>
  <c r="D8" i="65"/>
  <c r="D77" i="65" s="1"/>
  <c r="D105" i="65" s="1"/>
  <c r="S12" i="64"/>
  <c r="S81" i="64" s="1"/>
  <c r="S109" i="64" s="1"/>
  <c r="Q110" i="71"/>
  <c r="X12" i="65"/>
  <c r="X81" i="65" s="1"/>
  <c r="X109" i="65" s="1"/>
  <c r="K107" i="71"/>
  <c r="X110" i="71"/>
  <c r="T111" i="71"/>
  <c r="U19" i="70"/>
  <c r="P19" i="70"/>
  <c r="U105" i="73"/>
  <c r="Q19" i="64"/>
  <c r="Q88" i="64" s="1"/>
  <c r="Q116" i="64" s="1"/>
  <c r="W19" i="64"/>
  <c r="Y19" i="64"/>
  <c r="Y88" i="64" s="1"/>
  <c r="Y116" i="64" s="1"/>
  <c r="S19" i="64"/>
  <c r="P19" i="64"/>
  <c r="P88" i="64" s="1"/>
  <c r="P116" i="64" s="1"/>
  <c r="R19" i="70"/>
  <c r="AA19" i="70"/>
  <c r="V107" i="71"/>
  <c r="AB19" i="70"/>
  <c r="U81" i="64"/>
  <c r="U109" i="64" s="1"/>
  <c r="G132" i="72"/>
  <c r="W108" i="72"/>
  <c r="AB108" i="72"/>
  <c r="L108" i="72"/>
  <c r="X108" i="72"/>
  <c r="O108" i="72"/>
  <c r="AB111" i="71"/>
  <c r="Y111" i="71"/>
  <c r="P111" i="71"/>
  <c r="H150" i="69"/>
  <c r="H12" i="69"/>
  <c r="H81" i="69" s="1"/>
  <c r="Q12" i="69"/>
  <c r="S12" i="69"/>
  <c r="AB12" i="69"/>
  <c r="AB81" i="69" s="1"/>
  <c r="J12" i="69"/>
  <c r="P12" i="69"/>
  <c r="P81" i="69" s="1"/>
  <c r="Y12" i="69"/>
  <c r="Y81" i="69" s="1"/>
  <c r="H138" i="64"/>
  <c r="H145" i="64"/>
  <c r="H144" i="64"/>
  <c r="H139" i="65"/>
  <c r="H147" i="65"/>
  <c r="H144" i="65"/>
  <c r="E41" i="68"/>
  <c r="X17" i="68"/>
  <c r="X86" i="68" s="1"/>
  <c r="R17" i="68"/>
  <c r="M12" i="70"/>
  <c r="AA12" i="69"/>
  <c r="W12" i="65"/>
  <c r="I109" i="73"/>
  <c r="K132" i="71"/>
  <c r="G150" i="69"/>
  <c r="AA110" i="71"/>
  <c r="X117" i="71"/>
  <c r="M114" i="73"/>
  <c r="N114" i="73"/>
  <c r="T114" i="73"/>
  <c r="AB114" i="73"/>
  <c r="S51" i="73"/>
  <c r="W114" i="73"/>
  <c r="Y109" i="73"/>
  <c r="J109" i="73"/>
  <c r="N109" i="73"/>
  <c r="T109" i="73"/>
  <c r="Z109" i="73"/>
  <c r="X46" i="73"/>
  <c r="W12" i="64"/>
  <c r="P12" i="64"/>
  <c r="P81" i="64" s="1"/>
  <c r="P109" i="64" s="1"/>
  <c r="I12" i="64"/>
  <c r="Y12" i="64"/>
  <c r="Z12" i="64"/>
  <c r="K12" i="64"/>
  <c r="AA12" i="64"/>
  <c r="T12" i="64"/>
  <c r="M12" i="64"/>
  <c r="R12" i="64"/>
  <c r="O12" i="64"/>
  <c r="H12" i="64"/>
  <c r="H81" i="64" s="1"/>
  <c r="H109" i="64" s="1"/>
  <c r="X12" i="64"/>
  <c r="Q12" i="64"/>
  <c r="Q81" i="64" s="1"/>
  <c r="Q109" i="64" s="1"/>
  <c r="V12" i="64"/>
  <c r="M149" i="68"/>
  <c r="P17" i="68"/>
  <c r="M150" i="68"/>
  <c r="H140" i="64"/>
  <c r="H147" i="64"/>
  <c r="H146" i="64"/>
  <c r="H141" i="65"/>
  <c r="H149" i="65"/>
  <c r="H146" i="65"/>
  <c r="AB17" i="68"/>
  <c r="Q17" i="68"/>
  <c r="M17" i="68"/>
  <c r="V17" i="68"/>
  <c r="S17" i="68"/>
  <c r="S86" i="68" s="1"/>
  <c r="AB45" i="72"/>
  <c r="K12" i="70"/>
  <c r="K12" i="69"/>
  <c r="K46" i="69" s="1"/>
  <c r="M132" i="68"/>
  <c r="AB12" i="64"/>
  <c r="AB81" i="64" s="1"/>
  <c r="AB109" i="64" s="1"/>
  <c r="F132" i="73"/>
  <c r="K110" i="71"/>
  <c r="N113" i="72"/>
  <c r="AA50" i="72"/>
  <c r="Y113" i="72"/>
  <c r="O110" i="71"/>
  <c r="L110" i="71"/>
  <c r="AB110" i="71"/>
  <c r="S110" i="71"/>
  <c r="N110" i="71"/>
  <c r="T110" i="71"/>
  <c r="T12" i="70"/>
  <c r="R12" i="70"/>
  <c r="S12" i="70"/>
  <c r="U12" i="70"/>
  <c r="Q12" i="70"/>
  <c r="X12" i="70"/>
  <c r="W12" i="70"/>
  <c r="Y12" i="70"/>
  <c r="Z12" i="70"/>
  <c r="V12" i="70"/>
  <c r="L12" i="70"/>
  <c r="AB12" i="70"/>
  <c r="I12" i="70"/>
  <c r="J12" i="70"/>
  <c r="H12" i="70"/>
  <c r="AA12" i="70"/>
  <c r="Q12" i="65"/>
  <c r="Q81" i="65" s="1"/>
  <c r="Q109" i="65" s="1"/>
  <c r="N12" i="65"/>
  <c r="N81" i="65" s="1"/>
  <c r="N109" i="65" s="1"/>
  <c r="K12" i="65"/>
  <c r="K81" i="65" s="1"/>
  <c r="K109" i="65" s="1"/>
  <c r="AA12" i="65"/>
  <c r="L12" i="65"/>
  <c r="P12" i="65"/>
  <c r="U12" i="65"/>
  <c r="R12" i="65"/>
  <c r="O12" i="65"/>
  <c r="O81" i="65" s="1"/>
  <c r="O109" i="65" s="1"/>
  <c r="H12" i="65"/>
  <c r="H81" i="65" s="1"/>
  <c r="H109" i="65" s="1"/>
  <c r="AB12" i="65"/>
  <c r="AB81" i="65" s="1"/>
  <c r="AB109" i="65" s="1"/>
  <c r="I12" i="65"/>
  <c r="Y12" i="65"/>
  <c r="V12" i="65"/>
  <c r="S12" i="65"/>
  <c r="T12" i="65"/>
  <c r="H141" i="64"/>
  <c r="H149" i="64"/>
  <c r="H148" i="64"/>
  <c r="H132" i="64" s="1"/>
  <c r="H143" i="65"/>
  <c r="H140" i="65"/>
  <c r="H148" i="65"/>
  <c r="H132" i="65" s="1"/>
  <c r="U17" i="68"/>
  <c r="U86" i="68" s="1"/>
  <c r="Z17" i="68"/>
  <c r="W17" i="68"/>
  <c r="J132" i="71"/>
  <c r="X113" i="72"/>
  <c r="O12" i="70"/>
  <c r="M12" i="69"/>
  <c r="L12" i="64"/>
  <c r="L81" i="64" s="1"/>
  <c r="L109" i="64" s="1"/>
  <c r="J12" i="65"/>
  <c r="J81" i="65" s="1"/>
  <c r="J109" i="65" s="1"/>
  <c r="O114" i="73"/>
  <c r="P109" i="73"/>
  <c r="S109" i="73"/>
  <c r="V19" i="70"/>
  <c r="W19" i="70"/>
  <c r="O150" i="65"/>
  <c r="U44" i="68"/>
  <c r="U52" i="68"/>
  <c r="X111" i="71"/>
  <c r="P48" i="71"/>
  <c r="F107" i="72"/>
  <c r="O107" i="72"/>
  <c r="W118" i="72"/>
  <c r="AB118" i="72"/>
  <c r="AB14" i="70"/>
  <c r="N14" i="70"/>
  <c r="M14" i="69"/>
  <c r="V15" i="69"/>
  <c r="O144" i="65"/>
  <c r="O147" i="65"/>
  <c r="N9" i="68"/>
  <c r="F132" i="72"/>
  <c r="AB117" i="73"/>
  <c r="V14" i="70"/>
  <c r="W14" i="70"/>
  <c r="W15" i="69"/>
  <c r="P15" i="69"/>
  <c r="O15" i="70"/>
  <c r="O146" i="65"/>
  <c r="T48" i="68"/>
  <c r="M132" i="70"/>
  <c r="T9" i="68"/>
  <c r="Q132" i="72"/>
  <c r="S15" i="69"/>
  <c r="L15" i="69"/>
  <c r="O132" i="72"/>
  <c r="U105" i="72"/>
  <c r="E105" i="72"/>
  <c r="Q118" i="71"/>
  <c r="Q132" i="71"/>
  <c r="Y20" i="70"/>
  <c r="H9" i="68"/>
  <c r="O9" i="68"/>
  <c r="Z9" i="68"/>
  <c r="J9" i="68"/>
  <c r="Y9" i="68"/>
  <c r="I9" i="68"/>
  <c r="P9" i="68"/>
  <c r="AA9" i="68"/>
  <c r="AA78" i="68" s="1"/>
  <c r="K9" i="68"/>
  <c r="K78" i="68" s="1"/>
  <c r="V9" i="68"/>
  <c r="F9" i="68"/>
  <c r="U9" i="68"/>
  <c r="U78" i="68" s="1"/>
  <c r="AB9" i="68"/>
  <c r="L9" i="68"/>
  <c r="L78" i="68" s="1"/>
  <c r="E150" i="68"/>
  <c r="W9" i="68"/>
  <c r="G9" i="68"/>
  <c r="R9" i="68"/>
  <c r="E9" i="68"/>
  <c r="Q9" i="68"/>
  <c r="X9" i="68"/>
  <c r="U10" i="69"/>
  <c r="L10" i="69"/>
  <c r="V7" i="64"/>
  <c r="V76" i="64" s="1"/>
  <c r="V104" i="64" s="1"/>
  <c r="V9" i="65"/>
  <c r="V78" i="65" s="1"/>
  <c r="V106" i="65" s="1"/>
  <c r="AB10" i="70"/>
  <c r="F132" i="70"/>
  <c r="H10" i="70"/>
  <c r="J110" i="72"/>
  <c r="I110" i="72"/>
  <c r="O110" i="72"/>
  <c r="C7" i="69"/>
  <c r="N115" i="72"/>
  <c r="X115" i="72"/>
  <c r="W115" i="72"/>
  <c r="T115" i="72"/>
  <c r="L132" i="71"/>
  <c r="T52" i="68"/>
  <c r="V115" i="71"/>
  <c r="L7" i="64"/>
  <c r="L76" i="64" s="1"/>
  <c r="L104" i="64" s="1"/>
  <c r="G10" i="69"/>
  <c r="X7" i="69"/>
  <c r="U20" i="64"/>
  <c r="U89" i="64" s="1"/>
  <c r="U117" i="64" s="1"/>
  <c r="P43" i="71"/>
  <c r="C132" i="73"/>
  <c r="Y18" i="70"/>
  <c r="N18" i="70"/>
  <c r="S18" i="70"/>
  <c r="Z18" i="70"/>
  <c r="P18" i="70"/>
  <c r="R18" i="70"/>
  <c r="X18" i="70"/>
  <c r="Q18" i="70"/>
  <c r="V18" i="70"/>
  <c r="W18" i="70"/>
  <c r="O18" i="70"/>
  <c r="G144" i="65"/>
  <c r="G147" i="65"/>
  <c r="O116" i="72"/>
  <c r="T18" i="70"/>
  <c r="Z11" i="69"/>
  <c r="S11" i="69"/>
  <c r="T116" i="72"/>
  <c r="AB18" i="70"/>
  <c r="X10" i="69"/>
  <c r="N10" i="69"/>
  <c r="AA10" i="69"/>
  <c r="AA79" i="69" s="1"/>
  <c r="F132" i="69"/>
  <c r="AB10" i="69"/>
  <c r="R10" i="69"/>
  <c r="O10" i="69"/>
  <c r="H10" i="69"/>
  <c r="H79" i="69" s="1"/>
  <c r="Q10" i="69"/>
  <c r="F10" i="69"/>
  <c r="F79" i="69" s="1"/>
  <c r="P7" i="64"/>
  <c r="Z7" i="64"/>
  <c r="Z76" i="64" s="1"/>
  <c r="Z104" i="64" s="1"/>
  <c r="F7" i="64"/>
  <c r="W7" i="64"/>
  <c r="K9" i="65"/>
  <c r="K78" i="65" s="1"/>
  <c r="K106" i="65" s="1"/>
  <c r="P9" i="65"/>
  <c r="P78" i="65" s="1"/>
  <c r="P106" i="65" s="1"/>
  <c r="F9" i="65"/>
  <c r="F78" i="65" s="1"/>
  <c r="F106" i="65" s="1"/>
  <c r="AB106" i="71"/>
  <c r="G148" i="65"/>
  <c r="G132" i="65" s="1"/>
  <c r="W116" i="72"/>
  <c r="AA18" i="70"/>
  <c r="Z47" i="73"/>
  <c r="K110" i="73"/>
  <c r="N110" i="73"/>
  <c r="AB110" i="73"/>
  <c r="W110" i="73"/>
  <c r="F42" i="73"/>
  <c r="Z105" i="73"/>
  <c r="Q105" i="73"/>
  <c r="M106" i="71"/>
  <c r="L43" i="71"/>
  <c r="M8" i="64"/>
  <c r="M77" i="64" s="1"/>
  <c r="M105" i="64" s="1"/>
  <c r="D8" i="64"/>
  <c r="D77" i="64" s="1"/>
  <c r="D105" i="64" s="1"/>
  <c r="R8" i="64"/>
  <c r="K8" i="64"/>
  <c r="AA8" i="64"/>
  <c r="AB8" i="64"/>
  <c r="AB77" i="64" s="1"/>
  <c r="AB105" i="64" s="1"/>
  <c r="Q8" i="64"/>
  <c r="Q77" i="64" s="1"/>
  <c r="Q105" i="64" s="1"/>
  <c r="F8" i="64"/>
  <c r="F77" i="64" s="1"/>
  <c r="F105" i="64" s="1"/>
  <c r="V8" i="64"/>
  <c r="O8" i="64"/>
  <c r="H8" i="64"/>
  <c r="P8" i="64"/>
  <c r="E8" i="64"/>
  <c r="E77" i="64" s="1"/>
  <c r="E105" i="64" s="1"/>
  <c r="U8" i="64"/>
  <c r="J8" i="64"/>
  <c r="Z8" i="64"/>
  <c r="S8" i="64"/>
  <c r="X8" i="64"/>
  <c r="H8" i="70"/>
  <c r="X8" i="70"/>
  <c r="M8" i="70"/>
  <c r="F8" i="70"/>
  <c r="V8" i="70"/>
  <c r="AA8" i="70"/>
  <c r="W8" i="70"/>
  <c r="L8" i="70"/>
  <c r="AB8" i="70"/>
  <c r="Q8" i="70"/>
  <c r="J8" i="70"/>
  <c r="Z8" i="70"/>
  <c r="O8" i="70"/>
  <c r="P8" i="70"/>
  <c r="E8" i="70"/>
  <c r="U8" i="70"/>
  <c r="N8" i="70"/>
  <c r="D8" i="70"/>
  <c r="S8" i="70"/>
  <c r="J8" i="69"/>
  <c r="J77" i="69" s="1"/>
  <c r="S8" i="69"/>
  <c r="S77" i="69" s="1"/>
  <c r="G8" i="69"/>
  <c r="G77" i="69" s="1"/>
  <c r="L8" i="69"/>
  <c r="L77" i="69" s="1"/>
  <c r="AA8" i="69"/>
  <c r="AA77" i="69" s="1"/>
  <c r="F8" i="65"/>
  <c r="F77" i="65" s="1"/>
  <c r="F105" i="65" s="1"/>
  <c r="S8" i="65"/>
  <c r="L8" i="65"/>
  <c r="AB8" i="65"/>
  <c r="AB77" i="65" s="1"/>
  <c r="AB105" i="65" s="1"/>
  <c r="Q8" i="65"/>
  <c r="Q77" i="65" s="1"/>
  <c r="Q105" i="65" s="1"/>
  <c r="J8" i="65"/>
  <c r="J77" i="65" s="1"/>
  <c r="J105" i="65" s="1"/>
  <c r="V8" i="65"/>
  <c r="G8" i="65"/>
  <c r="W8" i="65"/>
  <c r="P8" i="65"/>
  <c r="E8" i="65"/>
  <c r="U8" i="65"/>
  <c r="Z8" i="65"/>
  <c r="K8" i="65"/>
  <c r="AA8" i="65"/>
  <c r="T8" i="65"/>
  <c r="I8" i="65"/>
  <c r="I42" i="65" s="1"/>
  <c r="Y8" i="65"/>
  <c r="N8" i="65"/>
  <c r="N77" i="65" s="1"/>
  <c r="N105" i="65" s="1"/>
  <c r="Q150" i="68"/>
  <c r="Y21" i="68"/>
  <c r="Y90" i="68" s="1"/>
  <c r="S21" i="68"/>
  <c r="S90" i="68" s="1"/>
  <c r="X21" i="68"/>
  <c r="X90" i="68" s="1"/>
  <c r="Q132" i="68"/>
  <c r="R21" i="68"/>
  <c r="R90" i="68" s="1"/>
  <c r="W21" i="68"/>
  <c r="W90" i="68" s="1"/>
  <c r="AB21" i="68"/>
  <c r="Q149" i="68"/>
  <c r="V21" i="68"/>
  <c r="V90" i="68" s="1"/>
  <c r="AA21" i="68"/>
  <c r="AA90" i="68" s="1"/>
  <c r="K132" i="73"/>
  <c r="Z41" i="68"/>
  <c r="Y118" i="73"/>
  <c r="Q118" i="73"/>
  <c r="AA55" i="73"/>
  <c r="U118" i="73"/>
  <c r="Y115" i="71"/>
  <c r="AB115" i="71"/>
  <c r="AB113" i="73"/>
  <c r="U113" i="73"/>
  <c r="L113" i="73"/>
  <c r="Y113" i="73"/>
  <c r="O114" i="71"/>
  <c r="AB114" i="71"/>
  <c r="T114" i="71"/>
  <c r="Q16" i="64"/>
  <c r="Q85" i="64" s="1"/>
  <c r="Q113" i="64" s="1"/>
  <c r="Z16" i="64"/>
  <c r="P16" i="69"/>
  <c r="P85" i="69" s="1"/>
  <c r="U16" i="69"/>
  <c r="U85" i="69" s="1"/>
  <c r="W16" i="69"/>
  <c r="W85" i="69" s="1"/>
  <c r="L16" i="69"/>
  <c r="L85" i="69" s="1"/>
  <c r="V16" i="69"/>
  <c r="V85" i="69" s="1"/>
  <c r="Y16" i="69"/>
  <c r="Y85" i="69" s="1"/>
  <c r="AA16" i="69"/>
  <c r="AA85" i="69" s="1"/>
  <c r="T16" i="69"/>
  <c r="T85" i="69" s="1"/>
  <c r="X16" i="69"/>
  <c r="X85" i="69" s="1"/>
  <c r="S16" i="65"/>
  <c r="T16" i="65"/>
  <c r="Q16" i="65"/>
  <c r="Q85" i="65" s="1"/>
  <c r="Q113" i="65" s="1"/>
  <c r="N16" i="65"/>
  <c r="N85" i="65" s="1"/>
  <c r="N113" i="65" s="1"/>
  <c r="W16" i="65"/>
  <c r="X16" i="65"/>
  <c r="U16" i="65"/>
  <c r="R16" i="65"/>
  <c r="Z16" i="65"/>
  <c r="O16" i="65"/>
  <c r="P16" i="65"/>
  <c r="Q50" i="65" s="1"/>
  <c r="M16" i="65"/>
  <c r="N50" i="65" s="1"/>
  <c r="L16" i="65"/>
  <c r="L85" i="65" s="1"/>
  <c r="L113" i="65" s="1"/>
  <c r="I149" i="68"/>
  <c r="X52" i="68"/>
  <c r="S52" i="68"/>
  <c r="P51" i="68"/>
  <c r="AB19" i="68"/>
  <c r="AB88" i="68" s="1"/>
  <c r="R19" i="68"/>
  <c r="W113" i="73"/>
  <c r="X48" i="68"/>
  <c r="U110" i="73"/>
  <c r="R11" i="70"/>
  <c r="X11" i="70"/>
  <c r="K11" i="70"/>
  <c r="Z11" i="70"/>
  <c r="J11" i="69"/>
  <c r="J80" i="69" s="1"/>
  <c r="W11" i="69"/>
  <c r="W80" i="69" s="1"/>
  <c r="AB11" i="69"/>
  <c r="V11" i="69"/>
  <c r="V80" i="69" s="1"/>
  <c r="H11" i="69"/>
  <c r="H80" i="69" s="1"/>
  <c r="U11" i="69"/>
  <c r="U80" i="69" s="1"/>
  <c r="X18" i="69"/>
  <c r="X87" i="69" s="1"/>
  <c r="AB18" i="69"/>
  <c r="AB87" i="69" s="1"/>
  <c r="Q15" i="64"/>
  <c r="Q84" i="64" s="1"/>
  <c r="Q112" i="64" s="1"/>
  <c r="AA15" i="64"/>
  <c r="AA84" i="64" s="1"/>
  <c r="AA112" i="64" s="1"/>
  <c r="P15" i="64"/>
  <c r="P84" i="64" s="1"/>
  <c r="P112" i="64" s="1"/>
  <c r="K15" i="64"/>
  <c r="K84" i="64" s="1"/>
  <c r="K112" i="64" s="1"/>
  <c r="M15" i="64"/>
  <c r="M84" i="64" s="1"/>
  <c r="M112" i="64" s="1"/>
  <c r="Z15" i="64"/>
  <c r="R115" i="71"/>
  <c r="O14" i="70"/>
  <c r="T14" i="70"/>
  <c r="Z14" i="70"/>
  <c r="R14" i="70"/>
  <c r="X14" i="70"/>
  <c r="S14" i="70"/>
  <c r="Y14" i="70"/>
  <c r="Q14" i="70"/>
  <c r="N15" i="69"/>
  <c r="U15" i="69"/>
  <c r="T15" i="69"/>
  <c r="T84" i="69" s="1"/>
  <c r="U19" i="64"/>
  <c r="AB19" i="64"/>
  <c r="AB88" i="64" s="1"/>
  <c r="AB116" i="64" s="1"/>
  <c r="O19" i="64"/>
  <c r="Z19" i="64"/>
  <c r="V15" i="70"/>
  <c r="T20" i="69"/>
  <c r="T89" i="69" s="1"/>
  <c r="M15" i="69"/>
  <c r="M84" i="69" s="1"/>
  <c r="Q15" i="69"/>
  <c r="Q84" i="69" s="1"/>
  <c r="O15" i="69"/>
  <c r="O84" i="69" s="1"/>
  <c r="X19" i="64"/>
  <c r="AA19" i="64"/>
  <c r="AA20" i="69"/>
  <c r="AA89" i="69" s="1"/>
  <c r="AB106" i="73"/>
  <c r="F106" i="73"/>
  <c r="V106" i="73"/>
  <c r="E132" i="73"/>
  <c r="Z106" i="73"/>
  <c r="G106" i="73"/>
  <c r="L106" i="73"/>
  <c r="Q106" i="73"/>
  <c r="E106" i="73"/>
  <c r="L105" i="72"/>
  <c r="W105" i="72"/>
  <c r="X105" i="72"/>
  <c r="R105" i="72"/>
  <c r="I105" i="72"/>
  <c r="D105" i="72"/>
  <c r="V117" i="73"/>
  <c r="U117" i="73"/>
  <c r="X117" i="73"/>
  <c r="T117" i="73"/>
  <c r="P132" i="73"/>
  <c r="S117" i="73"/>
  <c r="P117" i="73"/>
  <c r="Q132" i="70"/>
  <c r="Y110" i="73"/>
  <c r="N106" i="73"/>
  <c r="S118" i="71"/>
  <c r="U118" i="71"/>
  <c r="W20" i="64"/>
  <c r="X20" i="64"/>
  <c r="Y20" i="64"/>
  <c r="R20" i="64"/>
  <c r="AA20" i="64"/>
  <c r="AB20" i="64"/>
  <c r="AB89" i="64" s="1"/>
  <c r="AB117" i="64" s="1"/>
  <c r="V20" i="64"/>
  <c r="Q20" i="64"/>
  <c r="R54" i="64" s="1"/>
  <c r="T7" i="70"/>
  <c r="O7" i="70"/>
  <c r="U55" i="71"/>
  <c r="T20" i="64"/>
  <c r="N14" i="69"/>
  <c r="N83" i="69" s="1"/>
  <c r="O14" i="69"/>
  <c r="S10" i="70"/>
  <c r="Y10" i="70"/>
  <c r="K10" i="70"/>
  <c r="Z20" i="64"/>
  <c r="P20" i="64"/>
  <c r="P89" i="64" s="1"/>
  <c r="P117" i="64" s="1"/>
  <c r="K10" i="69"/>
  <c r="K79" i="69" s="1"/>
  <c r="Z10" i="69"/>
  <c r="Z79" i="69" s="1"/>
  <c r="J10" i="69"/>
  <c r="J79" i="69" s="1"/>
  <c r="M10" i="69"/>
  <c r="M79" i="69" s="1"/>
  <c r="T10" i="69"/>
  <c r="T79" i="69" s="1"/>
  <c r="R19" i="69"/>
  <c r="S7" i="64"/>
  <c r="R7" i="64"/>
  <c r="M7" i="64"/>
  <c r="M76" i="64" s="1"/>
  <c r="M104" i="64" s="1"/>
  <c r="X7" i="64"/>
  <c r="H7" i="64"/>
  <c r="Z9" i="65"/>
  <c r="H9" i="65"/>
  <c r="H78" i="65" s="1"/>
  <c r="H106" i="65" s="1"/>
  <c r="P16" i="64"/>
  <c r="P85" i="64" s="1"/>
  <c r="P113" i="64" s="1"/>
  <c r="O19" i="70"/>
  <c r="Q19" i="70"/>
  <c r="Y19" i="70"/>
  <c r="S19" i="70"/>
  <c r="X113" i="73"/>
  <c r="S10" i="69"/>
  <c r="S79" i="69" s="1"/>
  <c r="W10" i="69"/>
  <c r="W79" i="69" s="1"/>
  <c r="V10" i="69"/>
  <c r="V79" i="69" s="1"/>
  <c r="Y10" i="69"/>
  <c r="Y79" i="69" s="1"/>
  <c r="I10" i="69"/>
  <c r="I79" i="69" s="1"/>
  <c r="P10" i="69"/>
  <c r="P79" i="69" s="1"/>
  <c r="Y19" i="69"/>
  <c r="Y88" i="69" s="1"/>
  <c r="O7" i="64"/>
  <c r="O76" i="64" s="1"/>
  <c r="O104" i="64" s="1"/>
  <c r="N7" i="64"/>
  <c r="N76" i="64" s="1"/>
  <c r="N104" i="64" s="1"/>
  <c r="Y7" i="64"/>
  <c r="T7" i="64"/>
  <c r="D7" i="64"/>
  <c r="D76" i="64" s="1"/>
  <c r="D104" i="64" s="1"/>
  <c r="I9" i="65"/>
  <c r="I78" i="65" s="1"/>
  <c r="I106" i="65" s="1"/>
  <c r="X19" i="70"/>
  <c r="Z19" i="70"/>
  <c r="V114" i="73"/>
  <c r="Q113" i="73"/>
  <c r="R42" i="73"/>
  <c r="AB116" i="73"/>
  <c r="O132" i="73"/>
  <c r="X116" i="73"/>
  <c r="M132" i="72"/>
  <c r="M114" i="72"/>
  <c r="G149" i="68"/>
  <c r="G150" i="68"/>
  <c r="J132" i="73"/>
  <c r="G132" i="71"/>
  <c r="G7" i="70"/>
  <c r="W7" i="70"/>
  <c r="L7" i="70"/>
  <c r="AB7" i="70"/>
  <c r="Q7" i="70"/>
  <c r="F7" i="70"/>
  <c r="Z7" i="70"/>
  <c r="K7" i="70"/>
  <c r="AA7" i="70"/>
  <c r="P7" i="70"/>
  <c r="E7" i="70"/>
  <c r="U7" i="70"/>
  <c r="V7" i="70"/>
  <c r="C5" i="70"/>
  <c r="D7" i="70"/>
  <c r="I7" i="70"/>
  <c r="C7" i="70"/>
  <c r="H7" i="70"/>
  <c r="M7" i="70"/>
  <c r="J7" i="70"/>
  <c r="S7" i="70"/>
  <c r="X7" i="70"/>
  <c r="R7" i="70"/>
  <c r="AA7" i="69"/>
  <c r="AA76" i="69" s="1"/>
  <c r="C150" i="69"/>
  <c r="L7" i="69"/>
  <c r="L76" i="69" s="1"/>
  <c r="AB7" i="69"/>
  <c r="Q7" i="69"/>
  <c r="Q76" i="69" s="1"/>
  <c r="F7" i="69"/>
  <c r="F76" i="69" s="1"/>
  <c r="V7" i="69"/>
  <c r="V76" i="69" s="1"/>
  <c r="G7" i="69"/>
  <c r="G76" i="69" s="1"/>
  <c r="C148" i="69"/>
  <c r="C132" i="69" s="1"/>
  <c r="P7" i="69"/>
  <c r="P76" i="69" s="1"/>
  <c r="E7" i="69"/>
  <c r="E76" i="69" s="1"/>
  <c r="U7" i="69"/>
  <c r="U76" i="69" s="1"/>
  <c r="J7" i="69"/>
  <c r="J76" i="69" s="1"/>
  <c r="Z7" i="69"/>
  <c r="Z76" i="69" s="1"/>
  <c r="W7" i="69"/>
  <c r="W76" i="69" s="1"/>
  <c r="H7" i="69"/>
  <c r="H76" i="69" s="1"/>
  <c r="M7" i="69"/>
  <c r="M76" i="69" s="1"/>
  <c r="R7" i="69"/>
  <c r="R76" i="69" s="1"/>
  <c r="K7" i="69"/>
  <c r="K76" i="69" s="1"/>
  <c r="T7" i="69"/>
  <c r="T76" i="69" s="1"/>
  <c r="Y7" i="69"/>
  <c r="Y76" i="69" s="1"/>
  <c r="O7" i="69"/>
  <c r="O76" i="69" s="1"/>
  <c r="D7" i="69"/>
  <c r="D76" i="69" s="1"/>
  <c r="I7" i="69"/>
  <c r="I76" i="69" s="1"/>
  <c r="N7" i="69"/>
  <c r="N76" i="69" s="1"/>
  <c r="C5" i="69"/>
  <c r="AA107" i="72"/>
  <c r="Z44" i="72"/>
  <c r="I44" i="72"/>
  <c r="U107" i="72"/>
  <c r="L107" i="72"/>
  <c r="D132" i="71"/>
  <c r="U14" i="69"/>
  <c r="U83" i="69" s="1"/>
  <c r="J150" i="69"/>
  <c r="V14" i="69"/>
  <c r="V83" i="69" s="1"/>
  <c r="S14" i="69"/>
  <c r="S83" i="69" s="1"/>
  <c r="P14" i="69"/>
  <c r="P83" i="69" s="1"/>
  <c r="J14" i="69"/>
  <c r="J83" i="69" s="1"/>
  <c r="Z14" i="69"/>
  <c r="Z83" i="69" s="1"/>
  <c r="AA14" i="69"/>
  <c r="AA83" i="69" s="1"/>
  <c r="AB14" i="69"/>
  <c r="K14" i="69"/>
  <c r="K83" i="69" s="1"/>
  <c r="L14" i="69"/>
  <c r="L83" i="69" s="1"/>
  <c r="Y14" i="69"/>
  <c r="Y83" i="69" s="1"/>
  <c r="R14" i="69"/>
  <c r="R83" i="69" s="1"/>
  <c r="W14" i="69"/>
  <c r="W83" i="69" s="1"/>
  <c r="X14" i="69"/>
  <c r="X83" i="69" s="1"/>
  <c r="Q14" i="69"/>
  <c r="Q83" i="69" s="1"/>
  <c r="Z11" i="64"/>
  <c r="Y11" i="64"/>
  <c r="P11" i="64"/>
  <c r="P80" i="64" s="1"/>
  <c r="P108" i="64" s="1"/>
  <c r="Q11" i="64"/>
  <c r="Q80" i="64" s="1"/>
  <c r="Q108" i="64" s="1"/>
  <c r="S11" i="64"/>
  <c r="C149" i="69"/>
  <c r="N7" i="70"/>
  <c r="P113" i="73"/>
  <c r="P116" i="73"/>
  <c r="P110" i="73"/>
  <c r="S7" i="69"/>
  <c r="S76" i="69" s="1"/>
  <c r="I11" i="68"/>
  <c r="I80" i="68" s="1"/>
  <c r="Y7" i="70"/>
  <c r="O11" i="64"/>
  <c r="Z10" i="70"/>
  <c r="I10" i="70"/>
  <c r="L10" i="70"/>
  <c r="O11" i="70"/>
  <c r="H11" i="70"/>
  <c r="I11" i="70"/>
  <c r="J11" i="70"/>
  <c r="L11" i="70"/>
  <c r="AB11" i="70"/>
  <c r="S11" i="70"/>
  <c r="M11" i="70"/>
  <c r="N11" i="70"/>
  <c r="P11" i="70"/>
  <c r="G11" i="70"/>
  <c r="N11" i="69"/>
  <c r="N80" i="69" s="1"/>
  <c r="K11" i="69"/>
  <c r="K80" i="69" s="1"/>
  <c r="AA11" i="69"/>
  <c r="AA80" i="69" s="1"/>
  <c r="P11" i="69"/>
  <c r="P80" i="69" s="1"/>
  <c r="M11" i="69"/>
  <c r="M80" i="69" s="1"/>
  <c r="Y11" i="69"/>
  <c r="Y80" i="69" s="1"/>
  <c r="R11" i="69"/>
  <c r="R80" i="69" s="1"/>
  <c r="O11" i="69"/>
  <c r="O80" i="69" s="1"/>
  <c r="G11" i="69"/>
  <c r="G80" i="69" s="1"/>
  <c r="T11" i="69"/>
  <c r="T80" i="69" s="1"/>
  <c r="Q11" i="69"/>
  <c r="Q80" i="69" s="1"/>
  <c r="U18" i="69"/>
  <c r="U87" i="69" s="1"/>
  <c r="X15" i="64"/>
  <c r="U15" i="64"/>
  <c r="R15" i="64"/>
  <c r="O15" i="64"/>
  <c r="O84" i="64" s="1"/>
  <c r="O112" i="64" s="1"/>
  <c r="W15" i="64"/>
  <c r="L15" i="64"/>
  <c r="L84" i="64" s="1"/>
  <c r="L112" i="64" s="1"/>
  <c r="AB15" i="64"/>
  <c r="Y15" i="64"/>
  <c r="V15" i="64"/>
  <c r="S15" i="64"/>
  <c r="O17" i="65"/>
  <c r="O86" i="65" s="1"/>
  <c r="O114" i="65" s="1"/>
  <c r="K14" i="70"/>
  <c r="AA14" i="70"/>
  <c r="J14" i="70"/>
  <c r="L14" i="70"/>
  <c r="M14" i="70"/>
  <c r="V10" i="70"/>
  <c r="O10" i="70"/>
  <c r="F10" i="70"/>
  <c r="T10" i="70"/>
  <c r="M10" i="70"/>
  <c r="J10" i="70"/>
  <c r="T112" i="72"/>
  <c r="R10" i="70"/>
  <c r="U10" i="70"/>
  <c r="X10" i="70"/>
  <c r="AA10" i="70"/>
  <c r="G10" i="70"/>
  <c r="V11" i="70"/>
  <c r="Y11" i="70"/>
  <c r="AA11" i="70"/>
  <c r="X112" i="72"/>
  <c r="U112" i="72"/>
  <c r="V112" i="72"/>
  <c r="S112" i="72"/>
  <c r="N10" i="70"/>
  <c r="Q10" i="70"/>
  <c r="P10" i="70"/>
  <c r="W10" i="70"/>
  <c r="Q11" i="70"/>
  <c r="T11" i="70"/>
  <c r="W11" i="70"/>
  <c r="AB113" i="71"/>
  <c r="AB105" i="71"/>
  <c r="AA117" i="71"/>
  <c r="G132" i="73"/>
  <c r="V106" i="72"/>
  <c r="M106" i="72"/>
  <c r="X106" i="72"/>
  <c r="E106" i="72"/>
  <c r="P106" i="72"/>
  <c r="W106" i="72"/>
  <c r="G106" i="72"/>
  <c r="J106" i="72"/>
  <c r="R43" i="72"/>
  <c r="AB106" i="72"/>
  <c r="Y47" i="73"/>
  <c r="X110" i="73"/>
  <c r="S19" i="68"/>
  <c r="S88" i="68" s="1"/>
  <c r="O150" i="68"/>
  <c r="X19" i="68"/>
  <c r="X88" i="68" s="1"/>
  <c r="Y19" i="68"/>
  <c r="Y88" i="68" s="1"/>
  <c r="W19" i="68"/>
  <c r="W88" i="68" s="1"/>
  <c r="O19" i="68"/>
  <c r="O88" i="68" s="1"/>
  <c r="P19" i="68"/>
  <c r="Q19" i="68"/>
  <c r="V19" i="68"/>
  <c r="V88" i="68" s="1"/>
  <c r="O149" i="68"/>
  <c r="T19" i="68"/>
  <c r="T88" i="68" s="1"/>
  <c r="U19" i="68"/>
  <c r="U88" i="68" s="1"/>
  <c r="Z19" i="68"/>
  <c r="Z88" i="68" s="1"/>
  <c r="V105" i="73"/>
  <c r="AB111" i="73"/>
  <c r="AB107" i="73"/>
  <c r="AB104" i="71"/>
  <c r="C5" i="71"/>
  <c r="U115" i="73"/>
  <c r="AB115" i="73"/>
  <c r="AB112" i="71"/>
  <c r="AB112" i="73"/>
  <c r="V52" i="68"/>
  <c r="AB108" i="73"/>
  <c r="AB104" i="73"/>
  <c r="C5" i="73"/>
  <c r="AA116" i="73"/>
  <c r="S116" i="73"/>
  <c r="W116" i="73"/>
  <c r="O116" i="73"/>
  <c r="AA115" i="68"/>
  <c r="AB52" i="68"/>
  <c r="S115" i="68"/>
  <c r="AB111" i="68"/>
  <c r="L149" i="68"/>
  <c r="Q150" i="69"/>
  <c r="S21" i="69"/>
  <c r="S90" i="69" s="1"/>
  <c r="W21" i="69"/>
  <c r="W90" i="69" s="1"/>
  <c r="AA21" i="69"/>
  <c r="AA90" i="69" s="1"/>
  <c r="T21" i="69"/>
  <c r="T90" i="69" s="1"/>
  <c r="X21" i="69"/>
  <c r="X90" i="69" s="1"/>
  <c r="AB21" i="69"/>
  <c r="U21" i="69"/>
  <c r="U90" i="69" s="1"/>
  <c r="Y21" i="69"/>
  <c r="Y90" i="69" s="1"/>
  <c r="R21" i="69"/>
  <c r="R90" i="69" s="1"/>
  <c r="V21" i="69"/>
  <c r="V90" i="69" s="1"/>
  <c r="Q21" i="69"/>
  <c r="Q90" i="69" s="1"/>
  <c r="Z21" i="69"/>
  <c r="Z90" i="69" s="1"/>
  <c r="P19" i="65"/>
  <c r="P88" i="65" s="1"/>
  <c r="P116" i="65" s="1"/>
  <c r="T19" i="65"/>
  <c r="AB19" i="65"/>
  <c r="AB88" i="65" s="1"/>
  <c r="AB116" i="65" s="1"/>
  <c r="Q19" i="65"/>
  <c r="Q88" i="65" s="1"/>
  <c r="Q116" i="65" s="1"/>
  <c r="U19" i="65"/>
  <c r="R19" i="65"/>
  <c r="V19" i="65"/>
  <c r="Z19" i="65"/>
  <c r="O19" i="65"/>
  <c r="O88" i="65" s="1"/>
  <c r="O116" i="65" s="1"/>
  <c r="S19" i="65"/>
  <c r="W19" i="65"/>
  <c r="P18" i="64"/>
  <c r="T18" i="64"/>
  <c r="X18" i="64"/>
  <c r="AB18" i="64"/>
  <c r="AB87" i="64" s="1"/>
  <c r="AB115" i="64" s="1"/>
  <c r="Q18" i="64"/>
  <c r="Q87" i="64" s="1"/>
  <c r="Q115" i="64" s="1"/>
  <c r="U18" i="64"/>
  <c r="Y18" i="64"/>
  <c r="R18" i="64"/>
  <c r="V18" i="64"/>
  <c r="Z18" i="64"/>
  <c r="N18" i="64"/>
  <c r="AA18" i="64"/>
  <c r="O18" i="64"/>
  <c r="O87" i="64" s="1"/>
  <c r="O115" i="64" s="1"/>
  <c r="S18" i="64"/>
  <c r="W18" i="64"/>
  <c r="U14" i="65"/>
  <c r="K13" i="64"/>
  <c r="K82" i="64" s="1"/>
  <c r="K110" i="64" s="1"/>
  <c r="O13" i="64"/>
  <c r="S13" i="64"/>
  <c r="W13" i="64"/>
  <c r="AA13" i="64"/>
  <c r="L13" i="64"/>
  <c r="P13" i="64"/>
  <c r="P82" i="64" s="1"/>
  <c r="P110" i="64" s="1"/>
  <c r="T13" i="64"/>
  <c r="X13" i="64"/>
  <c r="AB13" i="64"/>
  <c r="AB82" i="64" s="1"/>
  <c r="AB110" i="64" s="1"/>
  <c r="M13" i="64"/>
  <c r="Q13" i="64"/>
  <c r="U13" i="64"/>
  <c r="Y13" i="64"/>
  <c r="V13" i="64"/>
  <c r="I13" i="64"/>
  <c r="I82" i="64" s="1"/>
  <c r="I110" i="64" s="1"/>
  <c r="J13" i="64"/>
  <c r="K47" i="64" s="1"/>
  <c r="Z13" i="64"/>
  <c r="N13" i="64"/>
  <c r="N82" i="64" s="1"/>
  <c r="N110" i="64" s="1"/>
  <c r="R13" i="64"/>
  <c r="Q52" i="68"/>
  <c r="W115" i="68"/>
  <c r="AB115" i="68"/>
  <c r="AB107" i="68"/>
  <c r="R115" i="68"/>
  <c r="U20" i="68"/>
  <c r="U89" i="68" s="1"/>
  <c r="Z20" i="68"/>
  <c r="Z89" i="68" s="1"/>
  <c r="N17" i="70"/>
  <c r="R17" i="70"/>
  <c r="V17" i="70"/>
  <c r="Z17" i="70"/>
  <c r="Q17" i="70"/>
  <c r="W17" i="70"/>
  <c r="AB17" i="70"/>
  <c r="S17" i="70"/>
  <c r="X17" i="70"/>
  <c r="M17" i="70"/>
  <c r="O17" i="70"/>
  <c r="T17" i="70"/>
  <c r="Y17" i="70"/>
  <c r="P17" i="70"/>
  <c r="U17" i="70"/>
  <c r="AA17" i="70"/>
  <c r="M150" i="69"/>
  <c r="Q17" i="69"/>
  <c r="Q86" i="69" s="1"/>
  <c r="U17" i="69"/>
  <c r="U86" i="69" s="1"/>
  <c r="Y17" i="69"/>
  <c r="Y86" i="69" s="1"/>
  <c r="N17" i="69"/>
  <c r="N86" i="69" s="1"/>
  <c r="N114" i="69" s="1"/>
  <c r="R17" i="69"/>
  <c r="R86" i="69" s="1"/>
  <c r="V17" i="69"/>
  <c r="V86" i="69" s="1"/>
  <c r="Z17" i="69"/>
  <c r="Z86" i="69" s="1"/>
  <c r="O17" i="69"/>
  <c r="O86" i="69" s="1"/>
  <c r="S17" i="69"/>
  <c r="S86" i="69" s="1"/>
  <c r="W17" i="69"/>
  <c r="W86" i="69" s="1"/>
  <c r="AA17" i="69"/>
  <c r="AA86" i="69" s="1"/>
  <c r="X17" i="69"/>
  <c r="X86" i="69" s="1"/>
  <c r="AB17" i="69"/>
  <c r="P17" i="69"/>
  <c r="P86" i="69" s="1"/>
  <c r="T17" i="69"/>
  <c r="T86" i="69" s="1"/>
  <c r="M17" i="69"/>
  <c r="N15" i="65"/>
  <c r="R15" i="65"/>
  <c r="V15" i="65"/>
  <c r="Z15" i="65"/>
  <c r="O15" i="65"/>
  <c r="O84" i="65" s="1"/>
  <c r="O112" i="65" s="1"/>
  <c r="S15" i="65"/>
  <c r="W15" i="65"/>
  <c r="AA15" i="65"/>
  <c r="L15" i="65"/>
  <c r="L84" i="65" s="1"/>
  <c r="L112" i="65" s="1"/>
  <c r="P15" i="65"/>
  <c r="T15" i="65"/>
  <c r="X15" i="65"/>
  <c r="AB15" i="65"/>
  <c r="AB84" i="65" s="1"/>
  <c r="AB112" i="65" s="1"/>
  <c r="M15" i="65"/>
  <c r="Q15" i="65"/>
  <c r="Q84" i="65" s="1"/>
  <c r="Q112" i="65" s="1"/>
  <c r="U15" i="65"/>
  <c r="K15" i="65"/>
  <c r="K84" i="65" s="1"/>
  <c r="K112" i="65" s="1"/>
  <c r="Y15" i="65"/>
  <c r="N14" i="64"/>
  <c r="N83" i="64" s="1"/>
  <c r="N111" i="64" s="1"/>
  <c r="R14" i="64"/>
  <c r="V14" i="64"/>
  <c r="Z14" i="64"/>
  <c r="K14" i="64"/>
  <c r="O14" i="64"/>
  <c r="O83" i="64" s="1"/>
  <c r="O111" i="64" s="1"/>
  <c r="S14" i="64"/>
  <c r="W14" i="64"/>
  <c r="AA14" i="64"/>
  <c r="L14" i="64"/>
  <c r="L83" i="64" s="1"/>
  <c r="L111" i="64" s="1"/>
  <c r="P14" i="64"/>
  <c r="P83" i="64" s="1"/>
  <c r="P111" i="64" s="1"/>
  <c r="T14" i="64"/>
  <c r="X14" i="64"/>
  <c r="AB14" i="64"/>
  <c r="AB83" i="64" s="1"/>
  <c r="AB111" i="64" s="1"/>
  <c r="J14" i="64"/>
  <c r="J83" i="64" s="1"/>
  <c r="J111" i="64" s="1"/>
  <c r="Y14" i="64"/>
  <c r="M14" i="64"/>
  <c r="Q14" i="64"/>
  <c r="Q83" i="64" s="1"/>
  <c r="Q111" i="64" s="1"/>
  <c r="U14" i="64"/>
  <c r="R10" i="65"/>
  <c r="I10" i="65"/>
  <c r="I79" i="65" s="1"/>
  <c r="I107" i="65" s="1"/>
  <c r="I9" i="64"/>
  <c r="I78" i="64" s="1"/>
  <c r="I106" i="64" s="1"/>
  <c r="M9" i="64"/>
  <c r="M78" i="64" s="1"/>
  <c r="M106" i="64" s="1"/>
  <c r="Q9" i="64"/>
  <c r="Q78" i="64" s="1"/>
  <c r="Q106" i="64" s="1"/>
  <c r="U9" i="64"/>
  <c r="Y9" i="64"/>
  <c r="F9" i="64"/>
  <c r="F78" i="64" s="1"/>
  <c r="F106" i="64" s="1"/>
  <c r="J9" i="64"/>
  <c r="J78" i="64" s="1"/>
  <c r="J106" i="64" s="1"/>
  <c r="N9" i="64"/>
  <c r="N78" i="64" s="1"/>
  <c r="N106" i="64" s="1"/>
  <c r="R9" i="64"/>
  <c r="V9" i="64"/>
  <c r="Z9" i="64"/>
  <c r="G9" i="64"/>
  <c r="G78" i="64" s="1"/>
  <c r="G106" i="64" s="1"/>
  <c r="K9" i="64"/>
  <c r="K78" i="64" s="1"/>
  <c r="K106" i="64" s="1"/>
  <c r="O9" i="64"/>
  <c r="S9" i="64"/>
  <c r="W9" i="64"/>
  <c r="AA9" i="64"/>
  <c r="P9" i="64"/>
  <c r="P78" i="64" s="1"/>
  <c r="P106" i="64" s="1"/>
  <c r="T9" i="64"/>
  <c r="E9" i="64"/>
  <c r="E78" i="64" s="1"/>
  <c r="E106" i="64" s="1"/>
  <c r="H9" i="64"/>
  <c r="H78" i="64" s="1"/>
  <c r="H106" i="64" s="1"/>
  <c r="X9" i="64"/>
  <c r="L9" i="64"/>
  <c r="L78" i="64" s="1"/>
  <c r="L106" i="64" s="1"/>
  <c r="AB9" i="64"/>
  <c r="AB78" i="64" s="1"/>
  <c r="AB106" i="64" s="1"/>
  <c r="L13" i="70"/>
  <c r="P13" i="70"/>
  <c r="T13" i="70"/>
  <c r="AB13" i="70"/>
  <c r="K13" i="70"/>
  <c r="Q13" i="70"/>
  <c r="V13" i="70"/>
  <c r="AA13" i="70"/>
  <c r="M13" i="70"/>
  <c r="R13" i="70"/>
  <c r="W13" i="70"/>
  <c r="I13" i="70"/>
  <c r="N13" i="70"/>
  <c r="S13" i="70"/>
  <c r="Y13" i="70"/>
  <c r="J13" i="70"/>
  <c r="O13" i="70"/>
  <c r="U13" i="70"/>
  <c r="Z13" i="70"/>
  <c r="I150" i="69"/>
  <c r="K13" i="69"/>
  <c r="K82" i="69" s="1"/>
  <c r="O13" i="69"/>
  <c r="O82" i="69" s="1"/>
  <c r="S13" i="69"/>
  <c r="S82" i="69" s="1"/>
  <c r="W13" i="69"/>
  <c r="W82" i="69" s="1"/>
  <c r="AA13" i="69"/>
  <c r="AA82" i="69" s="1"/>
  <c r="L13" i="69"/>
  <c r="L82" i="69" s="1"/>
  <c r="P13" i="69"/>
  <c r="P82" i="69" s="1"/>
  <c r="T13" i="69"/>
  <c r="T82" i="69" s="1"/>
  <c r="X13" i="69"/>
  <c r="X82" i="69" s="1"/>
  <c r="AB13" i="69"/>
  <c r="M13" i="69"/>
  <c r="M82" i="69" s="1"/>
  <c r="Q13" i="69"/>
  <c r="Q82" i="69" s="1"/>
  <c r="U13" i="69"/>
  <c r="U82" i="69" s="1"/>
  <c r="Y13" i="69"/>
  <c r="Y82" i="69" s="1"/>
  <c r="V13" i="69"/>
  <c r="V82" i="69" s="1"/>
  <c r="I13" i="69"/>
  <c r="I82" i="69" s="1"/>
  <c r="J13" i="69"/>
  <c r="J82" i="69" s="1"/>
  <c r="Z13" i="69"/>
  <c r="Z82" i="69" s="1"/>
  <c r="N13" i="69"/>
  <c r="N82" i="69" s="1"/>
  <c r="R13" i="69"/>
  <c r="R82" i="69" s="1"/>
  <c r="H11" i="65"/>
  <c r="H80" i="65" s="1"/>
  <c r="H108" i="65" s="1"/>
  <c r="L11" i="65"/>
  <c r="L80" i="65" s="1"/>
  <c r="L108" i="65" s="1"/>
  <c r="P11" i="65"/>
  <c r="P80" i="65" s="1"/>
  <c r="P108" i="65" s="1"/>
  <c r="T11" i="65"/>
  <c r="X11" i="65"/>
  <c r="AB11" i="65"/>
  <c r="AB80" i="65" s="1"/>
  <c r="AB108" i="65" s="1"/>
  <c r="I11" i="65"/>
  <c r="I80" i="65" s="1"/>
  <c r="I108" i="65" s="1"/>
  <c r="M11" i="65"/>
  <c r="M80" i="65" s="1"/>
  <c r="M108" i="65" s="1"/>
  <c r="Q11" i="65"/>
  <c r="U11" i="65"/>
  <c r="Y11" i="65"/>
  <c r="J11" i="65"/>
  <c r="N11" i="65"/>
  <c r="N80" i="65" s="1"/>
  <c r="N108" i="65" s="1"/>
  <c r="R11" i="65"/>
  <c r="V11" i="65"/>
  <c r="Z11" i="65"/>
  <c r="O11" i="65"/>
  <c r="O80" i="65" s="1"/>
  <c r="O108" i="65" s="1"/>
  <c r="S11" i="65"/>
  <c r="W11" i="65"/>
  <c r="AA11" i="65"/>
  <c r="G11" i="65"/>
  <c r="G80" i="65" s="1"/>
  <c r="G108" i="65" s="1"/>
  <c r="K11" i="65"/>
  <c r="L45" i="65" s="1"/>
  <c r="H10" i="64"/>
  <c r="H79" i="64" s="1"/>
  <c r="H107" i="64" s="1"/>
  <c r="L10" i="64"/>
  <c r="P10" i="64"/>
  <c r="T10" i="64"/>
  <c r="X10" i="64"/>
  <c r="AB10" i="64"/>
  <c r="AB79" i="64" s="1"/>
  <c r="AB107" i="64" s="1"/>
  <c r="I10" i="64"/>
  <c r="I79" i="64" s="1"/>
  <c r="I107" i="64" s="1"/>
  <c r="M10" i="64"/>
  <c r="M79" i="64" s="1"/>
  <c r="M107" i="64" s="1"/>
  <c r="Q10" i="64"/>
  <c r="Q79" i="64" s="1"/>
  <c r="Q107" i="64" s="1"/>
  <c r="U10" i="64"/>
  <c r="Y10" i="64"/>
  <c r="J10" i="64"/>
  <c r="J79" i="64" s="1"/>
  <c r="J107" i="64" s="1"/>
  <c r="N10" i="64"/>
  <c r="N79" i="64" s="1"/>
  <c r="N107" i="64" s="1"/>
  <c r="R10" i="64"/>
  <c r="V10" i="64"/>
  <c r="Z10" i="64"/>
  <c r="F10" i="64"/>
  <c r="F79" i="64" s="1"/>
  <c r="F107" i="64" s="1"/>
  <c r="G10" i="64"/>
  <c r="W10" i="64"/>
  <c r="K10" i="64"/>
  <c r="K79" i="64" s="1"/>
  <c r="K107" i="64" s="1"/>
  <c r="AA10" i="64"/>
  <c r="O10" i="64"/>
  <c r="O79" i="64" s="1"/>
  <c r="O107" i="64" s="1"/>
  <c r="S10" i="64"/>
  <c r="S21" i="64"/>
  <c r="W21" i="64"/>
  <c r="AA21" i="64"/>
  <c r="T21" i="64"/>
  <c r="X21" i="64"/>
  <c r="AB21" i="64"/>
  <c r="AB90" i="64" s="1"/>
  <c r="AB118" i="64" s="1"/>
  <c r="U21" i="64"/>
  <c r="Y21" i="64"/>
  <c r="R21" i="64"/>
  <c r="V21" i="64"/>
  <c r="Z21" i="64"/>
  <c r="Q21" i="64"/>
  <c r="Q90" i="64" s="1"/>
  <c r="Q118" i="64" s="1"/>
  <c r="V115" i="68"/>
  <c r="D150" i="68"/>
  <c r="D149" i="68"/>
  <c r="AA52" i="68"/>
  <c r="Q51" i="68"/>
  <c r="R52" i="68"/>
  <c r="T44" i="68"/>
  <c r="L41" i="68"/>
  <c r="U48" i="68"/>
  <c r="H150" i="68"/>
  <c r="H149" i="68"/>
  <c r="H9" i="70"/>
  <c r="L9" i="70"/>
  <c r="P9" i="70"/>
  <c r="T9" i="70"/>
  <c r="X9" i="70"/>
  <c r="AB9" i="70"/>
  <c r="I9" i="70"/>
  <c r="M9" i="70"/>
  <c r="Q9" i="70"/>
  <c r="U9" i="70"/>
  <c r="Y9" i="70"/>
  <c r="E9" i="70"/>
  <c r="F9" i="70"/>
  <c r="J9" i="70"/>
  <c r="N9" i="70"/>
  <c r="R9" i="70"/>
  <c r="V9" i="70"/>
  <c r="Z9" i="70"/>
  <c r="S9" i="70"/>
  <c r="G9" i="70"/>
  <c r="W9" i="70"/>
  <c r="K9" i="70"/>
  <c r="AA9" i="70"/>
  <c r="O9" i="70"/>
  <c r="E150" i="69"/>
  <c r="E132" i="69"/>
  <c r="I9" i="69"/>
  <c r="I78" i="69" s="1"/>
  <c r="M9" i="69"/>
  <c r="M78" i="69" s="1"/>
  <c r="Q9" i="69"/>
  <c r="Q78" i="69" s="1"/>
  <c r="U9" i="69"/>
  <c r="U78" i="69" s="1"/>
  <c r="Y9" i="69"/>
  <c r="Y78" i="69" s="1"/>
  <c r="F9" i="69"/>
  <c r="F78" i="69" s="1"/>
  <c r="J9" i="69"/>
  <c r="J78" i="69" s="1"/>
  <c r="N9" i="69"/>
  <c r="N78" i="69" s="1"/>
  <c r="R9" i="69"/>
  <c r="R78" i="69" s="1"/>
  <c r="V9" i="69"/>
  <c r="V78" i="69" s="1"/>
  <c r="Z9" i="69"/>
  <c r="Z78" i="69" s="1"/>
  <c r="G9" i="69"/>
  <c r="G78" i="69" s="1"/>
  <c r="K9" i="69"/>
  <c r="K78" i="69" s="1"/>
  <c r="O9" i="69"/>
  <c r="O78" i="69" s="1"/>
  <c r="S9" i="69"/>
  <c r="S78" i="69" s="1"/>
  <c r="W9" i="69"/>
  <c r="W78" i="69" s="1"/>
  <c r="AA9" i="69"/>
  <c r="AA78" i="69" s="1"/>
  <c r="P9" i="69"/>
  <c r="P78" i="69" s="1"/>
  <c r="T9" i="69"/>
  <c r="T78" i="69" s="1"/>
  <c r="E9" i="69"/>
  <c r="E78" i="69" s="1"/>
  <c r="H9" i="69"/>
  <c r="H78" i="69" s="1"/>
  <c r="X9" i="69"/>
  <c r="X78" i="69" s="1"/>
  <c r="AB9" i="69"/>
  <c r="L9" i="69"/>
  <c r="L78" i="69" s="1"/>
  <c r="F7" i="65"/>
  <c r="F76" i="65" s="1"/>
  <c r="F104" i="65" s="1"/>
  <c r="J7" i="65"/>
  <c r="J76" i="65" s="1"/>
  <c r="J104" i="65" s="1"/>
  <c r="N7" i="65"/>
  <c r="R7" i="65"/>
  <c r="V7" i="65"/>
  <c r="Z7" i="65"/>
  <c r="G7" i="65"/>
  <c r="G76" i="65" s="1"/>
  <c r="G104" i="65" s="1"/>
  <c r="K7" i="65"/>
  <c r="K76" i="65" s="1"/>
  <c r="K104" i="65" s="1"/>
  <c r="O7" i="65"/>
  <c r="O76" i="65" s="1"/>
  <c r="O104" i="65" s="1"/>
  <c r="S7" i="65"/>
  <c r="W7" i="65"/>
  <c r="AA7" i="65"/>
  <c r="D7" i="65"/>
  <c r="D76" i="65" s="1"/>
  <c r="D104" i="65" s="1"/>
  <c r="H7" i="65"/>
  <c r="H76" i="65" s="1"/>
  <c r="H104" i="65" s="1"/>
  <c r="L7" i="65"/>
  <c r="L76" i="65" s="1"/>
  <c r="L104" i="65" s="1"/>
  <c r="P7" i="65"/>
  <c r="T7" i="65"/>
  <c r="X7" i="65"/>
  <c r="AB7" i="65"/>
  <c r="AB76" i="65" s="1"/>
  <c r="AB104" i="65" s="1"/>
  <c r="Q7" i="65"/>
  <c r="Q76" i="65" s="1"/>
  <c r="Q104" i="65" s="1"/>
  <c r="C7" i="65"/>
  <c r="C76" i="65" s="1"/>
  <c r="C104" i="65" s="1"/>
  <c r="E7" i="65"/>
  <c r="E76" i="65" s="1"/>
  <c r="E104" i="65" s="1"/>
  <c r="U7" i="65"/>
  <c r="I7" i="65"/>
  <c r="I76" i="65" s="1"/>
  <c r="I104" i="65" s="1"/>
  <c r="Y7" i="65"/>
  <c r="M7" i="65"/>
  <c r="P18" i="65"/>
  <c r="P87" i="65" s="1"/>
  <c r="P115" i="65" s="1"/>
  <c r="Q17" i="64"/>
  <c r="Q86" i="64" s="1"/>
  <c r="Q114" i="64" s="1"/>
  <c r="U17" i="64"/>
  <c r="Y17" i="64"/>
  <c r="N17" i="64"/>
  <c r="N86" i="64" s="1"/>
  <c r="N114" i="64" s="1"/>
  <c r="R17" i="64"/>
  <c r="V17" i="64"/>
  <c r="Z17" i="64"/>
  <c r="O17" i="64"/>
  <c r="O86" i="64" s="1"/>
  <c r="O114" i="64" s="1"/>
  <c r="S17" i="64"/>
  <c r="W17" i="64"/>
  <c r="AA17" i="64"/>
  <c r="AB17" i="64"/>
  <c r="AB86" i="64" s="1"/>
  <c r="AB114" i="64" s="1"/>
  <c r="P17" i="64"/>
  <c r="P86" i="64" s="1"/>
  <c r="P114" i="64" s="1"/>
  <c r="T17" i="64"/>
  <c r="X17" i="64"/>
  <c r="M17" i="64"/>
  <c r="M86" i="64" s="1"/>
  <c r="M114" i="64" s="1"/>
  <c r="T116" i="73"/>
  <c r="N115" i="73"/>
  <c r="O52" i="73"/>
  <c r="C133" i="73"/>
  <c r="Y53" i="73"/>
  <c r="T118" i="73"/>
  <c r="V118" i="73"/>
  <c r="AA118" i="73"/>
  <c r="Y116" i="73"/>
  <c r="W115" i="73"/>
  <c r="V115" i="73"/>
  <c r="W52" i="73"/>
  <c r="AA115" i="73"/>
  <c r="Z115" i="73"/>
  <c r="U115" i="72"/>
  <c r="V52" i="72"/>
  <c r="K111" i="72"/>
  <c r="G107" i="72"/>
  <c r="T118" i="72"/>
  <c r="N114" i="72"/>
  <c r="R110" i="72"/>
  <c r="V54" i="72"/>
  <c r="U117" i="72"/>
  <c r="Z117" i="72"/>
  <c r="AA54" i="72"/>
  <c r="Q54" i="72"/>
  <c r="M109" i="72"/>
  <c r="N46" i="72"/>
  <c r="Z109" i="72"/>
  <c r="W109" i="72"/>
  <c r="X46" i="72"/>
  <c r="P109" i="72"/>
  <c r="H105" i="72"/>
  <c r="V116" i="72"/>
  <c r="X116" i="72"/>
  <c r="Q112" i="72"/>
  <c r="V108" i="72"/>
  <c r="H108" i="72"/>
  <c r="Y45" i="72"/>
  <c r="D104" i="72"/>
  <c r="T104" i="72"/>
  <c r="U104" i="72"/>
  <c r="V41" i="72"/>
  <c r="N104" i="72"/>
  <c r="O41" i="72"/>
  <c r="C104" i="72"/>
  <c r="C131" i="72" s="1"/>
  <c r="D41" i="72"/>
  <c r="D67" i="72" s="1"/>
  <c r="S104" i="72"/>
  <c r="AA115" i="72"/>
  <c r="O111" i="72"/>
  <c r="R107" i="72"/>
  <c r="Y118" i="72"/>
  <c r="Y55" i="72"/>
  <c r="X118" i="72"/>
  <c r="R114" i="72"/>
  <c r="V110" i="72"/>
  <c r="Y117" i="72"/>
  <c r="S117" i="72"/>
  <c r="T117" i="72"/>
  <c r="U54" i="72"/>
  <c r="Q109" i="72"/>
  <c r="R46" i="72"/>
  <c r="N109" i="72"/>
  <c r="K109" i="72"/>
  <c r="L46" i="72"/>
  <c r="AA109" i="72"/>
  <c r="T109" i="72"/>
  <c r="U46" i="72"/>
  <c r="H42" i="72"/>
  <c r="Z116" i="72"/>
  <c r="AA53" i="72"/>
  <c r="AA116" i="72"/>
  <c r="Y49" i="72"/>
  <c r="H104" i="72"/>
  <c r="I41" i="72"/>
  <c r="R104" i="72"/>
  <c r="S111" i="72"/>
  <c r="T48" i="72"/>
  <c r="T107" i="72"/>
  <c r="M107" i="72"/>
  <c r="V107" i="72"/>
  <c r="W114" i="72"/>
  <c r="V114" i="72"/>
  <c r="M110" i="72"/>
  <c r="N47" i="72"/>
  <c r="K47" i="72"/>
  <c r="T110" i="72"/>
  <c r="U106" i="72"/>
  <c r="N106" i="72"/>
  <c r="W117" i="72"/>
  <c r="X117" i="72"/>
  <c r="Y54" i="72"/>
  <c r="N50" i="72"/>
  <c r="U109" i="72"/>
  <c r="V46" i="72"/>
  <c r="R109" i="72"/>
  <c r="H109" i="72"/>
  <c r="X109" i="72"/>
  <c r="K105" i="72"/>
  <c r="AA105" i="72"/>
  <c r="Q42" i="72"/>
  <c r="N105" i="72"/>
  <c r="Z49" i="72"/>
  <c r="X49" i="72"/>
  <c r="G108" i="72"/>
  <c r="H45" i="72"/>
  <c r="X45" i="72"/>
  <c r="Y108" i="72"/>
  <c r="L104" i="72"/>
  <c r="M41" i="72"/>
  <c r="M104" i="72"/>
  <c r="N41" i="72"/>
  <c r="F104" i="72"/>
  <c r="G41" i="72"/>
  <c r="V104" i="72"/>
  <c r="K104" i="72"/>
  <c r="AA104" i="72"/>
  <c r="AB41" i="72"/>
  <c r="C133" i="72"/>
  <c r="Q52" i="72"/>
  <c r="Q115" i="72"/>
  <c r="R52" i="72"/>
  <c r="R115" i="72"/>
  <c r="S52" i="72"/>
  <c r="S115" i="72"/>
  <c r="Z111" i="72"/>
  <c r="Q111" i="72"/>
  <c r="H107" i="72"/>
  <c r="X107" i="72"/>
  <c r="Q107" i="72"/>
  <c r="Z107" i="72"/>
  <c r="Q118" i="72"/>
  <c r="AA114" i="72"/>
  <c r="AA51" i="72"/>
  <c r="N110" i="72"/>
  <c r="AA106" i="72"/>
  <c r="T106" i="72"/>
  <c r="R106" i="72"/>
  <c r="R54" i="72"/>
  <c r="Q117" i="72"/>
  <c r="V117" i="72"/>
  <c r="AB54" i="72"/>
  <c r="AA117" i="72"/>
  <c r="Q113" i="72"/>
  <c r="R113" i="72"/>
  <c r="J46" i="72"/>
  <c r="V109" i="72"/>
  <c r="W46" i="72"/>
  <c r="L109" i="72"/>
  <c r="T105" i="72"/>
  <c r="U116" i="72"/>
  <c r="V53" i="72"/>
  <c r="P112" i="72"/>
  <c r="N112" i="72"/>
  <c r="K112" i="72"/>
  <c r="AA108" i="72"/>
  <c r="M108" i="72"/>
  <c r="P104" i="72"/>
  <c r="Q41" i="72"/>
  <c r="Q104" i="72"/>
  <c r="J104" i="72"/>
  <c r="Z104" i="72"/>
  <c r="AA41" i="72"/>
  <c r="O104" i="72"/>
  <c r="P41" i="72"/>
  <c r="H8" i="68"/>
  <c r="H77" i="68" s="1"/>
  <c r="L8" i="68"/>
  <c r="L77" i="68" s="1"/>
  <c r="P8" i="68"/>
  <c r="P77" i="68" s="1"/>
  <c r="X8" i="68"/>
  <c r="X77" i="68" s="1"/>
  <c r="AB8" i="68"/>
  <c r="AB77" i="68" s="1"/>
  <c r="D8" i="68"/>
  <c r="D77" i="68" s="1"/>
  <c r="I8" i="68"/>
  <c r="I77" i="68" s="1"/>
  <c r="M8" i="68"/>
  <c r="M77" i="68" s="1"/>
  <c r="Q8" i="68"/>
  <c r="Q77" i="68" s="1"/>
  <c r="Y8" i="68"/>
  <c r="Y77" i="68" s="1"/>
  <c r="F8" i="68"/>
  <c r="F77" i="68" s="1"/>
  <c r="J8" i="68"/>
  <c r="J77" i="68" s="1"/>
  <c r="R8" i="68"/>
  <c r="R77" i="68" s="1"/>
  <c r="V8" i="68"/>
  <c r="V77" i="68" s="1"/>
  <c r="Z8" i="68"/>
  <c r="Z77" i="68" s="1"/>
  <c r="K8" i="68"/>
  <c r="K77" i="68" s="1"/>
  <c r="O8" i="68"/>
  <c r="O77" i="68" s="1"/>
  <c r="S8" i="68"/>
  <c r="S77" i="68" s="1"/>
  <c r="AA8" i="68"/>
  <c r="AA77" i="68" s="1"/>
  <c r="C133" i="68"/>
  <c r="J12" i="68"/>
  <c r="J81" i="68" s="1"/>
  <c r="N12" i="68"/>
  <c r="N81" i="68" s="1"/>
  <c r="R12" i="68"/>
  <c r="R81" i="68" s="1"/>
  <c r="V12" i="68"/>
  <c r="V81" i="68" s="1"/>
  <c r="Z12" i="68"/>
  <c r="Z81" i="68" s="1"/>
  <c r="K12" i="68"/>
  <c r="K81" i="68" s="1"/>
  <c r="O12" i="68"/>
  <c r="O81" i="68" s="1"/>
  <c r="S12" i="68"/>
  <c r="S81" i="68" s="1"/>
  <c r="W12" i="68"/>
  <c r="W81" i="68" s="1"/>
  <c r="AA12" i="68"/>
  <c r="AA81" i="68" s="1"/>
  <c r="L12" i="68"/>
  <c r="L81" i="68" s="1"/>
  <c r="P12" i="68"/>
  <c r="P81" i="68" s="1"/>
  <c r="T12" i="68"/>
  <c r="T81" i="68" s="1"/>
  <c r="X12" i="68"/>
  <c r="X81" i="68" s="1"/>
  <c r="AB12" i="68"/>
  <c r="AB81" i="68" s="1"/>
  <c r="H12" i="68"/>
  <c r="H81" i="68" s="1"/>
  <c r="I12" i="68"/>
  <c r="I81" i="68" s="1"/>
  <c r="M12" i="68"/>
  <c r="M81" i="68" s="1"/>
  <c r="Q12" i="68"/>
  <c r="Q81" i="68" s="1"/>
  <c r="U12" i="68"/>
  <c r="U81" i="68" s="1"/>
  <c r="Y12" i="68"/>
  <c r="Y81" i="68" s="1"/>
  <c r="P16" i="68"/>
  <c r="P85" i="68" s="1"/>
  <c r="T16" i="68"/>
  <c r="T85" i="68" s="1"/>
  <c r="X16" i="68"/>
  <c r="X85" i="68" s="1"/>
  <c r="AB16" i="68"/>
  <c r="AB85" i="68" s="1"/>
  <c r="M16" i="68"/>
  <c r="M85" i="68" s="1"/>
  <c r="Q16" i="68"/>
  <c r="Q85" i="68" s="1"/>
  <c r="U16" i="68"/>
  <c r="U85" i="68" s="1"/>
  <c r="Y16" i="68"/>
  <c r="Y85" i="68" s="1"/>
  <c r="N16" i="68"/>
  <c r="N85" i="68" s="1"/>
  <c r="R16" i="68"/>
  <c r="R85" i="68" s="1"/>
  <c r="V16" i="68"/>
  <c r="V85" i="68" s="1"/>
  <c r="Z16" i="68"/>
  <c r="Z85" i="68" s="1"/>
  <c r="L16" i="68"/>
  <c r="L85" i="68" s="1"/>
  <c r="O16" i="68"/>
  <c r="O85" i="68" s="1"/>
  <c r="S16" i="68"/>
  <c r="S85" i="68" s="1"/>
  <c r="W16" i="68"/>
  <c r="W85" i="68" s="1"/>
  <c r="AA16" i="68"/>
  <c r="AA85" i="68" s="1"/>
  <c r="C133" i="70"/>
  <c r="C133" i="69"/>
  <c r="N113" i="69"/>
  <c r="O115" i="68"/>
  <c r="P52" i="68"/>
  <c r="M77" i="65"/>
  <c r="M105" i="65" s="1"/>
  <c r="C158" i="65"/>
  <c r="C163" i="65"/>
  <c r="C157" i="65"/>
  <c r="C154" i="65"/>
  <c r="I81" i="65"/>
  <c r="I109" i="65" s="1"/>
  <c r="C133" i="65"/>
  <c r="C133" i="64"/>
  <c r="M81" i="64"/>
  <c r="M109" i="64" s="1"/>
  <c r="C165" i="64"/>
  <c r="C161" i="64"/>
  <c r="C159" i="64"/>
  <c r="C164" i="64"/>
  <c r="C155" i="64"/>
  <c r="C153" i="64"/>
  <c r="C162" i="64"/>
  <c r="C154" i="64"/>
  <c r="C160" i="64"/>
  <c r="C157" i="64"/>
  <c r="AA124" i="52"/>
  <c r="V121" i="52"/>
  <c r="N148" i="52"/>
  <c r="N132" i="52" s="1"/>
  <c r="J143" i="52"/>
  <c r="O140" i="52"/>
  <c r="K150" i="52"/>
  <c r="G149" i="52"/>
  <c r="C142" i="52"/>
  <c r="E143" i="52"/>
  <c r="AA56" i="52"/>
  <c r="Z56" i="52"/>
  <c r="E38" i="42"/>
  <c r="E39" i="42"/>
  <c r="F39" i="42" s="1"/>
  <c r="E40" i="42"/>
  <c r="E41" i="42"/>
  <c r="E42" i="42"/>
  <c r="E43" i="42"/>
  <c r="F43" i="42" s="1"/>
  <c r="E44" i="42"/>
  <c r="F47" i="42" s="1"/>
  <c r="E45" i="42"/>
  <c r="E37" i="42"/>
  <c r="E23" i="42"/>
  <c r="E24" i="42"/>
  <c r="E25" i="42"/>
  <c r="E26" i="42"/>
  <c r="E27" i="42"/>
  <c r="E28" i="42"/>
  <c r="E29" i="42"/>
  <c r="E30" i="42"/>
  <c r="E22" i="42"/>
  <c r="E8" i="42"/>
  <c r="E9" i="42"/>
  <c r="E10" i="42"/>
  <c r="E11" i="42"/>
  <c r="E12" i="42"/>
  <c r="E13" i="42"/>
  <c r="E14" i="42"/>
  <c r="E15" i="42"/>
  <c r="E7" i="42"/>
  <c r="M6" i="28"/>
  <c r="M5" i="28"/>
  <c r="M4" i="28"/>
  <c r="L4" i="28"/>
  <c r="L6" i="28"/>
  <c r="L5" i="28"/>
  <c r="D23" i="28"/>
  <c r="E23" i="28"/>
  <c r="F23" i="28"/>
  <c r="G23" i="28"/>
  <c r="H23" i="28"/>
  <c r="I23" i="28"/>
  <c r="J23" i="28"/>
  <c r="K23" i="28"/>
  <c r="L23" i="28"/>
  <c r="M23" i="28"/>
  <c r="N23" i="28"/>
  <c r="O23" i="28"/>
  <c r="P23" i="28"/>
  <c r="Q23" i="28"/>
  <c r="R23" i="28"/>
  <c r="S23" i="28"/>
  <c r="T23" i="28"/>
  <c r="U23" i="28"/>
  <c r="V23" i="28"/>
  <c r="W23" i="28"/>
  <c r="X23" i="28"/>
  <c r="Y23" i="28"/>
  <c r="Z23" i="28"/>
  <c r="AA23" i="28"/>
  <c r="AB23" i="28"/>
  <c r="AC23" i="28"/>
  <c r="AD23" i="28"/>
  <c r="AE23" i="28"/>
  <c r="AF23" i="28"/>
  <c r="C23" i="28"/>
  <c r="D22" i="28"/>
  <c r="E22" i="28"/>
  <c r="F22" i="28"/>
  <c r="G22" i="28"/>
  <c r="H22" i="28"/>
  <c r="I22" i="28"/>
  <c r="J22" i="28"/>
  <c r="K22" i="28"/>
  <c r="L22" i="28"/>
  <c r="M22" i="28"/>
  <c r="N22" i="28"/>
  <c r="O22" i="28"/>
  <c r="P22" i="28"/>
  <c r="Q22" i="28"/>
  <c r="R22" i="28"/>
  <c r="S22" i="28"/>
  <c r="T22" i="28"/>
  <c r="U22" i="28"/>
  <c r="V22" i="28"/>
  <c r="W22" i="28"/>
  <c r="X22" i="28"/>
  <c r="Y22" i="28"/>
  <c r="Z22" i="28"/>
  <c r="AA22" i="28"/>
  <c r="AB22" i="28"/>
  <c r="AC22" i="28"/>
  <c r="AD22" i="28"/>
  <c r="AE22" i="28"/>
  <c r="AF22" i="28"/>
  <c r="C22" i="28"/>
  <c r="Y46" i="32"/>
  <c r="Z46" i="32"/>
  <c r="AA46" i="32"/>
  <c r="AB46" i="32"/>
  <c r="AC46" i="32"/>
  <c r="AD46" i="32"/>
  <c r="AE46" i="32"/>
  <c r="AF46" i="32"/>
  <c r="AG46" i="32"/>
  <c r="AH46" i="32"/>
  <c r="AI46" i="32"/>
  <c r="AJ46" i="32"/>
  <c r="AK46" i="32"/>
  <c r="AL46" i="32"/>
  <c r="Y45" i="32"/>
  <c r="Z45" i="32"/>
  <c r="AA45" i="32"/>
  <c r="AB45" i="32"/>
  <c r="AC45" i="32"/>
  <c r="AD45" i="32"/>
  <c r="AE45" i="32"/>
  <c r="AF45" i="32"/>
  <c r="AG45" i="32"/>
  <c r="AH45" i="32"/>
  <c r="AI45" i="32"/>
  <c r="AJ45" i="32"/>
  <c r="AK45" i="32"/>
  <c r="AL45" i="32"/>
  <c r="K46" i="32"/>
  <c r="L46" i="32"/>
  <c r="M46" i="32"/>
  <c r="N46" i="32"/>
  <c r="O46" i="32"/>
  <c r="P46" i="32"/>
  <c r="Q46" i="32"/>
  <c r="R46" i="32"/>
  <c r="S46" i="32"/>
  <c r="T46" i="32"/>
  <c r="U46" i="32"/>
  <c r="V46" i="32"/>
  <c r="W46" i="32"/>
  <c r="X46" i="32"/>
  <c r="D46" i="32"/>
  <c r="E46" i="32"/>
  <c r="F46" i="32"/>
  <c r="G46" i="32"/>
  <c r="H46" i="32"/>
  <c r="I46" i="32"/>
  <c r="J46" i="32"/>
  <c r="C46" i="32"/>
  <c r="C45" i="32"/>
  <c r="D45" i="32"/>
  <c r="E45" i="32"/>
  <c r="F45" i="32"/>
  <c r="G45" i="32"/>
  <c r="H45" i="32"/>
  <c r="I45" i="32"/>
  <c r="U45" i="32"/>
  <c r="V45" i="32"/>
  <c r="W45" i="32"/>
  <c r="X45" i="32"/>
  <c r="K45" i="32"/>
  <c r="L45" i="32"/>
  <c r="M45" i="32"/>
  <c r="N45" i="32"/>
  <c r="O45" i="32"/>
  <c r="P45" i="32"/>
  <c r="Q45" i="32"/>
  <c r="R45" i="32"/>
  <c r="S45" i="32"/>
  <c r="T45" i="32"/>
  <c r="J45" i="32"/>
  <c r="P45" i="64" l="1"/>
  <c r="M42" i="65"/>
  <c r="P49" i="64"/>
  <c r="M46" i="64"/>
  <c r="H42" i="65"/>
  <c r="O80" i="64"/>
  <c r="O108" i="64" s="1"/>
  <c r="Y47" i="72"/>
  <c r="O18" i="65"/>
  <c r="O87" i="65" s="1"/>
  <c r="O115" i="65" s="1"/>
  <c r="Z52" i="68"/>
  <c r="X16" i="70"/>
  <c r="X50" i="70" s="1"/>
  <c r="U88" i="73"/>
  <c r="U116" i="73" s="1"/>
  <c r="V53" i="73"/>
  <c r="M77" i="72"/>
  <c r="M105" i="72" s="1"/>
  <c r="M131" i="72" s="1"/>
  <c r="N42" i="72"/>
  <c r="M41" i="68"/>
  <c r="X82" i="68"/>
  <c r="X110" i="68" s="1"/>
  <c r="W90" i="73"/>
  <c r="W118" i="73" s="1"/>
  <c r="X55" i="73"/>
  <c r="C153" i="65"/>
  <c r="C162" i="65"/>
  <c r="P20" i="68"/>
  <c r="R41" i="72"/>
  <c r="M46" i="72"/>
  <c r="AB46" i="72"/>
  <c r="O46" i="72"/>
  <c r="Z54" i="72"/>
  <c r="U41" i="72"/>
  <c r="AA52" i="73"/>
  <c r="W55" i="73"/>
  <c r="R18" i="65"/>
  <c r="R87" i="65" s="1"/>
  <c r="R115" i="65" s="1"/>
  <c r="X90" i="71"/>
  <c r="Y55" i="71"/>
  <c r="U19" i="69"/>
  <c r="O19" i="69"/>
  <c r="T19" i="69"/>
  <c r="T88" i="69" s="1"/>
  <c r="T116" i="69" s="1"/>
  <c r="Z19" i="69"/>
  <c r="Z88" i="69" s="1"/>
  <c r="X19" i="69"/>
  <c r="X88" i="69" s="1"/>
  <c r="S19" i="69"/>
  <c r="S88" i="69" s="1"/>
  <c r="W19" i="69"/>
  <c r="W88" i="69" s="1"/>
  <c r="W116" i="69" s="1"/>
  <c r="X77" i="73"/>
  <c r="X42" i="73"/>
  <c r="Q48" i="68"/>
  <c r="P48" i="68"/>
  <c r="Q20" i="68"/>
  <c r="Q89" i="68" s="1"/>
  <c r="Y20" i="68"/>
  <c r="Y89" i="68" s="1"/>
  <c r="X20" i="68"/>
  <c r="X89" i="68" s="1"/>
  <c r="P149" i="68"/>
  <c r="S20" i="68"/>
  <c r="S89" i="68" s="1"/>
  <c r="W76" i="72"/>
  <c r="W41" i="72"/>
  <c r="AA89" i="73"/>
  <c r="AA117" i="73" s="1"/>
  <c r="AB54" i="73"/>
  <c r="Y16" i="70"/>
  <c r="T16" i="70"/>
  <c r="R16" i="70"/>
  <c r="R50" i="70" s="1"/>
  <c r="AB16" i="70"/>
  <c r="Q16" i="70"/>
  <c r="W16" i="70"/>
  <c r="K15" i="68"/>
  <c r="K84" i="68" s="1"/>
  <c r="K112" i="68" s="1"/>
  <c r="O15" i="68"/>
  <c r="M15" i="68"/>
  <c r="Y15" i="68"/>
  <c r="Y84" i="68" s="1"/>
  <c r="R20" i="69"/>
  <c r="S54" i="69" s="1"/>
  <c r="AB20" i="69"/>
  <c r="Z20" i="69"/>
  <c r="Y20" i="69"/>
  <c r="Y89" i="69" s="1"/>
  <c r="P150" i="69"/>
  <c r="X20" i="69"/>
  <c r="X89" i="69" s="1"/>
  <c r="V20" i="69"/>
  <c r="V89" i="69" s="1"/>
  <c r="P20" i="69"/>
  <c r="P89" i="69" s="1"/>
  <c r="S20" i="69"/>
  <c r="S89" i="69" s="1"/>
  <c r="S117" i="69" s="1"/>
  <c r="U20" i="69"/>
  <c r="U89" i="69" s="1"/>
  <c r="Q20" i="69"/>
  <c r="Q89" i="69" s="1"/>
  <c r="Q81" i="73"/>
  <c r="Q109" i="73" s="1"/>
  <c r="R46" i="73"/>
  <c r="K81" i="73"/>
  <c r="K109" i="73" s="1"/>
  <c r="K46" i="73"/>
  <c r="M15" i="70"/>
  <c r="AB15" i="70"/>
  <c r="AB49" i="70" s="1"/>
  <c r="L15" i="70"/>
  <c r="K15" i="70"/>
  <c r="Q15" i="70"/>
  <c r="P15" i="70"/>
  <c r="P49" i="70" s="1"/>
  <c r="Y15" i="70"/>
  <c r="N15" i="70"/>
  <c r="U15" i="70"/>
  <c r="Z15" i="70"/>
  <c r="Z84" i="70" s="1"/>
  <c r="Z112" i="70" s="1"/>
  <c r="X15" i="70"/>
  <c r="T15" i="70"/>
  <c r="AA15" i="70"/>
  <c r="W15" i="70"/>
  <c r="W84" i="70" s="1"/>
  <c r="W112" i="70" s="1"/>
  <c r="S15" i="70"/>
  <c r="O87" i="73"/>
  <c r="O115" i="73" s="1"/>
  <c r="P52" i="73"/>
  <c r="I147" i="69"/>
  <c r="I141" i="69"/>
  <c r="I143" i="69"/>
  <c r="I148" i="69"/>
  <c r="I132" i="69" s="1"/>
  <c r="I140" i="69"/>
  <c r="G141" i="64"/>
  <c r="W11" i="64"/>
  <c r="N11" i="64"/>
  <c r="N80" i="64" s="1"/>
  <c r="N108" i="64" s="1"/>
  <c r="M11" i="64"/>
  <c r="M80" i="64" s="1"/>
  <c r="M108" i="64" s="1"/>
  <c r="V11" i="64"/>
  <c r="V80" i="64" s="1"/>
  <c r="V108" i="64" s="1"/>
  <c r="X11" i="64"/>
  <c r="X80" i="64" s="1"/>
  <c r="X108" i="64" s="1"/>
  <c r="T11" i="64"/>
  <c r="T45" i="64" s="1"/>
  <c r="G146" i="64"/>
  <c r="L11" i="64"/>
  <c r="L80" i="64" s="1"/>
  <c r="L108" i="64" s="1"/>
  <c r="K11" i="64"/>
  <c r="K80" i="64" s="1"/>
  <c r="K108" i="64" s="1"/>
  <c r="R11" i="64"/>
  <c r="R80" i="64" s="1"/>
  <c r="R108" i="64" s="1"/>
  <c r="H11" i="64"/>
  <c r="I11" i="64"/>
  <c r="I80" i="64" s="1"/>
  <c r="I108" i="64" s="1"/>
  <c r="G148" i="64"/>
  <c r="G132" i="64" s="1"/>
  <c r="J11" i="64"/>
  <c r="J80" i="64" s="1"/>
  <c r="J108" i="64" s="1"/>
  <c r="AB11" i="64"/>
  <c r="AB80" i="64" s="1"/>
  <c r="AB108" i="64" s="1"/>
  <c r="AA11" i="64"/>
  <c r="AA45" i="64" s="1"/>
  <c r="G11" i="64"/>
  <c r="G80" i="64" s="1"/>
  <c r="G108" i="64" s="1"/>
  <c r="U11" i="64"/>
  <c r="U80" i="64" s="1"/>
  <c r="U108" i="64" s="1"/>
  <c r="N141" i="69"/>
  <c r="N147" i="69"/>
  <c r="N140" i="69"/>
  <c r="R18" i="69"/>
  <c r="R87" i="69" s="1"/>
  <c r="V18" i="69"/>
  <c r="V87" i="69" s="1"/>
  <c r="Z18" i="69"/>
  <c r="Z87" i="69" s="1"/>
  <c r="AA18" i="69"/>
  <c r="AA87" i="69" s="1"/>
  <c r="AA115" i="69" s="1"/>
  <c r="N145" i="69"/>
  <c r="N139" i="69"/>
  <c r="N144" i="69"/>
  <c r="Y18" i="69"/>
  <c r="Y52" i="69" s="1"/>
  <c r="Q18" i="69"/>
  <c r="O18" i="69"/>
  <c r="O87" i="69" s="1"/>
  <c r="S18" i="69"/>
  <c r="N18" i="69"/>
  <c r="N87" i="69" s="1"/>
  <c r="P18" i="69"/>
  <c r="W18" i="69"/>
  <c r="N148" i="69"/>
  <c r="N132" i="69" s="1"/>
  <c r="N143" i="69"/>
  <c r="N149" i="69"/>
  <c r="N150" i="69"/>
  <c r="T18" i="69"/>
  <c r="T87" i="69" s="1"/>
  <c r="I141" i="70"/>
  <c r="I147" i="70"/>
  <c r="I146" i="70"/>
  <c r="X13" i="70"/>
  <c r="I148" i="70"/>
  <c r="I132" i="70" s="1"/>
  <c r="I143" i="70"/>
  <c r="I142" i="70"/>
  <c r="I149" i="70"/>
  <c r="I144" i="70"/>
  <c r="I139" i="70"/>
  <c r="I138" i="70"/>
  <c r="I13" i="68"/>
  <c r="I82" i="68" s="1"/>
  <c r="I110" i="68" s="1"/>
  <c r="Q13" i="68"/>
  <c r="R47" i="68" s="1"/>
  <c r="AA13" i="68"/>
  <c r="W13" i="68"/>
  <c r="X47" i="68" s="1"/>
  <c r="S13" i="68"/>
  <c r="T47" i="68" s="1"/>
  <c r="Z13" i="68"/>
  <c r="AA47" i="68" s="1"/>
  <c r="I142" i="68"/>
  <c r="I138" i="68"/>
  <c r="R13" i="68"/>
  <c r="S47" i="68" s="1"/>
  <c r="L13" i="68"/>
  <c r="U13" i="68"/>
  <c r="U47" i="68" s="1"/>
  <c r="M13" i="68"/>
  <c r="I143" i="68"/>
  <c r="I146" i="68"/>
  <c r="I144" i="68"/>
  <c r="K13" i="68"/>
  <c r="AB13" i="68"/>
  <c r="AB82" i="68" s="1"/>
  <c r="AB110" i="68" s="1"/>
  <c r="Y13" i="68"/>
  <c r="Y47" i="68" s="1"/>
  <c r="O13" i="68"/>
  <c r="V13" i="68"/>
  <c r="V47" i="68" s="1"/>
  <c r="I139" i="68"/>
  <c r="I145" i="68"/>
  <c r="I140" i="68"/>
  <c r="N13" i="68"/>
  <c r="O47" i="68" s="1"/>
  <c r="I150" i="68"/>
  <c r="L139" i="64"/>
  <c r="L142" i="64"/>
  <c r="L147" i="64"/>
  <c r="L144" i="64"/>
  <c r="V16" i="64"/>
  <c r="V85" i="64" s="1"/>
  <c r="V113" i="64" s="1"/>
  <c r="L16" i="64"/>
  <c r="L85" i="64" s="1"/>
  <c r="L113" i="64" s="1"/>
  <c r="S16" i="64"/>
  <c r="S85" i="64" s="1"/>
  <c r="S113" i="64" s="1"/>
  <c r="AB16" i="64"/>
  <c r="AB85" i="64" s="1"/>
  <c r="AB113" i="64" s="1"/>
  <c r="L143" i="64"/>
  <c r="L150" i="64"/>
  <c r="L146" i="64"/>
  <c r="L141" i="64"/>
  <c r="X16" i="64"/>
  <c r="X50" i="64" s="1"/>
  <c r="T16" i="64"/>
  <c r="T85" i="64" s="1"/>
  <c r="T113" i="64" s="1"/>
  <c r="AA16" i="64"/>
  <c r="AA85" i="64" s="1"/>
  <c r="AA113" i="64" s="1"/>
  <c r="R16" i="64"/>
  <c r="R85" i="64" s="1"/>
  <c r="R113" i="64" s="1"/>
  <c r="O16" i="64"/>
  <c r="O85" i="64" s="1"/>
  <c r="O113" i="64" s="1"/>
  <c r="L149" i="64"/>
  <c r="L138" i="64"/>
  <c r="M16" i="64"/>
  <c r="M85" i="64" s="1"/>
  <c r="M113" i="64" s="1"/>
  <c r="U16" i="64"/>
  <c r="V50" i="64" s="1"/>
  <c r="N16" i="64"/>
  <c r="N85" i="64" s="1"/>
  <c r="N113" i="64" s="1"/>
  <c r="V52" i="70"/>
  <c r="Y52" i="68"/>
  <c r="H7" i="68"/>
  <c r="D144" i="64"/>
  <c r="D138" i="64"/>
  <c r="P7" i="68"/>
  <c r="P146" i="64"/>
  <c r="P142" i="64"/>
  <c r="P139" i="64"/>
  <c r="P148" i="64"/>
  <c r="P132" i="64" s="1"/>
  <c r="P149" i="64"/>
  <c r="P150" i="64"/>
  <c r="P143" i="64"/>
  <c r="P141" i="64"/>
  <c r="F41" i="68"/>
  <c r="N7" i="68"/>
  <c r="N41" i="68" s="1"/>
  <c r="T7" i="68"/>
  <c r="Q45" i="64"/>
  <c r="C131" i="65"/>
  <c r="C134" i="65" s="1"/>
  <c r="O42" i="64"/>
  <c r="Y62" i="52"/>
  <c r="T20" i="70"/>
  <c r="W20" i="70"/>
  <c r="W89" i="70" s="1"/>
  <c r="W117" i="70" s="1"/>
  <c r="Z20" i="70"/>
  <c r="R20" i="70"/>
  <c r="R89" i="70" s="1"/>
  <c r="R117" i="70" s="1"/>
  <c r="V20" i="70"/>
  <c r="P20" i="70"/>
  <c r="Q54" i="70" s="1"/>
  <c r="S46" i="72"/>
  <c r="K46" i="72"/>
  <c r="F37" i="42"/>
  <c r="AA61" i="52"/>
  <c r="N46" i="64"/>
  <c r="G41" i="68"/>
  <c r="Y46" i="72"/>
  <c r="P46" i="72"/>
  <c r="Q46" i="72"/>
  <c r="AA46" i="72"/>
  <c r="AB20" i="68"/>
  <c r="AB89" i="68" s="1"/>
  <c r="W20" i="68"/>
  <c r="W89" i="68" s="1"/>
  <c r="R20" i="68"/>
  <c r="R89" i="68" s="1"/>
  <c r="P150" i="68"/>
  <c r="V46" i="73"/>
  <c r="W44" i="72"/>
  <c r="M8" i="69"/>
  <c r="M77" i="69" s="1"/>
  <c r="AA20" i="70"/>
  <c r="K46" i="64"/>
  <c r="V48" i="71"/>
  <c r="O145" i="65"/>
  <c r="O139" i="65"/>
  <c r="O138" i="65"/>
  <c r="O142" i="65"/>
  <c r="O141" i="65"/>
  <c r="M85" i="72"/>
  <c r="M113" i="72" s="1"/>
  <c r="M50" i="72"/>
  <c r="X15" i="69"/>
  <c r="K15" i="69"/>
  <c r="K84" i="69" s="1"/>
  <c r="K112" i="69" s="1"/>
  <c r="Y15" i="69"/>
  <c r="Y84" i="69" s="1"/>
  <c r="Z15" i="69"/>
  <c r="Z84" i="69" s="1"/>
  <c r="Z112" i="69" s="1"/>
  <c r="U82" i="71"/>
  <c r="U110" i="71" s="1"/>
  <c r="U47" i="71"/>
  <c r="O16" i="70"/>
  <c r="AA16" i="70"/>
  <c r="AA85" i="70" s="1"/>
  <c r="AA113" i="70" s="1"/>
  <c r="U16" i="70"/>
  <c r="U85" i="70" s="1"/>
  <c r="U113" i="70" s="1"/>
  <c r="Z15" i="68"/>
  <c r="V15" i="68"/>
  <c r="K149" i="68"/>
  <c r="T15" i="68"/>
  <c r="T84" i="68" s="1"/>
  <c r="T112" i="68" s="1"/>
  <c r="P15" i="68"/>
  <c r="C146" i="64"/>
  <c r="C145" i="64"/>
  <c r="Q7" i="64"/>
  <c r="Q76" i="64" s="1"/>
  <c r="Q104" i="64" s="1"/>
  <c r="K7" i="64"/>
  <c r="K76" i="64" s="1"/>
  <c r="K104" i="64" s="1"/>
  <c r="AB7" i="64"/>
  <c r="AB76" i="64" s="1"/>
  <c r="AB104" i="64" s="1"/>
  <c r="J7" i="64"/>
  <c r="C139" i="64"/>
  <c r="C142" i="64"/>
  <c r="U7" i="64"/>
  <c r="U76" i="64" s="1"/>
  <c r="U104" i="64" s="1"/>
  <c r="G7" i="64"/>
  <c r="G76" i="64" s="1"/>
  <c r="G104" i="64" s="1"/>
  <c r="Q52" i="69"/>
  <c r="P47" i="68"/>
  <c r="I142" i="69"/>
  <c r="I146" i="69"/>
  <c r="I138" i="69"/>
  <c r="I139" i="69"/>
  <c r="I144" i="69"/>
  <c r="I145" i="69"/>
  <c r="G145" i="64"/>
  <c r="G150" i="64"/>
  <c r="G142" i="64"/>
  <c r="G144" i="64"/>
  <c r="G143" i="64"/>
  <c r="G147" i="64"/>
  <c r="G149" i="64"/>
  <c r="G140" i="64"/>
  <c r="G139" i="64"/>
  <c r="M148" i="64"/>
  <c r="M132" i="64" s="1"/>
  <c r="M149" i="64"/>
  <c r="M139" i="64"/>
  <c r="M142" i="64"/>
  <c r="M143" i="64"/>
  <c r="M150" i="64"/>
  <c r="M147" i="64"/>
  <c r="V81" i="73"/>
  <c r="V109" i="73" s="1"/>
  <c r="W46" i="73"/>
  <c r="S20" i="70"/>
  <c r="U85" i="72"/>
  <c r="U113" i="72" s="1"/>
  <c r="V50" i="72"/>
  <c r="M82" i="71"/>
  <c r="N47" i="71"/>
  <c r="U8" i="69"/>
  <c r="U77" i="69" s="1"/>
  <c r="X8" i="69"/>
  <c r="X77" i="69" s="1"/>
  <c r="N8" i="69"/>
  <c r="N77" i="69" s="1"/>
  <c r="T8" i="69"/>
  <c r="T77" i="69" s="1"/>
  <c r="K8" i="69"/>
  <c r="K77" i="69" s="1"/>
  <c r="Z8" i="69"/>
  <c r="Z77" i="69" s="1"/>
  <c r="I8" i="69"/>
  <c r="I77" i="69" s="1"/>
  <c r="I105" i="69" s="1"/>
  <c r="W8" i="69"/>
  <c r="W77" i="69" s="1"/>
  <c r="D8" i="69"/>
  <c r="D77" i="69" s="1"/>
  <c r="D105" i="69" s="1"/>
  <c r="AB8" i="69"/>
  <c r="AB77" i="69" s="1"/>
  <c r="AB105" i="69" s="1"/>
  <c r="U13" i="65"/>
  <c r="U82" i="65" s="1"/>
  <c r="U110" i="65" s="1"/>
  <c r="I149" i="65"/>
  <c r="S42" i="72"/>
  <c r="I46" i="72"/>
  <c r="W42" i="73"/>
  <c r="K41" i="68"/>
  <c r="AA17" i="65"/>
  <c r="AA86" i="65" s="1"/>
  <c r="AA114" i="65" s="1"/>
  <c r="Q41" i="64"/>
  <c r="U20" i="70"/>
  <c r="R80" i="72"/>
  <c r="R108" i="72" s="1"/>
  <c r="R45" i="72"/>
  <c r="F32" i="42"/>
  <c r="F24" i="42" s="1"/>
  <c r="F41" i="42"/>
  <c r="F150" i="52"/>
  <c r="C156" i="64"/>
  <c r="C158" i="64"/>
  <c r="W8" i="68"/>
  <c r="W77" i="68" s="1"/>
  <c r="G8" i="68"/>
  <c r="G77" i="68" s="1"/>
  <c r="N8" i="68"/>
  <c r="N77" i="68" s="1"/>
  <c r="U8" i="68"/>
  <c r="U77" i="68" s="1"/>
  <c r="E8" i="68"/>
  <c r="E77" i="68" s="1"/>
  <c r="K41" i="72"/>
  <c r="S45" i="72"/>
  <c r="J42" i="72"/>
  <c r="T46" i="72"/>
  <c r="Z46" i="72"/>
  <c r="L41" i="72"/>
  <c r="S54" i="72"/>
  <c r="Q43" i="72"/>
  <c r="S41" i="72"/>
  <c r="T54" i="72"/>
  <c r="T41" i="72"/>
  <c r="F41" i="72"/>
  <c r="E41" i="72"/>
  <c r="X44" i="72"/>
  <c r="Q18" i="65"/>
  <c r="Q87" i="65" s="1"/>
  <c r="Q115" i="65" s="1"/>
  <c r="AA20" i="68"/>
  <c r="AA89" i="68" s="1"/>
  <c r="V20" i="68"/>
  <c r="V89" i="68" s="1"/>
  <c r="W47" i="68"/>
  <c r="AA19" i="65"/>
  <c r="AA88" i="65" s="1"/>
  <c r="AA116" i="65" s="1"/>
  <c r="Y19" i="65"/>
  <c r="Y88" i="65" s="1"/>
  <c r="Y116" i="65" s="1"/>
  <c r="X19" i="65"/>
  <c r="X88" i="65" s="1"/>
  <c r="X116" i="65" s="1"/>
  <c r="W52" i="68"/>
  <c r="X52" i="73"/>
  <c r="X43" i="73"/>
  <c r="K150" i="68"/>
  <c r="H44" i="72"/>
  <c r="I7" i="64"/>
  <c r="C7" i="64"/>
  <c r="C76" i="64" s="1"/>
  <c r="C104" i="64" s="1"/>
  <c r="C131" i="64" s="1"/>
  <c r="C134" i="64" s="1"/>
  <c r="AA7" i="64"/>
  <c r="AA41" i="64" s="1"/>
  <c r="X54" i="73"/>
  <c r="AA15" i="69"/>
  <c r="AA84" i="69" s="1"/>
  <c r="R15" i="69"/>
  <c r="R84" i="69" s="1"/>
  <c r="J41" i="68"/>
  <c r="L16" i="70"/>
  <c r="L85" i="70" s="1"/>
  <c r="L113" i="70" s="1"/>
  <c r="P16" i="70"/>
  <c r="P85" i="70" s="1"/>
  <c r="P113" i="70" s="1"/>
  <c r="N16" i="70"/>
  <c r="R8" i="69"/>
  <c r="R77" i="69" s="1"/>
  <c r="Y8" i="69"/>
  <c r="Y77" i="69" s="1"/>
  <c r="Y105" i="69" s="1"/>
  <c r="E8" i="69"/>
  <c r="E77" i="69" s="1"/>
  <c r="E7" i="64"/>
  <c r="E76" i="64" s="1"/>
  <c r="E104" i="64" s="1"/>
  <c r="E131" i="64" s="1"/>
  <c r="X20" i="70"/>
  <c r="AA51" i="73"/>
  <c r="Z45" i="72"/>
  <c r="I145" i="65"/>
  <c r="C150" i="64"/>
  <c r="C140" i="64"/>
  <c r="K150" i="69"/>
  <c r="W15" i="68"/>
  <c r="G139" i="65"/>
  <c r="G140" i="65"/>
  <c r="N12" i="69"/>
  <c r="N81" i="69" s="1"/>
  <c r="N109" i="69" s="1"/>
  <c r="X12" i="69"/>
  <c r="X81" i="69" s="1"/>
  <c r="L12" i="69"/>
  <c r="W12" i="69"/>
  <c r="W81" i="69" s="1"/>
  <c r="W109" i="69" s="1"/>
  <c r="Z12" i="69"/>
  <c r="Z81" i="69" s="1"/>
  <c r="R12" i="69"/>
  <c r="T12" i="69"/>
  <c r="T81" i="69" s="1"/>
  <c r="O12" i="69"/>
  <c r="O81" i="69" s="1"/>
  <c r="O109" i="69" s="1"/>
  <c r="V12" i="69"/>
  <c r="V81" i="69" s="1"/>
  <c r="V109" i="69" s="1"/>
  <c r="U12" i="69"/>
  <c r="U81" i="69" s="1"/>
  <c r="I12" i="69"/>
  <c r="I81" i="69" s="1"/>
  <c r="J11" i="68"/>
  <c r="J45" i="68" s="1"/>
  <c r="O11" i="68"/>
  <c r="O80" i="68" s="1"/>
  <c r="O108" i="68" s="1"/>
  <c r="S11" i="68"/>
  <c r="AB11" i="68"/>
  <c r="U11" i="68"/>
  <c r="U80" i="68" s="1"/>
  <c r="U108" i="68" s="1"/>
  <c r="G77" i="73"/>
  <c r="G105" i="73" s="1"/>
  <c r="H42" i="73"/>
  <c r="M16" i="69"/>
  <c r="N50" i="69" s="1"/>
  <c r="S16" i="69"/>
  <c r="S50" i="69" s="1"/>
  <c r="X11" i="69"/>
  <c r="L11" i="69"/>
  <c r="I11" i="69"/>
  <c r="AB87" i="72"/>
  <c r="AB115" i="72" s="1"/>
  <c r="AB52" i="72"/>
  <c r="R144" i="68"/>
  <c r="R139" i="68"/>
  <c r="R145" i="68"/>
  <c r="S22" i="68"/>
  <c r="S91" i="68" s="1"/>
  <c r="S119" i="68" s="1"/>
  <c r="R150" i="68"/>
  <c r="U22" i="68"/>
  <c r="R148" i="68"/>
  <c r="R132" i="68" s="1"/>
  <c r="R142" i="68"/>
  <c r="R138" i="68"/>
  <c r="AA22" i="68"/>
  <c r="X22" i="68"/>
  <c r="Y56" i="68" s="1"/>
  <c r="V22" i="68"/>
  <c r="V91" i="68" s="1"/>
  <c r="V119" i="68" s="1"/>
  <c r="M147" i="69"/>
  <c r="M140" i="69"/>
  <c r="M141" i="69"/>
  <c r="M143" i="69"/>
  <c r="M149" i="69"/>
  <c r="M148" i="69"/>
  <c r="M132" i="69" s="1"/>
  <c r="J145" i="64"/>
  <c r="J142" i="64"/>
  <c r="J141" i="64"/>
  <c r="J148" i="64"/>
  <c r="J132" i="64" s="1"/>
  <c r="J149" i="64"/>
  <c r="J144" i="64"/>
  <c r="J150" i="68"/>
  <c r="J149" i="68"/>
  <c r="J14" i="68"/>
  <c r="V14" i="68"/>
  <c r="Z14" i="68"/>
  <c r="K14" i="68"/>
  <c r="Q140" i="64"/>
  <c r="Q148" i="64"/>
  <c r="Q132" i="64" s="1"/>
  <c r="Q143" i="64"/>
  <c r="W7" i="68"/>
  <c r="H42" i="64"/>
  <c r="O46" i="64"/>
  <c r="J46" i="64"/>
  <c r="T20" i="65"/>
  <c r="X20" i="65"/>
  <c r="X89" i="65" s="1"/>
  <c r="X117" i="65" s="1"/>
  <c r="AB20" i="65"/>
  <c r="AB89" i="65" s="1"/>
  <c r="AB117" i="65" s="1"/>
  <c r="V22" i="65"/>
  <c r="Z22" i="65"/>
  <c r="S21" i="65"/>
  <c r="S90" i="65" s="1"/>
  <c r="S118" i="65" s="1"/>
  <c r="W21" i="65"/>
  <c r="AA21" i="65"/>
  <c r="Q20" i="65"/>
  <c r="Q89" i="65" s="1"/>
  <c r="Q117" i="65" s="1"/>
  <c r="U20" i="65"/>
  <c r="U89" i="65" s="1"/>
  <c r="U117" i="65" s="1"/>
  <c r="Y20" i="65"/>
  <c r="Y89" i="65" s="1"/>
  <c r="Y117" i="65" s="1"/>
  <c r="S22" i="65"/>
  <c r="W22" i="65"/>
  <c r="AA22" i="65"/>
  <c r="T21" i="65"/>
  <c r="T90" i="65" s="1"/>
  <c r="T118" i="65" s="1"/>
  <c r="X21" i="65"/>
  <c r="AB21" i="65"/>
  <c r="AB90" i="65" s="1"/>
  <c r="AB118" i="65" s="1"/>
  <c r="R20" i="65"/>
  <c r="R89" i="65" s="1"/>
  <c r="R117" i="65" s="1"/>
  <c r="V20" i="65"/>
  <c r="Z20" i="65"/>
  <c r="T22" i="65"/>
  <c r="X22" i="65"/>
  <c r="AB22" i="65"/>
  <c r="U21" i="65"/>
  <c r="Y21" i="65"/>
  <c r="R22" i="65"/>
  <c r="S20" i="65"/>
  <c r="W20" i="65"/>
  <c r="W89" i="65" s="1"/>
  <c r="W117" i="65" s="1"/>
  <c r="AA20" i="65"/>
  <c r="AA89" i="65" s="1"/>
  <c r="AA117" i="65" s="1"/>
  <c r="U22" i="65"/>
  <c r="Y22" i="65"/>
  <c r="R21" i="65"/>
  <c r="R90" i="65" s="1"/>
  <c r="R118" i="65" s="1"/>
  <c r="V21" i="65"/>
  <c r="Z21" i="65"/>
  <c r="AA55" i="65" s="1"/>
  <c r="Q21" i="65"/>
  <c r="Q90" i="65" s="1"/>
  <c r="Q118" i="65" s="1"/>
  <c r="P20" i="65"/>
  <c r="P89" i="65" s="1"/>
  <c r="P117" i="65" s="1"/>
  <c r="N14" i="68"/>
  <c r="R14" i="68"/>
  <c r="S48" i="68" s="1"/>
  <c r="L14" i="68"/>
  <c r="C149" i="68"/>
  <c r="C148" i="68"/>
  <c r="C132" i="68" s="1"/>
  <c r="C5" i="68"/>
  <c r="C7" i="68"/>
  <c r="C150" i="68"/>
  <c r="AA7" i="68"/>
  <c r="F28" i="42"/>
  <c r="F40" i="42"/>
  <c r="F27" i="42"/>
  <c r="F42" i="42"/>
  <c r="F38" i="42"/>
  <c r="P89" i="68"/>
  <c r="P117" i="68" s="1"/>
  <c r="AB78" i="69"/>
  <c r="AB106" i="69" s="1"/>
  <c r="W78" i="70"/>
  <c r="X43" i="70"/>
  <c r="V78" i="70"/>
  <c r="W43" i="70"/>
  <c r="F78" i="70"/>
  <c r="G43" i="70"/>
  <c r="Q78" i="70"/>
  <c r="R43" i="70"/>
  <c r="X78" i="70"/>
  <c r="Y43" i="70"/>
  <c r="H78" i="70"/>
  <c r="I43" i="70"/>
  <c r="O82" i="70"/>
  <c r="O110" i="70" s="1"/>
  <c r="P47" i="70"/>
  <c r="N82" i="70"/>
  <c r="N110" i="70" s="1"/>
  <c r="O47" i="70"/>
  <c r="M82" i="70"/>
  <c r="M110" i="70" s="1"/>
  <c r="N47" i="70"/>
  <c r="K82" i="70"/>
  <c r="K110" i="70" s="1"/>
  <c r="L47" i="70"/>
  <c r="P82" i="70"/>
  <c r="P110" i="70" s="1"/>
  <c r="Q47" i="70"/>
  <c r="AB86" i="69"/>
  <c r="AB114" i="69" s="1"/>
  <c r="U86" i="70"/>
  <c r="V51" i="70"/>
  <c r="O86" i="70"/>
  <c r="O114" i="70" s="1"/>
  <c r="P51" i="70"/>
  <c r="AB86" i="70"/>
  <c r="AB114" i="70" s="1"/>
  <c r="V86" i="70"/>
  <c r="V114" i="70" s="1"/>
  <c r="W51" i="70"/>
  <c r="AA90" i="70"/>
  <c r="AB55" i="70"/>
  <c r="AB90" i="70"/>
  <c r="AB118" i="70" s="1"/>
  <c r="U90" i="70"/>
  <c r="V55" i="70"/>
  <c r="Q80" i="70"/>
  <c r="R45" i="70"/>
  <c r="N79" i="70"/>
  <c r="O44" i="70"/>
  <c r="G79" i="70"/>
  <c r="H44" i="70"/>
  <c r="R79" i="70"/>
  <c r="S44" i="70"/>
  <c r="J79" i="70"/>
  <c r="K44" i="70"/>
  <c r="O79" i="70"/>
  <c r="P44" i="70"/>
  <c r="J83" i="70"/>
  <c r="J111" i="70" s="1"/>
  <c r="K48" i="70"/>
  <c r="P80" i="70"/>
  <c r="Q45" i="70"/>
  <c r="AB80" i="70"/>
  <c r="AB108" i="70" s="1"/>
  <c r="H80" i="70"/>
  <c r="H108" i="70" s="1"/>
  <c r="I45" i="70"/>
  <c r="Z79" i="70"/>
  <c r="AA44" i="70"/>
  <c r="X76" i="70"/>
  <c r="X104" i="70" s="1"/>
  <c r="Y41" i="70"/>
  <c r="H76" i="70"/>
  <c r="H104" i="70" s="1"/>
  <c r="I41" i="70"/>
  <c r="C162" i="70"/>
  <c r="C158" i="70"/>
  <c r="C154" i="70"/>
  <c r="C165" i="70"/>
  <c r="C161" i="70"/>
  <c r="C157" i="70"/>
  <c r="C153" i="70"/>
  <c r="C164" i="70"/>
  <c r="C160" i="70"/>
  <c r="C156" i="70"/>
  <c r="C163" i="70"/>
  <c r="C159" i="70"/>
  <c r="C155" i="70"/>
  <c r="P76" i="70"/>
  <c r="P104" i="70" s="1"/>
  <c r="Q41" i="70"/>
  <c r="F76" i="70"/>
  <c r="G41" i="70"/>
  <c r="W76" i="70"/>
  <c r="X41" i="70"/>
  <c r="Z88" i="70"/>
  <c r="AA53" i="70"/>
  <c r="Y88" i="70"/>
  <c r="Z53" i="70"/>
  <c r="K79" i="70"/>
  <c r="K107" i="70" s="1"/>
  <c r="L44" i="70"/>
  <c r="T76" i="70"/>
  <c r="T104" i="70" s="1"/>
  <c r="U41" i="70"/>
  <c r="Q49" i="70"/>
  <c r="S83" i="70"/>
  <c r="S111" i="70" s="1"/>
  <c r="T48" i="70"/>
  <c r="T83" i="70"/>
  <c r="U48" i="70"/>
  <c r="AB80" i="69"/>
  <c r="AB108" i="69" s="1"/>
  <c r="K80" i="70"/>
  <c r="K108" i="70" s="1"/>
  <c r="L45" i="70"/>
  <c r="Y85" i="70"/>
  <c r="Y113" i="70" s="1"/>
  <c r="AB90" i="68"/>
  <c r="AB118" i="68" s="1"/>
  <c r="D77" i="70"/>
  <c r="E42" i="70"/>
  <c r="P77" i="70"/>
  <c r="P105" i="70" s="1"/>
  <c r="Q42" i="70"/>
  <c r="Q77" i="70"/>
  <c r="R42" i="70"/>
  <c r="AA77" i="70"/>
  <c r="AA105" i="70" s="1"/>
  <c r="AB42" i="70"/>
  <c r="X77" i="70"/>
  <c r="X105" i="70" s="1"/>
  <c r="Y42" i="70"/>
  <c r="Q79" i="69"/>
  <c r="Q107" i="69" s="1"/>
  <c r="AB79" i="69"/>
  <c r="AB107" i="69" s="1"/>
  <c r="X79" i="69"/>
  <c r="X107" i="69" s="1"/>
  <c r="I80" i="69"/>
  <c r="I108" i="69" s="1"/>
  <c r="Q87" i="70"/>
  <c r="Q115" i="70" s="1"/>
  <c r="R52" i="70"/>
  <c r="Z87" i="70"/>
  <c r="AA52" i="70"/>
  <c r="AB117" i="69"/>
  <c r="AB89" i="69"/>
  <c r="Q78" i="68"/>
  <c r="Q106" i="68" s="1"/>
  <c r="W78" i="68"/>
  <c r="W106" i="68" s="1"/>
  <c r="J78" i="68"/>
  <c r="J106" i="68" s="1"/>
  <c r="T89" i="70"/>
  <c r="U54" i="70"/>
  <c r="L84" i="69"/>
  <c r="L112" i="69" s="1"/>
  <c r="L84" i="70"/>
  <c r="L112" i="70" s="1"/>
  <c r="M49" i="70"/>
  <c r="W84" i="69"/>
  <c r="W112" i="69" s="1"/>
  <c r="V84" i="69"/>
  <c r="V112" i="69" s="1"/>
  <c r="AB83" i="70"/>
  <c r="AB111" i="70" s="1"/>
  <c r="W88" i="70"/>
  <c r="W116" i="70" s="1"/>
  <c r="X53" i="70"/>
  <c r="H81" i="70"/>
  <c r="I46" i="70"/>
  <c r="L81" i="70"/>
  <c r="L109" i="70" s="1"/>
  <c r="M46" i="70"/>
  <c r="W81" i="70"/>
  <c r="X46" i="70"/>
  <c r="S81" i="70"/>
  <c r="T46" i="70"/>
  <c r="O84" i="68"/>
  <c r="O112" i="68" s="1"/>
  <c r="K81" i="69"/>
  <c r="K109" i="69" s="1"/>
  <c r="AB86" i="68"/>
  <c r="AB114" i="68" s="1"/>
  <c r="P114" i="68"/>
  <c r="P86" i="68"/>
  <c r="M81" i="70"/>
  <c r="M109" i="70" s="1"/>
  <c r="N46" i="70"/>
  <c r="L81" i="69"/>
  <c r="L109" i="69" s="1"/>
  <c r="AA88" i="70"/>
  <c r="AA116" i="70" s="1"/>
  <c r="AB53" i="70"/>
  <c r="U88" i="70"/>
  <c r="U116" i="70" s="1"/>
  <c r="V53" i="70"/>
  <c r="Y77" i="70"/>
  <c r="Y105" i="70" s="1"/>
  <c r="Z42" i="70"/>
  <c r="M79" i="68"/>
  <c r="M107" i="68" s="1"/>
  <c r="I79" i="68"/>
  <c r="I107" i="68" s="1"/>
  <c r="R85" i="69"/>
  <c r="R113" i="69" s="1"/>
  <c r="AB85" i="70"/>
  <c r="AB113" i="70" s="1"/>
  <c r="P84" i="68"/>
  <c r="P112" i="68" s="1"/>
  <c r="AB80" i="68"/>
  <c r="AB108" i="68" s="1"/>
  <c r="S80" i="68"/>
  <c r="S108" i="68" s="1"/>
  <c r="L79" i="68"/>
  <c r="L107" i="68" s="1"/>
  <c r="U79" i="68"/>
  <c r="U107" i="68" s="1"/>
  <c r="X91" i="70"/>
  <c r="X119" i="70" s="1"/>
  <c r="Y56" i="70"/>
  <c r="S91" i="70"/>
  <c r="S119" i="70" s="1"/>
  <c r="T56" i="70"/>
  <c r="Y91" i="70"/>
  <c r="Y119" i="70" s="1"/>
  <c r="Z56" i="70"/>
  <c r="W147" i="70"/>
  <c r="W143" i="70"/>
  <c r="W139" i="70"/>
  <c r="W150" i="70"/>
  <c r="H26" i="66" s="1"/>
  <c r="W146" i="70"/>
  <c r="W142" i="70"/>
  <c r="W138" i="70"/>
  <c r="W149" i="70"/>
  <c r="H27" i="66" s="1"/>
  <c r="W145" i="70"/>
  <c r="W141" i="70"/>
  <c r="W148" i="70"/>
  <c r="W144" i="70"/>
  <c r="W140" i="70"/>
  <c r="U149" i="70"/>
  <c r="F27" i="66" s="1"/>
  <c r="U145" i="70"/>
  <c r="U141" i="70"/>
  <c r="U148" i="70"/>
  <c r="U144" i="70"/>
  <c r="U140" i="70"/>
  <c r="U147" i="70"/>
  <c r="U143" i="70"/>
  <c r="U139" i="70"/>
  <c r="U150" i="70"/>
  <c r="F26" i="66" s="1"/>
  <c r="U146" i="70"/>
  <c r="U142" i="70"/>
  <c r="U138" i="70"/>
  <c r="G147" i="70"/>
  <c r="G143" i="70"/>
  <c r="G139" i="70"/>
  <c r="G150" i="70"/>
  <c r="G146" i="70"/>
  <c r="G142" i="70"/>
  <c r="G138" i="70"/>
  <c r="G149" i="70"/>
  <c r="G145" i="70"/>
  <c r="G141" i="70"/>
  <c r="G148" i="70"/>
  <c r="G132" i="70" s="1"/>
  <c r="G144" i="70"/>
  <c r="G140" i="70"/>
  <c r="S92" i="73"/>
  <c r="S120" i="73" s="1"/>
  <c r="T57" i="73"/>
  <c r="X92" i="73"/>
  <c r="X120" i="73" s="1"/>
  <c r="Y57" i="73"/>
  <c r="Y92" i="73"/>
  <c r="Y120" i="73" s="1"/>
  <c r="Z57" i="73"/>
  <c r="X91" i="73"/>
  <c r="X119" i="73" s="1"/>
  <c r="Y56" i="73"/>
  <c r="P82" i="68"/>
  <c r="P110" i="68" s="1"/>
  <c r="K82" i="68"/>
  <c r="K110" i="68" s="1"/>
  <c r="Q83" i="68"/>
  <c r="Q111" i="68" s="1"/>
  <c r="Z95" i="71"/>
  <c r="Z123" i="71" s="1"/>
  <c r="AA60" i="71"/>
  <c r="AA97" i="68"/>
  <c r="AA125" i="68" s="1"/>
  <c r="AB62" i="68"/>
  <c r="Y95" i="68"/>
  <c r="Y123" i="68" s="1"/>
  <c r="Z60" i="68"/>
  <c r="AA93" i="68"/>
  <c r="AA121" i="68" s="1"/>
  <c r="AB58" i="68"/>
  <c r="Z97" i="68"/>
  <c r="Z125" i="68" s="1"/>
  <c r="AA62" i="68"/>
  <c r="V93" i="68"/>
  <c r="V121" i="68" s="1"/>
  <c r="W58" i="68"/>
  <c r="L148" i="70"/>
  <c r="L132" i="70" s="1"/>
  <c r="L144" i="70"/>
  <c r="L140" i="70"/>
  <c r="L147" i="70"/>
  <c r="L143" i="70"/>
  <c r="L139" i="70"/>
  <c r="L150" i="70"/>
  <c r="L146" i="70"/>
  <c r="L142" i="70"/>
  <c r="L138" i="70"/>
  <c r="L149" i="70"/>
  <c r="L145" i="70"/>
  <c r="L141" i="70"/>
  <c r="V16" i="70"/>
  <c r="Z16" i="70"/>
  <c r="Z50" i="70" s="1"/>
  <c r="K145" i="68"/>
  <c r="K141" i="68"/>
  <c r="K138" i="68"/>
  <c r="K144" i="68"/>
  <c r="K140" i="68"/>
  <c r="K148" i="68"/>
  <c r="K132" i="68" s="1"/>
  <c r="K143" i="68"/>
  <c r="K139" i="68"/>
  <c r="K147" i="68"/>
  <c r="K142" i="68"/>
  <c r="K146" i="68"/>
  <c r="Q15" i="68"/>
  <c r="Q49" i="68" s="1"/>
  <c r="AB15" i="68"/>
  <c r="AB84" i="68" s="1"/>
  <c r="AB112" i="68" s="1"/>
  <c r="AA15" i="68"/>
  <c r="R15" i="68"/>
  <c r="S49" i="68" s="1"/>
  <c r="X15" i="68"/>
  <c r="X49" i="68" s="1"/>
  <c r="N15" i="68"/>
  <c r="U15" i="68"/>
  <c r="L15" i="68"/>
  <c r="M49" i="68" s="1"/>
  <c r="AA94" i="72"/>
  <c r="AA122" i="72" s="1"/>
  <c r="AB59" i="72"/>
  <c r="X91" i="72"/>
  <c r="X119" i="72" s="1"/>
  <c r="Y56" i="72"/>
  <c r="T93" i="73"/>
  <c r="T121" i="73" s="1"/>
  <c r="U58" i="73"/>
  <c r="AA93" i="73"/>
  <c r="AA121" i="73" s="1"/>
  <c r="AB58" i="73"/>
  <c r="O83" i="68"/>
  <c r="O111" i="68" s="1"/>
  <c r="Z91" i="68"/>
  <c r="Z119" i="68" s="1"/>
  <c r="AA56" i="68"/>
  <c r="AB91" i="68"/>
  <c r="AB119" i="68" s="1"/>
  <c r="R91" i="68"/>
  <c r="R119" i="68" s="1"/>
  <c r="P148" i="70"/>
  <c r="P132" i="70" s="1"/>
  <c r="P144" i="70"/>
  <c r="P140" i="70"/>
  <c r="P147" i="70"/>
  <c r="P143" i="70"/>
  <c r="P139" i="70"/>
  <c r="P150" i="70"/>
  <c r="P146" i="70"/>
  <c r="P142" i="70"/>
  <c r="P138" i="70"/>
  <c r="P149" i="70"/>
  <c r="P145" i="70"/>
  <c r="P141" i="70"/>
  <c r="AB20" i="70"/>
  <c r="AB89" i="70" s="1"/>
  <c r="AB117" i="70" s="1"/>
  <c r="Q20" i="70"/>
  <c r="W95" i="72"/>
  <c r="W123" i="72" s="1"/>
  <c r="X60" i="72"/>
  <c r="Y96" i="72"/>
  <c r="Y124" i="72" s="1"/>
  <c r="Z61" i="72"/>
  <c r="AA96" i="72"/>
  <c r="AA124" i="72" s="1"/>
  <c r="AB61" i="72"/>
  <c r="AA93" i="72"/>
  <c r="AA121" i="72" s="1"/>
  <c r="AB58" i="72"/>
  <c r="V93" i="72"/>
  <c r="V121" i="72" s="1"/>
  <c r="W58" i="72"/>
  <c r="Z98" i="72"/>
  <c r="Z126" i="72" s="1"/>
  <c r="AA63" i="72"/>
  <c r="Z118" i="68"/>
  <c r="Z90" i="68"/>
  <c r="AA83" i="68"/>
  <c r="AA111" i="68" s="1"/>
  <c r="Y83" i="68"/>
  <c r="Y111" i="68" s="1"/>
  <c r="V93" i="71"/>
  <c r="V121" i="71" s="1"/>
  <c r="W58" i="71"/>
  <c r="Z97" i="71"/>
  <c r="Z125" i="71" s="1"/>
  <c r="AA62" i="71"/>
  <c r="Z93" i="71"/>
  <c r="Z121" i="71" s="1"/>
  <c r="AA58" i="71"/>
  <c r="Y93" i="68"/>
  <c r="Y121" i="68" s="1"/>
  <c r="Z58" i="68"/>
  <c r="AA91" i="69"/>
  <c r="AA119" i="69" s="1"/>
  <c r="AB56" i="69"/>
  <c r="Z91" i="69"/>
  <c r="Z119" i="69" s="1"/>
  <c r="AA56" i="69"/>
  <c r="X139" i="69"/>
  <c r="X143" i="69"/>
  <c r="X146" i="69"/>
  <c r="X140" i="69"/>
  <c r="X144" i="69"/>
  <c r="X149" i="69"/>
  <c r="I25" i="66" s="1"/>
  <c r="X138" i="69"/>
  <c r="X141" i="69"/>
  <c r="X145" i="69"/>
  <c r="X148" i="69"/>
  <c r="X132" i="69" s="1"/>
  <c r="X142" i="69"/>
  <c r="X147" i="69"/>
  <c r="Y28" i="69"/>
  <c r="X28" i="69"/>
  <c r="Z28" i="69"/>
  <c r="X150" i="69"/>
  <c r="I24" i="66" s="1"/>
  <c r="AA28" i="69"/>
  <c r="AB28" i="69"/>
  <c r="AB97" i="69" s="1"/>
  <c r="AB125" i="69" s="1"/>
  <c r="AA140" i="69"/>
  <c r="AA144" i="69"/>
  <c r="AA149" i="69"/>
  <c r="L25" i="66" s="1"/>
  <c r="AA138" i="69"/>
  <c r="AA141" i="69"/>
  <c r="AA145" i="69"/>
  <c r="AA148" i="69"/>
  <c r="AA132" i="69" s="1"/>
  <c r="AA142" i="69"/>
  <c r="AA147" i="69"/>
  <c r="AA139" i="69"/>
  <c r="AA143" i="69"/>
  <c r="AA146" i="69"/>
  <c r="AA150" i="69"/>
  <c r="L24" i="66" s="1"/>
  <c r="AA31" i="69"/>
  <c r="AB31" i="69"/>
  <c r="AB100" i="69" s="1"/>
  <c r="AB128" i="69" s="1"/>
  <c r="V138" i="69"/>
  <c r="V141" i="69"/>
  <c r="V145" i="69"/>
  <c r="V148" i="69"/>
  <c r="V132" i="69" s="1"/>
  <c r="V142" i="69"/>
  <c r="V147" i="69"/>
  <c r="V139" i="69"/>
  <c r="V143" i="69"/>
  <c r="V146" i="69"/>
  <c r="V140" i="69"/>
  <c r="V144" i="69"/>
  <c r="V149" i="69"/>
  <c r="G25" i="66" s="1"/>
  <c r="V150" i="69"/>
  <c r="G24" i="66" s="1"/>
  <c r="Z26" i="69"/>
  <c r="W26" i="69"/>
  <c r="AA26" i="69"/>
  <c r="X26" i="69"/>
  <c r="AB26" i="69"/>
  <c r="AB95" i="69" s="1"/>
  <c r="AB123" i="69" s="1"/>
  <c r="V26" i="69"/>
  <c r="Y26" i="69"/>
  <c r="Y142" i="69"/>
  <c r="Y147" i="69"/>
  <c r="Y139" i="69"/>
  <c r="Y143" i="69"/>
  <c r="Y146" i="69"/>
  <c r="Y140" i="69"/>
  <c r="Y144" i="69"/>
  <c r="Y149" i="69"/>
  <c r="J25" i="66" s="1"/>
  <c r="Y138" i="69"/>
  <c r="Y141" i="69"/>
  <c r="Y145" i="69"/>
  <c r="Y148" i="69"/>
  <c r="Y132" i="69" s="1"/>
  <c r="Z29" i="69"/>
  <c r="AA29" i="69"/>
  <c r="Y150" i="69"/>
  <c r="J24" i="66" s="1"/>
  <c r="AB29" i="69"/>
  <c r="AB98" i="69" s="1"/>
  <c r="AB126" i="69" s="1"/>
  <c r="Y29" i="69"/>
  <c r="D148" i="70"/>
  <c r="D132" i="70" s="1"/>
  <c r="D144" i="70"/>
  <c r="D140" i="70"/>
  <c r="D147" i="70"/>
  <c r="D143" i="70"/>
  <c r="D139" i="70"/>
  <c r="D150" i="70"/>
  <c r="D146" i="70"/>
  <c r="D142" i="70"/>
  <c r="D138" i="70"/>
  <c r="D149" i="70"/>
  <c r="D145" i="70"/>
  <c r="D141" i="70"/>
  <c r="I8" i="70"/>
  <c r="K8" i="70"/>
  <c r="X97" i="72"/>
  <c r="X125" i="72" s="1"/>
  <c r="Y62" i="72"/>
  <c r="AA92" i="72"/>
  <c r="AA120" i="72" s="1"/>
  <c r="AB57" i="72"/>
  <c r="X92" i="72"/>
  <c r="X120" i="72" s="1"/>
  <c r="Y57" i="72"/>
  <c r="U92" i="72"/>
  <c r="U120" i="72" s="1"/>
  <c r="V57" i="72"/>
  <c r="T91" i="73"/>
  <c r="T119" i="73" s="1"/>
  <c r="U56" i="73"/>
  <c r="Q87" i="68"/>
  <c r="Q115" i="68" s="1"/>
  <c r="U83" i="68"/>
  <c r="U111" i="68" s="1"/>
  <c r="U91" i="73"/>
  <c r="U119" i="73" s="1"/>
  <c r="V56" i="73"/>
  <c r="Y95" i="71"/>
  <c r="Y123" i="71" s="1"/>
  <c r="Z60" i="71"/>
  <c r="X94" i="71"/>
  <c r="X122" i="71" s="1"/>
  <c r="Y59" i="71"/>
  <c r="Y91" i="72"/>
  <c r="Y119" i="72" s="1"/>
  <c r="Z56" i="72"/>
  <c r="U93" i="71"/>
  <c r="U121" i="71" s="1"/>
  <c r="V58" i="71"/>
  <c r="U58" i="71"/>
  <c r="X96" i="71"/>
  <c r="X124" i="71" s="1"/>
  <c r="Y61" i="71"/>
  <c r="X61" i="71"/>
  <c r="T87" i="68"/>
  <c r="T115" i="68" s="1"/>
  <c r="AA94" i="68"/>
  <c r="AA122" i="68" s="1"/>
  <c r="AB59" i="68"/>
  <c r="S82" i="68"/>
  <c r="S110" i="68" s="1"/>
  <c r="W110" i="68"/>
  <c r="W82" i="68"/>
  <c r="AA82" i="68"/>
  <c r="AA110" i="68" s="1"/>
  <c r="Y93" i="71"/>
  <c r="Y121" i="71" s="1"/>
  <c r="Z58" i="71"/>
  <c r="M82" i="68"/>
  <c r="M110" i="68" s="1"/>
  <c r="Z95" i="68"/>
  <c r="Z123" i="68" s="1"/>
  <c r="AA60" i="68"/>
  <c r="K76" i="68"/>
  <c r="K104" i="68" s="1"/>
  <c r="AB93" i="68"/>
  <c r="AB121" i="68" s="1"/>
  <c r="K83" i="68"/>
  <c r="K111" i="68" s="1"/>
  <c r="T92" i="68"/>
  <c r="T120" i="68" s="1"/>
  <c r="U57" i="68"/>
  <c r="T57" i="68"/>
  <c r="Z98" i="68"/>
  <c r="Z126" i="68" s="1"/>
  <c r="AA63" i="68"/>
  <c r="Z63" i="68"/>
  <c r="AA99" i="68"/>
  <c r="AA127" i="68" s="1"/>
  <c r="AA64" i="68"/>
  <c r="AB64" i="68"/>
  <c r="O78" i="70"/>
  <c r="P43" i="70"/>
  <c r="G78" i="70"/>
  <c r="H43" i="70"/>
  <c r="R78" i="70"/>
  <c r="S43" i="70"/>
  <c r="E78" i="70"/>
  <c r="F43" i="70"/>
  <c r="M78" i="70"/>
  <c r="N43" i="70"/>
  <c r="T78" i="70"/>
  <c r="U43" i="70"/>
  <c r="J82" i="70"/>
  <c r="J110" i="70" s="1"/>
  <c r="K47" i="70"/>
  <c r="I82" i="70"/>
  <c r="I110" i="70" s="1"/>
  <c r="J47" i="70"/>
  <c r="AA82" i="70"/>
  <c r="AB47" i="70"/>
  <c r="AB82" i="70"/>
  <c r="AB110" i="70" s="1"/>
  <c r="L82" i="70"/>
  <c r="L110" i="70" s="1"/>
  <c r="M47" i="70"/>
  <c r="M86" i="69"/>
  <c r="M114" i="69" s="1"/>
  <c r="P86" i="70"/>
  <c r="P114" i="70" s="1"/>
  <c r="Q51" i="70"/>
  <c r="M86" i="70"/>
  <c r="M114" i="70" s="1"/>
  <c r="N51" i="70"/>
  <c r="W86" i="70"/>
  <c r="X51" i="70"/>
  <c r="R86" i="70"/>
  <c r="S51" i="70"/>
  <c r="AB90" i="69"/>
  <c r="AB118" i="69" s="1"/>
  <c r="W90" i="70"/>
  <c r="W118" i="70" s="1"/>
  <c r="X55" i="70"/>
  <c r="S90" i="70"/>
  <c r="T55" i="70"/>
  <c r="X90" i="70"/>
  <c r="Y55" i="70"/>
  <c r="W79" i="70"/>
  <c r="X44" i="70"/>
  <c r="AA80" i="70"/>
  <c r="AB45" i="70"/>
  <c r="AA79" i="70"/>
  <c r="AB44" i="70"/>
  <c r="M79" i="70"/>
  <c r="M107" i="70" s="1"/>
  <c r="N44" i="70"/>
  <c r="V79" i="70"/>
  <c r="W44" i="70"/>
  <c r="AA83" i="70"/>
  <c r="AB48" i="70"/>
  <c r="N80" i="70"/>
  <c r="O45" i="70"/>
  <c r="L80" i="70"/>
  <c r="L108" i="70" s="1"/>
  <c r="M45" i="70"/>
  <c r="O80" i="70"/>
  <c r="P45" i="70"/>
  <c r="N76" i="70"/>
  <c r="N104" i="70" s="1"/>
  <c r="O41" i="70"/>
  <c r="C164" i="69"/>
  <c r="C162" i="69"/>
  <c r="C158" i="69"/>
  <c r="C160" i="69"/>
  <c r="C157" i="69"/>
  <c r="C165" i="69"/>
  <c r="C163" i="69"/>
  <c r="C156" i="69"/>
  <c r="C153" i="69"/>
  <c r="C161" i="69"/>
  <c r="C155" i="69"/>
  <c r="C159" i="69"/>
  <c r="C154" i="69"/>
  <c r="S76" i="70"/>
  <c r="T41" i="70"/>
  <c r="D41" i="70"/>
  <c r="V76" i="70"/>
  <c r="W41" i="70"/>
  <c r="AA76" i="70"/>
  <c r="AA104" i="70" s="1"/>
  <c r="AB41" i="70"/>
  <c r="Q76" i="70"/>
  <c r="Q104" i="70" s="1"/>
  <c r="R41" i="70"/>
  <c r="G76" i="70"/>
  <c r="G104" i="70" s="1"/>
  <c r="H41" i="70"/>
  <c r="X88" i="70"/>
  <c r="Y53" i="70"/>
  <c r="Q88" i="70"/>
  <c r="Q116" i="70" s="1"/>
  <c r="R53" i="70"/>
  <c r="Y79" i="70"/>
  <c r="Y107" i="70" s="1"/>
  <c r="Z44" i="70"/>
  <c r="R84" i="70"/>
  <c r="S49" i="70"/>
  <c r="X84" i="70"/>
  <c r="Y49" i="70"/>
  <c r="N84" i="69"/>
  <c r="N112" i="69" s="1"/>
  <c r="X83" i="70"/>
  <c r="X111" i="70" s="1"/>
  <c r="Y48" i="70"/>
  <c r="O83" i="70"/>
  <c r="O111" i="70" s="1"/>
  <c r="P48" i="70"/>
  <c r="X80" i="70"/>
  <c r="X108" i="70" s="1"/>
  <c r="Y45" i="70"/>
  <c r="W85" i="70"/>
  <c r="S85" i="70"/>
  <c r="T50" i="70"/>
  <c r="N77" i="70"/>
  <c r="N105" i="70" s="1"/>
  <c r="O42" i="70"/>
  <c r="O77" i="70"/>
  <c r="P42" i="70"/>
  <c r="AB77" i="70"/>
  <c r="AB105" i="70" s="1"/>
  <c r="V77" i="70"/>
  <c r="W42" i="70"/>
  <c r="H77" i="70"/>
  <c r="AB87" i="70"/>
  <c r="AB115" i="70" s="1"/>
  <c r="Z80" i="69"/>
  <c r="Z108" i="69" s="1"/>
  <c r="O87" i="70"/>
  <c r="O115" i="70" s="1"/>
  <c r="P52" i="70"/>
  <c r="X87" i="70"/>
  <c r="X115" i="70" s="1"/>
  <c r="Y52" i="70"/>
  <c r="S87" i="70"/>
  <c r="S115" i="70" s="1"/>
  <c r="T52" i="70"/>
  <c r="Z117" i="69"/>
  <c r="Z89" i="69"/>
  <c r="X76" i="69"/>
  <c r="X104" i="69" s="1"/>
  <c r="AB79" i="70"/>
  <c r="AB107" i="70" s="1"/>
  <c r="L79" i="69"/>
  <c r="L107" i="69" s="1"/>
  <c r="E78" i="68"/>
  <c r="E106" i="68" s="1"/>
  <c r="F78" i="68"/>
  <c r="F106" i="68" s="1"/>
  <c r="P78" i="68"/>
  <c r="P106" i="68" s="1"/>
  <c r="Z78" i="68"/>
  <c r="Z106" i="68" s="1"/>
  <c r="X89" i="70"/>
  <c r="Y54" i="70"/>
  <c r="Y89" i="70"/>
  <c r="Y117" i="70" s="1"/>
  <c r="Z54" i="70"/>
  <c r="O84" i="70"/>
  <c r="O112" i="70" s="1"/>
  <c r="S54" i="70"/>
  <c r="U84" i="70"/>
  <c r="U112" i="70" s="1"/>
  <c r="V49" i="70"/>
  <c r="Z89" i="70"/>
  <c r="AA54" i="70"/>
  <c r="V88" i="70"/>
  <c r="V116" i="70" s="1"/>
  <c r="W53" i="70"/>
  <c r="M81" i="69"/>
  <c r="M109" i="69" s="1"/>
  <c r="W86" i="68"/>
  <c r="W114" i="68" s="1"/>
  <c r="J81" i="70"/>
  <c r="K46" i="70"/>
  <c r="V81" i="70"/>
  <c r="V109" i="70" s="1"/>
  <c r="W46" i="70"/>
  <c r="X81" i="70"/>
  <c r="Y46" i="70"/>
  <c r="R81" i="70"/>
  <c r="R109" i="70" s="1"/>
  <c r="S46" i="70"/>
  <c r="R81" i="69"/>
  <c r="R109" i="69" s="1"/>
  <c r="V86" i="68"/>
  <c r="V114" i="68" s="1"/>
  <c r="J81" i="69"/>
  <c r="J109" i="69" s="1"/>
  <c r="S109" i="69"/>
  <c r="S81" i="69"/>
  <c r="Y84" i="70"/>
  <c r="Y112" i="70" s="1"/>
  <c r="R116" i="70"/>
  <c r="R88" i="70"/>
  <c r="S53" i="70"/>
  <c r="P88" i="70"/>
  <c r="P116" i="70" s="1"/>
  <c r="Q53" i="70"/>
  <c r="AA86" i="68"/>
  <c r="AA114" i="68" s="1"/>
  <c r="N81" i="70"/>
  <c r="N109" i="70" s="1"/>
  <c r="O46" i="70"/>
  <c r="G77" i="70"/>
  <c r="G105" i="70" s="1"/>
  <c r="H42" i="70"/>
  <c r="R77" i="70"/>
  <c r="R105" i="70" s="1"/>
  <c r="S42" i="70"/>
  <c r="T79" i="68"/>
  <c r="T107" i="68" s="1"/>
  <c r="M78" i="68"/>
  <c r="M106" i="68" s="1"/>
  <c r="M85" i="69"/>
  <c r="M113" i="69" s="1"/>
  <c r="AB50" i="70"/>
  <c r="U90" i="68"/>
  <c r="U118" i="68" s="1"/>
  <c r="M84" i="68"/>
  <c r="M112" i="68" s="1"/>
  <c r="V80" i="68"/>
  <c r="V108" i="68" s="1"/>
  <c r="Y80" i="68"/>
  <c r="Y108" i="68" s="1"/>
  <c r="P80" i="68"/>
  <c r="P108" i="68" s="1"/>
  <c r="G79" i="68"/>
  <c r="G107" i="68" s="1"/>
  <c r="AA79" i="68"/>
  <c r="AA107" i="68" s="1"/>
  <c r="R79" i="68"/>
  <c r="R107" i="68" s="1"/>
  <c r="H79" i="68"/>
  <c r="H107" i="68" s="1"/>
  <c r="O85" i="70"/>
  <c r="O113" i="70" s="1"/>
  <c r="T91" i="70"/>
  <c r="T119" i="70" s="1"/>
  <c r="U56" i="70"/>
  <c r="R91" i="70"/>
  <c r="R119" i="70" s="1"/>
  <c r="S56" i="70"/>
  <c r="U91" i="70"/>
  <c r="U119" i="70" s="1"/>
  <c r="V56" i="70"/>
  <c r="V150" i="70"/>
  <c r="G26" i="66" s="1"/>
  <c r="V146" i="70"/>
  <c r="V142" i="70"/>
  <c r="V138" i="70"/>
  <c r="V149" i="70"/>
  <c r="G27" i="66" s="1"/>
  <c r="V145" i="70"/>
  <c r="V141" i="70"/>
  <c r="V148" i="70"/>
  <c r="V144" i="70"/>
  <c r="V140" i="70"/>
  <c r="V147" i="70"/>
  <c r="V143" i="70"/>
  <c r="V139" i="70"/>
  <c r="AB148" i="70"/>
  <c r="AB144" i="70"/>
  <c r="AB140" i="70"/>
  <c r="AB147" i="70"/>
  <c r="AB143" i="70"/>
  <c r="AB139" i="70"/>
  <c r="AB150" i="70"/>
  <c r="M26" i="66" s="1"/>
  <c r="AB146" i="70"/>
  <c r="AB142" i="70"/>
  <c r="AB138" i="70"/>
  <c r="AB149" i="70"/>
  <c r="M27" i="66" s="1"/>
  <c r="AB145" i="70"/>
  <c r="AB141" i="70"/>
  <c r="P142" i="68"/>
  <c r="P146" i="68"/>
  <c r="P145" i="68"/>
  <c r="P141" i="68"/>
  <c r="P138" i="68"/>
  <c r="P144" i="68"/>
  <c r="P140" i="68"/>
  <c r="P148" i="68"/>
  <c r="P132" i="68" s="1"/>
  <c r="P143" i="68"/>
  <c r="P139" i="68"/>
  <c r="P147" i="68"/>
  <c r="W92" i="73"/>
  <c r="W120" i="73" s="1"/>
  <c r="X57" i="73"/>
  <c r="U92" i="73"/>
  <c r="U120" i="73" s="1"/>
  <c r="V57" i="73"/>
  <c r="S83" i="68"/>
  <c r="S111" i="68" s="1"/>
  <c r="Y94" i="71"/>
  <c r="Y122" i="71" s="1"/>
  <c r="Z59" i="71"/>
  <c r="AA92" i="71"/>
  <c r="AA120" i="71" s="1"/>
  <c r="AB57" i="71"/>
  <c r="X94" i="68"/>
  <c r="X122" i="68" s="1"/>
  <c r="Y59" i="68"/>
  <c r="AB98" i="68"/>
  <c r="AB126" i="68" s="1"/>
  <c r="X95" i="68"/>
  <c r="X123" i="68" s="1"/>
  <c r="Y60" i="68"/>
  <c r="W94" i="68"/>
  <c r="W122" i="68" s="1"/>
  <c r="X59" i="68"/>
  <c r="H142" i="68"/>
  <c r="H146" i="68"/>
  <c r="H145" i="68"/>
  <c r="H141" i="68"/>
  <c r="H138" i="68"/>
  <c r="H144" i="68"/>
  <c r="H140" i="68"/>
  <c r="H148" i="68"/>
  <c r="H132" i="68" s="1"/>
  <c r="H143" i="68"/>
  <c r="H139" i="68"/>
  <c r="H147" i="68"/>
  <c r="Z94" i="72"/>
  <c r="Z122" i="72" s="1"/>
  <c r="AA59" i="72"/>
  <c r="Y94" i="72"/>
  <c r="Y122" i="72" s="1"/>
  <c r="Z59" i="72"/>
  <c r="W93" i="73"/>
  <c r="W121" i="73" s="1"/>
  <c r="X58" i="73"/>
  <c r="V91" i="73"/>
  <c r="V119" i="73" s="1"/>
  <c r="W56" i="73"/>
  <c r="Y87" i="68"/>
  <c r="Y115" i="68" s="1"/>
  <c r="X91" i="68"/>
  <c r="X119" i="68" s="1"/>
  <c r="AA91" i="68"/>
  <c r="AA119" i="68" s="1"/>
  <c r="AB56" i="68"/>
  <c r="L142" i="68"/>
  <c r="L146" i="68"/>
  <c r="L145" i="68"/>
  <c r="L141" i="68"/>
  <c r="L138" i="68"/>
  <c r="L144" i="68"/>
  <c r="L140" i="68"/>
  <c r="L148" i="68"/>
  <c r="L132" i="68" s="1"/>
  <c r="L143" i="68"/>
  <c r="L139" i="68"/>
  <c r="L147" i="68"/>
  <c r="O140" i="69"/>
  <c r="O144" i="69"/>
  <c r="O149" i="69"/>
  <c r="O138" i="69"/>
  <c r="O141" i="69"/>
  <c r="O145" i="69"/>
  <c r="O148" i="69"/>
  <c r="O132" i="69" s="1"/>
  <c r="O142" i="69"/>
  <c r="O147" i="69"/>
  <c r="O139" i="69"/>
  <c r="O143" i="69"/>
  <c r="O146" i="69"/>
  <c r="AA19" i="69"/>
  <c r="AB19" i="69"/>
  <c r="O150" i="69"/>
  <c r="Q19" i="69"/>
  <c r="Q88" i="69" s="1"/>
  <c r="Q116" i="69" s="1"/>
  <c r="V19" i="69"/>
  <c r="Y95" i="72"/>
  <c r="Y123" i="72" s="1"/>
  <c r="Z60" i="72"/>
  <c r="Z95" i="72"/>
  <c r="Z123" i="72" s="1"/>
  <c r="AA60" i="72"/>
  <c r="X96" i="72"/>
  <c r="X124" i="72" s="1"/>
  <c r="Y61" i="72"/>
  <c r="X93" i="72"/>
  <c r="X121" i="72" s="1"/>
  <c r="Y58" i="72"/>
  <c r="Y93" i="72"/>
  <c r="Y121" i="72" s="1"/>
  <c r="Z58" i="72"/>
  <c r="AA98" i="72"/>
  <c r="AA126" i="72" s="1"/>
  <c r="AB63" i="72"/>
  <c r="W87" i="69"/>
  <c r="W115" i="69" s="1"/>
  <c r="U87" i="68"/>
  <c r="U115" i="68" s="1"/>
  <c r="X95" i="71"/>
  <c r="X123" i="71" s="1"/>
  <c r="Y60" i="71"/>
  <c r="W94" i="71"/>
  <c r="W122" i="71" s="1"/>
  <c r="X59" i="71"/>
  <c r="AA95" i="68"/>
  <c r="AA123" i="68" s="1"/>
  <c r="AB60" i="68"/>
  <c r="W91" i="69"/>
  <c r="W119" i="69" s="1"/>
  <c r="X56" i="69"/>
  <c r="V91" i="69"/>
  <c r="V119" i="69" s="1"/>
  <c r="W56" i="69"/>
  <c r="X91" i="69"/>
  <c r="X119" i="69" s="1"/>
  <c r="Y56" i="69"/>
  <c r="W140" i="69"/>
  <c r="W144" i="69"/>
  <c r="W149" i="69"/>
  <c r="H25" i="66" s="1"/>
  <c r="W138" i="69"/>
  <c r="W141" i="69"/>
  <c r="W145" i="69"/>
  <c r="W148" i="69"/>
  <c r="W132" i="69" s="1"/>
  <c r="W142" i="69"/>
  <c r="W147" i="69"/>
  <c r="W139" i="69"/>
  <c r="W143" i="69"/>
  <c r="W146" i="69"/>
  <c r="X27" i="69"/>
  <c r="AB27" i="69"/>
  <c r="AB96" i="69" s="1"/>
  <c r="AB124" i="69" s="1"/>
  <c r="W150" i="69"/>
  <c r="H24" i="66" s="1"/>
  <c r="Y27" i="69"/>
  <c r="W27" i="69"/>
  <c r="Z27" i="69"/>
  <c r="AA27" i="69"/>
  <c r="U142" i="69"/>
  <c r="U147" i="69"/>
  <c r="U139" i="69"/>
  <c r="U143" i="69"/>
  <c r="U146" i="69"/>
  <c r="U140" i="69"/>
  <c r="U144" i="69"/>
  <c r="U149" i="69"/>
  <c r="F25" i="66" s="1"/>
  <c r="U138" i="69"/>
  <c r="U141" i="69"/>
  <c r="U145" i="69"/>
  <c r="U148" i="69"/>
  <c r="U132" i="69" s="1"/>
  <c r="W25" i="69"/>
  <c r="AA25" i="69"/>
  <c r="X25" i="69"/>
  <c r="AB25" i="69"/>
  <c r="AB94" i="69" s="1"/>
  <c r="AB122" i="69" s="1"/>
  <c r="Y25" i="69"/>
  <c r="U150" i="69"/>
  <c r="F24" i="66" s="1"/>
  <c r="V25" i="69"/>
  <c r="Z25" i="69"/>
  <c r="U25" i="69"/>
  <c r="AA99" i="72"/>
  <c r="AA127" i="72" s="1"/>
  <c r="AB64" i="72"/>
  <c r="Z97" i="72"/>
  <c r="Z125" i="72" s="1"/>
  <c r="AA62" i="72"/>
  <c r="S92" i="72"/>
  <c r="S120" i="72" s="1"/>
  <c r="T57" i="72"/>
  <c r="W92" i="72"/>
  <c r="W120" i="72" s="1"/>
  <c r="X57" i="72"/>
  <c r="O86" i="68"/>
  <c r="O114" i="68" s="1"/>
  <c r="R76" i="68"/>
  <c r="R104" i="68" s="1"/>
  <c r="P115" i="68"/>
  <c r="P87" i="68"/>
  <c r="V92" i="71"/>
  <c r="V120" i="71" s="1"/>
  <c r="W57" i="71"/>
  <c r="S91" i="73"/>
  <c r="S119" i="73" s="1"/>
  <c r="S56" i="73"/>
  <c r="T56" i="73"/>
  <c r="S91" i="71"/>
  <c r="S119" i="71" s="1"/>
  <c r="S56" i="71"/>
  <c r="T56" i="71"/>
  <c r="V94" i="71"/>
  <c r="V122" i="71" s="1"/>
  <c r="W59" i="71"/>
  <c r="V59" i="71"/>
  <c r="AB100" i="71"/>
  <c r="AB128" i="71" s="1"/>
  <c r="AB65" i="71"/>
  <c r="Y97" i="71"/>
  <c r="Y125" i="71" s="1"/>
  <c r="Z62" i="71"/>
  <c r="Y62" i="71"/>
  <c r="P83" i="68"/>
  <c r="P111" i="68" s="1"/>
  <c r="Y92" i="68"/>
  <c r="Y120" i="68" s="1"/>
  <c r="Z57" i="68"/>
  <c r="M76" i="68"/>
  <c r="M104" i="68" s="1"/>
  <c r="Q76" i="68"/>
  <c r="Q104" i="68" s="1"/>
  <c r="U76" i="68"/>
  <c r="U104" i="68" s="1"/>
  <c r="W91" i="73"/>
  <c r="W119" i="73" s="1"/>
  <c r="X56" i="73"/>
  <c r="W91" i="71"/>
  <c r="W119" i="71" s="1"/>
  <c r="X56" i="71"/>
  <c r="AA95" i="71"/>
  <c r="AA123" i="71" s="1"/>
  <c r="AB60" i="71"/>
  <c r="AA91" i="72"/>
  <c r="AA119" i="72" s="1"/>
  <c r="AB56" i="72"/>
  <c r="G76" i="68"/>
  <c r="G104" i="68" s="1"/>
  <c r="Y94" i="68"/>
  <c r="Y122" i="68" s="1"/>
  <c r="Z59" i="68"/>
  <c r="AA96" i="68"/>
  <c r="AA124" i="68" s="1"/>
  <c r="AB61" i="68"/>
  <c r="U82" i="68"/>
  <c r="U110" i="68" s="1"/>
  <c r="D76" i="68"/>
  <c r="D104" i="68" s="1"/>
  <c r="U93" i="68"/>
  <c r="U121" i="68" s="1"/>
  <c r="U58" i="68"/>
  <c r="V58" i="68"/>
  <c r="X96" i="68"/>
  <c r="X124" i="68" s="1"/>
  <c r="Y61" i="68"/>
  <c r="X61" i="68"/>
  <c r="AA78" i="70"/>
  <c r="AB43" i="70"/>
  <c r="S78" i="70"/>
  <c r="T43" i="70"/>
  <c r="N78" i="70"/>
  <c r="O43" i="70"/>
  <c r="Y78" i="70"/>
  <c r="Z43" i="70"/>
  <c r="I78" i="70"/>
  <c r="J43" i="70"/>
  <c r="P78" i="70"/>
  <c r="Q43" i="70"/>
  <c r="AB82" i="69"/>
  <c r="AB110" i="69" s="1"/>
  <c r="Z82" i="70"/>
  <c r="Z110" i="70" s="1"/>
  <c r="AA47" i="70"/>
  <c r="Y82" i="70"/>
  <c r="Z47" i="70"/>
  <c r="W82" i="70"/>
  <c r="X47" i="70"/>
  <c r="V82" i="70"/>
  <c r="W47" i="70"/>
  <c r="X82" i="70"/>
  <c r="X110" i="70" s="1"/>
  <c r="Y47" i="70"/>
  <c r="Y86" i="70"/>
  <c r="Z51" i="70"/>
  <c r="X86" i="70"/>
  <c r="X114" i="70" s="1"/>
  <c r="Y51" i="70"/>
  <c r="Q86" i="70"/>
  <c r="Q114" i="70" s="1"/>
  <c r="R51" i="70"/>
  <c r="N86" i="70"/>
  <c r="N114" i="70" s="1"/>
  <c r="O51" i="70"/>
  <c r="V90" i="70"/>
  <c r="W55" i="70"/>
  <c r="Z90" i="70"/>
  <c r="AA55" i="70"/>
  <c r="T90" i="70"/>
  <c r="U55" i="70"/>
  <c r="C156" i="71"/>
  <c r="C163" i="71"/>
  <c r="C159" i="71"/>
  <c r="C155" i="71"/>
  <c r="C162" i="71"/>
  <c r="C158" i="71"/>
  <c r="C153" i="71"/>
  <c r="C165" i="71"/>
  <c r="C161" i="71"/>
  <c r="C157" i="71"/>
  <c r="C164" i="71"/>
  <c r="C160" i="71"/>
  <c r="C154" i="71"/>
  <c r="Q88" i="68"/>
  <c r="Q116" i="68" s="1"/>
  <c r="W80" i="70"/>
  <c r="X45" i="70"/>
  <c r="P79" i="70"/>
  <c r="P107" i="70" s="1"/>
  <c r="Q44" i="70"/>
  <c r="Y80" i="70"/>
  <c r="Z45" i="70"/>
  <c r="X79" i="70"/>
  <c r="X107" i="70" s="1"/>
  <c r="Y44" i="70"/>
  <c r="T79" i="70"/>
  <c r="U44" i="70"/>
  <c r="M83" i="70"/>
  <c r="M111" i="70" s="1"/>
  <c r="N48" i="70"/>
  <c r="K83" i="70"/>
  <c r="L48" i="70"/>
  <c r="M80" i="70"/>
  <c r="M108" i="70" s="1"/>
  <c r="N45" i="70"/>
  <c r="J80" i="70"/>
  <c r="K45" i="70"/>
  <c r="L79" i="70"/>
  <c r="L107" i="70" s="1"/>
  <c r="M44" i="70"/>
  <c r="Y76" i="70"/>
  <c r="Z41" i="70"/>
  <c r="J76" i="70"/>
  <c r="J104" i="70" s="1"/>
  <c r="K41" i="70"/>
  <c r="I76" i="70"/>
  <c r="J41" i="70"/>
  <c r="U76" i="70"/>
  <c r="U104" i="70" s="1"/>
  <c r="V41" i="70"/>
  <c r="K76" i="70"/>
  <c r="K104" i="70" s="1"/>
  <c r="L41" i="70"/>
  <c r="AB76" i="70"/>
  <c r="AB104" i="70" s="1"/>
  <c r="O88" i="70"/>
  <c r="O116" i="70" s="1"/>
  <c r="P53" i="70"/>
  <c r="O88" i="69"/>
  <c r="O116" i="69" s="1"/>
  <c r="S79" i="70"/>
  <c r="S107" i="70" s="1"/>
  <c r="T44" i="70"/>
  <c r="S84" i="70"/>
  <c r="T49" i="70"/>
  <c r="Q84" i="70"/>
  <c r="Q112" i="70" s="1"/>
  <c r="R49" i="70"/>
  <c r="K84" i="70"/>
  <c r="K112" i="70" s="1"/>
  <c r="L49" i="70"/>
  <c r="Q83" i="70"/>
  <c r="Q111" i="70" s="1"/>
  <c r="R48" i="70"/>
  <c r="R111" i="70"/>
  <c r="R83" i="70"/>
  <c r="S48" i="70"/>
  <c r="S87" i="69"/>
  <c r="S115" i="69" s="1"/>
  <c r="R80" i="70"/>
  <c r="R108" i="70" s="1"/>
  <c r="S45" i="70"/>
  <c r="R116" i="68"/>
  <c r="R88" i="68"/>
  <c r="S50" i="70"/>
  <c r="Q85" i="70"/>
  <c r="U77" i="70"/>
  <c r="V42" i="70"/>
  <c r="Z77" i="70"/>
  <c r="AA42" i="70"/>
  <c r="L77" i="70"/>
  <c r="M42" i="70"/>
  <c r="F77" i="70"/>
  <c r="G42" i="70"/>
  <c r="O79" i="69"/>
  <c r="O107" i="69" s="1"/>
  <c r="L80" i="69"/>
  <c r="L108" i="69" s="1"/>
  <c r="T87" i="70"/>
  <c r="U52" i="70"/>
  <c r="W87" i="70"/>
  <c r="X52" i="70"/>
  <c r="R87" i="70"/>
  <c r="S52" i="70"/>
  <c r="N87" i="70"/>
  <c r="N115" i="70" s="1"/>
  <c r="O52" i="70"/>
  <c r="G79" i="69"/>
  <c r="G107" i="69" s="1"/>
  <c r="U79" i="69"/>
  <c r="U107" i="69" s="1"/>
  <c r="R78" i="68"/>
  <c r="R106" i="68" s="1"/>
  <c r="V78" i="68"/>
  <c r="V106" i="68" s="1"/>
  <c r="I78" i="68"/>
  <c r="I106" i="68" s="1"/>
  <c r="O78" i="68"/>
  <c r="O106" i="68" s="1"/>
  <c r="P89" i="70"/>
  <c r="P117" i="70" s="1"/>
  <c r="V89" i="70"/>
  <c r="AA84" i="70"/>
  <c r="AA112" i="70" s="1"/>
  <c r="S84" i="69"/>
  <c r="S112" i="69" s="1"/>
  <c r="T78" i="68"/>
  <c r="T106" i="68" s="1"/>
  <c r="P84" i="69"/>
  <c r="P112" i="69" s="1"/>
  <c r="W83" i="70"/>
  <c r="X48" i="70"/>
  <c r="M83" i="69"/>
  <c r="M111" i="69" s="1"/>
  <c r="O81" i="70"/>
  <c r="P46" i="70"/>
  <c r="Z86" i="68"/>
  <c r="Z114" i="68" s="1"/>
  <c r="I81" i="70"/>
  <c r="I109" i="70" s="1"/>
  <c r="J46" i="70"/>
  <c r="Z81" i="70"/>
  <c r="AA46" i="70"/>
  <c r="Q81" i="70"/>
  <c r="Q109" i="70" s="1"/>
  <c r="R46" i="70"/>
  <c r="T81" i="70"/>
  <c r="U46" i="70"/>
  <c r="K81" i="70"/>
  <c r="K109" i="70" s="1"/>
  <c r="L46" i="70"/>
  <c r="M86" i="68"/>
  <c r="M114" i="68" s="1"/>
  <c r="X80" i="69"/>
  <c r="X108" i="69" s="1"/>
  <c r="AB88" i="70"/>
  <c r="AB116" i="70" s="1"/>
  <c r="T86" i="68"/>
  <c r="T114" i="68" s="1"/>
  <c r="N86" i="68"/>
  <c r="N114" i="68" s="1"/>
  <c r="P81" i="70"/>
  <c r="P109" i="70" s="1"/>
  <c r="Q46" i="70"/>
  <c r="U80" i="70"/>
  <c r="U108" i="70" s="1"/>
  <c r="V45" i="70"/>
  <c r="Z79" i="68"/>
  <c r="Z107" i="68" s="1"/>
  <c r="W79" i="68"/>
  <c r="W107" i="68" s="1"/>
  <c r="V79" i="68"/>
  <c r="V107" i="68" s="1"/>
  <c r="P79" i="68"/>
  <c r="P107" i="68" s="1"/>
  <c r="M85" i="70"/>
  <c r="M113" i="70" s="1"/>
  <c r="N50" i="70"/>
  <c r="Q90" i="68"/>
  <c r="Q118" i="68" s="1"/>
  <c r="M84" i="70"/>
  <c r="M112" i="70" s="1"/>
  <c r="N49" i="70"/>
  <c r="V84" i="68"/>
  <c r="V112" i="68" s="1"/>
  <c r="Z84" i="68"/>
  <c r="Z112" i="68" s="1"/>
  <c r="S78" i="68"/>
  <c r="S106" i="68" s="1"/>
  <c r="O79" i="68"/>
  <c r="O107" i="68" s="1"/>
  <c r="T85" i="70"/>
  <c r="T113" i="70" s="1"/>
  <c r="C162" i="72"/>
  <c r="C158" i="72"/>
  <c r="C154" i="72"/>
  <c r="C165" i="72"/>
  <c r="C161" i="72"/>
  <c r="C157" i="72"/>
  <c r="C153" i="72"/>
  <c r="C164" i="72"/>
  <c r="C160" i="72"/>
  <c r="C156" i="72"/>
  <c r="C163" i="72"/>
  <c r="C159" i="72"/>
  <c r="C155" i="72"/>
  <c r="AA91" i="70"/>
  <c r="AA119" i="70" s="1"/>
  <c r="AB56" i="70"/>
  <c r="Z91" i="70"/>
  <c r="Z119" i="70" s="1"/>
  <c r="AA56" i="70"/>
  <c r="AA147" i="70"/>
  <c r="AA143" i="70"/>
  <c r="AA139" i="70"/>
  <c r="AA150" i="70"/>
  <c r="L26" i="66" s="1"/>
  <c r="AA146" i="70"/>
  <c r="AA142" i="70"/>
  <c r="AA138" i="70"/>
  <c r="AA149" i="70"/>
  <c r="L27" i="66" s="1"/>
  <c r="AA145" i="70"/>
  <c r="AA141" i="70"/>
  <c r="AA148" i="70"/>
  <c r="AA144" i="70"/>
  <c r="AA140" i="70"/>
  <c r="X148" i="70"/>
  <c r="X144" i="70"/>
  <c r="X140" i="70"/>
  <c r="X147" i="70"/>
  <c r="X143" i="70"/>
  <c r="X139" i="70"/>
  <c r="X150" i="70"/>
  <c r="I26" i="66" s="1"/>
  <c r="X146" i="70"/>
  <c r="X142" i="70"/>
  <c r="X138" i="70"/>
  <c r="X149" i="70"/>
  <c r="I27" i="66" s="1"/>
  <c r="X145" i="70"/>
  <c r="X141" i="70"/>
  <c r="H148" i="70"/>
  <c r="H132" i="70" s="1"/>
  <c r="H144" i="70"/>
  <c r="H140" i="70"/>
  <c r="H147" i="70"/>
  <c r="H143" i="70"/>
  <c r="H139" i="70"/>
  <c r="H150" i="70"/>
  <c r="H146" i="70"/>
  <c r="H142" i="70"/>
  <c r="H138" i="70"/>
  <c r="H149" i="70"/>
  <c r="H145" i="70"/>
  <c r="H141" i="70"/>
  <c r="O147" i="70"/>
  <c r="O143" i="70"/>
  <c r="O139" i="70"/>
  <c r="O150" i="70"/>
  <c r="O146" i="70"/>
  <c r="O142" i="70"/>
  <c r="O138" i="70"/>
  <c r="O149" i="70"/>
  <c r="O145" i="70"/>
  <c r="O141" i="70"/>
  <c r="O148" i="70"/>
  <c r="O132" i="70" s="1"/>
  <c r="O144" i="70"/>
  <c r="O140" i="70"/>
  <c r="T19" i="70"/>
  <c r="T53" i="70" s="1"/>
  <c r="T91" i="72"/>
  <c r="T119" i="72" s="1"/>
  <c r="U56" i="72"/>
  <c r="T92" i="73"/>
  <c r="T120" i="73" s="1"/>
  <c r="U57" i="73"/>
  <c r="Z92" i="73"/>
  <c r="Z120" i="73" s="1"/>
  <c r="AA57" i="73"/>
  <c r="Q87" i="69"/>
  <c r="Q115" i="69" s="1"/>
  <c r="W92" i="71"/>
  <c r="W120" i="71" s="1"/>
  <c r="X57" i="71"/>
  <c r="V92" i="68"/>
  <c r="V120" i="68" s="1"/>
  <c r="W57" i="68"/>
  <c r="AB94" i="68"/>
  <c r="AB122" i="68" s="1"/>
  <c r="AA98" i="68"/>
  <c r="AA126" i="68" s="1"/>
  <c r="AB63" i="68"/>
  <c r="AB99" i="68"/>
  <c r="AB127" i="68" s="1"/>
  <c r="D139" i="69"/>
  <c r="D143" i="69"/>
  <c r="D146" i="69"/>
  <c r="D140" i="69"/>
  <c r="D144" i="69"/>
  <c r="D149" i="69"/>
  <c r="D138" i="69"/>
  <c r="D141" i="69"/>
  <c r="D145" i="69"/>
  <c r="D148" i="69"/>
  <c r="D132" i="69" s="1"/>
  <c r="D142" i="69"/>
  <c r="D147" i="69"/>
  <c r="Q8" i="69"/>
  <c r="R42" i="69" s="1"/>
  <c r="P8" i="69"/>
  <c r="F8" i="69"/>
  <c r="V8" i="69"/>
  <c r="V77" i="69" s="1"/>
  <c r="V105" i="69" s="1"/>
  <c r="O8" i="69"/>
  <c r="H8" i="69"/>
  <c r="H42" i="69" s="1"/>
  <c r="Z91" i="72"/>
  <c r="Z119" i="72" s="1"/>
  <c r="AA56" i="72"/>
  <c r="U94" i="72"/>
  <c r="U122" i="72" s="1"/>
  <c r="V59" i="72"/>
  <c r="Y93" i="73"/>
  <c r="Y121" i="73" s="1"/>
  <c r="Z58" i="73"/>
  <c r="Z93" i="73"/>
  <c r="Z121" i="73" s="1"/>
  <c r="AA58" i="73"/>
  <c r="N82" i="68"/>
  <c r="N110" i="68" s="1"/>
  <c r="Y91" i="68"/>
  <c r="Y119" i="68" s="1"/>
  <c r="Z56" i="68"/>
  <c r="T91" i="68"/>
  <c r="T119" i="68" s="1"/>
  <c r="U56" i="68"/>
  <c r="W91" i="68"/>
  <c r="W119" i="68" s="1"/>
  <c r="H139" i="69"/>
  <c r="H143" i="69"/>
  <c r="H146" i="69"/>
  <c r="H140" i="69"/>
  <c r="H144" i="69"/>
  <c r="H149" i="69"/>
  <c r="H138" i="69"/>
  <c r="H141" i="69"/>
  <c r="H145" i="69"/>
  <c r="H148" i="69"/>
  <c r="H132" i="69" s="1"/>
  <c r="H142" i="69"/>
  <c r="H147" i="69"/>
  <c r="G145" i="68"/>
  <c r="G141" i="68"/>
  <c r="G138" i="68"/>
  <c r="G144" i="68"/>
  <c r="G140" i="68"/>
  <c r="G148" i="68"/>
  <c r="G132" i="68" s="1"/>
  <c r="G143" i="68"/>
  <c r="G139" i="68"/>
  <c r="G147" i="68"/>
  <c r="G142" i="68"/>
  <c r="G146" i="68"/>
  <c r="G11" i="68"/>
  <c r="T11" i="68"/>
  <c r="K11" i="68"/>
  <c r="Q11" i="68"/>
  <c r="H11" i="68"/>
  <c r="M11" i="68"/>
  <c r="AA11" i="68"/>
  <c r="AB45" i="68" s="1"/>
  <c r="R11" i="68"/>
  <c r="S45" i="68" s="1"/>
  <c r="X11" i="68"/>
  <c r="W11" i="68"/>
  <c r="N11" i="68"/>
  <c r="X95" i="72"/>
  <c r="X123" i="72" s="1"/>
  <c r="Y60" i="72"/>
  <c r="T93" i="72"/>
  <c r="T121" i="72" s="1"/>
  <c r="U58" i="72"/>
  <c r="W93" i="72"/>
  <c r="W121" i="72" s="1"/>
  <c r="X58" i="72"/>
  <c r="U93" i="72"/>
  <c r="U121" i="72" s="1"/>
  <c r="V58" i="72"/>
  <c r="Y98" i="72"/>
  <c r="Y126" i="72" s="1"/>
  <c r="Z63" i="72"/>
  <c r="Z91" i="73"/>
  <c r="Z119" i="73" s="1"/>
  <c r="AA56" i="73"/>
  <c r="V76" i="68"/>
  <c r="V104" i="68" s="1"/>
  <c r="L76" i="68"/>
  <c r="L104" i="68" s="1"/>
  <c r="AA98" i="71"/>
  <c r="AA126" i="71" s="1"/>
  <c r="AB63" i="71"/>
  <c r="AA94" i="71"/>
  <c r="AA122" i="71" s="1"/>
  <c r="AB59" i="71"/>
  <c r="S91" i="69"/>
  <c r="S119" i="69" s="1"/>
  <c r="T56" i="69"/>
  <c r="Y91" i="69"/>
  <c r="Y119" i="69" s="1"/>
  <c r="Z56" i="69"/>
  <c r="T91" i="69"/>
  <c r="T119" i="69" s="1"/>
  <c r="U56" i="69"/>
  <c r="AB139" i="69"/>
  <c r="AB143" i="69"/>
  <c r="AB146" i="69"/>
  <c r="AB140" i="69"/>
  <c r="AB144" i="69"/>
  <c r="AB149" i="69"/>
  <c r="M25" i="66" s="1"/>
  <c r="AB138" i="69"/>
  <c r="AB141" i="69"/>
  <c r="AB145" i="69"/>
  <c r="AB148" i="69"/>
  <c r="AB132" i="69" s="1"/>
  <c r="AB142" i="69"/>
  <c r="AB147" i="69"/>
  <c r="AB32" i="69"/>
  <c r="AB101" i="69" s="1"/>
  <c r="AB129" i="69" s="1"/>
  <c r="AB150" i="69"/>
  <c r="M24" i="66" s="1"/>
  <c r="P139" i="69"/>
  <c r="P143" i="69"/>
  <c r="P146" i="69"/>
  <c r="P140" i="69"/>
  <c r="P144" i="69"/>
  <c r="P149" i="69"/>
  <c r="P138" i="69"/>
  <c r="P141" i="69"/>
  <c r="P145" i="69"/>
  <c r="P148" i="69"/>
  <c r="P132" i="69" s="1"/>
  <c r="P142" i="69"/>
  <c r="P147" i="69"/>
  <c r="W20" i="69"/>
  <c r="K147" i="70"/>
  <c r="K143" i="70"/>
  <c r="K139" i="70"/>
  <c r="K150" i="70"/>
  <c r="K146" i="70"/>
  <c r="K142" i="70"/>
  <c r="K138" i="70"/>
  <c r="K149" i="70"/>
  <c r="K145" i="70"/>
  <c r="K141" i="70"/>
  <c r="K148" i="70"/>
  <c r="K132" i="70" s="1"/>
  <c r="K144" i="70"/>
  <c r="K140" i="70"/>
  <c r="Y97" i="72"/>
  <c r="Y125" i="72" s="1"/>
  <c r="Z62" i="72"/>
  <c r="T92" i="72"/>
  <c r="T120" i="72" s="1"/>
  <c r="U57" i="72"/>
  <c r="V92" i="72"/>
  <c r="V120" i="72" s="1"/>
  <c r="W57" i="72"/>
  <c r="C149" i="70"/>
  <c r="C145" i="70"/>
  <c r="C141" i="70"/>
  <c r="C148" i="70"/>
  <c r="C132" i="70" s="1"/>
  <c r="C144" i="70"/>
  <c r="C140" i="70"/>
  <c r="C147" i="70"/>
  <c r="C143" i="70"/>
  <c r="C139" i="70"/>
  <c r="C150" i="70"/>
  <c r="C146" i="70"/>
  <c r="C142" i="70"/>
  <c r="C138" i="70"/>
  <c r="M83" i="68"/>
  <c r="M111" i="68" s="1"/>
  <c r="T110" i="68"/>
  <c r="T82" i="68"/>
  <c r="K79" i="68"/>
  <c r="K107" i="68" s="1"/>
  <c r="U91" i="72"/>
  <c r="U119" i="72" s="1"/>
  <c r="V56" i="72"/>
  <c r="Z96" i="71"/>
  <c r="Z124" i="71" s="1"/>
  <c r="AA61" i="71"/>
  <c r="W93" i="71"/>
  <c r="W121" i="71" s="1"/>
  <c r="X58" i="71"/>
  <c r="Y91" i="73"/>
  <c r="Y119" i="73" s="1"/>
  <c r="Z56" i="73"/>
  <c r="Z92" i="71"/>
  <c r="Z120" i="71" s="1"/>
  <c r="AA57" i="71"/>
  <c r="AA99" i="71"/>
  <c r="AA127" i="71" s="1"/>
  <c r="AB64" i="71"/>
  <c r="AA64" i="71"/>
  <c r="W95" i="71"/>
  <c r="W123" i="71" s="1"/>
  <c r="W60" i="71"/>
  <c r="X60" i="71"/>
  <c r="O82" i="68"/>
  <c r="O110" i="68" s="1"/>
  <c r="P83" i="70"/>
  <c r="P111" i="70" s="1"/>
  <c r="Q48" i="70"/>
  <c r="Z93" i="68"/>
  <c r="Z121" i="68" s="1"/>
  <c r="AA58" i="68"/>
  <c r="X87" i="68"/>
  <c r="X115" i="68" s="1"/>
  <c r="Y76" i="68"/>
  <c r="Y104" i="68" s="1"/>
  <c r="Z94" i="71"/>
  <c r="Z122" i="71" s="1"/>
  <c r="AA59" i="71"/>
  <c r="W120" i="68"/>
  <c r="W92" i="68"/>
  <c r="X57" i="68"/>
  <c r="AB97" i="68"/>
  <c r="AB125" i="68" s="1"/>
  <c r="Q82" i="68"/>
  <c r="Q110" i="68" s="1"/>
  <c r="Z83" i="68"/>
  <c r="Z111" i="68" s="1"/>
  <c r="J82" i="68"/>
  <c r="J110" i="68" s="1"/>
  <c r="AB100" i="68"/>
  <c r="AB128" i="68" s="1"/>
  <c r="AB65" i="68"/>
  <c r="Y97" i="68"/>
  <c r="Y125" i="68" s="1"/>
  <c r="Z62" i="68"/>
  <c r="Y62" i="68"/>
  <c r="D5" i="72"/>
  <c r="D170" i="72"/>
  <c r="D174" i="72"/>
  <c r="D178" i="72"/>
  <c r="D171" i="72"/>
  <c r="D175" i="72"/>
  <c r="D179" i="72"/>
  <c r="D169" i="72"/>
  <c r="D173" i="72"/>
  <c r="D177" i="72"/>
  <c r="D176" i="72"/>
  <c r="D180" i="72"/>
  <c r="D184" i="72" s="1"/>
  <c r="D168" i="72"/>
  <c r="D172" i="72"/>
  <c r="K78" i="70"/>
  <c r="L43" i="70"/>
  <c r="Z78" i="70"/>
  <c r="AA43" i="70"/>
  <c r="J78" i="70"/>
  <c r="K43" i="70"/>
  <c r="U78" i="70"/>
  <c r="V43" i="70"/>
  <c r="AB78" i="70"/>
  <c r="AB106" i="70" s="1"/>
  <c r="L78" i="70"/>
  <c r="M43" i="70"/>
  <c r="U82" i="70"/>
  <c r="V47" i="70"/>
  <c r="S82" i="70"/>
  <c r="S110" i="70" s="1"/>
  <c r="T47" i="70"/>
  <c r="R82" i="70"/>
  <c r="S47" i="70"/>
  <c r="Q82" i="70"/>
  <c r="R47" i="70"/>
  <c r="T82" i="70"/>
  <c r="U47" i="70"/>
  <c r="AA86" i="70"/>
  <c r="AA114" i="70" s="1"/>
  <c r="AB51" i="70"/>
  <c r="T86" i="70"/>
  <c r="U51" i="70"/>
  <c r="S86" i="70"/>
  <c r="S114" i="70" s="1"/>
  <c r="T51" i="70"/>
  <c r="Z86" i="70"/>
  <c r="AA51" i="70"/>
  <c r="Q90" i="70"/>
  <c r="Q118" i="70" s="1"/>
  <c r="R55" i="70"/>
  <c r="R90" i="70"/>
  <c r="S55" i="70"/>
  <c r="Y90" i="70"/>
  <c r="Z55" i="70"/>
  <c r="C165" i="73"/>
  <c r="C161" i="73"/>
  <c r="C157" i="73"/>
  <c r="C153" i="73"/>
  <c r="C164" i="73"/>
  <c r="C160" i="73"/>
  <c r="C156" i="73"/>
  <c r="C163" i="73"/>
  <c r="C159" i="73"/>
  <c r="C155" i="73"/>
  <c r="C162" i="73"/>
  <c r="C158" i="73"/>
  <c r="C154" i="73"/>
  <c r="P88" i="68"/>
  <c r="P116" i="68" s="1"/>
  <c r="T80" i="70"/>
  <c r="T108" i="70" s="1"/>
  <c r="U45" i="70"/>
  <c r="Q79" i="70"/>
  <c r="R44" i="70"/>
  <c r="V80" i="70"/>
  <c r="V108" i="70" s="1"/>
  <c r="W45" i="70"/>
  <c r="U79" i="70"/>
  <c r="V44" i="70"/>
  <c r="F79" i="70"/>
  <c r="F107" i="70" s="1"/>
  <c r="G44" i="70"/>
  <c r="L83" i="70"/>
  <c r="L111" i="70" s="1"/>
  <c r="M48" i="70"/>
  <c r="G80" i="70"/>
  <c r="G108" i="70" s="1"/>
  <c r="H45" i="70"/>
  <c r="S80" i="70"/>
  <c r="T45" i="70"/>
  <c r="I80" i="70"/>
  <c r="I108" i="70" s="1"/>
  <c r="J45" i="70"/>
  <c r="I79" i="70"/>
  <c r="J44" i="70"/>
  <c r="AB83" i="69"/>
  <c r="AB111" i="69" s="1"/>
  <c r="AB76" i="69"/>
  <c r="AB104" i="69" s="1"/>
  <c r="R76" i="70"/>
  <c r="S41" i="70"/>
  <c r="M76" i="70"/>
  <c r="M104" i="70" s="1"/>
  <c r="N41" i="70"/>
  <c r="D76" i="70"/>
  <c r="D104" i="70" s="1"/>
  <c r="E41" i="70"/>
  <c r="E76" i="70"/>
  <c r="E104" i="70" s="1"/>
  <c r="F41" i="70"/>
  <c r="Z76" i="70"/>
  <c r="AA41" i="70"/>
  <c r="L76" i="70"/>
  <c r="M41" i="70"/>
  <c r="S88" i="70"/>
  <c r="S116" i="70" s="1"/>
  <c r="R53" i="69"/>
  <c r="R88" i="69"/>
  <c r="O83" i="69"/>
  <c r="O111" i="69" s="1"/>
  <c r="O76" i="70"/>
  <c r="O104" i="70" s="1"/>
  <c r="P41" i="70"/>
  <c r="T84" i="70"/>
  <c r="U49" i="70"/>
  <c r="V84" i="70"/>
  <c r="W49" i="70"/>
  <c r="U84" i="69"/>
  <c r="U112" i="69" s="1"/>
  <c r="Y83" i="70"/>
  <c r="Y111" i="70" s="1"/>
  <c r="Z48" i="70"/>
  <c r="Z83" i="70"/>
  <c r="Z111" i="70" s="1"/>
  <c r="AA48" i="70"/>
  <c r="Z108" i="70"/>
  <c r="Z80" i="70"/>
  <c r="AA45" i="70"/>
  <c r="N85" i="70"/>
  <c r="O50" i="70"/>
  <c r="S77" i="70"/>
  <c r="S105" i="70" s="1"/>
  <c r="T42" i="70"/>
  <c r="E77" i="70"/>
  <c r="E105" i="70" s="1"/>
  <c r="F42" i="70"/>
  <c r="J77" i="70"/>
  <c r="J105" i="70" s="1"/>
  <c r="K42" i="70"/>
  <c r="W77" i="70"/>
  <c r="W105" i="70" s="1"/>
  <c r="X42" i="70"/>
  <c r="M77" i="70"/>
  <c r="N42" i="70"/>
  <c r="AA87" i="70"/>
  <c r="AB52" i="70"/>
  <c r="R79" i="69"/>
  <c r="R107" i="69" s="1"/>
  <c r="N79" i="69"/>
  <c r="N107" i="69" s="1"/>
  <c r="S80" i="69"/>
  <c r="S108" i="69" s="1"/>
  <c r="V87" i="70"/>
  <c r="V115" i="70" s="1"/>
  <c r="W52" i="70"/>
  <c r="P87" i="70"/>
  <c r="P115" i="70" s="1"/>
  <c r="Q52" i="70"/>
  <c r="Y87" i="70"/>
  <c r="Y115" i="70" s="1"/>
  <c r="Z52" i="70"/>
  <c r="C76" i="69"/>
  <c r="C104" i="69" s="1"/>
  <c r="C131" i="69" s="1"/>
  <c r="C134" i="69" s="1"/>
  <c r="H79" i="70"/>
  <c r="H107" i="70" s="1"/>
  <c r="I44" i="70"/>
  <c r="X78" i="68"/>
  <c r="X106" i="68" s="1"/>
  <c r="G78" i="68"/>
  <c r="G106" i="68" s="1"/>
  <c r="AB78" i="68"/>
  <c r="AB106" i="68" s="1"/>
  <c r="Y78" i="68"/>
  <c r="Y106" i="68" s="1"/>
  <c r="H78" i="68"/>
  <c r="H106" i="68" s="1"/>
  <c r="S89" i="70"/>
  <c r="S117" i="70" s="1"/>
  <c r="T54" i="70"/>
  <c r="AA117" i="70"/>
  <c r="AA89" i="70"/>
  <c r="U89" i="70"/>
  <c r="U117" i="70" s="1"/>
  <c r="V54" i="70"/>
  <c r="V83" i="70"/>
  <c r="V111" i="70" s="1"/>
  <c r="W48" i="70"/>
  <c r="N78" i="68"/>
  <c r="N106" i="68" s="1"/>
  <c r="X84" i="69"/>
  <c r="X112" i="69" s="1"/>
  <c r="N83" i="70"/>
  <c r="N111" i="70" s="1"/>
  <c r="O48" i="70"/>
  <c r="N84" i="70"/>
  <c r="O49" i="70"/>
  <c r="AA81" i="70"/>
  <c r="AA109" i="70" s="1"/>
  <c r="AB46" i="70"/>
  <c r="AB81" i="70"/>
  <c r="AB109" i="70" s="1"/>
  <c r="Y81" i="70"/>
  <c r="Z46" i="70"/>
  <c r="U81" i="70"/>
  <c r="V46" i="70"/>
  <c r="Q86" i="68"/>
  <c r="Q114" i="68" s="1"/>
  <c r="AA81" i="69"/>
  <c r="AA109" i="69" s="1"/>
  <c r="R86" i="68"/>
  <c r="R114" i="68" s="1"/>
  <c r="Q81" i="69"/>
  <c r="Q109" i="69" s="1"/>
  <c r="U88" i="69"/>
  <c r="U116" i="69" s="1"/>
  <c r="T83" i="69"/>
  <c r="T111" i="69" s="1"/>
  <c r="AA116" i="68"/>
  <c r="AA88" i="68"/>
  <c r="T77" i="70"/>
  <c r="T105" i="70" s="1"/>
  <c r="U42" i="70"/>
  <c r="J79" i="68"/>
  <c r="J107" i="68" s="1"/>
  <c r="Y79" i="68"/>
  <c r="Y107" i="68" s="1"/>
  <c r="S79" i="68"/>
  <c r="S107" i="68" s="1"/>
  <c r="T90" i="68"/>
  <c r="T118" i="68" s="1"/>
  <c r="S84" i="68"/>
  <c r="S112" i="68" s="1"/>
  <c r="W84" i="68"/>
  <c r="W112" i="68" s="1"/>
  <c r="L80" i="68"/>
  <c r="L108" i="68" s="1"/>
  <c r="Z80" i="68"/>
  <c r="Z108" i="68" s="1"/>
  <c r="U83" i="70"/>
  <c r="U111" i="70" s="1"/>
  <c r="V48" i="70"/>
  <c r="X79" i="68"/>
  <c r="X107" i="68" s="1"/>
  <c r="N79" i="68"/>
  <c r="N107" i="68" s="1"/>
  <c r="W91" i="70"/>
  <c r="W119" i="70" s="1"/>
  <c r="X56" i="70"/>
  <c r="V91" i="70"/>
  <c r="V119" i="70" s="1"/>
  <c r="W56" i="70"/>
  <c r="Z150" i="70"/>
  <c r="K26" i="66" s="1"/>
  <c r="Z146" i="70"/>
  <c r="Z142" i="70"/>
  <c r="Z138" i="70"/>
  <c r="Z149" i="70"/>
  <c r="K27" i="66" s="1"/>
  <c r="Z145" i="70"/>
  <c r="Z141" i="70"/>
  <c r="Z148" i="70"/>
  <c r="Z144" i="70"/>
  <c r="Z140" i="70"/>
  <c r="Z147" i="70"/>
  <c r="Z143" i="70"/>
  <c r="Z139" i="70"/>
  <c r="Y149" i="70"/>
  <c r="J27" i="66" s="1"/>
  <c r="Y145" i="70"/>
  <c r="Y141" i="70"/>
  <c r="Y148" i="70"/>
  <c r="Y144" i="70"/>
  <c r="Y140" i="70"/>
  <c r="Y147" i="70"/>
  <c r="Y143" i="70"/>
  <c r="Y139" i="70"/>
  <c r="Y150" i="70"/>
  <c r="J26" i="66" s="1"/>
  <c r="Y146" i="70"/>
  <c r="Y142" i="70"/>
  <c r="Y138" i="70"/>
  <c r="T148" i="70"/>
  <c r="T144" i="70"/>
  <c r="T140" i="70"/>
  <c r="T147" i="70"/>
  <c r="T143" i="70"/>
  <c r="T139" i="70"/>
  <c r="T150" i="70"/>
  <c r="E26" i="66" s="1"/>
  <c r="T146" i="70"/>
  <c r="T142" i="70"/>
  <c r="T138" i="70"/>
  <c r="T149" i="70"/>
  <c r="E27" i="66" s="1"/>
  <c r="T145" i="70"/>
  <c r="T141" i="70"/>
  <c r="D142" i="68"/>
  <c r="D146" i="68"/>
  <c r="D145" i="68"/>
  <c r="D141" i="68"/>
  <c r="D138" i="68"/>
  <c r="D144" i="68"/>
  <c r="D140" i="68"/>
  <c r="D148" i="68"/>
  <c r="D132" i="68" s="1"/>
  <c r="D143" i="68"/>
  <c r="D139" i="68"/>
  <c r="D147" i="68"/>
  <c r="T91" i="71"/>
  <c r="T119" i="71" s="1"/>
  <c r="U56" i="71"/>
  <c r="K140" i="69"/>
  <c r="K144" i="69"/>
  <c r="K149" i="69"/>
  <c r="K138" i="69"/>
  <c r="K141" i="69"/>
  <c r="K145" i="69"/>
  <c r="K148" i="69"/>
  <c r="K132" i="69" s="1"/>
  <c r="K142" i="69"/>
  <c r="K147" i="69"/>
  <c r="K139" i="69"/>
  <c r="K143" i="69"/>
  <c r="K146" i="69"/>
  <c r="AB15" i="69"/>
  <c r="V91" i="72"/>
  <c r="V119" i="72" s="1"/>
  <c r="W56" i="72"/>
  <c r="AA92" i="73"/>
  <c r="AA120" i="73" s="1"/>
  <c r="AB57" i="73"/>
  <c r="V92" i="73"/>
  <c r="V120" i="73" s="1"/>
  <c r="W57" i="73"/>
  <c r="E76" i="68"/>
  <c r="E104" i="68" s="1"/>
  <c r="R82" i="68"/>
  <c r="R110" i="68" s="1"/>
  <c r="AA96" i="71"/>
  <c r="AA124" i="71" s="1"/>
  <c r="AB61" i="71"/>
  <c r="X93" i="71"/>
  <c r="X121" i="71" s="1"/>
  <c r="Y58" i="71"/>
  <c r="Z96" i="68"/>
  <c r="Z124" i="68" s="1"/>
  <c r="AA61" i="68"/>
  <c r="W93" i="68"/>
  <c r="W121" i="68" s="1"/>
  <c r="X58" i="68"/>
  <c r="Z92" i="68"/>
  <c r="Z120" i="68" s="1"/>
  <c r="AA57" i="68"/>
  <c r="Y96" i="68"/>
  <c r="Y124" i="68" s="1"/>
  <c r="Z61" i="68"/>
  <c r="U92" i="68"/>
  <c r="U120" i="68" s="1"/>
  <c r="V57" i="68"/>
  <c r="X91" i="71"/>
  <c r="X119" i="71" s="1"/>
  <c r="Y56" i="71"/>
  <c r="O145" i="68"/>
  <c r="O141" i="68"/>
  <c r="O138" i="68"/>
  <c r="O144" i="68"/>
  <c r="O140" i="68"/>
  <c r="O148" i="68"/>
  <c r="O132" i="68" s="1"/>
  <c r="O143" i="68"/>
  <c r="O139" i="68"/>
  <c r="O147" i="68"/>
  <c r="O142" i="68"/>
  <c r="O146" i="68"/>
  <c r="V94" i="72"/>
  <c r="V122" i="72" s="1"/>
  <c r="W59" i="72"/>
  <c r="W94" i="72"/>
  <c r="W122" i="72" s="1"/>
  <c r="X59" i="72"/>
  <c r="X94" i="72"/>
  <c r="X122" i="72" s="1"/>
  <c r="Y59" i="72"/>
  <c r="U93" i="73"/>
  <c r="U121" i="73" s="1"/>
  <c r="V58" i="73"/>
  <c r="X93" i="73"/>
  <c r="X121" i="73" s="1"/>
  <c r="Y58" i="73"/>
  <c r="V93" i="73"/>
  <c r="V121" i="73" s="1"/>
  <c r="W58" i="73"/>
  <c r="Q79" i="68"/>
  <c r="Q107" i="68" s="1"/>
  <c r="U119" i="68"/>
  <c r="U91" i="68"/>
  <c r="V56" i="68"/>
  <c r="V91" i="71"/>
  <c r="V119" i="71" s="1"/>
  <c r="W56" i="71"/>
  <c r="V95" i="72"/>
  <c r="V123" i="72" s="1"/>
  <c r="W60" i="72"/>
  <c r="AA95" i="72"/>
  <c r="AA123" i="72" s="1"/>
  <c r="AB60" i="72"/>
  <c r="W96" i="72"/>
  <c r="W124" i="72" s="1"/>
  <c r="X61" i="72"/>
  <c r="Z96" i="72"/>
  <c r="Z124" i="72" s="1"/>
  <c r="AA61" i="72"/>
  <c r="N38" i="66"/>
  <c r="Z93" i="72"/>
  <c r="Z121" i="72" s="1"/>
  <c r="AA58" i="72"/>
  <c r="F76" i="68"/>
  <c r="F104" i="68" s="1"/>
  <c r="U92" i="71"/>
  <c r="U120" i="71" s="1"/>
  <c r="V57" i="71"/>
  <c r="Y96" i="71"/>
  <c r="Y124" i="71" s="1"/>
  <c r="Z61" i="71"/>
  <c r="Y92" i="71"/>
  <c r="Y120" i="71" s="1"/>
  <c r="Z57" i="71"/>
  <c r="X92" i="68"/>
  <c r="X120" i="68" s="1"/>
  <c r="Y57" i="68"/>
  <c r="Z94" i="68"/>
  <c r="Z122" i="68" s="1"/>
  <c r="AA59" i="68"/>
  <c r="R91" i="69"/>
  <c r="R119" i="69" s="1"/>
  <c r="S56" i="69"/>
  <c r="U91" i="69"/>
  <c r="U119" i="69" s="1"/>
  <c r="V56" i="69"/>
  <c r="T139" i="69"/>
  <c r="T143" i="69"/>
  <c r="T146" i="69"/>
  <c r="T140" i="69"/>
  <c r="T144" i="69"/>
  <c r="T149" i="69"/>
  <c r="E25" i="66" s="1"/>
  <c r="T138" i="69"/>
  <c r="T141" i="69"/>
  <c r="T145" i="69"/>
  <c r="T148" i="69"/>
  <c r="T132" i="69" s="1"/>
  <c r="T142" i="69"/>
  <c r="T147" i="69"/>
  <c r="W24" i="69"/>
  <c r="AA24" i="69"/>
  <c r="T24" i="69"/>
  <c r="X24" i="69"/>
  <c r="AB24" i="69"/>
  <c r="AB93" i="69" s="1"/>
  <c r="AB121" i="69" s="1"/>
  <c r="T150" i="69"/>
  <c r="E24" i="66" s="1"/>
  <c r="U24" i="69"/>
  <c r="Y24" i="69"/>
  <c r="V24" i="69"/>
  <c r="Z24" i="69"/>
  <c r="Z138" i="69"/>
  <c r="Z141" i="69"/>
  <c r="Z145" i="69"/>
  <c r="Z148" i="69"/>
  <c r="Z132" i="69" s="1"/>
  <c r="Z142" i="69"/>
  <c r="Z147" i="69"/>
  <c r="Z139" i="69"/>
  <c r="Z143" i="69"/>
  <c r="Z146" i="69"/>
  <c r="Z140" i="69"/>
  <c r="Z144" i="69"/>
  <c r="Z149" i="69"/>
  <c r="K25" i="66" s="1"/>
  <c r="Z150" i="69"/>
  <c r="K24" i="66" s="1"/>
  <c r="AB30" i="69"/>
  <c r="AB99" i="69" s="1"/>
  <c r="AB127" i="69" s="1"/>
  <c r="Z30" i="69"/>
  <c r="AA30" i="69"/>
  <c r="L139" i="69"/>
  <c r="L143" i="69"/>
  <c r="L146" i="69"/>
  <c r="L140" i="69"/>
  <c r="L144" i="69"/>
  <c r="L149" i="69"/>
  <c r="L138" i="69"/>
  <c r="L141" i="69"/>
  <c r="L145" i="69"/>
  <c r="L148" i="69"/>
  <c r="L132" i="69" s="1"/>
  <c r="L142" i="69"/>
  <c r="L147" i="69"/>
  <c r="AB16" i="69"/>
  <c r="Q16" i="69"/>
  <c r="O16" i="69"/>
  <c r="P50" i="69" s="1"/>
  <c r="Z16" i="69"/>
  <c r="Z91" i="71"/>
  <c r="Z119" i="71" s="1"/>
  <c r="AA56" i="71"/>
  <c r="G140" i="69"/>
  <c r="G144" i="69"/>
  <c r="G149" i="69"/>
  <c r="G138" i="69"/>
  <c r="G141" i="69"/>
  <c r="G145" i="69"/>
  <c r="G148" i="69"/>
  <c r="G132" i="69" s="1"/>
  <c r="G142" i="69"/>
  <c r="G147" i="69"/>
  <c r="G139" i="69"/>
  <c r="G143" i="69"/>
  <c r="G146" i="69"/>
  <c r="Z99" i="72"/>
  <c r="Z127" i="72" s="1"/>
  <c r="AA64" i="72"/>
  <c r="AA100" i="72"/>
  <c r="AA128" i="72" s="1"/>
  <c r="AB65" i="72"/>
  <c r="AA97" i="72"/>
  <c r="AA125" i="72" s="1"/>
  <c r="AB62" i="72"/>
  <c r="Z92" i="72"/>
  <c r="Z120" i="72" s="1"/>
  <c r="AA57" i="72"/>
  <c r="Y92" i="72"/>
  <c r="Y120" i="72" s="1"/>
  <c r="Z57" i="72"/>
  <c r="N39" i="66"/>
  <c r="C147" i="64"/>
  <c r="C149" i="64"/>
  <c r="C141" i="64"/>
  <c r="C144" i="64"/>
  <c r="C138" i="64"/>
  <c r="P115" i="69"/>
  <c r="P87" i="69"/>
  <c r="W83" i="68"/>
  <c r="W111" i="68" s="1"/>
  <c r="V82" i="68"/>
  <c r="V110" i="68" s="1"/>
  <c r="U91" i="71"/>
  <c r="U119" i="71" s="1"/>
  <c r="V56" i="71"/>
  <c r="AA97" i="71"/>
  <c r="AA125" i="71" s="1"/>
  <c r="AB62" i="71"/>
  <c r="Y91" i="71"/>
  <c r="Y119" i="71" s="1"/>
  <c r="Z56" i="71"/>
  <c r="AA93" i="71"/>
  <c r="AA121" i="71" s="1"/>
  <c r="AB58" i="71"/>
  <c r="S91" i="72"/>
  <c r="S119" i="72" s="1"/>
  <c r="T56" i="72"/>
  <c r="S56" i="72"/>
  <c r="T92" i="71"/>
  <c r="T120" i="71" s="1"/>
  <c r="U57" i="71"/>
  <c r="T57" i="71"/>
  <c r="Z98" i="71"/>
  <c r="Z126" i="71" s="1"/>
  <c r="AA63" i="71"/>
  <c r="Z63" i="71"/>
  <c r="I76" i="68"/>
  <c r="I104" i="68" s="1"/>
  <c r="AB95" i="68"/>
  <c r="AB123" i="68" s="1"/>
  <c r="T83" i="68"/>
  <c r="T111" i="68" s="1"/>
  <c r="X83" i="68"/>
  <c r="X111" i="68" s="1"/>
  <c r="W91" i="72"/>
  <c r="W119" i="72" s="1"/>
  <c r="X56" i="72"/>
  <c r="X92" i="71"/>
  <c r="X120" i="71" s="1"/>
  <c r="Y57" i="71"/>
  <c r="AA91" i="73"/>
  <c r="AA119" i="73" s="1"/>
  <c r="AB56" i="73"/>
  <c r="AA91" i="71"/>
  <c r="AA119" i="71" s="1"/>
  <c r="AB56" i="71"/>
  <c r="N83" i="68"/>
  <c r="N111" i="68" s="1"/>
  <c r="X93" i="68"/>
  <c r="X121" i="68" s="1"/>
  <c r="Y58" i="68"/>
  <c r="R83" i="68"/>
  <c r="R111" i="68" s="1"/>
  <c r="AA92" i="68"/>
  <c r="AA120" i="68" s="1"/>
  <c r="AB57" i="68"/>
  <c r="S76" i="68"/>
  <c r="S104" i="68" s="1"/>
  <c r="W95" i="68"/>
  <c r="W123" i="68" s="1"/>
  <c r="X60" i="68"/>
  <c r="W60" i="68"/>
  <c r="V94" i="68"/>
  <c r="V122" i="68" s="1"/>
  <c r="W59" i="68"/>
  <c r="V59" i="68"/>
  <c r="P51" i="73"/>
  <c r="T55" i="73"/>
  <c r="O47" i="72"/>
  <c r="X42" i="72"/>
  <c r="Q44" i="72"/>
  <c r="AA52" i="72"/>
  <c r="W107" i="72"/>
  <c r="P44" i="72"/>
  <c r="K42" i="72"/>
  <c r="X48" i="72"/>
  <c r="X54" i="72"/>
  <c r="Z114" i="73"/>
  <c r="C134" i="72"/>
  <c r="O47" i="71"/>
  <c r="M110" i="71"/>
  <c r="AB54" i="71"/>
  <c r="L47" i="71"/>
  <c r="Z55" i="71"/>
  <c r="Q43" i="71"/>
  <c r="L48" i="71"/>
  <c r="C76" i="70"/>
  <c r="C104" i="70" s="1"/>
  <c r="C131" i="70" s="1"/>
  <c r="Z49" i="69"/>
  <c r="S44" i="68"/>
  <c r="O43" i="68"/>
  <c r="R44" i="68"/>
  <c r="P45" i="68"/>
  <c r="V44" i="68"/>
  <c r="L44" i="68"/>
  <c r="Y44" i="68"/>
  <c r="W44" i="68"/>
  <c r="F43" i="68"/>
  <c r="Z49" i="68"/>
  <c r="AA44" i="68"/>
  <c r="I44" i="68"/>
  <c r="X44" i="68"/>
  <c r="AA49" i="68"/>
  <c r="AB44" i="68"/>
  <c r="S43" i="68"/>
  <c r="P43" i="68"/>
  <c r="O51" i="68"/>
  <c r="J44" i="68"/>
  <c r="F107" i="68"/>
  <c r="G44" i="68"/>
  <c r="M44" i="68"/>
  <c r="T45" i="68"/>
  <c r="C156" i="65"/>
  <c r="C161" i="65"/>
  <c r="C160" i="65"/>
  <c r="C159" i="65"/>
  <c r="C155" i="65"/>
  <c r="C165" i="65"/>
  <c r="Y18" i="65"/>
  <c r="Y87" i="65" s="1"/>
  <c r="Y115" i="65" s="1"/>
  <c r="X18" i="65"/>
  <c r="X87" i="65" s="1"/>
  <c r="X115" i="65" s="1"/>
  <c r="W18" i="65"/>
  <c r="Z18" i="65"/>
  <c r="Z87" i="65" s="1"/>
  <c r="Z115" i="65" s="1"/>
  <c r="N148" i="65"/>
  <c r="N132" i="65" s="1"/>
  <c r="N146" i="65"/>
  <c r="AB18" i="65"/>
  <c r="AB87" i="65" s="1"/>
  <c r="AB115" i="65" s="1"/>
  <c r="AA18" i="65"/>
  <c r="AA87" i="65" s="1"/>
  <c r="AA115" i="65" s="1"/>
  <c r="N18" i="65"/>
  <c r="N87" i="65" s="1"/>
  <c r="N115" i="65" s="1"/>
  <c r="G77" i="65"/>
  <c r="G105" i="65" s="1"/>
  <c r="U18" i="65"/>
  <c r="U87" i="65" s="1"/>
  <c r="U115" i="65" s="1"/>
  <c r="T18" i="65"/>
  <c r="S18" i="65"/>
  <c r="V18" i="65"/>
  <c r="V87" i="65" s="1"/>
  <c r="V115" i="65" s="1"/>
  <c r="R42" i="65"/>
  <c r="N140" i="65"/>
  <c r="N139" i="65"/>
  <c r="T46" i="64"/>
  <c r="E42" i="65"/>
  <c r="Y46" i="65"/>
  <c r="H77" i="64"/>
  <c r="H105" i="64" s="1"/>
  <c r="I77" i="65"/>
  <c r="I105" i="65" s="1"/>
  <c r="O14" i="65"/>
  <c r="O83" i="65" s="1"/>
  <c r="O111" i="65" s="1"/>
  <c r="L14" i="65"/>
  <c r="L83" i="65" s="1"/>
  <c r="L111" i="65" s="1"/>
  <c r="M13" i="65"/>
  <c r="M82" i="65" s="1"/>
  <c r="M110" i="65" s="1"/>
  <c r="R42" i="64"/>
  <c r="V14" i="65"/>
  <c r="V83" i="65" s="1"/>
  <c r="V111" i="65" s="1"/>
  <c r="S17" i="65"/>
  <c r="W13" i="65"/>
  <c r="W82" i="65" s="1"/>
  <c r="W110" i="65" s="1"/>
  <c r="Y13" i="65"/>
  <c r="Y82" i="65" s="1"/>
  <c r="Y110" i="65" s="1"/>
  <c r="P53" i="64"/>
  <c r="AA46" i="65"/>
  <c r="I146" i="65"/>
  <c r="T10" i="52"/>
  <c r="T79" i="52" s="1"/>
  <c r="AB14" i="65"/>
  <c r="AB83" i="65" s="1"/>
  <c r="AB111" i="65" s="1"/>
  <c r="L13" i="65"/>
  <c r="G145" i="65"/>
  <c r="G142" i="65"/>
  <c r="G143" i="65"/>
  <c r="G149" i="65"/>
  <c r="G141" i="65"/>
  <c r="G138" i="65"/>
  <c r="G150" i="65"/>
  <c r="G146" i="65"/>
  <c r="F142" i="52"/>
  <c r="L77" i="65"/>
  <c r="L105" i="65" s="1"/>
  <c r="N10" i="52"/>
  <c r="N79" i="52" s="1"/>
  <c r="W10" i="52"/>
  <c r="W79" i="52" s="1"/>
  <c r="AA14" i="65"/>
  <c r="R14" i="65"/>
  <c r="Q14" i="65"/>
  <c r="Q48" i="65" s="1"/>
  <c r="X14" i="65"/>
  <c r="X83" i="65" s="1"/>
  <c r="X111" i="65" s="1"/>
  <c r="R17" i="65"/>
  <c r="R86" i="65" s="1"/>
  <c r="R114" i="65" s="1"/>
  <c r="N17" i="65"/>
  <c r="N86" i="65" s="1"/>
  <c r="N114" i="65" s="1"/>
  <c r="P13" i="65"/>
  <c r="P82" i="65" s="1"/>
  <c r="P110" i="65" s="1"/>
  <c r="N13" i="65"/>
  <c r="N82" i="65" s="1"/>
  <c r="N110" i="65" s="1"/>
  <c r="Q13" i="65"/>
  <c r="Q82" i="65" s="1"/>
  <c r="Q110" i="65" s="1"/>
  <c r="S13" i="65"/>
  <c r="S82" i="65" s="1"/>
  <c r="S110" i="65" s="1"/>
  <c r="X13" i="65"/>
  <c r="X82" i="65" s="1"/>
  <c r="X110" i="65" s="1"/>
  <c r="U17" i="65"/>
  <c r="U86" i="65" s="1"/>
  <c r="U114" i="65" s="1"/>
  <c r="L42" i="64"/>
  <c r="I141" i="65"/>
  <c r="I147" i="65"/>
  <c r="I139" i="65"/>
  <c r="I140" i="65"/>
  <c r="F42" i="65"/>
  <c r="Y10" i="52"/>
  <c r="Y79" i="52" s="1"/>
  <c r="W14" i="65"/>
  <c r="W83" i="65" s="1"/>
  <c r="W111" i="65" s="1"/>
  <c r="K14" i="65"/>
  <c r="K83" i="65" s="1"/>
  <c r="K111" i="65" s="1"/>
  <c r="N14" i="65"/>
  <c r="N83" i="65" s="1"/>
  <c r="N111" i="65" s="1"/>
  <c r="M14" i="65"/>
  <c r="M83" i="65" s="1"/>
  <c r="M111" i="65" s="1"/>
  <c r="T14" i="65"/>
  <c r="T83" i="65" s="1"/>
  <c r="T111" i="65" s="1"/>
  <c r="Q17" i="65"/>
  <c r="Q86" i="65" s="1"/>
  <c r="Q114" i="65" s="1"/>
  <c r="M17" i="65"/>
  <c r="M86" i="65" s="1"/>
  <c r="M114" i="65" s="1"/>
  <c r="T13" i="65"/>
  <c r="AA13" i="65"/>
  <c r="Z13" i="65"/>
  <c r="Z82" i="65" s="1"/>
  <c r="Z110" i="65" s="1"/>
  <c r="O13" i="65"/>
  <c r="O82" i="65" s="1"/>
  <c r="O110" i="65" s="1"/>
  <c r="K10" i="52"/>
  <c r="K79" i="52" s="1"/>
  <c r="AB17" i="65"/>
  <c r="AB86" i="65" s="1"/>
  <c r="AB114" i="65" s="1"/>
  <c r="W17" i="65"/>
  <c r="W86" i="65" s="1"/>
  <c r="W114" i="65" s="1"/>
  <c r="K13" i="65"/>
  <c r="K82" i="65" s="1"/>
  <c r="K110" i="65" s="1"/>
  <c r="I138" i="65"/>
  <c r="I148" i="65"/>
  <c r="I132" i="65" s="1"/>
  <c r="F143" i="52"/>
  <c r="S14" i="65"/>
  <c r="S48" i="65" s="1"/>
  <c r="Z14" i="65"/>
  <c r="Y14" i="65"/>
  <c r="Y83" i="65" s="1"/>
  <c r="Y111" i="65" s="1"/>
  <c r="J14" i="65"/>
  <c r="J83" i="65" s="1"/>
  <c r="J111" i="65" s="1"/>
  <c r="T17" i="65"/>
  <c r="T86" i="65" s="1"/>
  <c r="T114" i="65" s="1"/>
  <c r="P17" i="65"/>
  <c r="P86" i="65" s="1"/>
  <c r="P114" i="65" s="1"/>
  <c r="AB13" i="65"/>
  <c r="AB82" i="65" s="1"/>
  <c r="AB110" i="65" s="1"/>
  <c r="R13" i="65"/>
  <c r="R82" i="65" s="1"/>
  <c r="R110" i="65" s="1"/>
  <c r="J13" i="65"/>
  <c r="J82" i="65" s="1"/>
  <c r="J110" i="65" s="1"/>
  <c r="V13" i="65"/>
  <c r="V82" i="65" s="1"/>
  <c r="V110" i="65" s="1"/>
  <c r="I150" i="65"/>
  <c r="I144" i="65"/>
  <c r="F43" i="65"/>
  <c r="E78" i="65"/>
  <c r="E106" i="65" s="1"/>
  <c r="N49" i="64"/>
  <c r="M42" i="64"/>
  <c r="O42" i="65"/>
  <c r="E77" i="65"/>
  <c r="E105" i="65" s="1"/>
  <c r="E131" i="65" s="1"/>
  <c r="N42" i="65"/>
  <c r="P10" i="65"/>
  <c r="P79" i="65" s="1"/>
  <c r="P107" i="65" s="1"/>
  <c r="Y9" i="65"/>
  <c r="Y78" i="65" s="1"/>
  <c r="Y106" i="65" s="1"/>
  <c r="X9" i="65"/>
  <c r="Y42" i="65"/>
  <c r="L42" i="65"/>
  <c r="AB9" i="65"/>
  <c r="AB78" i="65" s="1"/>
  <c r="AB106" i="65" s="1"/>
  <c r="G9" i="65"/>
  <c r="G78" i="65" s="1"/>
  <c r="G106" i="65" s="1"/>
  <c r="W9" i="65"/>
  <c r="W43" i="65" s="1"/>
  <c r="J82" i="64"/>
  <c r="J110" i="64" s="1"/>
  <c r="W10" i="65"/>
  <c r="W79" i="65" s="1"/>
  <c r="W107" i="65" s="1"/>
  <c r="AA9" i="65"/>
  <c r="AA78" i="65" s="1"/>
  <c r="AA106" i="65" s="1"/>
  <c r="J9" i="65"/>
  <c r="K43" i="65" s="1"/>
  <c r="M9" i="65"/>
  <c r="M78" i="65" s="1"/>
  <c r="M106" i="65" s="1"/>
  <c r="S9" i="65"/>
  <c r="S78" i="65" s="1"/>
  <c r="S106" i="65" s="1"/>
  <c r="Q9" i="65"/>
  <c r="Q78" i="65" s="1"/>
  <c r="Q106" i="65" s="1"/>
  <c r="F140" i="65"/>
  <c r="F143" i="65"/>
  <c r="I46" i="65"/>
  <c r="P85" i="65"/>
  <c r="P113" i="65" s="1"/>
  <c r="J46" i="65"/>
  <c r="U10" i="65"/>
  <c r="U79" i="65" s="1"/>
  <c r="U107" i="65" s="1"/>
  <c r="G10" i="65"/>
  <c r="G79" i="65" s="1"/>
  <c r="G107" i="65" s="1"/>
  <c r="R49" i="64"/>
  <c r="T9" i="65"/>
  <c r="T78" i="65" s="1"/>
  <c r="T106" i="65" s="1"/>
  <c r="N9" i="65"/>
  <c r="N78" i="65" s="1"/>
  <c r="N106" i="65" s="1"/>
  <c r="O9" i="65"/>
  <c r="O78" i="65" s="1"/>
  <c r="O106" i="65" s="1"/>
  <c r="R9" i="65"/>
  <c r="U9" i="65"/>
  <c r="U78" i="65" s="1"/>
  <c r="U106" i="65" s="1"/>
  <c r="L9" i="65"/>
  <c r="M43" i="65" s="1"/>
  <c r="O149" i="65"/>
  <c r="O143" i="65"/>
  <c r="O148" i="65"/>
  <c r="O132" i="65" s="1"/>
  <c r="O140" i="65"/>
  <c r="R50" i="72"/>
  <c r="Y51" i="73"/>
  <c r="K48" i="72"/>
  <c r="O48" i="72"/>
  <c r="N145" i="65"/>
  <c r="N149" i="65"/>
  <c r="N144" i="65"/>
  <c r="N147" i="65"/>
  <c r="N142" i="65"/>
  <c r="N141" i="65"/>
  <c r="N138" i="65"/>
  <c r="N150" i="65"/>
  <c r="O51" i="69"/>
  <c r="L48" i="72"/>
  <c r="J147" i="65"/>
  <c r="J150" i="65"/>
  <c r="J142" i="65"/>
  <c r="J145" i="65"/>
  <c r="J148" i="65"/>
  <c r="J132" i="65" s="1"/>
  <c r="J140" i="65"/>
  <c r="J143" i="65"/>
  <c r="J146" i="65"/>
  <c r="J138" i="65"/>
  <c r="J149" i="65"/>
  <c r="J141" i="65"/>
  <c r="J144" i="65"/>
  <c r="J139" i="65"/>
  <c r="R53" i="64"/>
  <c r="M41" i="64"/>
  <c r="L46" i="65"/>
  <c r="L45" i="72"/>
  <c r="W54" i="72"/>
  <c r="Z41" i="72"/>
  <c r="M45" i="72"/>
  <c r="L111" i="72"/>
  <c r="Z51" i="73"/>
  <c r="Q44" i="68"/>
  <c r="Q10" i="65"/>
  <c r="AB10" i="65"/>
  <c r="AB79" i="65" s="1"/>
  <c r="AB107" i="65" s="1"/>
  <c r="L10" i="65"/>
  <c r="L79" i="65" s="1"/>
  <c r="L107" i="65" s="1"/>
  <c r="S10" i="65"/>
  <c r="S79" i="65" s="1"/>
  <c r="S107" i="65" s="1"/>
  <c r="F10" i="65"/>
  <c r="F79" i="65" s="1"/>
  <c r="F107" i="65" s="1"/>
  <c r="F131" i="65" s="1"/>
  <c r="N10" i="65"/>
  <c r="N79" i="65" s="1"/>
  <c r="N107" i="65" s="1"/>
  <c r="X51" i="73"/>
  <c r="S46" i="73"/>
  <c r="AA46" i="73"/>
  <c r="F42" i="72"/>
  <c r="AA51" i="68"/>
  <c r="Q48" i="71"/>
  <c r="S50" i="72"/>
  <c r="T51" i="73"/>
  <c r="W45" i="72"/>
  <c r="F150" i="65"/>
  <c r="I42" i="64"/>
  <c r="F147" i="65"/>
  <c r="F144" i="65"/>
  <c r="F138" i="65"/>
  <c r="F149" i="65"/>
  <c r="F141" i="65"/>
  <c r="Q53" i="64"/>
  <c r="X118" i="71"/>
  <c r="R47" i="72"/>
  <c r="Z51" i="72"/>
  <c r="AA48" i="72"/>
  <c r="X55" i="72"/>
  <c r="Q48" i="72"/>
  <c r="Z55" i="72"/>
  <c r="I107" i="72"/>
  <c r="P48" i="72"/>
  <c r="Y50" i="72"/>
  <c r="M10" i="65"/>
  <c r="M79" i="65" s="1"/>
  <c r="M107" i="65" s="1"/>
  <c r="X10" i="65"/>
  <c r="H10" i="65"/>
  <c r="I44" i="65" s="1"/>
  <c r="O10" i="65"/>
  <c r="O79" i="65" s="1"/>
  <c r="O107" i="65" s="1"/>
  <c r="Z10" i="65"/>
  <c r="Z79" i="65" s="1"/>
  <c r="Z107" i="65" s="1"/>
  <c r="J10" i="65"/>
  <c r="P44" i="68"/>
  <c r="X109" i="73"/>
  <c r="Z44" i="68"/>
  <c r="K111" i="71"/>
  <c r="T43" i="68"/>
  <c r="S46" i="69"/>
  <c r="U48" i="71"/>
  <c r="F142" i="65"/>
  <c r="F145" i="65"/>
  <c r="F139" i="65"/>
  <c r="X17" i="65"/>
  <c r="X86" i="65" s="1"/>
  <c r="X114" i="65" s="1"/>
  <c r="V17" i="65"/>
  <c r="V86" i="65" s="1"/>
  <c r="V114" i="65" s="1"/>
  <c r="M150" i="65"/>
  <c r="M142" i="65"/>
  <c r="M145" i="65"/>
  <c r="M138" i="65"/>
  <c r="M139" i="65"/>
  <c r="M148" i="65"/>
  <c r="M132" i="65" s="1"/>
  <c r="M140" i="65"/>
  <c r="M143" i="65"/>
  <c r="Z17" i="65"/>
  <c r="Z86" i="65" s="1"/>
  <c r="Z114" i="65" s="1"/>
  <c r="M147" i="65"/>
  <c r="M146" i="65"/>
  <c r="M149" i="65"/>
  <c r="M141" i="65"/>
  <c r="M144" i="65"/>
  <c r="I143" i="65"/>
  <c r="I142" i="65"/>
  <c r="Y112" i="68"/>
  <c r="Y49" i="68"/>
  <c r="N51" i="69"/>
  <c r="AA44" i="72"/>
  <c r="Y10" i="65"/>
  <c r="T10" i="65"/>
  <c r="AA10" i="65"/>
  <c r="AA79" i="65" s="1"/>
  <c r="AA107" i="65" s="1"/>
  <c r="K10" i="65"/>
  <c r="K79" i="65" s="1"/>
  <c r="K107" i="65" s="1"/>
  <c r="V10" i="65"/>
  <c r="L45" i="68"/>
  <c r="W49" i="68"/>
  <c r="Z43" i="72"/>
  <c r="M45" i="68"/>
  <c r="AB51" i="68"/>
  <c r="AA45" i="68"/>
  <c r="Z45" i="68"/>
  <c r="F148" i="65"/>
  <c r="F132" i="65" s="1"/>
  <c r="W90" i="65"/>
  <c r="W118" i="65" s="1"/>
  <c r="Q144" i="65"/>
  <c r="Q147" i="65"/>
  <c r="Q139" i="65"/>
  <c r="Q149" i="65"/>
  <c r="Q150" i="65"/>
  <c r="Q142" i="65"/>
  <c r="Q145" i="65"/>
  <c r="Q138" i="65"/>
  <c r="Q141" i="65"/>
  <c r="Q148" i="65"/>
  <c r="Q132" i="65" s="1"/>
  <c r="Q140" i="65"/>
  <c r="Q143" i="65"/>
  <c r="Q146" i="65"/>
  <c r="AB85" i="65"/>
  <c r="AB113" i="65" s="1"/>
  <c r="AB50" i="65"/>
  <c r="E146" i="65"/>
  <c r="E149" i="65"/>
  <c r="E141" i="65"/>
  <c r="E140" i="65"/>
  <c r="E144" i="65"/>
  <c r="E147" i="65"/>
  <c r="E139" i="65"/>
  <c r="E143" i="65"/>
  <c r="E150" i="65"/>
  <c r="E142" i="65"/>
  <c r="E145" i="65"/>
  <c r="E138" i="65"/>
  <c r="E148" i="65"/>
  <c r="E132" i="65" s="1"/>
  <c r="K46" i="65"/>
  <c r="P50" i="65"/>
  <c r="N112" i="70"/>
  <c r="S109" i="70"/>
  <c r="N42" i="64"/>
  <c r="J42" i="64"/>
  <c r="M49" i="64"/>
  <c r="F42" i="64"/>
  <c r="R48" i="64"/>
  <c r="Q50" i="64"/>
  <c r="I46" i="64"/>
  <c r="O48" i="64"/>
  <c r="O88" i="64"/>
  <c r="O116" i="64" s="1"/>
  <c r="M48" i="64"/>
  <c r="L48" i="64"/>
  <c r="M47" i="64"/>
  <c r="V55" i="72"/>
  <c r="O109" i="70"/>
  <c r="Q52" i="64"/>
  <c r="V49" i="69"/>
  <c r="L49" i="69"/>
  <c r="AA55" i="72"/>
  <c r="P46" i="65"/>
  <c r="M46" i="65"/>
  <c r="AB46" i="73"/>
  <c r="AB48" i="71"/>
  <c r="J45" i="72"/>
  <c r="X41" i="72"/>
  <c r="U48" i="72"/>
  <c r="W49" i="69"/>
  <c r="U43" i="68"/>
  <c r="L49" i="64"/>
  <c r="R52" i="71"/>
  <c r="Q42" i="65"/>
  <c r="Q42" i="64"/>
  <c r="Y53" i="72"/>
  <c r="F149" i="52"/>
  <c r="F141" i="52"/>
  <c r="F148" i="52"/>
  <c r="F132" i="52" s="1"/>
  <c r="F140" i="52"/>
  <c r="V10" i="52"/>
  <c r="V79" i="52" s="1"/>
  <c r="Z10" i="52"/>
  <c r="Z79" i="52" s="1"/>
  <c r="U10" i="52"/>
  <c r="U79" i="52" s="1"/>
  <c r="F10" i="52"/>
  <c r="F79" i="52" s="1"/>
  <c r="P10" i="52"/>
  <c r="P79" i="52" s="1"/>
  <c r="S10" i="52"/>
  <c r="S79" i="52" s="1"/>
  <c r="F147" i="52"/>
  <c r="F139" i="52"/>
  <c r="F146" i="52"/>
  <c r="F138" i="52"/>
  <c r="R10" i="52"/>
  <c r="R79" i="52" s="1"/>
  <c r="J10" i="52"/>
  <c r="J79" i="52" s="1"/>
  <c r="Q10" i="52"/>
  <c r="Q79" i="52" s="1"/>
  <c r="AB10" i="52"/>
  <c r="AB79" i="52" s="1"/>
  <c r="L10" i="52"/>
  <c r="L79" i="52" s="1"/>
  <c r="O10" i="52"/>
  <c r="O79" i="52" s="1"/>
  <c r="F145" i="52"/>
  <c r="F144" i="52"/>
  <c r="H10" i="52"/>
  <c r="H79" i="52" s="1"/>
  <c r="G10" i="52"/>
  <c r="G79" i="52" s="1"/>
  <c r="M10" i="52"/>
  <c r="M79" i="52" s="1"/>
  <c r="X10" i="52"/>
  <c r="X79" i="52" s="1"/>
  <c r="AA10" i="52"/>
  <c r="AA79" i="52" s="1"/>
  <c r="N47" i="64"/>
  <c r="R46" i="64"/>
  <c r="P52" i="64"/>
  <c r="P76" i="64"/>
  <c r="P104" i="64" s="1"/>
  <c r="P87" i="64"/>
  <c r="P115" i="64" s="1"/>
  <c r="Q89" i="64"/>
  <c r="Q117" i="64" s="1"/>
  <c r="L46" i="64"/>
  <c r="R43" i="64"/>
  <c r="K83" i="64"/>
  <c r="K111" i="64" s="1"/>
  <c r="K77" i="65"/>
  <c r="K105" i="65" s="1"/>
  <c r="O85" i="65"/>
  <c r="O113" i="65" s="1"/>
  <c r="Q113" i="70"/>
  <c r="T118" i="71"/>
  <c r="N45" i="72"/>
  <c r="AB42" i="72"/>
  <c r="T50" i="72"/>
  <c r="L113" i="72"/>
  <c r="Z53" i="72"/>
  <c r="F105" i="72"/>
  <c r="X52" i="72"/>
  <c r="AB52" i="73"/>
  <c r="Z118" i="73"/>
  <c r="N41" i="65"/>
  <c r="O52" i="64"/>
  <c r="O50" i="73"/>
  <c r="T47" i="71"/>
  <c r="N42" i="73"/>
  <c r="Z47" i="71"/>
  <c r="R55" i="72"/>
  <c r="M82" i="64"/>
  <c r="M110" i="64" s="1"/>
  <c r="K77" i="64"/>
  <c r="K105" i="64" s="1"/>
  <c r="AB55" i="72"/>
  <c r="AA45" i="72"/>
  <c r="Z48" i="72"/>
  <c r="Q53" i="73"/>
  <c r="P42" i="72"/>
  <c r="N44" i="71"/>
  <c r="S47" i="72"/>
  <c r="Q46" i="65"/>
  <c r="O46" i="65"/>
  <c r="X50" i="72"/>
  <c r="AB50" i="72"/>
  <c r="K48" i="71"/>
  <c r="S52" i="73"/>
  <c r="AB49" i="72"/>
  <c r="Q46" i="64"/>
  <c r="M49" i="72"/>
  <c r="K43" i="72"/>
  <c r="U118" i="72"/>
  <c r="V48" i="72"/>
  <c r="N111" i="72"/>
  <c r="P47" i="64"/>
  <c r="R52" i="64"/>
  <c r="U51" i="71"/>
  <c r="J42" i="65"/>
  <c r="V43" i="71"/>
  <c r="S53" i="72"/>
  <c r="V53" i="69"/>
  <c r="L104" i="70"/>
  <c r="T114" i="72"/>
  <c r="U51" i="72"/>
  <c r="Z42" i="72"/>
  <c r="Y105" i="72"/>
  <c r="Q105" i="70"/>
  <c r="T47" i="73"/>
  <c r="S110" i="73"/>
  <c r="Z47" i="72"/>
  <c r="Z110" i="72"/>
  <c r="AA47" i="72"/>
  <c r="W110" i="71"/>
  <c r="X47" i="71"/>
  <c r="L46" i="73"/>
  <c r="L109" i="73"/>
  <c r="M46" i="73"/>
  <c r="Z109" i="69"/>
  <c r="AB109" i="69"/>
  <c r="AB46" i="69"/>
  <c r="J108" i="72"/>
  <c r="K45" i="72"/>
  <c r="Q45" i="72"/>
  <c r="S118" i="72"/>
  <c r="T55" i="72"/>
  <c r="Q53" i="69"/>
  <c r="P116" i="69"/>
  <c r="U46" i="69"/>
  <c r="T109" i="69"/>
  <c r="P46" i="64"/>
  <c r="K42" i="64"/>
  <c r="I81" i="64"/>
  <c r="I109" i="64" s="1"/>
  <c r="N48" i="64"/>
  <c r="N41" i="64"/>
  <c r="P42" i="65"/>
  <c r="S113" i="72"/>
  <c r="Y107" i="72"/>
  <c r="T43" i="72"/>
  <c r="S106" i="72"/>
  <c r="K47" i="73"/>
  <c r="O47" i="73"/>
  <c r="R117" i="73"/>
  <c r="S54" i="73"/>
  <c r="H105" i="70"/>
  <c r="Y105" i="73"/>
  <c r="Z42" i="73"/>
  <c r="N107" i="71"/>
  <c r="O44" i="71"/>
  <c r="J111" i="71"/>
  <c r="AB116" i="72"/>
  <c r="AB53" i="72"/>
  <c r="X48" i="71"/>
  <c r="AB114" i="72"/>
  <c r="AB51" i="72"/>
  <c r="Z109" i="70"/>
  <c r="P113" i="72"/>
  <c r="Q50" i="72"/>
  <c r="O109" i="73"/>
  <c r="O46" i="73"/>
  <c r="Q114" i="73"/>
  <c r="Q51" i="73"/>
  <c r="X114" i="68"/>
  <c r="X51" i="68"/>
  <c r="U108" i="72"/>
  <c r="V45" i="72"/>
  <c r="G104" i="72"/>
  <c r="H41" i="72"/>
  <c r="R111" i="72"/>
  <c r="S48" i="72"/>
  <c r="G42" i="64"/>
  <c r="O81" i="64"/>
  <c r="O109" i="64" s="1"/>
  <c r="P77" i="64"/>
  <c r="P105" i="64" s="1"/>
  <c r="N51" i="64"/>
  <c r="J77" i="64"/>
  <c r="J105" i="64" s="1"/>
  <c r="M83" i="64"/>
  <c r="M111" i="64" s="1"/>
  <c r="F76" i="64"/>
  <c r="F104" i="64" s="1"/>
  <c r="F131" i="64" s="1"/>
  <c r="K81" i="64"/>
  <c r="K109" i="64" s="1"/>
  <c r="N87" i="64"/>
  <c r="N115" i="64" s="1"/>
  <c r="I43" i="65"/>
  <c r="N46" i="65"/>
  <c r="L81" i="65"/>
  <c r="L109" i="65" s="1"/>
  <c r="K42" i="65"/>
  <c r="P81" i="65"/>
  <c r="P109" i="65" s="1"/>
  <c r="P77" i="65"/>
  <c r="P105" i="65" s="1"/>
  <c r="R46" i="65"/>
  <c r="P53" i="69"/>
  <c r="J109" i="70"/>
  <c r="X54" i="71"/>
  <c r="AA112" i="72"/>
  <c r="N49" i="72"/>
  <c r="U50" i="72"/>
  <c r="R48" i="72"/>
  <c r="W111" i="72"/>
  <c r="J111" i="72"/>
  <c r="O45" i="72"/>
  <c r="W48" i="72"/>
  <c r="J41" i="72"/>
  <c r="Z108" i="72"/>
  <c r="Z50" i="72"/>
  <c r="S110" i="72"/>
  <c r="AA113" i="72"/>
  <c r="M47" i="72"/>
  <c r="U55" i="72"/>
  <c r="U111" i="72"/>
  <c r="N51" i="68"/>
  <c r="S51" i="68"/>
  <c r="O116" i="68"/>
  <c r="P53" i="68"/>
  <c r="X47" i="73"/>
  <c r="S114" i="73"/>
  <c r="J47" i="73"/>
  <c r="AA118" i="71"/>
  <c r="AB55" i="71"/>
  <c r="W43" i="68"/>
  <c r="P53" i="72"/>
  <c r="P116" i="72"/>
  <c r="W115" i="70"/>
  <c r="Z52" i="72"/>
  <c r="Z115" i="72"/>
  <c r="AA48" i="71"/>
  <c r="W111" i="70"/>
  <c r="V118" i="72"/>
  <c r="W55" i="72"/>
  <c r="J107" i="72"/>
  <c r="K44" i="72"/>
  <c r="N48" i="71"/>
  <c r="O48" i="71"/>
  <c r="P49" i="72"/>
  <c r="O49" i="72"/>
  <c r="R118" i="72"/>
  <c r="S55" i="72"/>
  <c r="O113" i="72"/>
  <c r="O50" i="72"/>
  <c r="N46" i="73"/>
  <c r="M109" i="73"/>
  <c r="V113" i="72"/>
  <c r="W50" i="72"/>
  <c r="Z116" i="69"/>
  <c r="AA53" i="69"/>
  <c r="Y114" i="68"/>
  <c r="Z51" i="68"/>
  <c r="X111" i="72"/>
  <c r="Y48" i="72"/>
  <c r="N48" i="72"/>
  <c r="M48" i="72"/>
  <c r="L47" i="72"/>
  <c r="P108" i="72"/>
  <c r="AA49" i="72"/>
  <c r="W104" i="72"/>
  <c r="Z113" i="72"/>
  <c r="P50" i="72"/>
  <c r="T47" i="72"/>
  <c r="Q46" i="73"/>
  <c r="K106" i="73"/>
  <c r="L43" i="73"/>
  <c r="U42" i="73"/>
  <c r="S105" i="73"/>
  <c r="T42" i="73"/>
  <c r="R53" i="72"/>
  <c r="X47" i="72"/>
  <c r="S107" i="72"/>
  <c r="T44" i="72"/>
  <c r="U45" i="72"/>
  <c r="T45" i="72"/>
  <c r="J110" i="71"/>
  <c r="K47" i="71"/>
  <c r="I45" i="72"/>
  <c r="I108" i="72"/>
  <c r="X104" i="72"/>
  <c r="Y41" i="72"/>
  <c r="Y54" i="71"/>
  <c r="T108" i="72"/>
  <c r="L49" i="72"/>
  <c r="R116" i="72"/>
  <c r="W113" i="72"/>
  <c r="Y44" i="72"/>
  <c r="Q53" i="72"/>
  <c r="Q108" i="72"/>
  <c r="P45" i="72"/>
  <c r="AB48" i="72"/>
  <c r="R51" i="68"/>
  <c r="W51" i="68"/>
  <c r="L47" i="64"/>
  <c r="V42" i="73"/>
  <c r="X51" i="72"/>
  <c r="X114" i="72"/>
  <c r="I104" i="70"/>
  <c r="R55" i="71"/>
  <c r="T109" i="70"/>
  <c r="S42" i="73"/>
  <c r="N113" i="70"/>
  <c r="AB118" i="73"/>
  <c r="AB55" i="73"/>
  <c r="Y112" i="69"/>
  <c r="T46" i="69"/>
  <c r="R53" i="73"/>
  <c r="T52" i="73"/>
  <c r="P41" i="64"/>
  <c r="W47" i="71"/>
  <c r="R47" i="71"/>
  <c r="G44" i="64"/>
  <c r="R44" i="64"/>
  <c r="J45" i="65"/>
  <c r="W52" i="72"/>
  <c r="AA43" i="68"/>
  <c r="Y49" i="69"/>
  <c r="N43" i="72"/>
  <c r="L44" i="64"/>
  <c r="Q48" i="64"/>
  <c r="M43" i="71"/>
  <c r="N43" i="71"/>
  <c r="AA42" i="73"/>
  <c r="X49" i="69"/>
  <c r="O82" i="64"/>
  <c r="O110" i="64" s="1"/>
  <c r="Y51" i="72"/>
  <c r="V115" i="72"/>
  <c r="J43" i="68"/>
  <c r="P49" i="68"/>
  <c r="AB47" i="71"/>
  <c r="G42" i="73"/>
  <c r="W51" i="72"/>
  <c r="I46" i="73"/>
  <c r="S50" i="73"/>
  <c r="W50" i="73"/>
  <c r="P46" i="73"/>
  <c r="R44" i="69"/>
  <c r="Z117" i="70"/>
  <c r="N50" i="73"/>
  <c r="R43" i="68"/>
  <c r="AA109" i="73"/>
  <c r="AA47" i="71"/>
  <c r="M47" i="71"/>
  <c r="V47" i="71"/>
  <c r="O47" i="64"/>
  <c r="L82" i="64"/>
  <c r="L110" i="64" s="1"/>
  <c r="O105" i="72"/>
  <c r="Y116" i="72"/>
  <c r="V44" i="72"/>
  <c r="F105" i="73"/>
  <c r="U46" i="73"/>
  <c r="N51" i="73"/>
  <c r="L47" i="73"/>
  <c r="E42" i="72"/>
  <c r="O51" i="73"/>
  <c r="R51" i="73"/>
  <c r="Z46" i="73"/>
  <c r="AA111" i="71"/>
  <c r="L46" i="69"/>
  <c r="R46" i="69"/>
  <c r="P47" i="71"/>
  <c r="M46" i="69"/>
  <c r="R51" i="64"/>
  <c r="M76" i="65"/>
  <c r="M104" i="65" s="1"/>
  <c r="AB43" i="72"/>
  <c r="P53" i="73"/>
  <c r="S118" i="73"/>
  <c r="Q43" i="68"/>
  <c r="V54" i="73"/>
  <c r="S44" i="72"/>
  <c r="T46" i="73"/>
  <c r="Y46" i="73"/>
  <c r="R41" i="64"/>
  <c r="J46" i="73"/>
  <c r="O49" i="68"/>
  <c r="Y51" i="68"/>
  <c r="V110" i="71"/>
  <c r="Z48" i="71"/>
  <c r="Y48" i="71"/>
  <c r="V90" i="65"/>
  <c r="V118" i="65" s="1"/>
  <c r="O51" i="64"/>
  <c r="O49" i="65"/>
  <c r="Q53" i="65"/>
  <c r="X90" i="65"/>
  <c r="X118" i="65" s="1"/>
  <c r="S88" i="64"/>
  <c r="S116" i="64" s="1"/>
  <c r="T53" i="64"/>
  <c r="S53" i="64"/>
  <c r="W88" i="64"/>
  <c r="W116" i="64" s="1"/>
  <c r="W53" i="64"/>
  <c r="W53" i="72"/>
  <c r="K43" i="64"/>
  <c r="H43" i="64"/>
  <c r="O44" i="64"/>
  <c r="I43" i="64"/>
  <c r="K48" i="64"/>
  <c r="H44" i="64"/>
  <c r="L49" i="65"/>
  <c r="J80" i="65"/>
  <c r="J108" i="65" s="1"/>
  <c r="N84" i="65"/>
  <c r="N112" i="65" s="1"/>
  <c r="AB53" i="73"/>
  <c r="J43" i="64"/>
  <c r="L43" i="64"/>
  <c r="L79" i="64"/>
  <c r="L107" i="64" s="1"/>
  <c r="G79" i="64"/>
  <c r="G107" i="64" s="1"/>
  <c r="F41" i="65"/>
  <c r="D41" i="65"/>
  <c r="D67" i="65" s="1"/>
  <c r="D5" i="65" s="1"/>
  <c r="D165" i="65" s="1"/>
  <c r="Q110" i="70"/>
  <c r="I42" i="72"/>
  <c r="AA43" i="73"/>
  <c r="P48" i="64"/>
  <c r="Q54" i="69"/>
  <c r="S81" i="65"/>
  <c r="S109" i="65" s="1"/>
  <c r="T46" i="65"/>
  <c r="U81" i="65"/>
  <c r="U109" i="65" s="1"/>
  <c r="V46" i="65"/>
  <c r="H109" i="70"/>
  <c r="W109" i="70"/>
  <c r="I110" i="71"/>
  <c r="J47" i="71"/>
  <c r="Y47" i="71"/>
  <c r="Y110" i="71"/>
  <c r="X81" i="64"/>
  <c r="X109" i="64" s="1"/>
  <c r="Y46" i="64"/>
  <c r="Z81" i="64"/>
  <c r="Z109" i="64" s="1"/>
  <c r="AA46" i="64"/>
  <c r="W81" i="64"/>
  <c r="W109" i="64" s="1"/>
  <c r="X46" i="64"/>
  <c r="X46" i="65"/>
  <c r="W81" i="65"/>
  <c r="W109" i="65" s="1"/>
  <c r="X46" i="69"/>
  <c r="T48" i="71"/>
  <c r="S111" i="71"/>
  <c r="U114" i="68"/>
  <c r="V51" i="68"/>
  <c r="V81" i="65"/>
  <c r="V109" i="65" s="1"/>
  <c r="W46" i="65"/>
  <c r="X109" i="70"/>
  <c r="P110" i="71"/>
  <c r="Q47" i="71"/>
  <c r="S114" i="68"/>
  <c r="T51" i="68"/>
  <c r="T81" i="64"/>
  <c r="T109" i="64" s="1"/>
  <c r="U46" i="64"/>
  <c r="Y81" i="64"/>
  <c r="Y109" i="64" s="1"/>
  <c r="Z46" i="64"/>
  <c r="AA114" i="73"/>
  <c r="AB51" i="73"/>
  <c r="U51" i="68"/>
  <c r="Y109" i="69"/>
  <c r="W48" i="71"/>
  <c r="V111" i="71"/>
  <c r="R111" i="71"/>
  <c r="S48" i="71"/>
  <c r="Y81" i="65"/>
  <c r="Y109" i="65" s="1"/>
  <c r="Z46" i="65"/>
  <c r="V81" i="64"/>
  <c r="V109" i="64" s="1"/>
  <c r="W46" i="64"/>
  <c r="AA81" i="64"/>
  <c r="AA109" i="64" s="1"/>
  <c r="AB46" i="64"/>
  <c r="U51" i="73"/>
  <c r="I109" i="69"/>
  <c r="J46" i="69"/>
  <c r="Y46" i="69"/>
  <c r="X109" i="69"/>
  <c r="V46" i="64"/>
  <c r="U46" i="65"/>
  <c r="T81" i="65"/>
  <c r="T109" i="65" s="1"/>
  <c r="R81" i="65"/>
  <c r="R109" i="65" s="1"/>
  <c r="S46" i="65"/>
  <c r="AA81" i="65"/>
  <c r="AA109" i="65" s="1"/>
  <c r="AB46" i="65"/>
  <c r="Y109" i="70"/>
  <c r="U109" i="70"/>
  <c r="R110" i="71"/>
  <c r="S47" i="71"/>
  <c r="R81" i="64"/>
  <c r="R109" i="64" s="1"/>
  <c r="S46" i="64"/>
  <c r="P109" i="69"/>
  <c r="Q46" i="69"/>
  <c r="U109" i="69"/>
  <c r="I46" i="69"/>
  <c r="H109" i="69"/>
  <c r="L111" i="71"/>
  <c r="M48" i="71"/>
  <c r="H45" i="64"/>
  <c r="T43" i="73"/>
  <c r="N44" i="64"/>
  <c r="Q51" i="64"/>
  <c r="P41" i="65"/>
  <c r="P51" i="64"/>
  <c r="E41" i="65"/>
  <c r="V55" i="71"/>
  <c r="O49" i="69"/>
  <c r="Q54" i="64"/>
  <c r="U53" i="73"/>
  <c r="V47" i="73"/>
  <c r="Y52" i="72"/>
  <c r="O52" i="72"/>
  <c r="K43" i="68"/>
  <c r="Q111" i="71"/>
  <c r="R48" i="71"/>
  <c r="N43" i="68"/>
  <c r="R53" i="65"/>
  <c r="M50" i="65"/>
  <c r="O50" i="65"/>
  <c r="P47" i="73"/>
  <c r="T117" i="70"/>
  <c r="O49" i="64"/>
  <c r="H80" i="64"/>
  <c r="H108" i="64" s="1"/>
  <c r="M44" i="64"/>
  <c r="Q49" i="64"/>
  <c r="P42" i="64"/>
  <c r="M85" i="65"/>
  <c r="M113" i="65" s="1"/>
  <c r="G42" i="65"/>
  <c r="Q53" i="68"/>
  <c r="P117" i="69"/>
  <c r="X55" i="71"/>
  <c r="T53" i="72"/>
  <c r="U42" i="72"/>
  <c r="J43" i="72"/>
  <c r="AB47" i="72"/>
  <c r="T52" i="72"/>
  <c r="U47" i="72"/>
  <c r="P52" i="72"/>
  <c r="W49" i="72"/>
  <c r="Q47" i="72"/>
  <c r="W47" i="72"/>
  <c r="J47" i="72"/>
  <c r="Y115" i="72"/>
  <c r="X53" i="72"/>
  <c r="W43" i="72"/>
  <c r="I43" i="72"/>
  <c r="P47" i="72"/>
  <c r="V47" i="72"/>
  <c r="U52" i="72"/>
  <c r="R55" i="73"/>
  <c r="U54" i="73"/>
  <c r="T54" i="73"/>
  <c r="S55" i="73"/>
  <c r="I43" i="68"/>
  <c r="Z43" i="68"/>
  <c r="X50" i="73"/>
  <c r="R47" i="73"/>
  <c r="N51" i="71"/>
  <c r="O42" i="73"/>
  <c r="N47" i="73"/>
  <c r="O44" i="69"/>
  <c r="G43" i="68"/>
  <c r="H43" i="68"/>
  <c r="U106" i="68"/>
  <c r="V43" i="68"/>
  <c r="AA106" i="68"/>
  <c r="AB43" i="68"/>
  <c r="L45" i="64"/>
  <c r="I41" i="64"/>
  <c r="E42" i="64"/>
  <c r="O77" i="64"/>
  <c r="O105" i="64" s="1"/>
  <c r="U53" i="72"/>
  <c r="S43" i="72"/>
  <c r="V42" i="72"/>
  <c r="N44" i="72"/>
  <c r="O115" i="72"/>
  <c r="O44" i="72"/>
  <c r="U55" i="73"/>
  <c r="V51" i="73"/>
  <c r="W51" i="73"/>
  <c r="Q47" i="73"/>
  <c r="R50" i="73"/>
  <c r="N105" i="73"/>
  <c r="V55" i="73"/>
  <c r="J42" i="73"/>
  <c r="U47" i="73"/>
  <c r="X117" i="70"/>
  <c r="V117" i="70"/>
  <c r="K106" i="68"/>
  <c r="L43" i="68"/>
  <c r="H76" i="64"/>
  <c r="H104" i="64" s="1"/>
  <c r="K41" i="65"/>
  <c r="R53" i="68"/>
  <c r="T53" i="73"/>
  <c r="Y43" i="68"/>
  <c r="D67" i="70"/>
  <c r="P50" i="73"/>
  <c r="F43" i="72"/>
  <c r="F43" i="73"/>
  <c r="Y43" i="71"/>
  <c r="M47" i="73"/>
  <c r="R54" i="73"/>
  <c r="Q54" i="73"/>
  <c r="X43" i="68"/>
  <c r="L106" i="68"/>
  <c r="M43" i="68"/>
  <c r="M43" i="72"/>
  <c r="X117" i="69"/>
  <c r="X54" i="69"/>
  <c r="Y54" i="69"/>
  <c r="Y117" i="69"/>
  <c r="Z54" i="69"/>
  <c r="Q43" i="64"/>
  <c r="M49" i="65"/>
  <c r="P49" i="65"/>
  <c r="P43" i="72"/>
  <c r="V118" i="68"/>
  <c r="V55" i="68"/>
  <c r="W55" i="68"/>
  <c r="R118" i="68"/>
  <c r="R55" i="68"/>
  <c r="S55" i="68"/>
  <c r="Y118" i="68"/>
  <c r="Z55" i="68"/>
  <c r="AA42" i="65"/>
  <c r="Z77" i="65"/>
  <c r="Z105" i="65" s="1"/>
  <c r="W77" i="65"/>
  <c r="W105" i="65" s="1"/>
  <c r="X42" i="65"/>
  <c r="S42" i="69"/>
  <c r="R105" i="69"/>
  <c r="T105" i="69"/>
  <c r="O42" i="69"/>
  <c r="N105" i="69"/>
  <c r="X105" i="69"/>
  <c r="U105" i="69"/>
  <c r="O105" i="70"/>
  <c r="V105" i="70"/>
  <c r="R77" i="64"/>
  <c r="R105" i="64" s="1"/>
  <c r="S42" i="64"/>
  <c r="V106" i="71"/>
  <c r="W43" i="71"/>
  <c r="X43" i="71"/>
  <c r="W106" i="71"/>
  <c r="I106" i="71"/>
  <c r="J43" i="71"/>
  <c r="U106" i="71"/>
  <c r="U43" i="71"/>
  <c r="I42" i="73"/>
  <c r="H105" i="73"/>
  <c r="I107" i="71"/>
  <c r="I44" i="71"/>
  <c r="J44" i="71"/>
  <c r="T44" i="71"/>
  <c r="S107" i="71"/>
  <c r="O107" i="71"/>
  <c r="P44" i="71"/>
  <c r="V110" i="73"/>
  <c r="W47" i="73"/>
  <c r="R110" i="73"/>
  <c r="S47" i="73"/>
  <c r="AB47" i="73"/>
  <c r="AA110" i="73"/>
  <c r="W76" i="64"/>
  <c r="W104" i="64" s="1"/>
  <c r="W41" i="64"/>
  <c r="H44" i="69"/>
  <c r="H107" i="69"/>
  <c r="T115" i="70"/>
  <c r="Z115" i="70"/>
  <c r="J41" i="65"/>
  <c r="K44" i="64"/>
  <c r="O43" i="64"/>
  <c r="N43" i="64"/>
  <c r="R49" i="65"/>
  <c r="Q47" i="64"/>
  <c r="T77" i="65"/>
  <c r="T105" i="65" s="1"/>
  <c r="U42" i="65"/>
  <c r="U77" i="65"/>
  <c r="U105" i="65" s="1"/>
  <c r="V42" i="65"/>
  <c r="L105" i="69"/>
  <c r="M42" i="69"/>
  <c r="S105" i="69"/>
  <c r="T42" i="69"/>
  <c r="E105" i="69"/>
  <c r="F42" i="69"/>
  <c r="U105" i="70"/>
  <c r="Z105" i="70"/>
  <c r="L105" i="70"/>
  <c r="F105" i="70"/>
  <c r="X77" i="64"/>
  <c r="X105" i="64" s="1"/>
  <c r="X42" i="64"/>
  <c r="Y42" i="64"/>
  <c r="U77" i="64"/>
  <c r="U105" i="64" s="1"/>
  <c r="U42" i="64"/>
  <c r="V42" i="64"/>
  <c r="F106" i="71"/>
  <c r="G43" i="71"/>
  <c r="G106" i="71"/>
  <c r="H43" i="71"/>
  <c r="F43" i="71"/>
  <c r="E106" i="71"/>
  <c r="Y42" i="73"/>
  <c r="X105" i="73"/>
  <c r="K42" i="73"/>
  <c r="J105" i="73"/>
  <c r="L42" i="73"/>
  <c r="K105" i="73"/>
  <c r="T107" i="71"/>
  <c r="U44" i="71"/>
  <c r="F107" i="71"/>
  <c r="G44" i="71"/>
  <c r="R44" i="71"/>
  <c r="Q107" i="71"/>
  <c r="R107" i="71"/>
  <c r="S44" i="71"/>
  <c r="Z110" i="73"/>
  <c r="AA47" i="73"/>
  <c r="AA107" i="69"/>
  <c r="AB44" i="69"/>
  <c r="AB44" i="71"/>
  <c r="G41" i="65"/>
  <c r="O41" i="65"/>
  <c r="P45" i="65"/>
  <c r="AB131" i="71"/>
  <c r="R51" i="72"/>
  <c r="T42" i="72"/>
  <c r="G42" i="72"/>
  <c r="R42" i="72"/>
  <c r="R43" i="73"/>
  <c r="X118" i="68"/>
  <c r="Y55" i="68"/>
  <c r="AA77" i="65"/>
  <c r="AA105" i="65" s="1"/>
  <c r="AB42" i="65"/>
  <c r="V77" i="65"/>
  <c r="V105" i="65" s="1"/>
  <c r="W42" i="65"/>
  <c r="AA105" i="69"/>
  <c r="AB42" i="69"/>
  <c r="M105" i="69"/>
  <c r="N42" i="69"/>
  <c r="W42" i="69"/>
  <c r="X42" i="69"/>
  <c r="W105" i="69"/>
  <c r="J42" i="69"/>
  <c r="AA42" i="69"/>
  <c r="Z105" i="69"/>
  <c r="M105" i="70"/>
  <c r="S77" i="64"/>
  <c r="S105" i="64" s="1"/>
  <c r="T42" i="64"/>
  <c r="V77" i="64"/>
  <c r="V105" i="64" s="1"/>
  <c r="W42" i="64"/>
  <c r="AA77" i="64"/>
  <c r="AA105" i="64" s="1"/>
  <c r="AB42" i="64"/>
  <c r="R43" i="71"/>
  <c r="S43" i="71"/>
  <c r="R106" i="71"/>
  <c r="S106" i="71"/>
  <c r="T43" i="71"/>
  <c r="H106" i="71"/>
  <c r="I43" i="71"/>
  <c r="M42" i="73"/>
  <c r="M105" i="73"/>
  <c r="E42" i="73"/>
  <c r="D105" i="73"/>
  <c r="W107" i="71"/>
  <c r="X44" i="71"/>
  <c r="U107" i="71"/>
  <c r="V44" i="71"/>
  <c r="J107" i="71"/>
  <c r="K44" i="71"/>
  <c r="G44" i="69"/>
  <c r="F107" i="69"/>
  <c r="Y44" i="71"/>
  <c r="X107" i="71"/>
  <c r="R115" i="70"/>
  <c r="AA118" i="68"/>
  <c r="AA55" i="68"/>
  <c r="AB55" i="68"/>
  <c r="W118" i="68"/>
  <c r="X55" i="68"/>
  <c r="S118" i="68"/>
  <c r="T55" i="68"/>
  <c r="Y77" i="65"/>
  <c r="Y105" i="65" s="1"/>
  <c r="Z42" i="65"/>
  <c r="S42" i="65"/>
  <c r="T42" i="65"/>
  <c r="S77" i="65"/>
  <c r="S105" i="65" s="1"/>
  <c r="K105" i="69"/>
  <c r="G42" i="69"/>
  <c r="G105" i="69"/>
  <c r="J105" i="69"/>
  <c r="D105" i="70"/>
  <c r="Z77" i="64"/>
  <c r="Z105" i="64" s="1"/>
  <c r="Z42" i="64"/>
  <c r="AA42" i="64"/>
  <c r="K43" i="71"/>
  <c r="K106" i="71"/>
  <c r="Y106" i="71"/>
  <c r="Z43" i="71"/>
  <c r="N106" i="71"/>
  <c r="O43" i="71"/>
  <c r="AA43" i="71"/>
  <c r="AA106" i="71"/>
  <c r="AB43" i="71"/>
  <c r="Q42" i="73"/>
  <c r="P105" i="73"/>
  <c r="P42" i="73"/>
  <c r="O105" i="73"/>
  <c r="AB42" i="73"/>
  <c r="AA105" i="73"/>
  <c r="G107" i="71"/>
  <c r="H44" i="71"/>
  <c r="Q44" i="71"/>
  <c r="P107" i="71"/>
  <c r="L44" i="71"/>
  <c r="L107" i="71"/>
  <c r="M44" i="71"/>
  <c r="AA115" i="70"/>
  <c r="W44" i="71"/>
  <c r="N76" i="65"/>
  <c r="N104" i="65" s="1"/>
  <c r="H41" i="65"/>
  <c r="K45" i="65"/>
  <c r="K80" i="65"/>
  <c r="K108" i="65" s="1"/>
  <c r="O43" i="72"/>
  <c r="U44" i="72"/>
  <c r="G105" i="72"/>
  <c r="Q106" i="72"/>
  <c r="Q114" i="72"/>
  <c r="J44" i="72"/>
  <c r="O106" i="72"/>
  <c r="Q51" i="72"/>
  <c r="W117" i="73"/>
  <c r="AA54" i="73"/>
  <c r="T55" i="71"/>
  <c r="M50" i="73"/>
  <c r="M45" i="65"/>
  <c r="M41" i="65"/>
  <c r="P52" i="65"/>
  <c r="T49" i="72"/>
  <c r="AB44" i="72"/>
  <c r="S49" i="72"/>
  <c r="W42" i="72"/>
  <c r="F106" i="72"/>
  <c r="N51" i="72"/>
  <c r="Y54" i="73"/>
  <c r="J44" i="64"/>
  <c r="P44" i="64"/>
  <c r="R45" i="65"/>
  <c r="H43" i="73"/>
  <c r="R106" i="73"/>
  <c r="O43" i="73"/>
  <c r="Z53" i="73"/>
  <c r="H43" i="72"/>
  <c r="V43" i="72"/>
  <c r="G43" i="73"/>
  <c r="R49" i="72"/>
  <c r="O51" i="72"/>
  <c r="T51" i="72"/>
  <c r="M42" i="72"/>
  <c r="P43" i="73"/>
  <c r="Z107" i="71"/>
  <c r="AA44" i="71"/>
  <c r="Z44" i="71"/>
  <c r="AA88" i="64"/>
  <c r="AA116" i="64" s="1"/>
  <c r="AB53" i="64"/>
  <c r="M49" i="69"/>
  <c r="M112" i="69"/>
  <c r="AA90" i="65"/>
  <c r="AA118" i="65" s="1"/>
  <c r="AB55" i="65"/>
  <c r="U49" i="69"/>
  <c r="T49" i="69"/>
  <c r="T112" i="69"/>
  <c r="T111" i="70"/>
  <c r="Y86" i="65"/>
  <c r="Y114" i="65" s="1"/>
  <c r="Z84" i="64"/>
  <c r="Z112" i="64" s="1"/>
  <c r="AA49" i="64"/>
  <c r="AB115" i="69"/>
  <c r="AB52" i="69"/>
  <c r="X52" i="69"/>
  <c r="X115" i="69"/>
  <c r="W45" i="69"/>
  <c r="V108" i="69"/>
  <c r="AB116" i="68"/>
  <c r="AB53" i="68"/>
  <c r="U85" i="65"/>
  <c r="U113" i="65" s="1"/>
  <c r="V50" i="65"/>
  <c r="W50" i="69"/>
  <c r="V113" i="69"/>
  <c r="S113" i="70"/>
  <c r="AA114" i="71"/>
  <c r="AB51" i="71"/>
  <c r="Z114" i="71"/>
  <c r="AA51" i="71"/>
  <c r="V52" i="71"/>
  <c r="U115" i="71"/>
  <c r="F43" i="64"/>
  <c r="J47" i="64"/>
  <c r="R55" i="64"/>
  <c r="P43" i="64"/>
  <c r="M43" i="64"/>
  <c r="R47" i="64"/>
  <c r="G43" i="64"/>
  <c r="I44" i="64"/>
  <c r="Q44" i="64"/>
  <c r="Q41" i="65"/>
  <c r="R41" i="65"/>
  <c r="H45" i="65"/>
  <c r="Q49" i="65"/>
  <c r="R50" i="65"/>
  <c r="L41" i="65"/>
  <c r="I45" i="65"/>
  <c r="Q45" i="65"/>
  <c r="R44" i="72"/>
  <c r="O42" i="72"/>
  <c r="X43" i="72"/>
  <c r="V51" i="72"/>
  <c r="V49" i="72"/>
  <c r="AA42" i="72"/>
  <c r="AA43" i="72"/>
  <c r="S51" i="72"/>
  <c r="L44" i="72"/>
  <c r="U49" i="72"/>
  <c r="Y42" i="72"/>
  <c r="G43" i="72"/>
  <c r="Y43" i="72"/>
  <c r="P51" i="72"/>
  <c r="M44" i="72"/>
  <c r="Y55" i="73"/>
  <c r="X53" i="73"/>
  <c r="Y50" i="73"/>
  <c r="M113" i="73"/>
  <c r="N49" i="69"/>
  <c r="W113" i="70"/>
  <c r="AA117" i="69"/>
  <c r="AB54" i="69"/>
  <c r="AA54" i="69"/>
  <c r="R112" i="70"/>
  <c r="X88" i="64"/>
  <c r="X116" i="64" s="1"/>
  <c r="Y53" i="64"/>
  <c r="X53" i="64"/>
  <c r="AA49" i="69"/>
  <c r="AA112" i="69"/>
  <c r="AB49" i="69"/>
  <c r="U54" i="69"/>
  <c r="T117" i="69"/>
  <c r="V112" i="70"/>
  <c r="Y90" i="65"/>
  <c r="Y118" i="65" s="1"/>
  <c r="Z55" i="65"/>
  <c r="Y55" i="65"/>
  <c r="W52" i="71"/>
  <c r="W115" i="71"/>
  <c r="X85" i="65"/>
  <c r="X113" i="65" s="1"/>
  <c r="Y50" i="65"/>
  <c r="T85" i="65"/>
  <c r="T113" i="65" s="1"/>
  <c r="U50" i="65"/>
  <c r="AB50" i="69"/>
  <c r="AA113" i="69"/>
  <c r="AA50" i="69"/>
  <c r="L113" i="69"/>
  <c r="M50" i="69"/>
  <c r="P113" i="69"/>
  <c r="Q50" i="69"/>
  <c r="Z85" i="64"/>
  <c r="Z113" i="64" s="1"/>
  <c r="AA50" i="64"/>
  <c r="Z50" i="64"/>
  <c r="Q115" i="71"/>
  <c r="Q52" i="71"/>
  <c r="Z55" i="73"/>
  <c r="O78" i="64"/>
  <c r="O106" i="64" s="1"/>
  <c r="P79" i="64"/>
  <c r="P107" i="64" s="1"/>
  <c r="N49" i="65"/>
  <c r="P84" i="65"/>
  <c r="P112" i="65" s="1"/>
  <c r="N45" i="65"/>
  <c r="Q80" i="65"/>
  <c r="Q108" i="65" s="1"/>
  <c r="P53" i="65"/>
  <c r="I41" i="65"/>
  <c r="K111" i="70"/>
  <c r="Z106" i="72"/>
  <c r="O114" i="72"/>
  <c r="X118" i="73"/>
  <c r="W43" i="73"/>
  <c r="M43" i="73"/>
  <c r="K43" i="73"/>
  <c r="U50" i="69"/>
  <c r="W54" i="73"/>
  <c r="S43" i="73"/>
  <c r="Q117" i="69"/>
  <c r="S112" i="70"/>
  <c r="U90" i="65"/>
  <c r="U118" i="65" s="1"/>
  <c r="U55" i="65"/>
  <c r="V55" i="65"/>
  <c r="P49" i="69"/>
  <c r="O112" i="69"/>
  <c r="U117" i="69"/>
  <c r="V54" i="69"/>
  <c r="V89" i="65"/>
  <c r="V117" i="65" s="1"/>
  <c r="Z90" i="65"/>
  <c r="Z118" i="65" s="1"/>
  <c r="U88" i="64"/>
  <c r="U116" i="64" s="1"/>
  <c r="V53" i="64"/>
  <c r="U53" i="64"/>
  <c r="R112" i="69"/>
  <c r="S49" i="69"/>
  <c r="O115" i="69"/>
  <c r="P52" i="69"/>
  <c r="U108" i="69"/>
  <c r="V45" i="69"/>
  <c r="W108" i="69"/>
  <c r="X45" i="69"/>
  <c r="AA50" i="65"/>
  <c r="Z50" i="65"/>
  <c r="Z85" i="65"/>
  <c r="Z113" i="65" s="1"/>
  <c r="W85" i="65"/>
  <c r="W113" i="65" s="1"/>
  <c r="W50" i="65"/>
  <c r="X50" i="65"/>
  <c r="S85" i="65"/>
  <c r="S113" i="65" s="1"/>
  <c r="T50" i="65"/>
  <c r="Z50" i="69"/>
  <c r="Y113" i="69"/>
  <c r="W113" i="69"/>
  <c r="X50" i="69"/>
  <c r="N114" i="71"/>
  <c r="O51" i="71"/>
  <c r="N146" i="52"/>
  <c r="Q82" i="64"/>
  <c r="Q110" i="64" s="1"/>
  <c r="O45" i="65"/>
  <c r="P76" i="65"/>
  <c r="P104" i="65" s="1"/>
  <c r="O41" i="64"/>
  <c r="M84" i="65"/>
  <c r="M112" i="65" s="1"/>
  <c r="Q49" i="72"/>
  <c r="U43" i="72"/>
  <c r="L43" i="72"/>
  <c r="L42" i="72"/>
  <c r="G44" i="72"/>
  <c r="T113" i="69"/>
  <c r="T112" i="70"/>
  <c r="Q112" i="69"/>
  <c r="R49" i="69"/>
  <c r="Q49" i="69"/>
  <c r="V117" i="69"/>
  <c r="W54" i="69"/>
  <c r="X112" i="70"/>
  <c r="Z88" i="64"/>
  <c r="Z116" i="64" s="1"/>
  <c r="Z53" i="64"/>
  <c r="AA53" i="64"/>
  <c r="V115" i="69"/>
  <c r="W52" i="69"/>
  <c r="R115" i="69"/>
  <c r="R52" i="69"/>
  <c r="S52" i="69"/>
  <c r="I45" i="69"/>
  <c r="H108" i="69"/>
  <c r="J108" i="69"/>
  <c r="J45" i="69"/>
  <c r="S50" i="65"/>
  <c r="R85" i="65"/>
  <c r="R113" i="65" s="1"/>
  <c r="X113" i="69"/>
  <c r="Y50" i="69"/>
  <c r="U113" i="69"/>
  <c r="V50" i="69"/>
  <c r="AA115" i="71"/>
  <c r="AB52" i="71"/>
  <c r="O115" i="71"/>
  <c r="P52" i="71"/>
  <c r="Z51" i="71"/>
  <c r="Y114" i="71"/>
  <c r="S51" i="71"/>
  <c r="R114" i="71"/>
  <c r="Y76" i="64"/>
  <c r="Y104" i="64" s="1"/>
  <c r="Z41" i="64"/>
  <c r="Y107" i="69"/>
  <c r="Z44" i="69"/>
  <c r="Y44" i="69"/>
  <c r="X115" i="71"/>
  <c r="X52" i="71"/>
  <c r="Y52" i="71"/>
  <c r="U114" i="71"/>
  <c r="V51" i="71"/>
  <c r="V114" i="71"/>
  <c r="W51" i="71"/>
  <c r="X76" i="64"/>
  <c r="X104" i="64" s="1"/>
  <c r="X41" i="64"/>
  <c r="Y41" i="64"/>
  <c r="S76" i="64"/>
  <c r="S104" i="64" s="1"/>
  <c r="T41" i="64"/>
  <c r="J107" i="69"/>
  <c r="K44" i="69"/>
  <c r="N48" i="69"/>
  <c r="O48" i="69"/>
  <c r="N111" i="69"/>
  <c r="Q50" i="73"/>
  <c r="X89" i="64"/>
  <c r="X117" i="64" s="1"/>
  <c r="Y54" i="64"/>
  <c r="P106" i="73"/>
  <c r="Q43" i="73"/>
  <c r="M106" i="73"/>
  <c r="N43" i="73"/>
  <c r="T115" i="71"/>
  <c r="U52" i="71"/>
  <c r="AA50" i="73"/>
  <c r="AA113" i="73"/>
  <c r="AB50" i="73"/>
  <c r="Y116" i="69"/>
  <c r="Z53" i="69"/>
  <c r="V44" i="69"/>
  <c r="W44" i="69"/>
  <c r="V107" i="69"/>
  <c r="X114" i="71"/>
  <c r="X51" i="71"/>
  <c r="Y51" i="71"/>
  <c r="U85" i="64"/>
  <c r="U113" i="64" s="1"/>
  <c r="S53" i="69"/>
  <c r="R116" i="69"/>
  <c r="AA44" i="69"/>
  <c r="Z107" i="69"/>
  <c r="R118" i="71"/>
  <c r="S55" i="71"/>
  <c r="T89" i="64"/>
  <c r="T117" i="64" s="1"/>
  <c r="T54" i="64"/>
  <c r="U54" i="64"/>
  <c r="AA89" i="64"/>
  <c r="AA117" i="64" s="1"/>
  <c r="AB54" i="64"/>
  <c r="W89" i="64"/>
  <c r="W117" i="64" s="1"/>
  <c r="X54" i="64"/>
  <c r="Z118" i="71"/>
  <c r="AA55" i="71"/>
  <c r="U43" i="73"/>
  <c r="T106" i="73"/>
  <c r="Y106" i="73"/>
  <c r="Z43" i="73"/>
  <c r="X106" i="73"/>
  <c r="Y43" i="73"/>
  <c r="N115" i="71"/>
  <c r="O52" i="71"/>
  <c r="S114" i="71"/>
  <c r="T51" i="71"/>
  <c r="Q51" i="71"/>
  <c r="P51" i="71"/>
  <c r="P114" i="71"/>
  <c r="Z116" i="70"/>
  <c r="T76" i="64"/>
  <c r="T104" i="64" s="1"/>
  <c r="U41" i="64"/>
  <c r="P44" i="69"/>
  <c r="Q44" i="69"/>
  <c r="P107" i="69"/>
  <c r="W107" i="69"/>
  <c r="X44" i="69"/>
  <c r="R51" i="71"/>
  <c r="Q114" i="71"/>
  <c r="Z50" i="73"/>
  <c r="Z113" i="73"/>
  <c r="Y116" i="70"/>
  <c r="S50" i="64"/>
  <c r="Z78" i="65"/>
  <c r="Z106" i="65" s="1"/>
  <c r="U44" i="69"/>
  <c r="T107" i="69"/>
  <c r="K107" i="69"/>
  <c r="L44" i="69"/>
  <c r="R89" i="64"/>
  <c r="R117" i="64" s="1"/>
  <c r="S54" i="64"/>
  <c r="AB43" i="73"/>
  <c r="AA106" i="73"/>
  <c r="I43" i="73"/>
  <c r="H106" i="73"/>
  <c r="J43" i="73"/>
  <c r="I106" i="73"/>
  <c r="V50" i="73"/>
  <c r="V113" i="73"/>
  <c r="T50" i="73"/>
  <c r="T113" i="73"/>
  <c r="U50" i="73"/>
  <c r="X116" i="70"/>
  <c r="S116" i="69"/>
  <c r="I107" i="69"/>
  <c r="J44" i="69"/>
  <c r="I44" i="69"/>
  <c r="S44" i="69"/>
  <c r="S107" i="69"/>
  <c r="T44" i="69"/>
  <c r="S52" i="71"/>
  <c r="S115" i="71"/>
  <c r="T52" i="71"/>
  <c r="R76" i="64"/>
  <c r="R104" i="64" s="1"/>
  <c r="S41" i="64"/>
  <c r="X116" i="69"/>
  <c r="Y53" i="69"/>
  <c r="M107" i="69"/>
  <c r="M44" i="69"/>
  <c r="N44" i="69"/>
  <c r="Z89" i="64"/>
  <c r="Z117" i="64" s="1"/>
  <c r="AA54" i="64"/>
  <c r="V89" i="64"/>
  <c r="V117" i="64" s="1"/>
  <c r="V54" i="64"/>
  <c r="W54" i="64"/>
  <c r="Y89" i="64"/>
  <c r="Y117" i="64" s="1"/>
  <c r="Z54" i="64"/>
  <c r="W55" i="71"/>
  <c r="V118" i="71"/>
  <c r="Y117" i="73"/>
  <c r="Z54" i="73"/>
  <c r="U106" i="73"/>
  <c r="V43" i="73"/>
  <c r="Z52" i="71"/>
  <c r="AA52" i="71"/>
  <c r="Z115" i="71"/>
  <c r="O150" i="52"/>
  <c r="N145" i="52"/>
  <c r="O149" i="52"/>
  <c r="Q108" i="70"/>
  <c r="N107" i="70"/>
  <c r="Y108" i="70"/>
  <c r="V107" i="70"/>
  <c r="AA111" i="70"/>
  <c r="Y84" i="64"/>
  <c r="Y112" i="64" s="1"/>
  <c r="Z49" i="64"/>
  <c r="N115" i="69"/>
  <c r="G108" i="69"/>
  <c r="H45" i="69"/>
  <c r="Y45" i="69"/>
  <c r="Z45" i="69"/>
  <c r="Y108" i="69"/>
  <c r="K108" i="69"/>
  <c r="L45" i="69"/>
  <c r="K45" i="69"/>
  <c r="P108" i="70"/>
  <c r="I107" i="70"/>
  <c r="Q111" i="69"/>
  <c r="R48" i="69"/>
  <c r="Y111" i="69"/>
  <c r="Z48" i="69"/>
  <c r="J111" i="69"/>
  <c r="K48" i="69"/>
  <c r="I104" i="69"/>
  <c r="J41" i="69"/>
  <c r="U41" i="69"/>
  <c r="T104" i="69"/>
  <c r="H104" i="69"/>
  <c r="I41" i="69"/>
  <c r="U104" i="69"/>
  <c r="V41" i="69"/>
  <c r="G104" i="69"/>
  <c r="H41" i="69"/>
  <c r="R104" i="70"/>
  <c r="Z104" i="70"/>
  <c r="W107" i="70"/>
  <c r="U107" i="70"/>
  <c r="T107" i="70"/>
  <c r="AB84" i="64"/>
  <c r="AB112" i="64" s="1"/>
  <c r="AB49" i="64"/>
  <c r="R84" i="64"/>
  <c r="R112" i="64" s="1"/>
  <c r="S49" i="64"/>
  <c r="Z115" i="69"/>
  <c r="Z52" i="69"/>
  <c r="O108" i="69"/>
  <c r="P45" i="69"/>
  <c r="M108" i="69"/>
  <c r="N45" i="69"/>
  <c r="M45" i="69"/>
  <c r="O45" i="69"/>
  <c r="N108" i="69"/>
  <c r="N108" i="70"/>
  <c r="O108" i="70"/>
  <c r="Z107" i="70"/>
  <c r="I108" i="68"/>
  <c r="I45" i="68"/>
  <c r="Y45" i="64"/>
  <c r="X45" i="64"/>
  <c r="X111" i="69"/>
  <c r="Y48" i="69"/>
  <c r="M48" i="69"/>
  <c r="L111" i="69"/>
  <c r="AB48" i="69"/>
  <c r="AA111" i="69"/>
  <c r="P48" i="69"/>
  <c r="P111" i="69"/>
  <c r="Q48" i="69"/>
  <c r="V48" i="69"/>
  <c r="U48" i="69"/>
  <c r="U111" i="69"/>
  <c r="D41" i="69"/>
  <c r="D67" i="69" s="1"/>
  <c r="D104" i="69"/>
  <c r="E41" i="69"/>
  <c r="K104" i="69"/>
  <c r="L41" i="69"/>
  <c r="W104" i="69"/>
  <c r="X41" i="69"/>
  <c r="E104" i="69"/>
  <c r="F41" i="69"/>
  <c r="W41" i="69"/>
  <c r="V104" i="69"/>
  <c r="L104" i="69"/>
  <c r="M41" i="69"/>
  <c r="F104" i="70"/>
  <c r="W104" i="70"/>
  <c r="W108" i="70"/>
  <c r="G107" i="70"/>
  <c r="R107" i="70"/>
  <c r="S84" i="64"/>
  <c r="S112" i="64" s="1"/>
  <c r="T49" i="64"/>
  <c r="U84" i="64"/>
  <c r="U112" i="64" s="1"/>
  <c r="V49" i="64"/>
  <c r="U49" i="64"/>
  <c r="U115" i="69"/>
  <c r="V52" i="69"/>
  <c r="R45" i="69"/>
  <c r="Q108" i="69"/>
  <c r="R108" i="69"/>
  <c r="S45" i="69"/>
  <c r="Q45" i="69"/>
  <c r="P108" i="69"/>
  <c r="J108" i="70"/>
  <c r="S104" i="69"/>
  <c r="T41" i="69"/>
  <c r="S80" i="64"/>
  <c r="S108" i="64" s="1"/>
  <c r="Y80" i="64"/>
  <c r="Y108" i="64" s="1"/>
  <c r="Z45" i="64"/>
  <c r="Z80" i="64"/>
  <c r="Z108" i="64" s="1"/>
  <c r="X48" i="69"/>
  <c r="W111" i="69"/>
  <c r="L48" i="69"/>
  <c r="K111" i="69"/>
  <c r="Z111" i="69"/>
  <c r="AA48" i="69"/>
  <c r="T48" i="69"/>
  <c r="S111" i="69"/>
  <c r="P41" i="69"/>
  <c r="O104" i="69"/>
  <c r="S41" i="69"/>
  <c r="R104" i="69"/>
  <c r="AA41" i="69"/>
  <c r="Z104" i="69"/>
  <c r="Q41" i="69"/>
  <c r="P104" i="69"/>
  <c r="G41" i="69"/>
  <c r="F104" i="69"/>
  <c r="S104" i="70"/>
  <c r="V104" i="70"/>
  <c r="Q107" i="70"/>
  <c r="AA108" i="70"/>
  <c r="AA107" i="70"/>
  <c r="J107" i="70"/>
  <c r="O107" i="70"/>
  <c r="V84" i="64"/>
  <c r="V112" i="64" s="1"/>
  <c r="W49" i="64"/>
  <c r="W84" i="64"/>
  <c r="W112" i="64" s="1"/>
  <c r="X49" i="64"/>
  <c r="X84" i="64"/>
  <c r="X112" i="64" s="1"/>
  <c r="Y49" i="64"/>
  <c r="U52" i="69"/>
  <c r="T52" i="69"/>
  <c r="T115" i="69"/>
  <c r="T45" i="69"/>
  <c r="U45" i="69"/>
  <c r="T108" i="69"/>
  <c r="AA108" i="69"/>
  <c r="AA45" i="69"/>
  <c r="AB45" i="69"/>
  <c r="S108" i="70"/>
  <c r="Y104" i="70"/>
  <c r="AA80" i="64"/>
  <c r="AA108" i="64" s="1"/>
  <c r="R111" i="69"/>
  <c r="S48" i="69"/>
  <c r="V111" i="69"/>
  <c r="W48" i="69"/>
  <c r="O41" i="69"/>
  <c r="N104" i="69"/>
  <c r="Y104" i="69"/>
  <c r="Z41" i="69"/>
  <c r="Y41" i="69"/>
  <c r="M104" i="69"/>
  <c r="N41" i="69"/>
  <c r="K41" i="69"/>
  <c r="J104" i="69"/>
  <c r="Q104" i="69"/>
  <c r="R41" i="69"/>
  <c r="AB41" i="69"/>
  <c r="AA104" i="69"/>
  <c r="J139" i="52"/>
  <c r="N139" i="52"/>
  <c r="AA54" i="71"/>
  <c r="Z117" i="71"/>
  <c r="S117" i="71"/>
  <c r="T54" i="71"/>
  <c r="Y117" i="71"/>
  <c r="Z54" i="71"/>
  <c r="T42" i="71"/>
  <c r="S105" i="71"/>
  <c r="H105" i="71"/>
  <c r="I42" i="71"/>
  <c r="X105" i="71"/>
  <c r="Y42" i="71"/>
  <c r="M105" i="71"/>
  <c r="N42" i="71"/>
  <c r="G42" i="71"/>
  <c r="F105" i="71"/>
  <c r="W42" i="71"/>
  <c r="V105" i="71"/>
  <c r="R46" i="71"/>
  <c r="Q109" i="71"/>
  <c r="O46" i="71"/>
  <c r="N109" i="71"/>
  <c r="L46" i="71"/>
  <c r="K109" i="71"/>
  <c r="AA109" i="71"/>
  <c r="AB46" i="71"/>
  <c r="U46" i="71"/>
  <c r="T109" i="71"/>
  <c r="Q50" i="71"/>
  <c r="P113" i="71"/>
  <c r="M113" i="71"/>
  <c r="N50" i="71"/>
  <c r="N113" i="71"/>
  <c r="O50" i="71"/>
  <c r="O113" i="71"/>
  <c r="P50" i="71"/>
  <c r="J146" i="52"/>
  <c r="J142" i="52"/>
  <c r="R117" i="71"/>
  <c r="S54" i="71"/>
  <c r="G105" i="71"/>
  <c r="H42" i="71"/>
  <c r="W105" i="71"/>
  <c r="X42" i="71"/>
  <c r="L105" i="71"/>
  <c r="M42" i="71"/>
  <c r="R42" i="71"/>
  <c r="Q105" i="71"/>
  <c r="K42" i="71"/>
  <c r="J105" i="71"/>
  <c r="AA42" i="71"/>
  <c r="Z105" i="71"/>
  <c r="U109" i="71"/>
  <c r="V46" i="71"/>
  <c r="R109" i="71"/>
  <c r="S46" i="71"/>
  <c r="P46" i="71"/>
  <c r="O109" i="71"/>
  <c r="I46" i="71"/>
  <c r="H109" i="71"/>
  <c r="Y46" i="71"/>
  <c r="X109" i="71"/>
  <c r="T113" i="71"/>
  <c r="U50" i="71"/>
  <c r="Q113" i="71"/>
  <c r="R50" i="71"/>
  <c r="R113" i="71"/>
  <c r="S50" i="71"/>
  <c r="T50" i="71"/>
  <c r="S113" i="71"/>
  <c r="R54" i="71"/>
  <c r="Q117" i="71"/>
  <c r="W54" i="71"/>
  <c r="V117" i="71"/>
  <c r="Q54" i="71"/>
  <c r="P117" i="71"/>
  <c r="L42" i="71"/>
  <c r="K105" i="71"/>
  <c r="AB42" i="71"/>
  <c r="AA105" i="71"/>
  <c r="P105" i="71"/>
  <c r="Q42" i="71"/>
  <c r="E105" i="71"/>
  <c r="F42" i="71"/>
  <c r="U105" i="71"/>
  <c r="V42" i="71"/>
  <c r="O42" i="71"/>
  <c r="N105" i="71"/>
  <c r="J46" i="71"/>
  <c r="I109" i="71"/>
  <c r="Z46" i="71"/>
  <c r="Y109" i="71"/>
  <c r="V109" i="71"/>
  <c r="W46" i="71"/>
  <c r="T46" i="71"/>
  <c r="S109" i="71"/>
  <c r="M46" i="71"/>
  <c r="L109" i="71"/>
  <c r="X113" i="71"/>
  <c r="Y50" i="71"/>
  <c r="U113" i="71"/>
  <c r="V50" i="71"/>
  <c r="V113" i="71"/>
  <c r="W50" i="71"/>
  <c r="W113" i="71"/>
  <c r="X50" i="71"/>
  <c r="U117" i="71"/>
  <c r="V54" i="71"/>
  <c r="T117" i="71"/>
  <c r="U54" i="71"/>
  <c r="O105" i="71"/>
  <c r="P42" i="71"/>
  <c r="D105" i="71"/>
  <c r="E42" i="71"/>
  <c r="T105" i="71"/>
  <c r="U42" i="71"/>
  <c r="J42" i="71"/>
  <c r="I105" i="71"/>
  <c r="Z42" i="71"/>
  <c r="Y105" i="71"/>
  <c r="S42" i="71"/>
  <c r="R105" i="71"/>
  <c r="M109" i="71"/>
  <c r="N46" i="71"/>
  <c r="K46" i="71"/>
  <c r="J109" i="71"/>
  <c r="Z109" i="71"/>
  <c r="AA46" i="71"/>
  <c r="W109" i="71"/>
  <c r="X46" i="71"/>
  <c r="Q46" i="71"/>
  <c r="P109" i="71"/>
  <c r="L113" i="71"/>
  <c r="M50" i="71"/>
  <c r="Y113" i="71"/>
  <c r="Z50" i="71"/>
  <c r="Z113" i="71"/>
  <c r="AA50" i="71"/>
  <c r="AB50" i="71"/>
  <c r="AA113" i="71"/>
  <c r="O139" i="52"/>
  <c r="O146" i="52"/>
  <c r="V112" i="71"/>
  <c r="W49" i="71"/>
  <c r="S112" i="71"/>
  <c r="T49" i="71"/>
  <c r="P112" i="71"/>
  <c r="Q49" i="71"/>
  <c r="N49" i="71"/>
  <c r="M112" i="71"/>
  <c r="R52" i="73"/>
  <c r="Q115" i="73"/>
  <c r="G41" i="71"/>
  <c r="F104" i="71"/>
  <c r="W41" i="71"/>
  <c r="V104" i="71"/>
  <c r="L41" i="71"/>
  <c r="K104" i="71"/>
  <c r="AB41" i="71"/>
  <c r="AA104" i="71"/>
  <c r="Q41" i="71"/>
  <c r="P104" i="71"/>
  <c r="E104" i="71"/>
  <c r="F41" i="71"/>
  <c r="U104" i="71"/>
  <c r="V41" i="71"/>
  <c r="Q44" i="73"/>
  <c r="P107" i="73"/>
  <c r="I107" i="73"/>
  <c r="J44" i="73"/>
  <c r="Y107" i="73"/>
  <c r="Z44" i="73"/>
  <c r="R107" i="73"/>
  <c r="S44" i="73"/>
  <c r="L44" i="73"/>
  <c r="K107" i="73"/>
  <c r="AB44" i="73"/>
  <c r="AA107" i="73"/>
  <c r="V52" i="73"/>
  <c r="U45" i="71"/>
  <c r="T108" i="71"/>
  <c r="N45" i="71"/>
  <c r="M108" i="71"/>
  <c r="J108" i="71"/>
  <c r="K45" i="71"/>
  <c r="Z108" i="71"/>
  <c r="AA45" i="71"/>
  <c r="T45" i="71"/>
  <c r="S108" i="71"/>
  <c r="O111" i="73"/>
  <c r="P48" i="73"/>
  <c r="L111" i="73"/>
  <c r="M48" i="73"/>
  <c r="Y111" i="73"/>
  <c r="Z48" i="73"/>
  <c r="W48" i="73"/>
  <c r="V111" i="73"/>
  <c r="Z116" i="68"/>
  <c r="AA53" i="68"/>
  <c r="V116" i="68"/>
  <c r="W53" i="68"/>
  <c r="W116" i="68"/>
  <c r="X53" i="68"/>
  <c r="S116" i="68"/>
  <c r="S53" i="68"/>
  <c r="T53" i="68"/>
  <c r="AA49" i="71"/>
  <c r="Z112" i="71"/>
  <c r="X49" i="71"/>
  <c r="W112" i="71"/>
  <c r="T112" i="71"/>
  <c r="U49" i="71"/>
  <c r="R49" i="71"/>
  <c r="Q112" i="71"/>
  <c r="Q52" i="73"/>
  <c r="P115" i="73"/>
  <c r="K41" i="71"/>
  <c r="J104" i="71"/>
  <c r="AA41" i="71"/>
  <c r="Z104" i="71"/>
  <c r="P41" i="71"/>
  <c r="O104" i="71"/>
  <c r="E41" i="71"/>
  <c r="D104" i="71"/>
  <c r="U41" i="71"/>
  <c r="T104" i="71"/>
  <c r="I104" i="71"/>
  <c r="J41" i="71"/>
  <c r="Y104" i="71"/>
  <c r="Z41" i="71"/>
  <c r="U44" i="73"/>
  <c r="T107" i="73"/>
  <c r="M107" i="73"/>
  <c r="N44" i="73"/>
  <c r="F107" i="73"/>
  <c r="G44" i="73"/>
  <c r="V107" i="73"/>
  <c r="W44" i="73"/>
  <c r="P44" i="73"/>
  <c r="O107" i="73"/>
  <c r="I45" i="71"/>
  <c r="H108" i="71"/>
  <c r="Y45" i="71"/>
  <c r="X108" i="71"/>
  <c r="Q108" i="71"/>
  <c r="R45" i="71"/>
  <c r="N108" i="71"/>
  <c r="O45" i="71"/>
  <c r="H45" i="71"/>
  <c r="G108" i="71"/>
  <c r="X45" i="71"/>
  <c r="W108" i="71"/>
  <c r="S111" i="73"/>
  <c r="T48" i="73"/>
  <c r="P111" i="73"/>
  <c r="Q48" i="73"/>
  <c r="M111" i="73"/>
  <c r="N48" i="73"/>
  <c r="K48" i="73"/>
  <c r="J111" i="73"/>
  <c r="AA48" i="73"/>
  <c r="Z111" i="73"/>
  <c r="U116" i="68"/>
  <c r="V53" i="68"/>
  <c r="Y116" i="68"/>
  <c r="Z53" i="68"/>
  <c r="J147" i="52"/>
  <c r="O49" i="71"/>
  <c r="N112" i="71"/>
  <c r="L49" i="71"/>
  <c r="K112" i="71"/>
  <c r="AA112" i="71"/>
  <c r="AB49" i="71"/>
  <c r="X112" i="71"/>
  <c r="Y49" i="71"/>
  <c r="V49" i="71"/>
  <c r="U112" i="71"/>
  <c r="T115" i="73"/>
  <c r="U52" i="73"/>
  <c r="Y52" i="73"/>
  <c r="X115" i="73"/>
  <c r="O41" i="71"/>
  <c r="N104" i="71"/>
  <c r="D41" i="71"/>
  <c r="D67" i="71" s="1"/>
  <c r="C104" i="71"/>
  <c r="C131" i="71" s="1"/>
  <c r="C134" i="71" s="1"/>
  <c r="T41" i="71"/>
  <c r="S104" i="71"/>
  <c r="I41" i="71"/>
  <c r="H104" i="71"/>
  <c r="Y41" i="71"/>
  <c r="X104" i="71"/>
  <c r="M104" i="71"/>
  <c r="N41" i="71"/>
  <c r="I44" i="73"/>
  <c r="H107" i="73"/>
  <c r="Y44" i="73"/>
  <c r="X107" i="73"/>
  <c r="Q107" i="73"/>
  <c r="R44" i="73"/>
  <c r="J107" i="73"/>
  <c r="K44" i="73"/>
  <c r="Z107" i="73"/>
  <c r="AA44" i="73"/>
  <c r="T44" i="73"/>
  <c r="S107" i="73"/>
  <c r="L108" i="71"/>
  <c r="M45" i="71"/>
  <c r="V45" i="71"/>
  <c r="U108" i="71"/>
  <c r="R108" i="71"/>
  <c r="S45" i="71"/>
  <c r="L45" i="71"/>
  <c r="K108" i="71"/>
  <c r="AB45" i="71"/>
  <c r="AA108" i="71"/>
  <c r="W111" i="73"/>
  <c r="X48" i="73"/>
  <c r="T111" i="73"/>
  <c r="U48" i="73"/>
  <c r="Q111" i="73"/>
  <c r="R48" i="73"/>
  <c r="O48" i="73"/>
  <c r="N111" i="73"/>
  <c r="T116" i="68"/>
  <c r="U53" i="68"/>
  <c r="X116" i="68"/>
  <c r="Y53" i="68"/>
  <c r="Z52" i="73"/>
  <c r="R112" i="71"/>
  <c r="S49" i="71"/>
  <c r="P49" i="71"/>
  <c r="O112" i="71"/>
  <c r="L112" i="71"/>
  <c r="M49" i="71"/>
  <c r="Z49" i="71"/>
  <c r="Y112" i="71"/>
  <c r="S41" i="71"/>
  <c r="R104" i="71"/>
  <c r="G104" i="71"/>
  <c r="H41" i="71"/>
  <c r="W104" i="71"/>
  <c r="X41" i="71"/>
  <c r="M41" i="71"/>
  <c r="L104" i="71"/>
  <c r="Q104" i="71"/>
  <c r="R41" i="71"/>
  <c r="M44" i="73"/>
  <c r="L107" i="73"/>
  <c r="U107" i="73"/>
  <c r="V44" i="73"/>
  <c r="N107" i="73"/>
  <c r="O44" i="73"/>
  <c r="H44" i="73"/>
  <c r="G107" i="73"/>
  <c r="X44" i="73"/>
  <c r="W107" i="73"/>
  <c r="Q45" i="71"/>
  <c r="P108" i="71"/>
  <c r="I108" i="71"/>
  <c r="J45" i="71"/>
  <c r="Z45" i="71"/>
  <c r="Y108" i="71"/>
  <c r="V108" i="71"/>
  <c r="W45" i="71"/>
  <c r="P45" i="71"/>
  <c r="O108" i="71"/>
  <c r="K111" i="73"/>
  <c r="L48" i="73"/>
  <c r="AA111" i="73"/>
  <c r="AB48" i="73"/>
  <c r="X111" i="73"/>
  <c r="Y48" i="73"/>
  <c r="V48" i="73"/>
  <c r="U111" i="73"/>
  <c r="S48" i="73"/>
  <c r="R111" i="73"/>
  <c r="N147" i="52"/>
  <c r="N144" i="52"/>
  <c r="Z116" i="73"/>
  <c r="AA53" i="73"/>
  <c r="R116" i="71"/>
  <c r="S53" i="71"/>
  <c r="S116" i="71"/>
  <c r="T53" i="71"/>
  <c r="F104" i="73"/>
  <c r="G41" i="73"/>
  <c r="V104" i="73"/>
  <c r="W41" i="73"/>
  <c r="L41" i="73"/>
  <c r="K104" i="73"/>
  <c r="AB41" i="73"/>
  <c r="AA104" i="73"/>
  <c r="Q41" i="73"/>
  <c r="P104" i="73"/>
  <c r="E104" i="73"/>
  <c r="E131" i="73" s="1"/>
  <c r="F41" i="73"/>
  <c r="U104" i="73"/>
  <c r="V41" i="73"/>
  <c r="Q45" i="73"/>
  <c r="P108" i="73"/>
  <c r="I108" i="73"/>
  <c r="J45" i="73"/>
  <c r="Z45" i="73"/>
  <c r="Y108" i="73"/>
  <c r="V108" i="73"/>
  <c r="W45" i="73"/>
  <c r="O108" i="73"/>
  <c r="P45" i="73"/>
  <c r="V112" i="73"/>
  <c r="W49" i="73"/>
  <c r="S112" i="73"/>
  <c r="T49" i="73"/>
  <c r="P112" i="73"/>
  <c r="Q49" i="73"/>
  <c r="M112" i="73"/>
  <c r="N49" i="73"/>
  <c r="N141" i="52"/>
  <c r="N142" i="52"/>
  <c r="N138" i="52"/>
  <c r="N143" i="52"/>
  <c r="O147" i="52"/>
  <c r="N150" i="52"/>
  <c r="N140" i="52"/>
  <c r="Q53" i="71"/>
  <c r="P116" i="71"/>
  <c r="R53" i="71"/>
  <c r="Q116" i="71"/>
  <c r="W53" i="71"/>
  <c r="V116" i="71"/>
  <c r="W116" i="71"/>
  <c r="X53" i="71"/>
  <c r="K41" i="73"/>
  <c r="J104" i="73"/>
  <c r="AA41" i="73"/>
  <c r="Z104" i="73"/>
  <c r="P41" i="73"/>
  <c r="O104" i="73"/>
  <c r="E41" i="73"/>
  <c r="D104" i="73"/>
  <c r="U41" i="73"/>
  <c r="T104" i="73"/>
  <c r="I104" i="73"/>
  <c r="J41" i="73"/>
  <c r="Y104" i="73"/>
  <c r="Z41" i="73"/>
  <c r="T108" i="73"/>
  <c r="U45" i="73"/>
  <c r="M108" i="73"/>
  <c r="N45" i="73"/>
  <c r="K45" i="73"/>
  <c r="J108" i="73"/>
  <c r="AA45" i="73"/>
  <c r="Z108" i="73"/>
  <c r="S108" i="73"/>
  <c r="T45" i="73"/>
  <c r="AA49" i="73"/>
  <c r="Z112" i="73"/>
  <c r="W112" i="73"/>
  <c r="X49" i="73"/>
  <c r="T112" i="73"/>
  <c r="U49" i="73"/>
  <c r="Q112" i="73"/>
  <c r="R49" i="73"/>
  <c r="T116" i="71"/>
  <c r="U53" i="71"/>
  <c r="U116" i="71"/>
  <c r="V53" i="71"/>
  <c r="Z116" i="71"/>
  <c r="AA53" i="71"/>
  <c r="AA116" i="71"/>
  <c r="AB53" i="71"/>
  <c r="N104" i="73"/>
  <c r="O41" i="73"/>
  <c r="D41" i="73"/>
  <c r="D67" i="73" s="1"/>
  <c r="C104" i="73"/>
  <c r="C131" i="73" s="1"/>
  <c r="C134" i="73" s="1"/>
  <c r="T41" i="73"/>
  <c r="S104" i="73"/>
  <c r="I41" i="73"/>
  <c r="H104" i="73"/>
  <c r="Y41" i="73"/>
  <c r="X104" i="73"/>
  <c r="M104" i="73"/>
  <c r="N41" i="73"/>
  <c r="I45" i="73"/>
  <c r="H108" i="73"/>
  <c r="Y45" i="73"/>
  <c r="X108" i="73"/>
  <c r="Q108" i="73"/>
  <c r="R45" i="73"/>
  <c r="O45" i="73"/>
  <c r="N108" i="73"/>
  <c r="G108" i="73"/>
  <c r="H45" i="73"/>
  <c r="W108" i="73"/>
  <c r="X45" i="73"/>
  <c r="N112" i="73"/>
  <c r="O49" i="73"/>
  <c r="K112" i="73"/>
  <c r="L49" i="73"/>
  <c r="AA112" i="73"/>
  <c r="AB49" i="73"/>
  <c r="X112" i="73"/>
  <c r="Y49" i="73"/>
  <c r="U112" i="73"/>
  <c r="V49" i="73"/>
  <c r="R116" i="73"/>
  <c r="S53" i="73"/>
  <c r="V116" i="73"/>
  <c r="W53" i="73"/>
  <c r="Y53" i="71"/>
  <c r="X116" i="71"/>
  <c r="Z53" i="71"/>
  <c r="Y116" i="71"/>
  <c r="O116" i="71"/>
  <c r="P53" i="71"/>
  <c r="S41" i="73"/>
  <c r="R104" i="73"/>
  <c r="H41" i="73"/>
  <c r="G104" i="73"/>
  <c r="X41" i="73"/>
  <c r="W104" i="73"/>
  <c r="M41" i="73"/>
  <c r="L104" i="73"/>
  <c r="Q104" i="73"/>
  <c r="R41" i="73"/>
  <c r="L108" i="73"/>
  <c r="M45" i="73"/>
  <c r="U108" i="73"/>
  <c r="V45" i="73"/>
  <c r="S45" i="73"/>
  <c r="R108" i="73"/>
  <c r="K108" i="73"/>
  <c r="L45" i="73"/>
  <c r="AA108" i="73"/>
  <c r="AB45" i="73"/>
  <c r="S49" i="73"/>
  <c r="R112" i="73"/>
  <c r="O112" i="73"/>
  <c r="P49" i="73"/>
  <c r="L112" i="73"/>
  <c r="M49" i="73"/>
  <c r="Y112" i="73"/>
  <c r="Z49" i="73"/>
  <c r="J149" i="52"/>
  <c r="K14" i="52"/>
  <c r="K83" i="52" s="1"/>
  <c r="O14" i="52"/>
  <c r="O83" i="52" s="1"/>
  <c r="S14" i="52"/>
  <c r="S83" i="52" s="1"/>
  <c r="W14" i="52"/>
  <c r="W83" i="52" s="1"/>
  <c r="AA14" i="52"/>
  <c r="AA83" i="52" s="1"/>
  <c r="L14" i="52"/>
  <c r="L83" i="52" s="1"/>
  <c r="P14" i="52"/>
  <c r="P83" i="52" s="1"/>
  <c r="T14" i="52"/>
  <c r="T83" i="52" s="1"/>
  <c r="X14" i="52"/>
  <c r="X83" i="52" s="1"/>
  <c r="AB14" i="52"/>
  <c r="AB83" i="52" s="1"/>
  <c r="J14" i="52"/>
  <c r="J83" i="52" s="1"/>
  <c r="M14" i="52"/>
  <c r="M83" i="52" s="1"/>
  <c r="Q14" i="52"/>
  <c r="Q83" i="52" s="1"/>
  <c r="U14" i="52"/>
  <c r="U83" i="52" s="1"/>
  <c r="Y14" i="52"/>
  <c r="Y83" i="52" s="1"/>
  <c r="Z14" i="52"/>
  <c r="Z83" i="52" s="1"/>
  <c r="N14" i="52"/>
  <c r="N83" i="52" s="1"/>
  <c r="R14" i="52"/>
  <c r="R83" i="52" s="1"/>
  <c r="V14" i="52"/>
  <c r="V83" i="52" s="1"/>
  <c r="X86" i="64"/>
  <c r="X114" i="64" s="1"/>
  <c r="Y51" i="64"/>
  <c r="AA86" i="64"/>
  <c r="AA114" i="64" s="1"/>
  <c r="AB51" i="64"/>
  <c r="Z86" i="64"/>
  <c r="Z114" i="64" s="1"/>
  <c r="AA51" i="64"/>
  <c r="Y86" i="64"/>
  <c r="Y114" i="64" s="1"/>
  <c r="Z51" i="64"/>
  <c r="AA76" i="65"/>
  <c r="AA104" i="65" s="1"/>
  <c r="AB41" i="65"/>
  <c r="S41" i="65"/>
  <c r="R76" i="65"/>
  <c r="R104" i="65" s="1"/>
  <c r="H106" i="69"/>
  <c r="I43" i="69"/>
  <c r="AA106" i="69"/>
  <c r="AB43" i="69"/>
  <c r="K106" i="69"/>
  <c r="L43" i="69"/>
  <c r="R106" i="69"/>
  <c r="S43" i="69"/>
  <c r="Y106" i="69"/>
  <c r="Z43" i="69"/>
  <c r="I106" i="69"/>
  <c r="J43" i="69"/>
  <c r="O106" i="70"/>
  <c r="G106" i="70"/>
  <c r="R106" i="70"/>
  <c r="E106" i="70"/>
  <c r="M106" i="70"/>
  <c r="T106" i="70"/>
  <c r="Z90" i="64"/>
  <c r="Z118" i="64" s="1"/>
  <c r="AA55" i="64"/>
  <c r="U90" i="64"/>
  <c r="U118" i="64" s="1"/>
  <c r="V55" i="64"/>
  <c r="AA90" i="64"/>
  <c r="AA118" i="64" s="1"/>
  <c r="AB55" i="64"/>
  <c r="R79" i="64"/>
  <c r="R107" i="64" s="1"/>
  <c r="S44" i="64"/>
  <c r="U79" i="64"/>
  <c r="U107" i="64" s="1"/>
  <c r="V44" i="64"/>
  <c r="AA80" i="65"/>
  <c r="AA108" i="65" s="1"/>
  <c r="AB45" i="65"/>
  <c r="Z80" i="65"/>
  <c r="Z108" i="65" s="1"/>
  <c r="AA45" i="65"/>
  <c r="U45" i="65"/>
  <c r="T80" i="65"/>
  <c r="T108" i="65" s="1"/>
  <c r="R110" i="69"/>
  <c r="S47" i="69"/>
  <c r="J47" i="69"/>
  <c r="I110" i="69"/>
  <c r="R47" i="69"/>
  <c r="Q110" i="69"/>
  <c r="U47" i="69"/>
  <c r="T110" i="69"/>
  <c r="W110" i="69"/>
  <c r="X47" i="69"/>
  <c r="U110" i="70"/>
  <c r="R110" i="70"/>
  <c r="T110" i="70"/>
  <c r="AA78" i="64"/>
  <c r="AA106" i="64" s="1"/>
  <c r="AB43" i="64"/>
  <c r="R78" i="64"/>
  <c r="R106" i="64" s="1"/>
  <c r="S43" i="64"/>
  <c r="Y78" i="64"/>
  <c r="Y106" i="64" s="1"/>
  <c r="Z43" i="64"/>
  <c r="U83" i="64"/>
  <c r="U111" i="64" s="1"/>
  <c r="V48" i="64"/>
  <c r="S83" i="64"/>
  <c r="S111" i="64" s="1"/>
  <c r="T48" i="64"/>
  <c r="V83" i="64"/>
  <c r="V111" i="64" s="1"/>
  <c r="W48" i="64"/>
  <c r="S114" i="69"/>
  <c r="T51" i="69"/>
  <c r="S51" i="69"/>
  <c r="R114" i="69"/>
  <c r="Q114" i="69"/>
  <c r="R51" i="69"/>
  <c r="T114" i="70"/>
  <c r="Z114" i="70"/>
  <c r="AB117" i="68"/>
  <c r="W117" i="68"/>
  <c r="R117" i="68"/>
  <c r="S54" i="68"/>
  <c r="V82" i="64"/>
  <c r="V110" i="64" s="1"/>
  <c r="W47" i="64"/>
  <c r="S82" i="64"/>
  <c r="S110" i="64" s="1"/>
  <c r="T47" i="64"/>
  <c r="V87" i="64"/>
  <c r="V115" i="64" s="1"/>
  <c r="W52" i="64"/>
  <c r="AB53" i="65"/>
  <c r="Q118" i="69"/>
  <c r="R55" i="69"/>
  <c r="V55" i="69"/>
  <c r="U118" i="69"/>
  <c r="AA118" i="69"/>
  <c r="AB55" i="69"/>
  <c r="R118" i="70"/>
  <c r="Y118" i="70"/>
  <c r="I150" i="52"/>
  <c r="L13" i="52"/>
  <c r="L82" i="52" s="1"/>
  <c r="P13" i="52"/>
  <c r="P82" i="52" s="1"/>
  <c r="T13" i="52"/>
  <c r="T82" i="52" s="1"/>
  <c r="X13" i="52"/>
  <c r="X82" i="52" s="1"/>
  <c r="AB13" i="52"/>
  <c r="AB82" i="52" s="1"/>
  <c r="M13" i="52"/>
  <c r="M82" i="52" s="1"/>
  <c r="Q13" i="52"/>
  <c r="Q82" i="52" s="1"/>
  <c r="U13" i="52"/>
  <c r="U82" i="52" s="1"/>
  <c r="Y13" i="52"/>
  <c r="Y82" i="52" s="1"/>
  <c r="J13" i="52"/>
  <c r="J82" i="52" s="1"/>
  <c r="N13" i="52"/>
  <c r="N82" i="52" s="1"/>
  <c r="R13" i="52"/>
  <c r="R82" i="52" s="1"/>
  <c r="V13" i="52"/>
  <c r="V82" i="52" s="1"/>
  <c r="Z13" i="52"/>
  <c r="Z82" i="52" s="1"/>
  <c r="I13" i="52"/>
  <c r="I82" i="52" s="1"/>
  <c r="W13" i="52"/>
  <c r="W82" i="52" s="1"/>
  <c r="K13" i="52"/>
  <c r="K82" i="52" s="1"/>
  <c r="AA13" i="52"/>
  <c r="AA82" i="52" s="1"/>
  <c r="O13" i="52"/>
  <c r="O82" i="52" s="1"/>
  <c r="S13" i="52"/>
  <c r="S82" i="52" s="1"/>
  <c r="Q150" i="52"/>
  <c r="U21" i="52"/>
  <c r="U90" i="52" s="1"/>
  <c r="Y21" i="52"/>
  <c r="Y90" i="52" s="1"/>
  <c r="Y118" i="52" s="1"/>
  <c r="R21" i="52"/>
  <c r="V21" i="52"/>
  <c r="V90" i="52" s="1"/>
  <c r="Z21" i="52"/>
  <c r="S21" i="52"/>
  <c r="W21" i="52"/>
  <c r="AA21" i="52"/>
  <c r="AA90" i="52" s="1"/>
  <c r="T21" i="52"/>
  <c r="X21" i="52"/>
  <c r="Q21" i="52"/>
  <c r="R55" i="52" s="1"/>
  <c r="AB21" i="52"/>
  <c r="L12" i="52"/>
  <c r="L81" i="52" s="1"/>
  <c r="P12" i="52"/>
  <c r="P81" i="52" s="1"/>
  <c r="T12" i="52"/>
  <c r="T81" i="52" s="1"/>
  <c r="X12" i="52"/>
  <c r="X81" i="52" s="1"/>
  <c r="AB12" i="52"/>
  <c r="AB81" i="52" s="1"/>
  <c r="I12" i="52"/>
  <c r="I81" i="52" s="1"/>
  <c r="M12" i="52"/>
  <c r="M81" i="52" s="1"/>
  <c r="Q12" i="52"/>
  <c r="Q81" i="52" s="1"/>
  <c r="U12" i="52"/>
  <c r="U81" i="52" s="1"/>
  <c r="Y12" i="52"/>
  <c r="Y81" i="52" s="1"/>
  <c r="J12" i="52"/>
  <c r="J81" i="52" s="1"/>
  <c r="N12" i="52"/>
  <c r="N81" i="52" s="1"/>
  <c r="R12" i="52"/>
  <c r="R81" i="52" s="1"/>
  <c r="V12" i="52"/>
  <c r="V81" i="52" s="1"/>
  <c r="Z12" i="52"/>
  <c r="Z81" i="52" s="1"/>
  <c r="S12" i="52"/>
  <c r="S81" i="52" s="1"/>
  <c r="H12" i="52"/>
  <c r="H81" i="52" s="1"/>
  <c r="W12" i="52"/>
  <c r="W81" i="52" s="1"/>
  <c r="K12" i="52"/>
  <c r="K81" i="52" s="1"/>
  <c r="AA12" i="52"/>
  <c r="AA81" i="52" s="1"/>
  <c r="O12" i="52"/>
  <c r="O81" i="52" s="1"/>
  <c r="J141" i="52"/>
  <c r="Q140" i="52"/>
  <c r="J150" i="52"/>
  <c r="J144" i="52"/>
  <c r="E150" i="52"/>
  <c r="F9" i="52"/>
  <c r="F78" i="52" s="1"/>
  <c r="J9" i="52"/>
  <c r="J78" i="52" s="1"/>
  <c r="N9" i="52"/>
  <c r="N78" i="52" s="1"/>
  <c r="R9" i="52"/>
  <c r="R78" i="52" s="1"/>
  <c r="V9" i="52"/>
  <c r="V78" i="52" s="1"/>
  <c r="Z9" i="52"/>
  <c r="Z78" i="52" s="1"/>
  <c r="G9" i="52"/>
  <c r="G78" i="52" s="1"/>
  <c r="K9" i="52"/>
  <c r="K78" i="52" s="1"/>
  <c r="O9" i="52"/>
  <c r="O78" i="52" s="1"/>
  <c r="S9" i="52"/>
  <c r="S78" i="52" s="1"/>
  <c r="W9" i="52"/>
  <c r="W78" i="52" s="1"/>
  <c r="AA9" i="52"/>
  <c r="AA78" i="52" s="1"/>
  <c r="H9" i="52"/>
  <c r="H78" i="52" s="1"/>
  <c r="L9" i="52"/>
  <c r="L78" i="52" s="1"/>
  <c r="P9" i="52"/>
  <c r="P78" i="52" s="1"/>
  <c r="T9" i="52"/>
  <c r="T78" i="52" s="1"/>
  <c r="X9" i="52"/>
  <c r="X78" i="52" s="1"/>
  <c r="AB9" i="52"/>
  <c r="AB78" i="52" s="1"/>
  <c r="E9" i="52"/>
  <c r="E78" i="52" s="1"/>
  <c r="Q9" i="52"/>
  <c r="Q78" i="52" s="1"/>
  <c r="U9" i="52"/>
  <c r="U78" i="52" s="1"/>
  <c r="I9" i="52"/>
  <c r="I78" i="52" s="1"/>
  <c r="Y9" i="52"/>
  <c r="Y78" i="52" s="1"/>
  <c r="M9" i="52"/>
  <c r="M78" i="52" s="1"/>
  <c r="G138" i="52"/>
  <c r="K11" i="52"/>
  <c r="K80" i="52" s="1"/>
  <c r="O11" i="52"/>
  <c r="O80" i="52" s="1"/>
  <c r="S11" i="52"/>
  <c r="S80" i="52" s="1"/>
  <c r="W11" i="52"/>
  <c r="W80" i="52" s="1"/>
  <c r="AA11" i="52"/>
  <c r="AA80" i="52" s="1"/>
  <c r="G11" i="52"/>
  <c r="G80" i="52" s="1"/>
  <c r="H11" i="52"/>
  <c r="H80" i="52" s="1"/>
  <c r="L11" i="52"/>
  <c r="L80" i="52" s="1"/>
  <c r="P11" i="52"/>
  <c r="P80" i="52" s="1"/>
  <c r="T11" i="52"/>
  <c r="T80" i="52" s="1"/>
  <c r="X11" i="52"/>
  <c r="X80" i="52" s="1"/>
  <c r="AB11" i="52"/>
  <c r="AB80" i="52" s="1"/>
  <c r="I11" i="52"/>
  <c r="I80" i="52" s="1"/>
  <c r="M11" i="52"/>
  <c r="M80" i="52" s="1"/>
  <c r="Q11" i="52"/>
  <c r="Q80" i="52" s="1"/>
  <c r="U11" i="52"/>
  <c r="U80" i="52" s="1"/>
  <c r="Y11" i="52"/>
  <c r="Y80" i="52" s="1"/>
  <c r="N11" i="52"/>
  <c r="N80" i="52" s="1"/>
  <c r="R11" i="52"/>
  <c r="R80" i="52" s="1"/>
  <c r="V11" i="52"/>
  <c r="V80" i="52" s="1"/>
  <c r="J11" i="52"/>
  <c r="J80" i="52" s="1"/>
  <c r="Z11" i="52"/>
  <c r="Z80" i="52" s="1"/>
  <c r="N149" i="52"/>
  <c r="Q18" i="52"/>
  <c r="Q87" i="52" s="1"/>
  <c r="U18" i="52"/>
  <c r="U87" i="52" s="1"/>
  <c r="Y18" i="52"/>
  <c r="Y87" i="52" s="1"/>
  <c r="R18" i="52"/>
  <c r="R87" i="52" s="1"/>
  <c r="V18" i="52"/>
  <c r="V87" i="52" s="1"/>
  <c r="Z18" i="52"/>
  <c r="Z87" i="52" s="1"/>
  <c r="N18" i="52"/>
  <c r="N87" i="52" s="1"/>
  <c r="O18" i="52"/>
  <c r="O87" i="52" s="1"/>
  <c r="S18" i="52"/>
  <c r="S87" i="52" s="1"/>
  <c r="W18" i="52"/>
  <c r="W87" i="52" s="1"/>
  <c r="AA18" i="52"/>
  <c r="AA87" i="52" s="1"/>
  <c r="AB18" i="52"/>
  <c r="AB87" i="52" s="1"/>
  <c r="P18" i="52"/>
  <c r="P87" i="52" s="1"/>
  <c r="T18" i="52"/>
  <c r="T87" i="52" s="1"/>
  <c r="X18" i="52"/>
  <c r="X87" i="52" s="1"/>
  <c r="AB113" i="68"/>
  <c r="T86" i="64"/>
  <c r="T114" i="64" s="1"/>
  <c r="U51" i="64"/>
  <c r="W86" i="64"/>
  <c r="W114" i="64" s="1"/>
  <c r="X51" i="64"/>
  <c r="V86" i="64"/>
  <c r="V114" i="64" s="1"/>
  <c r="W51" i="64"/>
  <c r="U86" i="64"/>
  <c r="U114" i="64" s="1"/>
  <c r="V51" i="64"/>
  <c r="U76" i="65"/>
  <c r="U104" i="65" s="1"/>
  <c r="V41" i="65"/>
  <c r="W76" i="65"/>
  <c r="W104" i="65" s="1"/>
  <c r="X41" i="65"/>
  <c r="M43" i="69"/>
  <c r="L106" i="69"/>
  <c r="E106" i="69"/>
  <c r="F43" i="69"/>
  <c r="W106" i="69"/>
  <c r="X43" i="69"/>
  <c r="G106" i="69"/>
  <c r="H43" i="69"/>
  <c r="O43" i="69"/>
  <c r="N106" i="69"/>
  <c r="U106" i="69"/>
  <c r="V43" i="69"/>
  <c r="AA106" i="70"/>
  <c r="S106" i="70"/>
  <c r="N106" i="70"/>
  <c r="Y106" i="70"/>
  <c r="I106" i="70"/>
  <c r="P106" i="70"/>
  <c r="V90" i="64"/>
  <c r="V118" i="64" s="1"/>
  <c r="W55" i="64"/>
  <c r="W90" i="64"/>
  <c r="W118" i="64" s="1"/>
  <c r="X55" i="64"/>
  <c r="AA79" i="64"/>
  <c r="AA107" i="64" s="1"/>
  <c r="AB44" i="64"/>
  <c r="X79" i="64"/>
  <c r="X107" i="64" s="1"/>
  <c r="Y44" i="64"/>
  <c r="W80" i="65"/>
  <c r="W108" i="65" s="1"/>
  <c r="X45" i="65"/>
  <c r="V80" i="65"/>
  <c r="V108" i="65" s="1"/>
  <c r="W45" i="65"/>
  <c r="Z45" i="65"/>
  <c r="Y80" i="65"/>
  <c r="Y108" i="65" s="1"/>
  <c r="O47" i="69"/>
  <c r="N110" i="69"/>
  <c r="V110" i="69"/>
  <c r="W47" i="69"/>
  <c r="N47" i="69"/>
  <c r="M110" i="69"/>
  <c r="Q47" i="69"/>
  <c r="P110" i="69"/>
  <c r="S110" i="69"/>
  <c r="T47" i="69"/>
  <c r="W78" i="64"/>
  <c r="W106" i="64" s="1"/>
  <c r="X43" i="64"/>
  <c r="U78" i="64"/>
  <c r="U106" i="64" s="1"/>
  <c r="V43" i="64"/>
  <c r="R79" i="65"/>
  <c r="R107" i="65" s="1"/>
  <c r="R83" i="64"/>
  <c r="R111" i="64" s="1"/>
  <c r="S48" i="64"/>
  <c r="U84" i="65"/>
  <c r="U112" i="65" s="1"/>
  <c r="V49" i="65"/>
  <c r="X84" i="65"/>
  <c r="X112" i="65" s="1"/>
  <c r="Y49" i="65"/>
  <c r="AA84" i="65"/>
  <c r="AA112" i="65" s="1"/>
  <c r="AB49" i="65"/>
  <c r="Z84" i="65"/>
  <c r="Z112" i="65" s="1"/>
  <c r="AA49" i="65"/>
  <c r="X114" i="69"/>
  <c r="Y51" i="69"/>
  <c r="O114" i="69"/>
  <c r="P51" i="69"/>
  <c r="U114" i="70"/>
  <c r="X117" i="68"/>
  <c r="Y54" i="68"/>
  <c r="S117" i="68"/>
  <c r="T54" i="68"/>
  <c r="Y117" i="68"/>
  <c r="Z54" i="68"/>
  <c r="Z82" i="64"/>
  <c r="Z110" i="64" s="1"/>
  <c r="AA47" i="64"/>
  <c r="Y82" i="64"/>
  <c r="Y110" i="64" s="1"/>
  <c r="Z47" i="64"/>
  <c r="U83" i="65"/>
  <c r="U111" i="65" s="1"/>
  <c r="AA87" i="64"/>
  <c r="AA115" i="64" s="1"/>
  <c r="AB52" i="64"/>
  <c r="R87" i="64"/>
  <c r="R115" i="64" s="1"/>
  <c r="S52" i="64"/>
  <c r="W88" i="65"/>
  <c r="W116" i="65" s="1"/>
  <c r="X53" i="65"/>
  <c r="Z88" i="65"/>
  <c r="Z116" i="65" s="1"/>
  <c r="AA53" i="65"/>
  <c r="U88" i="65"/>
  <c r="U116" i="65" s="1"/>
  <c r="V53" i="65"/>
  <c r="U53" i="65"/>
  <c r="T88" i="65"/>
  <c r="T116" i="65" s="1"/>
  <c r="V118" i="69"/>
  <c r="W55" i="69"/>
  <c r="W118" i="69"/>
  <c r="X55" i="69"/>
  <c r="AA118" i="70"/>
  <c r="U118" i="70"/>
  <c r="K138" i="52"/>
  <c r="M15" i="52"/>
  <c r="M84" i="52" s="1"/>
  <c r="Q15" i="52"/>
  <c r="Q84" i="52" s="1"/>
  <c r="U15" i="52"/>
  <c r="U84" i="52" s="1"/>
  <c r="Y15" i="52"/>
  <c r="Y84" i="52" s="1"/>
  <c r="K15" i="52"/>
  <c r="K84" i="52" s="1"/>
  <c r="N15" i="52"/>
  <c r="N84" i="52" s="1"/>
  <c r="R15" i="52"/>
  <c r="R84" i="52" s="1"/>
  <c r="V15" i="52"/>
  <c r="V84" i="52" s="1"/>
  <c r="Z15" i="52"/>
  <c r="Z84" i="52" s="1"/>
  <c r="O15" i="52"/>
  <c r="O84" i="52" s="1"/>
  <c r="S15" i="52"/>
  <c r="S84" i="52" s="1"/>
  <c r="W15" i="52"/>
  <c r="W84" i="52" s="1"/>
  <c r="AA15" i="52"/>
  <c r="AA84" i="52" s="1"/>
  <c r="L15" i="52"/>
  <c r="L84" i="52" s="1"/>
  <c r="AB15" i="52"/>
  <c r="AB84" i="52" s="1"/>
  <c r="P15" i="52"/>
  <c r="P84" i="52" s="1"/>
  <c r="T15" i="52"/>
  <c r="T84" i="52" s="1"/>
  <c r="X15" i="52"/>
  <c r="X84" i="52" s="1"/>
  <c r="AB105" i="68"/>
  <c r="S86" i="64"/>
  <c r="S114" i="64" s="1"/>
  <c r="T51" i="64"/>
  <c r="R86" i="64"/>
  <c r="R114" i="64" s="1"/>
  <c r="S51" i="64"/>
  <c r="X76" i="65"/>
  <c r="X104" i="65" s="1"/>
  <c r="Y41" i="65"/>
  <c r="S76" i="65"/>
  <c r="S104" i="65" s="1"/>
  <c r="T41" i="65"/>
  <c r="AA41" i="65"/>
  <c r="Z76" i="65"/>
  <c r="Z104" i="65" s="1"/>
  <c r="T106" i="69"/>
  <c r="U43" i="69"/>
  <c r="S106" i="69"/>
  <c r="T43" i="69"/>
  <c r="Z106" i="69"/>
  <c r="AA43" i="69"/>
  <c r="K43" i="69"/>
  <c r="J106" i="69"/>
  <c r="Q106" i="69"/>
  <c r="R43" i="69"/>
  <c r="K106" i="70"/>
  <c r="Z106" i="70"/>
  <c r="J106" i="70"/>
  <c r="U106" i="70"/>
  <c r="L106" i="70"/>
  <c r="R90" i="64"/>
  <c r="R118" i="64" s="1"/>
  <c r="S55" i="64"/>
  <c r="X90" i="64"/>
  <c r="X118" i="64" s="1"/>
  <c r="Y55" i="64"/>
  <c r="S90" i="64"/>
  <c r="S118" i="64" s="1"/>
  <c r="T55" i="64"/>
  <c r="Z79" i="64"/>
  <c r="Z107" i="64" s="1"/>
  <c r="AA44" i="64"/>
  <c r="T79" i="64"/>
  <c r="T107" i="64" s="1"/>
  <c r="U44" i="64"/>
  <c r="S80" i="65"/>
  <c r="S108" i="65" s="1"/>
  <c r="T45" i="65"/>
  <c r="R80" i="65"/>
  <c r="R108" i="65" s="1"/>
  <c r="S45" i="65"/>
  <c r="U80" i="65"/>
  <c r="U108" i="65" s="1"/>
  <c r="V45" i="65"/>
  <c r="Z110" i="69"/>
  <c r="AA47" i="69"/>
  <c r="Z47" i="69"/>
  <c r="Y110" i="69"/>
  <c r="M47" i="69"/>
  <c r="L110" i="69"/>
  <c r="O110" i="69"/>
  <c r="P47" i="69"/>
  <c r="AA110" i="70"/>
  <c r="T78" i="64"/>
  <c r="T106" i="64" s="1"/>
  <c r="U43" i="64"/>
  <c r="S78" i="64"/>
  <c r="S106" i="64" s="1"/>
  <c r="T43" i="64"/>
  <c r="Z78" i="64"/>
  <c r="Z106" i="64" s="1"/>
  <c r="AA43" i="64"/>
  <c r="X83" i="64"/>
  <c r="X111" i="64" s="1"/>
  <c r="Y48" i="64"/>
  <c r="AA83" i="64"/>
  <c r="AA111" i="64" s="1"/>
  <c r="AB48" i="64"/>
  <c r="T84" i="65"/>
  <c r="T112" i="65" s="1"/>
  <c r="U49" i="65"/>
  <c r="W84" i="65"/>
  <c r="W112" i="65" s="1"/>
  <c r="X49" i="65"/>
  <c r="V84" i="65"/>
  <c r="V112" i="65" s="1"/>
  <c r="W49" i="65"/>
  <c r="U51" i="69"/>
  <c r="T114" i="69"/>
  <c r="AA114" i="69"/>
  <c r="AB51" i="69"/>
  <c r="AA51" i="69"/>
  <c r="Z114" i="69"/>
  <c r="Y114" i="69"/>
  <c r="Z51" i="69"/>
  <c r="W114" i="70"/>
  <c r="R114" i="70"/>
  <c r="T117" i="68"/>
  <c r="U54" i="68"/>
  <c r="Z117" i="68"/>
  <c r="AA54" i="68"/>
  <c r="U117" i="68"/>
  <c r="V54" i="68"/>
  <c r="U82" i="64"/>
  <c r="U110" i="64" s="1"/>
  <c r="V47" i="64"/>
  <c r="X82" i="64"/>
  <c r="X110" i="64" s="1"/>
  <c r="Y47" i="64"/>
  <c r="AA82" i="64"/>
  <c r="AA110" i="64" s="1"/>
  <c r="AB47" i="64"/>
  <c r="AA83" i="65"/>
  <c r="AA111" i="65" s="1"/>
  <c r="R83" i="65"/>
  <c r="R111" i="65" s="1"/>
  <c r="W87" i="64"/>
  <c r="W115" i="64" s="1"/>
  <c r="X52" i="64"/>
  <c r="Y87" i="64"/>
  <c r="Y115" i="64" s="1"/>
  <c r="Z52" i="64"/>
  <c r="X87" i="64"/>
  <c r="X115" i="64" s="1"/>
  <c r="Y52" i="64"/>
  <c r="S88" i="65"/>
  <c r="S116" i="65" s="1"/>
  <c r="T53" i="65"/>
  <c r="V88" i="65"/>
  <c r="V116" i="65" s="1"/>
  <c r="W53" i="65"/>
  <c r="R118" i="69"/>
  <c r="S55" i="69"/>
  <c r="X118" i="69"/>
  <c r="Y55" i="69"/>
  <c r="S118" i="69"/>
  <c r="T55" i="69"/>
  <c r="S118" i="70"/>
  <c r="X118" i="70"/>
  <c r="N16" i="52"/>
  <c r="N85" i="52" s="1"/>
  <c r="R16" i="52"/>
  <c r="R85" i="52" s="1"/>
  <c r="V16" i="52"/>
  <c r="V85" i="52" s="1"/>
  <c r="Z16" i="52"/>
  <c r="Z85" i="52" s="1"/>
  <c r="O16" i="52"/>
  <c r="O85" i="52" s="1"/>
  <c r="S16" i="52"/>
  <c r="S85" i="52" s="1"/>
  <c r="W16" i="52"/>
  <c r="W85" i="52" s="1"/>
  <c r="AA16" i="52"/>
  <c r="AA85" i="52" s="1"/>
  <c r="P16" i="52"/>
  <c r="P85" i="52" s="1"/>
  <c r="T16" i="52"/>
  <c r="T85" i="52" s="1"/>
  <c r="X16" i="52"/>
  <c r="X85" i="52" s="1"/>
  <c r="AB16" i="52"/>
  <c r="AB85" i="52" s="1"/>
  <c r="M16" i="52"/>
  <c r="M85" i="52" s="1"/>
  <c r="Q16" i="52"/>
  <c r="Q85" i="52" s="1"/>
  <c r="U16" i="52"/>
  <c r="U85" i="52" s="1"/>
  <c r="Y16" i="52"/>
  <c r="Y85" i="52" s="1"/>
  <c r="L16" i="52"/>
  <c r="L85" i="52" s="1"/>
  <c r="M150" i="52"/>
  <c r="N17" i="52"/>
  <c r="N86" i="52" s="1"/>
  <c r="R17" i="52"/>
  <c r="R86" i="52" s="1"/>
  <c r="V17" i="52"/>
  <c r="V86" i="52" s="1"/>
  <c r="Z17" i="52"/>
  <c r="Z86" i="52" s="1"/>
  <c r="O17" i="52"/>
  <c r="O86" i="52" s="1"/>
  <c r="S17" i="52"/>
  <c r="S86" i="52" s="1"/>
  <c r="W17" i="52"/>
  <c r="W86" i="52" s="1"/>
  <c r="AA17" i="52"/>
  <c r="AA86" i="52" s="1"/>
  <c r="P17" i="52"/>
  <c r="P86" i="52" s="1"/>
  <c r="T17" i="52"/>
  <c r="T86" i="52" s="1"/>
  <c r="X17" i="52"/>
  <c r="X86" i="52" s="1"/>
  <c r="AB17" i="52"/>
  <c r="AB86" i="52" s="1"/>
  <c r="M17" i="52"/>
  <c r="M86" i="52" s="1"/>
  <c r="Q17" i="52"/>
  <c r="Q86" i="52" s="1"/>
  <c r="U17" i="52"/>
  <c r="U86" i="52" s="1"/>
  <c r="Y17" i="52"/>
  <c r="Y86" i="52" s="1"/>
  <c r="Q20" i="52"/>
  <c r="Q89" i="52" s="1"/>
  <c r="U20" i="52"/>
  <c r="U89" i="52" s="1"/>
  <c r="Y20" i="52"/>
  <c r="Y89" i="52" s="1"/>
  <c r="R20" i="52"/>
  <c r="R89" i="52" s="1"/>
  <c r="V20" i="52"/>
  <c r="V89" i="52" s="1"/>
  <c r="Z20" i="52"/>
  <c r="Z89" i="52" s="1"/>
  <c r="S20" i="52"/>
  <c r="S89" i="52" s="1"/>
  <c r="W20" i="52"/>
  <c r="W89" i="52" s="1"/>
  <c r="AA20" i="52"/>
  <c r="AA89" i="52" s="1"/>
  <c r="T20" i="52"/>
  <c r="T89" i="52" s="1"/>
  <c r="X20" i="52"/>
  <c r="X89" i="52" s="1"/>
  <c r="AB20" i="52"/>
  <c r="AB89" i="52" s="1"/>
  <c r="P20" i="52"/>
  <c r="P89" i="52" s="1"/>
  <c r="J145" i="52"/>
  <c r="F8" i="52"/>
  <c r="F77" i="52" s="1"/>
  <c r="J8" i="52"/>
  <c r="J77" i="52" s="1"/>
  <c r="N8" i="52"/>
  <c r="N77" i="52" s="1"/>
  <c r="R8" i="52"/>
  <c r="R77" i="52" s="1"/>
  <c r="V8" i="52"/>
  <c r="V77" i="52" s="1"/>
  <c r="Z8" i="52"/>
  <c r="Z77" i="52" s="1"/>
  <c r="G8" i="52"/>
  <c r="G77" i="52" s="1"/>
  <c r="K8" i="52"/>
  <c r="K77" i="52" s="1"/>
  <c r="O8" i="52"/>
  <c r="O77" i="52" s="1"/>
  <c r="S8" i="52"/>
  <c r="S77" i="52" s="1"/>
  <c r="W8" i="52"/>
  <c r="W77" i="52" s="1"/>
  <c r="AA8" i="52"/>
  <c r="AA77" i="52" s="1"/>
  <c r="H8" i="52"/>
  <c r="H77" i="52" s="1"/>
  <c r="L8" i="52"/>
  <c r="L77" i="52" s="1"/>
  <c r="P8" i="52"/>
  <c r="P77" i="52" s="1"/>
  <c r="T8" i="52"/>
  <c r="T77" i="52" s="1"/>
  <c r="X8" i="52"/>
  <c r="X77" i="52" s="1"/>
  <c r="AB8" i="52"/>
  <c r="AB77" i="52" s="1"/>
  <c r="I8" i="52"/>
  <c r="I77" i="52" s="1"/>
  <c r="Y8" i="52"/>
  <c r="Y77" i="52" s="1"/>
  <c r="M8" i="52"/>
  <c r="M77" i="52" s="1"/>
  <c r="D8" i="52"/>
  <c r="D77" i="52" s="1"/>
  <c r="Q8" i="52"/>
  <c r="Q77" i="52" s="1"/>
  <c r="E8" i="52"/>
  <c r="E77" i="52" s="1"/>
  <c r="U8" i="52"/>
  <c r="C132" i="52"/>
  <c r="E7" i="52"/>
  <c r="E76" i="52" s="1"/>
  <c r="I7" i="52"/>
  <c r="I76" i="52" s="1"/>
  <c r="M7" i="52"/>
  <c r="M76" i="52" s="1"/>
  <c r="Q7" i="52"/>
  <c r="Q76" i="52" s="1"/>
  <c r="U7" i="52"/>
  <c r="U76" i="52" s="1"/>
  <c r="Y7" i="52"/>
  <c r="Y76" i="52" s="1"/>
  <c r="C7" i="52"/>
  <c r="F7" i="52"/>
  <c r="F76" i="52" s="1"/>
  <c r="J7" i="52"/>
  <c r="J76" i="52" s="1"/>
  <c r="N7" i="52"/>
  <c r="N76" i="52" s="1"/>
  <c r="R7" i="52"/>
  <c r="R76" i="52" s="1"/>
  <c r="V7" i="52"/>
  <c r="V76" i="52" s="1"/>
  <c r="Z7" i="52"/>
  <c r="Z76" i="52" s="1"/>
  <c r="G7" i="52"/>
  <c r="G76" i="52" s="1"/>
  <c r="K7" i="52"/>
  <c r="K76" i="52" s="1"/>
  <c r="O7" i="52"/>
  <c r="O76" i="52" s="1"/>
  <c r="S7" i="52"/>
  <c r="S76" i="52" s="1"/>
  <c r="W7" i="52"/>
  <c r="W76" i="52" s="1"/>
  <c r="AA7" i="52"/>
  <c r="AA76" i="52" s="1"/>
  <c r="P7" i="52"/>
  <c r="P76" i="52" s="1"/>
  <c r="D7" i="52"/>
  <c r="D76" i="52" s="1"/>
  <c r="T7" i="52"/>
  <c r="T76" i="52" s="1"/>
  <c r="H7" i="52"/>
  <c r="H76" i="52" s="1"/>
  <c r="X7" i="52"/>
  <c r="X76" i="52" s="1"/>
  <c r="L7" i="52"/>
  <c r="L76" i="52" s="1"/>
  <c r="AB7" i="52"/>
  <c r="AB76" i="52" s="1"/>
  <c r="O138" i="52"/>
  <c r="P19" i="52"/>
  <c r="P88" i="52" s="1"/>
  <c r="T19" i="52"/>
  <c r="T88" i="52" s="1"/>
  <c r="X19" i="52"/>
  <c r="X88" i="52" s="1"/>
  <c r="AB19" i="52"/>
  <c r="AB88" i="52" s="1"/>
  <c r="Q19" i="52"/>
  <c r="Q88" i="52" s="1"/>
  <c r="U19" i="52"/>
  <c r="U88" i="52" s="1"/>
  <c r="Y19" i="52"/>
  <c r="Y88" i="52" s="1"/>
  <c r="R19" i="52"/>
  <c r="R88" i="52" s="1"/>
  <c r="V19" i="52"/>
  <c r="V88" i="52" s="1"/>
  <c r="Z19" i="52"/>
  <c r="Z88" i="52" s="1"/>
  <c r="W19" i="52"/>
  <c r="W88" i="52" s="1"/>
  <c r="O19" i="52"/>
  <c r="O88" i="52" s="1"/>
  <c r="AA19" i="52"/>
  <c r="AA88" i="52" s="1"/>
  <c r="S19" i="52"/>
  <c r="S88" i="52" s="1"/>
  <c r="Q54" i="68"/>
  <c r="AB109" i="68"/>
  <c r="W87" i="65"/>
  <c r="W115" i="65" s="1"/>
  <c r="Y76" i="65"/>
  <c r="Y104" i="65" s="1"/>
  <c r="Z41" i="65"/>
  <c r="T76" i="65"/>
  <c r="T104" i="65" s="1"/>
  <c r="U41" i="65"/>
  <c r="V76" i="65"/>
  <c r="V104" i="65" s="1"/>
  <c r="W41" i="65"/>
  <c r="X106" i="69"/>
  <c r="Y43" i="69"/>
  <c r="Q43" i="69"/>
  <c r="P106" i="69"/>
  <c r="O106" i="69"/>
  <c r="P43" i="69"/>
  <c r="V106" i="69"/>
  <c r="W43" i="69"/>
  <c r="G43" i="69"/>
  <c r="F106" i="69"/>
  <c r="M106" i="69"/>
  <c r="N43" i="69"/>
  <c r="W106" i="70"/>
  <c r="V106" i="70"/>
  <c r="F106" i="70"/>
  <c r="Q106" i="70"/>
  <c r="X106" i="70"/>
  <c r="H106" i="70"/>
  <c r="Y90" i="64"/>
  <c r="Y118" i="64" s="1"/>
  <c r="Z55" i="64"/>
  <c r="T90" i="64"/>
  <c r="T118" i="64" s="1"/>
  <c r="U55" i="64"/>
  <c r="S79" i="64"/>
  <c r="S107" i="64" s="1"/>
  <c r="T44" i="64"/>
  <c r="W79" i="64"/>
  <c r="W107" i="64" s="1"/>
  <c r="X44" i="64"/>
  <c r="V79" i="64"/>
  <c r="V107" i="64" s="1"/>
  <c r="W44" i="64"/>
  <c r="Y79" i="64"/>
  <c r="Y107" i="64" s="1"/>
  <c r="Z44" i="64"/>
  <c r="Y45" i="65"/>
  <c r="X80" i="65"/>
  <c r="X108" i="65" s="1"/>
  <c r="J110" i="69"/>
  <c r="K47" i="69"/>
  <c r="V47" i="69"/>
  <c r="U110" i="69"/>
  <c r="Y47" i="69"/>
  <c r="X110" i="69"/>
  <c r="AA110" i="69"/>
  <c r="AB47" i="69"/>
  <c r="K110" i="69"/>
  <c r="L47" i="69"/>
  <c r="Y110" i="70"/>
  <c r="W110" i="70"/>
  <c r="V110" i="70"/>
  <c r="X78" i="64"/>
  <c r="X106" i="64" s="1"/>
  <c r="Y43" i="64"/>
  <c r="V78" i="64"/>
  <c r="V106" i="64" s="1"/>
  <c r="W43" i="64"/>
  <c r="Y83" i="64"/>
  <c r="Y111" i="64" s="1"/>
  <c r="Z48" i="64"/>
  <c r="T83" i="64"/>
  <c r="T111" i="64" s="1"/>
  <c r="U48" i="64"/>
  <c r="W83" i="64"/>
  <c r="W111" i="64" s="1"/>
  <c r="X48" i="64"/>
  <c r="Z83" i="64"/>
  <c r="Z111" i="64" s="1"/>
  <c r="AA48" i="64"/>
  <c r="Y84" i="65"/>
  <c r="Y112" i="65" s="1"/>
  <c r="Z49" i="65"/>
  <c r="S84" i="65"/>
  <c r="S112" i="65" s="1"/>
  <c r="T49" i="65"/>
  <c r="R84" i="65"/>
  <c r="R112" i="65" s="1"/>
  <c r="S49" i="65"/>
  <c r="P114" i="69"/>
  <c r="Q51" i="69"/>
  <c r="W114" i="69"/>
  <c r="X51" i="69"/>
  <c r="W51" i="69"/>
  <c r="V114" i="69"/>
  <c r="U114" i="69"/>
  <c r="V51" i="69"/>
  <c r="Y114" i="70"/>
  <c r="AA117" i="68"/>
  <c r="AB54" i="68"/>
  <c r="V117" i="68"/>
  <c r="Q117" i="68"/>
  <c r="R54" i="68"/>
  <c r="R82" i="64"/>
  <c r="R110" i="64" s="1"/>
  <c r="S47" i="64"/>
  <c r="T82" i="64"/>
  <c r="T110" i="64" s="1"/>
  <c r="U47" i="64"/>
  <c r="W82" i="64"/>
  <c r="W110" i="64" s="1"/>
  <c r="X47" i="64"/>
  <c r="S87" i="64"/>
  <c r="S115" i="64" s="1"/>
  <c r="T52" i="64"/>
  <c r="Z87" i="64"/>
  <c r="Z115" i="64" s="1"/>
  <c r="AA52" i="64"/>
  <c r="U87" i="64"/>
  <c r="U115" i="64" s="1"/>
  <c r="V52" i="64"/>
  <c r="T87" i="64"/>
  <c r="T115" i="64" s="1"/>
  <c r="U52" i="64"/>
  <c r="R88" i="65"/>
  <c r="R116" i="65" s="1"/>
  <c r="S53" i="65"/>
  <c r="Z118" i="69"/>
  <c r="AA55" i="69"/>
  <c r="Z55" i="69"/>
  <c r="Y118" i="69"/>
  <c r="T118" i="69"/>
  <c r="U55" i="69"/>
  <c r="V118" i="70"/>
  <c r="Z118" i="70"/>
  <c r="T118" i="70"/>
  <c r="K131" i="72"/>
  <c r="D182" i="72"/>
  <c r="D183" i="72"/>
  <c r="D73" i="72"/>
  <c r="D71" i="72"/>
  <c r="D72" i="72"/>
  <c r="D70" i="72"/>
  <c r="H131" i="72"/>
  <c r="E67" i="72"/>
  <c r="N131" i="72"/>
  <c r="E131" i="72"/>
  <c r="D131" i="72"/>
  <c r="AA113" i="68"/>
  <c r="AB50" i="68"/>
  <c r="L113" i="68"/>
  <c r="M50" i="68"/>
  <c r="O50" i="68"/>
  <c r="N113" i="68"/>
  <c r="N50" i="68"/>
  <c r="M113" i="68"/>
  <c r="P113" i="68"/>
  <c r="Q50" i="68"/>
  <c r="M109" i="68"/>
  <c r="N46" i="68"/>
  <c r="X109" i="68"/>
  <c r="Y46" i="68"/>
  <c r="AA109" i="68"/>
  <c r="AB46" i="68"/>
  <c r="K109" i="68"/>
  <c r="L46" i="68"/>
  <c r="O46" i="68"/>
  <c r="N109" i="68"/>
  <c r="W105" i="68"/>
  <c r="X42" i="68"/>
  <c r="G105" i="68"/>
  <c r="H42" i="68"/>
  <c r="N105" i="68"/>
  <c r="U105" i="68"/>
  <c r="V42" i="68"/>
  <c r="E105" i="68"/>
  <c r="F42" i="68"/>
  <c r="F67" i="68" s="1"/>
  <c r="T105" i="68"/>
  <c r="U42" i="68"/>
  <c r="W113" i="68"/>
  <c r="X50" i="68"/>
  <c r="Z113" i="68"/>
  <c r="AA50" i="68"/>
  <c r="Y113" i="68"/>
  <c r="Z50" i="68"/>
  <c r="Y109" i="68"/>
  <c r="Z46" i="68"/>
  <c r="I109" i="68"/>
  <c r="J46" i="68"/>
  <c r="U46" i="68"/>
  <c r="T109" i="68"/>
  <c r="X46" i="68"/>
  <c r="W109" i="68"/>
  <c r="AA46" i="68"/>
  <c r="Z109" i="68"/>
  <c r="K46" i="68"/>
  <c r="J109" i="68"/>
  <c r="S105" i="68"/>
  <c r="T42" i="68"/>
  <c r="Z105" i="68"/>
  <c r="AA42" i="68"/>
  <c r="J105" i="68"/>
  <c r="K42" i="68"/>
  <c r="R42" i="68"/>
  <c r="Q105" i="68"/>
  <c r="D105" i="68"/>
  <c r="E42" i="68"/>
  <c r="E67" i="68" s="1"/>
  <c r="P105" i="68"/>
  <c r="Q42" i="68"/>
  <c r="S113" i="68"/>
  <c r="T50" i="68"/>
  <c r="W50" i="68"/>
  <c r="V113" i="68"/>
  <c r="V50" i="68"/>
  <c r="U113" i="68"/>
  <c r="X113" i="68"/>
  <c r="Y50" i="68"/>
  <c r="U109" i="68"/>
  <c r="V46" i="68"/>
  <c r="H109" i="68"/>
  <c r="I46" i="68"/>
  <c r="P109" i="68"/>
  <c r="Q46" i="68"/>
  <c r="S109" i="68"/>
  <c r="T46" i="68"/>
  <c r="W46" i="68"/>
  <c r="V109" i="68"/>
  <c r="O105" i="68"/>
  <c r="P42" i="68"/>
  <c r="W42" i="68"/>
  <c r="V105" i="68"/>
  <c r="G42" i="68"/>
  <c r="F105" i="68"/>
  <c r="M105" i="68"/>
  <c r="L105" i="68"/>
  <c r="M42" i="68"/>
  <c r="O113" i="68"/>
  <c r="P50" i="68"/>
  <c r="R113" i="68"/>
  <c r="S50" i="68"/>
  <c r="Q113" i="68"/>
  <c r="R50" i="68"/>
  <c r="T113" i="68"/>
  <c r="U50" i="68"/>
  <c r="Q109" i="68"/>
  <c r="R46" i="68"/>
  <c r="M46" i="68"/>
  <c r="L109" i="68"/>
  <c r="P46" i="68"/>
  <c r="O109" i="68"/>
  <c r="S46" i="68"/>
  <c r="R109" i="68"/>
  <c r="AA105" i="68"/>
  <c r="AB42" i="68"/>
  <c r="K105" i="68"/>
  <c r="L42" i="68"/>
  <c r="R105" i="68"/>
  <c r="S42" i="68"/>
  <c r="Z42" i="68"/>
  <c r="Y105" i="68"/>
  <c r="J42" i="68"/>
  <c r="I105" i="68"/>
  <c r="X105" i="68"/>
  <c r="Y42" i="68"/>
  <c r="H105" i="68"/>
  <c r="I42" i="68"/>
  <c r="AA60" i="52"/>
  <c r="X57" i="52"/>
  <c r="D131" i="65"/>
  <c r="I131" i="65"/>
  <c r="D131" i="64"/>
  <c r="AA126" i="52"/>
  <c r="T119" i="52"/>
  <c r="W120" i="52"/>
  <c r="Z123" i="52"/>
  <c r="Z119" i="52"/>
  <c r="AA123" i="52"/>
  <c r="Z121" i="52"/>
  <c r="U119" i="52"/>
  <c r="AA121" i="52"/>
  <c r="Y124" i="52"/>
  <c r="W122" i="52"/>
  <c r="AB125" i="52"/>
  <c r="X121" i="52"/>
  <c r="Y121" i="52"/>
  <c r="AB119" i="52"/>
  <c r="U120" i="52"/>
  <c r="Z124" i="52"/>
  <c r="X122" i="52"/>
  <c r="Y119" i="52"/>
  <c r="Y125" i="52"/>
  <c r="AB123" i="52"/>
  <c r="X119" i="52"/>
  <c r="Z125" i="52"/>
  <c r="AB127" i="52"/>
  <c r="Z122" i="52"/>
  <c r="V119" i="52"/>
  <c r="AA120" i="52"/>
  <c r="AB120" i="52"/>
  <c r="Y123" i="52"/>
  <c r="W119" i="52"/>
  <c r="AA119" i="52"/>
  <c r="AA125" i="52"/>
  <c r="AB122" i="52"/>
  <c r="AA122" i="52"/>
  <c r="X123" i="52"/>
  <c r="Y122" i="52"/>
  <c r="AB121" i="52"/>
  <c r="Q142" i="52"/>
  <c r="J148" i="52"/>
  <c r="J132" i="52" s="1"/>
  <c r="J140" i="52"/>
  <c r="J138" i="52"/>
  <c r="O144" i="52"/>
  <c r="T57" i="52"/>
  <c r="T120" i="52"/>
  <c r="S56" i="52"/>
  <c r="S119" i="52"/>
  <c r="AA64" i="52"/>
  <c r="AA127" i="52"/>
  <c r="C139" i="52"/>
  <c r="W57" i="52"/>
  <c r="V120" i="52"/>
  <c r="U58" i="52"/>
  <c r="U121" i="52"/>
  <c r="W60" i="52"/>
  <c r="W123" i="52"/>
  <c r="AB63" i="52"/>
  <c r="AB126" i="52"/>
  <c r="W58" i="52"/>
  <c r="W121" i="52"/>
  <c r="Z57" i="52"/>
  <c r="Z120" i="52"/>
  <c r="AB65" i="52"/>
  <c r="AB128" i="52"/>
  <c r="AA63" i="52"/>
  <c r="Z126" i="52"/>
  <c r="Y57" i="52"/>
  <c r="X120" i="52"/>
  <c r="V59" i="52"/>
  <c r="V122" i="52"/>
  <c r="X61" i="52"/>
  <c r="X124" i="52"/>
  <c r="AB61" i="52"/>
  <c r="AB124" i="52"/>
  <c r="C145" i="52"/>
  <c r="Z61" i="52"/>
  <c r="X59" i="52"/>
  <c r="Z60" i="52"/>
  <c r="X56" i="52"/>
  <c r="K141" i="52"/>
  <c r="U57" i="52"/>
  <c r="AB62" i="52"/>
  <c r="AA59" i="52"/>
  <c r="Z59" i="52"/>
  <c r="AB58" i="52"/>
  <c r="O145" i="52"/>
  <c r="O141" i="52"/>
  <c r="O148" i="52"/>
  <c r="O132" i="52" s="1"/>
  <c r="C147" i="52"/>
  <c r="Y61" i="52"/>
  <c r="C138" i="52"/>
  <c r="O143" i="52"/>
  <c r="K146" i="52"/>
  <c r="O142" i="52"/>
  <c r="C140" i="52"/>
  <c r="AB64" i="52"/>
  <c r="K147" i="52"/>
  <c r="K143" i="52"/>
  <c r="K142" i="52"/>
  <c r="K148" i="52"/>
  <c r="K132" i="52" s="1"/>
  <c r="K144" i="52"/>
  <c r="Y60" i="52"/>
  <c r="W56" i="52"/>
  <c r="AB57" i="52"/>
  <c r="K149" i="52"/>
  <c r="K145" i="52"/>
  <c r="K139" i="52"/>
  <c r="K140" i="52"/>
  <c r="E146" i="52"/>
  <c r="E138" i="52"/>
  <c r="Q145" i="52"/>
  <c r="Q143" i="52"/>
  <c r="Q148" i="52"/>
  <c r="Q132" i="52" s="1"/>
  <c r="I146" i="52"/>
  <c r="I140" i="52"/>
  <c r="Q147" i="52"/>
  <c r="E148" i="52"/>
  <c r="E132" i="52" s="1"/>
  <c r="G147" i="52"/>
  <c r="G143" i="52"/>
  <c r="G141" i="52"/>
  <c r="I138" i="52"/>
  <c r="G148" i="52"/>
  <c r="G132" i="52" s="1"/>
  <c r="G146" i="52"/>
  <c r="G144" i="52"/>
  <c r="Q141" i="52"/>
  <c r="Q139" i="52"/>
  <c r="G145" i="52"/>
  <c r="G139" i="52"/>
  <c r="G150" i="52"/>
  <c r="G142" i="52"/>
  <c r="G140" i="52"/>
  <c r="Q146" i="52"/>
  <c r="I144" i="52"/>
  <c r="Q138" i="52"/>
  <c r="I149" i="52"/>
  <c r="C141" i="52"/>
  <c r="C149" i="52"/>
  <c r="C144" i="52"/>
  <c r="AB56" i="52"/>
  <c r="I148" i="52"/>
  <c r="I132" i="52" s="1"/>
  <c r="Q144" i="52"/>
  <c r="I142" i="52"/>
  <c r="Q149" i="52"/>
  <c r="I147" i="52"/>
  <c r="C143" i="52"/>
  <c r="C150" i="52"/>
  <c r="V56" i="52"/>
  <c r="T56" i="52"/>
  <c r="Y58" i="52"/>
  <c r="Z58" i="52"/>
  <c r="AB60" i="52"/>
  <c r="I139" i="52"/>
  <c r="I145" i="52"/>
  <c r="X60" i="52"/>
  <c r="X58" i="52"/>
  <c r="M146" i="52"/>
  <c r="M142" i="52"/>
  <c r="M138" i="52"/>
  <c r="M147" i="52"/>
  <c r="M143" i="52"/>
  <c r="AA58" i="52"/>
  <c r="M148" i="52"/>
  <c r="M132" i="52" s="1"/>
  <c r="C146" i="52"/>
  <c r="M144" i="52"/>
  <c r="M140" i="52"/>
  <c r="M149" i="52"/>
  <c r="M145" i="52"/>
  <c r="M139" i="52"/>
  <c r="V58" i="52"/>
  <c r="AB59" i="52"/>
  <c r="W59" i="52"/>
  <c r="V57" i="52"/>
  <c r="E142" i="52"/>
  <c r="E147" i="52"/>
  <c r="M141" i="52"/>
  <c r="AA62" i="52"/>
  <c r="E144" i="52"/>
  <c r="E139" i="52"/>
  <c r="E149" i="52"/>
  <c r="E140" i="52"/>
  <c r="E145" i="52"/>
  <c r="E141" i="52"/>
  <c r="I143" i="52"/>
  <c r="I141" i="52"/>
  <c r="P150" i="52"/>
  <c r="P148" i="52"/>
  <c r="P132" i="52" s="1"/>
  <c r="P146" i="52"/>
  <c r="P144" i="52"/>
  <c r="P142" i="52"/>
  <c r="P140" i="52"/>
  <c r="P138" i="52"/>
  <c r="P149" i="52"/>
  <c r="P147" i="52"/>
  <c r="P145" i="52"/>
  <c r="P143" i="52"/>
  <c r="P141" i="52"/>
  <c r="P139" i="52"/>
  <c r="D150" i="52"/>
  <c r="D148" i="52"/>
  <c r="D132" i="52" s="1"/>
  <c r="D146" i="52"/>
  <c r="D144" i="52"/>
  <c r="D142" i="52"/>
  <c r="D140" i="52"/>
  <c r="D138" i="52"/>
  <c r="D149" i="52"/>
  <c r="D147" i="52"/>
  <c r="D145" i="52"/>
  <c r="D143" i="52"/>
  <c r="D141" i="52"/>
  <c r="D139" i="52"/>
  <c r="H150" i="52"/>
  <c r="H148" i="52"/>
  <c r="H132" i="52" s="1"/>
  <c r="H146" i="52"/>
  <c r="H144" i="52"/>
  <c r="H142" i="52"/>
  <c r="H140" i="52"/>
  <c r="H138" i="52"/>
  <c r="H149" i="52"/>
  <c r="H147" i="52"/>
  <c r="H145" i="52"/>
  <c r="H143" i="52"/>
  <c r="H141" i="52"/>
  <c r="H139" i="52"/>
  <c r="L150" i="52"/>
  <c r="L148" i="52"/>
  <c r="L132" i="52" s="1"/>
  <c r="L146" i="52"/>
  <c r="L144" i="52"/>
  <c r="L142" i="52"/>
  <c r="L140" i="52"/>
  <c r="L138" i="52"/>
  <c r="L149" i="52"/>
  <c r="L147" i="52"/>
  <c r="L145" i="52"/>
  <c r="L143" i="52"/>
  <c r="L141" i="52"/>
  <c r="L139" i="52"/>
  <c r="Y59" i="52"/>
  <c r="U56" i="52"/>
  <c r="Z62" i="52"/>
  <c r="Y56" i="52"/>
  <c r="AA57" i="52"/>
  <c r="Z63" i="52"/>
  <c r="S47" i="32"/>
  <c r="O47" i="32"/>
  <c r="K47" i="32"/>
  <c r="J47" i="32"/>
  <c r="W47" i="32"/>
  <c r="Q47" i="32"/>
  <c r="M47" i="32"/>
  <c r="T47" i="32"/>
  <c r="P47" i="32"/>
  <c r="L47" i="32"/>
  <c r="X47" i="32"/>
  <c r="G49" i="42"/>
  <c r="V6" i="28" s="1"/>
  <c r="Z6" i="28" s="1"/>
  <c r="F17" i="42"/>
  <c r="F12" i="42" s="1"/>
  <c r="F10" i="42"/>
  <c r="F7" i="42"/>
  <c r="F8" i="42"/>
  <c r="F9" i="42"/>
  <c r="V47" i="32"/>
  <c r="U47" i="32"/>
  <c r="R47" i="32"/>
  <c r="N47" i="32"/>
  <c r="X44" i="65" l="1"/>
  <c r="S83" i="65"/>
  <c r="S111" i="65" s="1"/>
  <c r="I45" i="64"/>
  <c r="I67" i="64" s="1"/>
  <c r="I172" i="64" s="1"/>
  <c r="R47" i="65"/>
  <c r="D164" i="65"/>
  <c r="AB45" i="64"/>
  <c r="AB54" i="65"/>
  <c r="R50" i="64"/>
  <c r="Y52" i="65"/>
  <c r="AB41" i="64"/>
  <c r="AB50" i="64"/>
  <c r="M45" i="64"/>
  <c r="T80" i="64"/>
  <c r="T108" i="64" s="1"/>
  <c r="R45" i="64"/>
  <c r="AB44" i="52"/>
  <c r="U45" i="64"/>
  <c r="O45" i="64"/>
  <c r="N131" i="64"/>
  <c r="N50" i="64"/>
  <c r="N45" i="64"/>
  <c r="S44" i="52"/>
  <c r="Z52" i="65"/>
  <c r="V45" i="64"/>
  <c r="S45" i="64"/>
  <c r="T50" i="64"/>
  <c r="W45" i="64"/>
  <c r="M50" i="64"/>
  <c r="J45" i="64"/>
  <c r="S52" i="65"/>
  <c r="H76" i="68"/>
  <c r="H104" i="68" s="1"/>
  <c r="I41" i="68"/>
  <c r="L82" i="68"/>
  <c r="L110" i="68" s="1"/>
  <c r="M47" i="68"/>
  <c r="M67" i="68" s="1"/>
  <c r="H41" i="68"/>
  <c r="F11" i="42"/>
  <c r="F13" i="42"/>
  <c r="G19" i="42" s="1"/>
  <c r="V4" i="28" s="1"/>
  <c r="Z4" i="28" s="1"/>
  <c r="O42" i="68"/>
  <c r="W80" i="64"/>
  <c r="W108" i="64" s="1"/>
  <c r="AA52" i="69"/>
  <c r="T53" i="69"/>
  <c r="X53" i="69"/>
  <c r="T54" i="69"/>
  <c r="K42" i="69"/>
  <c r="L42" i="69"/>
  <c r="Z42" i="69"/>
  <c r="E42" i="69"/>
  <c r="Y42" i="69"/>
  <c r="U42" i="69"/>
  <c r="P46" i="69"/>
  <c r="T55" i="65"/>
  <c r="T50" i="69"/>
  <c r="R54" i="65"/>
  <c r="K45" i="68"/>
  <c r="AA49" i="70"/>
  <c r="J80" i="68"/>
  <c r="J108" i="68" s="1"/>
  <c r="AB84" i="70"/>
  <c r="AB112" i="70" s="1"/>
  <c r="W54" i="70"/>
  <c r="R89" i="69"/>
  <c r="R117" i="69" s="1"/>
  <c r="R85" i="70"/>
  <c r="R113" i="70" s="1"/>
  <c r="Y82" i="68"/>
  <c r="Y110" i="68" s="1"/>
  <c r="Y131" i="68" s="1"/>
  <c r="Z49" i="70"/>
  <c r="Y50" i="70"/>
  <c r="P84" i="70"/>
  <c r="P112" i="70" s="1"/>
  <c r="Q41" i="68"/>
  <c r="P41" i="68"/>
  <c r="P67" i="68" s="1"/>
  <c r="P76" i="68"/>
  <c r="P104" i="68" s="1"/>
  <c r="N42" i="68"/>
  <c r="W54" i="68"/>
  <c r="W53" i="69"/>
  <c r="U50" i="64"/>
  <c r="U53" i="69"/>
  <c r="W50" i="64"/>
  <c r="O46" i="69"/>
  <c r="O67" i="69" s="1"/>
  <c r="S55" i="65"/>
  <c r="H41" i="64"/>
  <c r="H67" i="64" s="1"/>
  <c r="H175" i="64" s="1"/>
  <c r="G41" i="64"/>
  <c r="G67" i="64" s="1"/>
  <c r="G170" i="64" s="1"/>
  <c r="P50" i="64"/>
  <c r="P67" i="64" s="1"/>
  <c r="P177" i="64" s="1"/>
  <c r="Y50" i="64"/>
  <c r="L49" i="68"/>
  <c r="U45" i="68"/>
  <c r="U67" i="68" s="1"/>
  <c r="V45" i="68"/>
  <c r="V67" i="68" s="1"/>
  <c r="S85" i="69"/>
  <c r="S113" i="69" s="1"/>
  <c r="M50" i="70"/>
  <c r="Y87" i="69"/>
  <c r="Y115" i="69" s="1"/>
  <c r="X54" i="70"/>
  <c r="X85" i="70"/>
  <c r="X113" i="70" s="1"/>
  <c r="X49" i="70"/>
  <c r="X54" i="65"/>
  <c r="T76" i="68"/>
  <c r="T104" i="68" s="1"/>
  <c r="U41" i="68"/>
  <c r="T41" i="68"/>
  <c r="L47" i="68"/>
  <c r="K47" i="68"/>
  <c r="N47" i="68"/>
  <c r="V48" i="65"/>
  <c r="X54" i="68"/>
  <c r="O52" i="69"/>
  <c r="R54" i="69"/>
  <c r="V42" i="69"/>
  <c r="Y54" i="65"/>
  <c r="K45" i="64"/>
  <c r="W46" i="69"/>
  <c r="G131" i="64"/>
  <c r="O50" i="64"/>
  <c r="X85" i="64"/>
  <c r="X113" i="64" s="1"/>
  <c r="Z82" i="68"/>
  <c r="Z110" i="68" s="1"/>
  <c r="X56" i="68"/>
  <c r="S54" i="65"/>
  <c r="V54" i="65"/>
  <c r="J41" i="64"/>
  <c r="Z47" i="68"/>
  <c r="N76" i="68"/>
  <c r="N104" i="68" s="1"/>
  <c r="O41" i="68"/>
  <c r="AB47" i="68"/>
  <c r="J47" i="68"/>
  <c r="Q47" i="68"/>
  <c r="U44" i="65"/>
  <c r="S87" i="65"/>
  <c r="S115" i="65" s="1"/>
  <c r="R51" i="65"/>
  <c r="O52" i="65"/>
  <c r="N43" i="65"/>
  <c r="V44" i="65"/>
  <c r="Q44" i="65"/>
  <c r="AA48" i="65"/>
  <c r="T44" i="52"/>
  <c r="W54" i="65"/>
  <c r="K48" i="65"/>
  <c r="H43" i="65"/>
  <c r="U54" i="65"/>
  <c r="Z47" i="65"/>
  <c r="AA76" i="64"/>
  <c r="AA104" i="64" s="1"/>
  <c r="U44" i="52"/>
  <c r="P43" i="65"/>
  <c r="AA54" i="65"/>
  <c r="Y53" i="65"/>
  <c r="S47" i="65"/>
  <c r="Z43" i="65"/>
  <c r="V41" i="64"/>
  <c r="O51" i="65"/>
  <c r="T89" i="65"/>
  <c r="T117" i="65" s="1"/>
  <c r="N51" i="65"/>
  <c r="W51" i="65"/>
  <c r="T54" i="65"/>
  <c r="Q54" i="65"/>
  <c r="K47" i="65"/>
  <c r="V52" i="65"/>
  <c r="W52" i="65"/>
  <c r="O49" i="52"/>
  <c r="W46" i="52"/>
  <c r="D70" i="65"/>
  <c r="X52" i="65"/>
  <c r="AB48" i="65"/>
  <c r="Z53" i="65"/>
  <c r="T79" i="65"/>
  <c r="T107" i="65" s="1"/>
  <c r="P44" i="65"/>
  <c r="D41" i="64"/>
  <c r="D67" i="64" s="1"/>
  <c r="D173" i="64" s="1"/>
  <c r="O48" i="65"/>
  <c r="Z89" i="65"/>
  <c r="Z117" i="65" s="1"/>
  <c r="R52" i="65"/>
  <c r="AB52" i="65"/>
  <c r="U47" i="65"/>
  <c r="F41" i="64"/>
  <c r="F67" i="64" s="1"/>
  <c r="O51" i="52"/>
  <c r="V47" i="65"/>
  <c r="O44" i="65"/>
  <c r="L41" i="64"/>
  <c r="L67" i="64" s="1"/>
  <c r="L175" i="64" s="1"/>
  <c r="E41" i="64"/>
  <c r="E67" i="64" s="1"/>
  <c r="E177" i="64" s="1"/>
  <c r="I76" i="64"/>
  <c r="I104" i="64" s="1"/>
  <c r="I131" i="64" s="1"/>
  <c r="D131" i="68"/>
  <c r="D41" i="68"/>
  <c r="D67" i="68" s="1"/>
  <c r="C76" i="68"/>
  <c r="C104" i="68" s="1"/>
  <c r="C131" i="68" s="1"/>
  <c r="C134" i="68" s="1"/>
  <c r="L83" i="68"/>
  <c r="L111" i="68" s="1"/>
  <c r="M48" i="68"/>
  <c r="V48" i="68"/>
  <c r="W48" i="68"/>
  <c r="D169" i="64"/>
  <c r="AA44" i="52"/>
  <c r="Z54" i="65"/>
  <c r="S89" i="65"/>
  <c r="S117" i="65" s="1"/>
  <c r="V46" i="69"/>
  <c r="Z46" i="69"/>
  <c r="J47" i="65"/>
  <c r="R55" i="65"/>
  <c r="N46" i="69"/>
  <c r="N67" i="69" s="1"/>
  <c r="S43" i="65"/>
  <c r="O45" i="68"/>
  <c r="T49" i="68"/>
  <c r="U50" i="70"/>
  <c r="P50" i="70"/>
  <c r="F22" i="42"/>
  <c r="F25" i="42"/>
  <c r="C164" i="68"/>
  <c r="C163" i="68"/>
  <c r="C158" i="68"/>
  <c r="C157" i="68"/>
  <c r="C156" i="68"/>
  <c r="C155" i="68"/>
  <c r="C165" i="68"/>
  <c r="C153" i="68"/>
  <c r="C161" i="68"/>
  <c r="C159" i="68"/>
  <c r="C160" i="68"/>
  <c r="C154" i="68"/>
  <c r="C162" i="68"/>
  <c r="K48" i="68"/>
  <c r="J83" i="68"/>
  <c r="J111" i="68" s="1"/>
  <c r="K41" i="64"/>
  <c r="J76" i="64"/>
  <c r="J104" i="64" s="1"/>
  <c r="J131" i="64" s="1"/>
  <c r="J43" i="65"/>
  <c r="U49" i="68"/>
  <c r="T56" i="68"/>
  <c r="V50" i="70"/>
  <c r="AB54" i="70"/>
  <c r="Q50" i="70"/>
  <c r="W56" i="68"/>
  <c r="S56" i="68"/>
  <c r="S67" i="68" s="1"/>
  <c r="F26" i="42"/>
  <c r="AA76" i="68"/>
  <c r="AA104" i="68" s="1"/>
  <c r="AA41" i="68"/>
  <c r="AB41" i="68"/>
  <c r="O48" i="68"/>
  <c r="N48" i="68"/>
  <c r="X41" i="68"/>
  <c r="W76" i="68"/>
  <c r="W104" i="68" s="1"/>
  <c r="W41" i="68"/>
  <c r="W67" i="68" s="1"/>
  <c r="L48" i="68"/>
  <c r="F67" i="65"/>
  <c r="F180" i="65" s="1"/>
  <c r="F184" i="65" s="1"/>
  <c r="M131" i="64"/>
  <c r="AA46" i="69"/>
  <c r="Q52" i="65"/>
  <c r="V83" i="68"/>
  <c r="V111" i="68" s="1"/>
  <c r="F23" i="42"/>
  <c r="AA48" i="68"/>
  <c r="AA67" i="68" s="1"/>
  <c r="Z48" i="68"/>
  <c r="R48" i="68"/>
  <c r="E131" i="68"/>
  <c r="E5" i="72"/>
  <c r="F5" i="72" s="1"/>
  <c r="E169" i="72"/>
  <c r="E173" i="72"/>
  <c r="E177" i="72"/>
  <c r="E170" i="72"/>
  <c r="E174" i="72"/>
  <c r="E178" i="72"/>
  <c r="E168" i="72"/>
  <c r="E172" i="72"/>
  <c r="E176" i="72"/>
  <c r="E180" i="72"/>
  <c r="E171" i="72"/>
  <c r="E175" i="72"/>
  <c r="E179" i="72"/>
  <c r="C76" i="52"/>
  <c r="C104" i="52" s="1"/>
  <c r="V42" i="52"/>
  <c r="U77" i="52"/>
  <c r="X90" i="52"/>
  <c r="X118" i="52" s="1"/>
  <c r="S90" i="52"/>
  <c r="S118" i="52" s="1"/>
  <c r="D180" i="69"/>
  <c r="D176" i="69"/>
  <c r="D172" i="69"/>
  <c r="D168" i="69"/>
  <c r="D179" i="69"/>
  <c r="D183" i="69" s="1"/>
  <c r="D175" i="69"/>
  <c r="D171" i="69"/>
  <c r="D178" i="69"/>
  <c r="D174" i="69"/>
  <c r="D170" i="69"/>
  <c r="D177" i="69"/>
  <c r="D173" i="69"/>
  <c r="D169" i="69"/>
  <c r="AB85" i="69"/>
  <c r="AB113" i="69" s="1"/>
  <c r="U93" i="69"/>
  <c r="U121" i="69" s="1"/>
  <c r="V58" i="69"/>
  <c r="T93" i="69"/>
  <c r="T121" i="69" s="1"/>
  <c r="U58" i="69"/>
  <c r="D153" i="72"/>
  <c r="D157" i="72"/>
  <c r="D161" i="72"/>
  <c r="D154" i="72"/>
  <c r="D158" i="72"/>
  <c r="D156" i="72"/>
  <c r="D160" i="72"/>
  <c r="D164" i="72"/>
  <c r="D159" i="72"/>
  <c r="D163" i="72"/>
  <c r="D155" i="72"/>
  <c r="D162" i="72"/>
  <c r="D165" i="72"/>
  <c r="X80" i="68"/>
  <c r="X108" i="68" s="1"/>
  <c r="H80" i="68"/>
  <c r="H108" i="68" s="1"/>
  <c r="H131" i="68" s="1"/>
  <c r="G80" i="68"/>
  <c r="G108" i="68" s="1"/>
  <c r="G131" i="68" s="1"/>
  <c r="H45" i="68"/>
  <c r="H77" i="69"/>
  <c r="H105" i="69" s="1"/>
  <c r="H131" i="69" s="1"/>
  <c r="I42" i="69"/>
  <c r="P77" i="69"/>
  <c r="P105" i="69" s="1"/>
  <c r="P131" i="69" s="1"/>
  <c r="Q42" i="69"/>
  <c r="AA94" i="69"/>
  <c r="AA122" i="69" s="1"/>
  <c r="AB59" i="69"/>
  <c r="W96" i="69"/>
  <c r="W124" i="69" s="1"/>
  <c r="X61" i="69"/>
  <c r="X96" i="69"/>
  <c r="X124" i="69" s="1"/>
  <c r="Y61" i="69"/>
  <c r="I77" i="70"/>
  <c r="I105" i="70" s="1"/>
  <c r="I131" i="70" s="1"/>
  <c r="J42" i="70"/>
  <c r="V95" i="69"/>
  <c r="V123" i="69" s="1"/>
  <c r="W60" i="69"/>
  <c r="W95" i="69"/>
  <c r="W123" i="69" s="1"/>
  <c r="X60" i="69"/>
  <c r="AA100" i="69"/>
  <c r="AA128" i="69" s="1"/>
  <c r="AB65" i="69"/>
  <c r="L112" i="68"/>
  <c r="L131" i="68" s="1"/>
  <c r="L84" i="68"/>
  <c r="R84" i="68"/>
  <c r="R112" i="68" s="1"/>
  <c r="V85" i="70"/>
  <c r="V113" i="70" s="1"/>
  <c r="W50" i="70"/>
  <c r="E179" i="68"/>
  <c r="E183" i="68" s="1"/>
  <c r="E176" i="68"/>
  <c r="E172" i="68"/>
  <c r="E168" i="68"/>
  <c r="E175" i="68"/>
  <c r="E171" i="68"/>
  <c r="E180" i="68"/>
  <c r="E184" i="68" s="1"/>
  <c r="E178" i="68"/>
  <c r="E174" i="68"/>
  <c r="E170" i="68"/>
  <c r="E177" i="68"/>
  <c r="E173" i="68"/>
  <c r="E169" i="68"/>
  <c r="H67" i="68"/>
  <c r="H72" i="68" s="1"/>
  <c r="T90" i="52"/>
  <c r="T118" i="52" s="1"/>
  <c r="Z90" i="52"/>
  <c r="Z118" i="52" s="1"/>
  <c r="D170" i="71"/>
  <c r="D171" i="71"/>
  <c r="D168" i="71"/>
  <c r="D172" i="71"/>
  <c r="D176" i="71"/>
  <c r="D180" i="71"/>
  <c r="D184" i="71" s="1"/>
  <c r="D173" i="71"/>
  <c r="D177" i="71"/>
  <c r="D169" i="71"/>
  <c r="D174" i="71"/>
  <c r="D178" i="71"/>
  <c r="D182" i="71" s="1"/>
  <c r="D175" i="71"/>
  <c r="D179" i="71"/>
  <c r="Z85" i="69"/>
  <c r="Z113" i="69" s="1"/>
  <c r="AA99" i="69"/>
  <c r="AA127" i="69" s="1"/>
  <c r="AB64" i="69"/>
  <c r="Z93" i="69"/>
  <c r="Z121" i="69" s="1"/>
  <c r="AA58" i="69"/>
  <c r="AA93" i="69"/>
  <c r="AA121" i="69" s="1"/>
  <c r="AB58" i="69"/>
  <c r="R80" i="68"/>
  <c r="R108" i="68" s="1"/>
  <c r="Q80" i="68"/>
  <c r="Q108" i="68" s="1"/>
  <c r="Q45" i="68"/>
  <c r="R45" i="68"/>
  <c r="O77" i="69"/>
  <c r="O105" i="69" s="1"/>
  <c r="P42" i="69"/>
  <c r="P67" i="69" s="1"/>
  <c r="Q77" i="69"/>
  <c r="Q105" i="69" s="1"/>
  <c r="U94" i="69"/>
  <c r="U122" i="69" s="1"/>
  <c r="V59" i="69"/>
  <c r="Y94" i="69"/>
  <c r="Y122" i="69" s="1"/>
  <c r="Z59" i="69"/>
  <c r="W94" i="69"/>
  <c r="W122" i="69" s="1"/>
  <c r="X59" i="69"/>
  <c r="Y96" i="69"/>
  <c r="Y124" i="69" s="1"/>
  <c r="Z61" i="69"/>
  <c r="AB88" i="69"/>
  <c r="AB116" i="69" s="1"/>
  <c r="AA98" i="69"/>
  <c r="AA126" i="69" s="1"/>
  <c r="AB63" i="69"/>
  <c r="Z95" i="69"/>
  <c r="Z123" i="69" s="1"/>
  <c r="AA60" i="69"/>
  <c r="Z97" i="69"/>
  <c r="Z125" i="69" s="1"/>
  <c r="AA62" i="69"/>
  <c r="Q89" i="70"/>
  <c r="Q117" i="70" s="1"/>
  <c r="R54" i="70"/>
  <c r="U84" i="68"/>
  <c r="U112" i="68" s="1"/>
  <c r="U131" i="68" s="1"/>
  <c r="V49" i="68"/>
  <c r="AA84" i="68"/>
  <c r="AA112" i="68" s="1"/>
  <c r="AB49" i="68"/>
  <c r="AB90" i="52"/>
  <c r="AB118" i="52" s="1"/>
  <c r="D171" i="70"/>
  <c r="D175" i="70"/>
  <c r="D179" i="70"/>
  <c r="D183" i="70" s="1"/>
  <c r="D168" i="70"/>
  <c r="D172" i="70"/>
  <c r="D176" i="70"/>
  <c r="D180" i="70"/>
  <c r="D184" i="70" s="1"/>
  <c r="D169" i="70"/>
  <c r="D173" i="70"/>
  <c r="D177" i="70"/>
  <c r="D170" i="70"/>
  <c r="D174" i="70"/>
  <c r="D178" i="70"/>
  <c r="D182" i="70" s="1"/>
  <c r="O85" i="69"/>
  <c r="O113" i="69" s="1"/>
  <c r="O50" i="69"/>
  <c r="Z99" i="69"/>
  <c r="Z127" i="69" s="1"/>
  <c r="AA64" i="69"/>
  <c r="V93" i="69"/>
  <c r="V121" i="69" s="1"/>
  <c r="W58" i="69"/>
  <c r="W93" i="69"/>
  <c r="W121" i="69" s="1"/>
  <c r="X58" i="69"/>
  <c r="N80" i="68"/>
  <c r="N108" i="68" s="1"/>
  <c r="AA80" i="68"/>
  <c r="AA108" i="68" s="1"/>
  <c r="K80" i="68"/>
  <c r="K108" i="68" s="1"/>
  <c r="K131" i="68" s="1"/>
  <c r="T88" i="70"/>
  <c r="T116" i="70" s="1"/>
  <c r="U53" i="70"/>
  <c r="Z94" i="69"/>
  <c r="Z122" i="69" s="1"/>
  <c r="AA59" i="69"/>
  <c r="AA96" i="69"/>
  <c r="AA124" i="69" s="1"/>
  <c r="AB61" i="69"/>
  <c r="V88" i="69"/>
  <c r="V116" i="69" s="1"/>
  <c r="AA88" i="69"/>
  <c r="AA116" i="69" s="1"/>
  <c r="AB53" i="69"/>
  <c r="AB91" i="65"/>
  <c r="AB119" i="65" s="1"/>
  <c r="Y98" i="69"/>
  <c r="Y126" i="69" s="1"/>
  <c r="Z63" i="69"/>
  <c r="Z98" i="69"/>
  <c r="Z126" i="69" s="1"/>
  <c r="AA63" i="69"/>
  <c r="X95" i="69"/>
  <c r="X123" i="69" s="1"/>
  <c r="Y60" i="69"/>
  <c r="X97" i="69"/>
  <c r="X125" i="69" s="1"/>
  <c r="Y62" i="69"/>
  <c r="N84" i="68"/>
  <c r="N112" i="68" s="1"/>
  <c r="N49" i="68"/>
  <c r="F131" i="68"/>
  <c r="F177" i="68"/>
  <c r="F173" i="68"/>
  <c r="F169" i="68"/>
  <c r="F179" i="68"/>
  <c r="F176" i="68"/>
  <c r="F172" i="68"/>
  <c r="F168" i="68"/>
  <c r="F175" i="68"/>
  <c r="F171" i="68"/>
  <c r="F180" i="68"/>
  <c r="F178" i="68"/>
  <c r="F182" i="68" s="1"/>
  <c r="F174" i="68"/>
  <c r="F170" i="68"/>
  <c r="Q90" i="52"/>
  <c r="Q118" i="52" s="1"/>
  <c r="W90" i="52"/>
  <c r="W118" i="52" s="1"/>
  <c r="R90" i="52"/>
  <c r="R118" i="52" s="1"/>
  <c r="D168" i="73"/>
  <c r="D172" i="73"/>
  <c r="D176" i="73"/>
  <c r="D180" i="73"/>
  <c r="D169" i="73"/>
  <c r="D173" i="73"/>
  <c r="D177" i="73"/>
  <c r="D170" i="73"/>
  <c r="D174" i="73"/>
  <c r="D171" i="73"/>
  <c r="D175" i="73"/>
  <c r="D179" i="73"/>
  <c r="D178" i="73"/>
  <c r="D131" i="70"/>
  <c r="R48" i="65"/>
  <c r="P48" i="65"/>
  <c r="AA47" i="65"/>
  <c r="M47" i="65"/>
  <c r="T52" i="65"/>
  <c r="Y45" i="68"/>
  <c r="C134" i="70"/>
  <c r="Q85" i="69"/>
  <c r="Q113" i="69" s="1"/>
  <c r="R50" i="69"/>
  <c r="R67" i="69" s="1"/>
  <c r="Y93" i="69"/>
  <c r="Y121" i="69" s="1"/>
  <c r="Z58" i="69"/>
  <c r="X93" i="69"/>
  <c r="X121" i="69" s="1"/>
  <c r="Y58" i="69"/>
  <c r="AB84" i="69"/>
  <c r="AB112" i="69" s="1"/>
  <c r="W89" i="69"/>
  <c r="W117" i="69" s="1"/>
  <c r="W80" i="68"/>
  <c r="W108" i="68" s="1"/>
  <c r="W131" i="68" s="1"/>
  <c r="W45" i="68"/>
  <c r="X45" i="68"/>
  <c r="M80" i="68"/>
  <c r="M108" i="68" s="1"/>
  <c r="M131" i="68" s="1"/>
  <c r="N45" i="68"/>
  <c r="N67" i="68" s="1"/>
  <c r="T80" i="68"/>
  <c r="T108" i="68" s="1"/>
  <c r="T131" i="68" s="1"/>
  <c r="F77" i="69"/>
  <c r="F105" i="69" s="1"/>
  <c r="F131" i="69" s="1"/>
  <c r="V94" i="69"/>
  <c r="V122" i="69" s="1"/>
  <c r="W59" i="69"/>
  <c r="X94" i="69"/>
  <c r="X122" i="69" s="1"/>
  <c r="Y59" i="69"/>
  <c r="Z96" i="69"/>
  <c r="Z124" i="69" s="1"/>
  <c r="AA61" i="69"/>
  <c r="I42" i="70"/>
  <c r="I67" i="70" s="1"/>
  <c r="K77" i="70"/>
  <c r="K105" i="70" s="1"/>
  <c r="L42" i="70"/>
  <c r="Y95" i="69"/>
  <c r="Y123" i="69" s="1"/>
  <c r="Z60" i="69"/>
  <c r="AA95" i="69"/>
  <c r="AA123" i="69" s="1"/>
  <c r="AB60" i="69"/>
  <c r="AA97" i="69"/>
  <c r="AA125" i="69" s="1"/>
  <c r="AB62" i="69"/>
  <c r="Y97" i="69"/>
  <c r="Y125" i="69" s="1"/>
  <c r="Z62" i="69"/>
  <c r="X84" i="68"/>
  <c r="X112" i="68" s="1"/>
  <c r="Q84" i="68"/>
  <c r="Q112" i="68" s="1"/>
  <c r="Q131" i="68" s="1"/>
  <c r="R49" i="68"/>
  <c r="Z85" i="70"/>
  <c r="Z113" i="70" s="1"/>
  <c r="AA50" i="70"/>
  <c r="L131" i="72"/>
  <c r="T131" i="72"/>
  <c r="E67" i="73"/>
  <c r="AA67" i="72"/>
  <c r="F67" i="72"/>
  <c r="F73" i="72" s="1"/>
  <c r="U131" i="72"/>
  <c r="X131" i="72"/>
  <c r="F131" i="72"/>
  <c r="I131" i="72"/>
  <c r="H67" i="72"/>
  <c r="Y131" i="72"/>
  <c r="I67" i="72"/>
  <c r="I70" i="72" s="1"/>
  <c r="E72" i="73"/>
  <c r="E67" i="65"/>
  <c r="E176" i="65" s="1"/>
  <c r="Y43" i="65"/>
  <c r="O131" i="65"/>
  <c r="K44" i="65"/>
  <c r="T51" i="65"/>
  <c r="X44" i="52"/>
  <c r="AA52" i="65"/>
  <c r="S44" i="65"/>
  <c r="T48" i="65"/>
  <c r="U52" i="65"/>
  <c r="M48" i="65"/>
  <c r="J78" i="65"/>
  <c r="J106" i="65" s="1"/>
  <c r="L82" i="65"/>
  <c r="L110" i="65" s="1"/>
  <c r="L47" i="65"/>
  <c r="W78" i="65"/>
  <c r="W106" i="65" s="1"/>
  <c r="U48" i="65"/>
  <c r="T87" i="65"/>
  <c r="T115" i="65" s="1"/>
  <c r="J44" i="65"/>
  <c r="J79" i="65"/>
  <c r="J107" i="65" s="1"/>
  <c r="U43" i="65"/>
  <c r="R43" i="52"/>
  <c r="AB52" i="52"/>
  <c r="S51" i="65"/>
  <c r="AB47" i="65"/>
  <c r="V51" i="65"/>
  <c r="O47" i="65"/>
  <c r="L48" i="65"/>
  <c r="W55" i="65"/>
  <c r="Y44" i="65"/>
  <c r="G131" i="65"/>
  <c r="O47" i="52"/>
  <c r="AA54" i="52"/>
  <c r="Y55" i="52"/>
  <c r="X48" i="65"/>
  <c r="X79" i="65"/>
  <c r="X107" i="65" s="1"/>
  <c r="Y48" i="65"/>
  <c r="T44" i="65"/>
  <c r="W48" i="65"/>
  <c r="Z48" i="65"/>
  <c r="AA82" i="65"/>
  <c r="AA110" i="65" s="1"/>
  <c r="S86" i="65"/>
  <c r="S114" i="65" s="1"/>
  <c r="U51" i="65"/>
  <c r="T43" i="65"/>
  <c r="N47" i="65"/>
  <c r="K131" i="64"/>
  <c r="R45" i="52"/>
  <c r="AB51" i="65"/>
  <c r="V43" i="65"/>
  <c r="R54" i="52"/>
  <c r="Z83" i="65"/>
  <c r="Z111" i="65" s="1"/>
  <c r="T82" i="65"/>
  <c r="T110" i="65" s="1"/>
  <c r="T47" i="65"/>
  <c r="Y44" i="52"/>
  <c r="Z44" i="52"/>
  <c r="X47" i="65"/>
  <c r="W47" i="65"/>
  <c r="Y47" i="65"/>
  <c r="P47" i="65"/>
  <c r="N48" i="65"/>
  <c r="Q83" i="65"/>
  <c r="Q111" i="65" s="1"/>
  <c r="P51" i="65"/>
  <c r="K131" i="65"/>
  <c r="Q51" i="65"/>
  <c r="Q47" i="65"/>
  <c r="O43" i="65"/>
  <c r="AA44" i="65"/>
  <c r="D171" i="65"/>
  <c r="D155" i="65"/>
  <c r="W44" i="65"/>
  <c r="Y79" i="65"/>
  <c r="Y107" i="65" s="1"/>
  <c r="X43" i="65"/>
  <c r="AB43" i="65"/>
  <c r="AA43" i="65"/>
  <c r="R78" i="65"/>
  <c r="R106" i="65" s="1"/>
  <c r="AA51" i="65"/>
  <c r="Q43" i="65"/>
  <c r="L78" i="65"/>
  <c r="L106" i="65" s="1"/>
  <c r="L131" i="65" s="1"/>
  <c r="L43" i="65"/>
  <c r="R52" i="52"/>
  <c r="U47" i="52"/>
  <c r="S52" i="52"/>
  <c r="D179" i="65"/>
  <c r="D183" i="65" s="1"/>
  <c r="D156" i="65"/>
  <c r="V79" i="65"/>
  <c r="V107" i="65" s="1"/>
  <c r="Z44" i="65"/>
  <c r="X78" i="65"/>
  <c r="X106" i="65" s="1"/>
  <c r="M44" i="65"/>
  <c r="Z51" i="65"/>
  <c r="R43" i="65"/>
  <c r="G43" i="65"/>
  <c r="J46" i="52"/>
  <c r="V45" i="52"/>
  <c r="D170" i="65"/>
  <c r="N44" i="65"/>
  <c r="L44" i="65"/>
  <c r="X51" i="65"/>
  <c r="H79" i="65"/>
  <c r="H107" i="65" s="1"/>
  <c r="H131" i="65" s="1"/>
  <c r="R44" i="65"/>
  <c r="G44" i="65"/>
  <c r="H44" i="65"/>
  <c r="I67" i="65"/>
  <c r="I180" i="65" s="1"/>
  <c r="I184" i="65" s="1"/>
  <c r="N131" i="65"/>
  <c r="K67" i="72"/>
  <c r="AA131" i="72"/>
  <c r="AB44" i="65"/>
  <c r="P131" i="65"/>
  <c r="P131" i="64"/>
  <c r="S131" i="72"/>
  <c r="Q79" i="65"/>
  <c r="Q107" i="65" s="1"/>
  <c r="V54" i="52"/>
  <c r="M131" i="65"/>
  <c r="Y51" i="65"/>
  <c r="H131" i="70"/>
  <c r="X55" i="65"/>
  <c r="L131" i="64"/>
  <c r="Q131" i="64"/>
  <c r="O44" i="52"/>
  <c r="J44" i="52"/>
  <c r="G44" i="52"/>
  <c r="N44" i="52"/>
  <c r="R44" i="52"/>
  <c r="V44" i="52"/>
  <c r="W44" i="52"/>
  <c r="W131" i="72"/>
  <c r="R131" i="72"/>
  <c r="V131" i="72"/>
  <c r="J131" i="72"/>
  <c r="Z67" i="72"/>
  <c r="N67" i="70"/>
  <c r="AA49" i="52"/>
  <c r="Z42" i="52"/>
  <c r="D71" i="65"/>
  <c r="D172" i="65"/>
  <c r="D174" i="65"/>
  <c r="D176" i="65"/>
  <c r="D157" i="65"/>
  <c r="D158" i="65"/>
  <c r="D161" i="65"/>
  <c r="P131" i="70"/>
  <c r="D72" i="65"/>
  <c r="D173" i="65"/>
  <c r="D175" i="65"/>
  <c r="D178" i="65"/>
  <c r="D182" i="65" s="1"/>
  <c r="D159" i="65"/>
  <c r="D160" i="65"/>
  <c r="D163" i="65"/>
  <c r="AA72" i="72"/>
  <c r="G67" i="69"/>
  <c r="O52" i="52"/>
  <c r="AB54" i="52"/>
  <c r="T55" i="52"/>
  <c r="D73" i="65"/>
  <c r="D168" i="65"/>
  <c r="D169" i="65"/>
  <c r="D177" i="65"/>
  <c r="D180" i="65"/>
  <c r="D184" i="65" s="1"/>
  <c r="D153" i="65"/>
  <c r="D154" i="65"/>
  <c r="D162" i="65"/>
  <c r="K131" i="70"/>
  <c r="P131" i="72"/>
  <c r="G131" i="72"/>
  <c r="Z131" i="72"/>
  <c r="I67" i="69"/>
  <c r="N49" i="52"/>
  <c r="Y52" i="52"/>
  <c r="AA42" i="52"/>
  <c r="J47" i="52"/>
  <c r="AB131" i="72"/>
  <c r="V51" i="52"/>
  <c r="Q67" i="72"/>
  <c r="Q67" i="64"/>
  <c r="Q169" i="64" s="1"/>
  <c r="X50" i="52"/>
  <c r="V50" i="52"/>
  <c r="W50" i="52"/>
  <c r="Z41" i="52"/>
  <c r="AA53" i="52"/>
  <c r="G42" i="52"/>
  <c r="O42" i="52"/>
  <c r="Y54" i="52"/>
  <c r="O50" i="52"/>
  <c r="X49" i="52"/>
  <c r="U53" i="52"/>
  <c r="E71" i="68"/>
  <c r="E41" i="52"/>
  <c r="Z53" i="52"/>
  <c r="T42" i="52"/>
  <c r="T51" i="52"/>
  <c r="Y47" i="52"/>
  <c r="S55" i="52"/>
  <c r="E71" i="73"/>
  <c r="J131" i="70"/>
  <c r="O131" i="64"/>
  <c r="V67" i="72"/>
  <c r="AB67" i="72"/>
  <c r="V47" i="52"/>
  <c r="U43" i="52"/>
  <c r="W45" i="52"/>
  <c r="O43" i="52"/>
  <c r="U54" i="52"/>
  <c r="AA48" i="52"/>
  <c r="Z54" i="52"/>
  <c r="U41" i="52"/>
  <c r="T41" i="52"/>
  <c r="X48" i="52"/>
  <c r="Z50" i="52"/>
  <c r="R42" i="52"/>
  <c r="S47" i="52"/>
  <c r="AA46" i="52"/>
  <c r="X47" i="52"/>
  <c r="V43" i="52"/>
  <c r="E73" i="73"/>
  <c r="Y43" i="52"/>
  <c r="F67" i="73"/>
  <c r="O131" i="72"/>
  <c r="X53" i="52"/>
  <c r="O48" i="52"/>
  <c r="R49" i="52"/>
  <c r="X55" i="52"/>
  <c r="U45" i="52"/>
  <c r="Y53" i="52"/>
  <c r="F42" i="52"/>
  <c r="J41" i="52"/>
  <c r="K46" i="52"/>
  <c r="T47" i="52"/>
  <c r="AA50" i="52"/>
  <c r="Z46" i="52"/>
  <c r="R48" i="52"/>
  <c r="AB42" i="52"/>
  <c r="X45" i="52"/>
  <c r="R47" i="52"/>
  <c r="AB50" i="52"/>
  <c r="S49" i="52"/>
  <c r="S51" i="52"/>
  <c r="R51" i="52"/>
  <c r="E70" i="73"/>
  <c r="F67" i="70"/>
  <c r="G131" i="70"/>
  <c r="W67" i="72"/>
  <c r="M67" i="72"/>
  <c r="T67" i="72"/>
  <c r="N67" i="72"/>
  <c r="W54" i="52"/>
  <c r="Y48" i="52"/>
  <c r="F43" i="52"/>
  <c r="K48" i="52"/>
  <c r="U50" i="52"/>
  <c r="R53" i="52"/>
  <c r="AA47" i="52"/>
  <c r="W48" i="52"/>
  <c r="W41" i="52"/>
  <c r="AA55" i="52"/>
  <c r="G43" i="52"/>
  <c r="X43" i="52"/>
  <c r="R50" i="52"/>
  <c r="U55" i="52"/>
  <c r="E73" i="68"/>
  <c r="E182" i="68"/>
  <c r="H71" i="68"/>
  <c r="G131" i="69"/>
  <c r="E131" i="69"/>
  <c r="D131" i="73"/>
  <c r="D131" i="69"/>
  <c r="O46" i="52"/>
  <c r="K42" i="52"/>
  <c r="AB49" i="52"/>
  <c r="V48" i="52"/>
  <c r="S50" i="52"/>
  <c r="X41" i="52"/>
  <c r="T45" i="52"/>
  <c r="T48" i="52"/>
  <c r="AA51" i="52"/>
  <c r="U46" i="52"/>
  <c r="W53" i="52"/>
  <c r="Z55" i="52"/>
  <c r="W43" i="52"/>
  <c r="U49" i="52"/>
  <c r="V46" i="52"/>
  <c r="E70" i="68"/>
  <c r="P67" i="70"/>
  <c r="J67" i="72"/>
  <c r="O41" i="52"/>
  <c r="F41" i="52"/>
  <c r="O45" i="52"/>
  <c r="S54" i="52"/>
  <c r="Y41" i="52"/>
  <c r="T50" i="52"/>
  <c r="Z49" i="52"/>
  <c r="J42" i="52"/>
  <c r="V53" i="52"/>
  <c r="S42" i="52"/>
  <c r="T49" i="52"/>
  <c r="AB51" i="52"/>
  <c r="E72" i="68"/>
  <c r="H70" i="68"/>
  <c r="Y67" i="72"/>
  <c r="E67" i="70"/>
  <c r="R67" i="64"/>
  <c r="R177" i="64" s="1"/>
  <c r="N131" i="69"/>
  <c r="L67" i="70"/>
  <c r="L73" i="70" s="1"/>
  <c r="O131" i="70"/>
  <c r="Q67" i="70"/>
  <c r="P131" i="68"/>
  <c r="AA41" i="52"/>
  <c r="S43" i="52"/>
  <c r="U67" i="72"/>
  <c r="M131" i="70"/>
  <c r="R67" i="72"/>
  <c r="P67" i="72"/>
  <c r="O67" i="72"/>
  <c r="S67" i="72"/>
  <c r="S73" i="72" s="1"/>
  <c r="X67" i="72"/>
  <c r="H131" i="64"/>
  <c r="D73" i="70"/>
  <c r="D71" i="70"/>
  <c r="D70" i="70"/>
  <c r="D72" i="70"/>
  <c r="D5" i="70"/>
  <c r="Y46" i="52"/>
  <c r="S53" i="52"/>
  <c r="N131" i="70"/>
  <c r="AB53" i="52"/>
  <c r="K41" i="52"/>
  <c r="S41" i="52"/>
  <c r="R41" i="52"/>
  <c r="U42" i="52"/>
  <c r="Y42" i="52"/>
  <c r="X42" i="52"/>
  <c r="W42" i="52"/>
  <c r="T54" i="52"/>
  <c r="X51" i="52"/>
  <c r="W51" i="52"/>
  <c r="W49" i="52"/>
  <c r="Y49" i="52"/>
  <c r="T52" i="52"/>
  <c r="U52" i="52"/>
  <c r="X52" i="52"/>
  <c r="W52" i="52"/>
  <c r="AA52" i="52"/>
  <c r="V52" i="52"/>
  <c r="Y45" i="52"/>
  <c r="Z45" i="52"/>
  <c r="J45" i="52"/>
  <c r="AB45" i="52"/>
  <c r="AA45" i="52"/>
  <c r="J43" i="52"/>
  <c r="AB43" i="52"/>
  <c r="T43" i="52"/>
  <c r="AA43" i="52"/>
  <c r="AB46" i="52"/>
  <c r="S46" i="52"/>
  <c r="T46" i="52"/>
  <c r="R46" i="52"/>
  <c r="AA118" i="52"/>
  <c r="AB55" i="52"/>
  <c r="V118" i="52"/>
  <c r="W55" i="52"/>
  <c r="W47" i="52"/>
  <c r="Z47" i="52"/>
  <c r="AB47" i="52"/>
  <c r="S48" i="52"/>
  <c r="U48" i="52"/>
  <c r="AB48" i="52"/>
  <c r="R67" i="70"/>
  <c r="R73" i="70" s="1"/>
  <c r="M131" i="69"/>
  <c r="G67" i="68"/>
  <c r="L131" i="70"/>
  <c r="F67" i="71"/>
  <c r="Q67" i="68"/>
  <c r="E131" i="70"/>
  <c r="P67" i="73"/>
  <c r="Q131" i="71"/>
  <c r="Y67" i="71"/>
  <c r="Y71" i="71" s="1"/>
  <c r="U131" i="71"/>
  <c r="F131" i="73"/>
  <c r="D131" i="71"/>
  <c r="S67" i="73"/>
  <c r="J67" i="70"/>
  <c r="K67" i="70"/>
  <c r="Q131" i="70"/>
  <c r="M67" i="70"/>
  <c r="O67" i="70"/>
  <c r="Q131" i="72"/>
  <c r="AB67" i="71"/>
  <c r="X67" i="71"/>
  <c r="T53" i="52"/>
  <c r="V41" i="52"/>
  <c r="Y50" i="52"/>
  <c r="G67" i="70"/>
  <c r="H67" i="71"/>
  <c r="K67" i="71"/>
  <c r="G67" i="72"/>
  <c r="Y67" i="68"/>
  <c r="F131" i="70"/>
  <c r="H67" i="70"/>
  <c r="Z67" i="71"/>
  <c r="AA67" i="71"/>
  <c r="U67" i="71"/>
  <c r="U67" i="73"/>
  <c r="V131" i="71"/>
  <c r="G131" i="71"/>
  <c r="I67" i="71"/>
  <c r="L67" i="72"/>
  <c r="O67" i="68"/>
  <c r="H67" i="69"/>
  <c r="F67" i="69"/>
  <c r="P67" i="71"/>
  <c r="T131" i="71"/>
  <c r="E67" i="71"/>
  <c r="E131" i="71"/>
  <c r="E67" i="69"/>
  <c r="X131" i="71"/>
  <c r="T67" i="73"/>
  <c r="Z131" i="71"/>
  <c r="Q67" i="71"/>
  <c r="T67" i="71"/>
  <c r="R67" i="73"/>
  <c r="O131" i="71"/>
  <c r="V67" i="71"/>
  <c r="J131" i="71"/>
  <c r="F131" i="71"/>
  <c r="Y131" i="71"/>
  <c r="AA131" i="71"/>
  <c r="W131" i="71"/>
  <c r="Q67" i="73"/>
  <c r="G67" i="73"/>
  <c r="N67" i="71"/>
  <c r="S131" i="73"/>
  <c r="W67" i="71"/>
  <c r="Q131" i="73"/>
  <c r="J67" i="73"/>
  <c r="G131" i="73"/>
  <c r="S131" i="71"/>
  <c r="O67" i="71"/>
  <c r="H67" i="73"/>
  <c r="M131" i="73"/>
  <c r="I131" i="73"/>
  <c r="R67" i="71"/>
  <c r="G67" i="71"/>
  <c r="T131" i="73"/>
  <c r="P131" i="71"/>
  <c r="R131" i="71"/>
  <c r="M131" i="71"/>
  <c r="F71" i="68"/>
  <c r="D184" i="69"/>
  <c r="D72" i="69"/>
  <c r="D5" i="69"/>
  <c r="D182" i="69"/>
  <c r="D71" i="69"/>
  <c r="D70" i="69"/>
  <c r="D73" i="69"/>
  <c r="N131" i="71"/>
  <c r="I67" i="68"/>
  <c r="V131" i="68"/>
  <c r="Z67" i="68"/>
  <c r="F184" i="68"/>
  <c r="J67" i="68"/>
  <c r="O131" i="68"/>
  <c r="J131" i="68"/>
  <c r="S67" i="71"/>
  <c r="L131" i="71"/>
  <c r="H131" i="71"/>
  <c r="M67" i="71"/>
  <c r="L131" i="73"/>
  <c r="N67" i="73"/>
  <c r="D71" i="71"/>
  <c r="D72" i="71"/>
  <c r="D183" i="71"/>
  <c r="D70" i="71"/>
  <c r="D5" i="71"/>
  <c r="D73" i="71"/>
  <c r="J67" i="71"/>
  <c r="I67" i="73"/>
  <c r="I131" i="71"/>
  <c r="K131" i="71"/>
  <c r="P131" i="73"/>
  <c r="L67" i="71"/>
  <c r="M67" i="73"/>
  <c r="D182" i="73"/>
  <c r="D72" i="73"/>
  <c r="D5" i="73"/>
  <c r="D70" i="73"/>
  <c r="D73" i="73"/>
  <c r="D184" i="73"/>
  <c r="D183" i="73"/>
  <c r="D71" i="73"/>
  <c r="O131" i="73"/>
  <c r="J131" i="73"/>
  <c r="K131" i="73"/>
  <c r="R67" i="68"/>
  <c r="R131" i="73"/>
  <c r="O67" i="73"/>
  <c r="K67" i="73"/>
  <c r="L67" i="73"/>
  <c r="AB131" i="68"/>
  <c r="N131" i="73"/>
  <c r="Q67" i="69"/>
  <c r="H131" i="73"/>
  <c r="P73" i="70"/>
  <c r="I131" i="68"/>
  <c r="J131" i="69"/>
  <c r="V49" i="52"/>
  <c r="S45" i="52"/>
  <c r="X46" i="52"/>
  <c r="S67" i="70"/>
  <c r="L67" i="69"/>
  <c r="Z48" i="52"/>
  <c r="AB41" i="52"/>
  <c r="X54" i="52"/>
  <c r="Z51" i="52"/>
  <c r="K67" i="69"/>
  <c r="Z52" i="52"/>
  <c r="Z43" i="52"/>
  <c r="U118" i="52"/>
  <c r="V55" i="52"/>
  <c r="R131" i="70"/>
  <c r="K131" i="69"/>
  <c r="P72" i="70"/>
  <c r="Y51" i="52"/>
  <c r="L131" i="69"/>
  <c r="J67" i="69"/>
  <c r="S67" i="69"/>
  <c r="U51" i="52"/>
  <c r="M67" i="69"/>
  <c r="I131" i="69"/>
  <c r="R131" i="69"/>
  <c r="F70" i="72"/>
  <c r="J70" i="72"/>
  <c r="H72" i="72"/>
  <c r="D133" i="72"/>
  <c r="D134" i="72" s="1"/>
  <c r="E184" i="72"/>
  <c r="E182" i="72"/>
  <c r="E183" i="72"/>
  <c r="E72" i="72"/>
  <c r="E70" i="72"/>
  <c r="E73" i="72"/>
  <c r="E71" i="72"/>
  <c r="Z131" i="68"/>
  <c r="L71" i="70"/>
  <c r="K67" i="68"/>
  <c r="T67" i="68"/>
  <c r="S131" i="68"/>
  <c r="F183" i="68"/>
  <c r="F72" i="68"/>
  <c r="F70" i="68"/>
  <c r="F73" i="68"/>
  <c r="X67" i="68"/>
  <c r="L72" i="70"/>
  <c r="I46" i="52"/>
  <c r="I43" i="52"/>
  <c r="Q46" i="52"/>
  <c r="Q49" i="52"/>
  <c r="Q44" i="52"/>
  <c r="N43" i="52"/>
  <c r="Q48" i="52"/>
  <c r="Q47" i="52"/>
  <c r="Q50" i="52"/>
  <c r="I44" i="52"/>
  <c r="N41" i="52"/>
  <c r="N50" i="52"/>
  <c r="G41" i="52"/>
  <c r="M43" i="52"/>
  <c r="Q41" i="52"/>
  <c r="Q42" i="52"/>
  <c r="Q51" i="52"/>
  <c r="N47" i="52"/>
  <c r="N48" i="52"/>
  <c r="N45" i="52"/>
  <c r="K43" i="52"/>
  <c r="K44" i="52"/>
  <c r="M50" i="52"/>
  <c r="M44" i="52"/>
  <c r="I42" i="52"/>
  <c r="Q54" i="52"/>
  <c r="Q45" i="52"/>
  <c r="Q43" i="52"/>
  <c r="N42" i="52"/>
  <c r="N51" i="52"/>
  <c r="N46" i="52"/>
  <c r="E42" i="52"/>
  <c r="K47" i="52"/>
  <c r="K45" i="52"/>
  <c r="M47" i="52"/>
  <c r="D41" i="52"/>
  <c r="M41" i="52"/>
  <c r="M46" i="52"/>
  <c r="M42" i="52"/>
  <c r="M48" i="52"/>
  <c r="H44" i="52"/>
  <c r="P46" i="52"/>
  <c r="M45" i="52"/>
  <c r="L45" i="52"/>
  <c r="L47" i="52"/>
  <c r="L49" i="52"/>
  <c r="M49" i="52"/>
  <c r="P51" i="52"/>
  <c r="P48" i="52"/>
  <c r="L48" i="52"/>
  <c r="P49" i="52"/>
  <c r="P47" i="52"/>
  <c r="Q52" i="52"/>
  <c r="P52" i="52"/>
  <c r="P45" i="52"/>
  <c r="L46" i="52"/>
  <c r="H45" i="52"/>
  <c r="I45" i="52"/>
  <c r="P53" i="52"/>
  <c r="Q53" i="52"/>
  <c r="P50" i="52"/>
  <c r="L43" i="52"/>
  <c r="H42" i="52"/>
  <c r="P44" i="52"/>
  <c r="L41" i="52"/>
  <c r="P43" i="52"/>
  <c r="H43" i="52"/>
  <c r="L42" i="52"/>
  <c r="I41" i="52"/>
  <c r="H41" i="52"/>
  <c r="L44" i="52"/>
  <c r="P41" i="52"/>
  <c r="P42" i="52"/>
  <c r="AL97" i="32"/>
  <c r="AK97" i="32"/>
  <c r="AJ97" i="32"/>
  <c r="AI97" i="32"/>
  <c r="AH97" i="32"/>
  <c r="AG97" i="32"/>
  <c r="AF97" i="32"/>
  <c r="AE97" i="32"/>
  <c r="AD97" i="32"/>
  <c r="AC97" i="32"/>
  <c r="AB97" i="32"/>
  <c r="AA97" i="32"/>
  <c r="Z97" i="32"/>
  <c r="Y97" i="32"/>
  <c r="X97" i="32"/>
  <c r="W97" i="32"/>
  <c r="V97" i="32"/>
  <c r="U97" i="32"/>
  <c r="T97" i="32"/>
  <c r="S97" i="32"/>
  <c r="R97" i="32"/>
  <c r="Q97" i="32"/>
  <c r="P97" i="32"/>
  <c r="O97" i="32"/>
  <c r="N97" i="32"/>
  <c r="M97" i="32"/>
  <c r="L97" i="32"/>
  <c r="K97" i="32"/>
  <c r="J97" i="32"/>
  <c r="I97" i="32"/>
  <c r="H97" i="32"/>
  <c r="G97" i="32"/>
  <c r="F97" i="32"/>
  <c r="E97" i="32"/>
  <c r="D97" i="32"/>
  <c r="C97" i="32"/>
  <c r="AL96" i="32"/>
  <c r="AK96" i="32"/>
  <c r="AJ96" i="32"/>
  <c r="AI96" i="32"/>
  <c r="AH96" i="32"/>
  <c r="AG96" i="32"/>
  <c r="AF96" i="32"/>
  <c r="AE96" i="32"/>
  <c r="AD96" i="32"/>
  <c r="AC96" i="32"/>
  <c r="AB96" i="32"/>
  <c r="AA96" i="32"/>
  <c r="Z96" i="32"/>
  <c r="Y96" i="32"/>
  <c r="X96" i="32"/>
  <c r="W96" i="32"/>
  <c r="V96" i="32"/>
  <c r="U96" i="32"/>
  <c r="T96" i="32"/>
  <c r="S96" i="32"/>
  <c r="R96" i="32"/>
  <c r="Q96" i="32"/>
  <c r="P96" i="32"/>
  <c r="O96" i="32"/>
  <c r="N96" i="32"/>
  <c r="M96" i="32"/>
  <c r="L96" i="32"/>
  <c r="K96" i="32"/>
  <c r="J96" i="32"/>
  <c r="I96" i="32"/>
  <c r="H96" i="32"/>
  <c r="G96" i="32"/>
  <c r="F96" i="32"/>
  <c r="E96" i="32"/>
  <c r="D96" i="32"/>
  <c r="C96" i="32"/>
  <c r="AL95" i="32"/>
  <c r="AK95" i="32"/>
  <c r="AJ95" i="32"/>
  <c r="AI95" i="32"/>
  <c r="AH95" i="32"/>
  <c r="AG95" i="32"/>
  <c r="AF95" i="32"/>
  <c r="AE95" i="32"/>
  <c r="AD95" i="32"/>
  <c r="AC95" i="32"/>
  <c r="AB95" i="32"/>
  <c r="AA95" i="32"/>
  <c r="Z95" i="32"/>
  <c r="Y95" i="32"/>
  <c r="X95" i="32"/>
  <c r="W95" i="32"/>
  <c r="V95" i="32"/>
  <c r="U95" i="32"/>
  <c r="T95" i="32"/>
  <c r="S95" i="32"/>
  <c r="R95" i="32"/>
  <c r="Q95" i="32"/>
  <c r="P95" i="32"/>
  <c r="O95" i="32"/>
  <c r="N95" i="32"/>
  <c r="M95" i="32"/>
  <c r="L95" i="32"/>
  <c r="K95" i="32"/>
  <c r="J95" i="32"/>
  <c r="I95" i="32"/>
  <c r="H95" i="32"/>
  <c r="G95" i="32"/>
  <c r="F95" i="32"/>
  <c r="E95" i="32"/>
  <c r="D95" i="32"/>
  <c r="C95" i="32"/>
  <c r="AL94" i="32"/>
  <c r="AK94" i="32"/>
  <c r="AJ94" i="32"/>
  <c r="AI94" i="32"/>
  <c r="AH94" i="32"/>
  <c r="AG94" i="32"/>
  <c r="AF94" i="32"/>
  <c r="AE94" i="32"/>
  <c r="AD94" i="32"/>
  <c r="AC94" i="32"/>
  <c r="AB94" i="32"/>
  <c r="AA94" i="32"/>
  <c r="Z94" i="32"/>
  <c r="Y94" i="32"/>
  <c r="X94" i="32"/>
  <c r="W94" i="32"/>
  <c r="V94" i="32"/>
  <c r="U94" i="32"/>
  <c r="T94" i="32"/>
  <c r="S94" i="32"/>
  <c r="R94" i="32"/>
  <c r="Q94" i="32"/>
  <c r="P94" i="32"/>
  <c r="O94" i="32"/>
  <c r="N94" i="32"/>
  <c r="M94" i="32"/>
  <c r="L94" i="32"/>
  <c r="K94" i="32"/>
  <c r="J94" i="32"/>
  <c r="I94" i="32"/>
  <c r="H94" i="32"/>
  <c r="G94" i="32"/>
  <c r="F94" i="32"/>
  <c r="E94" i="32"/>
  <c r="D94" i="32"/>
  <c r="C94" i="32"/>
  <c r="AL93" i="32"/>
  <c r="AK93" i="32"/>
  <c r="AJ93" i="32"/>
  <c r="AI93" i="32"/>
  <c r="AH93" i="32"/>
  <c r="AG93" i="32"/>
  <c r="AF93" i="32"/>
  <c r="AE93" i="32"/>
  <c r="AD93" i="32"/>
  <c r="AC93" i="32"/>
  <c r="AB93" i="32"/>
  <c r="AA93" i="32"/>
  <c r="Z93" i="32"/>
  <c r="Y93" i="32"/>
  <c r="X93" i="32"/>
  <c r="W93" i="32"/>
  <c r="V93" i="32"/>
  <c r="U93" i="32"/>
  <c r="T93" i="32"/>
  <c r="S93" i="32"/>
  <c r="R93" i="32"/>
  <c r="Q93" i="32"/>
  <c r="P93" i="32"/>
  <c r="O93" i="32"/>
  <c r="N93" i="32"/>
  <c r="M93" i="32"/>
  <c r="L93" i="32"/>
  <c r="K93" i="32"/>
  <c r="J93" i="32"/>
  <c r="I93" i="32"/>
  <c r="H93" i="32"/>
  <c r="G93" i="32"/>
  <c r="F93" i="32"/>
  <c r="E93" i="32"/>
  <c r="D93" i="32"/>
  <c r="C93" i="32"/>
  <c r="AL92" i="32"/>
  <c r="AK92" i="32"/>
  <c r="AJ92" i="32"/>
  <c r="AI92" i="32"/>
  <c r="AH92" i="32"/>
  <c r="AG92" i="32"/>
  <c r="AF92" i="32"/>
  <c r="AE92" i="32"/>
  <c r="AD92" i="32"/>
  <c r="AC92" i="32"/>
  <c r="AB92" i="32"/>
  <c r="AA92" i="32"/>
  <c r="Z92" i="32"/>
  <c r="Y92" i="32"/>
  <c r="X92" i="32"/>
  <c r="W92" i="32"/>
  <c r="V92" i="32"/>
  <c r="U92" i="32"/>
  <c r="T92" i="32"/>
  <c r="S92" i="32"/>
  <c r="R92" i="32"/>
  <c r="Q92" i="32"/>
  <c r="P92" i="32"/>
  <c r="O92" i="32"/>
  <c r="N92" i="32"/>
  <c r="M92" i="32"/>
  <c r="L92" i="32"/>
  <c r="K92" i="32"/>
  <c r="J92" i="32"/>
  <c r="I92" i="32"/>
  <c r="H92" i="32"/>
  <c r="G92" i="32"/>
  <c r="F92" i="32"/>
  <c r="E92" i="32"/>
  <c r="D92" i="32"/>
  <c r="C92" i="32"/>
  <c r="AL91" i="32"/>
  <c r="AK91" i="32"/>
  <c r="AJ91" i="32"/>
  <c r="AI91" i="32"/>
  <c r="AH91" i="32"/>
  <c r="AG91" i="32"/>
  <c r="AF91" i="32"/>
  <c r="AE91" i="32"/>
  <c r="AD91" i="32"/>
  <c r="AC91" i="32"/>
  <c r="AB91" i="32"/>
  <c r="AA91" i="32"/>
  <c r="Z91" i="32"/>
  <c r="Y91" i="32"/>
  <c r="X91" i="32"/>
  <c r="W91" i="32"/>
  <c r="V91" i="32"/>
  <c r="U91" i="32"/>
  <c r="T91" i="32"/>
  <c r="S91" i="32"/>
  <c r="R91" i="32"/>
  <c r="Q91" i="32"/>
  <c r="P91" i="32"/>
  <c r="O91" i="32"/>
  <c r="N91" i="32"/>
  <c r="M91" i="32"/>
  <c r="L91" i="32"/>
  <c r="K91" i="32"/>
  <c r="J91" i="32"/>
  <c r="I91" i="32"/>
  <c r="H91" i="32"/>
  <c r="G91" i="32"/>
  <c r="F91" i="32"/>
  <c r="E91" i="32"/>
  <c r="D91" i="32"/>
  <c r="C91" i="32"/>
  <c r="F179" i="65" l="1"/>
  <c r="F183" i="65" s="1"/>
  <c r="F176" i="65"/>
  <c r="E72" i="65"/>
  <c r="M67" i="64"/>
  <c r="M171" i="64" s="1"/>
  <c r="E171" i="65"/>
  <c r="E71" i="65"/>
  <c r="F72" i="65"/>
  <c r="E172" i="65"/>
  <c r="F173" i="65"/>
  <c r="E73" i="65"/>
  <c r="N67" i="64"/>
  <c r="N180" i="64" s="1"/>
  <c r="N184" i="64" s="1"/>
  <c r="F71" i="65"/>
  <c r="F168" i="65"/>
  <c r="F178" i="65"/>
  <c r="F182" i="65" s="1"/>
  <c r="F133" i="65" s="1"/>
  <c r="F134" i="65" s="1"/>
  <c r="E174" i="65"/>
  <c r="E5" i="65"/>
  <c r="E165" i="65" s="1"/>
  <c r="E168" i="65"/>
  <c r="E178" i="65"/>
  <c r="E182" i="65" s="1"/>
  <c r="F73" i="65"/>
  <c r="F170" i="65"/>
  <c r="F175" i="65"/>
  <c r="E177" i="65"/>
  <c r="E173" i="65"/>
  <c r="E180" i="65"/>
  <c r="E184" i="65" s="1"/>
  <c r="E70" i="65"/>
  <c r="F169" i="65"/>
  <c r="F174" i="65"/>
  <c r="F177" i="65"/>
  <c r="E169" i="65"/>
  <c r="E170" i="65"/>
  <c r="E179" i="65"/>
  <c r="E183" i="65" s="1"/>
  <c r="E175" i="65"/>
  <c r="J67" i="64"/>
  <c r="D70" i="64"/>
  <c r="O67" i="64"/>
  <c r="O176" i="64" s="1"/>
  <c r="K67" i="65"/>
  <c r="K177" i="65" s="1"/>
  <c r="K67" i="64"/>
  <c r="K170" i="64" s="1"/>
  <c r="L70" i="70"/>
  <c r="G174" i="64"/>
  <c r="E170" i="64"/>
  <c r="G172" i="64"/>
  <c r="I72" i="72"/>
  <c r="F71" i="72"/>
  <c r="H73" i="68"/>
  <c r="D179" i="64"/>
  <c r="D183" i="64" s="1"/>
  <c r="E72" i="64"/>
  <c r="F72" i="72"/>
  <c r="D71" i="64"/>
  <c r="D177" i="64"/>
  <c r="AB67" i="68"/>
  <c r="L67" i="68"/>
  <c r="I173" i="65"/>
  <c r="H67" i="65"/>
  <c r="H176" i="65" s="1"/>
  <c r="D176" i="64"/>
  <c r="D178" i="64"/>
  <c r="D182" i="64" s="1"/>
  <c r="D175" i="64"/>
  <c r="L179" i="64"/>
  <c r="L183" i="64" s="1"/>
  <c r="I175" i="64"/>
  <c r="D180" i="64"/>
  <c r="D184" i="64" s="1"/>
  <c r="D174" i="64"/>
  <c r="D171" i="64"/>
  <c r="I174" i="65"/>
  <c r="D172" i="64"/>
  <c r="D72" i="64"/>
  <c r="D170" i="64"/>
  <c r="O67" i="65"/>
  <c r="O180" i="65" s="1"/>
  <c r="O184" i="65" s="1"/>
  <c r="J67" i="65"/>
  <c r="J175" i="65" s="1"/>
  <c r="F174" i="64"/>
  <c r="F172" i="64"/>
  <c r="F175" i="64"/>
  <c r="F71" i="64"/>
  <c r="F176" i="64"/>
  <c r="E179" i="64"/>
  <c r="E183" i="64" s="1"/>
  <c r="L71" i="64"/>
  <c r="G71" i="64"/>
  <c r="I72" i="65"/>
  <c r="E178" i="64"/>
  <c r="E182" i="64" s="1"/>
  <c r="L176" i="64"/>
  <c r="G178" i="64"/>
  <c r="G182" i="64" s="1"/>
  <c r="I170" i="65"/>
  <c r="F70" i="65"/>
  <c r="F171" i="65"/>
  <c r="F172" i="65"/>
  <c r="M67" i="65"/>
  <c r="M176" i="65" s="1"/>
  <c r="D5" i="64"/>
  <c r="E5" i="64" s="1"/>
  <c r="D73" i="64"/>
  <c r="D168" i="64"/>
  <c r="L180" i="68"/>
  <c r="L184" i="68" s="1"/>
  <c r="L177" i="68"/>
  <c r="L176" i="68"/>
  <c r="L70" i="68"/>
  <c r="L71" i="68"/>
  <c r="L178" i="68"/>
  <c r="L182" i="68" s="1"/>
  <c r="L173" i="68"/>
  <c r="L172" i="68"/>
  <c r="L170" i="68"/>
  <c r="L175" i="68"/>
  <c r="L174" i="68"/>
  <c r="L169" i="68"/>
  <c r="L168" i="68"/>
  <c r="L73" i="68"/>
  <c r="L171" i="68"/>
  <c r="L179" i="68"/>
  <c r="L183" i="68" s="1"/>
  <c r="L133" i="68" s="1"/>
  <c r="L134" i="68" s="1"/>
  <c r="L72" i="68"/>
  <c r="I71" i="72"/>
  <c r="I73" i="72"/>
  <c r="N131" i="68"/>
  <c r="D73" i="68"/>
  <c r="D171" i="68"/>
  <c r="D170" i="68"/>
  <c r="D179" i="68"/>
  <c r="D183" i="68" s="1"/>
  <c r="D70" i="68"/>
  <c r="D180" i="68"/>
  <c r="D184" i="68" s="1"/>
  <c r="D177" i="68"/>
  <c r="D176" i="68"/>
  <c r="D71" i="68"/>
  <c r="D72" i="68"/>
  <c r="D178" i="68"/>
  <c r="D182" i="68" s="1"/>
  <c r="D173" i="68"/>
  <c r="D172" i="68"/>
  <c r="D5" i="68"/>
  <c r="D175" i="68"/>
  <c r="D174" i="68"/>
  <c r="D169" i="68"/>
  <c r="D168" i="68"/>
  <c r="R131" i="68"/>
  <c r="G34" i="42"/>
  <c r="V5" i="28" s="1"/>
  <c r="Z5" i="28" s="1"/>
  <c r="O131" i="69"/>
  <c r="Q131" i="69"/>
  <c r="AA131" i="68"/>
  <c r="X131" i="68"/>
  <c r="U150" i="73"/>
  <c r="F40" i="66" s="1"/>
  <c r="U140" i="73"/>
  <c r="U149" i="73"/>
  <c r="F41" i="66" s="1"/>
  <c r="W25" i="73"/>
  <c r="Y25" i="73"/>
  <c r="U138" i="73"/>
  <c r="U139" i="73"/>
  <c r="U144" i="73"/>
  <c r="U141" i="73"/>
  <c r="AA25" i="73"/>
  <c r="AB25" i="73"/>
  <c r="AB94" i="73" s="1"/>
  <c r="AB122" i="73" s="1"/>
  <c r="U142" i="73"/>
  <c r="U143" i="73"/>
  <c r="U148" i="73"/>
  <c r="U132" i="73" s="1"/>
  <c r="V25" i="73"/>
  <c r="U25" i="73"/>
  <c r="U146" i="73"/>
  <c r="U147" i="73"/>
  <c r="U145" i="73"/>
  <c r="Z25" i="73"/>
  <c r="X25" i="73"/>
  <c r="E133" i="68"/>
  <c r="E134" i="68" s="1"/>
  <c r="H71" i="64"/>
  <c r="H179" i="64"/>
  <c r="H183" i="64" s="1"/>
  <c r="E16" i="66"/>
  <c r="T175" i="68"/>
  <c r="T171" i="68"/>
  <c r="T180" i="68"/>
  <c r="T184" i="68" s="1"/>
  <c r="T178" i="68"/>
  <c r="T174" i="68"/>
  <c r="T170" i="68"/>
  <c r="T177" i="68"/>
  <c r="T173" i="68"/>
  <c r="T169" i="68"/>
  <c r="T179" i="68"/>
  <c r="T176" i="68"/>
  <c r="T172" i="68"/>
  <c r="T168" i="68"/>
  <c r="K179" i="69"/>
  <c r="K175" i="69"/>
  <c r="K171" i="69"/>
  <c r="K178" i="69"/>
  <c r="K174" i="69"/>
  <c r="K170" i="69"/>
  <c r="K177" i="69"/>
  <c r="K173" i="69"/>
  <c r="K169" i="69"/>
  <c r="K180" i="69"/>
  <c r="K184" i="69" s="1"/>
  <c r="K176" i="69"/>
  <c r="K172" i="69"/>
  <c r="K168" i="69"/>
  <c r="N177" i="68"/>
  <c r="N173" i="68"/>
  <c r="N169" i="68"/>
  <c r="N179" i="68"/>
  <c r="N176" i="68"/>
  <c r="N172" i="68"/>
  <c r="N168" i="68"/>
  <c r="N175" i="68"/>
  <c r="N171" i="68"/>
  <c r="N180" i="68"/>
  <c r="N178" i="68"/>
  <c r="N174" i="68"/>
  <c r="N170" i="68"/>
  <c r="D158" i="73"/>
  <c r="D162" i="73"/>
  <c r="D154" i="73"/>
  <c r="D155" i="73"/>
  <c r="D159" i="73"/>
  <c r="D163" i="73"/>
  <c r="D153" i="73"/>
  <c r="D156" i="73"/>
  <c r="D160" i="73"/>
  <c r="D164" i="73"/>
  <c r="D157" i="73"/>
  <c r="D161" i="73"/>
  <c r="D165" i="73"/>
  <c r="N170" i="73"/>
  <c r="N174" i="73"/>
  <c r="N178" i="73"/>
  <c r="N182" i="73" s="1"/>
  <c r="N171" i="73"/>
  <c r="N175" i="73"/>
  <c r="N179" i="73"/>
  <c r="N168" i="73"/>
  <c r="N172" i="73"/>
  <c r="N169" i="73"/>
  <c r="N173" i="73"/>
  <c r="N177" i="73"/>
  <c r="N176" i="73"/>
  <c r="N180" i="73"/>
  <c r="P71" i="68"/>
  <c r="P175" i="68"/>
  <c r="P171" i="68"/>
  <c r="P180" i="68"/>
  <c r="P178" i="68"/>
  <c r="P174" i="68"/>
  <c r="P170" i="68"/>
  <c r="P177" i="68"/>
  <c r="P173" i="68"/>
  <c r="P169" i="68"/>
  <c r="P179" i="68"/>
  <c r="P176" i="68"/>
  <c r="P172" i="68"/>
  <c r="P168" i="68"/>
  <c r="I179" i="68"/>
  <c r="I176" i="68"/>
  <c r="I172" i="68"/>
  <c r="I168" i="68"/>
  <c r="I175" i="68"/>
  <c r="I171" i="68"/>
  <c r="I180" i="68"/>
  <c r="I178" i="68"/>
  <c r="I182" i="68" s="1"/>
  <c r="I174" i="68"/>
  <c r="I170" i="68"/>
  <c r="I177" i="68"/>
  <c r="I173" i="68"/>
  <c r="I169" i="68"/>
  <c r="R168" i="71"/>
  <c r="R169" i="71"/>
  <c r="R170" i="71"/>
  <c r="R174" i="71"/>
  <c r="R178" i="71"/>
  <c r="R171" i="71"/>
  <c r="R175" i="71"/>
  <c r="R179" i="71"/>
  <c r="R172" i="71"/>
  <c r="R176" i="71"/>
  <c r="R180" i="71"/>
  <c r="R184" i="71" s="1"/>
  <c r="R173" i="71"/>
  <c r="R177" i="71"/>
  <c r="G169" i="73"/>
  <c r="G173" i="73"/>
  <c r="G177" i="73"/>
  <c r="G170" i="73"/>
  <c r="G174" i="73"/>
  <c r="G178" i="73"/>
  <c r="G182" i="73" s="1"/>
  <c r="G171" i="73"/>
  <c r="G168" i="73"/>
  <c r="G172" i="73"/>
  <c r="G176" i="73"/>
  <c r="G180" i="73"/>
  <c r="G175" i="73"/>
  <c r="G179" i="73"/>
  <c r="G30" i="66"/>
  <c r="V168" i="71"/>
  <c r="V169" i="71"/>
  <c r="V170" i="71"/>
  <c r="V174" i="71"/>
  <c r="V178" i="71"/>
  <c r="V171" i="71"/>
  <c r="V175" i="71"/>
  <c r="V179" i="71"/>
  <c r="V183" i="71" s="1"/>
  <c r="V172" i="71"/>
  <c r="V176" i="71"/>
  <c r="V180" i="71"/>
  <c r="V173" i="71"/>
  <c r="V177" i="71"/>
  <c r="E30" i="66"/>
  <c r="T170" i="71"/>
  <c r="T168" i="71"/>
  <c r="T172" i="71"/>
  <c r="T176" i="71"/>
  <c r="T180" i="71"/>
  <c r="T173" i="71"/>
  <c r="T177" i="71"/>
  <c r="T169" i="71"/>
  <c r="T174" i="71"/>
  <c r="T178" i="71"/>
  <c r="T182" i="71" s="1"/>
  <c r="T171" i="71"/>
  <c r="T175" i="71"/>
  <c r="T179" i="71"/>
  <c r="N178" i="69"/>
  <c r="N182" i="69" s="1"/>
  <c r="N174" i="69"/>
  <c r="N170" i="69"/>
  <c r="N177" i="69"/>
  <c r="N173" i="69"/>
  <c r="N169" i="69"/>
  <c r="N180" i="69"/>
  <c r="N176" i="69"/>
  <c r="N172" i="69"/>
  <c r="N168" i="69"/>
  <c r="N179" i="69"/>
  <c r="N175" i="69"/>
  <c r="N171" i="69"/>
  <c r="L30" i="66"/>
  <c r="AA168" i="71"/>
  <c r="AA169" i="71"/>
  <c r="AA173" i="71"/>
  <c r="AA177" i="71"/>
  <c r="AA174" i="71"/>
  <c r="AA178" i="71"/>
  <c r="AA171" i="71"/>
  <c r="AA175" i="71"/>
  <c r="AA179" i="71"/>
  <c r="AA170" i="71"/>
  <c r="AA172" i="71"/>
  <c r="AA176" i="71"/>
  <c r="AA180" i="71"/>
  <c r="H170" i="71"/>
  <c r="H171" i="71"/>
  <c r="H168" i="71"/>
  <c r="H172" i="71"/>
  <c r="H176" i="71"/>
  <c r="H180" i="71"/>
  <c r="H184" i="71" s="1"/>
  <c r="H173" i="71"/>
  <c r="H177" i="71"/>
  <c r="H174" i="71"/>
  <c r="H178" i="71"/>
  <c r="H182" i="71" s="1"/>
  <c r="H169" i="71"/>
  <c r="H175" i="71"/>
  <c r="H179" i="71"/>
  <c r="M30" i="66"/>
  <c r="AB170" i="71"/>
  <c r="AB168" i="71"/>
  <c r="AB169" i="71"/>
  <c r="AB172" i="71"/>
  <c r="AB176" i="71"/>
  <c r="AB180" i="71"/>
  <c r="AB173" i="71"/>
  <c r="AB177" i="71"/>
  <c r="AB174" i="71"/>
  <c r="AB178" i="71"/>
  <c r="AB171" i="71"/>
  <c r="AB175" i="71"/>
  <c r="AB179" i="71"/>
  <c r="F168" i="71"/>
  <c r="F169" i="71"/>
  <c r="F170" i="71"/>
  <c r="F174" i="71"/>
  <c r="F178" i="71"/>
  <c r="F171" i="71"/>
  <c r="F175" i="71"/>
  <c r="F179" i="71"/>
  <c r="F172" i="71"/>
  <c r="F176" i="71"/>
  <c r="F180" i="71"/>
  <c r="F184" i="71" s="1"/>
  <c r="F173" i="71"/>
  <c r="F177" i="71"/>
  <c r="R169" i="70"/>
  <c r="R173" i="70"/>
  <c r="R177" i="70"/>
  <c r="R170" i="70"/>
  <c r="R174" i="70"/>
  <c r="R178" i="70"/>
  <c r="R182" i="70" s="1"/>
  <c r="R133" i="70" s="1"/>
  <c r="R134" i="70" s="1"/>
  <c r="R171" i="70"/>
  <c r="R175" i="70"/>
  <c r="R179" i="70"/>
  <c r="R183" i="70" s="1"/>
  <c r="R168" i="70"/>
  <c r="R172" i="70"/>
  <c r="R176" i="70"/>
  <c r="R180" i="70"/>
  <c r="R184" i="70" s="1"/>
  <c r="O171" i="72"/>
  <c r="O175" i="72"/>
  <c r="O179" i="72"/>
  <c r="O168" i="72"/>
  <c r="O172" i="72"/>
  <c r="O176" i="72"/>
  <c r="O180" i="72"/>
  <c r="O170" i="72"/>
  <c r="O174" i="72"/>
  <c r="O178" i="72"/>
  <c r="O173" i="72"/>
  <c r="O177" i="72"/>
  <c r="O169" i="72"/>
  <c r="F31" i="66"/>
  <c r="U169" i="72"/>
  <c r="U173" i="72"/>
  <c r="U177" i="72"/>
  <c r="U170" i="72"/>
  <c r="U174" i="72"/>
  <c r="U178" i="72"/>
  <c r="U168" i="72"/>
  <c r="U172" i="72"/>
  <c r="U176" i="72"/>
  <c r="U180" i="72"/>
  <c r="U171" i="72"/>
  <c r="U175" i="72"/>
  <c r="U179" i="72"/>
  <c r="Q170" i="70"/>
  <c r="Q174" i="70"/>
  <c r="Q178" i="70"/>
  <c r="Q182" i="70" s="1"/>
  <c r="Q171" i="70"/>
  <c r="Q175" i="70"/>
  <c r="Q179" i="70"/>
  <c r="Q183" i="70" s="1"/>
  <c r="Q168" i="70"/>
  <c r="Q172" i="70"/>
  <c r="Q176" i="70"/>
  <c r="Q180" i="70"/>
  <c r="Q184" i="70" s="1"/>
  <c r="Q169" i="70"/>
  <c r="Q173" i="70"/>
  <c r="Q177" i="70"/>
  <c r="P71" i="70"/>
  <c r="P171" i="70"/>
  <c r="P175" i="70"/>
  <c r="P179" i="70"/>
  <c r="P183" i="70" s="1"/>
  <c r="P168" i="70"/>
  <c r="P172" i="70"/>
  <c r="P176" i="70"/>
  <c r="P180" i="70"/>
  <c r="P184" i="70" s="1"/>
  <c r="P169" i="70"/>
  <c r="P173" i="70"/>
  <c r="P177" i="70"/>
  <c r="P170" i="70"/>
  <c r="P174" i="70"/>
  <c r="P178" i="70"/>
  <c r="P182" i="70" s="1"/>
  <c r="N168" i="72"/>
  <c r="N172" i="72"/>
  <c r="N176" i="72"/>
  <c r="N180" i="72"/>
  <c r="N169" i="72"/>
  <c r="N173" i="72"/>
  <c r="N177" i="72"/>
  <c r="N171" i="72"/>
  <c r="N175" i="72"/>
  <c r="N179" i="72"/>
  <c r="N183" i="72" s="1"/>
  <c r="N170" i="72"/>
  <c r="N174" i="72"/>
  <c r="N178" i="72"/>
  <c r="K171" i="72"/>
  <c r="K175" i="72"/>
  <c r="K179" i="72"/>
  <c r="K168" i="72"/>
  <c r="K172" i="72"/>
  <c r="K176" i="72"/>
  <c r="K180" i="72"/>
  <c r="K170" i="72"/>
  <c r="K174" i="72"/>
  <c r="K178" i="72"/>
  <c r="K182" i="72" s="1"/>
  <c r="K177" i="72"/>
  <c r="K169" i="72"/>
  <c r="K173" i="72"/>
  <c r="I169" i="72"/>
  <c r="I173" i="72"/>
  <c r="I177" i="72"/>
  <c r="I170" i="72"/>
  <c r="I174" i="72"/>
  <c r="I178" i="72"/>
  <c r="I182" i="72" s="1"/>
  <c r="I168" i="72"/>
  <c r="I172" i="72"/>
  <c r="I176" i="72"/>
  <c r="I180" i="72"/>
  <c r="I184" i="72" s="1"/>
  <c r="I179" i="72"/>
  <c r="I183" i="72" s="1"/>
  <c r="I171" i="72"/>
  <c r="I175" i="72"/>
  <c r="L31" i="66"/>
  <c r="AA171" i="72"/>
  <c r="AA175" i="72"/>
  <c r="AA179" i="72"/>
  <c r="AA183" i="72" s="1"/>
  <c r="AA168" i="72"/>
  <c r="AA172" i="72"/>
  <c r="AA176" i="72"/>
  <c r="AA180" i="72"/>
  <c r="AA184" i="72" s="1"/>
  <c r="AA170" i="72"/>
  <c r="AA174" i="72"/>
  <c r="AA178" i="72"/>
  <c r="AA177" i="72"/>
  <c r="AA169" i="72"/>
  <c r="AA173" i="72"/>
  <c r="Y91" i="65"/>
  <c r="Y119" i="65" s="1"/>
  <c r="Z56" i="65"/>
  <c r="T91" i="65"/>
  <c r="T119" i="65" s="1"/>
  <c r="U56" i="65"/>
  <c r="Z91" i="65"/>
  <c r="Z119" i="65" s="1"/>
  <c r="AA56" i="65"/>
  <c r="K180" i="68"/>
  <c r="K178" i="68"/>
  <c r="K174" i="68"/>
  <c r="K170" i="68"/>
  <c r="K177" i="68"/>
  <c r="K173" i="68"/>
  <c r="K169" i="68"/>
  <c r="K179" i="68"/>
  <c r="K183" i="68" s="1"/>
  <c r="K176" i="68"/>
  <c r="K172" i="68"/>
  <c r="K168" i="68"/>
  <c r="K175" i="68"/>
  <c r="K171" i="68"/>
  <c r="D17" i="66"/>
  <c r="S179" i="69"/>
  <c r="S175" i="69"/>
  <c r="S171" i="69"/>
  <c r="S178" i="69"/>
  <c r="S174" i="69"/>
  <c r="S170" i="69"/>
  <c r="S177" i="69"/>
  <c r="S173" i="69"/>
  <c r="S169" i="69"/>
  <c r="S180" i="69"/>
  <c r="S184" i="69" s="1"/>
  <c r="S176" i="69"/>
  <c r="S172" i="69"/>
  <c r="S168" i="69"/>
  <c r="L180" i="69"/>
  <c r="L184" i="69" s="1"/>
  <c r="L176" i="69"/>
  <c r="L172" i="69"/>
  <c r="L168" i="69"/>
  <c r="L179" i="69"/>
  <c r="L183" i="69" s="1"/>
  <c r="L175" i="69"/>
  <c r="L171" i="69"/>
  <c r="L178" i="69"/>
  <c r="L174" i="69"/>
  <c r="L170" i="69"/>
  <c r="L177" i="69"/>
  <c r="L173" i="69"/>
  <c r="L169" i="69"/>
  <c r="Q177" i="69"/>
  <c r="Q173" i="69"/>
  <c r="Q169" i="69"/>
  <c r="Q180" i="69"/>
  <c r="Q184" i="69" s="1"/>
  <c r="Q176" i="69"/>
  <c r="Q172" i="69"/>
  <c r="Q168" i="69"/>
  <c r="Q179" i="69"/>
  <c r="Q183" i="69" s="1"/>
  <c r="Q175" i="69"/>
  <c r="Q171" i="69"/>
  <c r="Q178" i="69"/>
  <c r="Q174" i="69"/>
  <c r="Q170" i="69"/>
  <c r="L168" i="73"/>
  <c r="L172" i="73"/>
  <c r="L176" i="73"/>
  <c r="L180" i="73"/>
  <c r="L169" i="73"/>
  <c r="L173" i="73"/>
  <c r="L177" i="73"/>
  <c r="L170" i="73"/>
  <c r="L174" i="73"/>
  <c r="L171" i="73"/>
  <c r="L175" i="73"/>
  <c r="L179" i="73"/>
  <c r="L178" i="73"/>
  <c r="L170" i="71"/>
  <c r="L171" i="71"/>
  <c r="L168" i="71"/>
  <c r="L169" i="71"/>
  <c r="L172" i="71"/>
  <c r="L176" i="71"/>
  <c r="L180" i="71"/>
  <c r="L173" i="71"/>
  <c r="L177" i="71"/>
  <c r="L174" i="71"/>
  <c r="L178" i="71"/>
  <c r="L175" i="71"/>
  <c r="L179" i="71"/>
  <c r="I171" i="73"/>
  <c r="I175" i="73"/>
  <c r="I179" i="73"/>
  <c r="I168" i="73"/>
  <c r="I172" i="73"/>
  <c r="I176" i="73"/>
  <c r="I180" i="73"/>
  <c r="I169" i="73"/>
  <c r="I173" i="73"/>
  <c r="I170" i="73"/>
  <c r="I174" i="73"/>
  <c r="I178" i="73"/>
  <c r="I177" i="73"/>
  <c r="D30" i="66"/>
  <c r="S168" i="71"/>
  <c r="S169" i="71"/>
  <c r="S170" i="71"/>
  <c r="S173" i="71"/>
  <c r="S177" i="71"/>
  <c r="S174" i="71"/>
  <c r="S178" i="71"/>
  <c r="S171" i="71"/>
  <c r="S175" i="71"/>
  <c r="S179" i="71"/>
  <c r="S172" i="71"/>
  <c r="S176" i="71"/>
  <c r="S180" i="71"/>
  <c r="K16" i="66"/>
  <c r="Z177" i="68"/>
  <c r="Z173" i="68"/>
  <c r="Z169" i="68"/>
  <c r="Z179" i="68"/>
  <c r="Z176" i="68"/>
  <c r="Z172" i="68"/>
  <c r="Z168" i="68"/>
  <c r="Z175" i="68"/>
  <c r="Z171" i="68"/>
  <c r="Z180" i="68"/>
  <c r="Z178" i="68"/>
  <c r="Z174" i="68"/>
  <c r="Z170" i="68"/>
  <c r="H16" i="66"/>
  <c r="W180" i="68"/>
  <c r="W178" i="68"/>
  <c r="W174" i="68"/>
  <c r="W170" i="68"/>
  <c r="W177" i="68"/>
  <c r="W173" i="68"/>
  <c r="W169" i="68"/>
  <c r="W179" i="68"/>
  <c r="W176" i="68"/>
  <c r="W172" i="68"/>
  <c r="W168" i="68"/>
  <c r="W175" i="68"/>
  <c r="W171" i="68"/>
  <c r="J170" i="73"/>
  <c r="J174" i="73"/>
  <c r="J178" i="73"/>
  <c r="J171" i="73"/>
  <c r="J175" i="73"/>
  <c r="J179" i="73"/>
  <c r="J183" i="73" s="1"/>
  <c r="J168" i="73"/>
  <c r="J172" i="73"/>
  <c r="J169" i="73"/>
  <c r="J173" i="73"/>
  <c r="J177" i="73"/>
  <c r="J176" i="73"/>
  <c r="J180" i="73"/>
  <c r="H30" i="66"/>
  <c r="W168" i="71"/>
  <c r="W169" i="71"/>
  <c r="W173" i="71"/>
  <c r="W177" i="71"/>
  <c r="W170" i="71"/>
  <c r="W174" i="71"/>
  <c r="W178" i="71"/>
  <c r="W171" i="71"/>
  <c r="W175" i="71"/>
  <c r="W179" i="71"/>
  <c r="W172" i="71"/>
  <c r="W176" i="71"/>
  <c r="W180" i="71"/>
  <c r="Q73" i="73"/>
  <c r="Q171" i="73"/>
  <c r="Q175" i="73"/>
  <c r="Q179" i="73"/>
  <c r="Q168" i="73"/>
  <c r="Q172" i="73"/>
  <c r="Q176" i="73"/>
  <c r="Q180" i="73"/>
  <c r="Q169" i="73"/>
  <c r="Q173" i="73"/>
  <c r="Q170" i="73"/>
  <c r="Q174" i="73"/>
  <c r="Q178" i="73"/>
  <c r="Q177" i="73"/>
  <c r="Q169" i="71"/>
  <c r="Q170" i="71"/>
  <c r="Q171" i="71"/>
  <c r="Q175" i="71"/>
  <c r="Q179" i="71"/>
  <c r="Q183" i="71" s="1"/>
  <c r="Q172" i="71"/>
  <c r="Q176" i="71"/>
  <c r="Q180" i="71"/>
  <c r="Q173" i="71"/>
  <c r="Q177" i="71"/>
  <c r="Q168" i="71"/>
  <c r="Q174" i="71"/>
  <c r="Q178" i="71"/>
  <c r="Q182" i="71" s="1"/>
  <c r="E177" i="69"/>
  <c r="E173" i="69"/>
  <c r="E169" i="69"/>
  <c r="E180" i="69"/>
  <c r="E184" i="69" s="1"/>
  <c r="E176" i="69"/>
  <c r="E172" i="69"/>
  <c r="E168" i="69"/>
  <c r="E179" i="69"/>
  <c r="E183" i="69" s="1"/>
  <c r="E175" i="69"/>
  <c r="E171" i="69"/>
  <c r="E178" i="69"/>
  <c r="E174" i="69"/>
  <c r="E170" i="69"/>
  <c r="P170" i="71"/>
  <c r="P168" i="71"/>
  <c r="P172" i="71"/>
  <c r="P176" i="71"/>
  <c r="P180" i="71"/>
  <c r="P169" i="71"/>
  <c r="P173" i="71"/>
  <c r="P177" i="71"/>
  <c r="P174" i="71"/>
  <c r="P178" i="71"/>
  <c r="P171" i="71"/>
  <c r="P175" i="71"/>
  <c r="P179" i="71"/>
  <c r="O180" i="68"/>
  <c r="O178" i="68"/>
  <c r="O182" i="68" s="1"/>
  <c r="O174" i="68"/>
  <c r="O170" i="68"/>
  <c r="O177" i="68"/>
  <c r="O173" i="68"/>
  <c r="O169" i="68"/>
  <c r="O179" i="68"/>
  <c r="O176" i="68"/>
  <c r="O172" i="68"/>
  <c r="O168" i="68"/>
  <c r="O175" i="68"/>
  <c r="O171" i="68"/>
  <c r="K30" i="66"/>
  <c r="Z168" i="71"/>
  <c r="Z169" i="71"/>
  <c r="Z174" i="71"/>
  <c r="Z178" i="71"/>
  <c r="Z182" i="71" s="1"/>
  <c r="Z171" i="71"/>
  <c r="Z175" i="71"/>
  <c r="Z179" i="71"/>
  <c r="Z170" i="71"/>
  <c r="Z172" i="71"/>
  <c r="Z176" i="71"/>
  <c r="Z180" i="71"/>
  <c r="Z173" i="71"/>
  <c r="Z177" i="71"/>
  <c r="J16" i="66"/>
  <c r="Y179" i="68"/>
  <c r="Y176" i="68"/>
  <c r="Y172" i="68"/>
  <c r="Y168" i="68"/>
  <c r="Y175" i="68"/>
  <c r="Y171" i="68"/>
  <c r="Y180" i="68"/>
  <c r="Y178" i="68"/>
  <c r="Y174" i="68"/>
  <c r="Y170" i="68"/>
  <c r="Y177" i="68"/>
  <c r="Y173" i="68"/>
  <c r="Y169" i="68"/>
  <c r="K168" i="70"/>
  <c r="K172" i="70"/>
  <c r="K176" i="70"/>
  <c r="K180" i="70"/>
  <c r="K184" i="70" s="1"/>
  <c r="K169" i="70"/>
  <c r="K173" i="70"/>
  <c r="K177" i="70"/>
  <c r="K170" i="70"/>
  <c r="K174" i="70"/>
  <c r="K178" i="70"/>
  <c r="K182" i="70" s="1"/>
  <c r="K171" i="70"/>
  <c r="K175" i="70"/>
  <c r="K179" i="70"/>
  <c r="K183" i="70" s="1"/>
  <c r="D32" i="66"/>
  <c r="S169" i="73"/>
  <c r="S173" i="73"/>
  <c r="S177" i="73"/>
  <c r="S170" i="73"/>
  <c r="S174" i="73"/>
  <c r="S178" i="73"/>
  <c r="S182" i="73" s="1"/>
  <c r="S171" i="73"/>
  <c r="S168" i="73"/>
  <c r="S172" i="73"/>
  <c r="S176" i="73"/>
  <c r="S180" i="73"/>
  <c r="S184" i="73" s="1"/>
  <c r="S175" i="73"/>
  <c r="S179" i="73"/>
  <c r="S183" i="73" s="1"/>
  <c r="P73" i="73"/>
  <c r="P168" i="73"/>
  <c r="P172" i="73"/>
  <c r="P176" i="73"/>
  <c r="P180" i="73"/>
  <c r="P169" i="73"/>
  <c r="P173" i="73"/>
  <c r="P177" i="73"/>
  <c r="P170" i="73"/>
  <c r="P174" i="73"/>
  <c r="P171" i="73"/>
  <c r="P175" i="73"/>
  <c r="P179" i="73"/>
  <c r="P178" i="73"/>
  <c r="P182" i="73" s="1"/>
  <c r="P170" i="72"/>
  <c r="P174" i="72"/>
  <c r="P178" i="72"/>
  <c r="P182" i="72" s="1"/>
  <c r="P171" i="72"/>
  <c r="P175" i="72"/>
  <c r="P179" i="72"/>
  <c r="P169" i="72"/>
  <c r="P173" i="72"/>
  <c r="P177" i="72"/>
  <c r="P180" i="72"/>
  <c r="P168" i="72"/>
  <c r="P172" i="72"/>
  <c r="P176" i="72"/>
  <c r="I170" i="70"/>
  <c r="I174" i="70"/>
  <c r="I178" i="70"/>
  <c r="I182" i="70" s="1"/>
  <c r="I171" i="70"/>
  <c r="I175" i="70"/>
  <c r="I179" i="70"/>
  <c r="I183" i="70" s="1"/>
  <c r="I168" i="70"/>
  <c r="I172" i="70"/>
  <c r="I176" i="70"/>
  <c r="I180" i="70"/>
  <c r="I184" i="70" s="1"/>
  <c r="I169" i="70"/>
  <c r="I173" i="70"/>
  <c r="I177" i="70"/>
  <c r="E31" i="66"/>
  <c r="T170" i="72"/>
  <c r="T174" i="72"/>
  <c r="T178" i="72"/>
  <c r="T171" i="72"/>
  <c r="T175" i="72"/>
  <c r="T179" i="72"/>
  <c r="T169" i="72"/>
  <c r="T173" i="72"/>
  <c r="T177" i="72"/>
  <c r="T176" i="72"/>
  <c r="T180" i="72"/>
  <c r="T168" i="72"/>
  <c r="T172" i="72"/>
  <c r="F169" i="70"/>
  <c r="F173" i="70"/>
  <c r="F177" i="70"/>
  <c r="F170" i="70"/>
  <c r="F174" i="70"/>
  <c r="F178" i="70"/>
  <c r="F182" i="70" s="1"/>
  <c r="F171" i="70"/>
  <c r="F175" i="70"/>
  <c r="F179" i="70"/>
  <c r="F183" i="70" s="1"/>
  <c r="F168" i="70"/>
  <c r="F172" i="70"/>
  <c r="F176" i="70"/>
  <c r="F180" i="70"/>
  <c r="F184" i="70" s="1"/>
  <c r="F72" i="73"/>
  <c r="F170" i="73"/>
  <c r="F174" i="73"/>
  <c r="F178" i="73"/>
  <c r="F171" i="73"/>
  <c r="F175" i="73"/>
  <c r="F179" i="73"/>
  <c r="F183" i="73" s="1"/>
  <c r="F168" i="73"/>
  <c r="F172" i="73"/>
  <c r="F169" i="73"/>
  <c r="F173" i="73"/>
  <c r="F177" i="73"/>
  <c r="F176" i="73"/>
  <c r="F180" i="73"/>
  <c r="M31" i="66"/>
  <c r="AB170" i="72"/>
  <c r="AB174" i="72"/>
  <c r="AB178" i="72"/>
  <c r="AB182" i="72" s="1"/>
  <c r="AB171" i="72"/>
  <c r="AB175" i="72"/>
  <c r="AB179" i="72"/>
  <c r="AB169" i="72"/>
  <c r="AB173" i="72"/>
  <c r="AB177" i="72"/>
  <c r="AB168" i="72"/>
  <c r="AB172" i="72"/>
  <c r="AB176" i="72"/>
  <c r="AB180" i="72"/>
  <c r="N169" i="70"/>
  <c r="N173" i="70"/>
  <c r="N177" i="70"/>
  <c r="N170" i="70"/>
  <c r="N174" i="70"/>
  <c r="N178" i="70"/>
  <c r="N182" i="70" s="1"/>
  <c r="N171" i="70"/>
  <c r="N175" i="70"/>
  <c r="N179" i="70"/>
  <c r="N183" i="70" s="1"/>
  <c r="N168" i="70"/>
  <c r="N172" i="70"/>
  <c r="N176" i="70"/>
  <c r="N180" i="70"/>
  <c r="N184" i="70" s="1"/>
  <c r="E171" i="73"/>
  <c r="E175" i="73"/>
  <c r="E179" i="73"/>
  <c r="E183" i="73" s="1"/>
  <c r="E168" i="73"/>
  <c r="E172" i="73"/>
  <c r="E176" i="73"/>
  <c r="E180" i="73"/>
  <c r="E184" i="73" s="1"/>
  <c r="E169" i="73"/>
  <c r="E173" i="73"/>
  <c r="E170" i="73"/>
  <c r="E174" i="73"/>
  <c r="E178" i="73"/>
  <c r="E182" i="73" s="1"/>
  <c r="E177" i="73"/>
  <c r="U91" i="65"/>
  <c r="U119" i="65" s="1"/>
  <c r="V56" i="65"/>
  <c r="AA91" i="65"/>
  <c r="AA119" i="65" s="1"/>
  <c r="AB56" i="65"/>
  <c r="V91" i="65"/>
  <c r="V119" i="65" s="1"/>
  <c r="W56" i="65"/>
  <c r="L16" i="66"/>
  <c r="AA180" i="68"/>
  <c r="AA178" i="68"/>
  <c r="AA182" i="68" s="1"/>
  <c r="AA174" i="68"/>
  <c r="AA170" i="68"/>
  <c r="AA177" i="68"/>
  <c r="AA173" i="68"/>
  <c r="AA169" i="68"/>
  <c r="AA179" i="68"/>
  <c r="AA176" i="68"/>
  <c r="AA172" i="68"/>
  <c r="AA168" i="68"/>
  <c r="AA175" i="68"/>
  <c r="AA171" i="68"/>
  <c r="G16" i="66"/>
  <c r="V177" i="68"/>
  <c r="V173" i="68"/>
  <c r="V169" i="68"/>
  <c r="V179" i="68"/>
  <c r="V183" i="68" s="1"/>
  <c r="V176" i="68"/>
  <c r="V172" i="68"/>
  <c r="V168" i="68"/>
  <c r="V175" i="68"/>
  <c r="V171" i="68"/>
  <c r="V180" i="68"/>
  <c r="V178" i="68"/>
  <c r="V174" i="68"/>
  <c r="V170" i="68"/>
  <c r="M179" i="68"/>
  <c r="M176" i="68"/>
  <c r="M172" i="68"/>
  <c r="M168" i="68"/>
  <c r="M175" i="68"/>
  <c r="M171" i="68"/>
  <c r="M180" i="68"/>
  <c r="M184" i="68" s="1"/>
  <c r="M178" i="68"/>
  <c r="M174" i="68"/>
  <c r="M170" i="68"/>
  <c r="M177" i="68"/>
  <c r="M173" i="68"/>
  <c r="M169" i="68"/>
  <c r="F155" i="72"/>
  <c r="F159" i="72"/>
  <c r="F156" i="72"/>
  <c r="F160" i="72"/>
  <c r="F154" i="72"/>
  <c r="F158" i="72"/>
  <c r="F162" i="72"/>
  <c r="F157" i="72"/>
  <c r="F161" i="72"/>
  <c r="F165" i="72"/>
  <c r="F164" i="72"/>
  <c r="F153" i="72"/>
  <c r="F163" i="72"/>
  <c r="M177" i="69"/>
  <c r="M173" i="69"/>
  <c r="M169" i="69"/>
  <c r="M180" i="69"/>
  <c r="M176" i="69"/>
  <c r="M172" i="69"/>
  <c r="M168" i="69"/>
  <c r="M179" i="69"/>
  <c r="M175" i="69"/>
  <c r="M171" i="69"/>
  <c r="M178" i="69"/>
  <c r="M174" i="69"/>
  <c r="M170" i="69"/>
  <c r="J178" i="69"/>
  <c r="J174" i="69"/>
  <c r="J170" i="69"/>
  <c r="J177" i="69"/>
  <c r="J173" i="69"/>
  <c r="J169" i="69"/>
  <c r="J180" i="69"/>
  <c r="J176" i="69"/>
  <c r="J172" i="69"/>
  <c r="J168" i="69"/>
  <c r="J179" i="69"/>
  <c r="J175" i="69"/>
  <c r="J171" i="69"/>
  <c r="K169" i="73"/>
  <c r="K173" i="73"/>
  <c r="K177" i="73"/>
  <c r="K170" i="73"/>
  <c r="K174" i="73"/>
  <c r="K178" i="73"/>
  <c r="K171" i="73"/>
  <c r="K168" i="73"/>
  <c r="K172" i="73"/>
  <c r="K176" i="73"/>
  <c r="K180" i="73"/>
  <c r="K184" i="73" s="1"/>
  <c r="K179" i="73"/>
  <c r="K175" i="73"/>
  <c r="R70" i="68"/>
  <c r="R177" i="68"/>
  <c r="R173" i="68"/>
  <c r="R169" i="68"/>
  <c r="R179" i="68"/>
  <c r="R176" i="68"/>
  <c r="R172" i="68"/>
  <c r="R168" i="68"/>
  <c r="R175" i="68"/>
  <c r="R171" i="68"/>
  <c r="R180" i="68"/>
  <c r="R178" i="68"/>
  <c r="R174" i="68"/>
  <c r="R170" i="68"/>
  <c r="D155" i="71"/>
  <c r="D159" i="71"/>
  <c r="D164" i="71"/>
  <c r="D156" i="71"/>
  <c r="D160" i="71"/>
  <c r="D165" i="71"/>
  <c r="D153" i="71"/>
  <c r="D157" i="71"/>
  <c r="D161" i="71"/>
  <c r="D154" i="71"/>
  <c r="D158" i="71"/>
  <c r="D162" i="71"/>
  <c r="D163" i="71"/>
  <c r="M169" i="71"/>
  <c r="M170" i="71"/>
  <c r="M171" i="71"/>
  <c r="M175" i="71"/>
  <c r="M179" i="71"/>
  <c r="M172" i="71"/>
  <c r="M176" i="71"/>
  <c r="M180" i="71"/>
  <c r="M168" i="71"/>
  <c r="M173" i="71"/>
  <c r="M177" i="71"/>
  <c r="M174" i="71"/>
  <c r="M178" i="71"/>
  <c r="J70" i="68"/>
  <c r="J177" i="68"/>
  <c r="J173" i="68"/>
  <c r="J169" i="68"/>
  <c r="J179" i="68"/>
  <c r="J176" i="68"/>
  <c r="J172" i="68"/>
  <c r="J168" i="68"/>
  <c r="J175" i="68"/>
  <c r="J171" i="68"/>
  <c r="J180" i="68"/>
  <c r="J178" i="68"/>
  <c r="J174" i="68"/>
  <c r="J170" i="68"/>
  <c r="D160" i="69"/>
  <c r="D156" i="69"/>
  <c r="D165" i="69"/>
  <c r="D163" i="69"/>
  <c r="D158" i="69"/>
  <c r="D164" i="69"/>
  <c r="D162" i="69"/>
  <c r="D159" i="69"/>
  <c r="D154" i="69"/>
  <c r="D155" i="69"/>
  <c r="D153" i="69"/>
  <c r="D161" i="69"/>
  <c r="D157" i="69"/>
  <c r="R170" i="73"/>
  <c r="R174" i="73"/>
  <c r="R178" i="73"/>
  <c r="R182" i="73" s="1"/>
  <c r="R171" i="73"/>
  <c r="R175" i="73"/>
  <c r="R179" i="73"/>
  <c r="R168" i="73"/>
  <c r="R172" i="73"/>
  <c r="R169" i="73"/>
  <c r="R173" i="73"/>
  <c r="R177" i="73"/>
  <c r="R180" i="73"/>
  <c r="R176" i="73"/>
  <c r="F178" i="69"/>
  <c r="F174" i="69"/>
  <c r="F170" i="69"/>
  <c r="F177" i="69"/>
  <c r="F173" i="69"/>
  <c r="F169" i="69"/>
  <c r="F180" i="69"/>
  <c r="F176" i="69"/>
  <c r="F172" i="69"/>
  <c r="F168" i="69"/>
  <c r="F179" i="69"/>
  <c r="F175" i="69"/>
  <c r="F171" i="69"/>
  <c r="L170" i="72"/>
  <c r="L174" i="72"/>
  <c r="L178" i="72"/>
  <c r="L171" i="72"/>
  <c r="L175" i="72"/>
  <c r="L179" i="72"/>
  <c r="L169" i="72"/>
  <c r="L173" i="72"/>
  <c r="L177" i="72"/>
  <c r="L168" i="72"/>
  <c r="L172" i="72"/>
  <c r="L176" i="72"/>
  <c r="L180" i="72"/>
  <c r="L184" i="72" s="1"/>
  <c r="U72" i="73"/>
  <c r="F32" i="66"/>
  <c r="U171" i="73"/>
  <c r="U175" i="73"/>
  <c r="U179" i="73"/>
  <c r="U183" i="73" s="1"/>
  <c r="U168" i="73"/>
  <c r="U172" i="73"/>
  <c r="U176" i="73"/>
  <c r="U180" i="73"/>
  <c r="U169" i="73"/>
  <c r="U173" i="73"/>
  <c r="U170" i="73"/>
  <c r="U174" i="73"/>
  <c r="U178" i="73"/>
  <c r="U177" i="73"/>
  <c r="H171" i="70"/>
  <c r="H175" i="70"/>
  <c r="H179" i="70"/>
  <c r="H183" i="70" s="1"/>
  <c r="H168" i="70"/>
  <c r="H172" i="70"/>
  <c r="H176" i="70"/>
  <c r="H180" i="70"/>
  <c r="H184" i="70" s="1"/>
  <c r="H169" i="70"/>
  <c r="H173" i="70"/>
  <c r="H177" i="70"/>
  <c r="H170" i="70"/>
  <c r="H174" i="70"/>
  <c r="H178" i="70"/>
  <c r="H182" i="70" s="1"/>
  <c r="G171" i="72"/>
  <c r="G175" i="72"/>
  <c r="G179" i="72"/>
  <c r="G168" i="72"/>
  <c r="G172" i="72"/>
  <c r="G176" i="72"/>
  <c r="G180" i="72"/>
  <c r="G184" i="72" s="1"/>
  <c r="G170" i="72"/>
  <c r="G174" i="72"/>
  <c r="G178" i="72"/>
  <c r="G169" i="72"/>
  <c r="G173" i="72"/>
  <c r="G177" i="72"/>
  <c r="R178" i="69"/>
  <c r="R174" i="69"/>
  <c r="R170" i="69"/>
  <c r="R177" i="69"/>
  <c r="R173" i="69"/>
  <c r="R169" i="69"/>
  <c r="R180" i="69"/>
  <c r="R184" i="69" s="1"/>
  <c r="R176" i="69"/>
  <c r="R172" i="69"/>
  <c r="R168" i="69"/>
  <c r="R179" i="69"/>
  <c r="R183" i="69" s="1"/>
  <c r="R175" i="69"/>
  <c r="R171" i="69"/>
  <c r="O168" i="70"/>
  <c r="O172" i="70"/>
  <c r="O176" i="70"/>
  <c r="O180" i="70"/>
  <c r="O184" i="70" s="1"/>
  <c r="O169" i="70"/>
  <c r="O173" i="70"/>
  <c r="O177" i="70"/>
  <c r="O170" i="70"/>
  <c r="O174" i="70"/>
  <c r="O178" i="70"/>
  <c r="O182" i="70" s="1"/>
  <c r="O171" i="70"/>
  <c r="O175" i="70"/>
  <c r="O179" i="70"/>
  <c r="O183" i="70" s="1"/>
  <c r="J169" i="70"/>
  <c r="J173" i="70"/>
  <c r="J177" i="70"/>
  <c r="J170" i="70"/>
  <c r="J174" i="70"/>
  <c r="J178" i="70"/>
  <c r="J182" i="70" s="1"/>
  <c r="J171" i="70"/>
  <c r="J175" i="70"/>
  <c r="J179" i="70"/>
  <c r="J183" i="70" s="1"/>
  <c r="J168" i="70"/>
  <c r="J172" i="70"/>
  <c r="J176" i="70"/>
  <c r="J180" i="70"/>
  <c r="J184" i="70" s="1"/>
  <c r="G180" i="68"/>
  <c r="G178" i="68"/>
  <c r="G174" i="68"/>
  <c r="G170" i="68"/>
  <c r="G177" i="68"/>
  <c r="G173" i="68"/>
  <c r="G169" i="68"/>
  <c r="G179" i="68"/>
  <c r="G183" i="68" s="1"/>
  <c r="G176" i="68"/>
  <c r="G172" i="68"/>
  <c r="G168" i="68"/>
  <c r="G175" i="68"/>
  <c r="G171" i="68"/>
  <c r="I31" i="66"/>
  <c r="X170" i="72"/>
  <c r="X174" i="72"/>
  <c r="X178" i="72"/>
  <c r="X171" i="72"/>
  <c r="X175" i="72"/>
  <c r="X179" i="72"/>
  <c r="X183" i="72" s="1"/>
  <c r="X169" i="72"/>
  <c r="X173" i="72"/>
  <c r="X177" i="72"/>
  <c r="X172" i="72"/>
  <c r="X176" i="72"/>
  <c r="X180" i="72"/>
  <c r="X184" i="72" s="1"/>
  <c r="X168" i="72"/>
  <c r="R168" i="72"/>
  <c r="R172" i="72"/>
  <c r="R176" i="72"/>
  <c r="R180" i="72"/>
  <c r="R169" i="72"/>
  <c r="R173" i="72"/>
  <c r="R177" i="72"/>
  <c r="R171" i="72"/>
  <c r="R175" i="72"/>
  <c r="R179" i="72"/>
  <c r="R183" i="72" s="1"/>
  <c r="R178" i="72"/>
  <c r="R170" i="72"/>
  <c r="R174" i="72"/>
  <c r="L171" i="70"/>
  <c r="L175" i="70"/>
  <c r="L179" i="70"/>
  <c r="L183" i="70" s="1"/>
  <c r="L168" i="70"/>
  <c r="L172" i="70"/>
  <c r="L176" i="70"/>
  <c r="L180" i="70"/>
  <c r="L184" i="70" s="1"/>
  <c r="L169" i="70"/>
  <c r="L173" i="70"/>
  <c r="L177" i="70"/>
  <c r="L170" i="70"/>
  <c r="L174" i="70"/>
  <c r="L178" i="70"/>
  <c r="L182" i="70" s="1"/>
  <c r="E170" i="70"/>
  <c r="E174" i="70"/>
  <c r="E178" i="70"/>
  <c r="E182" i="70" s="1"/>
  <c r="E171" i="70"/>
  <c r="E175" i="70"/>
  <c r="E179" i="70"/>
  <c r="E183" i="70" s="1"/>
  <c r="E168" i="70"/>
  <c r="E172" i="70"/>
  <c r="E176" i="70"/>
  <c r="E180" i="70"/>
  <c r="E184" i="70" s="1"/>
  <c r="E169" i="70"/>
  <c r="E173" i="70"/>
  <c r="E177" i="70"/>
  <c r="M169" i="72"/>
  <c r="M173" i="72"/>
  <c r="M177" i="72"/>
  <c r="M170" i="72"/>
  <c r="M174" i="72"/>
  <c r="M178" i="72"/>
  <c r="M182" i="72" s="1"/>
  <c r="M168" i="72"/>
  <c r="M172" i="72"/>
  <c r="M176" i="72"/>
  <c r="M180" i="72"/>
  <c r="M184" i="72" s="1"/>
  <c r="M175" i="72"/>
  <c r="M179" i="72"/>
  <c r="M183" i="72" s="1"/>
  <c r="M171" i="72"/>
  <c r="G31" i="66"/>
  <c r="V168" i="72"/>
  <c r="V172" i="72"/>
  <c r="V176" i="72"/>
  <c r="V180" i="72"/>
  <c r="V169" i="72"/>
  <c r="V173" i="72"/>
  <c r="V177" i="72"/>
  <c r="V171" i="72"/>
  <c r="V175" i="72"/>
  <c r="V179" i="72"/>
  <c r="V183" i="72" s="1"/>
  <c r="V174" i="72"/>
  <c r="V178" i="72"/>
  <c r="V170" i="72"/>
  <c r="Q169" i="72"/>
  <c r="Q173" i="72"/>
  <c r="Q177" i="72"/>
  <c r="Q170" i="72"/>
  <c r="Q174" i="72"/>
  <c r="Q178" i="72"/>
  <c r="Q168" i="72"/>
  <c r="Q172" i="72"/>
  <c r="Q176" i="72"/>
  <c r="Q180" i="72"/>
  <c r="Q171" i="72"/>
  <c r="Q175" i="72"/>
  <c r="Q179" i="72"/>
  <c r="G179" i="69"/>
  <c r="G175" i="69"/>
  <c r="G171" i="69"/>
  <c r="G178" i="69"/>
  <c r="G182" i="69" s="1"/>
  <c r="G174" i="69"/>
  <c r="G170" i="69"/>
  <c r="G177" i="69"/>
  <c r="G173" i="69"/>
  <c r="G169" i="69"/>
  <c r="G180" i="69"/>
  <c r="G184" i="69" s="1"/>
  <c r="G176" i="69"/>
  <c r="G172" i="69"/>
  <c r="G168" i="69"/>
  <c r="K31" i="66"/>
  <c r="Z168" i="72"/>
  <c r="Z172" i="72"/>
  <c r="Z176" i="72"/>
  <c r="Z180" i="72"/>
  <c r="Z184" i="72" s="1"/>
  <c r="Z169" i="72"/>
  <c r="Z173" i="72"/>
  <c r="Z177" i="72"/>
  <c r="Z171" i="72"/>
  <c r="Z175" i="72"/>
  <c r="Z179" i="72"/>
  <c r="Z183" i="72" s="1"/>
  <c r="Z170" i="72"/>
  <c r="Z174" i="72"/>
  <c r="Z178" i="72"/>
  <c r="H170" i="72"/>
  <c r="H174" i="72"/>
  <c r="H178" i="72"/>
  <c r="H182" i="72" s="1"/>
  <c r="H171" i="72"/>
  <c r="H175" i="72"/>
  <c r="H179" i="72"/>
  <c r="H169" i="72"/>
  <c r="H173" i="72"/>
  <c r="H177" i="72"/>
  <c r="H172" i="72"/>
  <c r="H176" i="72"/>
  <c r="H180" i="72"/>
  <c r="H184" i="72" s="1"/>
  <c r="H168" i="72"/>
  <c r="X56" i="65"/>
  <c r="W91" i="65"/>
  <c r="W119" i="65" s="1"/>
  <c r="H175" i="68"/>
  <c r="H171" i="68"/>
  <c r="H180" i="68"/>
  <c r="H184" i="68" s="1"/>
  <c r="H178" i="68"/>
  <c r="H182" i="68" s="1"/>
  <c r="H174" i="68"/>
  <c r="H170" i="68"/>
  <c r="H177" i="68"/>
  <c r="H173" i="68"/>
  <c r="H169" i="68"/>
  <c r="H179" i="68"/>
  <c r="H183" i="68" s="1"/>
  <c r="H176" i="68"/>
  <c r="H172" i="68"/>
  <c r="H168" i="68"/>
  <c r="I16" i="66"/>
  <c r="X175" i="68"/>
  <c r="X171" i="68"/>
  <c r="X180" i="68"/>
  <c r="X178" i="68"/>
  <c r="X182" i="68" s="1"/>
  <c r="X174" i="68"/>
  <c r="X170" i="68"/>
  <c r="X177" i="68"/>
  <c r="X173" i="68"/>
  <c r="X169" i="68"/>
  <c r="X179" i="68"/>
  <c r="X183" i="68" s="1"/>
  <c r="X176" i="68"/>
  <c r="X172" i="68"/>
  <c r="X168" i="68"/>
  <c r="F16" i="66"/>
  <c r="U179" i="68"/>
  <c r="U176" i="68"/>
  <c r="U172" i="68"/>
  <c r="U168" i="68"/>
  <c r="U175" i="68"/>
  <c r="U171" i="68"/>
  <c r="U180" i="68"/>
  <c r="U178" i="68"/>
  <c r="U182" i="68" s="1"/>
  <c r="U174" i="68"/>
  <c r="U170" i="68"/>
  <c r="U177" i="68"/>
  <c r="U173" i="68"/>
  <c r="U169" i="68"/>
  <c r="D16" i="66"/>
  <c r="S180" i="68"/>
  <c r="S178" i="68"/>
  <c r="S182" i="68" s="1"/>
  <c r="S174" i="68"/>
  <c r="S170" i="68"/>
  <c r="S177" i="68"/>
  <c r="S173" i="68"/>
  <c r="S169" i="68"/>
  <c r="S179" i="68"/>
  <c r="S183" i="68" s="1"/>
  <c r="S176" i="68"/>
  <c r="S172" i="68"/>
  <c r="S168" i="68"/>
  <c r="S175" i="68"/>
  <c r="S171" i="68"/>
  <c r="S187" i="69"/>
  <c r="D18" i="66"/>
  <c r="S168" i="70"/>
  <c r="S172" i="70"/>
  <c r="S176" i="70"/>
  <c r="S180" i="70"/>
  <c r="S184" i="70" s="1"/>
  <c r="S169" i="70"/>
  <c r="S173" i="70"/>
  <c r="S177" i="70"/>
  <c r="S170" i="70"/>
  <c r="S174" i="70"/>
  <c r="S178" i="70"/>
  <c r="S182" i="70" s="1"/>
  <c r="S171" i="70"/>
  <c r="S175" i="70"/>
  <c r="S179" i="70"/>
  <c r="S183" i="70" s="1"/>
  <c r="O169" i="73"/>
  <c r="O173" i="73"/>
  <c r="O177" i="73"/>
  <c r="O170" i="73"/>
  <c r="O174" i="73"/>
  <c r="O178" i="73"/>
  <c r="O182" i="73" s="1"/>
  <c r="O171" i="73"/>
  <c r="O168" i="73"/>
  <c r="O172" i="73"/>
  <c r="O176" i="73"/>
  <c r="O180" i="73"/>
  <c r="O175" i="73"/>
  <c r="O179" i="73"/>
  <c r="M171" i="73"/>
  <c r="M175" i="73"/>
  <c r="M179" i="73"/>
  <c r="M183" i="73" s="1"/>
  <c r="M168" i="73"/>
  <c r="M172" i="73"/>
  <c r="M176" i="73"/>
  <c r="M180" i="73"/>
  <c r="M169" i="73"/>
  <c r="M173" i="73"/>
  <c r="M170" i="73"/>
  <c r="M174" i="73"/>
  <c r="M178" i="73"/>
  <c r="M177" i="73"/>
  <c r="J168" i="71"/>
  <c r="J169" i="71"/>
  <c r="J170" i="71"/>
  <c r="J174" i="71"/>
  <c r="J178" i="71"/>
  <c r="J175" i="71"/>
  <c r="J179" i="71"/>
  <c r="J172" i="71"/>
  <c r="J176" i="71"/>
  <c r="J180" i="71"/>
  <c r="J184" i="71" s="1"/>
  <c r="J171" i="71"/>
  <c r="J173" i="71"/>
  <c r="J177" i="71"/>
  <c r="AB71" i="68"/>
  <c r="M16" i="66"/>
  <c r="AB175" i="68"/>
  <c r="AB171" i="68"/>
  <c r="AB180" i="68"/>
  <c r="AB184" i="68" s="1"/>
  <c r="AB178" i="68"/>
  <c r="AB174" i="68"/>
  <c r="AB170" i="68"/>
  <c r="AB177" i="68"/>
  <c r="AB173" i="68"/>
  <c r="AB169" i="68"/>
  <c r="AB179" i="68"/>
  <c r="AB176" i="68"/>
  <c r="AB172" i="68"/>
  <c r="AB168" i="68"/>
  <c r="G171" i="71"/>
  <c r="G168" i="71"/>
  <c r="G169" i="71"/>
  <c r="G173" i="71"/>
  <c r="G177" i="71"/>
  <c r="G170" i="71"/>
  <c r="G174" i="71"/>
  <c r="G178" i="71"/>
  <c r="G182" i="71" s="1"/>
  <c r="G175" i="71"/>
  <c r="G179" i="71"/>
  <c r="G172" i="71"/>
  <c r="G176" i="71"/>
  <c r="G180" i="71"/>
  <c r="H168" i="73"/>
  <c r="H172" i="73"/>
  <c r="H176" i="73"/>
  <c r="H180" i="73"/>
  <c r="H169" i="73"/>
  <c r="H173" i="73"/>
  <c r="H177" i="73"/>
  <c r="H170" i="73"/>
  <c r="H174" i="73"/>
  <c r="H171" i="73"/>
  <c r="H175" i="73"/>
  <c r="H179" i="73"/>
  <c r="H178" i="73"/>
  <c r="H182" i="73" s="1"/>
  <c r="O168" i="71"/>
  <c r="O169" i="71"/>
  <c r="O173" i="71"/>
  <c r="O177" i="71"/>
  <c r="O174" i="71"/>
  <c r="O178" i="71"/>
  <c r="O171" i="71"/>
  <c r="O175" i="71"/>
  <c r="O179" i="71"/>
  <c r="O170" i="71"/>
  <c r="O172" i="71"/>
  <c r="O176" i="71"/>
  <c r="O180" i="71"/>
  <c r="N168" i="71"/>
  <c r="N169" i="71"/>
  <c r="N170" i="71"/>
  <c r="N174" i="71"/>
  <c r="N178" i="71"/>
  <c r="N182" i="71" s="1"/>
  <c r="N171" i="71"/>
  <c r="N175" i="71"/>
  <c r="N179" i="71"/>
  <c r="N172" i="71"/>
  <c r="N176" i="71"/>
  <c r="N180" i="71"/>
  <c r="N184" i="71" s="1"/>
  <c r="N173" i="71"/>
  <c r="N177" i="71"/>
  <c r="P180" i="69"/>
  <c r="P176" i="69"/>
  <c r="P172" i="69"/>
  <c r="P168" i="69"/>
  <c r="P179" i="69"/>
  <c r="P183" i="69" s="1"/>
  <c r="P175" i="69"/>
  <c r="P171" i="69"/>
  <c r="P178" i="69"/>
  <c r="P174" i="69"/>
  <c r="P170" i="69"/>
  <c r="P177" i="69"/>
  <c r="P173" i="69"/>
  <c r="P169" i="69"/>
  <c r="T72" i="73"/>
  <c r="E32" i="66"/>
  <c r="T168" i="73"/>
  <c r="T172" i="73"/>
  <c r="T176" i="73"/>
  <c r="T180" i="73"/>
  <c r="T184" i="73" s="1"/>
  <c r="T169" i="73"/>
  <c r="T173" i="73"/>
  <c r="T177" i="73"/>
  <c r="T170" i="73"/>
  <c r="T174" i="73"/>
  <c r="T171" i="73"/>
  <c r="T175" i="73"/>
  <c r="T179" i="73"/>
  <c r="T178" i="73"/>
  <c r="T182" i="73" s="1"/>
  <c r="E73" i="71"/>
  <c r="E169" i="71"/>
  <c r="E170" i="71"/>
  <c r="E168" i="71"/>
  <c r="E171" i="71"/>
  <c r="E175" i="71"/>
  <c r="E179" i="71"/>
  <c r="E183" i="71" s="1"/>
  <c r="E172" i="71"/>
  <c r="E176" i="71"/>
  <c r="E180" i="71"/>
  <c r="E184" i="71" s="1"/>
  <c r="E173" i="71"/>
  <c r="E177" i="71"/>
  <c r="E174" i="71"/>
  <c r="E178" i="71"/>
  <c r="H180" i="69"/>
  <c r="H176" i="69"/>
  <c r="H172" i="69"/>
  <c r="H168" i="69"/>
  <c r="H179" i="69"/>
  <c r="H175" i="69"/>
  <c r="H171" i="69"/>
  <c r="H178" i="69"/>
  <c r="H182" i="69" s="1"/>
  <c r="H174" i="69"/>
  <c r="H170" i="69"/>
  <c r="H177" i="69"/>
  <c r="H173" i="69"/>
  <c r="H169" i="69"/>
  <c r="I169" i="71"/>
  <c r="I170" i="71"/>
  <c r="I175" i="71"/>
  <c r="I179" i="71"/>
  <c r="I168" i="71"/>
  <c r="I172" i="71"/>
  <c r="I176" i="71"/>
  <c r="I180" i="71"/>
  <c r="I171" i="71"/>
  <c r="I173" i="71"/>
  <c r="I177" i="71"/>
  <c r="I174" i="71"/>
  <c r="I178" i="71"/>
  <c r="I182" i="71" s="1"/>
  <c r="F30" i="66"/>
  <c r="U169" i="71"/>
  <c r="U170" i="71"/>
  <c r="U168" i="71"/>
  <c r="U171" i="71"/>
  <c r="U175" i="71"/>
  <c r="U179" i="71"/>
  <c r="U172" i="71"/>
  <c r="U176" i="71"/>
  <c r="U180" i="71"/>
  <c r="U184" i="71" s="1"/>
  <c r="U173" i="71"/>
  <c r="U177" i="71"/>
  <c r="U174" i="71"/>
  <c r="U178" i="71"/>
  <c r="U182" i="71" s="1"/>
  <c r="K171" i="71"/>
  <c r="K168" i="71"/>
  <c r="K169" i="71"/>
  <c r="K173" i="71"/>
  <c r="K177" i="71"/>
  <c r="K174" i="71"/>
  <c r="K178" i="71"/>
  <c r="K170" i="71"/>
  <c r="K175" i="71"/>
  <c r="K179" i="71"/>
  <c r="K183" i="71" s="1"/>
  <c r="K172" i="71"/>
  <c r="K176" i="71"/>
  <c r="K180" i="71"/>
  <c r="G168" i="70"/>
  <c r="G172" i="70"/>
  <c r="G176" i="70"/>
  <c r="G180" i="70"/>
  <c r="G184" i="70" s="1"/>
  <c r="G169" i="70"/>
  <c r="G173" i="70"/>
  <c r="G177" i="70"/>
  <c r="G170" i="70"/>
  <c r="G174" i="70"/>
  <c r="G178" i="70"/>
  <c r="G182" i="70" s="1"/>
  <c r="G171" i="70"/>
  <c r="G175" i="70"/>
  <c r="G179" i="70"/>
  <c r="G183" i="70" s="1"/>
  <c r="I30" i="66"/>
  <c r="X170" i="71"/>
  <c r="X168" i="71"/>
  <c r="X172" i="71"/>
  <c r="X176" i="71"/>
  <c r="X180" i="71"/>
  <c r="X184" i="71" s="1"/>
  <c r="X173" i="71"/>
  <c r="X177" i="71"/>
  <c r="X174" i="71"/>
  <c r="X178" i="71"/>
  <c r="X182" i="71" s="1"/>
  <c r="X169" i="71"/>
  <c r="X171" i="71"/>
  <c r="X175" i="71"/>
  <c r="X179" i="71"/>
  <c r="X183" i="71" s="1"/>
  <c r="M170" i="70"/>
  <c r="M174" i="70"/>
  <c r="M178" i="70"/>
  <c r="M182" i="70" s="1"/>
  <c r="M171" i="70"/>
  <c r="M175" i="70"/>
  <c r="M179" i="70"/>
  <c r="M183" i="70" s="1"/>
  <c r="M168" i="70"/>
  <c r="M172" i="70"/>
  <c r="M176" i="70"/>
  <c r="M180" i="70"/>
  <c r="M184" i="70" s="1"/>
  <c r="M169" i="70"/>
  <c r="M173" i="70"/>
  <c r="M177" i="70"/>
  <c r="O179" i="69"/>
  <c r="O183" i="69" s="1"/>
  <c r="O175" i="69"/>
  <c r="O171" i="69"/>
  <c r="O178" i="69"/>
  <c r="O174" i="69"/>
  <c r="O170" i="69"/>
  <c r="O177" i="69"/>
  <c r="O173" i="69"/>
  <c r="O169" i="69"/>
  <c r="O180" i="69"/>
  <c r="O184" i="69" s="1"/>
  <c r="O176" i="69"/>
  <c r="O172" i="69"/>
  <c r="O168" i="69"/>
  <c r="Y73" i="71"/>
  <c r="J30" i="66"/>
  <c r="Y169" i="71"/>
  <c r="Y170" i="71"/>
  <c r="Y171" i="71"/>
  <c r="Y175" i="71"/>
  <c r="Y179" i="71"/>
  <c r="Y168" i="71"/>
  <c r="Y172" i="71"/>
  <c r="Y176" i="71"/>
  <c r="Y180" i="71"/>
  <c r="Y173" i="71"/>
  <c r="Y177" i="71"/>
  <c r="Y174" i="71"/>
  <c r="Y178" i="71"/>
  <c r="Q179" i="68"/>
  <c r="Q183" i="68" s="1"/>
  <c r="Q176" i="68"/>
  <c r="Q172" i="68"/>
  <c r="Q168" i="68"/>
  <c r="Q175" i="68"/>
  <c r="Q171" i="68"/>
  <c r="Q180" i="68"/>
  <c r="Q184" i="68" s="1"/>
  <c r="Q178" i="68"/>
  <c r="Q182" i="68" s="1"/>
  <c r="Q174" i="68"/>
  <c r="Q170" i="68"/>
  <c r="Q177" i="68"/>
  <c r="Q173" i="68"/>
  <c r="Q169" i="68"/>
  <c r="D153" i="70"/>
  <c r="D157" i="70"/>
  <c r="D161" i="70"/>
  <c r="D165" i="70"/>
  <c r="D154" i="70"/>
  <c r="D158" i="70"/>
  <c r="D162" i="70"/>
  <c r="D155" i="70"/>
  <c r="D159" i="70"/>
  <c r="D163" i="70"/>
  <c r="D156" i="70"/>
  <c r="D160" i="70"/>
  <c r="D164" i="70"/>
  <c r="D31" i="66"/>
  <c r="S171" i="72"/>
  <c r="S175" i="72"/>
  <c r="S179" i="72"/>
  <c r="S168" i="72"/>
  <c r="S172" i="72"/>
  <c r="S176" i="72"/>
  <c r="S180" i="72"/>
  <c r="S170" i="72"/>
  <c r="S174" i="72"/>
  <c r="S178" i="72"/>
  <c r="S182" i="72" s="1"/>
  <c r="S169" i="72"/>
  <c r="S173" i="72"/>
  <c r="S177" i="72"/>
  <c r="J31" i="66"/>
  <c r="Y169" i="72"/>
  <c r="Y173" i="72"/>
  <c r="Y177" i="72"/>
  <c r="Y170" i="72"/>
  <c r="Y174" i="72"/>
  <c r="Y178" i="72"/>
  <c r="Y168" i="72"/>
  <c r="Y172" i="72"/>
  <c r="Y176" i="72"/>
  <c r="Y180" i="72"/>
  <c r="Y184" i="72" s="1"/>
  <c r="Y179" i="72"/>
  <c r="Y171" i="72"/>
  <c r="Y175" i="72"/>
  <c r="J168" i="72"/>
  <c r="J172" i="72"/>
  <c r="J176" i="72"/>
  <c r="J180" i="72"/>
  <c r="J184" i="72" s="1"/>
  <c r="J169" i="72"/>
  <c r="J173" i="72"/>
  <c r="J177" i="72"/>
  <c r="J171" i="72"/>
  <c r="J175" i="72"/>
  <c r="J179" i="72"/>
  <c r="J170" i="72"/>
  <c r="J174" i="72"/>
  <c r="J178" i="72"/>
  <c r="J182" i="72" s="1"/>
  <c r="H31" i="66"/>
  <c r="W171" i="72"/>
  <c r="W175" i="72"/>
  <c r="W179" i="72"/>
  <c r="W183" i="72" s="1"/>
  <c r="W168" i="72"/>
  <c r="W172" i="72"/>
  <c r="W176" i="72"/>
  <c r="W180" i="72"/>
  <c r="W184" i="72" s="1"/>
  <c r="W170" i="72"/>
  <c r="W174" i="72"/>
  <c r="W178" i="72"/>
  <c r="W182" i="72" s="1"/>
  <c r="W169" i="72"/>
  <c r="W173" i="72"/>
  <c r="W177" i="72"/>
  <c r="I177" i="69"/>
  <c r="I173" i="69"/>
  <c r="I169" i="69"/>
  <c r="I180" i="69"/>
  <c r="I184" i="69" s="1"/>
  <c r="I176" i="69"/>
  <c r="I172" i="69"/>
  <c r="I168" i="69"/>
  <c r="I179" i="69"/>
  <c r="I183" i="69" s="1"/>
  <c r="I175" i="69"/>
  <c r="I171" i="69"/>
  <c r="I178" i="69"/>
  <c r="I174" i="69"/>
  <c r="I170" i="69"/>
  <c r="F168" i="72"/>
  <c r="F172" i="72"/>
  <c r="F176" i="72"/>
  <c r="F180" i="72"/>
  <c r="F184" i="72" s="1"/>
  <c r="F169" i="72"/>
  <c r="F173" i="72"/>
  <c r="F177" i="72"/>
  <c r="F171" i="72"/>
  <c r="F175" i="72"/>
  <c r="F179" i="72"/>
  <c r="F183" i="72" s="1"/>
  <c r="F174" i="72"/>
  <c r="F178" i="72"/>
  <c r="F182" i="72" s="1"/>
  <c r="F170" i="72"/>
  <c r="R91" i="65"/>
  <c r="R119" i="65" s="1"/>
  <c r="R131" i="65" s="1"/>
  <c r="S56" i="65"/>
  <c r="S67" i="65" s="1"/>
  <c r="X91" i="65"/>
  <c r="X119" i="65" s="1"/>
  <c r="Y56" i="65"/>
  <c r="S91" i="65"/>
  <c r="S119" i="65" s="1"/>
  <c r="T56" i="65"/>
  <c r="E156" i="72"/>
  <c r="E160" i="72"/>
  <c r="E153" i="72"/>
  <c r="E157" i="72"/>
  <c r="E161" i="72"/>
  <c r="E155" i="72"/>
  <c r="E159" i="72"/>
  <c r="E163" i="72"/>
  <c r="E162" i="72"/>
  <c r="E165" i="72"/>
  <c r="E154" i="72"/>
  <c r="E164" i="72"/>
  <c r="E158" i="72"/>
  <c r="AA71" i="72"/>
  <c r="AA70" i="72"/>
  <c r="V182" i="72"/>
  <c r="Z182" i="72"/>
  <c r="T71" i="72"/>
  <c r="AA73" i="72"/>
  <c r="Z72" i="72"/>
  <c r="AA182" i="72"/>
  <c r="O70" i="72"/>
  <c r="O183" i="72"/>
  <c r="Y182" i="72"/>
  <c r="J72" i="72"/>
  <c r="Y72" i="72"/>
  <c r="J71" i="72"/>
  <c r="J183" i="72"/>
  <c r="J73" i="72"/>
  <c r="S70" i="72"/>
  <c r="S184" i="72"/>
  <c r="S183" i="72"/>
  <c r="K70" i="72"/>
  <c r="K73" i="72"/>
  <c r="S72" i="72"/>
  <c r="K184" i="72"/>
  <c r="S71" i="72"/>
  <c r="K71" i="72"/>
  <c r="K72" i="72"/>
  <c r="R72" i="72"/>
  <c r="M70" i="72"/>
  <c r="R182" i="72"/>
  <c r="Y183" i="71"/>
  <c r="O184" i="72"/>
  <c r="M71" i="72"/>
  <c r="R73" i="72"/>
  <c r="M73" i="72"/>
  <c r="R70" i="72"/>
  <c r="M72" i="72"/>
  <c r="R71" i="72"/>
  <c r="R184" i="72"/>
  <c r="H73" i="72"/>
  <c r="O71" i="72"/>
  <c r="U182" i="72"/>
  <c r="Q71" i="72"/>
  <c r="H70" i="72"/>
  <c r="H183" i="72"/>
  <c r="O73" i="72"/>
  <c r="O182" i="72"/>
  <c r="H71" i="72"/>
  <c r="O72" i="72"/>
  <c r="Q70" i="72"/>
  <c r="N72" i="72"/>
  <c r="AB70" i="72"/>
  <c r="AB184" i="72"/>
  <c r="Y73" i="72"/>
  <c r="Y70" i="72"/>
  <c r="Y71" i="72"/>
  <c r="Y183" i="72"/>
  <c r="Z73" i="71"/>
  <c r="Z70" i="71"/>
  <c r="Y70" i="71"/>
  <c r="Y72" i="71"/>
  <c r="Y184" i="71"/>
  <c r="U24" i="70"/>
  <c r="U93" i="70" s="1"/>
  <c r="Y24" i="70"/>
  <c r="Y93" i="70" s="1"/>
  <c r="V24" i="70"/>
  <c r="V93" i="70" s="1"/>
  <c r="W24" i="70"/>
  <c r="AA24" i="70"/>
  <c r="AA93" i="70" s="1"/>
  <c r="Z24" i="70"/>
  <c r="X24" i="70"/>
  <c r="AB24" i="70"/>
  <c r="T24" i="70"/>
  <c r="T132" i="70"/>
  <c r="R71" i="70"/>
  <c r="J70" i="70"/>
  <c r="J72" i="70"/>
  <c r="N71" i="70"/>
  <c r="N70" i="70"/>
  <c r="N73" i="70"/>
  <c r="M70" i="70"/>
  <c r="N72" i="70"/>
  <c r="G183" i="69"/>
  <c r="I72" i="69"/>
  <c r="O177" i="65"/>
  <c r="R67" i="65"/>
  <c r="R70" i="65" s="1"/>
  <c r="J131" i="65"/>
  <c r="K175" i="65"/>
  <c r="P67" i="65"/>
  <c r="P180" i="65" s="1"/>
  <c r="P184" i="65" s="1"/>
  <c r="F73" i="64"/>
  <c r="F168" i="64"/>
  <c r="F173" i="64"/>
  <c r="F178" i="64"/>
  <c r="F182" i="64" s="1"/>
  <c r="I71" i="65"/>
  <c r="I172" i="65"/>
  <c r="I175" i="65"/>
  <c r="I176" i="65"/>
  <c r="F70" i="64"/>
  <c r="F171" i="64"/>
  <c r="F177" i="64"/>
  <c r="F179" i="64"/>
  <c r="F183" i="64" s="1"/>
  <c r="F180" i="64"/>
  <c r="F184" i="64" s="1"/>
  <c r="I73" i="65"/>
  <c r="I169" i="65"/>
  <c r="I177" i="65"/>
  <c r="I178" i="65"/>
  <c r="I182" i="65" s="1"/>
  <c r="F72" i="64"/>
  <c r="F169" i="64"/>
  <c r="F170" i="64"/>
  <c r="I70" i="65"/>
  <c r="I168" i="65"/>
  <c r="I171" i="65"/>
  <c r="I179" i="65"/>
  <c r="I183" i="65" s="1"/>
  <c r="N67" i="65"/>
  <c r="N179" i="65" s="1"/>
  <c r="N183" i="65" s="1"/>
  <c r="H72" i="64"/>
  <c r="G67" i="65"/>
  <c r="G171" i="65" s="1"/>
  <c r="L67" i="65"/>
  <c r="L173" i="65" s="1"/>
  <c r="H169" i="64"/>
  <c r="H174" i="64"/>
  <c r="M170" i="64"/>
  <c r="Q67" i="65"/>
  <c r="Q72" i="65" s="1"/>
  <c r="E172" i="64"/>
  <c r="E169" i="64"/>
  <c r="O171" i="64"/>
  <c r="G72" i="64"/>
  <c r="G179" i="64"/>
  <c r="G183" i="64" s="1"/>
  <c r="G173" i="64"/>
  <c r="O177" i="64"/>
  <c r="E73" i="64"/>
  <c r="E174" i="64"/>
  <c r="E180" i="64"/>
  <c r="E184" i="64" s="1"/>
  <c r="G168" i="64"/>
  <c r="G175" i="64"/>
  <c r="Q131" i="65"/>
  <c r="G180" i="65"/>
  <c r="G184" i="65" s="1"/>
  <c r="L72" i="64"/>
  <c r="L171" i="64"/>
  <c r="I173" i="64"/>
  <c r="L168" i="64"/>
  <c r="L174" i="64"/>
  <c r="L178" i="64"/>
  <c r="L182" i="64" s="1"/>
  <c r="L177" i="64"/>
  <c r="I179" i="64"/>
  <c r="I183" i="64" s="1"/>
  <c r="D133" i="65"/>
  <c r="D134" i="65" s="1"/>
  <c r="K183" i="72"/>
  <c r="G183" i="72"/>
  <c r="Z71" i="72"/>
  <c r="H170" i="64"/>
  <c r="H180" i="64"/>
  <c r="H184" i="64" s="1"/>
  <c r="E70" i="64"/>
  <c r="E173" i="64"/>
  <c r="E175" i="64"/>
  <c r="E171" i="64"/>
  <c r="G73" i="64"/>
  <c r="G171" i="64"/>
  <c r="G176" i="64"/>
  <c r="G180" i="64"/>
  <c r="G184" i="64" s="1"/>
  <c r="N174" i="64"/>
  <c r="Q73" i="68"/>
  <c r="R182" i="68"/>
  <c r="X72" i="72"/>
  <c r="Z73" i="72"/>
  <c r="R70" i="73"/>
  <c r="Z72" i="71"/>
  <c r="Q72" i="72"/>
  <c r="Q184" i="72"/>
  <c r="I182" i="69"/>
  <c r="I168" i="64"/>
  <c r="I72" i="64"/>
  <c r="P172" i="64"/>
  <c r="I71" i="69"/>
  <c r="I70" i="64"/>
  <c r="I177" i="64"/>
  <c r="I170" i="64"/>
  <c r="G72" i="69"/>
  <c r="H178" i="64"/>
  <c r="H182" i="64" s="1"/>
  <c r="H177" i="64"/>
  <c r="E71" i="64"/>
  <c r="E168" i="64"/>
  <c r="E176" i="64"/>
  <c r="G70" i="64"/>
  <c r="G169" i="64"/>
  <c r="G177" i="64"/>
  <c r="Z70" i="72"/>
  <c r="R183" i="73"/>
  <c r="I178" i="64"/>
  <c r="I182" i="64" s="1"/>
  <c r="I73" i="64"/>
  <c r="I171" i="64"/>
  <c r="G73" i="69"/>
  <c r="G70" i="69"/>
  <c r="G71" i="69"/>
  <c r="I169" i="64"/>
  <c r="I180" i="64"/>
  <c r="I184" i="64" s="1"/>
  <c r="I174" i="64"/>
  <c r="I176" i="64"/>
  <c r="I71" i="64"/>
  <c r="N173" i="64"/>
  <c r="N170" i="64"/>
  <c r="N72" i="64"/>
  <c r="M179" i="64"/>
  <c r="M183" i="64" s="1"/>
  <c r="K178" i="64"/>
  <c r="K182" i="64" s="1"/>
  <c r="H73" i="64"/>
  <c r="H168" i="64"/>
  <c r="H171" i="64"/>
  <c r="H173" i="64"/>
  <c r="M73" i="64"/>
  <c r="M180" i="64"/>
  <c r="M184" i="64" s="1"/>
  <c r="L73" i="64"/>
  <c r="L172" i="64"/>
  <c r="L180" i="64"/>
  <c r="L184" i="64" s="1"/>
  <c r="L173" i="64"/>
  <c r="K175" i="64"/>
  <c r="H70" i="64"/>
  <c r="H172" i="64"/>
  <c r="H176" i="64"/>
  <c r="Q173" i="64"/>
  <c r="O180" i="64"/>
  <c r="O184" i="64" s="1"/>
  <c r="L70" i="64"/>
  <c r="L170" i="64"/>
  <c r="L169" i="64"/>
  <c r="N71" i="64"/>
  <c r="N169" i="64"/>
  <c r="N172" i="64"/>
  <c r="N176" i="64"/>
  <c r="K169" i="65"/>
  <c r="F72" i="70"/>
  <c r="N73" i="64"/>
  <c r="N179" i="64"/>
  <c r="N183" i="64" s="1"/>
  <c r="N177" i="64"/>
  <c r="N178" i="64"/>
  <c r="N182" i="64" s="1"/>
  <c r="K171" i="65"/>
  <c r="N70" i="64"/>
  <c r="N171" i="64"/>
  <c r="N168" i="64"/>
  <c r="N175" i="64"/>
  <c r="K176" i="65"/>
  <c r="E159" i="65"/>
  <c r="AB70" i="68"/>
  <c r="Y182" i="71"/>
  <c r="F70" i="70"/>
  <c r="F71" i="70"/>
  <c r="Q179" i="64"/>
  <c r="Q183" i="64" s="1"/>
  <c r="P169" i="64"/>
  <c r="I70" i="69"/>
  <c r="Q73" i="64"/>
  <c r="P173" i="64"/>
  <c r="M71" i="70"/>
  <c r="M72" i="70"/>
  <c r="M73" i="70"/>
  <c r="P183" i="72"/>
  <c r="V72" i="72"/>
  <c r="R182" i="69"/>
  <c r="F184" i="73"/>
  <c r="U72" i="71"/>
  <c r="T71" i="73"/>
  <c r="I73" i="69"/>
  <c r="R72" i="64"/>
  <c r="Q73" i="72"/>
  <c r="U72" i="72"/>
  <c r="R168" i="64"/>
  <c r="Q177" i="64"/>
  <c r="P73" i="64"/>
  <c r="M175" i="65"/>
  <c r="Q72" i="68"/>
  <c r="R72" i="70"/>
  <c r="R70" i="70"/>
  <c r="P70" i="72"/>
  <c r="P184" i="72"/>
  <c r="T183" i="73"/>
  <c r="Q182" i="72"/>
  <c r="Q183" i="72"/>
  <c r="R176" i="64"/>
  <c r="T73" i="73"/>
  <c r="T70" i="73"/>
  <c r="Q70" i="64"/>
  <c r="Q172" i="64"/>
  <c r="Q176" i="64"/>
  <c r="Q171" i="64"/>
  <c r="P71" i="64"/>
  <c r="P170" i="64"/>
  <c r="P176" i="64"/>
  <c r="P180" i="64"/>
  <c r="P184" i="64" s="1"/>
  <c r="P179" i="64"/>
  <c r="P183" i="64" s="1"/>
  <c r="O172" i="65"/>
  <c r="V70" i="72"/>
  <c r="U70" i="72"/>
  <c r="O72" i="70"/>
  <c r="F182" i="73"/>
  <c r="Z71" i="71"/>
  <c r="Z183" i="71"/>
  <c r="O71" i="70"/>
  <c r="R71" i="64"/>
  <c r="R170" i="64"/>
  <c r="R171" i="64"/>
  <c r="R173" i="64"/>
  <c r="R73" i="64"/>
  <c r="I72" i="70"/>
  <c r="Q71" i="64"/>
  <c r="Q168" i="64"/>
  <c r="Q178" i="64"/>
  <c r="Q182" i="64" s="1"/>
  <c r="Q174" i="64"/>
  <c r="Q180" i="64"/>
  <c r="Q184" i="64" s="1"/>
  <c r="P70" i="64"/>
  <c r="P168" i="64"/>
  <c r="P171" i="64"/>
  <c r="P175" i="64"/>
  <c r="V71" i="72"/>
  <c r="V184" i="72"/>
  <c r="U71" i="72"/>
  <c r="U183" i="72"/>
  <c r="U184" i="72"/>
  <c r="F71" i="73"/>
  <c r="F73" i="73"/>
  <c r="F70" i="73"/>
  <c r="J73" i="70"/>
  <c r="R172" i="64"/>
  <c r="O70" i="70"/>
  <c r="R169" i="64"/>
  <c r="R175" i="64"/>
  <c r="Q72" i="64"/>
  <c r="Q170" i="64"/>
  <c r="Q175" i="64"/>
  <c r="P72" i="64"/>
  <c r="P174" i="64"/>
  <c r="P178" i="64"/>
  <c r="P182" i="64" s="1"/>
  <c r="V73" i="72"/>
  <c r="U73" i="72"/>
  <c r="J71" i="70"/>
  <c r="O73" i="70"/>
  <c r="Z184" i="71"/>
  <c r="R179" i="64"/>
  <c r="R183" i="64" s="1"/>
  <c r="R174" i="64"/>
  <c r="R180" i="64"/>
  <c r="R184" i="64" s="1"/>
  <c r="R70" i="64"/>
  <c r="R178" i="64"/>
  <c r="R182" i="64" s="1"/>
  <c r="I73" i="70"/>
  <c r="I70" i="70"/>
  <c r="E70" i="71"/>
  <c r="E182" i="71"/>
  <c r="P70" i="70"/>
  <c r="E72" i="71"/>
  <c r="E71" i="71"/>
  <c r="L71" i="72"/>
  <c r="L72" i="72"/>
  <c r="N73" i="72"/>
  <c r="N184" i="72"/>
  <c r="U71" i="73"/>
  <c r="U184" i="73"/>
  <c r="U182" i="73"/>
  <c r="L182" i="72"/>
  <c r="L183" i="72"/>
  <c r="U73" i="73"/>
  <c r="U70" i="73"/>
  <c r="L73" i="72"/>
  <c r="L70" i="72"/>
  <c r="O73" i="69"/>
  <c r="N70" i="72"/>
  <c r="N182" i="72"/>
  <c r="N71" i="72"/>
  <c r="O173" i="64"/>
  <c r="O171" i="65"/>
  <c r="P175" i="65"/>
  <c r="Q70" i="68"/>
  <c r="Q71" i="68"/>
  <c r="X71" i="72"/>
  <c r="AB72" i="72"/>
  <c r="T73" i="72"/>
  <c r="T182" i="72"/>
  <c r="P72" i="72"/>
  <c r="N72" i="69"/>
  <c r="N70" i="69"/>
  <c r="P70" i="69"/>
  <c r="P184" i="69"/>
  <c r="G72" i="72"/>
  <c r="G71" i="72"/>
  <c r="G73" i="72"/>
  <c r="G70" i="72"/>
  <c r="Q73" i="70"/>
  <c r="W72" i="72"/>
  <c r="W71" i="72"/>
  <c r="W73" i="72"/>
  <c r="O71" i="64"/>
  <c r="O70" i="65"/>
  <c r="X73" i="72"/>
  <c r="X182" i="72"/>
  <c r="AB71" i="72"/>
  <c r="T70" i="72"/>
  <c r="T183" i="72"/>
  <c r="T184" i="72"/>
  <c r="P71" i="72"/>
  <c r="P72" i="69"/>
  <c r="R72" i="69"/>
  <c r="R70" i="69"/>
  <c r="U183" i="71"/>
  <c r="Q71" i="70"/>
  <c r="F73" i="70"/>
  <c r="W70" i="72"/>
  <c r="O174" i="64"/>
  <c r="O178" i="65"/>
  <c r="O182" i="65" s="1"/>
  <c r="X70" i="72"/>
  <c r="AB73" i="72"/>
  <c r="AB183" i="72"/>
  <c r="T72" i="72"/>
  <c r="P73" i="72"/>
  <c r="U71" i="71"/>
  <c r="U73" i="71"/>
  <c r="U70" i="71"/>
  <c r="G182" i="72"/>
  <c r="Q72" i="70"/>
  <c r="Q70" i="70"/>
  <c r="I71" i="70"/>
  <c r="O70" i="69"/>
  <c r="K73" i="70"/>
  <c r="K70" i="70"/>
  <c r="K71" i="70"/>
  <c r="E71" i="70"/>
  <c r="E73" i="70"/>
  <c r="E72" i="70"/>
  <c r="E70" i="70"/>
  <c r="O72" i="69"/>
  <c r="P183" i="73"/>
  <c r="O71" i="69"/>
  <c r="G70" i="68"/>
  <c r="G184" i="68"/>
  <c r="G73" i="68"/>
  <c r="G182" i="68"/>
  <c r="G71" i="68"/>
  <c r="G72" i="68"/>
  <c r="D133" i="70"/>
  <c r="D134" i="70" s="1"/>
  <c r="J180" i="64"/>
  <c r="J184" i="64" s="1"/>
  <c r="J177" i="64"/>
  <c r="J168" i="64"/>
  <c r="J169" i="64"/>
  <c r="J70" i="64"/>
  <c r="J178" i="64"/>
  <c r="J182" i="64" s="1"/>
  <c r="J179" i="64"/>
  <c r="J183" i="64" s="1"/>
  <c r="J175" i="64"/>
  <c r="J73" i="64"/>
  <c r="J176" i="64"/>
  <c r="J172" i="64"/>
  <c r="J173" i="64"/>
  <c r="J71" i="64"/>
  <c r="J174" i="64"/>
  <c r="J72" i="64"/>
  <c r="J170" i="64"/>
  <c r="J171" i="64"/>
  <c r="E5" i="70"/>
  <c r="P70" i="73"/>
  <c r="P72" i="73"/>
  <c r="P71" i="73"/>
  <c r="P184" i="73"/>
  <c r="S71" i="73"/>
  <c r="S73" i="73"/>
  <c r="S70" i="73"/>
  <c r="F73" i="71"/>
  <c r="F183" i="71"/>
  <c r="F71" i="71"/>
  <c r="F182" i="71"/>
  <c r="F72" i="71"/>
  <c r="F70" i="71"/>
  <c r="S72" i="73"/>
  <c r="K72" i="70"/>
  <c r="O182" i="69"/>
  <c r="F73" i="69"/>
  <c r="F72" i="69"/>
  <c r="F184" i="69"/>
  <c r="F183" i="69"/>
  <c r="F71" i="69"/>
  <c r="F182" i="69"/>
  <c r="F70" i="69"/>
  <c r="O183" i="68"/>
  <c r="O71" i="68"/>
  <c r="O72" i="68"/>
  <c r="O70" i="68"/>
  <c r="O184" i="68"/>
  <c r="O73" i="68"/>
  <c r="H183" i="71"/>
  <c r="H70" i="71"/>
  <c r="H73" i="71"/>
  <c r="H71" i="71"/>
  <c r="H72" i="71"/>
  <c r="AB71" i="71"/>
  <c r="AB72" i="71"/>
  <c r="AB184" i="71"/>
  <c r="AB183" i="71"/>
  <c r="AB70" i="71"/>
  <c r="AB182" i="71"/>
  <c r="AB73" i="71"/>
  <c r="H73" i="69"/>
  <c r="H72" i="69"/>
  <c r="H71" i="69"/>
  <c r="H184" i="69"/>
  <c r="H183" i="69"/>
  <c r="H70" i="69"/>
  <c r="H72" i="70"/>
  <c r="H73" i="70"/>
  <c r="H71" i="70"/>
  <c r="H70" i="70"/>
  <c r="Y182" i="68"/>
  <c r="Y73" i="68"/>
  <c r="Y71" i="68"/>
  <c r="Y72" i="68"/>
  <c r="Y184" i="68"/>
  <c r="Y183" i="68"/>
  <c r="Y70" i="68"/>
  <c r="X72" i="71"/>
  <c r="X70" i="71"/>
  <c r="X73" i="71"/>
  <c r="X71" i="71"/>
  <c r="N73" i="69"/>
  <c r="N183" i="69"/>
  <c r="N71" i="69"/>
  <c r="N184" i="69"/>
  <c r="I72" i="71"/>
  <c r="I184" i="71"/>
  <c r="I183" i="71"/>
  <c r="I70" i="71"/>
  <c r="I73" i="71"/>
  <c r="I71" i="71"/>
  <c r="R73" i="69"/>
  <c r="R71" i="69"/>
  <c r="E70" i="69"/>
  <c r="E73" i="69"/>
  <c r="E71" i="69"/>
  <c r="E182" i="69"/>
  <c r="E72" i="69"/>
  <c r="P184" i="71"/>
  <c r="P183" i="71"/>
  <c r="P70" i="71"/>
  <c r="P182" i="71"/>
  <c r="P73" i="71"/>
  <c r="P71" i="71"/>
  <c r="P72" i="71"/>
  <c r="AA182" i="71"/>
  <c r="AA72" i="71"/>
  <c r="AA70" i="71"/>
  <c r="AA73" i="71"/>
  <c r="AA183" i="71"/>
  <c r="AA71" i="71"/>
  <c r="AA184" i="71"/>
  <c r="K182" i="71"/>
  <c r="K72" i="71"/>
  <c r="K70" i="71"/>
  <c r="K73" i="71"/>
  <c r="K71" i="71"/>
  <c r="K184" i="71"/>
  <c r="G70" i="70"/>
  <c r="G71" i="70"/>
  <c r="G73" i="70"/>
  <c r="G72" i="70"/>
  <c r="P182" i="68"/>
  <c r="P183" i="68"/>
  <c r="AB72" i="68"/>
  <c r="AB182" i="68"/>
  <c r="R72" i="73"/>
  <c r="R71" i="73"/>
  <c r="R73" i="73"/>
  <c r="P73" i="68"/>
  <c r="P70" i="68"/>
  <c r="P184" i="68"/>
  <c r="AB183" i="68"/>
  <c r="P72" i="68"/>
  <c r="AB73" i="68"/>
  <c r="R184" i="73"/>
  <c r="R184" i="68"/>
  <c r="Q183" i="73"/>
  <c r="R72" i="68"/>
  <c r="R71" i="68"/>
  <c r="R183" i="68"/>
  <c r="Q182" i="73"/>
  <c r="R73" i="68"/>
  <c r="G71" i="73"/>
  <c r="G72" i="73"/>
  <c r="G183" i="73"/>
  <c r="G184" i="73"/>
  <c r="G70" i="73"/>
  <c r="G73" i="73"/>
  <c r="V70" i="71"/>
  <c r="V73" i="71"/>
  <c r="V184" i="71"/>
  <c r="V71" i="71"/>
  <c r="V182" i="71"/>
  <c r="V72" i="71"/>
  <c r="T184" i="71"/>
  <c r="T183" i="71"/>
  <c r="T70" i="71"/>
  <c r="T73" i="71"/>
  <c r="T71" i="71"/>
  <c r="T72" i="71"/>
  <c r="Q70" i="73"/>
  <c r="Q72" i="73"/>
  <c r="Q71" i="73"/>
  <c r="Q184" i="73"/>
  <c r="Q73" i="71"/>
  <c r="Q71" i="71"/>
  <c r="Q72" i="71"/>
  <c r="Q184" i="71"/>
  <c r="Q70" i="71"/>
  <c r="N73" i="71"/>
  <c r="N183" i="71"/>
  <c r="N71" i="71"/>
  <c r="N72" i="71"/>
  <c r="N70" i="71"/>
  <c r="P182" i="69"/>
  <c r="P73" i="69"/>
  <c r="P71" i="69"/>
  <c r="J72" i="73"/>
  <c r="J184" i="73"/>
  <c r="J70" i="73"/>
  <c r="J182" i="73"/>
  <c r="J73" i="73"/>
  <c r="J71" i="73"/>
  <c r="W182" i="71"/>
  <c r="W72" i="71"/>
  <c r="W70" i="71"/>
  <c r="W73" i="71"/>
  <c r="W183" i="71"/>
  <c r="W184" i="71"/>
  <c r="W71" i="71"/>
  <c r="G183" i="71"/>
  <c r="G184" i="71"/>
  <c r="G71" i="71"/>
  <c r="G72" i="71"/>
  <c r="G70" i="71"/>
  <c r="G73" i="71"/>
  <c r="H184" i="73"/>
  <c r="H183" i="73"/>
  <c r="H71" i="73"/>
  <c r="H72" i="73"/>
  <c r="H70" i="73"/>
  <c r="H73" i="73"/>
  <c r="O183" i="71"/>
  <c r="O184" i="71"/>
  <c r="O71" i="71"/>
  <c r="O182" i="71"/>
  <c r="O72" i="71"/>
  <c r="O70" i="71"/>
  <c r="O73" i="71"/>
  <c r="R183" i="71"/>
  <c r="R71" i="71"/>
  <c r="R182" i="71"/>
  <c r="R72" i="71"/>
  <c r="R70" i="71"/>
  <c r="R73" i="71"/>
  <c r="W183" i="68"/>
  <c r="W182" i="68"/>
  <c r="W71" i="68"/>
  <c r="W72" i="68"/>
  <c r="W70" i="68"/>
  <c r="W184" i="68"/>
  <c r="W73" i="68"/>
  <c r="D133" i="69"/>
  <c r="D134" i="69" s="1"/>
  <c r="E5" i="69"/>
  <c r="I184" i="68"/>
  <c r="I70" i="68"/>
  <c r="I73" i="68"/>
  <c r="I71" i="68"/>
  <c r="I183" i="68"/>
  <c r="I72" i="68"/>
  <c r="Z73" i="68"/>
  <c r="Z183" i="68"/>
  <c r="Z184" i="68"/>
  <c r="Z71" i="68"/>
  <c r="Z182" i="68"/>
  <c r="Z72" i="68"/>
  <c r="Z70" i="68"/>
  <c r="J183" i="68"/>
  <c r="J72" i="68"/>
  <c r="J73" i="68"/>
  <c r="J184" i="68"/>
  <c r="J182" i="68"/>
  <c r="J71" i="68"/>
  <c r="N73" i="73"/>
  <c r="N71" i="73"/>
  <c r="N72" i="73"/>
  <c r="N183" i="73"/>
  <c r="N184" i="73"/>
  <c r="N70" i="73"/>
  <c r="S182" i="71"/>
  <c r="S72" i="71"/>
  <c r="S70" i="71"/>
  <c r="S73" i="71"/>
  <c r="S183" i="71"/>
  <c r="S184" i="71"/>
  <c r="S71" i="71"/>
  <c r="D133" i="73"/>
  <c r="D134" i="73" s="1"/>
  <c r="M182" i="71"/>
  <c r="M73" i="71"/>
  <c r="M71" i="71"/>
  <c r="M72" i="71"/>
  <c r="M184" i="71"/>
  <c r="M183" i="71"/>
  <c r="M70" i="71"/>
  <c r="L184" i="71"/>
  <c r="L183" i="71"/>
  <c r="L70" i="71"/>
  <c r="L182" i="71"/>
  <c r="L73" i="71"/>
  <c r="L71" i="71"/>
  <c r="L72" i="71"/>
  <c r="E5" i="71"/>
  <c r="I70" i="73"/>
  <c r="I73" i="73"/>
  <c r="I184" i="73"/>
  <c r="I183" i="73"/>
  <c r="I71" i="73"/>
  <c r="I182" i="73"/>
  <c r="I72" i="73"/>
  <c r="J182" i="71"/>
  <c r="J72" i="71"/>
  <c r="J70" i="71"/>
  <c r="J73" i="71"/>
  <c r="J183" i="71"/>
  <c r="J71" i="71"/>
  <c r="D133" i="71"/>
  <c r="D134" i="71" s="1"/>
  <c r="F133" i="68"/>
  <c r="F134" i="68" s="1"/>
  <c r="O183" i="73"/>
  <c r="O184" i="73"/>
  <c r="O70" i="73"/>
  <c r="O73" i="73"/>
  <c r="O71" i="73"/>
  <c r="O72" i="73"/>
  <c r="Q71" i="69"/>
  <c r="Q72" i="69"/>
  <c r="Q70" i="69"/>
  <c r="Q182" i="69"/>
  <c r="Q73" i="69"/>
  <c r="L70" i="73"/>
  <c r="L73" i="73"/>
  <c r="L184" i="73"/>
  <c r="L183" i="73"/>
  <c r="L71" i="73"/>
  <c r="L182" i="73"/>
  <c r="L72" i="73"/>
  <c r="E5" i="73"/>
  <c r="K72" i="73"/>
  <c r="K183" i="73"/>
  <c r="K70" i="73"/>
  <c r="K182" i="73"/>
  <c r="K73" i="73"/>
  <c r="K71" i="73"/>
  <c r="M184" i="73"/>
  <c r="M71" i="73"/>
  <c r="M182" i="73"/>
  <c r="M72" i="73"/>
  <c r="M70" i="73"/>
  <c r="M73" i="73"/>
  <c r="N183" i="68"/>
  <c r="N184" i="68"/>
  <c r="N71" i="68"/>
  <c r="N182" i="68"/>
  <c r="N72" i="68"/>
  <c r="N70" i="68"/>
  <c r="N73" i="68"/>
  <c r="I133" i="72"/>
  <c r="I134" i="72" s="1"/>
  <c r="M182" i="69"/>
  <c r="M184" i="69"/>
  <c r="M71" i="69"/>
  <c r="M183" i="69"/>
  <c r="M70" i="69"/>
  <c r="M73" i="69"/>
  <c r="M72" i="69"/>
  <c r="K73" i="69"/>
  <c r="K72" i="69"/>
  <c r="K71" i="69"/>
  <c r="K182" i="69"/>
  <c r="K70" i="69"/>
  <c r="K183" i="69"/>
  <c r="S73" i="70"/>
  <c r="S72" i="70"/>
  <c r="S70" i="70"/>
  <c r="S71" i="70"/>
  <c r="S183" i="69"/>
  <c r="S72" i="69"/>
  <c r="S73" i="69"/>
  <c r="S70" i="69"/>
  <c r="S182" i="69"/>
  <c r="S71" i="69"/>
  <c r="E133" i="72"/>
  <c r="E134" i="72" s="1"/>
  <c r="J183" i="69"/>
  <c r="J184" i="69"/>
  <c r="J73" i="69"/>
  <c r="J71" i="69"/>
  <c r="J182" i="69"/>
  <c r="J72" i="69"/>
  <c r="J70" i="69"/>
  <c r="L73" i="69"/>
  <c r="L182" i="69"/>
  <c r="L71" i="69"/>
  <c r="L72" i="69"/>
  <c r="L70" i="69"/>
  <c r="G5" i="72"/>
  <c r="V73" i="68"/>
  <c r="V184" i="68"/>
  <c r="V71" i="68"/>
  <c r="V182" i="68"/>
  <c r="V72" i="68"/>
  <c r="V70" i="68"/>
  <c r="M182" i="68"/>
  <c r="M73" i="68"/>
  <c r="M71" i="68"/>
  <c r="M72" i="68"/>
  <c r="M183" i="68"/>
  <c r="M70" i="68"/>
  <c r="U72" i="68"/>
  <c r="U184" i="68"/>
  <c r="U183" i="68"/>
  <c r="U70" i="68"/>
  <c r="U73" i="68"/>
  <c r="U71" i="68"/>
  <c r="S70" i="68"/>
  <c r="S184" i="68"/>
  <c r="S73" i="68"/>
  <c r="S71" i="68"/>
  <c r="S72" i="68"/>
  <c r="T182" i="68"/>
  <c r="T73" i="68"/>
  <c r="T71" i="68"/>
  <c r="T72" i="68"/>
  <c r="T183" i="68"/>
  <c r="T70" i="68"/>
  <c r="X184" i="68"/>
  <c r="X70" i="68"/>
  <c r="X73" i="68"/>
  <c r="X71" i="68"/>
  <c r="X72" i="68"/>
  <c r="AA184" i="68"/>
  <c r="AA73" i="68"/>
  <c r="AA183" i="68"/>
  <c r="AA71" i="68"/>
  <c r="AA72" i="68"/>
  <c r="AA70" i="68"/>
  <c r="K184" i="68"/>
  <c r="K73" i="68"/>
  <c r="K182" i="68"/>
  <c r="K71" i="68"/>
  <c r="K72" i="68"/>
  <c r="K70" i="68"/>
  <c r="E162" i="65"/>
  <c r="E164" i="65"/>
  <c r="AF21" i="28"/>
  <c r="AE21" i="28"/>
  <c r="AD21" i="28"/>
  <c r="AC21" i="28"/>
  <c r="AB21" i="28"/>
  <c r="AA21" i="28"/>
  <c r="Z21" i="28"/>
  <c r="Y21" i="28"/>
  <c r="X21" i="28"/>
  <c r="W21" i="28"/>
  <c r="V21" i="28"/>
  <c r="U21" i="28"/>
  <c r="T21" i="28"/>
  <c r="S21" i="28"/>
  <c r="R21" i="28"/>
  <c r="Q21" i="28"/>
  <c r="P21" i="28"/>
  <c r="O21" i="28"/>
  <c r="N21" i="28"/>
  <c r="M21" i="28"/>
  <c r="L21" i="28"/>
  <c r="K21" i="28"/>
  <c r="J21" i="28"/>
  <c r="I21" i="28"/>
  <c r="H21" i="28"/>
  <c r="G21" i="28"/>
  <c r="F21" i="28"/>
  <c r="E21" i="28"/>
  <c r="D21" i="28"/>
  <c r="C21" i="28"/>
  <c r="E160" i="65" l="1"/>
  <c r="E157" i="65"/>
  <c r="O73" i="64"/>
  <c r="O172" i="64"/>
  <c r="O70" i="64"/>
  <c r="E154" i="65"/>
  <c r="E161" i="65"/>
  <c r="M178" i="64"/>
  <c r="M182" i="64" s="1"/>
  <c r="M133" i="64" s="1"/>
  <c r="M134" i="64" s="1"/>
  <c r="M176" i="64"/>
  <c r="M169" i="64"/>
  <c r="O169" i="64"/>
  <c r="E158" i="65"/>
  <c r="F5" i="65"/>
  <c r="F163" i="65" s="1"/>
  <c r="O178" i="64"/>
  <c r="O182" i="64" s="1"/>
  <c r="O170" i="64"/>
  <c r="E155" i="65"/>
  <c r="E153" i="65"/>
  <c r="M172" i="64"/>
  <c r="M72" i="64"/>
  <c r="M177" i="64"/>
  <c r="M71" i="64"/>
  <c r="M173" i="64"/>
  <c r="M175" i="64"/>
  <c r="E163" i="65"/>
  <c r="O179" i="64"/>
  <c r="O183" i="64" s="1"/>
  <c r="O168" i="64"/>
  <c r="O175" i="64"/>
  <c r="E156" i="65"/>
  <c r="M70" i="64"/>
  <c r="M168" i="64"/>
  <c r="M174" i="64"/>
  <c r="K169" i="64"/>
  <c r="H180" i="65"/>
  <c r="H184" i="65" s="1"/>
  <c r="K176" i="64"/>
  <c r="E133" i="65"/>
  <c r="E134" i="65" s="1"/>
  <c r="O72" i="64"/>
  <c r="R168" i="65"/>
  <c r="H174" i="65"/>
  <c r="M172" i="65"/>
  <c r="F133" i="64"/>
  <c r="F134" i="64" s="1"/>
  <c r="R171" i="65"/>
  <c r="H71" i="65"/>
  <c r="H178" i="65"/>
  <c r="H182" i="65" s="1"/>
  <c r="M174" i="65"/>
  <c r="M178" i="65"/>
  <c r="M182" i="65" s="1"/>
  <c r="M168" i="65"/>
  <c r="M177" i="65"/>
  <c r="K174" i="64"/>
  <c r="K179" i="64"/>
  <c r="K183" i="64" s="1"/>
  <c r="K70" i="64"/>
  <c r="K171" i="64"/>
  <c r="K168" i="64"/>
  <c r="K72" i="64"/>
  <c r="J176" i="65"/>
  <c r="H175" i="65"/>
  <c r="M179" i="65"/>
  <c r="M183" i="65" s="1"/>
  <c r="P179" i="65"/>
  <c r="P183" i="65" s="1"/>
  <c r="P72" i="65"/>
  <c r="H177" i="65"/>
  <c r="M173" i="65"/>
  <c r="M73" i="65"/>
  <c r="K71" i="64"/>
  <c r="K180" i="64"/>
  <c r="K184" i="64" s="1"/>
  <c r="K173" i="64"/>
  <c r="K73" i="64"/>
  <c r="K177" i="64"/>
  <c r="K172" i="64"/>
  <c r="P171" i="65"/>
  <c r="O170" i="65"/>
  <c r="P178" i="65"/>
  <c r="P182" i="65" s="1"/>
  <c r="O175" i="65"/>
  <c r="P172" i="65"/>
  <c r="O71" i="65"/>
  <c r="O169" i="65"/>
  <c r="K168" i="65"/>
  <c r="K73" i="65"/>
  <c r="K179" i="65"/>
  <c r="K183" i="65" s="1"/>
  <c r="K71" i="65"/>
  <c r="K72" i="65"/>
  <c r="P168" i="65"/>
  <c r="O72" i="65"/>
  <c r="P177" i="65"/>
  <c r="O176" i="65"/>
  <c r="O173" i="65"/>
  <c r="O179" i="65"/>
  <c r="O183" i="65" s="1"/>
  <c r="O133" i="65" s="1"/>
  <c r="O134" i="65" s="1"/>
  <c r="K70" i="65"/>
  <c r="K173" i="65"/>
  <c r="K180" i="65"/>
  <c r="K184" i="65" s="1"/>
  <c r="K178" i="65"/>
  <c r="K182" i="65" s="1"/>
  <c r="P71" i="65"/>
  <c r="P169" i="65"/>
  <c r="O168" i="65"/>
  <c r="O174" i="65"/>
  <c r="O73" i="65"/>
  <c r="P170" i="65"/>
  <c r="K174" i="65"/>
  <c r="K172" i="65"/>
  <c r="K170" i="65"/>
  <c r="H172" i="65"/>
  <c r="H173" i="65"/>
  <c r="H169" i="65"/>
  <c r="M71" i="65"/>
  <c r="M170" i="65"/>
  <c r="H70" i="65"/>
  <c r="H179" i="65"/>
  <c r="H183" i="65" s="1"/>
  <c r="M169" i="65"/>
  <c r="R174" i="65"/>
  <c r="H73" i="65"/>
  <c r="H170" i="65"/>
  <c r="H72" i="65"/>
  <c r="H168" i="65"/>
  <c r="M72" i="65"/>
  <c r="R169" i="65"/>
  <c r="H171" i="65"/>
  <c r="E133" i="64"/>
  <c r="E134" i="64" s="1"/>
  <c r="D133" i="64"/>
  <c r="D134" i="64" s="1"/>
  <c r="J174" i="65"/>
  <c r="J173" i="65"/>
  <c r="J178" i="65"/>
  <c r="J182" i="65" s="1"/>
  <c r="P73" i="65"/>
  <c r="P173" i="65"/>
  <c r="P174" i="65"/>
  <c r="M70" i="65"/>
  <c r="M180" i="65"/>
  <c r="M184" i="65" s="1"/>
  <c r="P176" i="65"/>
  <c r="P70" i="65"/>
  <c r="M171" i="65"/>
  <c r="J180" i="65"/>
  <c r="J184" i="65" s="1"/>
  <c r="J179" i="65"/>
  <c r="J183" i="65" s="1"/>
  <c r="J70" i="65"/>
  <c r="J73" i="65"/>
  <c r="J168" i="65"/>
  <c r="J171" i="65"/>
  <c r="J172" i="65"/>
  <c r="J71" i="65"/>
  <c r="J72" i="65"/>
  <c r="J169" i="65"/>
  <c r="J177" i="65"/>
  <c r="J170" i="65"/>
  <c r="Q173" i="65"/>
  <c r="Q180" i="65"/>
  <c r="Q184" i="65" s="1"/>
  <c r="D163" i="64"/>
  <c r="D154" i="64"/>
  <c r="D153" i="64"/>
  <c r="D156" i="64"/>
  <c r="D162" i="64"/>
  <c r="D157" i="64"/>
  <c r="D159" i="64"/>
  <c r="D161" i="64"/>
  <c r="D160" i="64"/>
  <c r="D165" i="64"/>
  <c r="D155" i="64"/>
  <c r="D158" i="64"/>
  <c r="D164" i="64"/>
  <c r="Q172" i="65"/>
  <c r="R73" i="65"/>
  <c r="R173" i="65"/>
  <c r="R72" i="65"/>
  <c r="N72" i="65"/>
  <c r="N71" i="65"/>
  <c r="I133" i="65"/>
  <c r="I134" i="65" s="1"/>
  <c r="D133" i="68"/>
  <c r="D134" i="68" s="1"/>
  <c r="L73" i="65"/>
  <c r="L72" i="65"/>
  <c r="R71" i="65"/>
  <c r="N73" i="65"/>
  <c r="D161" i="68"/>
  <c r="D158" i="68"/>
  <c r="D157" i="68"/>
  <c r="D153" i="68"/>
  <c r="D164" i="68"/>
  <c r="D162" i="68"/>
  <c r="D154" i="68"/>
  <c r="E5" i="68"/>
  <c r="D159" i="68"/>
  <c r="D163" i="68"/>
  <c r="D155" i="68"/>
  <c r="D160" i="68"/>
  <c r="D165" i="68"/>
  <c r="D156" i="68"/>
  <c r="R176" i="65"/>
  <c r="R175" i="65"/>
  <c r="L70" i="65"/>
  <c r="N171" i="65"/>
  <c r="N31" i="66"/>
  <c r="H133" i="68"/>
  <c r="H134" i="68" s="1"/>
  <c r="H133" i="64"/>
  <c r="H134" i="64" s="1"/>
  <c r="G174" i="65"/>
  <c r="AA59" i="73"/>
  <c r="Z94" i="73"/>
  <c r="Z122" i="73" s="1"/>
  <c r="U94" i="73"/>
  <c r="U122" i="73" s="1"/>
  <c r="U131" i="73" s="1"/>
  <c r="V59" i="73"/>
  <c r="V67" i="73" s="1"/>
  <c r="W94" i="73"/>
  <c r="W122" i="73" s="1"/>
  <c r="X59" i="73"/>
  <c r="V94" i="73"/>
  <c r="V122" i="73" s="1"/>
  <c r="W59" i="73"/>
  <c r="AB59" i="73"/>
  <c r="AA94" i="73"/>
  <c r="AA122" i="73" s="1"/>
  <c r="X94" i="73"/>
  <c r="X122" i="73" s="1"/>
  <c r="Y59" i="73"/>
  <c r="Y94" i="73"/>
  <c r="Y122" i="73" s="1"/>
  <c r="Z59" i="73"/>
  <c r="R180" i="65"/>
  <c r="R184" i="65" s="1"/>
  <c r="R178" i="65"/>
  <c r="R182" i="65" s="1"/>
  <c r="R170" i="65"/>
  <c r="R172" i="65"/>
  <c r="R177" i="65"/>
  <c r="Q174" i="65"/>
  <c r="Q177" i="65"/>
  <c r="R179" i="65"/>
  <c r="R183" i="65" s="1"/>
  <c r="F133" i="72"/>
  <c r="F134" i="72" s="1"/>
  <c r="E133" i="73"/>
  <c r="E134" i="73" s="1"/>
  <c r="L133" i="70"/>
  <c r="L134" i="70" s="1"/>
  <c r="L133" i="64"/>
  <c r="L134" i="64" s="1"/>
  <c r="AA133" i="72"/>
  <c r="AA134" i="72" s="1"/>
  <c r="L34" i="66" s="1"/>
  <c r="D4" i="66"/>
  <c r="D4" i="76" s="1"/>
  <c r="S175" i="65"/>
  <c r="S169" i="65"/>
  <c r="S172" i="65"/>
  <c r="S180" i="65"/>
  <c r="S184" i="65" s="1"/>
  <c r="S173" i="65"/>
  <c r="S73" i="65"/>
  <c r="S168" i="65"/>
  <c r="S171" i="65"/>
  <c r="S174" i="65"/>
  <c r="S70" i="65"/>
  <c r="S176" i="65"/>
  <c r="S177" i="65"/>
  <c r="S179" i="65"/>
  <c r="S183" i="65" s="1"/>
  <c r="S72" i="65"/>
  <c r="S170" i="65"/>
  <c r="S178" i="65"/>
  <c r="S182" i="65" s="1"/>
  <c r="S71" i="65"/>
  <c r="E154" i="71"/>
  <c r="E158" i="71"/>
  <c r="E162" i="71"/>
  <c r="E163" i="71"/>
  <c r="E155" i="71"/>
  <c r="E159" i="71"/>
  <c r="E164" i="71"/>
  <c r="E156" i="71"/>
  <c r="E160" i="71"/>
  <c r="E165" i="71"/>
  <c r="E153" i="71"/>
  <c r="E157" i="71"/>
  <c r="E161" i="71"/>
  <c r="E164" i="69"/>
  <c r="E161" i="69"/>
  <c r="E157" i="69"/>
  <c r="E160" i="69"/>
  <c r="E165" i="69"/>
  <c r="E163" i="69"/>
  <c r="E158" i="69"/>
  <c r="E155" i="69"/>
  <c r="E162" i="69"/>
  <c r="E156" i="69"/>
  <c r="E154" i="69"/>
  <c r="E153" i="69"/>
  <c r="E159" i="69"/>
  <c r="G133" i="72"/>
  <c r="G134" i="72" s="1"/>
  <c r="U58" i="70"/>
  <c r="T93" i="70"/>
  <c r="T121" i="70" s="1"/>
  <c r="N16" i="66"/>
  <c r="G154" i="72"/>
  <c r="G158" i="72"/>
  <c r="G155" i="72"/>
  <c r="G159" i="72"/>
  <c r="G153" i="72"/>
  <c r="G157" i="72"/>
  <c r="G161" i="72"/>
  <c r="G165" i="72"/>
  <c r="G163" i="72"/>
  <c r="G162" i="72"/>
  <c r="G156" i="72"/>
  <c r="G160" i="72"/>
  <c r="G164" i="72"/>
  <c r="E154" i="73"/>
  <c r="E157" i="73"/>
  <c r="E161" i="73"/>
  <c r="E165" i="73"/>
  <c r="E158" i="73"/>
  <c r="E162" i="73"/>
  <c r="E155" i="73"/>
  <c r="E159" i="73"/>
  <c r="E163" i="73"/>
  <c r="E153" i="73"/>
  <c r="E156" i="73"/>
  <c r="E160" i="73"/>
  <c r="E164" i="73"/>
  <c r="E156" i="70"/>
  <c r="E160" i="70"/>
  <c r="E164" i="70"/>
  <c r="E153" i="70"/>
  <c r="E157" i="70"/>
  <c r="E161" i="70"/>
  <c r="E165" i="70"/>
  <c r="E154" i="70"/>
  <c r="E158" i="70"/>
  <c r="E162" i="70"/>
  <c r="E155" i="70"/>
  <c r="E159" i="70"/>
  <c r="E163" i="70"/>
  <c r="AB93" i="70"/>
  <c r="AB121" i="70" s="1"/>
  <c r="X58" i="70"/>
  <c r="W93" i="70"/>
  <c r="W121" i="70" s="1"/>
  <c r="N30" i="66"/>
  <c r="Y58" i="70"/>
  <c r="X93" i="70"/>
  <c r="X121" i="70" s="1"/>
  <c r="S189" i="69"/>
  <c r="D28" i="66" s="1"/>
  <c r="S38" i="69"/>
  <c r="AA58" i="70"/>
  <c r="Z93" i="70"/>
  <c r="Z121" i="70" s="1"/>
  <c r="S133" i="72"/>
  <c r="S134" i="72" s="1"/>
  <c r="D34" i="66" s="1"/>
  <c r="J133" i="72"/>
  <c r="J134" i="72" s="1"/>
  <c r="V133" i="72"/>
  <c r="V134" i="72" s="1"/>
  <c r="G34" i="66" s="1"/>
  <c r="K133" i="72"/>
  <c r="K134" i="72" s="1"/>
  <c r="Y133" i="72"/>
  <c r="Y134" i="72" s="1"/>
  <c r="J34" i="66" s="1"/>
  <c r="O133" i="72"/>
  <c r="O134" i="72" s="1"/>
  <c r="R133" i="72"/>
  <c r="R134" i="72" s="1"/>
  <c r="M133" i="72"/>
  <c r="M134" i="72" s="1"/>
  <c r="Y133" i="71"/>
  <c r="Y134" i="71" s="1"/>
  <c r="J33" i="66" s="1"/>
  <c r="R133" i="73"/>
  <c r="R134" i="73" s="1"/>
  <c r="H133" i="72"/>
  <c r="H134" i="72" s="1"/>
  <c r="Z133" i="72"/>
  <c r="Z134" i="72" s="1"/>
  <c r="K34" i="66" s="1"/>
  <c r="T133" i="73"/>
  <c r="T134" i="73" s="1"/>
  <c r="E35" i="66" s="1"/>
  <c r="AB133" i="72"/>
  <c r="AB134" i="72" s="1"/>
  <c r="M34" i="66" s="1"/>
  <c r="W58" i="70"/>
  <c r="Z58" i="70"/>
  <c r="AB58" i="70"/>
  <c r="V58" i="70"/>
  <c r="F133" i="70"/>
  <c r="F134" i="70" s="1"/>
  <c r="U121" i="70"/>
  <c r="Y121" i="70"/>
  <c r="AA121" i="70"/>
  <c r="V121" i="70"/>
  <c r="N133" i="70"/>
  <c r="N134" i="70" s="1"/>
  <c r="P133" i="65"/>
  <c r="P134" i="65" s="1"/>
  <c r="G178" i="65"/>
  <c r="G182" i="65" s="1"/>
  <c r="L170" i="65"/>
  <c r="Q168" i="65"/>
  <c r="Q175" i="65"/>
  <c r="Q178" i="65"/>
  <c r="Q182" i="65" s="1"/>
  <c r="N169" i="65"/>
  <c r="N170" i="65"/>
  <c r="N168" i="65"/>
  <c r="G72" i="65"/>
  <c r="G73" i="65"/>
  <c r="G179" i="65"/>
  <c r="G183" i="65" s="1"/>
  <c r="Q170" i="65"/>
  <c r="Q179" i="65"/>
  <c r="Q183" i="65" s="1"/>
  <c r="Q71" i="65"/>
  <c r="N178" i="65"/>
  <c r="N182" i="65" s="1"/>
  <c r="N177" i="65"/>
  <c r="N175" i="65"/>
  <c r="N180" i="65"/>
  <c r="N184" i="65" s="1"/>
  <c r="N173" i="65"/>
  <c r="N70" i="65"/>
  <c r="G175" i="65"/>
  <c r="G172" i="65"/>
  <c r="G168" i="65"/>
  <c r="O133" i="64"/>
  <c r="O134" i="64" s="1"/>
  <c r="Q70" i="65"/>
  <c r="Q171" i="65"/>
  <c r="Q176" i="65"/>
  <c r="Q73" i="65"/>
  <c r="N172" i="65"/>
  <c r="N176" i="65"/>
  <c r="N174" i="65"/>
  <c r="Q169" i="65"/>
  <c r="G173" i="65"/>
  <c r="G71" i="65"/>
  <c r="G176" i="65"/>
  <c r="G177" i="65"/>
  <c r="G170" i="65"/>
  <c r="G169" i="65"/>
  <c r="L179" i="65"/>
  <c r="L183" i="65" s="1"/>
  <c r="L178" i="65"/>
  <c r="L182" i="65" s="1"/>
  <c r="L176" i="65"/>
  <c r="G133" i="64"/>
  <c r="G134" i="64" s="1"/>
  <c r="L180" i="65"/>
  <c r="L184" i="65" s="1"/>
  <c r="L171" i="65"/>
  <c r="L177" i="65"/>
  <c r="L175" i="65"/>
  <c r="L174" i="65"/>
  <c r="L168" i="65"/>
  <c r="L169" i="65"/>
  <c r="L172" i="65"/>
  <c r="L71" i="65"/>
  <c r="G70" i="65"/>
  <c r="I133" i="64"/>
  <c r="I134" i="64" s="1"/>
  <c r="N133" i="64"/>
  <c r="N134" i="64" s="1"/>
  <c r="G133" i="69"/>
  <c r="G134" i="69" s="1"/>
  <c r="U133" i="72"/>
  <c r="U134" i="72" s="1"/>
  <c r="F34" i="66" s="1"/>
  <c r="Q133" i="72"/>
  <c r="Q134" i="72" s="1"/>
  <c r="I133" i="69"/>
  <c r="I134" i="69" s="1"/>
  <c r="E162" i="64"/>
  <c r="E156" i="64"/>
  <c r="E157" i="64"/>
  <c r="F5" i="64"/>
  <c r="E161" i="64"/>
  <c r="E164" i="64"/>
  <c r="E158" i="64"/>
  <c r="E160" i="64"/>
  <c r="E154" i="64"/>
  <c r="E155" i="64"/>
  <c r="E165" i="64"/>
  <c r="E153" i="64"/>
  <c r="E163" i="64"/>
  <c r="E159" i="64"/>
  <c r="P133" i="64"/>
  <c r="P134" i="64" s="1"/>
  <c r="U133" i="71"/>
  <c r="U134" i="71" s="1"/>
  <c r="F33" i="66" s="1"/>
  <c r="Q133" i="64"/>
  <c r="Q134" i="64" s="1"/>
  <c r="F164" i="65"/>
  <c r="N133" i="72"/>
  <c r="N134" i="72" s="1"/>
  <c r="J133" i="70"/>
  <c r="J134" i="70" s="1"/>
  <c r="X133" i="72"/>
  <c r="X134" i="72" s="1"/>
  <c r="I34" i="66" s="1"/>
  <c r="Q133" i="68"/>
  <c r="Q134" i="68" s="1"/>
  <c r="T133" i="72"/>
  <c r="T134" i="72" s="1"/>
  <c r="E34" i="66" s="1"/>
  <c r="E133" i="71"/>
  <c r="E134" i="71" s="1"/>
  <c r="F133" i="73"/>
  <c r="F134" i="73" s="1"/>
  <c r="M133" i="70"/>
  <c r="M134" i="70" s="1"/>
  <c r="P133" i="72"/>
  <c r="P134" i="72" s="1"/>
  <c r="P133" i="70"/>
  <c r="P134" i="70" s="1"/>
  <c r="R133" i="64"/>
  <c r="Z133" i="71"/>
  <c r="Z134" i="71" s="1"/>
  <c r="K33" i="66" s="1"/>
  <c r="P133" i="69"/>
  <c r="P134" i="69" s="1"/>
  <c r="Q133" i="70"/>
  <c r="Q134" i="70" s="1"/>
  <c r="F158" i="65"/>
  <c r="I133" i="70"/>
  <c r="I134" i="70" s="1"/>
  <c r="F159" i="65"/>
  <c r="O133" i="70"/>
  <c r="O134" i="70" s="1"/>
  <c r="L133" i="72"/>
  <c r="L134" i="72" s="1"/>
  <c r="U133" i="73"/>
  <c r="N133" i="69"/>
  <c r="N134" i="69" s="1"/>
  <c r="O133" i="69"/>
  <c r="O134" i="69" s="1"/>
  <c r="I133" i="73"/>
  <c r="I134" i="73" s="1"/>
  <c r="K133" i="70"/>
  <c r="K134" i="70" s="1"/>
  <c r="G5" i="65"/>
  <c r="G160" i="65" s="1"/>
  <c r="F155" i="65"/>
  <c r="F165" i="65"/>
  <c r="W133" i="72"/>
  <c r="W134" i="72" s="1"/>
  <c r="H34" i="66" s="1"/>
  <c r="F154" i="65"/>
  <c r="F160" i="65"/>
  <c r="F162" i="65"/>
  <c r="F153" i="65"/>
  <c r="F161" i="65"/>
  <c r="E133" i="70"/>
  <c r="E134" i="70" s="1"/>
  <c r="H133" i="70"/>
  <c r="H134" i="70" s="1"/>
  <c r="G133" i="68"/>
  <c r="G134" i="68" s="1"/>
  <c r="R133" i="69"/>
  <c r="R134" i="69" s="1"/>
  <c r="P133" i="73"/>
  <c r="P134" i="73" s="1"/>
  <c r="J133" i="64"/>
  <c r="J134" i="64" s="1"/>
  <c r="F133" i="71"/>
  <c r="F134" i="71" s="1"/>
  <c r="F5" i="70"/>
  <c r="S133" i="73"/>
  <c r="S134" i="73" s="1"/>
  <c r="D35" i="66" s="1"/>
  <c r="R133" i="68"/>
  <c r="R134" i="68" s="1"/>
  <c r="E133" i="69"/>
  <c r="E134" i="69" s="1"/>
  <c r="K133" i="71"/>
  <c r="K134" i="71" s="1"/>
  <c r="O133" i="68"/>
  <c r="O134" i="68" s="1"/>
  <c r="F133" i="69"/>
  <c r="F134" i="69" s="1"/>
  <c r="AA133" i="71"/>
  <c r="AA134" i="71" s="1"/>
  <c r="L33" i="66" s="1"/>
  <c r="X133" i="71"/>
  <c r="X134" i="71" s="1"/>
  <c r="I33" i="66" s="1"/>
  <c r="H133" i="69"/>
  <c r="H134" i="69" s="1"/>
  <c r="AB133" i="71"/>
  <c r="AB134" i="71" s="1"/>
  <c r="M33" i="66" s="1"/>
  <c r="G133" i="70"/>
  <c r="G134" i="70" s="1"/>
  <c r="Q133" i="73"/>
  <c r="Q134" i="73" s="1"/>
  <c r="P133" i="71"/>
  <c r="P134" i="71" s="1"/>
  <c r="I133" i="71"/>
  <c r="I134" i="71" s="1"/>
  <c r="Y133" i="68"/>
  <c r="Y134" i="68" s="1"/>
  <c r="J19" i="66" s="1"/>
  <c r="H133" i="71"/>
  <c r="H134" i="71" s="1"/>
  <c r="P133" i="68"/>
  <c r="P134" i="68" s="1"/>
  <c r="AB133" i="68"/>
  <c r="AB134" i="68" s="1"/>
  <c r="M19" i="66" s="1"/>
  <c r="S133" i="69"/>
  <c r="N133" i="68"/>
  <c r="N134" i="68" s="1"/>
  <c r="N133" i="71"/>
  <c r="N134" i="71" s="1"/>
  <c r="T133" i="71"/>
  <c r="T134" i="71" s="1"/>
  <c r="E33" i="66" s="1"/>
  <c r="V133" i="71"/>
  <c r="V134" i="71" s="1"/>
  <c r="G33" i="66" s="1"/>
  <c r="G133" i="73"/>
  <c r="G134" i="73" s="1"/>
  <c r="Q133" i="71"/>
  <c r="Q134" i="71" s="1"/>
  <c r="W133" i="71"/>
  <c r="W134" i="71" s="1"/>
  <c r="H33" i="66" s="1"/>
  <c r="J133" i="73"/>
  <c r="J134" i="73" s="1"/>
  <c r="H133" i="73"/>
  <c r="H134" i="73" s="1"/>
  <c r="G133" i="71"/>
  <c r="G134" i="71" s="1"/>
  <c r="W133" i="68"/>
  <c r="W134" i="68" s="1"/>
  <c r="H19" i="66" s="1"/>
  <c r="R133" i="71"/>
  <c r="R134" i="71" s="1"/>
  <c r="O133" i="71"/>
  <c r="O134" i="71" s="1"/>
  <c r="F5" i="69"/>
  <c r="J133" i="68"/>
  <c r="J134" i="68" s="1"/>
  <c r="I133" i="68"/>
  <c r="I134" i="68" s="1"/>
  <c r="Z133" i="68"/>
  <c r="Z134" i="68" s="1"/>
  <c r="K19" i="66" s="1"/>
  <c r="M133" i="73"/>
  <c r="M134" i="73" s="1"/>
  <c r="K133" i="73"/>
  <c r="K134" i="73" s="1"/>
  <c r="L133" i="71"/>
  <c r="L134" i="71" s="1"/>
  <c r="N133" i="73"/>
  <c r="N134" i="73" s="1"/>
  <c r="M133" i="71"/>
  <c r="M134" i="71" s="1"/>
  <c r="S133" i="71"/>
  <c r="S134" i="71" s="1"/>
  <c r="D33" i="66" s="1"/>
  <c r="Q133" i="69"/>
  <c r="Q134" i="69" s="1"/>
  <c r="J133" i="71"/>
  <c r="J134" i="71" s="1"/>
  <c r="F5" i="71"/>
  <c r="F5" i="73"/>
  <c r="S133" i="70"/>
  <c r="M133" i="69"/>
  <c r="M134" i="69" s="1"/>
  <c r="L133" i="73"/>
  <c r="L134" i="73" s="1"/>
  <c r="L133" i="69"/>
  <c r="L134" i="69" s="1"/>
  <c r="O133" i="73"/>
  <c r="O134" i="73" s="1"/>
  <c r="J133" i="69"/>
  <c r="J134" i="69" s="1"/>
  <c r="K133" i="68"/>
  <c r="K134" i="68" s="1"/>
  <c r="K133" i="69"/>
  <c r="K134" i="69" s="1"/>
  <c r="H5" i="72"/>
  <c r="X133" i="68"/>
  <c r="X134" i="68" s="1"/>
  <c r="I19" i="66" s="1"/>
  <c r="S133" i="68"/>
  <c r="S134" i="68" s="1"/>
  <c r="D19" i="66" s="1"/>
  <c r="AA133" i="68"/>
  <c r="AA134" i="68" s="1"/>
  <c r="L19" i="66" s="1"/>
  <c r="U133" i="68"/>
  <c r="U134" i="68" s="1"/>
  <c r="F19" i="66" s="1"/>
  <c r="V133" i="68"/>
  <c r="V134" i="68" s="1"/>
  <c r="G19" i="66" s="1"/>
  <c r="M133" i="68"/>
  <c r="M134" i="68" s="1"/>
  <c r="T133" i="68"/>
  <c r="T134" i="68" s="1"/>
  <c r="E19" i="66" s="1"/>
  <c r="F156" i="65"/>
  <c r="F157" i="65"/>
  <c r="AB50" i="32"/>
  <c r="D67" i="52"/>
  <c r="AG74" i="32"/>
  <c r="AF73" i="32"/>
  <c r="Y66" i="32"/>
  <c r="X65" i="32"/>
  <c r="AH75" i="32"/>
  <c r="AE72" i="32"/>
  <c r="Z67" i="32"/>
  <c r="W64" i="32"/>
  <c r="AI76" i="32"/>
  <c r="AD71" i="32"/>
  <c r="R59" i="32"/>
  <c r="AL79" i="32"/>
  <c r="AA68" i="32"/>
  <c r="V63" i="32"/>
  <c r="S60" i="32"/>
  <c r="AK78" i="32"/>
  <c r="AB69" i="32"/>
  <c r="Q58" i="32"/>
  <c r="AC70" i="32"/>
  <c r="T61" i="32"/>
  <c r="U62" i="32"/>
  <c r="AJ77" i="32"/>
  <c r="P57" i="32"/>
  <c r="AK66" i="32"/>
  <c r="AJ65" i="32"/>
  <c r="AL67" i="32"/>
  <c r="AI64" i="32"/>
  <c r="AD59" i="32"/>
  <c r="AH63" i="32"/>
  <c r="AE60" i="32"/>
  <c r="AG62" i="32"/>
  <c r="AC58" i="32"/>
  <c r="AB57" i="32"/>
  <c r="AF61" i="32"/>
  <c r="AI79" i="32"/>
  <c r="AF76" i="32"/>
  <c r="AA71" i="32"/>
  <c r="X68" i="32"/>
  <c r="AL82" i="32"/>
  <c r="AK81" i="32"/>
  <c r="AD74" i="32"/>
  <c r="AC73" i="32"/>
  <c r="V66" i="32"/>
  <c r="U65" i="32"/>
  <c r="AG77" i="32"/>
  <c r="Z70" i="32"/>
  <c r="N58" i="32"/>
  <c r="AH78" i="32"/>
  <c r="Y69" i="32"/>
  <c r="R62" i="32"/>
  <c r="Q61" i="32"/>
  <c r="AJ80" i="32"/>
  <c r="W67" i="32"/>
  <c r="T64" i="32"/>
  <c r="S63" i="32"/>
  <c r="P60" i="32"/>
  <c r="M57" i="32"/>
  <c r="AE75" i="32"/>
  <c r="AB72" i="32"/>
  <c r="O59" i="32"/>
  <c r="AJ76" i="32"/>
  <c r="AE71" i="32"/>
  <c r="AB68" i="32"/>
  <c r="AH74" i="32"/>
  <c r="AG73" i="32"/>
  <c r="Z66" i="32"/>
  <c r="Y65" i="32"/>
  <c r="AL78" i="32"/>
  <c r="AC69" i="32"/>
  <c r="R58" i="32"/>
  <c r="AK77" i="32"/>
  <c r="AD70" i="32"/>
  <c r="V62" i="32"/>
  <c r="U61" i="32"/>
  <c r="AI75" i="32"/>
  <c r="AF72" i="32"/>
  <c r="W63" i="32"/>
  <c r="T60" i="32"/>
  <c r="AA67" i="32"/>
  <c r="X64" i="32"/>
  <c r="S59" i="32"/>
  <c r="Q57" i="32"/>
  <c r="AI71" i="32"/>
  <c r="AF68" i="32"/>
  <c r="AL74" i="32"/>
  <c r="AK73" i="32"/>
  <c r="AD66" i="32"/>
  <c r="AC65" i="32"/>
  <c r="AH70" i="32"/>
  <c r="V58" i="32"/>
  <c r="AG69" i="32"/>
  <c r="Z62" i="32"/>
  <c r="Y61" i="32"/>
  <c r="AE67" i="32"/>
  <c r="AB64" i="32"/>
  <c r="AA63" i="32"/>
  <c r="X60" i="32"/>
  <c r="AJ72" i="32"/>
  <c r="W59" i="32"/>
  <c r="U57" i="32"/>
  <c r="AJ68" i="32"/>
  <c r="AH66" i="32"/>
  <c r="AG65" i="32"/>
  <c r="AK69" i="32"/>
  <c r="AL70" i="32"/>
  <c r="AD62" i="32"/>
  <c r="AC61" i="32"/>
  <c r="AE63" i="32"/>
  <c r="AB60" i="32"/>
  <c r="Y57" i="32"/>
  <c r="AI67" i="32"/>
  <c r="AA59" i="32"/>
  <c r="AF64" i="32"/>
  <c r="Z58" i="32"/>
  <c r="AL66" i="32"/>
  <c r="AK65" i="32"/>
  <c r="AH62" i="32"/>
  <c r="AG61" i="32"/>
  <c r="AI63" i="32"/>
  <c r="AF60" i="32"/>
  <c r="AJ64" i="32"/>
  <c r="AD58" i="32"/>
  <c r="AE59" i="32"/>
  <c r="AC57" i="32"/>
  <c r="AL62" i="32"/>
  <c r="AK61" i="32"/>
  <c r="AJ60" i="32"/>
  <c r="AH58" i="32"/>
  <c r="AI59" i="32"/>
  <c r="AG57" i="32"/>
  <c r="AK57" i="32"/>
  <c r="AL58" i="32"/>
  <c r="AK82" i="32"/>
  <c r="AJ81" i="32"/>
  <c r="AC74" i="32"/>
  <c r="AB73" i="32"/>
  <c r="U66" i="32"/>
  <c r="T65" i="32"/>
  <c r="AL83" i="32"/>
  <c r="AI80" i="32"/>
  <c r="AD75" i="32"/>
  <c r="AA72" i="32"/>
  <c r="V67" i="32"/>
  <c r="S64" i="32"/>
  <c r="AH79" i="32"/>
  <c r="W68" i="32"/>
  <c r="N59" i="32"/>
  <c r="AE76" i="32"/>
  <c r="Z71" i="32"/>
  <c r="R63" i="32"/>
  <c r="O60" i="32"/>
  <c r="AF77" i="32"/>
  <c r="Y70" i="32"/>
  <c r="M58" i="32"/>
  <c r="AG78" i="32"/>
  <c r="Q62" i="32"/>
  <c r="P61" i="32"/>
  <c r="X69" i="32"/>
  <c r="L57" i="32"/>
  <c r="AG66" i="32"/>
  <c r="AF65" i="32"/>
  <c r="AH67" i="32"/>
  <c r="AE64" i="32"/>
  <c r="AL71" i="32"/>
  <c r="Z59" i="32"/>
  <c r="AI68" i="32"/>
  <c r="AD63" i="32"/>
  <c r="AA60" i="32"/>
  <c r="AJ69" i="32"/>
  <c r="AK70" i="32"/>
  <c r="AC62" i="32"/>
  <c r="AB61" i="32"/>
  <c r="Y58" i="32"/>
  <c r="X57" i="32"/>
  <c r="AL59" i="32"/>
  <c r="AK58" i="32"/>
  <c r="AJ57" i="32"/>
  <c r="AI82" i="32"/>
  <c r="AI78" i="32"/>
  <c r="AH77" i="32"/>
  <c r="AA70" i="32"/>
  <c r="Z69" i="32"/>
  <c r="AJ79" i="32"/>
  <c r="AG76" i="32"/>
  <c r="AB71" i="32"/>
  <c r="Y68" i="32"/>
  <c r="AK80" i="32"/>
  <c r="X67" i="32"/>
  <c r="U64" i="32"/>
  <c r="T63" i="32"/>
  <c r="Q60" i="32"/>
  <c r="AF75" i="32"/>
  <c r="AC72" i="32"/>
  <c r="P59" i="32"/>
  <c r="AL81" i="32"/>
  <c r="W66" i="32"/>
  <c r="V65" i="32"/>
  <c r="S62" i="32"/>
  <c r="R61" i="32"/>
  <c r="N57" i="32"/>
  <c r="AE74" i="32"/>
  <c r="AD73" i="32"/>
  <c r="O58" i="32"/>
  <c r="AL77" i="32"/>
  <c r="AE70" i="32"/>
  <c r="AD69" i="32"/>
  <c r="AK76" i="32"/>
  <c r="AF71" i="32"/>
  <c r="AC68" i="32"/>
  <c r="AJ75" i="32"/>
  <c r="AG72" i="32"/>
  <c r="X63" i="32"/>
  <c r="U60" i="32"/>
  <c r="AB67" i="32"/>
  <c r="Y64" i="32"/>
  <c r="T59" i="32"/>
  <c r="AI74" i="32"/>
  <c r="AH73" i="32"/>
  <c r="W62" i="32"/>
  <c r="V61" i="32"/>
  <c r="R57" i="32"/>
  <c r="S58" i="32"/>
  <c r="AA66" i="32"/>
  <c r="Z65" i="32"/>
  <c r="AI70" i="32"/>
  <c r="AH69" i="32"/>
  <c r="AJ71" i="32"/>
  <c r="AG68" i="32"/>
  <c r="AF67" i="32"/>
  <c r="AC64" i="32"/>
  <c r="AB63" i="32"/>
  <c r="Y60" i="32"/>
  <c r="AK72" i="32"/>
  <c r="X59" i="32"/>
  <c r="AE66" i="32"/>
  <c r="AD65" i="32"/>
  <c r="AA62" i="32"/>
  <c r="Z61" i="32"/>
  <c r="W58" i="32"/>
  <c r="V57" i="32"/>
  <c r="AL73" i="32"/>
  <c r="AL69" i="32"/>
  <c r="AK68" i="32"/>
  <c r="AF63" i="32"/>
  <c r="AC60" i="32"/>
  <c r="AJ67" i="32"/>
  <c r="AG64" i="32"/>
  <c r="AB59" i="32"/>
  <c r="AE62" i="32"/>
  <c r="AD61" i="32"/>
  <c r="AI66" i="32"/>
  <c r="AA58" i="32"/>
  <c r="Z57" i="32"/>
  <c r="AH65" i="32"/>
  <c r="AJ63" i="32"/>
  <c r="AG60" i="32"/>
  <c r="AK64" i="32"/>
  <c r="AF59" i="32"/>
  <c r="AL65" i="32"/>
  <c r="AI62" i="32"/>
  <c r="AH61" i="32"/>
  <c r="AE58" i="32"/>
  <c r="AD57" i="32"/>
  <c r="AK60" i="32"/>
  <c r="AJ59" i="32"/>
  <c r="AL61" i="32"/>
  <c r="AI58" i="32"/>
  <c r="AH57" i="32"/>
  <c r="AL57" i="32"/>
  <c r="AK74" i="32"/>
  <c r="AJ73" i="32"/>
  <c r="AC66" i="32"/>
  <c r="AB65" i="32"/>
  <c r="AL75" i="32"/>
  <c r="AI72" i="32"/>
  <c r="AD67" i="32"/>
  <c r="AA64" i="32"/>
  <c r="AE68" i="32"/>
  <c r="V59" i="32"/>
  <c r="AH71" i="32"/>
  <c r="Z63" i="32"/>
  <c r="W60" i="32"/>
  <c r="AG70" i="32"/>
  <c r="U58" i="32"/>
  <c r="X61" i="32"/>
  <c r="AF69" i="32"/>
  <c r="Y62" i="32"/>
  <c r="T57" i="32"/>
  <c r="AH59" i="32"/>
  <c r="AL63" i="32"/>
  <c r="AI60" i="32"/>
  <c r="AJ61" i="32"/>
  <c r="AK62" i="32"/>
  <c r="AG58" i="32"/>
  <c r="AF57" i="32"/>
  <c r="AK83" i="32"/>
  <c r="AH80" i="32"/>
  <c r="AC75" i="32"/>
  <c r="Z72" i="32"/>
  <c r="U67" i="32"/>
  <c r="R64" i="32"/>
  <c r="AF78" i="32"/>
  <c r="AE77" i="32"/>
  <c r="X70" i="32"/>
  <c r="W69" i="32"/>
  <c r="AB74" i="32"/>
  <c r="AA73" i="32"/>
  <c r="P62" i="32"/>
  <c r="O61" i="32"/>
  <c r="AJ82" i="32"/>
  <c r="AI81" i="32"/>
  <c r="T66" i="32"/>
  <c r="S65" i="32"/>
  <c r="L58" i="32"/>
  <c r="AL84" i="32"/>
  <c r="AG79" i="32"/>
  <c r="V68" i="32"/>
  <c r="M59" i="32"/>
  <c r="Y71" i="32"/>
  <c r="Q63" i="32"/>
  <c r="K57" i="32"/>
  <c r="N60" i="32"/>
  <c r="AD76" i="32"/>
  <c r="AL80" i="32"/>
  <c r="AG75" i="32"/>
  <c r="AD72" i="32"/>
  <c r="Y67" i="32"/>
  <c r="V64" i="32"/>
  <c r="AJ78" i="32"/>
  <c r="AI77" i="32"/>
  <c r="AB70" i="32"/>
  <c r="AA69" i="32"/>
  <c r="X66" i="32"/>
  <c r="W65" i="32"/>
  <c r="T62" i="32"/>
  <c r="S61" i="32"/>
  <c r="AF74" i="32"/>
  <c r="AE73" i="32"/>
  <c r="P58" i="32"/>
  <c r="AH76" i="32"/>
  <c r="AC71" i="32"/>
  <c r="Q59" i="32"/>
  <c r="AK79" i="32"/>
  <c r="Z68" i="32"/>
  <c r="O57" i="32"/>
  <c r="R60" i="32"/>
  <c r="U63" i="32"/>
  <c r="AK75" i="32"/>
  <c r="AH72" i="32"/>
  <c r="AC67" i="32"/>
  <c r="Z64" i="32"/>
  <c r="AF70" i="32"/>
  <c r="AE69" i="32"/>
  <c r="AJ74" i="32"/>
  <c r="AI73" i="32"/>
  <c r="X62" i="32"/>
  <c r="W61" i="32"/>
  <c r="AB66" i="32"/>
  <c r="AA65" i="32"/>
  <c r="T58" i="32"/>
  <c r="AD68" i="32"/>
  <c r="U59" i="32"/>
  <c r="AL76" i="32"/>
  <c r="V60" i="32"/>
  <c r="Y63" i="32"/>
  <c r="S57" i="32"/>
  <c r="AG71" i="32"/>
  <c r="AL72" i="32"/>
  <c r="AG67" i="32"/>
  <c r="AD64" i="32"/>
  <c r="AJ70" i="32"/>
  <c r="AI69" i="32"/>
  <c r="AF66" i="32"/>
  <c r="AE65" i="32"/>
  <c r="AB62" i="32"/>
  <c r="AA61" i="32"/>
  <c r="AK71" i="32"/>
  <c r="Y59" i="32"/>
  <c r="AC63" i="32"/>
  <c r="Z60" i="32"/>
  <c r="X58" i="32"/>
  <c r="W57" i="32"/>
  <c r="AH68" i="32"/>
  <c r="AK67" i="32"/>
  <c r="AF62" i="32"/>
  <c r="AE61" i="32"/>
  <c r="AJ66" i="32"/>
  <c r="AI65" i="32"/>
  <c r="AL68" i="32"/>
  <c r="AH64" i="32"/>
  <c r="AC59" i="32"/>
  <c r="AG63" i="32"/>
  <c r="AB58" i="32"/>
  <c r="AA57" i="32"/>
  <c r="AD60" i="32"/>
  <c r="AJ62" i="32"/>
  <c r="AI61" i="32"/>
  <c r="AL64" i="32"/>
  <c r="AG59" i="32"/>
  <c r="AH60" i="32"/>
  <c r="AF58" i="32"/>
  <c r="AE57" i="32"/>
  <c r="AK63" i="32"/>
  <c r="AK59" i="32"/>
  <c r="AL60" i="32"/>
  <c r="AJ58" i="32"/>
  <c r="AI57" i="32"/>
  <c r="O62" i="32"/>
  <c r="M56" i="32"/>
  <c r="J53" i="32"/>
  <c r="G50" i="32"/>
  <c r="I52" i="32"/>
  <c r="H51" i="32"/>
  <c r="L55" i="32"/>
  <c r="K54" i="32"/>
  <c r="Q56" i="32"/>
  <c r="N53" i="32"/>
  <c r="K50" i="32"/>
  <c r="P55" i="32"/>
  <c r="L51" i="32"/>
  <c r="O54" i="32"/>
  <c r="M52" i="32"/>
  <c r="AC56" i="32"/>
  <c r="Z53" i="32"/>
  <c r="W50" i="32"/>
  <c r="AB55" i="32"/>
  <c r="X51" i="32"/>
  <c r="AA54" i="32"/>
  <c r="Y52" i="32"/>
  <c r="AK56" i="32"/>
  <c r="AJ55" i="32"/>
  <c r="AH53" i="32"/>
  <c r="AE50" i="32"/>
  <c r="AG52" i="32"/>
  <c r="AF51" i="32"/>
  <c r="AI54" i="32"/>
  <c r="AL53" i="32"/>
  <c r="AI50" i="32"/>
  <c r="AJ51" i="32"/>
  <c r="AK52" i="32"/>
  <c r="I54" i="32"/>
  <c r="G52" i="32"/>
  <c r="F51" i="32"/>
  <c r="E50" i="32"/>
  <c r="H53" i="32"/>
  <c r="K56" i="32"/>
  <c r="J55" i="32"/>
  <c r="S56" i="32"/>
  <c r="Q54" i="32"/>
  <c r="O52" i="32"/>
  <c r="N51" i="32"/>
  <c r="R55" i="32"/>
  <c r="P53" i="32"/>
  <c r="M50" i="32"/>
  <c r="AA56" i="32"/>
  <c r="Y54" i="32"/>
  <c r="Z55" i="32"/>
  <c r="W52" i="32"/>
  <c r="V51" i="32"/>
  <c r="X53" i="32"/>
  <c r="U50" i="32"/>
  <c r="AK54" i="32"/>
  <c r="AL55" i="32"/>
  <c r="AI52" i="32"/>
  <c r="AH51" i="32"/>
  <c r="AJ53" i="32"/>
  <c r="AG50" i="32"/>
  <c r="H52" i="32"/>
  <c r="G51" i="32"/>
  <c r="I53" i="32"/>
  <c r="F50" i="32"/>
  <c r="L56" i="32"/>
  <c r="K55" i="32"/>
  <c r="J54" i="32"/>
  <c r="L52" i="32"/>
  <c r="K51" i="32"/>
  <c r="M53" i="32"/>
  <c r="J50" i="32"/>
  <c r="P56" i="32"/>
  <c r="N54" i="32"/>
  <c r="O55" i="32"/>
  <c r="T56" i="32"/>
  <c r="P52" i="32"/>
  <c r="O51" i="32"/>
  <c r="R54" i="32"/>
  <c r="Q53" i="32"/>
  <c r="N50" i="32"/>
  <c r="S55" i="32"/>
  <c r="X56" i="32"/>
  <c r="T52" i="32"/>
  <c r="S51" i="32"/>
  <c r="U53" i="32"/>
  <c r="R50" i="32"/>
  <c r="W55" i="32"/>
  <c r="V54" i="32"/>
  <c r="AB56" i="32"/>
  <c r="X52" i="32"/>
  <c r="W51" i="32"/>
  <c r="Y53" i="32"/>
  <c r="V50" i="32"/>
  <c r="Z54" i="32"/>
  <c r="AA55" i="32"/>
  <c r="AF56" i="32"/>
  <c r="AB52" i="32"/>
  <c r="AA51" i="32"/>
  <c r="AD54" i="32"/>
  <c r="AC53" i="32"/>
  <c r="Z50" i="32"/>
  <c r="AE55" i="32"/>
  <c r="AJ56" i="32"/>
  <c r="AF52" i="32"/>
  <c r="AE51" i="32"/>
  <c r="AI55" i="32"/>
  <c r="AG53" i="32"/>
  <c r="AD50" i="32"/>
  <c r="AH54" i="32"/>
  <c r="AJ52" i="32"/>
  <c r="AI51" i="32"/>
  <c r="AK53" i="32"/>
  <c r="AH50" i="32"/>
  <c r="AL54" i="32"/>
  <c r="AL50" i="32"/>
  <c r="W70" i="32"/>
  <c r="J56" i="32"/>
  <c r="I55" i="32"/>
  <c r="G53" i="32"/>
  <c r="H54" i="32"/>
  <c r="D50" i="32"/>
  <c r="F52" i="32"/>
  <c r="E51" i="32"/>
  <c r="M55" i="32"/>
  <c r="N56" i="32"/>
  <c r="L54" i="32"/>
  <c r="J52" i="32"/>
  <c r="I51" i="32"/>
  <c r="K53" i="32"/>
  <c r="H50" i="32"/>
  <c r="Q55" i="32"/>
  <c r="O53" i="32"/>
  <c r="P54" i="32"/>
  <c r="L50" i="32"/>
  <c r="R56" i="32"/>
  <c r="N52" i="32"/>
  <c r="M51" i="32"/>
  <c r="U55" i="32"/>
  <c r="P50" i="32"/>
  <c r="V56" i="32"/>
  <c r="T54" i="32"/>
  <c r="S53" i="32"/>
  <c r="R52" i="32"/>
  <c r="Q51" i="32"/>
  <c r="Z56" i="32"/>
  <c r="Y55" i="32"/>
  <c r="X54" i="32"/>
  <c r="V52" i="32"/>
  <c r="U51" i="32"/>
  <c r="W53" i="32"/>
  <c r="T50" i="32"/>
  <c r="AC55" i="32"/>
  <c r="AD56" i="32"/>
  <c r="AA53" i="32"/>
  <c r="AB54" i="32"/>
  <c r="X50" i="32"/>
  <c r="Z52" i="32"/>
  <c r="Y51" i="32"/>
  <c r="AG55" i="32"/>
  <c r="AF54" i="32"/>
  <c r="AE53" i="32"/>
  <c r="AH56" i="32"/>
  <c r="AD52" i="32"/>
  <c r="AC51" i="32"/>
  <c r="AL56" i="32"/>
  <c r="AJ54" i="32"/>
  <c r="AK55" i="32"/>
  <c r="AH52" i="32"/>
  <c r="AG51" i="32"/>
  <c r="AI53" i="32"/>
  <c r="AF50" i="32"/>
  <c r="AJ50" i="32"/>
  <c r="AL52" i="32"/>
  <c r="AK51" i="32"/>
  <c r="AK84" i="32"/>
  <c r="AJ83" i="32"/>
  <c r="AC76" i="32"/>
  <c r="AB75" i="32"/>
  <c r="AL85" i="32"/>
  <c r="AL42" i="32" s="1"/>
  <c r="AD77" i="32"/>
  <c r="AA74" i="32"/>
  <c r="V69" i="32"/>
  <c r="R65" i="32"/>
  <c r="AG80" i="32"/>
  <c r="AF79" i="32"/>
  <c r="Y72" i="32"/>
  <c r="X71" i="32"/>
  <c r="AH81" i="32"/>
  <c r="AE78" i="32"/>
  <c r="Z73" i="32"/>
  <c r="S66" i="32"/>
  <c r="Q64" i="32"/>
  <c r="P63" i="32"/>
  <c r="M60" i="32"/>
  <c r="L59" i="32"/>
  <c r="K58" i="32"/>
  <c r="U68" i="32"/>
  <c r="T67" i="32"/>
  <c r="N61" i="32"/>
  <c r="I56" i="32"/>
  <c r="J57" i="32"/>
  <c r="F53" i="32"/>
  <c r="C50" i="32"/>
  <c r="H55" i="32"/>
  <c r="E52" i="32"/>
  <c r="G54" i="32"/>
  <c r="D51" i="32"/>
  <c r="U56" i="32"/>
  <c r="R53" i="32"/>
  <c r="O50" i="32"/>
  <c r="T55" i="32"/>
  <c r="Q52" i="32"/>
  <c r="S54" i="32"/>
  <c r="P51" i="32"/>
  <c r="Y56" i="32"/>
  <c r="V53" i="32"/>
  <c r="S50" i="32"/>
  <c r="U52" i="32"/>
  <c r="T51" i="32"/>
  <c r="X55" i="32"/>
  <c r="W54" i="32"/>
  <c r="AG56" i="32"/>
  <c r="AF55" i="32"/>
  <c r="AD53" i="32"/>
  <c r="AA50" i="32"/>
  <c r="AC52" i="32"/>
  <c r="AE54" i="32"/>
  <c r="AB51" i="32"/>
  <c r="O56" i="32"/>
  <c r="M54" i="32"/>
  <c r="I50" i="32"/>
  <c r="N55" i="32"/>
  <c r="K52" i="32"/>
  <c r="J51" i="32"/>
  <c r="L53" i="32"/>
  <c r="W56" i="32"/>
  <c r="U54" i="32"/>
  <c r="S52" i="32"/>
  <c r="R51" i="32"/>
  <c r="T53" i="32"/>
  <c r="Q50" i="32"/>
  <c r="V55" i="32"/>
  <c r="AE56" i="32"/>
  <c r="AC54" i="32"/>
  <c r="AA52" i="32"/>
  <c r="Z51" i="32"/>
  <c r="AD55" i="32"/>
  <c r="AB53" i="32"/>
  <c r="Y50" i="32"/>
  <c r="AI56" i="32"/>
  <c r="AH55" i="32"/>
  <c r="AG54" i="32"/>
  <c r="AE52" i="32"/>
  <c r="AD51" i="32"/>
  <c r="AF53" i="32"/>
  <c r="AC50" i="32"/>
  <c r="AL51" i="32"/>
  <c r="AK50" i="32"/>
  <c r="H133" i="65" l="1"/>
  <c r="H134" i="65" s="1"/>
  <c r="K133" i="65"/>
  <c r="K134" i="65" s="1"/>
  <c r="K133" i="64"/>
  <c r="K134" i="64" s="1"/>
  <c r="M133" i="65"/>
  <c r="M134" i="65" s="1"/>
  <c r="J133" i="65"/>
  <c r="J134" i="65" s="1"/>
  <c r="G133" i="65"/>
  <c r="G134" i="65" s="1"/>
  <c r="R133" i="65"/>
  <c r="N133" i="65"/>
  <c r="N134" i="65" s="1"/>
  <c r="E163" i="68"/>
  <c r="E165" i="68"/>
  <c r="E164" i="68"/>
  <c r="F5" i="68"/>
  <c r="E155" i="68"/>
  <c r="E154" i="68"/>
  <c r="E156" i="68"/>
  <c r="E158" i="68"/>
  <c r="E161" i="68"/>
  <c r="E159" i="68"/>
  <c r="E160" i="68"/>
  <c r="E162" i="68"/>
  <c r="E153" i="68"/>
  <c r="E157" i="68"/>
  <c r="U134" i="73"/>
  <c r="F35" i="66" s="1"/>
  <c r="N28" i="66"/>
  <c r="V71" i="73"/>
  <c r="V178" i="73"/>
  <c r="V182" i="73" s="1"/>
  <c r="V168" i="73"/>
  <c r="V177" i="73"/>
  <c r="G32" i="66"/>
  <c r="V171" i="73"/>
  <c r="V172" i="73"/>
  <c r="V176" i="73"/>
  <c r="V72" i="73"/>
  <c r="V170" i="73"/>
  <c r="V175" i="73"/>
  <c r="V169" i="73"/>
  <c r="V180" i="73"/>
  <c r="V184" i="73" s="1"/>
  <c r="V174" i="73"/>
  <c r="V179" i="73"/>
  <c r="V183" i="73" s="1"/>
  <c r="V173" i="73"/>
  <c r="V73" i="73"/>
  <c r="V70" i="73"/>
  <c r="S133" i="65"/>
  <c r="N19" i="66"/>
  <c r="N34" i="66"/>
  <c r="H153" i="72"/>
  <c r="H157" i="72"/>
  <c r="H161" i="72"/>
  <c r="H154" i="72"/>
  <c r="H158" i="72"/>
  <c r="H156" i="72"/>
  <c r="H160" i="72"/>
  <c r="H164" i="72"/>
  <c r="H155" i="72"/>
  <c r="H159" i="72"/>
  <c r="H163" i="72"/>
  <c r="H162" i="72"/>
  <c r="H165" i="72"/>
  <c r="F153" i="71"/>
  <c r="F157" i="71"/>
  <c r="F161" i="71"/>
  <c r="F154" i="71"/>
  <c r="F158" i="71"/>
  <c r="F162" i="71"/>
  <c r="F163" i="71"/>
  <c r="F155" i="71"/>
  <c r="F159" i="71"/>
  <c r="F164" i="71"/>
  <c r="F156" i="71"/>
  <c r="F160" i="71"/>
  <c r="F165" i="71"/>
  <c r="F165" i="69"/>
  <c r="F164" i="69"/>
  <c r="F162" i="69"/>
  <c r="F159" i="69"/>
  <c r="F154" i="69"/>
  <c r="F161" i="69"/>
  <c r="F160" i="69"/>
  <c r="F156" i="69"/>
  <c r="F157" i="69"/>
  <c r="F155" i="69"/>
  <c r="F163" i="69"/>
  <c r="F153" i="69"/>
  <c r="F158" i="69"/>
  <c r="N33" i="66"/>
  <c r="S140" i="69"/>
  <c r="S144" i="69"/>
  <c r="S149" i="69"/>
  <c r="D25" i="66" s="1"/>
  <c r="S138" i="69"/>
  <c r="S141" i="69"/>
  <c r="S145" i="69"/>
  <c r="S148" i="69"/>
  <c r="S132" i="69" s="1"/>
  <c r="S142" i="69"/>
  <c r="S147" i="69"/>
  <c r="S139" i="69"/>
  <c r="S143" i="69"/>
  <c r="S146" i="69"/>
  <c r="V23" i="69"/>
  <c r="Z23" i="69"/>
  <c r="S150" i="69"/>
  <c r="D24" i="66" s="1"/>
  <c r="W23" i="69"/>
  <c r="AA23" i="69"/>
  <c r="S23" i="69"/>
  <c r="T23" i="69"/>
  <c r="X23" i="69"/>
  <c r="AB23" i="69"/>
  <c r="AB92" i="69" s="1"/>
  <c r="AB120" i="69" s="1"/>
  <c r="AB131" i="69" s="1"/>
  <c r="U23" i="69"/>
  <c r="Y23" i="69"/>
  <c r="F153" i="73"/>
  <c r="F156" i="73"/>
  <c r="F160" i="73"/>
  <c r="F164" i="73"/>
  <c r="F157" i="73"/>
  <c r="F161" i="73"/>
  <c r="F165" i="73"/>
  <c r="F154" i="73"/>
  <c r="F158" i="73"/>
  <c r="F162" i="73"/>
  <c r="F155" i="73"/>
  <c r="F159" i="73"/>
  <c r="F163" i="73"/>
  <c r="F155" i="70"/>
  <c r="F159" i="70"/>
  <c r="F163" i="70"/>
  <c r="F156" i="70"/>
  <c r="F160" i="70"/>
  <c r="F164" i="70"/>
  <c r="F153" i="70"/>
  <c r="F157" i="70"/>
  <c r="F161" i="70"/>
  <c r="F165" i="70"/>
  <c r="F154" i="70"/>
  <c r="F158" i="70"/>
  <c r="F162" i="70"/>
  <c r="Q133" i="65"/>
  <c r="Q134" i="65" s="1"/>
  <c r="L133" i="65"/>
  <c r="L134" i="65" s="1"/>
  <c r="G164" i="65"/>
  <c r="F164" i="64"/>
  <c r="F165" i="64"/>
  <c r="F155" i="64"/>
  <c r="F154" i="64"/>
  <c r="F158" i="64"/>
  <c r="F157" i="64"/>
  <c r="F162" i="64"/>
  <c r="F163" i="64"/>
  <c r="F153" i="64"/>
  <c r="G5" i="64"/>
  <c r="F160" i="64"/>
  <c r="F161" i="64"/>
  <c r="F159" i="64"/>
  <c r="F156" i="64"/>
  <c r="G155" i="65"/>
  <c r="H5" i="65"/>
  <c r="H161" i="65" s="1"/>
  <c r="G163" i="65"/>
  <c r="G154" i="65"/>
  <c r="G165" i="65"/>
  <c r="G153" i="65"/>
  <c r="G162" i="65"/>
  <c r="G156" i="65"/>
  <c r="G157" i="65"/>
  <c r="G158" i="65"/>
  <c r="G159" i="65"/>
  <c r="G161" i="65"/>
  <c r="G5" i="70"/>
  <c r="G5" i="69"/>
  <c r="G5" i="71"/>
  <c r="G5" i="73"/>
  <c r="I5" i="72"/>
  <c r="D72" i="52"/>
  <c r="D71" i="52"/>
  <c r="D73" i="52"/>
  <c r="D70" i="52"/>
  <c r="D180" i="52"/>
  <c r="D184" i="52" s="1"/>
  <c r="D178" i="52"/>
  <c r="D182" i="52" s="1"/>
  <c r="D179" i="52"/>
  <c r="D183" i="52" s="1"/>
  <c r="D177" i="52"/>
  <c r="D173" i="52"/>
  <c r="D176" i="52"/>
  <c r="D172" i="52"/>
  <c r="D169" i="52"/>
  <c r="D175" i="52"/>
  <c r="D171" i="52"/>
  <c r="D168" i="52"/>
  <c r="D174" i="52"/>
  <c r="D170" i="52"/>
  <c r="T67" i="52"/>
  <c r="E2" i="66" s="1"/>
  <c r="E2" i="76" s="1"/>
  <c r="W117" i="52"/>
  <c r="G67" i="52"/>
  <c r="V67" i="52"/>
  <c r="G2" i="66" s="1"/>
  <c r="G2" i="76" s="1"/>
  <c r="W108" i="52"/>
  <c r="H67" i="52"/>
  <c r="Q67" i="52"/>
  <c r="AA109" i="52"/>
  <c r="Z109" i="52"/>
  <c r="Y109" i="52"/>
  <c r="L109" i="52"/>
  <c r="K109" i="52"/>
  <c r="J109" i="52"/>
  <c r="I109" i="52"/>
  <c r="T109" i="52"/>
  <c r="AB109" i="52"/>
  <c r="V109" i="52"/>
  <c r="X109" i="52"/>
  <c r="Q109" i="52"/>
  <c r="W109" i="52"/>
  <c r="M109" i="52"/>
  <c r="O109" i="52"/>
  <c r="R109" i="52"/>
  <c r="P109" i="52"/>
  <c r="S109" i="52"/>
  <c r="U109" i="52"/>
  <c r="H109" i="52"/>
  <c r="N109" i="52"/>
  <c r="AB107" i="52"/>
  <c r="Q107" i="52"/>
  <c r="I107" i="52"/>
  <c r="G107" i="52"/>
  <c r="R107" i="52"/>
  <c r="O107" i="52"/>
  <c r="Z107" i="52"/>
  <c r="Y107" i="52"/>
  <c r="W107" i="52"/>
  <c r="K107" i="52"/>
  <c r="S107" i="52"/>
  <c r="N107" i="52"/>
  <c r="P107" i="52"/>
  <c r="M107" i="52"/>
  <c r="AA107" i="52"/>
  <c r="F107" i="52"/>
  <c r="H107" i="52"/>
  <c r="U107" i="52"/>
  <c r="L107" i="52"/>
  <c r="T107" i="52"/>
  <c r="V107" i="52"/>
  <c r="X107" i="52"/>
  <c r="J107" i="52"/>
  <c r="T110" i="52"/>
  <c r="K110" i="52"/>
  <c r="P110" i="52"/>
  <c r="U110" i="52"/>
  <c r="V110" i="52"/>
  <c r="AA110" i="52"/>
  <c r="N110" i="52"/>
  <c r="R110" i="52"/>
  <c r="Z110" i="52"/>
  <c r="W110" i="52"/>
  <c r="I110" i="52"/>
  <c r="O110" i="52"/>
  <c r="M110" i="52"/>
  <c r="S110" i="52"/>
  <c r="L110" i="52"/>
  <c r="Y110" i="52"/>
  <c r="X110" i="52"/>
  <c r="Q110" i="52"/>
  <c r="AB110" i="52"/>
  <c r="J110" i="52"/>
  <c r="X67" i="52"/>
  <c r="I2" i="66" s="1"/>
  <c r="I2" i="76" s="1"/>
  <c r="K67" i="52"/>
  <c r="U67" i="52"/>
  <c r="F2" i="66" s="1"/>
  <c r="F2" i="76" s="1"/>
  <c r="AB115" i="52"/>
  <c r="AB114" i="52"/>
  <c r="F67" i="52"/>
  <c r="N67" i="52"/>
  <c r="Q112" i="52"/>
  <c r="Y105" i="52"/>
  <c r="V111" i="52"/>
  <c r="Y67" i="52"/>
  <c r="J2" i="66" s="1"/>
  <c r="J2" i="76" s="1"/>
  <c r="Z67" i="52"/>
  <c r="K2" i="66" s="1"/>
  <c r="K2" i="76" s="1"/>
  <c r="M67" i="52"/>
  <c r="J67" i="52"/>
  <c r="Q104" i="52"/>
  <c r="Z104" i="52"/>
  <c r="C131" i="52"/>
  <c r="J104" i="52"/>
  <c r="R104" i="52"/>
  <c r="X104" i="52"/>
  <c r="V104" i="52"/>
  <c r="AB104" i="52"/>
  <c r="W104" i="52"/>
  <c r="K104" i="52"/>
  <c r="E104" i="52"/>
  <c r="O104" i="52"/>
  <c r="I104" i="52"/>
  <c r="N104" i="52"/>
  <c r="D104" i="52"/>
  <c r="AA104" i="52"/>
  <c r="U104" i="52"/>
  <c r="Y104" i="52"/>
  <c r="T104" i="52"/>
  <c r="H104" i="52"/>
  <c r="F104" i="52"/>
  <c r="L104" i="52"/>
  <c r="M104" i="52"/>
  <c r="G104" i="52"/>
  <c r="AA108" i="52"/>
  <c r="Q108" i="52"/>
  <c r="T108" i="52"/>
  <c r="G108" i="52"/>
  <c r="Y108" i="52"/>
  <c r="J108" i="52"/>
  <c r="H108" i="52"/>
  <c r="K108" i="52"/>
  <c r="L108" i="52"/>
  <c r="V108" i="52"/>
  <c r="P108" i="52"/>
  <c r="Z108" i="52"/>
  <c r="N108" i="52"/>
  <c r="X108" i="52"/>
  <c r="AB108" i="52"/>
  <c r="O108" i="52"/>
  <c r="M108" i="52"/>
  <c r="S108" i="52"/>
  <c r="U108" i="52"/>
  <c r="I108" i="52"/>
  <c r="R108" i="52"/>
  <c r="U114" i="52"/>
  <c r="S114" i="52"/>
  <c r="M114" i="52"/>
  <c r="R114" i="52"/>
  <c r="X114" i="52"/>
  <c r="Y114" i="52"/>
  <c r="Z114" i="52"/>
  <c r="T114" i="52"/>
  <c r="Q114" i="52"/>
  <c r="O114" i="52"/>
  <c r="N114" i="52"/>
  <c r="W114" i="52"/>
  <c r="AA114" i="52"/>
  <c r="P114" i="52"/>
  <c r="W113" i="52"/>
  <c r="AB113" i="52"/>
  <c r="Z113" i="52"/>
  <c r="L113" i="52"/>
  <c r="U113" i="52"/>
  <c r="X113" i="52"/>
  <c r="P113" i="52"/>
  <c r="T113" i="52"/>
  <c r="V113" i="52"/>
  <c r="Q113" i="52"/>
  <c r="N113" i="52"/>
  <c r="R113" i="52"/>
  <c r="M113" i="52"/>
  <c r="S113" i="52"/>
  <c r="O113" i="52"/>
  <c r="AA113" i="52"/>
  <c r="AA111" i="52"/>
  <c r="L67" i="52"/>
  <c r="AB67" i="52"/>
  <c r="M2" i="66" s="1"/>
  <c r="M2" i="76" s="1"/>
  <c r="S67" i="52"/>
  <c r="D2" i="66" s="1"/>
  <c r="D2" i="76" s="1"/>
  <c r="W67" i="52"/>
  <c r="H2" i="66" s="1"/>
  <c r="H2" i="76" s="1"/>
  <c r="Y113" i="52"/>
  <c r="P67" i="52"/>
  <c r="Q187" i="65" s="1"/>
  <c r="E67" i="52"/>
  <c r="I67" i="52"/>
  <c r="M111" i="52"/>
  <c r="R111" i="52"/>
  <c r="S111" i="52"/>
  <c r="J111" i="52"/>
  <c r="K111" i="52"/>
  <c r="P111" i="52"/>
  <c r="O111" i="52"/>
  <c r="N111" i="52"/>
  <c r="AB111" i="52"/>
  <c r="X111" i="52"/>
  <c r="Q111" i="52"/>
  <c r="U111" i="52"/>
  <c r="T111" i="52"/>
  <c r="W111" i="52"/>
  <c r="Z111" i="52"/>
  <c r="Y111" i="52"/>
  <c r="L111" i="52"/>
  <c r="P115" i="52"/>
  <c r="Y115" i="52"/>
  <c r="S115" i="52"/>
  <c r="Q115" i="52"/>
  <c r="V115" i="52"/>
  <c r="N115" i="52"/>
  <c r="AA115" i="52"/>
  <c r="R115" i="52"/>
  <c r="Z115" i="52"/>
  <c r="T115" i="52"/>
  <c r="O115" i="52"/>
  <c r="W115" i="52"/>
  <c r="U115" i="52"/>
  <c r="X115" i="52"/>
  <c r="U117" i="52"/>
  <c r="P117" i="52"/>
  <c r="AA117" i="52"/>
  <c r="V117" i="52"/>
  <c r="Q117" i="52"/>
  <c r="S117" i="52"/>
  <c r="R117" i="52"/>
  <c r="AB117" i="52"/>
  <c r="T117" i="52"/>
  <c r="Z117" i="52"/>
  <c r="X117" i="52"/>
  <c r="Y117" i="52"/>
  <c r="W116" i="52"/>
  <c r="Y116" i="52"/>
  <c r="S116" i="52"/>
  <c r="V116" i="52"/>
  <c r="AB116" i="52"/>
  <c r="AA116" i="52"/>
  <c r="R116" i="52"/>
  <c r="P116" i="52"/>
  <c r="T116" i="52"/>
  <c r="O116" i="52"/>
  <c r="Q116" i="52"/>
  <c r="X116" i="52"/>
  <c r="Z116" i="52"/>
  <c r="U116" i="52"/>
  <c r="O67" i="52"/>
  <c r="C67" i="52"/>
  <c r="AC7" i="32"/>
  <c r="AC100" i="32" s="1"/>
  <c r="AC138" i="32" s="1"/>
  <c r="AA67" i="52"/>
  <c r="L2" i="66" s="1"/>
  <c r="L2" i="76" s="1"/>
  <c r="R67" i="52"/>
  <c r="S104" i="52"/>
  <c r="V114" i="52"/>
  <c r="Y112" i="52"/>
  <c r="P104" i="52"/>
  <c r="Z106" i="52"/>
  <c r="E106" i="52"/>
  <c r="T106" i="52"/>
  <c r="AA106" i="52"/>
  <c r="K106" i="52"/>
  <c r="F106" i="52"/>
  <c r="M106" i="52"/>
  <c r="S106" i="52"/>
  <c r="N106" i="52"/>
  <c r="G106" i="52"/>
  <c r="Y106" i="52"/>
  <c r="J106" i="52"/>
  <c r="L106" i="52"/>
  <c r="W106" i="52"/>
  <c r="R106" i="52"/>
  <c r="H106" i="52"/>
  <c r="AB106" i="52"/>
  <c r="P106" i="52"/>
  <c r="X106" i="52"/>
  <c r="U106" i="52"/>
  <c r="V106" i="52"/>
  <c r="I106" i="52"/>
  <c r="O106" i="52"/>
  <c r="Q106" i="52"/>
  <c r="U105" i="52"/>
  <c r="D105" i="52"/>
  <c r="R105" i="52"/>
  <c r="J105" i="52"/>
  <c r="I105" i="52"/>
  <c r="G105" i="52"/>
  <c r="M105" i="52"/>
  <c r="K105" i="52"/>
  <c r="Q105" i="52"/>
  <c r="O105" i="52"/>
  <c r="Z105" i="52"/>
  <c r="W105" i="52"/>
  <c r="AA105" i="52"/>
  <c r="S105" i="52"/>
  <c r="N105" i="52"/>
  <c r="H105" i="52"/>
  <c r="L105" i="52"/>
  <c r="F105" i="52"/>
  <c r="P105" i="52"/>
  <c r="T105" i="52"/>
  <c r="X105" i="52"/>
  <c r="AB105" i="52"/>
  <c r="V105" i="52"/>
  <c r="E105" i="52"/>
  <c r="R112" i="52"/>
  <c r="P112" i="52"/>
  <c r="W112" i="52"/>
  <c r="X112" i="52"/>
  <c r="U112" i="52"/>
  <c r="K112" i="52"/>
  <c r="Z112" i="52"/>
  <c r="S112" i="52"/>
  <c r="AA112" i="52"/>
  <c r="O112" i="52"/>
  <c r="L112" i="52"/>
  <c r="T112" i="52"/>
  <c r="N112" i="52"/>
  <c r="AB112" i="52"/>
  <c r="V112" i="52"/>
  <c r="M112" i="52"/>
  <c r="AG36" i="32"/>
  <c r="AK36" i="32"/>
  <c r="AH36" i="32"/>
  <c r="AJ36" i="32"/>
  <c r="AI36" i="32"/>
  <c r="AL36" i="32"/>
  <c r="AF36" i="32"/>
  <c r="AB31" i="32"/>
  <c r="AF31" i="32"/>
  <c r="AJ31" i="32"/>
  <c r="AE31" i="32"/>
  <c r="AK31" i="32"/>
  <c r="AH31" i="32"/>
  <c r="AG31" i="32"/>
  <c r="AL31" i="32"/>
  <c r="AC31" i="32"/>
  <c r="AI31" i="32"/>
  <c r="AD31" i="32"/>
  <c r="AA31" i="32"/>
  <c r="L12" i="32"/>
  <c r="L105" i="32" s="1"/>
  <c r="L143" i="32" s="1"/>
  <c r="P12" i="32"/>
  <c r="P105" i="32" s="1"/>
  <c r="P143" i="32" s="1"/>
  <c r="T12" i="32"/>
  <c r="T105" i="32" s="1"/>
  <c r="T143" i="32" s="1"/>
  <c r="X12" i="32"/>
  <c r="X105" i="32" s="1"/>
  <c r="X143" i="32" s="1"/>
  <c r="AB12" i="32"/>
  <c r="AB105" i="32" s="1"/>
  <c r="AB143" i="32" s="1"/>
  <c r="AF12" i="32"/>
  <c r="AF105" i="32" s="1"/>
  <c r="AF143" i="32" s="1"/>
  <c r="AJ12" i="32"/>
  <c r="AJ105" i="32" s="1"/>
  <c r="AJ143" i="32" s="1"/>
  <c r="K12" i="32"/>
  <c r="K105" i="32" s="1"/>
  <c r="K143" i="32" s="1"/>
  <c r="Q12" i="32"/>
  <c r="Q105" i="32" s="1"/>
  <c r="Q143" i="32" s="1"/>
  <c r="V12" i="32"/>
  <c r="V105" i="32" s="1"/>
  <c r="V143" i="32" s="1"/>
  <c r="AA12" i="32"/>
  <c r="AA105" i="32" s="1"/>
  <c r="AA143" i="32" s="1"/>
  <c r="AG12" i="32"/>
  <c r="AG105" i="32" s="1"/>
  <c r="AG143" i="32" s="1"/>
  <c r="AL12" i="32"/>
  <c r="AL105" i="32" s="1"/>
  <c r="AL143" i="32" s="1"/>
  <c r="I12" i="32"/>
  <c r="I105" i="32" s="1"/>
  <c r="I143" i="32" s="1"/>
  <c r="S12" i="32"/>
  <c r="S105" i="32" s="1"/>
  <c r="S143" i="32" s="1"/>
  <c r="AD12" i="32"/>
  <c r="AD105" i="32" s="1"/>
  <c r="AD143" i="32" s="1"/>
  <c r="M12" i="32"/>
  <c r="M105" i="32" s="1"/>
  <c r="M143" i="32" s="1"/>
  <c r="R12" i="32"/>
  <c r="R105" i="32" s="1"/>
  <c r="R143" i="32" s="1"/>
  <c r="W12" i="32"/>
  <c r="W105" i="32" s="1"/>
  <c r="W143" i="32" s="1"/>
  <c r="AC12" i="32"/>
  <c r="AC105" i="32" s="1"/>
  <c r="AC143" i="32" s="1"/>
  <c r="AH12" i="32"/>
  <c r="AH105" i="32" s="1"/>
  <c r="AH143" i="32" s="1"/>
  <c r="N12" i="32"/>
  <c r="N105" i="32" s="1"/>
  <c r="N143" i="32" s="1"/>
  <c r="Y12" i="32"/>
  <c r="Y105" i="32" s="1"/>
  <c r="Y143" i="32" s="1"/>
  <c r="AI12" i="32"/>
  <c r="AI105" i="32" s="1"/>
  <c r="AI143" i="32" s="1"/>
  <c r="O12" i="32"/>
  <c r="O105" i="32" s="1"/>
  <c r="O143" i="32" s="1"/>
  <c r="AK12" i="32"/>
  <c r="AK105" i="32" s="1"/>
  <c r="AK143" i="32" s="1"/>
  <c r="H12" i="32"/>
  <c r="H105" i="32" s="1"/>
  <c r="H143" i="32" s="1"/>
  <c r="U12" i="32"/>
  <c r="U105" i="32" s="1"/>
  <c r="U143" i="32" s="1"/>
  <c r="AE12" i="32"/>
  <c r="AE105" i="32" s="1"/>
  <c r="AE143" i="32" s="1"/>
  <c r="Z12" i="32"/>
  <c r="Z105" i="32" s="1"/>
  <c r="Z143" i="32" s="1"/>
  <c r="J12" i="32"/>
  <c r="J105" i="32" s="1"/>
  <c r="J143" i="32" s="1"/>
  <c r="AJ38" i="32"/>
  <c r="AI38" i="32"/>
  <c r="AK38" i="32"/>
  <c r="AH38" i="32"/>
  <c r="AL38" i="32"/>
  <c r="AH34" i="32"/>
  <c r="AL34" i="32"/>
  <c r="AI34" i="32"/>
  <c r="AF34" i="32"/>
  <c r="AE34" i="32"/>
  <c r="AJ34" i="32"/>
  <c r="AD34" i="32"/>
  <c r="AK34" i="32"/>
  <c r="AG34" i="32"/>
  <c r="AB8" i="32"/>
  <c r="AB101" i="32" s="1"/>
  <c r="AB139" i="32" s="1"/>
  <c r="AF8" i="32"/>
  <c r="AF101" i="32" s="1"/>
  <c r="AF139" i="32" s="1"/>
  <c r="AJ8" i="32"/>
  <c r="AJ101" i="32" s="1"/>
  <c r="AJ139" i="32" s="1"/>
  <c r="G8" i="32"/>
  <c r="G101" i="32" s="1"/>
  <c r="G139" i="32" s="1"/>
  <c r="K8" i="32"/>
  <c r="K101" i="32" s="1"/>
  <c r="K139" i="32" s="1"/>
  <c r="O8" i="32"/>
  <c r="O101" i="32" s="1"/>
  <c r="O139" i="32" s="1"/>
  <c r="S8" i="32"/>
  <c r="S101" i="32" s="1"/>
  <c r="S139" i="32" s="1"/>
  <c r="W8" i="32"/>
  <c r="W101" i="32" s="1"/>
  <c r="W139" i="32" s="1"/>
  <c r="D8" i="32"/>
  <c r="D101" i="32" s="1"/>
  <c r="D139" i="32" s="1"/>
  <c r="AE8" i="32"/>
  <c r="AE101" i="32" s="1"/>
  <c r="AE139" i="32" s="1"/>
  <c r="AK8" i="32"/>
  <c r="AK101" i="32" s="1"/>
  <c r="AK139" i="32" s="1"/>
  <c r="I8" i="32"/>
  <c r="I101" i="32" s="1"/>
  <c r="I139" i="32" s="1"/>
  <c r="N8" i="32"/>
  <c r="N101" i="32" s="1"/>
  <c r="N139" i="32" s="1"/>
  <c r="T8" i="32"/>
  <c r="T101" i="32" s="1"/>
  <c r="T139" i="32" s="1"/>
  <c r="Y8" i="32"/>
  <c r="Y101" i="32" s="1"/>
  <c r="Y139" i="32" s="1"/>
  <c r="J8" i="32"/>
  <c r="J101" i="32" s="1"/>
  <c r="J139" i="32" s="1"/>
  <c r="Z8" i="32"/>
  <c r="Z101" i="32" s="1"/>
  <c r="Z139" i="32" s="1"/>
  <c r="AC8" i="32"/>
  <c r="AC101" i="32" s="1"/>
  <c r="AC139" i="32" s="1"/>
  <c r="AA8" i="32"/>
  <c r="AA101" i="32" s="1"/>
  <c r="AA139" i="32" s="1"/>
  <c r="AG8" i="32"/>
  <c r="AG101" i="32" s="1"/>
  <c r="AG139" i="32" s="1"/>
  <c r="AL8" i="32"/>
  <c r="AL101" i="32" s="1"/>
  <c r="AL139" i="32" s="1"/>
  <c r="E8" i="32"/>
  <c r="E101" i="32" s="1"/>
  <c r="E139" i="32" s="1"/>
  <c r="P8" i="32"/>
  <c r="P101" i="32" s="1"/>
  <c r="P139" i="32" s="1"/>
  <c r="U8" i="32"/>
  <c r="U101" i="32" s="1"/>
  <c r="U139" i="32" s="1"/>
  <c r="AH8" i="32"/>
  <c r="AH101" i="32" s="1"/>
  <c r="AH139" i="32" s="1"/>
  <c r="AI8" i="32"/>
  <c r="AI101" i="32" s="1"/>
  <c r="AI139" i="32" s="1"/>
  <c r="L8" i="32"/>
  <c r="L101" i="32" s="1"/>
  <c r="L139" i="32" s="1"/>
  <c r="V8" i="32"/>
  <c r="V101" i="32" s="1"/>
  <c r="V139" i="32" s="1"/>
  <c r="M8" i="32"/>
  <c r="M101" i="32" s="1"/>
  <c r="M139" i="32" s="1"/>
  <c r="F8" i="32"/>
  <c r="F101" i="32" s="1"/>
  <c r="F139" i="32" s="1"/>
  <c r="AD8" i="32"/>
  <c r="AD101" i="32" s="1"/>
  <c r="AD139" i="32" s="1"/>
  <c r="R8" i="32"/>
  <c r="R101" i="32" s="1"/>
  <c r="R139" i="32" s="1"/>
  <c r="X8" i="32"/>
  <c r="X101" i="32" s="1"/>
  <c r="X139" i="32" s="1"/>
  <c r="Q8" i="32"/>
  <c r="Q101" i="32" s="1"/>
  <c r="Q139" i="32" s="1"/>
  <c r="H8" i="32"/>
  <c r="H101" i="32" s="1"/>
  <c r="H139" i="32" s="1"/>
  <c r="C87" i="32"/>
  <c r="AB7" i="32"/>
  <c r="AB100" i="32" s="1"/>
  <c r="AB138" i="32" s="1"/>
  <c r="AF7" i="32"/>
  <c r="AF100" i="32" s="1"/>
  <c r="AF138" i="32" s="1"/>
  <c r="AJ7" i="32"/>
  <c r="AJ100" i="32" s="1"/>
  <c r="AJ138" i="32" s="1"/>
  <c r="W7" i="32"/>
  <c r="W100" i="32" s="1"/>
  <c r="W138" i="32" s="1"/>
  <c r="V7" i="32"/>
  <c r="V100" i="32" s="1"/>
  <c r="V138" i="32" s="1"/>
  <c r="Q7" i="32"/>
  <c r="Q100" i="32" s="1"/>
  <c r="Q138" i="32" s="1"/>
  <c r="F7" i="32"/>
  <c r="F100" i="32" s="1"/>
  <c r="F138" i="32" s="1"/>
  <c r="J7" i="32"/>
  <c r="J100" i="32" s="1"/>
  <c r="J138" i="32" s="1"/>
  <c r="D7" i="32"/>
  <c r="D100" i="32" s="1"/>
  <c r="D138" i="32" s="1"/>
  <c r="AD7" i="32"/>
  <c r="AD100" i="32" s="1"/>
  <c r="AD138" i="32" s="1"/>
  <c r="AI7" i="32"/>
  <c r="AI100" i="32" s="1"/>
  <c r="AI138" i="32" s="1"/>
  <c r="Z7" i="32"/>
  <c r="Z100" i="32" s="1"/>
  <c r="Z138" i="32" s="1"/>
  <c r="N7" i="32"/>
  <c r="N100" i="32" s="1"/>
  <c r="N138" i="32" s="1"/>
  <c r="S7" i="32"/>
  <c r="S100" i="32" s="1"/>
  <c r="S138" i="32" s="1"/>
  <c r="I7" i="32"/>
  <c r="I100" i="32" s="1"/>
  <c r="I138" i="32" s="1"/>
  <c r="O7" i="32"/>
  <c r="O100" i="32" s="1"/>
  <c r="O138" i="32" s="1"/>
  <c r="E7" i="32"/>
  <c r="E100" i="32" s="1"/>
  <c r="E138" i="32" s="1"/>
  <c r="AA7" i="32"/>
  <c r="AA100" i="32" s="1"/>
  <c r="AA138" i="32" s="1"/>
  <c r="AL7" i="32"/>
  <c r="AL100" i="32" s="1"/>
  <c r="AL138" i="32" s="1"/>
  <c r="AE7" i="32"/>
  <c r="AE100" i="32" s="1"/>
  <c r="AE138" i="32" s="1"/>
  <c r="AK7" i="32"/>
  <c r="AK100" i="32" s="1"/>
  <c r="AK138" i="32" s="1"/>
  <c r="X7" i="32"/>
  <c r="X100" i="32" s="1"/>
  <c r="X138" i="32" s="1"/>
  <c r="K7" i="32"/>
  <c r="K100" i="32" s="1"/>
  <c r="K138" i="32" s="1"/>
  <c r="AG7" i="32"/>
  <c r="AG100" i="32" s="1"/>
  <c r="AG138" i="32" s="1"/>
  <c r="T7" i="32"/>
  <c r="T100" i="32" s="1"/>
  <c r="T138" i="32" s="1"/>
  <c r="G7" i="32"/>
  <c r="G100" i="32" s="1"/>
  <c r="G138" i="32" s="1"/>
  <c r="U7" i="32"/>
  <c r="U100" i="32" s="1"/>
  <c r="U138" i="32" s="1"/>
  <c r="H7" i="32"/>
  <c r="H100" i="32" s="1"/>
  <c r="H138" i="32" s="1"/>
  <c r="AH7" i="32"/>
  <c r="AH100" i="32" s="1"/>
  <c r="AH138" i="32" s="1"/>
  <c r="C7" i="32"/>
  <c r="C100" i="32" s="1"/>
  <c r="C138" i="32" s="1"/>
  <c r="L7" i="32"/>
  <c r="L100" i="32" s="1"/>
  <c r="L138" i="32" s="1"/>
  <c r="R7" i="32"/>
  <c r="R100" i="32" s="1"/>
  <c r="R138" i="32" s="1"/>
  <c r="P7" i="32"/>
  <c r="P100" i="32" s="1"/>
  <c r="P138" i="32" s="1"/>
  <c r="Y7" i="32"/>
  <c r="Y100" i="32" s="1"/>
  <c r="Y138" i="32" s="1"/>
  <c r="M7" i="32"/>
  <c r="M100" i="32" s="1"/>
  <c r="M138" i="32" s="1"/>
  <c r="AK41" i="32"/>
  <c r="AL41" i="32"/>
  <c r="AJ39" i="32"/>
  <c r="AL39" i="32"/>
  <c r="AI39" i="32"/>
  <c r="AK39" i="32"/>
  <c r="H9" i="32"/>
  <c r="H102" i="32" s="1"/>
  <c r="H140" i="32" s="1"/>
  <c r="L9" i="32"/>
  <c r="L102" i="32" s="1"/>
  <c r="L140" i="32" s="1"/>
  <c r="P9" i="32"/>
  <c r="P102" i="32" s="1"/>
  <c r="P140" i="32" s="1"/>
  <c r="T9" i="32"/>
  <c r="T102" i="32" s="1"/>
  <c r="T140" i="32" s="1"/>
  <c r="X9" i="32"/>
  <c r="X102" i="32" s="1"/>
  <c r="X140" i="32" s="1"/>
  <c r="AB9" i="32"/>
  <c r="AB102" i="32" s="1"/>
  <c r="AB140" i="32" s="1"/>
  <c r="AF9" i="32"/>
  <c r="AF102" i="32" s="1"/>
  <c r="AF140" i="32" s="1"/>
  <c r="AJ9" i="32"/>
  <c r="AJ102" i="32" s="1"/>
  <c r="AJ140" i="32" s="1"/>
  <c r="F9" i="32"/>
  <c r="F102" i="32" s="1"/>
  <c r="F140" i="32" s="1"/>
  <c r="K9" i="32"/>
  <c r="K102" i="32" s="1"/>
  <c r="K140" i="32" s="1"/>
  <c r="Q9" i="32"/>
  <c r="Q102" i="32" s="1"/>
  <c r="Q140" i="32" s="1"/>
  <c r="V9" i="32"/>
  <c r="V102" i="32" s="1"/>
  <c r="V140" i="32" s="1"/>
  <c r="AA9" i="32"/>
  <c r="AA102" i="32" s="1"/>
  <c r="AA140" i="32" s="1"/>
  <c r="AG9" i="32"/>
  <c r="AG102" i="32" s="1"/>
  <c r="AG140" i="32" s="1"/>
  <c r="AL9" i="32"/>
  <c r="AL102" i="32" s="1"/>
  <c r="AL140" i="32" s="1"/>
  <c r="E9" i="32"/>
  <c r="E102" i="32" s="1"/>
  <c r="E140" i="32" s="1"/>
  <c r="I9" i="32"/>
  <c r="I102" i="32" s="1"/>
  <c r="I140" i="32" s="1"/>
  <c r="S9" i="32"/>
  <c r="S102" i="32" s="1"/>
  <c r="S140" i="32" s="1"/>
  <c r="AD9" i="32"/>
  <c r="AD102" i="32" s="1"/>
  <c r="AD140" i="32" s="1"/>
  <c r="G9" i="32"/>
  <c r="G102" i="32" s="1"/>
  <c r="G140" i="32" s="1"/>
  <c r="M9" i="32"/>
  <c r="M102" i="32" s="1"/>
  <c r="M140" i="32" s="1"/>
  <c r="R9" i="32"/>
  <c r="R102" i="32" s="1"/>
  <c r="R140" i="32" s="1"/>
  <c r="W9" i="32"/>
  <c r="W102" i="32" s="1"/>
  <c r="W140" i="32" s="1"/>
  <c r="AC9" i="32"/>
  <c r="AC102" i="32" s="1"/>
  <c r="AC140" i="32" s="1"/>
  <c r="AH9" i="32"/>
  <c r="AH102" i="32" s="1"/>
  <c r="AH140" i="32" s="1"/>
  <c r="N9" i="32"/>
  <c r="N102" i="32" s="1"/>
  <c r="N140" i="32" s="1"/>
  <c r="Y9" i="32"/>
  <c r="Y102" i="32" s="1"/>
  <c r="Y140" i="32" s="1"/>
  <c r="AI9" i="32"/>
  <c r="AI102" i="32" s="1"/>
  <c r="AI140" i="32" s="1"/>
  <c r="Z9" i="32"/>
  <c r="Z102" i="32" s="1"/>
  <c r="Z140" i="32" s="1"/>
  <c r="J9" i="32"/>
  <c r="J102" i="32" s="1"/>
  <c r="J140" i="32" s="1"/>
  <c r="AE9" i="32"/>
  <c r="AE102" i="32" s="1"/>
  <c r="AE140" i="32" s="1"/>
  <c r="O9" i="32"/>
  <c r="O102" i="32" s="1"/>
  <c r="O140" i="32" s="1"/>
  <c r="AK9" i="32"/>
  <c r="AK102" i="32" s="1"/>
  <c r="AK140" i="32" s="1"/>
  <c r="U9" i="32"/>
  <c r="U102" i="32" s="1"/>
  <c r="U140" i="32" s="1"/>
  <c r="AH35" i="32"/>
  <c r="AL35" i="32"/>
  <c r="AF35" i="32"/>
  <c r="AK35" i="32"/>
  <c r="AE35" i="32"/>
  <c r="AG35" i="32"/>
  <c r="AI35" i="32"/>
  <c r="AJ35" i="32"/>
  <c r="AG33" i="32"/>
  <c r="AK33" i="32"/>
  <c r="AC33" i="32"/>
  <c r="AE33" i="32"/>
  <c r="AJ33" i="32"/>
  <c r="AH33" i="32"/>
  <c r="AF33" i="32"/>
  <c r="AL33" i="32"/>
  <c r="AI33" i="32"/>
  <c r="AD33" i="32"/>
  <c r="J13" i="32"/>
  <c r="J106" i="32" s="1"/>
  <c r="J144" i="32" s="1"/>
  <c r="N13" i="32"/>
  <c r="N106" i="32" s="1"/>
  <c r="N144" i="32" s="1"/>
  <c r="R13" i="32"/>
  <c r="R106" i="32" s="1"/>
  <c r="R144" i="32" s="1"/>
  <c r="V13" i="32"/>
  <c r="V106" i="32" s="1"/>
  <c r="V144" i="32" s="1"/>
  <c r="Z13" i="32"/>
  <c r="Z106" i="32" s="1"/>
  <c r="Z144" i="32" s="1"/>
  <c r="AD13" i="32"/>
  <c r="AD106" i="32" s="1"/>
  <c r="AD144" i="32" s="1"/>
  <c r="AH13" i="32"/>
  <c r="AH106" i="32" s="1"/>
  <c r="AH144" i="32" s="1"/>
  <c r="AL13" i="32"/>
  <c r="AL106" i="32" s="1"/>
  <c r="AL144" i="32" s="1"/>
  <c r="O13" i="32"/>
  <c r="O106" i="32" s="1"/>
  <c r="O144" i="32" s="1"/>
  <c r="T13" i="32"/>
  <c r="T106" i="32" s="1"/>
  <c r="T144" i="32" s="1"/>
  <c r="Y13" i="32"/>
  <c r="Y106" i="32" s="1"/>
  <c r="Y144" i="32" s="1"/>
  <c r="AE13" i="32"/>
  <c r="AE106" i="32" s="1"/>
  <c r="AE144" i="32" s="1"/>
  <c r="AJ13" i="32"/>
  <c r="AJ106" i="32" s="1"/>
  <c r="AJ144" i="32" s="1"/>
  <c r="I13" i="32"/>
  <c r="I106" i="32" s="1"/>
  <c r="I144" i="32" s="1"/>
  <c r="Q13" i="32"/>
  <c r="Q106" i="32" s="1"/>
  <c r="Q144" i="32" s="1"/>
  <c r="AB13" i="32"/>
  <c r="AB106" i="32" s="1"/>
  <c r="AB144" i="32" s="1"/>
  <c r="K13" i="32"/>
  <c r="K106" i="32" s="1"/>
  <c r="K144" i="32" s="1"/>
  <c r="P13" i="32"/>
  <c r="P106" i="32" s="1"/>
  <c r="P144" i="32" s="1"/>
  <c r="U13" i="32"/>
  <c r="U106" i="32" s="1"/>
  <c r="U144" i="32" s="1"/>
  <c r="AA13" i="32"/>
  <c r="AA106" i="32" s="1"/>
  <c r="AA144" i="32" s="1"/>
  <c r="AF13" i="32"/>
  <c r="AF106" i="32" s="1"/>
  <c r="AF144" i="32" s="1"/>
  <c r="AK13" i="32"/>
  <c r="AK106" i="32" s="1"/>
  <c r="AK144" i="32" s="1"/>
  <c r="L13" i="32"/>
  <c r="L106" i="32" s="1"/>
  <c r="L144" i="32" s="1"/>
  <c r="W13" i="32"/>
  <c r="W106" i="32" s="1"/>
  <c r="W144" i="32" s="1"/>
  <c r="AG13" i="32"/>
  <c r="AG106" i="32" s="1"/>
  <c r="AG144" i="32" s="1"/>
  <c r="X13" i="32"/>
  <c r="X106" i="32" s="1"/>
  <c r="X144" i="32" s="1"/>
  <c r="AI13" i="32"/>
  <c r="AI106" i="32" s="1"/>
  <c r="AI144" i="32" s="1"/>
  <c r="S13" i="32"/>
  <c r="S106" i="32" s="1"/>
  <c r="S144" i="32" s="1"/>
  <c r="AC13" i="32"/>
  <c r="AC106" i="32" s="1"/>
  <c r="AC144" i="32" s="1"/>
  <c r="M13" i="32"/>
  <c r="M106" i="32" s="1"/>
  <c r="M144" i="32" s="1"/>
  <c r="AI37" i="32"/>
  <c r="AG37" i="32"/>
  <c r="AH37" i="32"/>
  <c r="AJ37" i="32"/>
  <c r="AK37" i="32"/>
  <c r="AL37" i="32"/>
  <c r="AJ40" i="32"/>
  <c r="AK40" i="32"/>
  <c r="AL40" i="32"/>
  <c r="I11" i="32"/>
  <c r="I104" i="32" s="1"/>
  <c r="I142" i="32" s="1"/>
  <c r="M11" i="32"/>
  <c r="M104" i="32" s="1"/>
  <c r="M142" i="32" s="1"/>
  <c r="Q11" i="32"/>
  <c r="Q104" i="32" s="1"/>
  <c r="Q142" i="32" s="1"/>
  <c r="U11" i="32"/>
  <c r="U104" i="32" s="1"/>
  <c r="U142" i="32" s="1"/>
  <c r="Y11" i="32"/>
  <c r="Y104" i="32" s="1"/>
  <c r="Y142" i="32" s="1"/>
  <c r="AC11" i="32"/>
  <c r="AC104" i="32" s="1"/>
  <c r="AC142" i="32" s="1"/>
  <c r="AG11" i="32"/>
  <c r="AG104" i="32" s="1"/>
  <c r="AG142" i="32" s="1"/>
  <c r="AK11" i="32"/>
  <c r="AK104" i="32" s="1"/>
  <c r="AK142" i="32" s="1"/>
  <c r="L11" i="32"/>
  <c r="L104" i="32" s="1"/>
  <c r="L142" i="32" s="1"/>
  <c r="R11" i="32"/>
  <c r="R104" i="32" s="1"/>
  <c r="R142" i="32" s="1"/>
  <c r="W11" i="32"/>
  <c r="W104" i="32" s="1"/>
  <c r="W142" i="32" s="1"/>
  <c r="AB11" i="32"/>
  <c r="AB104" i="32" s="1"/>
  <c r="AB142" i="32" s="1"/>
  <c r="AH11" i="32"/>
  <c r="AH104" i="32" s="1"/>
  <c r="AH142" i="32" s="1"/>
  <c r="J11" i="32"/>
  <c r="J104" i="32" s="1"/>
  <c r="J142" i="32" s="1"/>
  <c r="T11" i="32"/>
  <c r="T104" i="32" s="1"/>
  <c r="T142" i="32" s="1"/>
  <c r="AE11" i="32"/>
  <c r="AE104" i="32" s="1"/>
  <c r="AE142" i="32" s="1"/>
  <c r="AJ11" i="32"/>
  <c r="AJ104" i="32" s="1"/>
  <c r="AJ142" i="32" s="1"/>
  <c r="H11" i="32"/>
  <c r="H104" i="32" s="1"/>
  <c r="H142" i="32" s="1"/>
  <c r="N11" i="32"/>
  <c r="N104" i="32" s="1"/>
  <c r="N142" i="32" s="1"/>
  <c r="S11" i="32"/>
  <c r="S104" i="32" s="1"/>
  <c r="S142" i="32" s="1"/>
  <c r="X11" i="32"/>
  <c r="X104" i="32" s="1"/>
  <c r="X142" i="32" s="1"/>
  <c r="AD11" i="32"/>
  <c r="AD104" i="32" s="1"/>
  <c r="AD142" i="32" s="1"/>
  <c r="AI11" i="32"/>
  <c r="AI104" i="32" s="1"/>
  <c r="AI142" i="32" s="1"/>
  <c r="O11" i="32"/>
  <c r="O104" i="32" s="1"/>
  <c r="O142" i="32" s="1"/>
  <c r="Z11" i="32"/>
  <c r="Z104" i="32" s="1"/>
  <c r="Z142" i="32" s="1"/>
  <c r="AA11" i="32"/>
  <c r="AA104" i="32" s="1"/>
  <c r="AA142" i="32" s="1"/>
  <c r="AF11" i="32"/>
  <c r="AF104" i="32" s="1"/>
  <c r="AF142" i="32" s="1"/>
  <c r="AL11" i="32"/>
  <c r="AL104" i="32" s="1"/>
  <c r="AL142" i="32" s="1"/>
  <c r="K11" i="32"/>
  <c r="K104" i="32" s="1"/>
  <c r="K142" i="32" s="1"/>
  <c r="G11" i="32"/>
  <c r="G104" i="32" s="1"/>
  <c r="G142" i="32" s="1"/>
  <c r="P11" i="32"/>
  <c r="P104" i="32" s="1"/>
  <c r="P142" i="32" s="1"/>
  <c r="V11" i="32"/>
  <c r="V104" i="32" s="1"/>
  <c r="V142" i="32" s="1"/>
  <c r="I10" i="32"/>
  <c r="I103" i="32" s="1"/>
  <c r="I141" i="32" s="1"/>
  <c r="M10" i="32"/>
  <c r="M103" i="32" s="1"/>
  <c r="M141" i="32" s="1"/>
  <c r="Q10" i="32"/>
  <c r="Q103" i="32" s="1"/>
  <c r="Q141" i="32" s="1"/>
  <c r="U10" i="32"/>
  <c r="U103" i="32" s="1"/>
  <c r="U141" i="32" s="1"/>
  <c r="Y10" i="32"/>
  <c r="Y103" i="32" s="1"/>
  <c r="Y141" i="32" s="1"/>
  <c r="AC10" i="32"/>
  <c r="AC103" i="32" s="1"/>
  <c r="AC141" i="32" s="1"/>
  <c r="AG10" i="32"/>
  <c r="AG103" i="32" s="1"/>
  <c r="AG141" i="32" s="1"/>
  <c r="AK10" i="32"/>
  <c r="AK103" i="32" s="1"/>
  <c r="AK141" i="32" s="1"/>
  <c r="F10" i="32"/>
  <c r="F103" i="32" s="1"/>
  <c r="F141" i="32" s="1"/>
  <c r="G10" i="32"/>
  <c r="G103" i="32" s="1"/>
  <c r="G141" i="32" s="1"/>
  <c r="L10" i="32"/>
  <c r="L103" i="32" s="1"/>
  <c r="L141" i="32" s="1"/>
  <c r="R10" i="32"/>
  <c r="R103" i="32" s="1"/>
  <c r="R141" i="32" s="1"/>
  <c r="W10" i="32"/>
  <c r="W103" i="32" s="1"/>
  <c r="W141" i="32" s="1"/>
  <c r="AB10" i="32"/>
  <c r="AB103" i="32" s="1"/>
  <c r="AB141" i="32" s="1"/>
  <c r="AH10" i="32"/>
  <c r="AH103" i="32" s="1"/>
  <c r="AH141" i="32" s="1"/>
  <c r="O10" i="32"/>
  <c r="O103" i="32" s="1"/>
  <c r="O141" i="32" s="1"/>
  <c r="AE10" i="32"/>
  <c r="AE103" i="32" s="1"/>
  <c r="AE141" i="32" s="1"/>
  <c r="H10" i="32"/>
  <c r="H103" i="32" s="1"/>
  <c r="H141" i="32" s="1"/>
  <c r="N10" i="32"/>
  <c r="N103" i="32" s="1"/>
  <c r="N141" i="32" s="1"/>
  <c r="S10" i="32"/>
  <c r="S103" i="32" s="1"/>
  <c r="S141" i="32" s="1"/>
  <c r="X10" i="32"/>
  <c r="X103" i="32" s="1"/>
  <c r="X141" i="32" s="1"/>
  <c r="AD10" i="32"/>
  <c r="AD103" i="32" s="1"/>
  <c r="AD141" i="32" s="1"/>
  <c r="AI10" i="32"/>
  <c r="AI103" i="32" s="1"/>
  <c r="AI141" i="32" s="1"/>
  <c r="J10" i="32"/>
  <c r="J103" i="32" s="1"/>
  <c r="J141" i="32" s="1"/>
  <c r="T10" i="32"/>
  <c r="T103" i="32" s="1"/>
  <c r="T141" i="32" s="1"/>
  <c r="Z10" i="32"/>
  <c r="Z103" i="32" s="1"/>
  <c r="Z141" i="32" s="1"/>
  <c r="AJ10" i="32"/>
  <c r="AJ103" i="32" s="1"/>
  <c r="AJ141" i="32" s="1"/>
  <c r="P10" i="32"/>
  <c r="P103" i="32" s="1"/>
  <c r="P141" i="32" s="1"/>
  <c r="AL10" i="32"/>
  <c r="AL103" i="32" s="1"/>
  <c r="AL141" i="32" s="1"/>
  <c r="K10" i="32"/>
  <c r="K103" i="32" s="1"/>
  <c r="K141" i="32" s="1"/>
  <c r="V10" i="32"/>
  <c r="V103" i="32" s="1"/>
  <c r="V141" i="32" s="1"/>
  <c r="AA10" i="32"/>
  <c r="AA103" i="32" s="1"/>
  <c r="AA141" i="32" s="1"/>
  <c r="AF10" i="32"/>
  <c r="AF103" i="32" s="1"/>
  <c r="AF141" i="32" s="1"/>
  <c r="AB30" i="32"/>
  <c r="AF30" i="32"/>
  <c r="AJ30" i="32"/>
  <c r="AD30" i="32"/>
  <c r="AI30" i="32"/>
  <c r="Z30" i="32"/>
  <c r="AG30" i="32"/>
  <c r="AE30" i="32"/>
  <c r="AK30" i="32"/>
  <c r="AA30" i="32"/>
  <c r="AL30" i="32"/>
  <c r="AH30" i="32"/>
  <c r="AC30" i="32"/>
  <c r="AA29" i="32"/>
  <c r="AE29" i="32"/>
  <c r="AI29" i="32"/>
  <c r="Y29" i="32"/>
  <c r="AB29" i="32"/>
  <c r="AG29" i="32"/>
  <c r="AL29" i="32"/>
  <c r="AJ29" i="32"/>
  <c r="AC29" i="32"/>
  <c r="AH29" i="32"/>
  <c r="AD29" i="32"/>
  <c r="AF29" i="32"/>
  <c r="AK29" i="32"/>
  <c r="Z29" i="32"/>
  <c r="AE32" i="32"/>
  <c r="AI32" i="32"/>
  <c r="AF32" i="32"/>
  <c r="AK32" i="32"/>
  <c r="AH32" i="32"/>
  <c r="AG32" i="32"/>
  <c r="AL32" i="32"/>
  <c r="AC32" i="32"/>
  <c r="AD32" i="32"/>
  <c r="AJ32" i="32"/>
  <c r="AB32" i="32"/>
  <c r="X14" i="32"/>
  <c r="X107" i="32" s="1"/>
  <c r="X145" i="32" s="1"/>
  <c r="V14" i="32"/>
  <c r="V107" i="32" s="1"/>
  <c r="V145" i="32" s="1"/>
  <c r="Y14" i="32"/>
  <c r="Y107" i="32" s="1"/>
  <c r="Y145" i="32" s="1"/>
  <c r="N14" i="32"/>
  <c r="N107" i="32" s="1"/>
  <c r="N145" i="32" s="1"/>
  <c r="S14" i="32"/>
  <c r="S107" i="32" s="1"/>
  <c r="S145" i="32" s="1"/>
  <c r="AI14" i="32"/>
  <c r="AI107" i="32" s="1"/>
  <c r="AI145" i="32" s="1"/>
  <c r="AH14" i="32"/>
  <c r="AH107" i="32" s="1"/>
  <c r="AH145" i="32" s="1"/>
  <c r="W14" i="32"/>
  <c r="W107" i="32" s="1"/>
  <c r="W145" i="32" s="1"/>
  <c r="L14" i="32"/>
  <c r="L107" i="32" s="1"/>
  <c r="L145" i="32" s="1"/>
  <c r="AB14" i="32"/>
  <c r="AB107" i="32" s="1"/>
  <c r="AB145" i="32" s="1"/>
  <c r="M14" i="32"/>
  <c r="M107" i="32" s="1"/>
  <c r="M145" i="32" s="1"/>
  <c r="AC14" i="32"/>
  <c r="AC107" i="32" s="1"/>
  <c r="AC145" i="32" s="1"/>
  <c r="R14" i="32"/>
  <c r="R107" i="32" s="1"/>
  <c r="R145" i="32" s="1"/>
  <c r="Z14" i="32"/>
  <c r="Z107" i="32" s="1"/>
  <c r="Z145" i="32" s="1"/>
  <c r="AL14" i="32"/>
  <c r="AL107" i="32" s="1"/>
  <c r="AL145" i="32" s="1"/>
  <c r="P14" i="32"/>
  <c r="P107" i="32" s="1"/>
  <c r="P145" i="32" s="1"/>
  <c r="AF14" i="32"/>
  <c r="AF107" i="32" s="1"/>
  <c r="AF145" i="32" s="1"/>
  <c r="Q14" i="32"/>
  <c r="Q107" i="32" s="1"/>
  <c r="Q145" i="32" s="1"/>
  <c r="AG14" i="32"/>
  <c r="AG107" i="32" s="1"/>
  <c r="AG145" i="32" s="1"/>
  <c r="K14" i="32"/>
  <c r="K107" i="32" s="1"/>
  <c r="K145" i="32" s="1"/>
  <c r="AA14" i="32"/>
  <c r="AA107" i="32" s="1"/>
  <c r="AA145" i="32" s="1"/>
  <c r="AD14" i="32"/>
  <c r="AD107" i="32" s="1"/>
  <c r="AD145" i="32" s="1"/>
  <c r="T14" i="32"/>
  <c r="T107" i="32" s="1"/>
  <c r="T145" i="32" s="1"/>
  <c r="AJ14" i="32"/>
  <c r="AJ107" i="32" s="1"/>
  <c r="AJ145" i="32" s="1"/>
  <c r="U14" i="32"/>
  <c r="U107" i="32" s="1"/>
  <c r="U145" i="32" s="1"/>
  <c r="AK14" i="32"/>
  <c r="AK107" i="32" s="1"/>
  <c r="AK145" i="32" s="1"/>
  <c r="O14" i="32"/>
  <c r="O107" i="32" s="1"/>
  <c r="O145" i="32" s="1"/>
  <c r="AE14" i="32"/>
  <c r="AE107" i="32" s="1"/>
  <c r="AE145" i="32" s="1"/>
  <c r="J14" i="32"/>
  <c r="J107" i="32" s="1"/>
  <c r="J145" i="32" s="1"/>
  <c r="AG25" i="32"/>
  <c r="AG118" i="32" s="1"/>
  <c r="AG156" i="32" s="1"/>
  <c r="AD25" i="32"/>
  <c r="AD118" i="32" s="1"/>
  <c r="AD156" i="32" s="1"/>
  <c r="AA25" i="32"/>
  <c r="AA118" i="32" s="1"/>
  <c r="AA156" i="32" s="1"/>
  <c r="AB25" i="32"/>
  <c r="AB118" i="32" s="1"/>
  <c r="AB156" i="32" s="1"/>
  <c r="AK25" i="32"/>
  <c r="AK118" i="32" s="1"/>
  <c r="AK156" i="32" s="1"/>
  <c r="AH25" i="32"/>
  <c r="AH118" i="32" s="1"/>
  <c r="AH156" i="32" s="1"/>
  <c r="AE25" i="32"/>
  <c r="AE118" i="32" s="1"/>
  <c r="AE156" i="32" s="1"/>
  <c r="AF25" i="32"/>
  <c r="AF118" i="32" s="1"/>
  <c r="AF156" i="32" s="1"/>
  <c r="Y25" i="32"/>
  <c r="Y118" i="32" s="1"/>
  <c r="Y156" i="32" s="1"/>
  <c r="V25" i="32"/>
  <c r="V118" i="32" s="1"/>
  <c r="V156" i="32" s="1"/>
  <c r="AL25" i="32"/>
  <c r="AL118" i="32" s="1"/>
  <c r="AL156" i="32" s="1"/>
  <c r="AI25" i="32"/>
  <c r="AI118" i="32" s="1"/>
  <c r="AI156" i="32" s="1"/>
  <c r="AJ25" i="32"/>
  <c r="AJ118" i="32" s="1"/>
  <c r="AJ156" i="32" s="1"/>
  <c r="AC25" i="32"/>
  <c r="AC118" i="32" s="1"/>
  <c r="AC156" i="32" s="1"/>
  <c r="Z25" i="32"/>
  <c r="Z118" i="32" s="1"/>
  <c r="Z156" i="32" s="1"/>
  <c r="W25" i="32"/>
  <c r="W118" i="32" s="1"/>
  <c r="W156" i="32" s="1"/>
  <c r="X25" i="32"/>
  <c r="X118" i="32" s="1"/>
  <c r="X156" i="32" s="1"/>
  <c r="U25" i="32"/>
  <c r="U118" i="32" s="1"/>
  <c r="U156" i="32" s="1"/>
  <c r="U20" i="32"/>
  <c r="U113" i="32" s="1"/>
  <c r="U151" i="32" s="1"/>
  <c r="AK20" i="32"/>
  <c r="AK113" i="32" s="1"/>
  <c r="AK151" i="32" s="1"/>
  <c r="Z20" i="32"/>
  <c r="Z113" i="32" s="1"/>
  <c r="Z151" i="32" s="1"/>
  <c r="S20" i="32"/>
  <c r="S113" i="32" s="1"/>
  <c r="S151" i="32" s="1"/>
  <c r="AI20" i="32"/>
  <c r="AI113" i="32" s="1"/>
  <c r="AI151" i="32" s="1"/>
  <c r="AF20" i="32"/>
  <c r="AF113" i="32" s="1"/>
  <c r="AF151" i="32" s="1"/>
  <c r="Y20" i="32"/>
  <c r="Y113" i="32" s="1"/>
  <c r="Y151" i="32" s="1"/>
  <c r="P20" i="32"/>
  <c r="P113" i="32" s="1"/>
  <c r="P151" i="32" s="1"/>
  <c r="AD20" i="32"/>
  <c r="AD113" i="32" s="1"/>
  <c r="AD151" i="32" s="1"/>
  <c r="W20" i="32"/>
  <c r="W113" i="32" s="1"/>
  <c r="W151" i="32" s="1"/>
  <c r="T20" i="32"/>
  <c r="T113" i="32" s="1"/>
  <c r="T151" i="32" s="1"/>
  <c r="AJ20" i="32"/>
  <c r="AJ113" i="32" s="1"/>
  <c r="AJ151" i="32" s="1"/>
  <c r="AC20" i="32"/>
  <c r="AC113" i="32" s="1"/>
  <c r="AC151" i="32" s="1"/>
  <c r="R20" i="32"/>
  <c r="R113" i="32" s="1"/>
  <c r="R151" i="32" s="1"/>
  <c r="AH20" i="32"/>
  <c r="AH113" i="32" s="1"/>
  <c r="AH151" i="32" s="1"/>
  <c r="AA20" i="32"/>
  <c r="AA113" i="32" s="1"/>
  <c r="AA151" i="32" s="1"/>
  <c r="X20" i="32"/>
  <c r="X113" i="32" s="1"/>
  <c r="X151" i="32" s="1"/>
  <c r="Q20" i="32"/>
  <c r="Q113" i="32" s="1"/>
  <c r="Q151" i="32" s="1"/>
  <c r="AG20" i="32"/>
  <c r="AG113" i="32" s="1"/>
  <c r="AG151" i="32" s="1"/>
  <c r="V20" i="32"/>
  <c r="V113" i="32" s="1"/>
  <c r="V151" i="32" s="1"/>
  <c r="AL20" i="32"/>
  <c r="AL113" i="32" s="1"/>
  <c r="AL151" i="32" s="1"/>
  <c r="AE20" i="32"/>
  <c r="AE113" i="32" s="1"/>
  <c r="AE151" i="32" s="1"/>
  <c r="AB20" i="32"/>
  <c r="AB113" i="32" s="1"/>
  <c r="AB151" i="32" s="1"/>
  <c r="L15" i="32"/>
  <c r="L108" i="32" s="1"/>
  <c r="L146" i="32" s="1"/>
  <c r="AB15" i="32"/>
  <c r="AB108" i="32" s="1"/>
  <c r="AB146" i="32" s="1"/>
  <c r="M15" i="32"/>
  <c r="M108" i="32" s="1"/>
  <c r="M146" i="32" s="1"/>
  <c r="AC15" i="32"/>
  <c r="AC108" i="32" s="1"/>
  <c r="AC146" i="32" s="1"/>
  <c r="N15" i="32"/>
  <c r="N108" i="32" s="1"/>
  <c r="N146" i="32" s="1"/>
  <c r="O15" i="32"/>
  <c r="O108" i="32" s="1"/>
  <c r="O146" i="32" s="1"/>
  <c r="AE15" i="32"/>
  <c r="AE108" i="32" s="1"/>
  <c r="AE146" i="32" s="1"/>
  <c r="S15" i="32"/>
  <c r="S108" i="32" s="1"/>
  <c r="S146" i="32" s="1"/>
  <c r="P15" i="32"/>
  <c r="P108" i="32" s="1"/>
  <c r="P146" i="32" s="1"/>
  <c r="AF15" i="32"/>
  <c r="AF108" i="32" s="1"/>
  <c r="AF146" i="32" s="1"/>
  <c r="Q15" i="32"/>
  <c r="Q108" i="32" s="1"/>
  <c r="Q146" i="32" s="1"/>
  <c r="AG15" i="32"/>
  <c r="AG108" i="32" s="1"/>
  <c r="AG146" i="32" s="1"/>
  <c r="Z15" i="32"/>
  <c r="Z108" i="32" s="1"/>
  <c r="Z146" i="32" s="1"/>
  <c r="AI15" i="32"/>
  <c r="AI108" i="32" s="1"/>
  <c r="AI146" i="32" s="1"/>
  <c r="T15" i="32"/>
  <c r="T108" i="32" s="1"/>
  <c r="T146" i="32" s="1"/>
  <c r="AJ15" i="32"/>
  <c r="AJ108" i="32" s="1"/>
  <c r="AJ146" i="32" s="1"/>
  <c r="U15" i="32"/>
  <c r="U108" i="32" s="1"/>
  <c r="U146" i="32" s="1"/>
  <c r="AK15" i="32"/>
  <c r="AK108" i="32" s="1"/>
  <c r="AK146" i="32" s="1"/>
  <c r="AD15" i="32"/>
  <c r="AD108" i="32" s="1"/>
  <c r="AD146" i="32" s="1"/>
  <c r="W15" i="32"/>
  <c r="W108" i="32" s="1"/>
  <c r="W146" i="32" s="1"/>
  <c r="R15" i="32"/>
  <c r="R108" i="32" s="1"/>
  <c r="R146" i="32" s="1"/>
  <c r="X15" i="32"/>
  <c r="X108" i="32" s="1"/>
  <c r="X146" i="32" s="1"/>
  <c r="V15" i="32"/>
  <c r="V108" i="32" s="1"/>
  <c r="V146" i="32" s="1"/>
  <c r="Y15" i="32"/>
  <c r="Y108" i="32" s="1"/>
  <c r="Y146" i="32" s="1"/>
  <c r="K15" i="32"/>
  <c r="K108" i="32" s="1"/>
  <c r="K146" i="32" s="1"/>
  <c r="AH15" i="32"/>
  <c r="AH108" i="32" s="1"/>
  <c r="AH146" i="32" s="1"/>
  <c r="AA15" i="32"/>
  <c r="AA108" i="32" s="1"/>
  <c r="AA146" i="32" s="1"/>
  <c r="AL15" i="32"/>
  <c r="AL108" i="32" s="1"/>
  <c r="AL146" i="32" s="1"/>
  <c r="AE21" i="32"/>
  <c r="AE114" i="32" s="1"/>
  <c r="AE152" i="32" s="1"/>
  <c r="AB21" i="32"/>
  <c r="AB114" i="32" s="1"/>
  <c r="AB152" i="32" s="1"/>
  <c r="Y21" i="32"/>
  <c r="Y114" i="32" s="1"/>
  <c r="Y152" i="32" s="1"/>
  <c r="R21" i="32"/>
  <c r="R114" i="32" s="1"/>
  <c r="R152" i="32" s="1"/>
  <c r="AH21" i="32"/>
  <c r="AH114" i="32" s="1"/>
  <c r="AH152" i="32" s="1"/>
  <c r="S21" i="32"/>
  <c r="S114" i="32" s="1"/>
  <c r="S152" i="32" s="1"/>
  <c r="AI21" i="32"/>
  <c r="AI114" i="32" s="1"/>
  <c r="AI152" i="32" s="1"/>
  <c r="AF21" i="32"/>
  <c r="AF114" i="32" s="1"/>
  <c r="AF152" i="32" s="1"/>
  <c r="AC21" i="32"/>
  <c r="AC114" i="32" s="1"/>
  <c r="AC152" i="32" s="1"/>
  <c r="V21" i="32"/>
  <c r="V114" i="32" s="1"/>
  <c r="V152" i="32" s="1"/>
  <c r="AL21" i="32"/>
  <c r="AL114" i="32" s="1"/>
  <c r="AL152" i="32" s="1"/>
  <c r="W21" i="32"/>
  <c r="W114" i="32" s="1"/>
  <c r="W152" i="32" s="1"/>
  <c r="T21" i="32"/>
  <c r="T114" i="32" s="1"/>
  <c r="T152" i="32" s="1"/>
  <c r="AJ21" i="32"/>
  <c r="AJ114" i="32" s="1"/>
  <c r="AJ152" i="32" s="1"/>
  <c r="AG21" i="32"/>
  <c r="AG114" i="32" s="1"/>
  <c r="AG152" i="32" s="1"/>
  <c r="Z21" i="32"/>
  <c r="Z114" i="32" s="1"/>
  <c r="Z152" i="32" s="1"/>
  <c r="Q21" i="32"/>
  <c r="Q114" i="32" s="1"/>
  <c r="Q152" i="32" s="1"/>
  <c r="AA21" i="32"/>
  <c r="AA114" i="32" s="1"/>
  <c r="AA152" i="32" s="1"/>
  <c r="X21" i="32"/>
  <c r="X114" i="32" s="1"/>
  <c r="X152" i="32" s="1"/>
  <c r="U21" i="32"/>
  <c r="U114" i="32" s="1"/>
  <c r="U152" i="32" s="1"/>
  <c r="AK21" i="32"/>
  <c r="AK114" i="32" s="1"/>
  <c r="AK152" i="32" s="1"/>
  <c r="AD21" i="32"/>
  <c r="AD114" i="32" s="1"/>
  <c r="AD152" i="32" s="1"/>
  <c r="AL27" i="32"/>
  <c r="AL120" i="32" s="1"/>
  <c r="AL158" i="32" s="1"/>
  <c r="W27" i="32"/>
  <c r="W120" i="32" s="1"/>
  <c r="W158" i="32" s="1"/>
  <c r="AJ27" i="32"/>
  <c r="AJ120" i="32" s="1"/>
  <c r="AJ158" i="32" s="1"/>
  <c r="AK27" i="32"/>
  <c r="AK120" i="32" s="1"/>
  <c r="AK158" i="32" s="1"/>
  <c r="Z27" i="32"/>
  <c r="Z120" i="32" s="1"/>
  <c r="Z158" i="32" s="1"/>
  <c r="AA27" i="32"/>
  <c r="AA120" i="32" s="1"/>
  <c r="AA158" i="32" s="1"/>
  <c r="X27" i="32"/>
  <c r="X120" i="32" s="1"/>
  <c r="X158" i="32" s="1"/>
  <c r="Y27" i="32"/>
  <c r="Y120" i="32" s="1"/>
  <c r="Y158" i="32" s="1"/>
  <c r="AD27" i="32"/>
  <c r="AD120" i="32" s="1"/>
  <c r="AD158" i="32" s="1"/>
  <c r="AE27" i="32"/>
  <c r="AE120" i="32" s="1"/>
  <c r="AE158" i="32" s="1"/>
  <c r="AB27" i="32"/>
  <c r="AB120" i="32" s="1"/>
  <c r="AB158" i="32" s="1"/>
  <c r="AC27" i="32"/>
  <c r="AC120" i="32" s="1"/>
  <c r="AC158" i="32" s="1"/>
  <c r="AH27" i="32"/>
  <c r="AH120" i="32" s="1"/>
  <c r="AH158" i="32" s="1"/>
  <c r="AI27" i="32"/>
  <c r="AI120" i="32" s="1"/>
  <c r="AI158" i="32" s="1"/>
  <c r="AF27" i="32"/>
  <c r="AF120" i="32" s="1"/>
  <c r="AF158" i="32" s="1"/>
  <c r="AG27" i="32"/>
  <c r="AG120" i="32" s="1"/>
  <c r="AG158" i="32" s="1"/>
  <c r="AD18" i="32"/>
  <c r="AD111" i="32" s="1"/>
  <c r="AD149" i="32" s="1"/>
  <c r="S18" i="32"/>
  <c r="S111" i="32" s="1"/>
  <c r="S149" i="32" s="1"/>
  <c r="AI18" i="32"/>
  <c r="AI111" i="32" s="1"/>
  <c r="AI149" i="32" s="1"/>
  <c r="AB18" i="32"/>
  <c r="AB111" i="32" s="1"/>
  <c r="AB149" i="32" s="1"/>
  <c r="U18" i="32"/>
  <c r="U111" i="32" s="1"/>
  <c r="U149" i="32" s="1"/>
  <c r="AK18" i="32"/>
  <c r="AK111" i="32" s="1"/>
  <c r="AK149" i="32" s="1"/>
  <c r="R18" i="32"/>
  <c r="R111" i="32" s="1"/>
  <c r="R149" i="32" s="1"/>
  <c r="AH18" i="32"/>
  <c r="AH111" i="32" s="1"/>
  <c r="AH149" i="32" s="1"/>
  <c r="W18" i="32"/>
  <c r="W111" i="32" s="1"/>
  <c r="W149" i="32" s="1"/>
  <c r="P18" i="32"/>
  <c r="P111" i="32" s="1"/>
  <c r="P149" i="32" s="1"/>
  <c r="AF18" i="32"/>
  <c r="AF111" i="32" s="1"/>
  <c r="AF149" i="32" s="1"/>
  <c r="Y18" i="32"/>
  <c r="Y111" i="32" s="1"/>
  <c r="Y149" i="32" s="1"/>
  <c r="N18" i="32"/>
  <c r="N111" i="32" s="1"/>
  <c r="N149" i="32" s="1"/>
  <c r="V18" i="32"/>
  <c r="V111" i="32" s="1"/>
  <c r="V149" i="32" s="1"/>
  <c r="AL18" i="32"/>
  <c r="AL111" i="32" s="1"/>
  <c r="AL149" i="32" s="1"/>
  <c r="AA18" i="32"/>
  <c r="AA111" i="32" s="1"/>
  <c r="AA149" i="32" s="1"/>
  <c r="T18" i="32"/>
  <c r="T111" i="32" s="1"/>
  <c r="T149" i="32" s="1"/>
  <c r="AJ18" i="32"/>
  <c r="AJ111" i="32" s="1"/>
  <c r="AJ149" i="32" s="1"/>
  <c r="AC18" i="32"/>
  <c r="AC111" i="32" s="1"/>
  <c r="AC149" i="32" s="1"/>
  <c r="Z18" i="32"/>
  <c r="Z111" i="32" s="1"/>
  <c r="Z149" i="32" s="1"/>
  <c r="O18" i="32"/>
  <c r="O111" i="32" s="1"/>
  <c r="O149" i="32" s="1"/>
  <c r="AE18" i="32"/>
  <c r="AE111" i="32" s="1"/>
  <c r="AE149" i="32" s="1"/>
  <c r="X18" i="32"/>
  <c r="X111" i="32" s="1"/>
  <c r="X149" i="32" s="1"/>
  <c r="Q18" i="32"/>
  <c r="Q111" i="32" s="1"/>
  <c r="Q149" i="32" s="1"/>
  <c r="AG18" i="32"/>
  <c r="AG111" i="32" s="1"/>
  <c r="AG149" i="32" s="1"/>
  <c r="W16" i="32"/>
  <c r="W109" i="32" s="1"/>
  <c r="W147" i="32" s="1"/>
  <c r="L16" i="32"/>
  <c r="L109" i="32" s="1"/>
  <c r="L147" i="32" s="1"/>
  <c r="AB16" i="32"/>
  <c r="AB109" i="32" s="1"/>
  <c r="AB147" i="32" s="1"/>
  <c r="Q16" i="32"/>
  <c r="Q109" i="32" s="1"/>
  <c r="Q147" i="32" s="1"/>
  <c r="AG16" i="32"/>
  <c r="AG109" i="32" s="1"/>
  <c r="AG147" i="32" s="1"/>
  <c r="V16" i="32"/>
  <c r="V109" i="32" s="1"/>
  <c r="V147" i="32" s="1"/>
  <c r="AL16" i="32"/>
  <c r="AL109" i="32" s="1"/>
  <c r="AL147" i="32" s="1"/>
  <c r="AA16" i="32"/>
  <c r="AA109" i="32" s="1"/>
  <c r="AA147" i="32" s="1"/>
  <c r="P16" i="32"/>
  <c r="P109" i="32" s="1"/>
  <c r="P147" i="32" s="1"/>
  <c r="AF16" i="32"/>
  <c r="AF109" i="32" s="1"/>
  <c r="AF147" i="32" s="1"/>
  <c r="U16" i="32"/>
  <c r="U109" i="32" s="1"/>
  <c r="U147" i="32" s="1"/>
  <c r="AK16" i="32"/>
  <c r="AK109" i="32" s="1"/>
  <c r="AK147" i="32" s="1"/>
  <c r="Z16" i="32"/>
  <c r="Z109" i="32" s="1"/>
  <c r="Z147" i="32" s="1"/>
  <c r="O16" i="32"/>
  <c r="O109" i="32" s="1"/>
  <c r="O147" i="32" s="1"/>
  <c r="AE16" i="32"/>
  <c r="AE109" i="32" s="1"/>
  <c r="AE147" i="32" s="1"/>
  <c r="T16" i="32"/>
  <c r="T109" i="32" s="1"/>
  <c r="T147" i="32" s="1"/>
  <c r="AJ16" i="32"/>
  <c r="AJ109" i="32" s="1"/>
  <c r="AJ147" i="32" s="1"/>
  <c r="Y16" i="32"/>
  <c r="Y109" i="32" s="1"/>
  <c r="Y147" i="32" s="1"/>
  <c r="N16" i="32"/>
  <c r="N109" i="32" s="1"/>
  <c r="N147" i="32" s="1"/>
  <c r="AD16" i="32"/>
  <c r="AD109" i="32" s="1"/>
  <c r="AD147" i="32" s="1"/>
  <c r="S16" i="32"/>
  <c r="S109" i="32" s="1"/>
  <c r="S147" i="32" s="1"/>
  <c r="AI16" i="32"/>
  <c r="AI109" i="32" s="1"/>
  <c r="AI147" i="32" s="1"/>
  <c r="X16" i="32"/>
  <c r="X109" i="32" s="1"/>
  <c r="X147" i="32" s="1"/>
  <c r="M16" i="32"/>
  <c r="M109" i="32" s="1"/>
  <c r="M147" i="32" s="1"/>
  <c r="AC16" i="32"/>
  <c r="AC109" i="32" s="1"/>
  <c r="AC147" i="32" s="1"/>
  <c r="R16" i="32"/>
  <c r="R109" i="32" s="1"/>
  <c r="R147" i="32" s="1"/>
  <c r="AH16" i="32"/>
  <c r="AH109" i="32" s="1"/>
  <c r="AH147" i="32" s="1"/>
  <c r="T23" i="32"/>
  <c r="T116" i="32" s="1"/>
  <c r="T154" i="32" s="1"/>
  <c r="AJ23" i="32"/>
  <c r="AJ116" i="32" s="1"/>
  <c r="AJ154" i="32" s="1"/>
  <c r="AG23" i="32"/>
  <c r="AG116" i="32" s="1"/>
  <c r="AG154" i="32" s="1"/>
  <c r="Z23" i="32"/>
  <c r="Z116" i="32" s="1"/>
  <c r="Z154" i="32" s="1"/>
  <c r="W23" i="32"/>
  <c r="W116" i="32" s="1"/>
  <c r="W154" i="32" s="1"/>
  <c r="X23" i="32"/>
  <c r="X116" i="32" s="1"/>
  <c r="X154" i="32" s="1"/>
  <c r="U23" i="32"/>
  <c r="U116" i="32" s="1"/>
  <c r="U154" i="32" s="1"/>
  <c r="AK23" i="32"/>
  <c r="AK116" i="32" s="1"/>
  <c r="AK154" i="32" s="1"/>
  <c r="AD23" i="32"/>
  <c r="AD116" i="32" s="1"/>
  <c r="AD154" i="32" s="1"/>
  <c r="AA23" i="32"/>
  <c r="AA116" i="32" s="1"/>
  <c r="AA154" i="32" s="1"/>
  <c r="AB23" i="32"/>
  <c r="AB116" i="32" s="1"/>
  <c r="AB154" i="32" s="1"/>
  <c r="Y23" i="32"/>
  <c r="Y116" i="32" s="1"/>
  <c r="Y154" i="32" s="1"/>
  <c r="S23" i="32"/>
  <c r="S116" i="32" s="1"/>
  <c r="S154" i="32" s="1"/>
  <c r="AH23" i="32"/>
  <c r="AH116" i="32" s="1"/>
  <c r="AH154" i="32" s="1"/>
  <c r="AE23" i="32"/>
  <c r="AE116" i="32" s="1"/>
  <c r="AE154" i="32" s="1"/>
  <c r="AF23" i="32"/>
  <c r="AF116" i="32" s="1"/>
  <c r="AF154" i="32" s="1"/>
  <c r="AC23" i="32"/>
  <c r="AC116" i="32" s="1"/>
  <c r="AC154" i="32" s="1"/>
  <c r="V23" i="32"/>
  <c r="V116" i="32" s="1"/>
  <c r="V154" i="32" s="1"/>
  <c r="AL23" i="32"/>
  <c r="AL116" i="32" s="1"/>
  <c r="AL154" i="32" s="1"/>
  <c r="AI23" i="32"/>
  <c r="AI116" i="32" s="1"/>
  <c r="AI154" i="32" s="1"/>
  <c r="AK28" i="32"/>
  <c r="AH28" i="32"/>
  <c r="AI28" i="32"/>
  <c r="Y28" i="32"/>
  <c r="X28" i="32"/>
  <c r="AL28" i="32"/>
  <c r="AB28" i="32"/>
  <c r="AC28" i="32"/>
  <c r="Z28" i="32"/>
  <c r="AA28" i="32"/>
  <c r="AF28" i="32"/>
  <c r="AG28" i="32"/>
  <c r="AD28" i="32"/>
  <c r="AE28" i="32"/>
  <c r="AJ28" i="32"/>
  <c r="T22" i="32"/>
  <c r="T115" i="32" s="1"/>
  <c r="T153" i="32" s="1"/>
  <c r="AJ22" i="32"/>
  <c r="AJ115" i="32" s="1"/>
  <c r="AJ153" i="32" s="1"/>
  <c r="AG22" i="32"/>
  <c r="AG115" i="32" s="1"/>
  <c r="AG153" i="32" s="1"/>
  <c r="AD22" i="32"/>
  <c r="AD115" i="32" s="1"/>
  <c r="AD153" i="32" s="1"/>
  <c r="W22" i="32"/>
  <c r="W115" i="32" s="1"/>
  <c r="W153" i="32" s="1"/>
  <c r="R22" i="32"/>
  <c r="R115" i="32" s="1"/>
  <c r="R153" i="32" s="1"/>
  <c r="X22" i="32"/>
  <c r="X115" i="32" s="1"/>
  <c r="X153" i="32" s="1"/>
  <c r="U22" i="32"/>
  <c r="U115" i="32" s="1"/>
  <c r="U153" i="32" s="1"/>
  <c r="AK22" i="32"/>
  <c r="AK115" i="32" s="1"/>
  <c r="AK153" i="32" s="1"/>
  <c r="AH22" i="32"/>
  <c r="AH115" i="32" s="1"/>
  <c r="AH153" i="32" s="1"/>
  <c r="AA22" i="32"/>
  <c r="AA115" i="32" s="1"/>
  <c r="AA153" i="32" s="1"/>
  <c r="AB22" i="32"/>
  <c r="AB115" i="32" s="1"/>
  <c r="AB153" i="32" s="1"/>
  <c r="Y22" i="32"/>
  <c r="Y115" i="32" s="1"/>
  <c r="Y153" i="32" s="1"/>
  <c r="V22" i="32"/>
  <c r="V115" i="32" s="1"/>
  <c r="V153" i="32" s="1"/>
  <c r="AL22" i="32"/>
  <c r="AL115" i="32" s="1"/>
  <c r="AL153" i="32" s="1"/>
  <c r="AE22" i="32"/>
  <c r="AE115" i="32" s="1"/>
  <c r="AE153" i="32" s="1"/>
  <c r="AF22" i="32"/>
  <c r="AF115" i="32" s="1"/>
  <c r="AF153" i="32" s="1"/>
  <c r="AC22" i="32"/>
  <c r="AC115" i="32" s="1"/>
  <c r="AC153" i="32" s="1"/>
  <c r="Z22" i="32"/>
  <c r="Z115" i="32" s="1"/>
  <c r="Z153" i="32" s="1"/>
  <c r="S22" i="32"/>
  <c r="S115" i="32" s="1"/>
  <c r="S153" i="32" s="1"/>
  <c r="AI22" i="32"/>
  <c r="AI115" i="32" s="1"/>
  <c r="AI153" i="32" s="1"/>
  <c r="AE24" i="32"/>
  <c r="AE117" i="32" s="1"/>
  <c r="AE155" i="32" s="1"/>
  <c r="AB24" i="32"/>
  <c r="AB117" i="32" s="1"/>
  <c r="AB155" i="32" s="1"/>
  <c r="Y24" i="32"/>
  <c r="Y117" i="32" s="1"/>
  <c r="Y155" i="32" s="1"/>
  <c r="V24" i="32"/>
  <c r="V117" i="32" s="1"/>
  <c r="V155" i="32" s="1"/>
  <c r="AL24" i="32"/>
  <c r="AL117" i="32" s="1"/>
  <c r="AL155" i="32" s="1"/>
  <c r="AI24" i="32"/>
  <c r="AI117" i="32" s="1"/>
  <c r="AI155" i="32" s="1"/>
  <c r="AF24" i="32"/>
  <c r="AF117" i="32" s="1"/>
  <c r="AF155" i="32" s="1"/>
  <c r="AC24" i="32"/>
  <c r="AC117" i="32" s="1"/>
  <c r="AC155" i="32" s="1"/>
  <c r="Z24" i="32"/>
  <c r="Z117" i="32" s="1"/>
  <c r="Z155" i="32" s="1"/>
  <c r="W24" i="32"/>
  <c r="W117" i="32" s="1"/>
  <c r="W155" i="32" s="1"/>
  <c r="T24" i="32"/>
  <c r="T117" i="32" s="1"/>
  <c r="T155" i="32" s="1"/>
  <c r="AJ24" i="32"/>
  <c r="AJ117" i="32" s="1"/>
  <c r="AJ155" i="32" s="1"/>
  <c r="AG24" i="32"/>
  <c r="AG117" i="32" s="1"/>
  <c r="AG155" i="32" s="1"/>
  <c r="AD24" i="32"/>
  <c r="AD117" i="32" s="1"/>
  <c r="AD155" i="32" s="1"/>
  <c r="AA24" i="32"/>
  <c r="AA117" i="32" s="1"/>
  <c r="AA155" i="32" s="1"/>
  <c r="X24" i="32"/>
  <c r="X117" i="32" s="1"/>
  <c r="X155" i="32" s="1"/>
  <c r="U24" i="32"/>
  <c r="U117" i="32" s="1"/>
  <c r="U155" i="32" s="1"/>
  <c r="AK24" i="32"/>
  <c r="AK117" i="32" s="1"/>
  <c r="AK155" i="32" s="1"/>
  <c r="AH24" i="32"/>
  <c r="AH117" i="32" s="1"/>
  <c r="AH155" i="32" s="1"/>
  <c r="Q17" i="32"/>
  <c r="Q110" i="32" s="1"/>
  <c r="Q148" i="32" s="1"/>
  <c r="AG17" i="32"/>
  <c r="AG110" i="32" s="1"/>
  <c r="AG148" i="32" s="1"/>
  <c r="V17" i="32"/>
  <c r="V110" i="32" s="1"/>
  <c r="V148" i="32" s="1"/>
  <c r="AL17" i="32"/>
  <c r="AL110" i="32" s="1"/>
  <c r="AL148" i="32" s="1"/>
  <c r="AA17" i="32"/>
  <c r="AA110" i="32" s="1"/>
  <c r="AA148" i="32" s="1"/>
  <c r="T17" i="32"/>
  <c r="T110" i="32" s="1"/>
  <c r="T148" i="32" s="1"/>
  <c r="AJ17" i="32"/>
  <c r="AJ110" i="32" s="1"/>
  <c r="AJ148" i="32" s="1"/>
  <c r="U17" i="32"/>
  <c r="U110" i="32" s="1"/>
  <c r="U148" i="32" s="1"/>
  <c r="AK17" i="32"/>
  <c r="AK110" i="32" s="1"/>
  <c r="AK148" i="32" s="1"/>
  <c r="Z17" i="32"/>
  <c r="Z110" i="32" s="1"/>
  <c r="Z148" i="32" s="1"/>
  <c r="O17" i="32"/>
  <c r="O110" i="32" s="1"/>
  <c r="O148" i="32" s="1"/>
  <c r="AE17" i="32"/>
  <c r="AE110" i="32" s="1"/>
  <c r="AE148" i="32" s="1"/>
  <c r="X17" i="32"/>
  <c r="X110" i="32" s="1"/>
  <c r="X148" i="32" s="1"/>
  <c r="M17" i="32"/>
  <c r="M110" i="32" s="1"/>
  <c r="M148" i="32" s="1"/>
  <c r="Y17" i="32"/>
  <c r="Y110" i="32" s="1"/>
  <c r="Y148" i="32" s="1"/>
  <c r="N17" i="32"/>
  <c r="N110" i="32" s="1"/>
  <c r="N148" i="32" s="1"/>
  <c r="AD17" i="32"/>
  <c r="AD110" i="32" s="1"/>
  <c r="AD148" i="32" s="1"/>
  <c r="S17" i="32"/>
  <c r="S110" i="32" s="1"/>
  <c r="S148" i="32" s="1"/>
  <c r="AI17" i="32"/>
  <c r="AI110" i="32" s="1"/>
  <c r="AI148" i="32" s="1"/>
  <c r="AB17" i="32"/>
  <c r="AB110" i="32" s="1"/>
  <c r="AB148" i="32" s="1"/>
  <c r="AC17" i="32"/>
  <c r="AC110" i="32" s="1"/>
  <c r="AC148" i="32" s="1"/>
  <c r="R17" i="32"/>
  <c r="R110" i="32" s="1"/>
  <c r="R148" i="32" s="1"/>
  <c r="AH17" i="32"/>
  <c r="AH110" i="32" s="1"/>
  <c r="AH148" i="32" s="1"/>
  <c r="W17" i="32"/>
  <c r="W110" i="32" s="1"/>
  <c r="W148" i="32" s="1"/>
  <c r="P17" i="32"/>
  <c r="P110" i="32" s="1"/>
  <c r="P148" i="32" s="1"/>
  <c r="AF17" i="32"/>
  <c r="AF110" i="32" s="1"/>
  <c r="AF148" i="32" s="1"/>
  <c r="Z26" i="32"/>
  <c r="Z119" i="32" s="1"/>
  <c r="Z157" i="32" s="1"/>
  <c r="W26" i="32"/>
  <c r="W119" i="32" s="1"/>
  <c r="W157" i="32" s="1"/>
  <c r="X26" i="32"/>
  <c r="X119" i="32" s="1"/>
  <c r="X157" i="32" s="1"/>
  <c r="Y26" i="32"/>
  <c r="Y119" i="32" s="1"/>
  <c r="Y157" i="32" s="1"/>
  <c r="V26" i="32"/>
  <c r="V119" i="32" s="1"/>
  <c r="V157" i="32" s="1"/>
  <c r="AD26" i="32"/>
  <c r="AD119" i="32" s="1"/>
  <c r="AD157" i="32" s="1"/>
  <c r="AA26" i="32"/>
  <c r="AA119" i="32" s="1"/>
  <c r="AA157" i="32" s="1"/>
  <c r="AB26" i="32"/>
  <c r="AB119" i="32" s="1"/>
  <c r="AB157" i="32" s="1"/>
  <c r="AC26" i="32"/>
  <c r="AC119" i="32" s="1"/>
  <c r="AC157" i="32" s="1"/>
  <c r="AH26" i="32"/>
  <c r="AH119" i="32" s="1"/>
  <c r="AH157" i="32" s="1"/>
  <c r="AE26" i="32"/>
  <c r="AE119" i="32" s="1"/>
  <c r="AE157" i="32" s="1"/>
  <c r="AF26" i="32"/>
  <c r="AF119" i="32" s="1"/>
  <c r="AF157" i="32" s="1"/>
  <c r="AG26" i="32"/>
  <c r="AG119" i="32" s="1"/>
  <c r="AG157" i="32" s="1"/>
  <c r="AL26" i="32"/>
  <c r="AL119" i="32" s="1"/>
  <c r="AL157" i="32" s="1"/>
  <c r="AI26" i="32"/>
  <c r="AI119" i="32" s="1"/>
  <c r="AI157" i="32" s="1"/>
  <c r="AJ26" i="32"/>
  <c r="AJ119" i="32" s="1"/>
  <c r="AJ157" i="32" s="1"/>
  <c r="AK26" i="32"/>
  <c r="AK119" i="32" s="1"/>
  <c r="AK157" i="32" s="1"/>
  <c r="R19" i="32"/>
  <c r="R112" i="32" s="1"/>
  <c r="R150" i="32" s="1"/>
  <c r="AH19" i="32"/>
  <c r="AH112" i="32" s="1"/>
  <c r="AH150" i="32" s="1"/>
  <c r="AA19" i="32"/>
  <c r="AA112" i="32" s="1"/>
  <c r="AA150" i="32" s="1"/>
  <c r="P19" i="32"/>
  <c r="P112" i="32" s="1"/>
  <c r="P150" i="32" s="1"/>
  <c r="AF19" i="32"/>
  <c r="AF112" i="32" s="1"/>
  <c r="AF150" i="32" s="1"/>
  <c r="Y19" i="32"/>
  <c r="Y112" i="32" s="1"/>
  <c r="Y150" i="32" s="1"/>
  <c r="V19" i="32"/>
  <c r="V112" i="32" s="1"/>
  <c r="V150" i="32" s="1"/>
  <c r="AL19" i="32"/>
  <c r="AL112" i="32" s="1"/>
  <c r="AL150" i="32" s="1"/>
  <c r="AE19" i="32"/>
  <c r="AE112" i="32" s="1"/>
  <c r="AE150" i="32" s="1"/>
  <c r="T19" i="32"/>
  <c r="T112" i="32" s="1"/>
  <c r="T150" i="32" s="1"/>
  <c r="AJ19" i="32"/>
  <c r="AJ112" i="32" s="1"/>
  <c r="AJ150" i="32" s="1"/>
  <c r="AC19" i="32"/>
  <c r="AC112" i="32" s="1"/>
  <c r="AC150" i="32" s="1"/>
  <c r="Z19" i="32"/>
  <c r="Z112" i="32" s="1"/>
  <c r="Z150" i="32" s="1"/>
  <c r="S19" i="32"/>
  <c r="S112" i="32" s="1"/>
  <c r="S150" i="32" s="1"/>
  <c r="AI19" i="32"/>
  <c r="AI112" i="32" s="1"/>
  <c r="AI150" i="32" s="1"/>
  <c r="X19" i="32"/>
  <c r="X112" i="32" s="1"/>
  <c r="X150" i="32" s="1"/>
  <c r="Q19" i="32"/>
  <c r="Q112" i="32" s="1"/>
  <c r="Q150" i="32" s="1"/>
  <c r="AG19" i="32"/>
  <c r="AG112" i="32" s="1"/>
  <c r="AG150" i="32" s="1"/>
  <c r="AD19" i="32"/>
  <c r="AD112" i="32" s="1"/>
  <c r="AD150" i="32" s="1"/>
  <c r="W19" i="32"/>
  <c r="W112" i="32" s="1"/>
  <c r="W150" i="32" s="1"/>
  <c r="O19" i="32"/>
  <c r="O112" i="32" s="1"/>
  <c r="O150" i="32" s="1"/>
  <c r="AB19" i="32"/>
  <c r="AB112" i="32" s="1"/>
  <c r="AB150" i="32" s="1"/>
  <c r="U19" i="32"/>
  <c r="U112" i="32" s="1"/>
  <c r="U150" i="32" s="1"/>
  <c r="AK19" i="32"/>
  <c r="AK112" i="32" s="1"/>
  <c r="AK150" i="32" s="1"/>
  <c r="AN67" i="32"/>
  <c r="AP67" i="32"/>
  <c r="AO67" i="32"/>
  <c r="AH87" i="32"/>
  <c r="W87" i="32"/>
  <c r="AL87" i="32"/>
  <c r="AD87" i="32"/>
  <c r="Y87" i="32"/>
  <c r="AK87" i="32"/>
  <c r="P87" i="32"/>
  <c r="X87" i="32"/>
  <c r="T87" i="32"/>
  <c r="Z87" i="32"/>
  <c r="R87" i="32"/>
  <c r="V87" i="32"/>
  <c r="AJ87" i="32"/>
  <c r="O87" i="32"/>
  <c r="U87" i="32"/>
  <c r="AC87" i="32"/>
  <c r="Q87" i="32"/>
  <c r="I87" i="32"/>
  <c r="AF87" i="32"/>
  <c r="AB87" i="32"/>
  <c r="J87" i="32"/>
  <c r="AG87" i="32"/>
  <c r="M87" i="32"/>
  <c r="E87" i="32"/>
  <c r="F87" i="32"/>
  <c r="H87" i="32"/>
  <c r="N87" i="32"/>
  <c r="AA87" i="32"/>
  <c r="S87" i="32"/>
  <c r="AI87" i="32"/>
  <c r="G87" i="32"/>
  <c r="L87" i="32"/>
  <c r="D87" i="32"/>
  <c r="AE87" i="32"/>
  <c r="K87" i="32"/>
  <c r="G5" i="68" l="1"/>
  <c r="F157" i="68"/>
  <c r="F158" i="68"/>
  <c r="F160" i="68"/>
  <c r="F161" i="68"/>
  <c r="F165" i="68"/>
  <c r="F154" i="68"/>
  <c r="F159" i="68"/>
  <c r="F156" i="68"/>
  <c r="F153" i="68"/>
  <c r="F162" i="68"/>
  <c r="F155" i="68"/>
  <c r="F163" i="68"/>
  <c r="F164" i="68"/>
  <c r="N24" i="66"/>
  <c r="N25" i="66"/>
  <c r="N2" i="76"/>
  <c r="V133" i="73"/>
  <c r="V149" i="73"/>
  <c r="G41" i="66" s="1"/>
  <c r="V150" i="73"/>
  <c r="G40" i="66" s="1"/>
  <c r="V140" i="73"/>
  <c r="V26" i="73"/>
  <c r="AA26" i="73"/>
  <c r="V138" i="73"/>
  <c r="V139" i="73"/>
  <c r="V144" i="73"/>
  <c r="Z26" i="73"/>
  <c r="AB26" i="73"/>
  <c r="AB95" i="73" s="1"/>
  <c r="AB123" i="73" s="1"/>
  <c r="V141" i="73"/>
  <c r="V142" i="73"/>
  <c r="V143" i="73"/>
  <c r="V148" i="73"/>
  <c r="V132" i="73" s="1"/>
  <c r="W26" i="73"/>
  <c r="V145" i="73"/>
  <c r="V146" i="73"/>
  <c r="V147" i="73"/>
  <c r="Y26" i="73"/>
  <c r="X26" i="73"/>
  <c r="G153" i="73"/>
  <c r="G155" i="73"/>
  <c r="G159" i="73"/>
  <c r="G163" i="73"/>
  <c r="G156" i="73"/>
  <c r="G160" i="73"/>
  <c r="G164" i="73"/>
  <c r="G157" i="73"/>
  <c r="G161" i="73"/>
  <c r="G165" i="73"/>
  <c r="G154" i="73"/>
  <c r="G158" i="73"/>
  <c r="G162" i="73"/>
  <c r="U92" i="69"/>
  <c r="U120" i="69" s="1"/>
  <c r="U131" i="69" s="1"/>
  <c r="V57" i="69"/>
  <c r="V67" i="69" s="1"/>
  <c r="S92" i="69"/>
  <c r="S120" i="69" s="1"/>
  <c r="S131" i="69" s="1"/>
  <c r="S134" i="69" s="1"/>
  <c r="D20" i="66" s="1"/>
  <c r="T57" i="69"/>
  <c r="T67" i="69" s="1"/>
  <c r="Z92" i="69"/>
  <c r="Z120" i="69" s="1"/>
  <c r="Z131" i="69" s="1"/>
  <c r="AA57" i="69"/>
  <c r="AA67" i="69" s="1"/>
  <c r="N2" i="66"/>
  <c r="G156" i="71"/>
  <c r="G160" i="71"/>
  <c r="G165" i="71"/>
  <c r="G153" i="71"/>
  <c r="G157" i="71"/>
  <c r="G161" i="71"/>
  <c r="G154" i="71"/>
  <c r="G158" i="71"/>
  <c r="G162" i="71"/>
  <c r="G163" i="71"/>
  <c r="G155" i="71"/>
  <c r="G159" i="71"/>
  <c r="G164" i="71"/>
  <c r="AA92" i="69"/>
  <c r="AA120" i="69" s="1"/>
  <c r="AA131" i="69" s="1"/>
  <c r="AB57" i="69"/>
  <c r="AB67" i="69" s="1"/>
  <c r="V92" i="69"/>
  <c r="V120" i="69" s="1"/>
  <c r="V131" i="69" s="1"/>
  <c r="W57" i="69"/>
  <c r="W67" i="69" s="1"/>
  <c r="G165" i="69"/>
  <c r="G163" i="69"/>
  <c r="G158" i="69"/>
  <c r="G155" i="69"/>
  <c r="G164" i="69"/>
  <c r="G162" i="69"/>
  <c r="G161" i="69"/>
  <c r="G157" i="69"/>
  <c r="G159" i="69"/>
  <c r="G160" i="69"/>
  <c r="G156" i="69"/>
  <c r="G154" i="69"/>
  <c r="G153" i="69"/>
  <c r="X92" i="69"/>
  <c r="X120" i="69" s="1"/>
  <c r="X131" i="69" s="1"/>
  <c r="Y57" i="69"/>
  <c r="Y67" i="69" s="1"/>
  <c r="W92" i="69"/>
  <c r="W120" i="69" s="1"/>
  <c r="W131" i="69" s="1"/>
  <c r="X57" i="69"/>
  <c r="X67" i="69" s="1"/>
  <c r="I156" i="72"/>
  <c r="I160" i="72"/>
  <c r="I153" i="72"/>
  <c r="I157" i="72"/>
  <c r="I155" i="72"/>
  <c r="I159" i="72"/>
  <c r="I163" i="72"/>
  <c r="I164" i="72"/>
  <c r="I154" i="72"/>
  <c r="I161" i="72"/>
  <c r="I158" i="72"/>
  <c r="I162" i="72"/>
  <c r="I165" i="72"/>
  <c r="G154" i="70"/>
  <c r="G158" i="70"/>
  <c r="G162" i="70"/>
  <c r="G155" i="70"/>
  <c r="G159" i="70"/>
  <c r="G163" i="70"/>
  <c r="G156" i="70"/>
  <c r="G160" i="70"/>
  <c r="G164" i="70"/>
  <c r="G153" i="70"/>
  <c r="G157" i="70"/>
  <c r="G161" i="70"/>
  <c r="G165" i="70"/>
  <c r="Y92" i="69"/>
  <c r="Y120" i="69" s="1"/>
  <c r="Y131" i="69" s="1"/>
  <c r="Z57" i="69"/>
  <c r="Z67" i="69" s="1"/>
  <c r="T92" i="69"/>
  <c r="T120" i="69" s="1"/>
  <c r="T131" i="69" s="1"/>
  <c r="U57" i="69"/>
  <c r="U67" i="69" s="1"/>
  <c r="Y25" i="70"/>
  <c r="Y94" i="70" s="1"/>
  <c r="V25" i="70"/>
  <c r="V94" i="70" s="1"/>
  <c r="W25" i="70"/>
  <c r="AA25" i="70"/>
  <c r="AA94" i="70" s="1"/>
  <c r="Z25" i="70"/>
  <c r="X25" i="70"/>
  <c r="AB25" i="70"/>
  <c r="U25" i="70"/>
  <c r="U94" i="70" s="1"/>
  <c r="U132" i="70"/>
  <c r="H155" i="65"/>
  <c r="H164" i="65"/>
  <c r="G165" i="64"/>
  <c r="G164" i="64"/>
  <c r="G160" i="64"/>
  <c r="G162" i="64"/>
  <c r="G161" i="64"/>
  <c r="G156" i="64"/>
  <c r="G159" i="64"/>
  <c r="G154" i="64"/>
  <c r="G163" i="64"/>
  <c r="G157" i="64"/>
  <c r="G158" i="64"/>
  <c r="H5" i="64"/>
  <c r="G155" i="64"/>
  <c r="G153" i="64"/>
  <c r="H154" i="65"/>
  <c r="H163" i="65"/>
  <c r="H158" i="65"/>
  <c r="I5" i="65"/>
  <c r="I161" i="65" s="1"/>
  <c r="H160" i="65"/>
  <c r="H153" i="65"/>
  <c r="H156" i="65"/>
  <c r="H162" i="65"/>
  <c r="H165" i="65"/>
  <c r="H157" i="65"/>
  <c r="H159" i="65"/>
  <c r="H5" i="70"/>
  <c r="H5" i="69"/>
  <c r="H5" i="71"/>
  <c r="H5" i="73"/>
  <c r="J5" i="72"/>
  <c r="D133" i="52"/>
  <c r="R71" i="52"/>
  <c r="R73" i="52"/>
  <c r="R70" i="52"/>
  <c r="R72" i="52"/>
  <c r="O72" i="52"/>
  <c r="O71" i="52"/>
  <c r="O73" i="52"/>
  <c r="O70" i="52"/>
  <c r="P72" i="52"/>
  <c r="P71" i="52"/>
  <c r="P73" i="52"/>
  <c r="P70" i="52"/>
  <c r="AB72" i="52"/>
  <c r="AB71" i="52"/>
  <c r="AB73" i="52"/>
  <c r="AB70" i="52"/>
  <c r="Z71" i="52"/>
  <c r="Z73" i="52"/>
  <c r="Z70" i="52"/>
  <c r="Z72" i="52"/>
  <c r="Q73" i="52"/>
  <c r="Q70" i="52"/>
  <c r="Q72" i="52"/>
  <c r="Q71" i="52"/>
  <c r="G72" i="52"/>
  <c r="G71" i="52"/>
  <c r="G73" i="52"/>
  <c r="G70" i="52"/>
  <c r="AA72" i="52"/>
  <c r="AA71" i="52"/>
  <c r="AA73" i="52"/>
  <c r="AA70" i="52"/>
  <c r="L72" i="52"/>
  <c r="L71" i="52"/>
  <c r="L73" i="52"/>
  <c r="L70" i="52"/>
  <c r="Y73" i="52"/>
  <c r="Y70" i="52"/>
  <c r="Y72" i="52"/>
  <c r="Y71" i="52"/>
  <c r="N71" i="52"/>
  <c r="N73" i="52"/>
  <c r="N70" i="52"/>
  <c r="N72" i="52"/>
  <c r="U73" i="52"/>
  <c r="U70" i="52"/>
  <c r="U72" i="52"/>
  <c r="U71" i="52"/>
  <c r="H72" i="52"/>
  <c r="H71" i="52"/>
  <c r="H73" i="52"/>
  <c r="H70" i="52"/>
  <c r="I73" i="52"/>
  <c r="I70" i="52"/>
  <c r="I72" i="52"/>
  <c r="I71" i="52"/>
  <c r="W72" i="52"/>
  <c r="W71" i="52"/>
  <c r="W73" i="52"/>
  <c r="W70" i="52"/>
  <c r="J71" i="52"/>
  <c r="J73" i="52"/>
  <c r="J70" i="52"/>
  <c r="J72" i="52"/>
  <c r="F71" i="52"/>
  <c r="F73" i="52"/>
  <c r="F70" i="52"/>
  <c r="F72" i="52"/>
  <c r="K72" i="52"/>
  <c r="K71" i="52"/>
  <c r="K73" i="52"/>
  <c r="K70" i="52"/>
  <c r="T72" i="52"/>
  <c r="T71" i="52"/>
  <c r="T73" i="52"/>
  <c r="T70" i="52"/>
  <c r="C73" i="52"/>
  <c r="C72" i="52"/>
  <c r="C71" i="52"/>
  <c r="E73" i="52"/>
  <c r="E70" i="52"/>
  <c r="E72" i="52"/>
  <c r="E71" i="52"/>
  <c r="S72" i="52"/>
  <c r="S71" i="52"/>
  <c r="S73" i="52"/>
  <c r="S70" i="52"/>
  <c r="M73" i="52"/>
  <c r="M70" i="52"/>
  <c r="M72" i="52"/>
  <c r="M71" i="52"/>
  <c r="X72" i="52"/>
  <c r="X71" i="52"/>
  <c r="X73" i="52"/>
  <c r="X70" i="52"/>
  <c r="V71" i="52"/>
  <c r="V73" i="52"/>
  <c r="V70" i="52"/>
  <c r="V72" i="52"/>
  <c r="P131" i="52"/>
  <c r="L131" i="52"/>
  <c r="Y131" i="52"/>
  <c r="N131" i="52"/>
  <c r="K131" i="52"/>
  <c r="X131" i="52"/>
  <c r="Z131" i="52"/>
  <c r="F131" i="52"/>
  <c r="U131" i="52"/>
  <c r="I131" i="52"/>
  <c r="W131" i="52"/>
  <c r="R131" i="52"/>
  <c r="Q131" i="52"/>
  <c r="G131" i="52"/>
  <c r="H131" i="52"/>
  <c r="AA131" i="52"/>
  <c r="O131" i="52"/>
  <c r="AB131" i="52"/>
  <c r="J131" i="52"/>
  <c r="S131" i="52"/>
  <c r="M131" i="52"/>
  <c r="T131" i="52"/>
  <c r="D131" i="52"/>
  <c r="E131" i="52"/>
  <c r="V131" i="52"/>
  <c r="R180" i="52"/>
  <c r="R184" i="52" s="1"/>
  <c r="R178" i="52"/>
  <c r="R182" i="52" s="1"/>
  <c r="R179" i="52"/>
  <c r="R183" i="52" s="1"/>
  <c r="P180" i="52"/>
  <c r="P184" i="52" s="1"/>
  <c r="P178" i="52"/>
  <c r="P182" i="52" s="1"/>
  <c r="P179" i="52"/>
  <c r="P183" i="52" s="1"/>
  <c r="Z180" i="52"/>
  <c r="Z184" i="52" s="1"/>
  <c r="Z178" i="52"/>
  <c r="Z182" i="52" s="1"/>
  <c r="Z179" i="52"/>
  <c r="Z183" i="52" s="1"/>
  <c r="G179" i="52"/>
  <c r="G183" i="52" s="1"/>
  <c r="G180" i="52"/>
  <c r="G184" i="52" s="1"/>
  <c r="G178" i="52"/>
  <c r="G182" i="52" s="1"/>
  <c r="AA179" i="52"/>
  <c r="AA183" i="52" s="1"/>
  <c r="AA180" i="52"/>
  <c r="AA184" i="52" s="1"/>
  <c r="AA178" i="52"/>
  <c r="AA182" i="52" s="1"/>
  <c r="L180" i="52"/>
  <c r="L184" i="52" s="1"/>
  <c r="L178" i="52"/>
  <c r="L182" i="52" s="1"/>
  <c r="L179" i="52"/>
  <c r="L183" i="52" s="1"/>
  <c r="Y180" i="52"/>
  <c r="Y184" i="52" s="1"/>
  <c r="Y178" i="52"/>
  <c r="Y182" i="52" s="1"/>
  <c r="Y179" i="52"/>
  <c r="Y183" i="52" s="1"/>
  <c r="N180" i="52"/>
  <c r="N184" i="52" s="1"/>
  <c r="N178" i="52"/>
  <c r="N182" i="52" s="1"/>
  <c r="N179" i="52"/>
  <c r="N183" i="52" s="1"/>
  <c r="U180" i="52"/>
  <c r="U184" i="52" s="1"/>
  <c r="U178" i="52"/>
  <c r="U182" i="52" s="1"/>
  <c r="U179" i="52"/>
  <c r="U183" i="52" s="1"/>
  <c r="H180" i="52"/>
  <c r="H184" i="52" s="1"/>
  <c r="H178" i="52"/>
  <c r="H182" i="52" s="1"/>
  <c r="H179" i="52"/>
  <c r="H183" i="52" s="1"/>
  <c r="O179" i="52"/>
  <c r="O183" i="52" s="1"/>
  <c r="O180" i="52"/>
  <c r="O184" i="52" s="1"/>
  <c r="O178" i="52"/>
  <c r="O182" i="52" s="1"/>
  <c r="AB180" i="52"/>
  <c r="AB184" i="52" s="1"/>
  <c r="AB178" i="52"/>
  <c r="AB182" i="52" s="1"/>
  <c r="AB179" i="52"/>
  <c r="AB183" i="52" s="1"/>
  <c r="I180" i="52"/>
  <c r="I184" i="52" s="1"/>
  <c r="I178" i="52"/>
  <c r="I182" i="52" s="1"/>
  <c r="I179" i="52"/>
  <c r="I183" i="52" s="1"/>
  <c r="W179" i="52"/>
  <c r="W183" i="52" s="1"/>
  <c r="W180" i="52"/>
  <c r="W184" i="52" s="1"/>
  <c r="W178" i="52"/>
  <c r="W182" i="52" s="1"/>
  <c r="J180" i="52"/>
  <c r="J184" i="52" s="1"/>
  <c r="J178" i="52"/>
  <c r="J182" i="52" s="1"/>
  <c r="J179" i="52"/>
  <c r="J183" i="52" s="1"/>
  <c r="F180" i="52"/>
  <c r="F184" i="52" s="1"/>
  <c r="F178" i="52"/>
  <c r="F182" i="52" s="1"/>
  <c r="F179" i="52"/>
  <c r="F183" i="52" s="1"/>
  <c r="K179" i="52"/>
  <c r="K183" i="52" s="1"/>
  <c r="K180" i="52"/>
  <c r="K184" i="52" s="1"/>
  <c r="K178" i="52"/>
  <c r="K182" i="52" s="1"/>
  <c r="T180" i="52"/>
  <c r="T184" i="52" s="1"/>
  <c r="T178" i="52"/>
  <c r="T182" i="52" s="1"/>
  <c r="T179" i="52"/>
  <c r="T183" i="52" s="1"/>
  <c r="Q180" i="52"/>
  <c r="Q184" i="52" s="1"/>
  <c r="Q178" i="52"/>
  <c r="Q182" i="52" s="1"/>
  <c r="Q179" i="52"/>
  <c r="Q183" i="52" s="1"/>
  <c r="C178" i="52"/>
  <c r="C182" i="52" s="1"/>
  <c r="C180" i="52"/>
  <c r="C184" i="52" s="1"/>
  <c r="C179" i="52"/>
  <c r="C183" i="52" s="1"/>
  <c r="E180" i="52"/>
  <c r="E184" i="52" s="1"/>
  <c r="E178" i="52"/>
  <c r="E182" i="52" s="1"/>
  <c r="E179" i="52"/>
  <c r="E183" i="52" s="1"/>
  <c r="S179" i="52"/>
  <c r="S183" i="52" s="1"/>
  <c r="S180" i="52"/>
  <c r="S184" i="52" s="1"/>
  <c r="S178" i="52"/>
  <c r="S182" i="52" s="1"/>
  <c r="M180" i="52"/>
  <c r="M184" i="52" s="1"/>
  <c r="M178" i="52"/>
  <c r="M182" i="52" s="1"/>
  <c r="M179" i="52"/>
  <c r="M183" i="52" s="1"/>
  <c r="X180" i="52"/>
  <c r="X184" i="52" s="1"/>
  <c r="X178" i="52"/>
  <c r="X182" i="52" s="1"/>
  <c r="X179" i="52"/>
  <c r="X183" i="52" s="1"/>
  <c r="V180" i="52"/>
  <c r="V184" i="52" s="1"/>
  <c r="V178" i="52"/>
  <c r="V182" i="52" s="1"/>
  <c r="V179" i="52"/>
  <c r="V183" i="52" s="1"/>
  <c r="AA176" i="52"/>
  <c r="AA172" i="52"/>
  <c r="AA169" i="52"/>
  <c r="AA175" i="52"/>
  <c r="AA171" i="52"/>
  <c r="AA168" i="52"/>
  <c r="AA174" i="52"/>
  <c r="AA170" i="52"/>
  <c r="AA177" i="52"/>
  <c r="AA173" i="52"/>
  <c r="L177" i="52"/>
  <c r="L173" i="52"/>
  <c r="L176" i="52"/>
  <c r="L172" i="52"/>
  <c r="L169" i="52"/>
  <c r="L175" i="52"/>
  <c r="L171" i="52"/>
  <c r="L168" i="52"/>
  <c r="L174" i="52"/>
  <c r="L170" i="52"/>
  <c r="Y174" i="52"/>
  <c r="Y170" i="52"/>
  <c r="Y177" i="52"/>
  <c r="Y173" i="52"/>
  <c r="Y176" i="52"/>
  <c r="Y172" i="52"/>
  <c r="Y169" i="52"/>
  <c r="Y175" i="52"/>
  <c r="Y171" i="52"/>
  <c r="Y168" i="52"/>
  <c r="N175" i="52"/>
  <c r="N171" i="52"/>
  <c r="N168" i="52"/>
  <c r="N174" i="52"/>
  <c r="N170" i="52"/>
  <c r="N177" i="52"/>
  <c r="N173" i="52"/>
  <c r="N176" i="52"/>
  <c r="N172" i="52"/>
  <c r="N169" i="52"/>
  <c r="U174" i="52"/>
  <c r="U170" i="52"/>
  <c r="U177" i="52"/>
  <c r="U173" i="52"/>
  <c r="U176" i="52"/>
  <c r="U172" i="52"/>
  <c r="U169" i="52"/>
  <c r="U175" i="52"/>
  <c r="U171" i="52"/>
  <c r="U168" i="52"/>
  <c r="H177" i="52"/>
  <c r="H173" i="52"/>
  <c r="H176" i="52"/>
  <c r="H172" i="52"/>
  <c r="H169" i="52"/>
  <c r="H175" i="52"/>
  <c r="H171" i="52"/>
  <c r="H168" i="52"/>
  <c r="H174" i="52"/>
  <c r="H170" i="52"/>
  <c r="I174" i="52"/>
  <c r="I170" i="52"/>
  <c r="I177" i="52"/>
  <c r="I173" i="52"/>
  <c r="I176" i="52"/>
  <c r="I172" i="52"/>
  <c r="I169" i="52"/>
  <c r="I175" i="52"/>
  <c r="I171" i="52"/>
  <c r="I168" i="52"/>
  <c r="W176" i="52"/>
  <c r="W172" i="52"/>
  <c r="W169" i="52"/>
  <c r="W175" i="52"/>
  <c r="W171" i="52"/>
  <c r="W168" i="52"/>
  <c r="W174" i="52"/>
  <c r="W170" i="52"/>
  <c r="W177" i="52"/>
  <c r="W173" i="52"/>
  <c r="J175" i="52"/>
  <c r="J171" i="52"/>
  <c r="J168" i="52"/>
  <c r="J174" i="52"/>
  <c r="J170" i="52"/>
  <c r="J177" i="52"/>
  <c r="J173" i="52"/>
  <c r="J176" i="52"/>
  <c r="J172" i="52"/>
  <c r="J169" i="52"/>
  <c r="F175" i="52"/>
  <c r="F171" i="52"/>
  <c r="F168" i="52"/>
  <c r="F174" i="52"/>
  <c r="F170" i="52"/>
  <c r="F177" i="52"/>
  <c r="F173" i="52"/>
  <c r="F176" i="52"/>
  <c r="F172" i="52"/>
  <c r="F169" i="52"/>
  <c r="K176" i="52"/>
  <c r="K172" i="52"/>
  <c r="K169" i="52"/>
  <c r="K175" i="52"/>
  <c r="K171" i="52"/>
  <c r="K168" i="52"/>
  <c r="K174" i="52"/>
  <c r="K170" i="52"/>
  <c r="K177" i="52"/>
  <c r="K173" i="52"/>
  <c r="T177" i="52"/>
  <c r="T173" i="52"/>
  <c r="T176" i="52"/>
  <c r="T172" i="52"/>
  <c r="T169" i="52"/>
  <c r="T175" i="52"/>
  <c r="T171" i="52"/>
  <c r="T168" i="52"/>
  <c r="T174" i="52"/>
  <c r="T170" i="52"/>
  <c r="C177" i="52"/>
  <c r="C173" i="52"/>
  <c r="C169" i="52"/>
  <c r="C176" i="52"/>
  <c r="C172" i="52"/>
  <c r="C175" i="52"/>
  <c r="C171" i="52"/>
  <c r="C174" i="52"/>
  <c r="C170" i="52"/>
  <c r="C168" i="52"/>
  <c r="E174" i="52"/>
  <c r="E170" i="52"/>
  <c r="E177" i="52"/>
  <c r="E173" i="52"/>
  <c r="E176" i="52"/>
  <c r="E172" i="52"/>
  <c r="E169" i="52"/>
  <c r="E175" i="52"/>
  <c r="E171" i="52"/>
  <c r="E168" i="52"/>
  <c r="S176" i="52"/>
  <c r="S172" i="52"/>
  <c r="S169" i="52"/>
  <c r="S175" i="52"/>
  <c r="S171" i="52"/>
  <c r="S168" i="52"/>
  <c r="S174" i="52"/>
  <c r="S170" i="52"/>
  <c r="S177" i="52"/>
  <c r="S173" i="52"/>
  <c r="M174" i="52"/>
  <c r="M170" i="52"/>
  <c r="M177" i="52"/>
  <c r="M173" i="52"/>
  <c r="M176" i="52"/>
  <c r="M172" i="52"/>
  <c r="M169" i="52"/>
  <c r="M175" i="52"/>
  <c r="M171" i="52"/>
  <c r="M168" i="52"/>
  <c r="X177" i="52"/>
  <c r="X173" i="52"/>
  <c r="X176" i="52"/>
  <c r="X172" i="52"/>
  <c r="X169" i="52"/>
  <c r="X175" i="52"/>
  <c r="X171" i="52"/>
  <c r="X168" i="52"/>
  <c r="X174" i="52"/>
  <c r="X170" i="52"/>
  <c r="V175" i="52"/>
  <c r="V171" i="52"/>
  <c r="V168" i="52"/>
  <c r="V174" i="52"/>
  <c r="V170" i="52"/>
  <c r="V177" i="52"/>
  <c r="V173" i="52"/>
  <c r="V176" i="52"/>
  <c r="V172" i="52"/>
  <c r="V169" i="52"/>
  <c r="R175" i="52"/>
  <c r="R171" i="52"/>
  <c r="R168" i="52"/>
  <c r="R174" i="52"/>
  <c r="R170" i="52"/>
  <c r="R177" i="52"/>
  <c r="R173" i="52"/>
  <c r="R176" i="52"/>
  <c r="R172" i="52"/>
  <c r="R169" i="52"/>
  <c r="O176" i="52"/>
  <c r="O172" i="52"/>
  <c r="O169" i="52"/>
  <c r="O175" i="52"/>
  <c r="O171" i="52"/>
  <c r="O168" i="52"/>
  <c r="O174" i="52"/>
  <c r="O170" i="52"/>
  <c r="O177" i="52"/>
  <c r="O173" i="52"/>
  <c r="P177" i="52"/>
  <c r="P173" i="52"/>
  <c r="P176" i="52"/>
  <c r="P172" i="52"/>
  <c r="P169" i="52"/>
  <c r="P175" i="52"/>
  <c r="P171" i="52"/>
  <c r="P168" i="52"/>
  <c r="P174" i="52"/>
  <c r="P170" i="52"/>
  <c r="AB177" i="52"/>
  <c r="AB173" i="52"/>
  <c r="AB176" i="52"/>
  <c r="AB172" i="52"/>
  <c r="AB169" i="52"/>
  <c r="AB175" i="52"/>
  <c r="AB171" i="52"/>
  <c r="AB168" i="52"/>
  <c r="AB174" i="52"/>
  <c r="AB170" i="52"/>
  <c r="Z175" i="52"/>
  <c r="Z171" i="52"/>
  <c r="Z168" i="52"/>
  <c r="Z174" i="52"/>
  <c r="Z170" i="52"/>
  <c r="Z177" i="52"/>
  <c r="Z173" i="52"/>
  <c r="Z176" i="52"/>
  <c r="Z172" i="52"/>
  <c r="Z169" i="52"/>
  <c r="Q174" i="52"/>
  <c r="Q170" i="52"/>
  <c r="Q177" i="52"/>
  <c r="Q173" i="52"/>
  <c r="Q176" i="52"/>
  <c r="Q172" i="52"/>
  <c r="Q169" i="52"/>
  <c r="Q175" i="52"/>
  <c r="Q171" i="52"/>
  <c r="Q168" i="52"/>
  <c r="G176" i="52"/>
  <c r="G172" i="52"/>
  <c r="G169" i="52"/>
  <c r="G175" i="52"/>
  <c r="G171" i="52"/>
  <c r="G168" i="52"/>
  <c r="G174" i="52"/>
  <c r="G170" i="52"/>
  <c r="G177" i="52"/>
  <c r="G173" i="52"/>
  <c r="C5" i="52"/>
  <c r="C70" i="52"/>
  <c r="AO88" i="32"/>
  <c r="G153" i="68" l="1"/>
  <c r="G163" i="68"/>
  <c r="G159" i="68"/>
  <c r="G156" i="68"/>
  <c r="G164" i="68"/>
  <c r="G157" i="68"/>
  <c r="G154" i="68"/>
  <c r="G162" i="68"/>
  <c r="G155" i="68"/>
  <c r="G161" i="68"/>
  <c r="G165" i="68"/>
  <c r="G160" i="68"/>
  <c r="G158" i="68"/>
  <c r="H5" i="68"/>
  <c r="X95" i="73"/>
  <c r="X123" i="73" s="1"/>
  <c r="Y60" i="73"/>
  <c r="V95" i="73"/>
  <c r="V123" i="73" s="1"/>
  <c r="V131" i="73" s="1"/>
  <c r="V134" i="73" s="1"/>
  <c r="G35" i="66" s="1"/>
  <c r="W60" i="73"/>
  <c r="W67" i="73" s="1"/>
  <c r="Y95" i="73"/>
  <c r="Y123" i="73" s="1"/>
  <c r="Z60" i="73"/>
  <c r="W95" i="73"/>
  <c r="W123" i="73" s="1"/>
  <c r="X60" i="73"/>
  <c r="AA60" i="73"/>
  <c r="Z95" i="73"/>
  <c r="Z123" i="73" s="1"/>
  <c r="AA95" i="73"/>
  <c r="AA123" i="73" s="1"/>
  <c r="AB60" i="73"/>
  <c r="H155" i="71"/>
  <c r="H159" i="71"/>
  <c r="H164" i="71"/>
  <c r="H156" i="71"/>
  <c r="H160" i="71"/>
  <c r="H165" i="71"/>
  <c r="H153" i="71"/>
  <c r="H157" i="71"/>
  <c r="H161" i="71"/>
  <c r="H154" i="71"/>
  <c r="H158" i="71"/>
  <c r="H162" i="71"/>
  <c r="H163" i="71"/>
  <c r="K17" i="66"/>
  <c r="Z178" i="69"/>
  <c r="Z182" i="69" s="1"/>
  <c r="Z174" i="69"/>
  <c r="Z170" i="69"/>
  <c r="Z177" i="69"/>
  <c r="Z173" i="69"/>
  <c r="Z169" i="69"/>
  <c r="Z180" i="69"/>
  <c r="Z184" i="69" s="1"/>
  <c r="Z176" i="69"/>
  <c r="Z172" i="69"/>
  <c r="Z168" i="69"/>
  <c r="Z179" i="69"/>
  <c r="Z183" i="69" s="1"/>
  <c r="Z175" i="69"/>
  <c r="Z171" i="69"/>
  <c r="Z72" i="69"/>
  <c r="Z71" i="69"/>
  <c r="Z70" i="69"/>
  <c r="Z73" i="69"/>
  <c r="I17" i="66"/>
  <c r="X180" i="69"/>
  <c r="X184" i="69" s="1"/>
  <c r="X176" i="69"/>
  <c r="X172" i="69"/>
  <c r="X168" i="69"/>
  <c r="X179" i="69"/>
  <c r="X183" i="69" s="1"/>
  <c r="X175" i="69"/>
  <c r="X171" i="69"/>
  <c r="X178" i="69"/>
  <c r="X182" i="69" s="1"/>
  <c r="X174" i="69"/>
  <c r="X170" i="69"/>
  <c r="X177" i="69"/>
  <c r="X173" i="69"/>
  <c r="X169" i="69"/>
  <c r="X72" i="69"/>
  <c r="X70" i="69"/>
  <c r="X73" i="69"/>
  <c r="X71" i="69"/>
  <c r="L17" i="66"/>
  <c r="AA179" i="69"/>
  <c r="AA183" i="69" s="1"/>
  <c r="AA175" i="69"/>
  <c r="AA171" i="69"/>
  <c r="AA178" i="69"/>
  <c r="AA182" i="69" s="1"/>
  <c r="AA174" i="69"/>
  <c r="AA170" i="69"/>
  <c r="AA177" i="69"/>
  <c r="AA173" i="69"/>
  <c r="AA169" i="69"/>
  <c r="AA180" i="69"/>
  <c r="AA184" i="69" s="1"/>
  <c r="AA176" i="69"/>
  <c r="AA172" i="69"/>
  <c r="AA168" i="69"/>
  <c r="AA71" i="69"/>
  <c r="AA70" i="69"/>
  <c r="AA72" i="69"/>
  <c r="AA73" i="69"/>
  <c r="H17" i="66"/>
  <c r="W179" i="69"/>
  <c r="W183" i="69" s="1"/>
  <c r="W175" i="69"/>
  <c r="W171" i="69"/>
  <c r="W178" i="69"/>
  <c r="W182" i="69" s="1"/>
  <c r="W174" i="69"/>
  <c r="W170" i="69"/>
  <c r="W177" i="69"/>
  <c r="W173" i="69"/>
  <c r="W169" i="69"/>
  <c r="W180" i="69"/>
  <c r="W184" i="69" s="1"/>
  <c r="W176" i="69"/>
  <c r="W172" i="69"/>
  <c r="W168" i="69"/>
  <c r="W70" i="69"/>
  <c r="W73" i="69"/>
  <c r="W71" i="69"/>
  <c r="W72" i="69"/>
  <c r="G17" i="66"/>
  <c r="V178" i="69"/>
  <c r="V182" i="69" s="1"/>
  <c r="V174" i="69"/>
  <c r="V170" i="69"/>
  <c r="V177" i="69"/>
  <c r="V173" i="69"/>
  <c r="V169" i="69"/>
  <c r="V180" i="69"/>
  <c r="V184" i="69" s="1"/>
  <c r="V176" i="69"/>
  <c r="V172" i="69"/>
  <c r="V168" i="69"/>
  <c r="V179" i="69"/>
  <c r="V183" i="69" s="1"/>
  <c r="V175" i="69"/>
  <c r="V171" i="69"/>
  <c r="V71" i="69"/>
  <c r="V72" i="69"/>
  <c r="V73" i="69"/>
  <c r="V70" i="69"/>
  <c r="AB94" i="70"/>
  <c r="AB122" i="70" s="1"/>
  <c r="J155" i="72"/>
  <c r="J159" i="72"/>
  <c r="J156" i="72"/>
  <c r="J160" i="72"/>
  <c r="J154" i="72"/>
  <c r="J158" i="72"/>
  <c r="J162" i="72"/>
  <c r="J153" i="72"/>
  <c r="J165" i="72"/>
  <c r="J157" i="72"/>
  <c r="J164" i="72"/>
  <c r="J163" i="72"/>
  <c r="J161" i="72"/>
  <c r="H153" i="70"/>
  <c r="H157" i="70"/>
  <c r="H161" i="70"/>
  <c r="H165" i="70"/>
  <c r="H154" i="70"/>
  <c r="H158" i="70"/>
  <c r="H162" i="70"/>
  <c r="H155" i="70"/>
  <c r="H159" i="70"/>
  <c r="H163" i="70"/>
  <c r="H156" i="70"/>
  <c r="H160" i="70"/>
  <c r="H164" i="70"/>
  <c r="Y59" i="70"/>
  <c r="X94" i="70"/>
  <c r="X122" i="70" s="1"/>
  <c r="F17" i="66"/>
  <c r="U177" i="69"/>
  <c r="U173" i="69"/>
  <c r="U169" i="69"/>
  <c r="U180" i="69"/>
  <c r="U184" i="69" s="1"/>
  <c r="U176" i="69"/>
  <c r="U172" i="69"/>
  <c r="U168" i="69"/>
  <c r="U179" i="69"/>
  <c r="U183" i="69" s="1"/>
  <c r="U175" i="69"/>
  <c r="U171" i="69"/>
  <c r="U178" i="69"/>
  <c r="U182" i="69" s="1"/>
  <c r="U174" i="69"/>
  <c r="U170" i="69"/>
  <c r="U73" i="69"/>
  <c r="U72" i="69"/>
  <c r="U71" i="69"/>
  <c r="U70" i="69"/>
  <c r="J17" i="66"/>
  <c r="Y177" i="69"/>
  <c r="Y173" i="69"/>
  <c r="Y169" i="69"/>
  <c r="Y180" i="69"/>
  <c r="Y184" i="69" s="1"/>
  <c r="Y176" i="69"/>
  <c r="Y172" i="69"/>
  <c r="Y168" i="69"/>
  <c r="Y179" i="69"/>
  <c r="Y183" i="69" s="1"/>
  <c r="Y175" i="69"/>
  <c r="Y171" i="69"/>
  <c r="Y178" i="69"/>
  <c r="Y182" i="69" s="1"/>
  <c r="Y174" i="69"/>
  <c r="Y170" i="69"/>
  <c r="Y70" i="69"/>
  <c r="Y72" i="69"/>
  <c r="Y73" i="69"/>
  <c r="Y71" i="69"/>
  <c r="E17" i="66"/>
  <c r="T180" i="69"/>
  <c r="T184" i="69" s="1"/>
  <c r="T176" i="69"/>
  <c r="T172" i="69"/>
  <c r="T168" i="69"/>
  <c r="T179" i="69"/>
  <c r="T183" i="69" s="1"/>
  <c r="T175" i="69"/>
  <c r="T171" i="69"/>
  <c r="T178" i="69"/>
  <c r="T182" i="69" s="1"/>
  <c r="T174" i="69"/>
  <c r="T170" i="69"/>
  <c r="T177" i="69"/>
  <c r="T173" i="69"/>
  <c r="T169" i="69"/>
  <c r="T70" i="69"/>
  <c r="T71" i="69"/>
  <c r="T72" i="69"/>
  <c r="T73" i="69"/>
  <c r="H160" i="69"/>
  <c r="H156" i="69"/>
  <c r="H165" i="69"/>
  <c r="H163" i="69"/>
  <c r="H158" i="69"/>
  <c r="H164" i="69"/>
  <c r="H162" i="69"/>
  <c r="H159" i="69"/>
  <c r="H154" i="69"/>
  <c r="H153" i="69"/>
  <c r="H157" i="69"/>
  <c r="H155" i="69"/>
  <c r="H161" i="69"/>
  <c r="X59" i="70"/>
  <c r="W94" i="70"/>
  <c r="W122" i="70" s="1"/>
  <c r="H154" i="73"/>
  <c r="H158" i="73"/>
  <c r="H162" i="73"/>
  <c r="H153" i="73"/>
  <c r="H155" i="73"/>
  <c r="H159" i="73"/>
  <c r="H163" i="73"/>
  <c r="H156" i="73"/>
  <c r="H160" i="73"/>
  <c r="H164" i="73"/>
  <c r="H157" i="73"/>
  <c r="H161" i="73"/>
  <c r="H165" i="73"/>
  <c r="AA59" i="70"/>
  <c r="Z94" i="70"/>
  <c r="Z122" i="70" s="1"/>
  <c r="M17" i="66"/>
  <c r="AB180" i="69"/>
  <c r="AB184" i="69" s="1"/>
  <c r="AB176" i="69"/>
  <c r="AB172" i="69"/>
  <c r="AB168" i="69"/>
  <c r="AB179" i="69"/>
  <c r="AB183" i="69" s="1"/>
  <c r="AB175" i="69"/>
  <c r="AB171" i="69"/>
  <c r="AB178" i="69"/>
  <c r="AB182" i="69" s="1"/>
  <c r="AB174" i="69"/>
  <c r="AB170" i="69"/>
  <c r="AB177" i="69"/>
  <c r="AB173" i="69"/>
  <c r="AB169" i="69"/>
  <c r="AB73" i="69"/>
  <c r="AB70" i="69"/>
  <c r="AB71" i="69"/>
  <c r="AB72" i="69"/>
  <c r="W59" i="70"/>
  <c r="Z59" i="70"/>
  <c r="V59" i="70"/>
  <c r="AB59" i="70"/>
  <c r="V122" i="70"/>
  <c r="AA122" i="70"/>
  <c r="U122" i="70"/>
  <c r="Y122" i="70"/>
  <c r="I163" i="65"/>
  <c r="J5" i="65"/>
  <c r="J162" i="65" s="1"/>
  <c r="I162" i="65"/>
  <c r="I154" i="65"/>
  <c r="R189" i="64"/>
  <c r="H163" i="64"/>
  <c r="H164" i="64"/>
  <c r="H154" i="64"/>
  <c r="I5" i="64"/>
  <c r="H161" i="64"/>
  <c r="H160" i="64"/>
  <c r="H162" i="64"/>
  <c r="H159" i="64"/>
  <c r="H158" i="64"/>
  <c r="H155" i="64"/>
  <c r="H165" i="64"/>
  <c r="H157" i="64"/>
  <c r="H156" i="64"/>
  <c r="H153" i="64"/>
  <c r="I153" i="65"/>
  <c r="I156" i="65"/>
  <c r="I164" i="65"/>
  <c r="I165" i="65"/>
  <c r="I155" i="65"/>
  <c r="I158" i="65"/>
  <c r="I159" i="65"/>
  <c r="I157" i="65"/>
  <c r="I160" i="65"/>
  <c r="I5" i="70"/>
  <c r="I5" i="69"/>
  <c r="I5" i="71"/>
  <c r="I5" i="73"/>
  <c r="K5" i="72"/>
  <c r="G133" i="52"/>
  <c r="G134" i="52" s="1"/>
  <c r="P133" i="52"/>
  <c r="P134" i="52" s="1"/>
  <c r="O133" i="52"/>
  <c r="O134" i="52" s="1"/>
  <c r="H133" i="52"/>
  <c r="H134" i="52" s="1"/>
  <c r="L133" i="52"/>
  <c r="L134" i="52" s="1"/>
  <c r="T133" i="52"/>
  <c r="T134" i="52" s="1"/>
  <c r="E5" i="66" s="1"/>
  <c r="E5" i="76" s="1"/>
  <c r="M133" i="52"/>
  <c r="M134" i="52" s="1"/>
  <c r="Q133" i="52"/>
  <c r="Q134" i="52" s="1"/>
  <c r="J133" i="52"/>
  <c r="J134" i="52" s="1"/>
  <c r="Y133" i="52"/>
  <c r="Y134" i="52" s="1"/>
  <c r="J5" i="66" s="1"/>
  <c r="J5" i="76" s="1"/>
  <c r="Z133" i="52"/>
  <c r="X133" i="52"/>
  <c r="X134" i="52" s="1"/>
  <c r="I5" i="66" s="1"/>
  <c r="I5" i="76" s="1"/>
  <c r="K133" i="52"/>
  <c r="K134" i="52" s="1"/>
  <c r="F133" i="52"/>
  <c r="F134" i="52" s="1"/>
  <c r="AB133" i="52"/>
  <c r="AB134" i="52" s="1"/>
  <c r="M5" i="66" s="1"/>
  <c r="M5" i="76" s="1"/>
  <c r="N133" i="52"/>
  <c r="N134" i="52" s="1"/>
  <c r="AA133" i="52"/>
  <c r="AA134" i="52" s="1"/>
  <c r="L5" i="66" s="1"/>
  <c r="L5" i="76" s="1"/>
  <c r="V133" i="52"/>
  <c r="V134" i="52" s="1"/>
  <c r="G5" i="66" s="1"/>
  <c r="G5" i="76" s="1"/>
  <c r="S133" i="52"/>
  <c r="S134" i="52" s="1"/>
  <c r="D5" i="66" s="1"/>
  <c r="D5" i="76" s="1"/>
  <c r="E133" i="52"/>
  <c r="E134" i="52" s="1"/>
  <c r="C133" i="52"/>
  <c r="C134" i="52" s="1"/>
  <c r="W133" i="52"/>
  <c r="W134" i="52" s="1"/>
  <c r="H5" i="66" s="1"/>
  <c r="H5" i="76" s="1"/>
  <c r="I133" i="52"/>
  <c r="I134" i="52" s="1"/>
  <c r="U133" i="52"/>
  <c r="U134" i="52" s="1"/>
  <c r="F5" i="66" s="1"/>
  <c r="F5" i="76" s="1"/>
  <c r="R133" i="52"/>
  <c r="R134" i="52" s="1"/>
  <c r="D134" i="52"/>
  <c r="Z134" i="52"/>
  <c r="K5" i="66" s="1"/>
  <c r="K5" i="76" s="1"/>
  <c r="D5" i="52"/>
  <c r="C164" i="52"/>
  <c r="C159" i="52"/>
  <c r="C156" i="52"/>
  <c r="C154" i="52"/>
  <c r="C162" i="52"/>
  <c r="C158" i="52"/>
  <c r="C153" i="52"/>
  <c r="C163" i="52"/>
  <c r="C161" i="52"/>
  <c r="C157" i="52"/>
  <c r="C155" i="52"/>
  <c r="C165" i="52"/>
  <c r="C160" i="52"/>
  <c r="N263" i="24"/>
  <c r="L263" i="24"/>
  <c r="I263" i="24"/>
  <c r="H263" i="24"/>
  <c r="G263" i="24"/>
  <c r="E263" i="24"/>
  <c r="D263" i="24"/>
  <c r="F262" i="24"/>
  <c r="F263" i="24" s="1"/>
  <c r="O261" i="24"/>
  <c r="J260" i="24"/>
  <c r="O260" i="24" s="1"/>
  <c r="O259" i="24"/>
  <c r="O258" i="24"/>
  <c r="N257" i="24"/>
  <c r="L257" i="24"/>
  <c r="I257" i="24"/>
  <c r="H257" i="24"/>
  <c r="G257" i="24"/>
  <c r="F257" i="24"/>
  <c r="E257" i="24"/>
  <c r="O256" i="24"/>
  <c r="O255" i="24"/>
  <c r="J254" i="24"/>
  <c r="J257" i="24" s="1"/>
  <c r="O253" i="24"/>
  <c r="O252" i="24"/>
  <c r="L251" i="24"/>
  <c r="I251" i="24"/>
  <c r="H251" i="24"/>
  <c r="G251" i="24"/>
  <c r="F251" i="24"/>
  <c r="E251" i="24"/>
  <c r="D251" i="24"/>
  <c r="O250" i="24"/>
  <c r="O249" i="24"/>
  <c r="N248" i="24"/>
  <c r="N251" i="24" s="1"/>
  <c r="J248" i="24"/>
  <c r="J251" i="24" s="1"/>
  <c r="O247" i="24"/>
  <c r="O246" i="24"/>
  <c r="L245" i="24"/>
  <c r="J245" i="24"/>
  <c r="I245" i="24"/>
  <c r="H245" i="24"/>
  <c r="G245" i="24"/>
  <c r="F245" i="24"/>
  <c r="E245" i="24"/>
  <c r="D245" i="24"/>
  <c r="N244" i="24"/>
  <c r="O244" i="24" s="1"/>
  <c r="O243" i="24"/>
  <c r="I242" i="24"/>
  <c r="H242" i="24"/>
  <c r="G242" i="24"/>
  <c r="F242" i="24"/>
  <c r="E242" i="24"/>
  <c r="D242" i="24"/>
  <c r="O241" i="24"/>
  <c r="L240" i="24"/>
  <c r="L242" i="24" s="1"/>
  <c r="J240" i="24"/>
  <c r="J242" i="24" s="1"/>
  <c r="L239" i="24"/>
  <c r="I239" i="24"/>
  <c r="H239" i="24"/>
  <c r="G239" i="24"/>
  <c r="F239" i="24"/>
  <c r="E239" i="24"/>
  <c r="D239" i="24"/>
  <c r="O238" i="24"/>
  <c r="J237" i="24"/>
  <c r="J239" i="24" s="1"/>
  <c r="L236" i="24"/>
  <c r="I236" i="24"/>
  <c r="H236" i="24"/>
  <c r="G236" i="24"/>
  <c r="F236" i="24"/>
  <c r="E236" i="24"/>
  <c r="D236" i="24"/>
  <c r="O235" i="24"/>
  <c r="O234" i="24"/>
  <c r="J234" i="24"/>
  <c r="J236" i="24" s="1"/>
  <c r="M233" i="24"/>
  <c r="L233" i="24"/>
  <c r="J233" i="24"/>
  <c r="I233" i="24"/>
  <c r="H233" i="24"/>
  <c r="G233" i="24"/>
  <c r="F233" i="24"/>
  <c r="E233" i="24"/>
  <c r="D233" i="24"/>
  <c r="N232" i="24"/>
  <c r="N233" i="24" s="1"/>
  <c r="O231" i="24"/>
  <c r="J230" i="24"/>
  <c r="I230" i="24"/>
  <c r="H230" i="24"/>
  <c r="G230" i="24"/>
  <c r="F230" i="24"/>
  <c r="E230" i="24"/>
  <c r="D230" i="24"/>
  <c r="N229" i="24"/>
  <c r="N230" i="24" s="1"/>
  <c r="L228" i="24"/>
  <c r="L230" i="24" s="1"/>
  <c r="N227" i="24"/>
  <c r="M227" i="24"/>
  <c r="J227" i="24"/>
  <c r="I227" i="24"/>
  <c r="H227" i="24"/>
  <c r="G227" i="24"/>
  <c r="F227" i="24"/>
  <c r="D227" i="24"/>
  <c r="O226" i="24"/>
  <c r="O225" i="24"/>
  <c r="L224" i="24"/>
  <c r="I224" i="24"/>
  <c r="H224" i="24"/>
  <c r="G224" i="24"/>
  <c r="F224" i="24"/>
  <c r="E224" i="24"/>
  <c r="N223" i="24"/>
  <c r="N224" i="24" s="1"/>
  <c r="D223" i="24"/>
  <c r="D224" i="24" s="1"/>
  <c r="O222" i="24"/>
  <c r="J222" i="24"/>
  <c r="J224" i="24" s="1"/>
  <c r="J221" i="24"/>
  <c r="I221" i="24"/>
  <c r="H221" i="24"/>
  <c r="G221" i="24"/>
  <c r="F221" i="24"/>
  <c r="E221" i="24"/>
  <c r="O220" i="24"/>
  <c r="O219" i="24"/>
  <c r="N218" i="24"/>
  <c r="L218" i="24"/>
  <c r="J218" i="24"/>
  <c r="I218" i="24"/>
  <c r="H218" i="24"/>
  <c r="G218" i="24"/>
  <c r="F218" i="24"/>
  <c r="E218" i="24"/>
  <c r="D218" i="24"/>
  <c r="O217" i="24"/>
  <c r="O216" i="24"/>
  <c r="N215" i="24"/>
  <c r="J215" i="24"/>
  <c r="I215" i="24"/>
  <c r="H215" i="24"/>
  <c r="G215" i="24"/>
  <c r="F215" i="24"/>
  <c r="E215" i="24"/>
  <c r="O214" i="24"/>
  <c r="O213" i="24"/>
  <c r="N212" i="24"/>
  <c r="J212" i="24"/>
  <c r="I212" i="24"/>
  <c r="H212" i="24"/>
  <c r="G212" i="24"/>
  <c r="F212" i="24"/>
  <c r="E212" i="24"/>
  <c r="D212" i="24"/>
  <c r="O211" i="24"/>
  <c r="O210" i="24"/>
  <c r="N209" i="24"/>
  <c r="M209" i="24"/>
  <c r="J209" i="24"/>
  <c r="I209" i="24"/>
  <c r="H209" i="24"/>
  <c r="F209" i="24"/>
  <c r="E209" i="24"/>
  <c r="D208" i="24"/>
  <c r="O208" i="24" s="1"/>
  <c r="O207" i="24"/>
  <c r="O206" i="24"/>
  <c r="D205" i="24"/>
  <c r="G204" i="24"/>
  <c r="O204" i="24" s="1"/>
  <c r="O203" i="24"/>
  <c r="O202" i="24"/>
  <c r="O201" i="24"/>
  <c r="O200" i="24"/>
  <c r="O199" i="24"/>
  <c r="O198" i="24"/>
  <c r="O197" i="24"/>
  <c r="J196" i="24"/>
  <c r="I196" i="24"/>
  <c r="H196" i="24"/>
  <c r="G196" i="24"/>
  <c r="E196" i="24"/>
  <c r="N195" i="24"/>
  <c r="O195" i="24" s="1"/>
  <c r="O194" i="24"/>
  <c r="O193" i="24"/>
  <c r="O192" i="24"/>
  <c r="O191" i="24"/>
  <c r="F190" i="24"/>
  <c r="O190" i="24" s="1"/>
  <c r="F189" i="24"/>
  <c r="O188" i="24"/>
  <c r="O187" i="24"/>
  <c r="N186" i="24"/>
  <c r="D186" i="24"/>
  <c r="M185" i="24"/>
  <c r="M196" i="24" s="1"/>
  <c r="D185" i="24"/>
  <c r="O184" i="24"/>
  <c r="J183" i="24"/>
  <c r="H183" i="24"/>
  <c r="E183" i="24"/>
  <c r="N182" i="24"/>
  <c r="I182" i="24"/>
  <c r="G182" i="24"/>
  <c r="F182" i="24"/>
  <c r="E182" i="24"/>
  <c r="D182" i="24"/>
  <c r="O181" i="24"/>
  <c r="O180" i="24"/>
  <c r="N180" i="24"/>
  <c r="O179" i="24"/>
  <c r="O178" i="24"/>
  <c r="O177" i="24"/>
  <c r="O175" i="24"/>
  <c r="N174" i="24"/>
  <c r="M174" i="24"/>
  <c r="M183" i="24" s="1"/>
  <c r="I174" i="24"/>
  <c r="G174" i="24"/>
  <c r="F174" i="24"/>
  <c r="D174" i="24"/>
  <c r="O172" i="24"/>
  <c r="O171" i="24"/>
  <c r="M170" i="24"/>
  <c r="J170" i="24"/>
  <c r="H170" i="24"/>
  <c r="N169" i="24"/>
  <c r="I169" i="24"/>
  <c r="G169" i="24"/>
  <c r="F169" i="24"/>
  <c r="E169" i="24"/>
  <c r="E170" i="24" s="1"/>
  <c r="D169" i="24"/>
  <c r="O168" i="24"/>
  <c r="N167" i="24"/>
  <c r="O167" i="24" s="1"/>
  <c r="O166" i="24"/>
  <c r="N165" i="24"/>
  <c r="I165" i="24"/>
  <c r="G165" i="24"/>
  <c r="F165" i="24"/>
  <c r="D165" i="24"/>
  <c r="D170" i="24" s="1"/>
  <c r="O164" i="24"/>
  <c r="N163" i="24"/>
  <c r="O162" i="24"/>
  <c r="O161" i="24"/>
  <c r="O160" i="24"/>
  <c r="N159" i="24"/>
  <c r="O159" i="24" s="1"/>
  <c r="O158" i="24"/>
  <c r="M157" i="24"/>
  <c r="J157" i="24"/>
  <c r="H157" i="24"/>
  <c r="N156" i="24"/>
  <c r="I156" i="24"/>
  <c r="G156" i="24"/>
  <c r="F156" i="24"/>
  <c r="E156" i="24"/>
  <c r="O155" i="24"/>
  <c r="O154" i="24"/>
  <c r="O153" i="24"/>
  <c r="N152" i="24"/>
  <c r="I152" i="24"/>
  <c r="I157" i="24" s="1"/>
  <c r="G152" i="24"/>
  <c r="G157" i="24" s="1"/>
  <c r="F152" i="24"/>
  <c r="F157" i="24" s="1"/>
  <c r="E152" i="24"/>
  <c r="E157" i="24" s="1"/>
  <c r="D152" i="24"/>
  <c r="D157" i="24" s="1"/>
  <c r="O151" i="24"/>
  <c r="O150" i="24"/>
  <c r="O149" i="24"/>
  <c r="N148" i="24"/>
  <c r="N157" i="24" s="1"/>
  <c r="O147" i="24"/>
  <c r="O146" i="24"/>
  <c r="O145" i="24"/>
  <c r="J144" i="24"/>
  <c r="H144" i="24"/>
  <c r="E144" i="24"/>
  <c r="I143" i="24"/>
  <c r="G143" i="24"/>
  <c r="F143" i="24"/>
  <c r="O142" i="24"/>
  <c r="O141" i="24"/>
  <c r="N140" i="24"/>
  <c r="O140" i="24" s="1"/>
  <c r="I139" i="24"/>
  <c r="I144" i="24" s="1"/>
  <c r="G139" i="24"/>
  <c r="F139" i="24"/>
  <c r="D139" i="24"/>
  <c r="O138" i="24"/>
  <c r="O137" i="24"/>
  <c r="O136" i="24"/>
  <c r="O135" i="24"/>
  <c r="N133" i="24"/>
  <c r="D133" i="24"/>
  <c r="O132" i="24"/>
  <c r="M131" i="24"/>
  <c r="J131" i="24"/>
  <c r="H131" i="24"/>
  <c r="N130" i="24"/>
  <c r="I130" i="24"/>
  <c r="I131" i="24" s="1"/>
  <c r="G130" i="24"/>
  <c r="G131" i="24" s="1"/>
  <c r="F130" i="24"/>
  <c r="E130" i="24"/>
  <c r="E131" i="24" s="1"/>
  <c r="D130" i="24"/>
  <c r="O129" i="24"/>
  <c r="F128" i="24"/>
  <c r="O128" i="24" s="1"/>
  <c r="O127" i="24"/>
  <c r="O126" i="24"/>
  <c r="O125" i="24"/>
  <c r="N124" i="24"/>
  <c r="N131" i="24" s="1"/>
  <c r="F124" i="24"/>
  <c r="O123" i="24"/>
  <c r="F122" i="24"/>
  <c r="O121" i="24"/>
  <c r="O120" i="24"/>
  <c r="O119" i="24"/>
  <c r="M118" i="24"/>
  <c r="J118" i="24"/>
  <c r="H118" i="24"/>
  <c r="N117" i="24"/>
  <c r="I117" i="24"/>
  <c r="I118" i="24" s="1"/>
  <c r="G117" i="24"/>
  <c r="F117" i="24"/>
  <c r="F118" i="24" s="1"/>
  <c r="E117" i="24"/>
  <c r="E118" i="24" s="1"/>
  <c r="D117" i="24"/>
  <c r="O116" i="24"/>
  <c r="O115" i="24"/>
  <c r="O114" i="24"/>
  <c r="O113" i="24"/>
  <c r="O112" i="24"/>
  <c r="N111" i="24"/>
  <c r="O111" i="24" s="1"/>
  <c r="O110" i="24"/>
  <c r="G109" i="24"/>
  <c r="G118" i="24" s="1"/>
  <c r="O108" i="24"/>
  <c r="O107" i="24"/>
  <c r="O106" i="24"/>
  <c r="M105" i="24"/>
  <c r="J105" i="24"/>
  <c r="H105" i="24"/>
  <c r="E105" i="24"/>
  <c r="N104" i="24"/>
  <c r="I104" i="24"/>
  <c r="I105" i="24" s="1"/>
  <c r="G104" i="24"/>
  <c r="F104" i="24"/>
  <c r="D104" i="24"/>
  <c r="D105" i="24" s="1"/>
  <c r="O103" i="24"/>
  <c r="O102" i="24"/>
  <c r="F101" i="24"/>
  <c r="F105" i="24" s="1"/>
  <c r="O100" i="24"/>
  <c r="O99" i="24"/>
  <c r="N98" i="24"/>
  <c r="O97" i="24"/>
  <c r="G96" i="24"/>
  <c r="O95" i="24"/>
  <c r="O94" i="24"/>
  <c r="O93" i="24"/>
  <c r="M92" i="24"/>
  <c r="J92" i="24"/>
  <c r="H92" i="24"/>
  <c r="F92" i="24"/>
  <c r="E92" i="24"/>
  <c r="D92" i="24"/>
  <c r="N91" i="24"/>
  <c r="I91" i="24"/>
  <c r="G91" i="24"/>
  <c r="G90" i="24"/>
  <c r="O90" i="24" s="1"/>
  <c r="I89" i="24"/>
  <c r="G89" i="24"/>
  <c r="N88" i="24"/>
  <c r="I88" i="24"/>
  <c r="O87" i="24"/>
  <c r="O86" i="24"/>
  <c r="I85" i="24"/>
  <c r="G85" i="24"/>
  <c r="O84" i="24"/>
  <c r="N83" i="24"/>
  <c r="I83" i="24"/>
  <c r="G83" i="24"/>
  <c r="G82" i="24"/>
  <c r="O82" i="24" s="1"/>
  <c r="G81" i="24"/>
  <c r="N80" i="24"/>
  <c r="N79" i="24"/>
  <c r="M79" i="24"/>
  <c r="J79" i="24"/>
  <c r="I79" i="24"/>
  <c r="H79" i="24"/>
  <c r="F79" i="24"/>
  <c r="E79" i="24"/>
  <c r="D79" i="24"/>
  <c r="G78" i="24"/>
  <c r="O78" i="24" s="1"/>
  <c r="O77" i="24"/>
  <c r="G76" i="24"/>
  <c r="O76" i="24" s="1"/>
  <c r="O75" i="24"/>
  <c r="G74" i="24"/>
  <c r="O74" i="24" s="1"/>
  <c r="O73" i="24"/>
  <c r="O72" i="24"/>
  <c r="O71" i="24"/>
  <c r="G70" i="24"/>
  <c r="O69" i="24"/>
  <c r="O68" i="24"/>
  <c r="O67" i="24"/>
  <c r="J66" i="24"/>
  <c r="H66" i="24"/>
  <c r="D66" i="24"/>
  <c r="F65" i="24"/>
  <c r="O65" i="24" s="1"/>
  <c r="O64" i="24"/>
  <c r="O63" i="24"/>
  <c r="O62" i="24"/>
  <c r="F61" i="24"/>
  <c r="O61" i="24" s="1"/>
  <c r="O60" i="24"/>
  <c r="N59" i="24"/>
  <c r="N66" i="24" s="1"/>
  <c r="I58" i="24"/>
  <c r="I66" i="24" s="1"/>
  <c r="E58" i="24"/>
  <c r="E66" i="24" s="1"/>
  <c r="G57" i="24"/>
  <c r="G66" i="24" s="1"/>
  <c r="F57" i="24"/>
  <c r="O56" i="24"/>
  <c r="O55" i="24"/>
  <c r="O54" i="24"/>
  <c r="M53" i="24"/>
  <c r="J53" i="24"/>
  <c r="H53" i="24"/>
  <c r="E53" i="24"/>
  <c r="D53" i="24"/>
  <c r="O52" i="24"/>
  <c r="O51" i="24"/>
  <c r="O50" i="24"/>
  <c r="O49" i="24"/>
  <c r="O48" i="24"/>
  <c r="O47" i="24"/>
  <c r="O46" i="24"/>
  <c r="O45" i="24"/>
  <c r="N44" i="24"/>
  <c r="N53" i="24" s="1"/>
  <c r="I44" i="24"/>
  <c r="I53" i="24" s="1"/>
  <c r="G44" i="24"/>
  <c r="G53" i="24" s="1"/>
  <c r="F44" i="24"/>
  <c r="O43" i="24"/>
  <c r="O42" i="24"/>
  <c r="O41" i="24"/>
  <c r="N40" i="24"/>
  <c r="J40" i="24"/>
  <c r="H40" i="24"/>
  <c r="F40" i="24"/>
  <c r="E40" i="24"/>
  <c r="D40" i="24"/>
  <c r="O39" i="24"/>
  <c r="O38" i="24"/>
  <c r="O37" i="24"/>
  <c r="O36" i="24"/>
  <c r="O35" i="24"/>
  <c r="O34" i="24"/>
  <c r="O33" i="24"/>
  <c r="O32" i="24"/>
  <c r="I31" i="24"/>
  <c r="I40" i="24" s="1"/>
  <c r="G31" i="24"/>
  <c r="G40" i="24" s="1"/>
  <c r="O30" i="24"/>
  <c r="O29" i="24"/>
  <c r="O28" i="24"/>
  <c r="M27" i="24"/>
  <c r="J27" i="24"/>
  <c r="H27" i="24"/>
  <c r="G27" i="24"/>
  <c r="F27" i="24"/>
  <c r="E27" i="24"/>
  <c r="D27" i="24"/>
  <c r="N26" i="24"/>
  <c r="O26" i="24" s="1"/>
  <c r="O25" i="24"/>
  <c r="N24" i="24"/>
  <c r="O24" i="24" s="1"/>
  <c r="O23" i="24"/>
  <c r="O22" i="24"/>
  <c r="O21" i="24"/>
  <c r="N20" i="24"/>
  <c r="O20" i="24" s="1"/>
  <c r="O19" i="24"/>
  <c r="I18" i="24"/>
  <c r="I27" i="24" s="1"/>
  <c r="O17" i="24"/>
  <c r="O16" i="24"/>
  <c r="O15" i="24"/>
  <c r="M14" i="24"/>
  <c r="J14" i="24"/>
  <c r="I14" i="24"/>
  <c r="H14" i="24"/>
  <c r="G14" i="24"/>
  <c r="F14" i="24"/>
  <c r="E14" i="24"/>
  <c r="D14" i="24"/>
  <c r="N13" i="24"/>
  <c r="N14" i="24" s="1"/>
  <c r="O12" i="24"/>
  <c r="O11" i="24"/>
  <c r="O10" i="24"/>
  <c r="O9" i="24"/>
  <c r="O8" i="24"/>
  <c r="O7" i="24"/>
  <c r="O6" i="24"/>
  <c r="O5" i="24"/>
  <c r="O4" i="24"/>
  <c r="O3" i="24"/>
  <c r="O2" i="24"/>
  <c r="O109" i="24" l="1"/>
  <c r="O44" i="24"/>
  <c r="F66" i="24"/>
  <c r="O66" i="24" s="1"/>
  <c r="N105" i="24"/>
  <c r="O130" i="24"/>
  <c r="D209" i="24"/>
  <c r="F131" i="24"/>
  <c r="O85" i="24"/>
  <c r="O88" i="24"/>
  <c r="O124" i="24"/>
  <c r="O13" i="24"/>
  <c r="O14" i="24" s="1"/>
  <c r="O53" i="24"/>
  <c r="G79" i="24"/>
  <c r="O83" i="24"/>
  <c r="G183" i="24"/>
  <c r="O205" i="24"/>
  <c r="N92" i="24"/>
  <c r="I92" i="24"/>
  <c r="G144" i="24"/>
  <c r="G170" i="24"/>
  <c r="D196" i="24"/>
  <c r="H153" i="68"/>
  <c r="H164" i="68"/>
  <c r="H156" i="68"/>
  <c r="H155" i="68"/>
  <c r="H165" i="68"/>
  <c r="H162" i="68"/>
  <c r="H154" i="68"/>
  <c r="I5" i="68"/>
  <c r="H163" i="68"/>
  <c r="H160" i="68"/>
  <c r="H159" i="68"/>
  <c r="H161" i="68"/>
  <c r="H158" i="68"/>
  <c r="H157" i="68"/>
  <c r="N5" i="76"/>
  <c r="W169" i="73"/>
  <c r="W174" i="73"/>
  <c r="W172" i="73"/>
  <c r="W179" i="73"/>
  <c r="W183" i="73" s="1"/>
  <c r="W71" i="73"/>
  <c r="W173" i="73"/>
  <c r="W178" i="73"/>
  <c r="W182" i="73" s="1"/>
  <c r="W176" i="73"/>
  <c r="W70" i="73"/>
  <c r="W73" i="73"/>
  <c r="W177" i="73"/>
  <c r="W171" i="73"/>
  <c r="W180" i="73"/>
  <c r="W184" i="73" s="1"/>
  <c r="H32" i="66"/>
  <c r="W170" i="73"/>
  <c r="W168" i="73"/>
  <c r="W175" i="73"/>
  <c r="W72" i="73"/>
  <c r="X133" i="69"/>
  <c r="X134" i="69" s="1"/>
  <c r="I20" i="66" s="1"/>
  <c r="AB133" i="69"/>
  <c r="AB134" i="69" s="1"/>
  <c r="M20" i="66" s="1"/>
  <c r="U133" i="69"/>
  <c r="U134" i="69" s="1"/>
  <c r="F20" i="66" s="1"/>
  <c r="Y133" i="69"/>
  <c r="Y134" i="69" s="1"/>
  <c r="J20" i="66" s="1"/>
  <c r="V133" i="69"/>
  <c r="V134" i="69" s="1"/>
  <c r="G20" i="66" s="1"/>
  <c r="Z133" i="69"/>
  <c r="Z134" i="69" s="1"/>
  <c r="K20" i="66" s="1"/>
  <c r="O236" i="24"/>
  <c r="I164" i="69"/>
  <c r="I161" i="69"/>
  <c r="I157" i="69"/>
  <c r="I160" i="69"/>
  <c r="I165" i="69"/>
  <c r="I163" i="69"/>
  <c r="I158" i="69"/>
  <c r="I155" i="69"/>
  <c r="I162" i="69"/>
  <c r="I159" i="69"/>
  <c r="I153" i="69"/>
  <c r="I156" i="69"/>
  <c r="I154" i="69"/>
  <c r="W133" i="69"/>
  <c r="W134" i="69" s="1"/>
  <c r="H20" i="66" s="1"/>
  <c r="O237" i="24"/>
  <c r="O239" i="24" s="1"/>
  <c r="N5" i="66"/>
  <c r="K154" i="72"/>
  <c r="K158" i="72"/>
  <c r="K155" i="72"/>
  <c r="K159" i="72"/>
  <c r="K153" i="72"/>
  <c r="K157" i="72"/>
  <c r="K161" i="72"/>
  <c r="K165" i="72"/>
  <c r="K160" i="72"/>
  <c r="K162" i="72"/>
  <c r="K164" i="72"/>
  <c r="K156" i="72"/>
  <c r="K163" i="72"/>
  <c r="I156" i="70"/>
  <c r="I160" i="70"/>
  <c r="I164" i="70"/>
  <c r="I153" i="70"/>
  <c r="I157" i="70"/>
  <c r="I161" i="70"/>
  <c r="I165" i="70"/>
  <c r="I154" i="70"/>
  <c r="I158" i="70"/>
  <c r="I162" i="70"/>
  <c r="I155" i="70"/>
  <c r="I159" i="70"/>
  <c r="I163" i="70"/>
  <c r="G92" i="24"/>
  <c r="I154" i="73"/>
  <c r="I157" i="73"/>
  <c r="I161" i="73"/>
  <c r="I165" i="73"/>
  <c r="I158" i="73"/>
  <c r="I162" i="73"/>
  <c r="I153" i="73"/>
  <c r="I155" i="73"/>
  <c r="I159" i="73"/>
  <c r="I163" i="73"/>
  <c r="I156" i="73"/>
  <c r="I160" i="73"/>
  <c r="I164" i="73"/>
  <c r="T133" i="69"/>
  <c r="T134" i="69" s="1"/>
  <c r="E20" i="66" s="1"/>
  <c r="N17" i="66"/>
  <c r="AA133" i="69"/>
  <c r="AA134" i="69" s="1"/>
  <c r="L20" i="66" s="1"/>
  <c r="I154" i="71"/>
  <c r="I158" i="71"/>
  <c r="I162" i="71"/>
  <c r="I163" i="71"/>
  <c r="I155" i="71"/>
  <c r="I159" i="71"/>
  <c r="I164" i="71"/>
  <c r="I156" i="71"/>
  <c r="I160" i="71"/>
  <c r="I165" i="71"/>
  <c r="I153" i="71"/>
  <c r="I157" i="71"/>
  <c r="I161" i="71"/>
  <c r="J158" i="65"/>
  <c r="J160" i="65"/>
  <c r="J159" i="65"/>
  <c r="J154" i="65"/>
  <c r="J155" i="65"/>
  <c r="J163" i="65"/>
  <c r="J164" i="65"/>
  <c r="J156" i="65"/>
  <c r="J157" i="65"/>
  <c r="J165" i="65"/>
  <c r="K5" i="65"/>
  <c r="K164" i="65" s="1"/>
  <c r="J153" i="65"/>
  <c r="J161" i="65"/>
  <c r="I164" i="64"/>
  <c r="I163" i="64"/>
  <c r="I155" i="64"/>
  <c r="I157" i="64"/>
  <c r="I162" i="64"/>
  <c r="I156" i="64"/>
  <c r="I153" i="64"/>
  <c r="J5" i="64"/>
  <c r="I154" i="64"/>
  <c r="I161" i="64"/>
  <c r="I165" i="64"/>
  <c r="I159" i="64"/>
  <c r="I158" i="64"/>
  <c r="I160" i="64"/>
  <c r="T22" i="64"/>
  <c r="X22" i="64"/>
  <c r="AB22" i="64"/>
  <c r="AB91" i="64" s="1"/>
  <c r="AB119" i="64" s="1"/>
  <c r="R146" i="64"/>
  <c r="U22" i="64"/>
  <c r="Y22" i="64"/>
  <c r="R149" i="64"/>
  <c r="R147" i="64"/>
  <c r="R145" i="64"/>
  <c r="R143" i="64"/>
  <c r="R141" i="64"/>
  <c r="R139" i="64"/>
  <c r="AA22" i="64"/>
  <c r="R150" i="64"/>
  <c r="R142" i="64"/>
  <c r="R140" i="64"/>
  <c r="V22" i="64"/>
  <c r="Z22" i="64"/>
  <c r="R22" i="64"/>
  <c r="S22" i="64"/>
  <c r="W22" i="64"/>
  <c r="R148" i="64"/>
  <c r="R132" i="64" s="1"/>
  <c r="R144" i="64"/>
  <c r="R138" i="64"/>
  <c r="J5" i="70"/>
  <c r="J5" i="69"/>
  <c r="J5" i="71"/>
  <c r="J5" i="73"/>
  <c r="L5" i="72"/>
  <c r="D165" i="52"/>
  <c r="D164" i="52"/>
  <c r="E5" i="52"/>
  <c r="D161" i="52"/>
  <c r="D157" i="52"/>
  <c r="D163" i="52"/>
  <c r="D160" i="52"/>
  <c r="D155" i="52"/>
  <c r="D158" i="52"/>
  <c r="D159" i="52"/>
  <c r="D153" i="52"/>
  <c r="D162" i="52"/>
  <c r="D156" i="52"/>
  <c r="D154" i="52"/>
  <c r="O227" i="24"/>
  <c r="F144" i="24"/>
  <c r="O143" i="24"/>
  <c r="O174" i="24"/>
  <c r="O91" i="24"/>
  <c r="G105" i="24"/>
  <c r="D144" i="24"/>
  <c r="O148" i="24"/>
  <c r="O169" i="24"/>
  <c r="F183" i="24"/>
  <c r="N183" i="24"/>
  <c r="O218" i="24"/>
  <c r="O81" i="24"/>
  <c r="O89" i="24"/>
  <c r="O117" i="24"/>
  <c r="O118" i="24" s="1"/>
  <c r="N144" i="24"/>
  <c r="F170" i="24"/>
  <c r="N196" i="24"/>
  <c r="O228" i="24"/>
  <c r="O18" i="24"/>
  <c r="O70" i="24"/>
  <c r="D131" i="24"/>
  <c r="O139" i="24"/>
  <c r="O156" i="24"/>
  <c r="I170" i="24"/>
  <c r="O182" i="24"/>
  <c r="G209" i="24"/>
  <c r="O209" i="24" s="1"/>
  <c r="O212" i="24"/>
  <c r="O215" i="24"/>
  <c r="O221" i="24"/>
  <c r="N245" i="24"/>
  <c r="O27" i="24"/>
  <c r="O40" i="24"/>
  <c r="D118" i="24"/>
  <c r="N118" i="24"/>
  <c r="O245" i="24"/>
  <c r="J263" i="24"/>
  <c r="O263" i="24" s="1"/>
  <c r="N27" i="24"/>
  <c r="O57" i="24"/>
  <c r="O59" i="24"/>
  <c r="O96" i="24"/>
  <c r="I183" i="24"/>
  <c r="N170" i="24"/>
  <c r="O186" i="24"/>
  <c r="F196" i="24"/>
  <c r="O223" i="24"/>
  <c r="O224" i="24" s="1"/>
  <c r="O229" i="24"/>
  <c r="O230" i="24" s="1"/>
  <c r="O248" i="24"/>
  <c r="O251" i="24" s="1"/>
  <c r="O92" i="24"/>
  <c r="O79" i="24"/>
  <c r="O80" i="24"/>
  <c r="O98" i="24"/>
  <c r="O101" i="24"/>
  <c r="O104" i="24"/>
  <c r="O133" i="24"/>
  <c r="O163" i="24"/>
  <c r="D183" i="24"/>
  <c r="O189" i="24"/>
  <c r="O232" i="24"/>
  <c r="O233" i="24" s="1"/>
  <c r="O262" i="24"/>
  <c r="O165" i="24"/>
  <c r="O31" i="24"/>
  <c r="F53" i="24"/>
  <c r="O58" i="24"/>
  <c r="O122" i="24"/>
  <c r="O131" i="24" s="1"/>
  <c r="O152" i="24"/>
  <c r="O185" i="24"/>
  <c r="O240" i="24"/>
  <c r="O242" i="24" s="1"/>
  <c r="O254" i="24"/>
  <c r="O257" i="24" s="1"/>
  <c r="O157" i="24" l="1"/>
  <c r="I153" i="68"/>
  <c r="I162" i="68"/>
  <c r="I161" i="68"/>
  <c r="I160" i="68"/>
  <c r="I155" i="68"/>
  <c r="I164" i="68"/>
  <c r="I158" i="68"/>
  <c r="I159" i="68"/>
  <c r="J5" i="68"/>
  <c r="I163" i="68"/>
  <c r="I165" i="68"/>
  <c r="I156" i="68"/>
  <c r="I157" i="68"/>
  <c r="I154" i="68"/>
  <c r="O183" i="24"/>
  <c r="W133" i="73"/>
  <c r="Z27" i="73"/>
  <c r="W141" i="73"/>
  <c r="W142" i="73"/>
  <c r="W147" i="73"/>
  <c r="X27" i="73"/>
  <c r="W140" i="73"/>
  <c r="W145" i="73"/>
  <c r="W146" i="73"/>
  <c r="W139" i="73"/>
  <c r="W27" i="73"/>
  <c r="W144" i="73"/>
  <c r="W149" i="73"/>
  <c r="H41" i="66" s="1"/>
  <c r="W150" i="73"/>
  <c r="H40" i="66" s="1"/>
  <c r="Y27" i="73"/>
  <c r="AA27" i="73"/>
  <c r="W148" i="73"/>
  <c r="W132" i="73" s="1"/>
  <c r="W138" i="73"/>
  <c r="W143" i="73"/>
  <c r="AB27" i="73"/>
  <c r="AB96" i="73" s="1"/>
  <c r="AB124" i="73" s="1"/>
  <c r="O170" i="24"/>
  <c r="O105" i="24"/>
  <c r="O196" i="24"/>
  <c r="K157" i="65"/>
  <c r="J153" i="71"/>
  <c r="J157" i="71"/>
  <c r="J161" i="71"/>
  <c r="J154" i="71"/>
  <c r="J158" i="71"/>
  <c r="J162" i="71"/>
  <c r="J163" i="71"/>
  <c r="J155" i="71"/>
  <c r="J159" i="71"/>
  <c r="J164" i="71"/>
  <c r="J156" i="71"/>
  <c r="J160" i="71"/>
  <c r="J165" i="71"/>
  <c r="O144" i="24"/>
  <c r="J165" i="69"/>
  <c r="J164" i="69"/>
  <c r="J162" i="69"/>
  <c r="J159" i="69"/>
  <c r="J154" i="69"/>
  <c r="J161" i="69"/>
  <c r="J160" i="69"/>
  <c r="J156" i="69"/>
  <c r="J158" i="69"/>
  <c r="J157" i="69"/>
  <c r="J153" i="69"/>
  <c r="J163" i="69"/>
  <c r="J155" i="69"/>
  <c r="J153" i="73"/>
  <c r="J156" i="73"/>
  <c r="J160" i="73"/>
  <c r="J164" i="73"/>
  <c r="J154" i="73"/>
  <c r="J157" i="73"/>
  <c r="J161" i="73"/>
  <c r="J165" i="73"/>
  <c r="J158" i="73"/>
  <c r="J162" i="73"/>
  <c r="J155" i="73"/>
  <c r="J159" i="73"/>
  <c r="J163" i="73"/>
  <c r="L153" i="72"/>
  <c r="L157" i="72"/>
  <c r="L161" i="72"/>
  <c r="L154" i="72"/>
  <c r="L158" i="72"/>
  <c r="L156" i="72"/>
  <c r="L160" i="72"/>
  <c r="L164" i="72"/>
  <c r="L163" i="72"/>
  <c r="L155" i="72"/>
  <c r="L162" i="72"/>
  <c r="L165" i="72"/>
  <c r="L159" i="72"/>
  <c r="J155" i="70"/>
  <c r="J159" i="70"/>
  <c r="J163" i="70"/>
  <c r="J156" i="70"/>
  <c r="J160" i="70"/>
  <c r="J164" i="70"/>
  <c r="J153" i="70"/>
  <c r="J157" i="70"/>
  <c r="J161" i="70"/>
  <c r="J165" i="70"/>
  <c r="J154" i="70"/>
  <c r="J158" i="70"/>
  <c r="J162" i="70"/>
  <c r="N20" i="66"/>
  <c r="X26" i="70"/>
  <c r="X95" i="70" s="1"/>
  <c r="AB26" i="70"/>
  <c r="Z26" i="70"/>
  <c r="Z95" i="70" s="1"/>
  <c r="Y26" i="70"/>
  <c r="W26" i="70"/>
  <c r="AA26" i="70"/>
  <c r="V132" i="70"/>
  <c r="V26" i="70"/>
  <c r="K154" i="65"/>
  <c r="K158" i="65"/>
  <c r="K156" i="65"/>
  <c r="K161" i="65"/>
  <c r="L5" i="65"/>
  <c r="L165" i="65" s="1"/>
  <c r="K153" i="65"/>
  <c r="K163" i="65"/>
  <c r="K162" i="65"/>
  <c r="K160" i="65"/>
  <c r="K159" i="65"/>
  <c r="K155" i="65"/>
  <c r="K165" i="65"/>
  <c r="X91" i="64"/>
  <c r="X119" i="64" s="1"/>
  <c r="Y56" i="64"/>
  <c r="J164" i="64"/>
  <c r="J165" i="64"/>
  <c r="J153" i="64"/>
  <c r="J154" i="64"/>
  <c r="J159" i="64"/>
  <c r="J162" i="64"/>
  <c r="J163" i="64"/>
  <c r="J161" i="64"/>
  <c r="K5" i="64"/>
  <c r="J158" i="64"/>
  <c r="J155" i="64"/>
  <c r="J156" i="64"/>
  <c r="J160" i="64"/>
  <c r="J157" i="64"/>
  <c r="W91" i="64"/>
  <c r="W119" i="64" s="1"/>
  <c r="X56" i="64"/>
  <c r="V91" i="64"/>
  <c r="V119" i="64" s="1"/>
  <c r="W56" i="64"/>
  <c r="AA91" i="64"/>
  <c r="AA119" i="64" s="1"/>
  <c r="AB56" i="64"/>
  <c r="U91" i="64"/>
  <c r="U119" i="64" s="1"/>
  <c r="V56" i="64"/>
  <c r="T91" i="64"/>
  <c r="T119" i="64" s="1"/>
  <c r="U56" i="64"/>
  <c r="S91" i="64"/>
  <c r="S119" i="64" s="1"/>
  <c r="T56" i="64"/>
  <c r="Z91" i="64"/>
  <c r="Z119" i="64" s="1"/>
  <c r="AA56" i="64"/>
  <c r="Y91" i="64"/>
  <c r="Y119" i="64" s="1"/>
  <c r="Z56" i="64"/>
  <c r="R91" i="64"/>
  <c r="R119" i="64" s="1"/>
  <c r="R131" i="64" s="1"/>
  <c r="R134" i="64" s="1"/>
  <c r="S56" i="64"/>
  <c r="S67" i="64" s="1"/>
  <c r="D3" i="66" s="1"/>
  <c r="D3" i="76" s="1"/>
  <c r="K5" i="70"/>
  <c r="K5" i="69"/>
  <c r="K5" i="71"/>
  <c r="K5" i="73"/>
  <c r="M5" i="72"/>
  <c r="E165" i="52"/>
  <c r="E164" i="52"/>
  <c r="F5" i="52"/>
  <c r="E162" i="52"/>
  <c r="E158" i="52"/>
  <c r="E156" i="52"/>
  <c r="E154" i="52"/>
  <c r="E161" i="52"/>
  <c r="E157" i="52"/>
  <c r="E159" i="52"/>
  <c r="E163" i="52"/>
  <c r="E160" i="52"/>
  <c r="E155" i="52"/>
  <c r="E153" i="52"/>
  <c r="N30" i="1"/>
  <c r="N29" i="1"/>
  <c r="N28" i="1"/>
  <c r="N25" i="1"/>
  <c r="N23" i="1"/>
  <c r="N12" i="1"/>
  <c r="N13" i="1"/>
  <c r="N11" i="1"/>
  <c r="L156" i="65" l="1"/>
  <c r="L164" i="65"/>
  <c r="L155" i="65"/>
  <c r="L154" i="65"/>
  <c r="L157" i="65"/>
  <c r="L161" i="65"/>
  <c r="M5" i="65"/>
  <c r="M165" i="65" s="1"/>
  <c r="L158" i="65"/>
  <c r="L160" i="65"/>
  <c r="L163" i="65"/>
  <c r="L153" i="65"/>
  <c r="L159" i="65"/>
  <c r="L162" i="65"/>
  <c r="J153" i="68"/>
  <c r="J160" i="68"/>
  <c r="J159" i="68"/>
  <c r="J156" i="68"/>
  <c r="J165" i="68"/>
  <c r="J157" i="68"/>
  <c r="J154" i="68"/>
  <c r="J164" i="68"/>
  <c r="J163" i="68"/>
  <c r="J155" i="68"/>
  <c r="K5" i="68"/>
  <c r="J162" i="68"/>
  <c r="J161" i="68"/>
  <c r="J158" i="68"/>
  <c r="AA96" i="73"/>
  <c r="AA124" i="73" s="1"/>
  <c r="AB61" i="73"/>
  <c r="Z61" i="73"/>
  <c r="Y96" i="73"/>
  <c r="Y124" i="73" s="1"/>
  <c r="W96" i="73"/>
  <c r="W124" i="73" s="1"/>
  <c r="W131" i="73" s="1"/>
  <c r="W134" i="73" s="1"/>
  <c r="H35" i="66" s="1"/>
  <c r="X61" i="73"/>
  <c r="X67" i="73" s="1"/>
  <c r="X96" i="73"/>
  <c r="X124" i="73" s="1"/>
  <c r="Y61" i="73"/>
  <c r="AA61" i="73"/>
  <c r="Z96" i="73"/>
  <c r="Z124" i="73" s="1"/>
  <c r="K156" i="71"/>
  <c r="K160" i="71"/>
  <c r="K165" i="71"/>
  <c r="K153" i="71"/>
  <c r="K157" i="71"/>
  <c r="K161" i="71"/>
  <c r="K154" i="71"/>
  <c r="K158" i="71"/>
  <c r="K162" i="71"/>
  <c r="K163" i="71"/>
  <c r="K155" i="71"/>
  <c r="K159" i="71"/>
  <c r="K164" i="71"/>
  <c r="K165" i="69"/>
  <c r="K163" i="69"/>
  <c r="K158" i="69"/>
  <c r="K155" i="69"/>
  <c r="K164" i="69"/>
  <c r="K162" i="69"/>
  <c r="K161" i="69"/>
  <c r="K157" i="69"/>
  <c r="K154" i="69"/>
  <c r="K160" i="69"/>
  <c r="K159" i="69"/>
  <c r="K156" i="69"/>
  <c r="K153" i="69"/>
  <c r="AB60" i="70"/>
  <c r="AA95" i="70"/>
  <c r="AA123" i="70" s="1"/>
  <c r="AB95" i="70"/>
  <c r="AB123" i="70" s="1"/>
  <c r="M156" i="72"/>
  <c r="M160" i="72"/>
  <c r="M153" i="72"/>
  <c r="M157" i="72"/>
  <c r="M155" i="72"/>
  <c r="M159" i="72"/>
  <c r="M163" i="72"/>
  <c r="M158" i="72"/>
  <c r="M161" i="72"/>
  <c r="M162" i="72"/>
  <c r="M165" i="72"/>
  <c r="M154" i="72"/>
  <c r="M164" i="72"/>
  <c r="K154" i="70"/>
  <c r="K158" i="70"/>
  <c r="K162" i="70"/>
  <c r="K155" i="70"/>
  <c r="K159" i="70"/>
  <c r="K163" i="70"/>
  <c r="K156" i="70"/>
  <c r="K160" i="70"/>
  <c r="K164" i="70"/>
  <c r="K153" i="70"/>
  <c r="K157" i="70"/>
  <c r="K161" i="70"/>
  <c r="K165" i="70"/>
  <c r="W60" i="70"/>
  <c r="V95" i="70"/>
  <c r="V123" i="70" s="1"/>
  <c r="X60" i="70"/>
  <c r="W95" i="70"/>
  <c r="W123" i="70" s="1"/>
  <c r="K155" i="73"/>
  <c r="K159" i="73"/>
  <c r="K163" i="73"/>
  <c r="K156" i="73"/>
  <c r="K160" i="73"/>
  <c r="K164" i="73"/>
  <c r="K154" i="73"/>
  <c r="K157" i="73"/>
  <c r="K161" i="73"/>
  <c r="K165" i="73"/>
  <c r="K153" i="73"/>
  <c r="K158" i="73"/>
  <c r="K162" i="73"/>
  <c r="Z60" i="70"/>
  <c r="Y95" i="70"/>
  <c r="Y123" i="70" s="1"/>
  <c r="AA60" i="70"/>
  <c r="Y60" i="70"/>
  <c r="Z123" i="70"/>
  <c r="X123" i="70"/>
  <c r="T189" i="65"/>
  <c r="E15" i="66" s="1"/>
  <c r="E15" i="76" s="1"/>
  <c r="K161" i="64"/>
  <c r="K153" i="64"/>
  <c r="K156" i="64"/>
  <c r="K165" i="64"/>
  <c r="K157" i="64"/>
  <c r="K160" i="64"/>
  <c r="K158" i="64"/>
  <c r="K159" i="64"/>
  <c r="K162" i="64"/>
  <c r="K154" i="64"/>
  <c r="L5" i="64"/>
  <c r="K164" i="64"/>
  <c r="K163" i="64"/>
  <c r="K155" i="64"/>
  <c r="S174" i="64"/>
  <c r="S172" i="64"/>
  <c r="S170" i="64"/>
  <c r="S175" i="64"/>
  <c r="S70" i="64"/>
  <c r="S176" i="64"/>
  <c r="S179" i="64"/>
  <c r="S183" i="64" s="1"/>
  <c r="S178" i="64"/>
  <c r="S182" i="64" s="1"/>
  <c r="S177" i="64"/>
  <c r="S171" i="64"/>
  <c r="S173" i="64"/>
  <c r="S169" i="64"/>
  <c r="S180" i="64"/>
  <c r="S184" i="64" s="1"/>
  <c r="S73" i="64"/>
  <c r="S72" i="64"/>
  <c r="S71" i="64"/>
  <c r="S168" i="64"/>
  <c r="L5" i="70"/>
  <c r="L5" i="69"/>
  <c r="L5" i="71"/>
  <c r="L5" i="73"/>
  <c r="N5" i="72"/>
  <c r="F165" i="52"/>
  <c r="F164" i="52"/>
  <c r="G5" i="52"/>
  <c r="F159" i="52"/>
  <c r="F153" i="52"/>
  <c r="F163" i="52"/>
  <c r="F162" i="52"/>
  <c r="F158" i="52"/>
  <c r="F156" i="52"/>
  <c r="F154" i="52"/>
  <c r="F160" i="52"/>
  <c r="F161" i="52"/>
  <c r="F157" i="52"/>
  <c r="F155" i="52"/>
  <c r="D25" i="4"/>
  <c r="D24" i="4"/>
  <c r="D23" i="4"/>
  <c r="D22" i="4"/>
  <c r="D21" i="4"/>
  <c r="D20" i="4"/>
  <c r="D19" i="4"/>
  <c r="D18" i="4"/>
  <c r="D17" i="4"/>
  <c r="D16" i="4"/>
  <c r="D15" i="4"/>
  <c r="D14" i="4"/>
  <c r="D13" i="4"/>
  <c r="D12" i="4"/>
  <c r="D11" i="4"/>
  <c r="D10" i="4"/>
  <c r="D9" i="4"/>
  <c r="D8" i="4"/>
  <c r="D7" i="4"/>
  <c r="D6" i="4"/>
  <c r="D5" i="4"/>
  <c r="D4" i="4"/>
  <c r="D3" i="4"/>
  <c r="D2" i="4"/>
  <c r="C5" i="32"/>
  <c r="D5" i="32" s="1"/>
  <c r="E5" i="32" s="1"/>
  <c r="F5" i="32" s="1"/>
  <c r="G5" i="32" s="1"/>
  <c r="H5" i="32" s="1"/>
  <c r="I5" i="32" s="1"/>
  <c r="J5" i="32" s="1"/>
  <c r="K5" i="32" s="1"/>
  <c r="L5" i="32" s="1"/>
  <c r="M5" i="32" s="1"/>
  <c r="N5" i="32" s="1"/>
  <c r="O5" i="32" s="1"/>
  <c r="P5" i="32" s="1"/>
  <c r="Q5" i="32" s="1"/>
  <c r="R5" i="32" s="1"/>
  <c r="S5" i="32" s="1"/>
  <c r="T5" i="32" s="1"/>
  <c r="U5" i="32" s="1"/>
  <c r="V5" i="32" s="1"/>
  <c r="W5" i="32" s="1"/>
  <c r="X5" i="32" s="1"/>
  <c r="Y5" i="32" s="1"/>
  <c r="Z5" i="32" s="1"/>
  <c r="AA5" i="32" s="1"/>
  <c r="AB5" i="32" s="1"/>
  <c r="AC5" i="32" s="1"/>
  <c r="AD5" i="32" s="1"/>
  <c r="AE5" i="32" s="1"/>
  <c r="AF5" i="32" s="1"/>
  <c r="AG5" i="32" s="1"/>
  <c r="AH5" i="32" s="1"/>
  <c r="AI5" i="32" s="1"/>
  <c r="AJ5" i="32" s="1"/>
  <c r="AK5" i="32" s="1"/>
  <c r="AL5" i="32" s="1"/>
  <c r="M156" i="65" l="1"/>
  <c r="M160" i="65"/>
  <c r="M155" i="65"/>
  <c r="M159" i="65"/>
  <c r="M157" i="65"/>
  <c r="M161" i="65"/>
  <c r="N5" i="65"/>
  <c r="N162" i="65" s="1"/>
  <c r="M158" i="65"/>
  <c r="M162" i="65"/>
  <c r="M163" i="65"/>
  <c r="M153" i="65"/>
  <c r="M154" i="65"/>
  <c r="M164" i="65"/>
  <c r="K153" i="68"/>
  <c r="K165" i="68"/>
  <c r="K159" i="68"/>
  <c r="K160" i="68"/>
  <c r="L5" i="68"/>
  <c r="K164" i="68"/>
  <c r="K155" i="68"/>
  <c r="K156" i="68"/>
  <c r="K163" i="68"/>
  <c r="K157" i="68"/>
  <c r="K162" i="68"/>
  <c r="K161" i="68"/>
  <c r="K154" i="68"/>
  <c r="K158" i="68"/>
  <c r="X172" i="73"/>
  <c r="X173" i="73"/>
  <c r="X171" i="73"/>
  <c r="X176" i="73"/>
  <c r="X177" i="73"/>
  <c r="X175" i="73"/>
  <c r="X73" i="73"/>
  <c r="I32" i="66"/>
  <c r="X180" i="73"/>
  <c r="X184" i="73" s="1"/>
  <c r="X170" i="73"/>
  <c r="X179" i="73"/>
  <c r="X183" i="73" s="1"/>
  <c r="X72" i="73"/>
  <c r="X70" i="73"/>
  <c r="X168" i="73"/>
  <c r="X169" i="73"/>
  <c r="X174" i="73"/>
  <c r="X178" i="73"/>
  <c r="X182" i="73" s="1"/>
  <c r="X71" i="73"/>
  <c r="L155" i="71"/>
  <c r="L159" i="71"/>
  <c r="L164" i="71"/>
  <c r="L156" i="71"/>
  <c r="L160" i="71"/>
  <c r="L165" i="71"/>
  <c r="L153" i="71"/>
  <c r="L157" i="71"/>
  <c r="L161" i="71"/>
  <c r="L154" i="71"/>
  <c r="L158" i="71"/>
  <c r="L162" i="71"/>
  <c r="L163" i="71"/>
  <c r="L160" i="69"/>
  <c r="L156" i="69"/>
  <c r="L165" i="69"/>
  <c r="L163" i="69"/>
  <c r="L158" i="69"/>
  <c r="L164" i="69"/>
  <c r="L162" i="69"/>
  <c r="L159" i="69"/>
  <c r="L154" i="69"/>
  <c r="L161" i="69"/>
  <c r="L155" i="69"/>
  <c r="L153" i="69"/>
  <c r="L157" i="69"/>
  <c r="N155" i="72"/>
  <c r="N159" i="72"/>
  <c r="N156" i="72"/>
  <c r="N160" i="72"/>
  <c r="N154" i="72"/>
  <c r="N158" i="72"/>
  <c r="N162" i="72"/>
  <c r="N164" i="72"/>
  <c r="N153" i="72"/>
  <c r="N161" i="72"/>
  <c r="N163" i="72"/>
  <c r="N157" i="72"/>
  <c r="N165" i="72"/>
  <c r="L153" i="70"/>
  <c r="L157" i="70"/>
  <c r="L161" i="70"/>
  <c r="L165" i="70"/>
  <c r="L154" i="70"/>
  <c r="L158" i="70"/>
  <c r="L162" i="70"/>
  <c r="L155" i="70"/>
  <c r="L159" i="70"/>
  <c r="L163" i="70"/>
  <c r="L156" i="70"/>
  <c r="L160" i="70"/>
  <c r="L164" i="70"/>
  <c r="L153" i="73"/>
  <c r="L158" i="73"/>
  <c r="L162" i="73"/>
  <c r="L155" i="73"/>
  <c r="L159" i="73"/>
  <c r="L163" i="73"/>
  <c r="L156" i="73"/>
  <c r="L160" i="73"/>
  <c r="L164" i="73"/>
  <c r="L154" i="73"/>
  <c r="L157" i="73"/>
  <c r="L161" i="73"/>
  <c r="L165" i="73"/>
  <c r="S133" i="64"/>
  <c r="S189" i="64"/>
  <c r="D14" i="66" s="1"/>
  <c r="L165" i="64"/>
  <c r="L157" i="64"/>
  <c r="L156" i="64"/>
  <c r="L153" i="64"/>
  <c r="L162" i="64"/>
  <c r="L160" i="64"/>
  <c r="L159" i="64"/>
  <c r="L155" i="64"/>
  <c r="L163" i="64"/>
  <c r="L164" i="64"/>
  <c r="L154" i="64"/>
  <c r="M5" i="64"/>
  <c r="L161" i="64"/>
  <c r="L158" i="64"/>
  <c r="M5" i="70"/>
  <c r="M5" i="69"/>
  <c r="M5" i="71"/>
  <c r="M5" i="73"/>
  <c r="O5" i="72"/>
  <c r="G164" i="52"/>
  <c r="G165" i="52"/>
  <c r="H5" i="52"/>
  <c r="G163" i="52"/>
  <c r="G160" i="52"/>
  <c r="G155" i="52"/>
  <c r="G159" i="52"/>
  <c r="G153" i="52"/>
  <c r="G161" i="52"/>
  <c r="G162" i="52"/>
  <c r="G158" i="52"/>
  <c r="G156" i="52"/>
  <c r="G154" i="52"/>
  <c r="G157" i="52"/>
  <c r="AP88" i="32"/>
  <c r="AN88" i="32"/>
  <c r="N158" i="65" l="1"/>
  <c r="N154" i="65"/>
  <c r="N157" i="65"/>
  <c r="N164" i="65"/>
  <c r="N163" i="65"/>
  <c r="N156" i="65"/>
  <c r="N165" i="65"/>
  <c r="N153" i="65"/>
  <c r="N159" i="65"/>
  <c r="N160" i="65"/>
  <c r="O5" i="65"/>
  <c r="O160" i="65" s="1"/>
  <c r="N155" i="65"/>
  <c r="N161" i="65"/>
  <c r="D14" i="76"/>
  <c r="L153" i="68"/>
  <c r="L165" i="68"/>
  <c r="L154" i="68"/>
  <c r="L163" i="68"/>
  <c r="L160" i="68"/>
  <c r="L159" i="68"/>
  <c r="M5" i="68"/>
  <c r="L161" i="68"/>
  <c r="L158" i="68"/>
  <c r="L157" i="68"/>
  <c r="L164" i="68"/>
  <c r="L156" i="68"/>
  <c r="L155" i="68"/>
  <c r="L162" i="68"/>
  <c r="X133" i="73"/>
  <c r="X147" i="73"/>
  <c r="X141" i="73"/>
  <c r="X138" i="73"/>
  <c r="Y28" i="73"/>
  <c r="X140" i="73"/>
  <c r="X145" i="73"/>
  <c r="X142" i="73"/>
  <c r="X28" i="73"/>
  <c r="X139" i="73"/>
  <c r="X144" i="73"/>
  <c r="X149" i="73"/>
  <c r="I41" i="66" s="1"/>
  <c r="X146" i="73"/>
  <c r="Z28" i="73"/>
  <c r="X143" i="73"/>
  <c r="X148" i="73"/>
  <c r="X132" i="73" s="1"/>
  <c r="X150" i="73"/>
  <c r="I40" i="66" s="1"/>
  <c r="AB28" i="73"/>
  <c r="AB97" i="73" s="1"/>
  <c r="AB125" i="73" s="1"/>
  <c r="AA28" i="73"/>
  <c r="M164" i="69"/>
  <c r="M161" i="69"/>
  <c r="M157" i="69"/>
  <c r="M160" i="69"/>
  <c r="M165" i="69"/>
  <c r="M163" i="69"/>
  <c r="M158" i="69"/>
  <c r="M155" i="69"/>
  <c r="M156" i="69"/>
  <c r="M154" i="69"/>
  <c r="M153" i="69"/>
  <c r="M162" i="69"/>
  <c r="M159" i="69"/>
  <c r="O154" i="72"/>
  <c r="O158" i="72"/>
  <c r="O155" i="72"/>
  <c r="O159" i="72"/>
  <c r="O153" i="72"/>
  <c r="O157" i="72"/>
  <c r="O161" i="72"/>
  <c r="O165" i="72"/>
  <c r="O156" i="72"/>
  <c r="O160" i="72"/>
  <c r="O164" i="72"/>
  <c r="O163" i="72"/>
  <c r="O162" i="72"/>
  <c r="M156" i="70"/>
  <c r="M160" i="70"/>
  <c r="M164" i="70"/>
  <c r="M153" i="70"/>
  <c r="M157" i="70"/>
  <c r="M161" i="70"/>
  <c r="M165" i="70"/>
  <c r="M154" i="70"/>
  <c r="M158" i="70"/>
  <c r="M162" i="70"/>
  <c r="M155" i="70"/>
  <c r="M159" i="70"/>
  <c r="M163" i="70"/>
  <c r="M154" i="73"/>
  <c r="M157" i="73"/>
  <c r="M161" i="73"/>
  <c r="M165" i="73"/>
  <c r="M153" i="73"/>
  <c r="M158" i="73"/>
  <c r="M162" i="73"/>
  <c r="M155" i="73"/>
  <c r="M159" i="73"/>
  <c r="M163" i="73"/>
  <c r="M156" i="73"/>
  <c r="M160" i="73"/>
  <c r="M164" i="73"/>
  <c r="M154" i="71"/>
  <c r="M158" i="71"/>
  <c r="M162" i="71"/>
  <c r="M163" i="71"/>
  <c r="M155" i="71"/>
  <c r="M159" i="71"/>
  <c r="M164" i="71"/>
  <c r="M156" i="71"/>
  <c r="M160" i="71"/>
  <c r="M165" i="71"/>
  <c r="M153" i="71"/>
  <c r="M157" i="71"/>
  <c r="M161" i="71"/>
  <c r="Z27" i="70"/>
  <c r="Z96" i="70" s="1"/>
  <c r="AA27" i="70"/>
  <c r="AA96" i="70" s="1"/>
  <c r="X27" i="70"/>
  <c r="AB27" i="70"/>
  <c r="AB96" i="70" s="1"/>
  <c r="AB124" i="70" s="1"/>
  <c r="Y27" i="70"/>
  <c r="W27" i="70"/>
  <c r="W132" i="70"/>
  <c r="M164" i="64"/>
  <c r="M163" i="64"/>
  <c r="M154" i="64"/>
  <c r="M159" i="64"/>
  <c r="M162" i="64"/>
  <c r="M158" i="64"/>
  <c r="M161" i="64"/>
  <c r="N5" i="64"/>
  <c r="M160" i="64"/>
  <c r="M157" i="64"/>
  <c r="M155" i="64"/>
  <c r="M165" i="64"/>
  <c r="M156" i="64"/>
  <c r="M153" i="64"/>
  <c r="V23" i="64"/>
  <c r="Z23" i="64"/>
  <c r="S149" i="64"/>
  <c r="D11" i="66" s="1"/>
  <c r="D12" i="76" s="1"/>
  <c r="S147" i="64"/>
  <c r="S145" i="64"/>
  <c r="S143" i="64"/>
  <c r="S141" i="64"/>
  <c r="S139" i="64"/>
  <c r="U23" i="64"/>
  <c r="W23" i="64"/>
  <c r="AA23" i="64"/>
  <c r="S23" i="64"/>
  <c r="Y23" i="64"/>
  <c r="T23" i="64"/>
  <c r="X23" i="64"/>
  <c r="AB23" i="64"/>
  <c r="AB92" i="64" s="1"/>
  <c r="AB120" i="64" s="1"/>
  <c r="S150" i="64"/>
  <c r="D10" i="66" s="1"/>
  <c r="D9" i="76" s="1"/>
  <c r="S148" i="64"/>
  <c r="S132" i="64" s="1"/>
  <c r="S146" i="64"/>
  <c r="S144" i="64"/>
  <c r="S142" i="64"/>
  <c r="S140" i="64"/>
  <c r="S138" i="64"/>
  <c r="N5" i="70"/>
  <c r="N5" i="69"/>
  <c r="N5" i="71"/>
  <c r="N5" i="73"/>
  <c r="P5" i="72"/>
  <c r="O162" i="65"/>
  <c r="O163" i="65"/>
  <c r="O153" i="65"/>
  <c r="P5" i="65"/>
  <c r="H165" i="52"/>
  <c r="H164" i="52"/>
  <c r="I5" i="52"/>
  <c r="H161" i="52"/>
  <c r="H157" i="52"/>
  <c r="H163" i="52"/>
  <c r="H160" i="52"/>
  <c r="H155" i="52"/>
  <c r="H162" i="52"/>
  <c r="H159" i="52"/>
  <c r="H153" i="52"/>
  <c r="H158" i="52"/>
  <c r="H156" i="52"/>
  <c r="H154" i="52"/>
  <c r="O165" i="65" l="1"/>
  <c r="O155" i="65"/>
  <c r="O156" i="65"/>
  <c r="O157" i="65"/>
  <c r="O158" i="65"/>
  <c r="O154" i="65"/>
  <c r="O164" i="65"/>
  <c r="O159" i="65"/>
  <c r="O161" i="65"/>
  <c r="M153" i="68"/>
  <c r="M164" i="68"/>
  <c r="M161" i="68"/>
  <c r="M160" i="68"/>
  <c r="N5" i="68"/>
  <c r="M154" i="68"/>
  <c r="M162" i="68"/>
  <c r="M158" i="68"/>
  <c r="M159" i="68"/>
  <c r="M165" i="68"/>
  <c r="M156" i="68"/>
  <c r="M157" i="68"/>
  <c r="M163" i="68"/>
  <c r="M155" i="68"/>
  <c r="AB62" i="73"/>
  <c r="AA97" i="73"/>
  <c r="AA125" i="73" s="1"/>
  <c r="Z97" i="73"/>
  <c r="Z125" i="73" s="1"/>
  <c r="AA62" i="73"/>
  <c r="X97" i="73"/>
  <c r="X125" i="73" s="1"/>
  <c r="X131" i="73" s="1"/>
  <c r="X134" i="73" s="1"/>
  <c r="I35" i="66" s="1"/>
  <c r="Y62" i="73"/>
  <c r="Y67" i="73" s="1"/>
  <c r="Y97" i="73"/>
  <c r="Y125" i="73" s="1"/>
  <c r="Z62" i="73"/>
  <c r="N153" i="71"/>
  <c r="N157" i="71"/>
  <c r="N161" i="71"/>
  <c r="N154" i="71"/>
  <c r="N158" i="71"/>
  <c r="N162" i="71"/>
  <c r="N163" i="71"/>
  <c r="N155" i="71"/>
  <c r="N159" i="71"/>
  <c r="N164" i="71"/>
  <c r="N156" i="71"/>
  <c r="N160" i="71"/>
  <c r="N165" i="71"/>
  <c r="Z61" i="70"/>
  <c r="Y96" i="70"/>
  <c r="Y124" i="70" s="1"/>
  <c r="N165" i="69"/>
  <c r="N164" i="69"/>
  <c r="N162" i="69"/>
  <c r="N159" i="69"/>
  <c r="N154" i="69"/>
  <c r="N161" i="69"/>
  <c r="N160" i="69"/>
  <c r="N156" i="69"/>
  <c r="N163" i="69"/>
  <c r="N157" i="69"/>
  <c r="N158" i="69"/>
  <c r="N155" i="69"/>
  <c r="N153" i="69"/>
  <c r="P153" i="72"/>
  <c r="P157" i="72"/>
  <c r="P161" i="72"/>
  <c r="P154" i="72"/>
  <c r="P158" i="72"/>
  <c r="P156" i="72"/>
  <c r="P160" i="72"/>
  <c r="P164" i="72"/>
  <c r="P162" i="72"/>
  <c r="P165" i="72"/>
  <c r="P155" i="72"/>
  <c r="P159" i="72"/>
  <c r="P163" i="72"/>
  <c r="N155" i="70"/>
  <c r="N159" i="70"/>
  <c r="N163" i="70"/>
  <c r="N156" i="70"/>
  <c r="N160" i="70"/>
  <c r="N164" i="70"/>
  <c r="N153" i="70"/>
  <c r="N157" i="70"/>
  <c r="N161" i="70"/>
  <c r="N165" i="70"/>
  <c r="N154" i="70"/>
  <c r="N158" i="70"/>
  <c r="N162" i="70"/>
  <c r="Y61" i="70"/>
  <c r="X96" i="70"/>
  <c r="X124" i="70" s="1"/>
  <c r="N153" i="73"/>
  <c r="N154" i="73"/>
  <c r="N156" i="73"/>
  <c r="N160" i="73"/>
  <c r="N164" i="73"/>
  <c r="N157" i="73"/>
  <c r="N161" i="73"/>
  <c r="N165" i="73"/>
  <c r="N158" i="73"/>
  <c r="N162" i="73"/>
  <c r="N155" i="73"/>
  <c r="N159" i="73"/>
  <c r="N163" i="73"/>
  <c r="X61" i="70"/>
  <c r="W96" i="70"/>
  <c r="W124" i="70" s="1"/>
  <c r="AB61" i="70"/>
  <c r="AA61" i="70"/>
  <c r="Z124" i="70"/>
  <c r="AA124" i="70"/>
  <c r="W92" i="64"/>
  <c r="W120" i="64" s="1"/>
  <c r="X57" i="64"/>
  <c r="Z92" i="64"/>
  <c r="Z120" i="64" s="1"/>
  <c r="AA57" i="64"/>
  <c r="N158" i="64"/>
  <c r="N155" i="64"/>
  <c r="N156" i="64"/>
  <c r="N164" i="64"/>
  <c r="N165" i="64"/>
  <c r="N154" i="64"/>
  <c r="N162" i="64"/>
  <c r="N159" i="64"/>
  <c r="N160" i="64"/>
  <c r="N161" i="64"/>
  <c r="N157" i="64"/>
  <c r="N153" i="64"/>
  <c r="N163" i="64"/>
  <c r="O5" i="64"/>
  <c r="U92" i="64"/>
  <c r="U120" i="64" s="1"/>
  <c r="V57" i="64"/>
  <c r="S92" i="64"/>
  <c r="S120" i="64" s="1"/>
  <c r="S131" i="64" s="1"/>
  <c r="S134" i="64" s="1"/>
  <c r="D6" i="66" s="1"/>
  <c r="D6" i="76" s="1"/>
  <c r="T57" i="64"/>
  <c r="T67" i="64" s="1"/>
  <c r="E3" i="66" s="1"/>
  <c r="E3" i="76" s="1"/>
  <c r="T92" i="64"/>
  <c r="T120" i="64" s="1"/>
  <c r="U57" i="64"/>
  <c r="Y92" i="64"/>
  <c r="Y120" i="64" s="1"/>
  <c r="Z57" i="64"/>
  <c r="V92" i="64"/>
  <c r="V120" i="64" s="1"/>
  <c r="W57" i="64"/>
  <c r="X92" i="64"/>
  <c r="X120" i="64" s="1"/>
  <c r="Y57" i="64"/>
  <c r="AA92" i="64"/>
  <c r="AA120" i="64" s="1"/>
  <c r="AB57" i="64"/>
  <c r="O5" i="70"/>
  <c r="O5" i="69"/>
  <c r="O5" i="71"/>
  <c r="O5" i="73"/>
  <c r="Q5" i="72"/>
  <c r="P165" i="65"/>
  <c r="P163" i="65"/>
  <c r="P161" i="65"/>
  <c r="P164" i="65"/>
  <c r="P162" i="65"/>
  <c r="P160" i="65"/>
  <c r="P159" i="65"/>
  <c r="P156" i="65"/>
  <c r="P154" i="65"/>
  <c r="P158" i="65"/>
  <c r="P157" i="65"/>
  <c r="P155" i="65"/>
  <c r="P153" i="65"/>
  <c r="Q5" i="65"/>
  <c r="I165" i="52"/>
  <c r="I164" i="52"/>
  <c r="J5" i="52"/>
  <c r="I162" i="52"/>
  <c r="I158" i="52"/>
  <c r="I156" i="52"/>
  <c r="I154" i="52"/>
  <c r="I161" i="52"/>
  <c r="I157" i="52"/>
  <c r="I163" i="52"/>
  <c r="I160" i="52"/>
  <c r="I155" i="52"/>
  <c r="I159" i="52"/>
  <c r="I153" i="52"/>
  <c r="N153" i="68" l="1"/>
  <c r="N160" i="68"/>
  <c r="N159" i="68"/>
  <c r="N156" i="68"/>
  <c r="N161" i="68"/>
  <c r="N165" i="68"/>
  <c r="N157" i="68"/>
  <c r="N154" i="68"/>
  <c r="N162" i="68"/>
  <c r="N158" i="68"/>
  <c r="N164" i="68"/>
  <c r="N163" i="68"/>
  <c r="N155" i="68"/>
  <c r="O5" i="68"/>
  <c r="Y175" i="73"/>
  <c r="Y176" i="73"/>
  <c r="Y170" i="73"/>
  <c r="Y71" i="73"/>
  <c r="Y179" i="73"/>
  <c r="Y183" i="73" s="1"/>
  <c r="Y180" i="73"/>
  <c r="Y184" i="73" s="1"/>
  <c r="Y174" i="73"/>
  <c r="Y73" i="73"/>
  <c r="J32" i="66"/>
  <c r="Y168" i="73"/>
  <c r="Y169" i="73"/>
  <c r="Y178" i="73"/>
  <c r="Y182" i="73" s="1"/>
  <c r="Y70" i="73"/>
  <c r="Y171" i="73"/>
  <c r="Y172" i="73"/>
  <c r="Y173" i="73"/>
  <c r="Y177" i="73"/>
  <c r="Y72" i="73"/>
  <c r="O155" i="73"/>
  <c r="O159" i="73"/>
  <c r="O163" i="73"/>
  <c r="O154" i="73"/>
  <c r="O156" i="73"/>
  <c r="O160" i="73"/>
  <c r="O164" i="73"/>
  <c r="O153" i="73"/>
  <c r="O157" i="73"/>
  <c r="O161" i="73"/>
  <c r="O165" i="73"/>
  <c r="O158" i="73"/>
  <c r="O162" i="73"/>
  <c r="O156" i="71"/>
  <c r="O160" i="71"/>
  <c r="O165" i="71"/>
  <c r="O153" i="71"/>
  <c r="O157" i="71"/>
  <c r="O161" i="71"/>
  <c r="O154" i="71"/>
  <c r="O158" i="71"/>
  <c r="O162" i="71"/>
  <c r="O163" i="71"/>
  <c r="O155" i="71"/>
  <c r="O159" i="71"/>
  <c r="O164" i="71"/>
  <c r="O165" i="69"/>
  <c r="O163" i="69"/>
  <c r="O158" i="69"/>
  <c r="O155" i="69"/>
  <c r="O164" i="69"/>
  <c r="O162" i="69"/>
  <c r="O161" i="69"/>
  <c r="O157" i="69"/>
  <c r="O159" i="69"/>
  <c r="O156" i="69"/>
  <c r="O154" i="69"/>
  <c r="O160" i="69"/>
  <c r="O153" i="69"/>
  <c r="Q156" i="72"/>
  <c r="Q160" i="72"/>
  <c r="Q153" i="72"/>
  <c r="Q157" i="72"/>
  <c r="Q155" i="72"/>
  <c r="Q159" i="72"/>
  <c r="Q163" i="72"/>
  <c r="Q154" i="72"/>
  <c r="Q158" i="72"/>
  <c r="Q162" i="72"/>
  <c r="Q165" i="72"/>
  <c r="Q161" i="72"/>
  <c r="Q164" i="72"/>
  <c r="O154" i="70"/>
  <c r="O158" i="70"/>
  <c r="O162" i="70"/>
  <c r="O155" i="70"/>
  <c r="O159" i="70"/>
  <c r="O163" i="70"/>
  <c r="O156" i="70"/>
  <c r="O160" i="70"/>
  <c r="O164" i="70"/>
  <c r="O153" i="70"/>
  <c r="O157" i="70"/>
  <c r="O161" i="70"/>
  <c r="O165" i="70"/>
  <c r="U189" i="65"/>
  <c r="F15" i="66" s="1"/>
  <c r="T177" i="64"/>
  <c r="T175" i="64"/>
  <c r="T173" i="64"/>
  <c r="T179" i="64"/>
  <c r="T183" i="64" s="1"/>
  <c r="T71" i="64"/>
  <c r="T70" i="64"/>
  <c r="T172" i="64"/>
  <c r="T178" i="64"/>
  <c r="T182" i="64" s="1"/>
  <c r="T171" i="64"/>
  <c r="T169" i="64"/>
  <c r="T176" i="64"/>
  <c r="T72" i="64"/>
  <c r="T174" i="64"/>
  <c r="T170" i="64"/>
  <c r="T168" i="64"/>
  <c r="T180" i="64"/>
  <c r="T184" i="64" s="1"/>
  <c r="T73" i="64"/>
  <c r="O163" i="64"/>
  <c r="O155" i="64"/>
  <c r="O156" i="64"/>
  <c r="P5" i="64"/>
  <c r="O161" i="64"/>
  <c r="O154" i="64"/>
  <c r="O160" i="64"/>
  <c r="O165" i="64"/>
  <c r="O157" i="64"/>
  <c r="O153" i="64"/>
  <c r="O159" i="64"/>
  <c r="O162" i="64"/>
  <c r="O164" i="64"/>
  <c r="O158" i="64"/>
  <c r="P5" i="70"/>
  <c r="P5" i="69"/>
  <c r="P5" i="71"/>
  <c r="P5" i="73"/>
  <c r="R5" i="72"/>
  <c r="Q165" i="65"/>
  <c r="Q163" i="65"/>
  <c r="Q161" i="65"/>
  <c r="Q159" i="65"/>
  <c r="Q164" i="65"/>
  <c r="Q162" i="65"/>
  <c r="Q160" i="65"/>
  <c r="Q156" i="65"/>
  <c r="Q154" i="65"/>
  <c r="Q158" i="65"/>
  <c r="Q157" i="65"/>
  <c r="Q155" i="65"/>
  <c r="Q153" i="65"/>
  <c r="J165" i="52"/>
  <c r="J164" i="52"/>
  <c r="K5" i="52"/>
  <c r="J159" i="52"/>
  <c r="J153" i="52"/>
  <c r="J160" i="52"/>
  <c r="J162" i="52"/>
  <c r="J158" i="52"/>
  <c r="J156" i="52"/>
  <c r="J154" i="52"/>
  <c r="J163" i="52"/>
  <c r="J161" i="52"/>
  <c r="J157" i="52"/>
  <c r="J155" i="52"/>
  <c r="O153" i="68" l="1"/>
  <c r="O162" i="68"/>
  <c r="O159" i="68"/>
  <c r="O161" i="68"/>
  <c r="O164" i="68"/>
  <c r="O154" i="68"/>
  <c r="O165" i="68"/>
  <c r="O160" i="68"/>
  <c r="O158" i="68"/>
  <c r="P5" i="68"/>
  <c r="O155" i="68"/>
  <c r="O163" i="68"/>
  <c r="O157" i="68"/>
  <c r="O156" i="68"/>
  <c r="Y133" i="73"/>
  <c r="Y146" i="73"/>
  <c r="Y147" i="73"/>
  <c r="Y141" i="73"/>
  <c r="Z29" i="73"/>
  <c r="Y150" i="73"/>
  <c r="J40" i="66" s="1"/>
  <c r="Y140" i="73"/>
  <c r="Y145" i="73"/>
  <c r="Y29" i="73"/>
  <c r="Y138" i="73"/>
  <c r="Y139" i="73"/>
  <c r="Y144" i="73"/>
  <c r="Y149" i="73"/>
  <c r="J41" i="66" s="1"/>
  <c r="AA29" i="73"/>
  <c r="Y142" i="73"/>
  <c r="Y143" i="73"/>
  <c r="Y148" i="73"/>
  <c r="Y132" i="73" s="1"/>
  <c r="AB29" i="73"/>
  <c r="AB98" i="73" s="1"/>
  <c r="AB126" i="73" s="1"/>
  <c r="F15" i="76"/>
  <c r="R155" i="72"/>
  <c r="R159" i="72"/>
  <c r="R156" i="72"/>
  <c r="R160" i="72"/>
  <c r="R154" i="72"/>
  <c r="R158" i="72"/>
  <c r="R162" i="72"/>
  <c r="R163" i="72"/>
  <c r="R153" i="72"/>
  <c r="R165" i="72"/>
  <c r="R157" i="72"/>
  <c r="R161" i="72"/>
  <c r="R164" i="72"/>
  <c r="P153" i="70"/>
  <c r="P157" i="70"/>
  <c r="P161" i="70"/>
  <c r="P165" i="70"/>
  <c r="P154" i="70"/>
  <c r="P158" i="70"/>
  <c r="P162" i="70"/>
  <c r="P155" i="70"/>
  <c r="P159" i="70"/>
  <c r="P163" i="70"/>
  <c r="P156" i="70"/>
  <c r="P160" i="70"/>
  <c r="P164" i="70"/>
  <c r="P158" i="73"/>
  <c r="P162" i="73"/>
  <c r="P155" i="73"/>
  <c r="P159" i="73"/>
  <c r="P163" i="73"/>
  <c r="P154" i="73"/>
  <c r="P156" i="73"/>
  <c r="P160" i="73"/>
  <c r="P164" i="73"/>
  <c r="P153" i="73"/>
  <c r="P157" i="73"/>
  <c r="P161" i="73"/>
  <c r="P165" i="73"/>
  <c r="P160" i="69"/>
  <c r="P156" i="69"/>
  <c r="P165" i="69"/>
  <c r="P163" i="69"/>
  <c r="P158" i="69"/>
  <c r="P164" i="69"/>
  <c r="P162" i="69"/>
  <c r="P159" i="69"/>
  <c r="P154" i="69"/>
  <c r="P153" i="69"/>
  <c r="P161" i="69"/>
  <c r="P157" i="69"/>
  <c r="P155" i="69"/>
  <c r="P155" i="71"/>
  <c r="P159" i="71"/>
  <c r="P164" i="71"/>
  <c r="P156" i="71"/>
  <c r="P160" i="71"/>
  <c r="P165" i="71"/>
  <c r="P153" i="71"/>
  <c r="P157" i="71"/>
  <c r="P161" i="71"/>
  <c r="P154" i="71"/>
  <c r="P158" i="71"/>
  <c r="P162" i="71"/>
  <c r="P163" i="71"/>
  <c r="AA28" i="70"/>
  <c r="AA97" i="70" s="1"/>
  <c r="Y28" i="70"/>
  <c r="Y97" i="70" s="1"/>
  <c r="AB28" i="70"/>
  <c r="Z28" i="70"/>
  <c r="X28" i="70"/>
  <c r="X132" i="70"/>
  <c r="P165" i="64"/>
  <c r="P157" i="64"/>
  <c r="P154" i="64"/>
  <c r="P153" i="64"/>
  <c r="P160" i="64"/>
  <c r="P156" i="64"/>
  <c r="P163" i="64"/>
  <c r="P164" i="64"/>
  <c r="P162" i="64"/>
  <c r="Q5" i="64"/>
  <c r="P161" i="64"/>
  <c r="P158" i="64"/>
  <c r="P159" i="64"/>
  <c r="P155" i="64"/>
  <c r="T133" i="64"/>
  <c r="T189" i="64"/>
  <c r="E14" i="66" s="1"/>
  <c r="Q5" i="70"/>
  <c r="Q5" i="69"/>
  <c r="Q5" i="71"/>
  <c r="Q5" i="73"/>
  <c r="S5" i="72"/>
  <c r="K164" i="52"/>
  <c r="K165" i="52"/>
  <c r="L5" i="52"/>
  <c r="K163" i="52"/>
  <c r="K160" i="52"/>
  <c r="K155" i="52"/>
  <c r="K161" i="52"/>
  <c r="K159" i="52"/>
  <c r="K153" i="52"/>
  <c r="K162" i="52"/>
  <c r="K158" i="52"/>
  <c r="K156" i="52"/>
  <c r="K154" i="52"/>
  <c r="K157" i="52"/>
  <c r="E14" i="76" l="1"/>
  <c r="P153" i="68"/>
  <c r="P161" i="68"/>
  <c r="P160" i="68"/>
  <c r="P157" i="68"/>
  <c r="P158" i="68"/>
  <c r="P155" i="68"/>
  <c r="P162" i="68"/>
  <c r="P159" i="68"/>
  <c r="P163" i="68"/>
  <c r="P154" i="68"/>
  <c r="P165" i="68"/>
  <c r="P164" i="68"/>
  <c r="P156" i="68"/>
  <c r="Q5" i="68"/>
  <c r="AB63" i="73"/>
  <c r="AA98" i="73"/>
  <c r="AA126" i="73" s="1"/>
  <c r="Y98" i="73"/>
  <c r="Y126" i="73" s="1"/>
  <c r="Y131" i="73" s="1"/>
  <c r="Y134" i="73" s="1"/>
  <c r="J35" i="66" s="1"/>
  <c r="Z63" i="73"/>
  <c r="Z67" i="73" s="1"/>
  <c r="Z98" i="73"/>
  <c r="Z126" i="73" s="1"/>
  <c r="AA63" i="73"/>
  <c r="AB97" i="70"/>
  <c r="AB125" i="70" s="1"/>
  <c r="Q154" i="71"/>
  <c r="Q158" i="71"/>
  <c r="Q162" i="71"/>
  <c r="Q163" i="71"/>
  <c r="Q155" i="71"/>
  <c r="Q159" i="71"/>
  <c r="Q164" i="71"/>
  <c r="Q156" i="71"/>
  <c r="Q160" i="71"/>
  <c r="Q165" i="71"/>
  <c r="Q153" i="71"/>
  <c r="Q157" i="71"/>
  <c r="Q161" i="71"/>
  <c r="Q164" i="69"/>
  <c r="Q161" i="69"/>
  <c r="Q157" i="69"/>
  <c r="Q160" i="69"/>
  <c r="Q165" i="69"/>
  <c r="Q163" i="69"/>
  <c r="Q158" i="69"/>
  <c r="Q155" i="69"/>
  <c r="Q159" i="69"/>
  <c r="Q153" i="69"/>
  <c r="Q156" i="69"/>
  <c r="Q162" i="69"/>
  <c r="Q154" i="69"/>
  <c r="Y62" i="70"/>
  <c r="X97" i="70"/>
  <c r="X125" i="70" s="1"/>
  <c r="S154" i="72"/>
  <c r="S158" i="72"/>
  <c r="S155" i="72"/>
  <c r="S159" i="72"/>
  <c r="S153" i="72"/>
  <c r="S157" i="72"/>
  <c r="S161" i="72"/>
  <c r="S165" i="72"/>
  <c r="S164" i="72"/>
  <c r="S156" i="72"/>
  <c r="S163" i="72"/>
  <c r="S160" i="72"/>
  <c r="S162" i="72"/>
  <c r="Q156" i="70"/>
  <c r="Q160" i="70"/>
  <c r="Q164" i="70"/>
  <c r="Q153" i="70"/>
  <c r="Q157" i="70"/>
  <c r="Q161" i="70"/>
  <c r="Q165" i="70"/>
  <c r="Q154" i="70"/>
  <c r="Q158" i="70"/>
  <c r="Q162" i="70"/>
  <c r="Q155" i="70"/>
  <c r="Q159" i="70"/>
  <c r="Q163" i="70"/>
  <c r="Q154" i="73"/>
  <c r="Q153" i="73"/>
  <c r="Q157" i="73"/>
  <c r="Q161" i="73"/>
  <c r="Q165" i="73"/>
  <c r="Q158" i="73"/>
  <c r="Q162" i="73"/>
  <c r="Q155" i="73"/>
  <c r="Q159" i="73"/>
  <c r="Q163" i="73"/>
  <c r="Q156" i="73"/>
  <c r="Q160" i="73"/>
  <c r="Q164" i="73"/>
  <c r="AA62" i="70"/>
  <c r="Z97" i="70"/>
  <c r="Z125" i="70" s="1"/>
  <c r="Z62" i="70"/>
  <c r="AB62" i="70"/>
  <c r="AA125" i="70"/>
  <c r="Y125" i="70"/>
  <c r="T147" i="64"/>
  <c r="X24" i="64"/>
  <c r="T149" i="64"/>
  <c r="E11" i="66" s="1"/>
  <c r="E12" i="76" s="1"/>
  <c r="V24" i="64"/>
  <c r="T142" i="64"/>
  <c r="W24" i="64"/>
  <c r="T143" i="64"/>
  <c r="AB24" i="64"/>
  <c r="AB93" i="64" s="1"/>
  <c r="AB121" i="64" s="1"/>
  <c r="T145" i="64"/>
  <c r="Z24" i="64"/>
  <c r="T138" i="64"/>
  <c r="AA24" i="64"/>
  <c r="T139" i="64"/>
  <c r="U24" i="64"/>
  <c r="T141" i="64"/>
  <c r="T150" i="64"/>
  <c r="E10" i="66" s="1"/>
  <c r="E9" i="76" s="1"/>
  <c r="T148" i="64"/>
  <c r="T132" i="64" s="1"/>
  <c r="T24" i="64"/>
  <c r="T140" i="64"/>
  <c r="Y24" i="64"/>
  <c r="T144" i="64"/>
  <c r="T146" i="64"/>
  <c r="Q164" i="64"/>
  <c r="Q165" i="64"/>
  <c r="Q159" i="64"/>
  <c r="Q161" i="64"/>
  <c r="Q153" i="64"/>
  <c r="Q162" i="64"/>
  <c r="Q163" i="64"/>
  <c r="Q157" i="64"/>
  <c r="R5" i="64"/>
  <c r="Q160" i="64"/>
  <c r="Q156" i="64"/>
  <c r="Q155" i="64"/>
  <c r="Q158" i="64"/>
  <c r="Q154" i="64"/>
  <c r="R5" i="70"/>
  <c r="R5" i="69"/>
  <c r="R5" i="71"/>
  <c r="R5" i="73"/>
  <c r="T5" i="72"/>
  <c r="L165" i="52"/>
  <c r="L164" i="52"/>
  <c r="M5" i="52"/>
  <c r="L161" i="52"/>
  <c r="L157" i="52"/>
  <c r="L163" i="52"/>
  <c r="L160" i="52"/>
  <c r="L155" i="52"/>
  <c r="L159" i="52"/>
  <c r="L153" i="52"/>
  <c r="L162" i="52"/>
  <c r="L154" i="52"/>
  <c r="L158" i="52"/>
  <c r="L156" i="52"/>
  <c r="Q153" i="68" l="1"/>
  <c r="Q165" i="68"/>
  <c r="Q156" i="68"/>
  <c r="Q155" i="68"/>
  <c r="Q164" i="68"/>
  <c r="Q159" i="68"/>
  <c r="Q161" i="68"/>
  <c r="R5" i="68"/>
  <c r="Q163" i="68"/>
  <c r="Q154" i="68"/>
  <c r="Q162" i="68"/>
  <c r="Q158" i="68"/>
  <c r="Q157" i="68"/>
  <c r="Q160" i="68"/>
  <c r="Z174" i="73"/>
  <c r="Z179" i="73"/>
  <c r="Z183" i="73" s="1"/>
  <c r="Z173" i="73"/>
  <c r="Z71" i="73"/>
  <c r="Z178" i="73"/>
  <c r="Z182" i="73" s="1"/>
  <c r="Z168" i="73"/>
  <c r="Z177" i="73"/>
  <c r="Z72" i="73"/>
  <c r="K32" i="66"/>
  <c r="Z171" i="73"/>
  <c r="Z172" i="73"/>
  <c r="Z176" i="73"/>
  <c r="Z70" i="73"/>
  <c r="Z170" i="73"/>
  <c r="Z175" i="73"/>
  <c r="Z169" i="73"/>
  <c r="Z180" i="73"/>
  <c r="Z184" i="73" s="1"/>
  <c r="Z73" i="73"/>
  <c r="R165" i="69"/>
  <c r="R164" i="69"/>
  <c r="R162" i="69"/>
  <c r="R159" i="69"/>
  <c r="R154" i="69"/>
  <c r="R161" i="69"/>
  <c r="R160" i="69"/>
  <c r="R156" i="69"/>
  <c r="R163" i="69"/>
  <c r="R158" i="69"/>
  <c r="R157" i="69"/>
  <c r="R153" i="69"/>
  <c r="R155" i="69"/>
  <c r="T153" i="72"/>
  <c r="T157" i="72"/>
  <c r="T154" i="72"/>
  <c r="T158" i="72"/>
  <c r="T156" i="72"/>
  <c r="T160" i="72"/>
  <c r="T164" i="72"/>
  <c r="T159" i="72"/>
  <c r="T161" i="72"/>
  <c r="T163" i="72"/>
  <c r="T155" i="72"/>
  <c r="T162" i="72"/>
  <c r="T165" i="72"/>
  <c r="R155" i="70"/>
  <c r="R159" i="70"/>
  <c r="R163" i="70"/>
  <c r="R156" i="70"/>
  <c r="R160" i="70"/>
  <c r="R164" i="70"/>
  <c r="R153" i="70"/>
  <c r="R157" i="70"/>
  <c r="R161" i="70"/>
  <c r="R165" i="70"/>
  <c r="R154" i="70"/>
  <c r="R158" i="70"/>
  <c r="R162" i="70"/>
  <c r="R153" i="73"/>
  <c r="R156" i="73"/>
  <c r="R160" i="73"/>
  <c r="R164" i="73"/>
  <c r="R157" i="73"/>
  <c r="R161" i="73"/>
  <c r="R165" i="73"/>
  <c r="R158" i="73"/>
  <c r="R162" i="73"/>
  <c r="R154" i="73"/>
  <c r="R155" i="73"/>
  <c r="R159" i="73"/>
  <c r="R163" i="73"/>
  <c r="R153" i="71"/>
  <c r="R157" i="71"/>
  <c r="R161" i="71"/>
  <c r="R154" i="71"/>
  <c r="R158" i="71"/>
  <c r="R162" i="71"/>
  <c r="R163" i="71"/>
  <c r="R155" i="71"/>
  <c r="R159" i="71"/>
  <c r="R164" i="71"/>
  <c r="R156" i="71"/>
  <c r="R160" i="71"/>
  <c r="R165" i="71"/>
  <c r="R160" i="64"/>
  <c r="R163" i="64"/>
  <c r="R153" i="64"/>
  <c r="R158" i="64"/>
  <c r="R159" i="64"/>
  <c r="R161" i="64"/>
  <c r="R162" i="64"/>
  <c r="R155" i="64"/>
  <c r="S5" i="64"/>
  <c r="R164" i="64"/>
  <c r="R156" i="64"/>
  <c r="R157" i="64"/>
  <c r="R154" i="64"/>
  <c r="R165" i="64"/>
  <c r="Z58" i="64"/>
  <c r="Y93" i="64"/>
  <c r="Y121" i="64" s="1"/>
  <c r="AB58" i="64"/>
  <c r="AA93" i="64"/>
  <c r="AA121" i="64" s="1"/>
  <c r="V93" i="64"/>
  <c r="V121" i="64" s="1"/>
  <c r="W58" i="64"/>
  <c r="T93" i="64"/>
  <c r="T121" i="64" s="1"/>
  <c r="T131" i="64" s="1"/>
  <c r="T134" i="64" s="1"/>
  <c r="E6" i="66" s="1"/>
  <c r="E6" i="76" s="1"/>
  <c r="U58" i="64"/>
  <c r="U67" i="64" s="1"/>
  <c r="F3" i="66" s="1"/>
  <c r="F3" i="76" s="1"/>
  <c r="U93" i="64"/>
  <c r="U121" i="64" s="1"/>
  <c r="V58" i="64"/>
  <c r="Z93" i="64"/>
  <c r="Z121" i="64" s="1"/>
  <c r="AA58" i="64"/>
  <c r="X58" i="64"/>
  <c r="W93" i="64"/>
  <c r="W121" i="64" s="1"/>
  <c r="Y58" i="64"/>
  <c r="X93" i="64"/>
  <c r="X121" i="64" s="1"/>
  <c r="S5" i="69"/>
  <c r="S5" i="71"/>
  <c r="S5" i="73"/>
  <c r="U5" i="72"/>
  <c r="M165" i="52"/>
  <c r="M164" i="52"/>
  <c r="N5" i="52"/>
  <c r="M162" i="52"/>
  <c r="M158" i="52"/>
  <c r="M156" i="52"/>
  <c r="M154" i="52"/>
  <c r="M159" i="52"/>
  <c r="M161" i="52"/>
  <c r="M157" i="52"/>
  <c r="M163" i="52"/>
  <c r="M160" i="52"/>
  <c r="M155" i="52"/>
  <c r="M153" i="52"/>
  <c r="R153" i="68" l="1"/>
  <c r="R165" i="68"/>
  <c r="R157" i="68"/>
  <c r="R154" i="68"/>
  <c r="R158" i="68"/>
  <c r="R160" i="68"/>
  <c r="R164" i="68"/>
  <c r="R163" i="68"/>
  <c r="R155" i="68"/>
  <c r="S5" i="68"/>
  <c r="R162" i="68"/>
  <c r="R161" i="68"/>
  <c r="R156" i="68"/>
  <c r="R159" i="68"/>
  <c r="Z133" i="73"/>
  <c r="Z145" i="73"/>
  <c r="Z146" i="73"/>
  <c r="Z147" i="73"/>
  <c r="AA30" i="73"/>
  <c r="Z149" i="73"/>
  <c r="K41" i="66" s="1"/>
  <c r="Z150" i="73"/>
  <c r="K40" i="66" s="1"/>
  <c r="Z148" i="73"/>
  <c r="Z132" i="73" s="1"/>
  <c r="AB30" i="73"/>
  <c r="AB99" i="73" s="1"/>
  <c r="AB127" i="73" s="1"/>
  <c r="Z138" i="73"/>
  <c r="Z139" i="73"/>
  <c r="Z140" i="73"/>
  <c r="Z30" i="73"/>
  <c r="Z141" i="73"/>
  <c r="Z142" i="73"/>
  <c r="Z143" i="73"/>
  <c r="Z144" i="73"/>
  <c r="S156" i="71"/>
  <c r="S160" i="71"/>
  <c r="S165" i="71"/>
  <c r="S153" i="71"/>
  <c r="S157" i="71"/>
  <c r="S161" i="71"/>
  <c r="S154" i="71"/>
  <c r="S158" i="71"/>
  <c r="S162" i="71"/>
  <c r="S163" i="71"/>
  <c r="S155" i="71"/>
  <c r="S159" i="71"/>
  <c r="S164" i="71"/>
  <c r="S165" i="69"/>
  <c r="S163" i="69"/>
  <c r="S158" i="69"/>
  <c r="S155" i="69"/>
  <c r="S164" i="69"/>
  <c r="S162" i="69"/>
  <c r="S161" i="69"/>
  <c r="S157" i="69"/>
  <c r="S160" i="69"/>
  <c r="S154" i="69"/>
  <c r="S159" i="69"/>
  <c r="S156" i="69"/>
  <c r="S153" i="69"/>
  <c r="U156" i="72"/>
  <c r="U160" i="72"/>
  <c r="U153" i="72"/>
  <c r="U157" i="72"/>
  <c r="U155" i="72"/>
  <c r="U159" i="72"/>
  <c r="U163" i="72"/>
  <c r="U162" i="72"/>
  <c r="U165" i="72"/>
  <c r="U154" i="72"/>
  <c r="U161" i="72"/>
  <c r="U164" i="72"/>
  <c r="U158" i="72"/>
  <c r="S154" i="73"/>
  <c r="S155" i="73"/>
  <c r="S159" i="73"/>
  <c r="S163" i="73"/>
  <c r="S153" i="73"/>
  <c r="S156" i="73"/>
  <c r="S160" i="73"/>
  <c r="S164" i="73"/>
  <c r="S157" i="73"/>
  <c r="S161" i="73"/>
  <c r="S165" i="73"/>
  <c r="S158" i="73"/>
  <c r="S162" i="73"/>
  <c r="AA29" i="70"/>
  <c r="AA98" i="70" s="1"/>
  <c r="Z29" i="70"/>
  <c r="AB29" i="70"/>
  <c r="AB98" i="70" s="1"/>
  <c r="AB126" i="70" s="1"/>
  <c r="Y29" i="70"/>
  <c r="Y98" i="70" s="1"/>
  <c r="Y132" i="70"/>
  <c r="V189" i="65"/>
  <c r="G15" i="66" s="1"/>
  <c r="U174" i="64"/>
  <c r="U180" i="64"/>
  <c r="U184" i="64" s="1"/>
  <c r="U175" i="64"/>
  <c r="U172" i="64"/>
  <c r="U177" i="64"/>
  <c r="U179" i="64"/>
  <c r="U183" i="64" s="1"/>
  <c r="U71" i="64"/>
  <c r="U176" i="64"/>
  <c r="U73" i="64"/>
  <c r="U178" i="64"/>
  <c r="U182" i="64" s="1"/>
  <c r="U70" i="64"/>
  <c r="U169" i="64"/>
  <c r="U173" i="64"/>
  <c r="U72" i="64"/>
  <c r="U170" i="64"/>
  <c r="U171" i="64"/>
  <c r="U168" i="64"/>
  <c r="S163" i="64"/>
  <c r="S155" i="64"/>
  <c r="S154" i="64"/>
  <c r="T5" i="64"/>
  <c r="S162" i="64"/>
  <c r="S165" i="64"/>
  <c r="S164" i="64"/>
  <c r="S158" i="64"/>
  <c r="S156" i="64"/>
  <c r="S161" i="64"/>
  <c r="S153" i="64"/>
  <c r="S160" i="64"/>
  <c r="S159" i="64"/>
  <c r="S157" i="64"/>
  <c r="T5" i="69"/>
  <c r="T5" i="71"/>
  <c r="T5" i="73"/>
  <c r="V5" i="72"/>
  <c r="N165" i="52"/>
  <c r="N164" i="52"/>
  <c r="O5" i="52"/>
  <c r="N159" i="52"/>
  <c r="N153" i="52"/>
  <c r="N162" i="52"/>
  <c r="N158" i="52"/>
  <c r="N156" i="52"/>
  <c r="N154" i="52"/>
  <c r="N161" i="52"/>
  <c r="N157" i="52"/>
  <c r="N163" i="52"/>
  <c r="N160" i="52"/>
  <c r="N155" i="52"/>
  <c r="U133" i="64" l="1"/>
  <c r="S153" i="68"/>
  <c r="S162" i="68"/>
  <c r="S160" i="68"/>
  <c r="S159" i="68"/>
  <c r="S155" i="68"/>
  <c r="S165" i="68"/>
  <c r="S157" i="68"/>
  <c r="S158" i="68"/>
  <c r="T5" i="68"/>
  <c r="S156" i="68"/>
  <c r="S161" i="68"/>
  <c r="S163" i="68"/>
  <c r="S164" i="68"/>
  <c r="S154" i="68"/>
  <c r="Z99" i="73"/>
  <c r="Z127" i="73" s="1"/>
  <c r="Z131" i="73" s="1"/>
  <c r="Z134" i="73" s="1"/>
  <c r="K35" i="66" s="1"/>
  <c r="AA64" i="73"/>
  <c r="AA67" i="73" s="1"/>
  <c r="AA99" i="73"/>
  <c r="AA127" i="73" s="1"/>
  <c r="AB64" i="73"/>
  <c r="G15" i="76"/>
  <c r="V155" i="72"/>
  <c r="V159" i="72"/>
  <c r="V156" i="72"/>
  <c r="V160" i="72"/>
  <c r="V154" i="72"/>
  <c r="V158" i="72"/>
  <c r="V162" i="72"/>
  <c r="V157" i="72"/>
  <c r="V165" i="72"/>
  <c r="V161" i="72"/>
  <c r="V164" i="72"/>
  <c r="V153" i="72"/>
  <c r="V163" i="72"/>
  <c r="T158" i="73"/>
  <c r="T162" i="73"/>
  <c r="T154" i="73"/>
  <c r="T155" i="73"/>
  <c r="T159" i="73"/>
  <c r="T163" i="73"/>
  <c r="T153" i="73"/>
  <c r="T156" i="73"/>
  <c r="T160" i="73"/>
  <c r="T164" i="73"/>
  <c r="T157" i="73"/>
  <c r="T161" i="73"/>
  <c r="T165" i="73"/>
  <c r="T155" i="71"/>
  <c r="T159" i="71"/>
  <c r="T164" i="71"/>
  <c r="T156" i="71"/>
  <c r="T160" i="71"/>
  <c r="T165" i="71"/>
  <c r="T153" i="71"/>
  <c r="T157" i="71"/>
  <c r="T161" i="71"/>
  <c r="T154" i="71"/>
  <c r="T158" i="71"/>
  <c r="T162" i="71"/>
  <c r="T163" i="71"/>
  <c r="T160" i="69"/>
  <c r="T156" i="69"/>
  <c r="T165" i="69"/>
  <c r="T163" i="69"/>
  <c r="T158" i="69"/>
  <c r="T164" i="69"/>
  <c r="T162" i="69"/>
  <c r="T159" i="69"/>
  <c r="T154" i="69"/>
  <c r="T155" i="69"/>
  <c r="T153" i="69"/>
  <c r="T161" i="69"/>
  <c r="T157" i="69"/>
  <c r="AA63" i="70"/>
  <c r="Z98" i="70"/>
  <c r="Z126" i="70" s="1"/>
  <c r="Z63" i="70"/>
  <c r="AB63" i="70"/>
  <c r="AA126" i="70"/>
  <c r="Y126" i="70"/>
  <c r="U189" i="64"/>
  <c r="F14" i="66" s="1"/>
  <c r="T161" i="64"/>
  <c r="T162" i="64"/>
  <c r="T156" i="64"/>
  <c r="T160" i="64"/>
  <c r="T159" i="64"/>
  <c r="T158" i="64"/>
  <c r="T155" i="64"/>
  <c r="T165" i="64"/>
  <c r="T154" i="64"/>
  <c r="T153" i="64"/>
  <c r="T164" i="64"/>
  <c r="T157" i="64"/>
  <c r="T163" i="64"/>
  <c r="U5" i="64"/>
  <c r="U5" i="69"/>
  <c r="U5" i="71"/>
  <c r="U5" i="73"/>
  <c r="W5" i="72"/>
  <c r="O164" i="52"/>
  <c r="O165" i="52"/>
  <c r="P5" i="52"/>
  <c r="O163" i="52"/>
  <c r="O160" i="52"/>
  <c r="O155" i="52"/>
  <c r="O159" i="52"/>
  <c r="O153" i="52"/>
  <c r="O162" i="52"/>
  <c r="O158" i="52"/>
  <c r="O156" i="52"/>
  <c r="O154" i="52"/>
  <c r="O161" i="52"/>
  <c r="O157" i="52"/>
  <c r="T153" i="68" l="1"/>
  <c r="T161" i="68"/>
  <c r="T160" i="68"/>
  <c r="T157" i="68"/>
  <c r="T164" i="68"/>
  <c r="U5" i="68"/>
  <c r="T159" i="68"/>
  <c r="T158" i="68"/>
  <c r="T155" i="68"/>
  <c r="T163" i="68"/>
  <c r="T162" i="68"/>
  <c r="T154" i="68"/>
  <c r="T165" i="68"/>
  <c r="T156" i="68"/>
  <c r="F14" i="76"/>
  <c r="AA169" i="73"/>
  <c r="AA174" i="73"/>
  <c r="AA172" i="73"/>
  <c r="AA175" i="73"/>
  <c r="AA73" i="73"/>
  <c r="AA173" i="73"/>
  <c r="AA178" i="73"/>
  <c r="AA182" i="73" s="1"/>
  <c r="AA176" i="73"/>
  <c r="AA72" i="73"/>
  <c r="AA177" i="73"/>
  <c r="AA171" i="73"/>
  <c r="AA180" i="73"/>
  <c r="AA184" i="73" s="1"/>
  <c r="AA71" i="73"/>
  <c r="AA70" i="73"/>
  <c r="L32" i="66"/>
  <c r="AA170" i="73"/>
  <c r="AA168" i="73"/>
  <c r="AA179" i="73"/>
  <c r="AA183" i="73" s="1"/>
  <c r="U154" i="73"/>
  <c r="U157" i="73"/>
  <c r="U161" i="73"/>
  <c r="U165" i="73"/>
  <c r="U158" i="73"/>
  <c r="U162" i="73"/>
  <c r="U155" i="73"/>
  <c r="U159" i="73"/>
  <c r="U163" i="73"/>
  <c r="U153" i="73"/>
  <c r="U156" i="73"/>
  <c r="U160" i="73"/>
  <c r="U164" i="73"/>
  <c r="U154" i="71"/>
  <c r="U158" i="71"/>
  <c r="U162" i="71"/>
  <c r="U163" i="71"/>
  <c r="U155" i="71"/>
  <c r="U159" i="71"/>
  <c r="U164" i="71"/>
  <c r="U156" i="71"/>
  <c r="U160" i="71"/>
  <c r="U165" i="71"/>
  <c r="U153" i="71"/>
  <c r="U157" i="71"/>
  <c r="U161" i="71"/>
  <c r="U164" i="69"/>
  <c r="U161" i="69"/>
  <c r="U157" i="69"/>
  <c r="U160" i="69"/>
  <c r="U165" i="69"/>
  <c r="U163" i="69"/>
  <c r="U158" i="69"/>
  <c r="U155" i="69"/>
  <c r="U162" i="69"/>
  <c r="U156" i="69"/>
  <c r="U154" i="69"/>
  <c r="U153" i="69"/>
  <c r="U159" i="69"/>
  <c r="W154" i="72"/>
  <c r="W158" i="72"/>
  <c r="W155" i="72"/>
  <c r="W159" i="72"/>
  <c r="W153" i="72"/>
  <c r="W157" i="72"/>
  <c r="W161" i="72"/>
  <c r="W165" i="72"/>
  <c r="W163" i="72"/>
  <c r="W162" i="72"/>
  <c r="W156" i="72"/>
  <c r="W160" i="72"/>
  <c r="W164" i="72"/>
  <c r="U164" i="64"/>
  <c r="U159" i="64"/>
  <c r="U163" i="64"/>
  <c r="U160" i="64"/>
  <c r="U154" i="64"/>
  <c r="U155" i="64"/>
  <c r="U161" i="64"/>
  <c r="U165" i="64"/>
  <c r="U162" i="64"/>
  <c r="U157" i="64"/>
  <c r="U158" i="64"/>
  <c r="U153" i="64"/>
  <c r="U156" i="64"/>
  <c r="U148" i="64"/>
  <c r="U132" i="64" s="1"/>
  <c r="AB25" i="64"/>
  <c r="AB94" i="64" s="1"/>
  <c r="AB122" i="64" s="1"/>
  <c r="U150" i="64"/>
  <c r="F10" i="66" s="1"/>
  <c r="F9" i="76" s="1"/>
  <c r="U141" i="64"/>
  <c r="U147" i="64"/>
  <c r="W25" i="64"/>
  <c r="U142" i="64"/>
  <c r="U139" i="64"/>
  <c r="U144" i="64"/>
  <c r="U149" i="64"/>
  <c r="F11" i="66" s="1"/>
  <c r="F12" i="76" s="1"/>
  <c r="U146" i="64"/>
  <c r="V25" i="64"/>
  <c r="U143" i="64"/>
  <c r="AA25" i="64"/>
  <c r="X25" i="64"/>
  <c r="Y25" i="64"/>
  <c r="U138" i="64"/>
  <c r="U25" i="64"/>
  <c r="U140" i="64"/>
  <c r="U145" i="64"/>
  <c r="Z25" i="64"/>
  <c r="V5" i="69"/>
  <c r="V5" i="71"/>
  <c r="V5" i="73"/>
  <c r="X5" i="72"/>
  <c r="P165" i="52"/>
  <c r="P164" i="52"/>
  <c r="Q5" i="52"/>
  <c r="P161" i="52"/>
  <c r="P157" i="52"/>
  <c r="P162" i="52"/>
  <c r="P163" i="52"/>
  <c r="P160" i="52"/>
  <c r="P155" i="52"/>
  <c r="P159" i="52"/>
  <c r="P153" i="52"/>
  <c r="P156" i="52"/>
  <c r="P154" i="52"/>
  <c r="P158" i="52"/>
  <c r="U153" i="68" l="1"/>
  <c r="U162" i="68"/>
  <c r="U158" i="68"/>
  <c r="U159" i="68"/>
  <c r="U164" i="68"/>
  <c r="U160" i="68"/>
  <c r="U165" i="68"/>
  <c r="U156" i="68"/>
  <c r="U157" i="68"/>
  <c r="V5" i="68"/>
  <c r="U163" i="68"/>
  <c r="U154" i="68"/>
  <c r="U155" i="68"/>
  <c r="U161" i="68"/>
  <c r="AA133" i="73"/>
  <c r="AA144" i="73"/>
  <c r="AA149" i="73"/>
  <c r="L41" i="66" s="1"/>
  <c r="AA150" i="73"/>
  <c r="L40" i="66" s="1"/>
  <c r="AA31" i="73"/>
  <c r="AA148" i="73"/>
  <c r="AA132" i="73" s="1"/>
  <c r="AA138" i="73"/>
  <c r="AA139" i="73"/>
  <c r="AB31" i="73"/>
  <c r="AB100" i="73" s="1"/>
  <c r="AB128" i="73" s="1"/>
  <c r="AA141" i="73"/>
  <c r="AA142" i="73"/>
  <c r="AA143" i="73"/>
  <c r="AA140" i="73"/>
  <c r="AA145" i="73"/>
  <c r="AA146" i="73"/>
  <c r="AA147" i="73"/>
  <c r="V153" i="71"/>
  <c r="V157" i="71"/>
  <c r="V161" i="71"/>
  <c r="V154" i="71"/>
  <c r="V158" i="71"/>
  <c r="V162" i="71"/>
  <c r="V163" i="71"/>
  <c r="V155" i="71"/>
  <c r="V159" i="71"/>
  <c r="V164" i="71"/>
  <c r="V156" i="71"/>
  <c r="V160" i="71"/>
  <c r="V165" i="71"/>
  <c r="V165" i="69"/>
  <c r="V164" i="69"/>
  <c r="V162" i="69"/>
  <c r="V159" i="69"/>
  <c r="V154" i="69"/>
  <c r="V161" i="69"/>
  <c r="V160" i="69"/>
  <c r="V156" i="69"/>
  <c r="V157" i="69"/>
  <c r="V155" i="69"/>
  <c r="V163" i="69"/>
  <c r="V153" i="69"/>
  <c r="V158" i="69"/>
  <c r="X153" i="72"/>
  <c r="X157" i="72"/>
  <c r="X154" i="72"/>
  <c r="X158" i="72"/>
  <c r="X156" i="72"/>
  <c r="X160" i="72"/>
  <c r="X164" i="72"/>
  <c r="X155" i="72"/>
  <c r="X159" i="72"/>
  <c r="X163" i="72"/>
  <c r="X162" i="72"/>
  <c r="X165" i="72"/>
  <c r="X161" i="72"/>
  <c r="V153" i="73"/>
  <c r="V156" i="73"/>
  <c r="V160" i="73"/>
  <c r="V164" i="73"/>
  <c r="V157" i="73"/>
  <c r="V161" i="73"/>
  <c r="V165" i="73"/>
  <c r="V154" i="73"/>
  <c r="V158" i="73"/>
  <c r="V162" i="73"/>
  <c r="V155" i="73"/>
  <c r="V159" i="73"/>
  <c r="V163" i="73"/>
  <c r="AA30" i="70"/>
  <c r="AA99" i="70" s="1"/>
  <c r="AB30" i="70"/>
  <c r="AB99" i="70" s="1"/>
  <c r="AB127" i="70" s="1"/>
  <c r="Z30" i="70"/>
  <c r="Z132" i="70"/>
  <c r="X94" i="64"/>
  <c r="X122" i="64" s="1"/>
  <c r="Y59" i="64"/>
  <c r="U94" i="64"/>
  <c r="U122" i="64" s="1"/>
  <c r="U131" i="64" s="1"/>
  <c r="U134" i="64" s="1"/>
  <c r="F6" i="66" s="1"/>
  <c r="F6" i="76" s="1"/>
  <c r="V59" i="64"/>
  <c r="V67" i="64" s="1"/>
  <c r="G3" i="66" s="1"/>
  <c r="G3" i="76" s="1"/>
  <c r="AB59" i="64"/>
  <c r="AA94" i="64"/>
  <c r="AA122" i="64" s="1"/>
  <c r="X59" i="64"/>
  <c r="W94" i="64"/>
  <c r="W122" i="64" s="1"/>
  <c r="Z94" i="64"/>
  <c r="Z122" i="64" s="1"/>
  <c r="AA59" i="64"/>
  <c r="Z59" i="64"/>
  <c r="Y94" i="64"/>
  <c r="Y122" i="64" s="1"/>
  <c r="V94" i="64"/>
  <c r="V122" i="64" s="1"/>
  <c r="W59" i="64"/>
  <c r="W5" i="69"/>
  <c r="W5" i="71"/>
  <c r="W5" i="73"/>
  <c r="Y5" i="72"/>
  <c r="Q165" i="52"/>
  <c r="Q164" i="52"/>
  <c r="R5" i="52"/>
  <c r="Q162" i="52"/>
  <c r="Q158" i="52"/>
  <c r="Q156" i="52"/>
  <c r="Q154" i="52"/>
  <c r="Q161" i="52"/>
  <c r="Q157" i="52"/>
  <c r="Q159" i="52"/>
  <c r="Q163" i="52"/>
  <c r="Q160" i="52"/>
  <c r="Q155" i="52"/>
  <c r="Q153" i="52"/>
  <c r="V153" i="68" l="1"/>
  <c r="V162" i="68"/>
  <c r="V161" i="68"/>
  <c r="V158" i="68"/>
  <c r="V160" i="68"/>
  <c r="V159" i="68"/>
  <c r="V156" i="68"/>
  <c r="V164" i="68"/>
  <c r="V163" i="68"/>
  <c r="W5" i="68"/>
  <c r="V155" i="68"/>
  <c r="V165" i="68"/>
  <c r="V157" i="68"/>
  <c r="V154" i="68"/>
  <c r="AA100" i="73"/>
  <c r="AA128" i="73" s="1"/>
  <c r="AA131" i="73" s="1"/>
  <c r="AA134" i="73" s="1"/>
  <c r="L35" i="66" s="1"/>
  <c r="AB65" i="73"/>
  <c r="AB67" i="73" s="1"/>
  <c r="W156" i="71"/>
  <c r="W160" i="71"/>
  <c r="W165" i="71"/>
  <c r="W153" i="71"/>
  <c r="W157" i="71"/>
  <c r="W161" i="71"/>
  <c r="W154" i="71"/>
  <c r="W158" i="71"/>
  <c r="W162" i="71"/>
  <c r="W163" i="71"/>
  <c r="W155" i="71"/>
  <c r="W159" i="71"/>
  <c r="W164" i="71"/>
  <c r="AA64" i="70"/>
  <c r="Z99" i="70"/>
  <c r="Z127" i="70" s="1"/>
  <c r="W165" i="69"/>
  <c r="W163" i="69"/>
  <c r="W158" i="69"/>
  <c r="W155" i="69"/>
  <c r="W164" i="69"/>
  <c r="W162" i="69"/>
  <c r="W161" i="69"/>
  <c r="W157" i="69"/>
  <c r="W159" i="69"/>
  <c r="W160" i="69"/>
  <c r="W156" i="69"/>
  <c r="W154" i="69"/>
  <c r="W153" i="69"/>
  <c r="W153" i="73"/>
  <c r="W155" i="73"/>
  <c r="W159" i="73"/>
  <c r="W163" i="73"/>
  <c r="W156" i="73"/>
  <c r="W160" i="73"/>
  <c r="W164" i="73"/>
  <c r="W157" i="73"/>
  <c r="W161" i="73"/>
  <c r="W165" i="73"/>
  <c r="W154" i="73"/>
  <c r="W158" i="73"/>
  <c r="W162" i="73"/>
  <c r="Y156" i="72"/>
  <c r="Y160" i="72"/>
  <c r="Y153" i="72"/>
  <c r="Y157" i="72"/>
  <c r="Y155" i="72"/>
  <c r="Y159" i="72"/>
  <c r="Y163" i="72"/>
  <c r="Y161" i="72"/>
  <c r="Y164" i="72"/>
  <c r="Y154" i="72"/>
  <c r="Y158" i="72"/>
  <c r="Y162" i="72"/>
  <c r="Y165" i="72"/>
  <c r="AB64" i="70"/>
  <c r="AA127" i="70"/>
  <c r="W189" i="65"/>
  <c r="H15" i="66" s="1"/>
  <c r="V173" i="64"/>
  <c r="V175" i="64"/>
  <c r="V70" i="64"/>
  <c r="V179" i="64"/>
  <c r="V183" i="64" s="1"/>
  <c r="V171" i="64"/>
  <c r="V72" i="64"/>
  <c r="V172" i="64"/>
  <c r="V177" i="64"/>
  <c r="V73" i="64"/>
  <c r="V178" i="64"/>
  <c r="V182" i="64" s="1"/>
  <c r="V170" i="64"/>
  <c r="V169" i="64"/>
  <c r="V71" i="64"/>
  <c r="V176" i="64"/>
  <c r="V168" i="64"/>
  <c r="V180" i="64"/>
  <c r="V184" i="64" s="1"/>
  <c r="V174" i="64"/>
  <c r="X5" i="69"/>
  <c r="X5" i="71"/>
  <c r="X5" i="73"/>
  <c r="Z5" i="72"/>
  <c r="R165" i="52"/>
  <c r="R164" i="52"/>
  <c r="S5" i="52"/>
  <c r="R159" i="52"/>
  <c r="R153" i="52"/>
  <c r="R163" i="52"/>
  <c r="R162" i="52"/>
  <c r="R158" i="52"/>
  <c r="R156" i="52"/>
  <c r="R154" i="52"/>
  <c r="R160" i="52"/>
  <c r="R161" i="52"/>
  <c r="R157" i="52"/>
  <c r="R155" i="52"/>
  <c r="W153" i="68" l="1"/>
  <c r="W157" i="68"/>
  <c r="W164" i="68"/>
  <c r="W162" i="68"/>
  <c r="W159" i="68"/>
  <c r="W161" i="68"/>
  <c r="W165" i="68"/>
  <c r="W160" i="68"/>
  <c r="W158" i="68"/>
  <c r="X5" i="68"/>
  <c r="W163" i="68"/>
  <c r="W156" i="68"/>
  <c r="W155" i="68"/>
  <c r="W154" i="68"/>
  <c r="AB176" i="73"/>
  <c r="AB177" i="73"/>
  <c r="AB175" i="73"/>
  <c r="M32" i="66"/>
  <c r="N32" i="66" s="1"/>
  <c r="AB180" i="73"/>
  <c r="AB184" i="73" s="1"/>
  <c r="AB170" i="73"/>
  <c r="AB179" i="73"/>
  <c r="AB183" i="73" s="1"/>
  <c r="AB72" i="73"/>
  <c r="AB73" i="73"/>
  <c r="AB168" i="73"/>
  <c r="AB169" i="73"/>
  <c r="AB174" i="73"/>
  <c r="AB178" i="73"/>
  <c r="AB182" i="73" s="1"/>
  <c r="AB71" i="73"/>
  <c r="AB70" i="73"/>
  <c r="AB172" i="73"/>
  <c r="AB173" i="73"/>
  <c r="AB171" i="73"/>
  <c r="H15" i="76"/>
  <c r="Z155" i="72"/>
  <c r="Z159" i="72"/>
  <c r="Z156" i="72"/>
  <c r="Z160" i="72"/>
  <c r="Z154" i="72"/>
  <c r="Z158" i="72"/>
  <c r="Z162" i="72"/>
  <c r="Z153" i="72"/>
  <c r="Z165" i="72"/>
  <c r="Z157" i="72"/>
  <c r="Z161" i="72"/>
  <c r="Z164" i="72"/>
  <c r="Z163" i="72"/>
  <c r="X155" i="71"/>
  <c r="X159" i="71"/>
  <c r="X164" i="71"/>
  <c r="X156" i="71"/>
  <c r="X160" i="71"/>
  <c r="X165" i="71"/>
  <c r="X153" i="71"/>
  <c r="X157" i="71"/>
  <c r="X161" i="71"/>
  <c r="X154" i="71"/>
  <c r="X158" i="71"/>
  <c r="X162" i="71"/>
  <c r="X163" i="71"/>
  <c r="X154" i="73"/>
  <c r="X158" i="73"/>
  <c r="X162" i="73"/>
  <c r="X153" i="73"/>
  <c r="X155" i="73"/>
  <c r="X159" i="73"/>
  <c r="X163" i="73"/>
  <c r="X156" i="73"/>
  <c r="X160" i="73"/>
  <c r="X164" i="73"/>
  <c r="X157" i="73"/>
  <c r="X161" i="73"/>
  <c r="X165" i="73"/>
  <c r="X160" i="69"/>
  <c r="X156" i="69"/>
  <c r="X165" i="69"/>
  <c r="X163" i="69"/>
  <c r="X164" i="69"/>
  <c r="X162" i="69"/>
  <c r="X159" i="69"/>
  <c r="X154" i="69"/>
  <c r="X158" i="69"/>
  <c r="X153" i="69"/>
  <c r="X157" i="69"/>
  <c r="X155" i="69"/>
  <c r="X161" i="69"/>
  <c r="AB31" i="70"/>
  <c r="AB100" i="70" s="1"/>
  <c r="V189" i="64"/>
  <c r="G14" i="66" s="1"/>
  <c r="V133" i="64"/>
  <c r="Y5" i="69"/>
  <c r="Y5" i="71"/>
  <c r="Y5" i="73"/>
  <c r="AA5" i="72"/>
  <c r="S164" i="52"/>
  <c r="S165" i="52"/>
  <c r="T5" i="52"/>
  <c r="S163" i="52"/>
  <c r="S160" i="52"/>
  <c r="S155" i="52"/>
  <c r="S159" i="52"/>
  <c r="S153" i="52"/>
  <c r="S161" i="52"/>
  <c r="S162" i="52"/>
  <c r="S158" i="52"/>
  <c r="S156" i="52"/>
  <c r="S154" i="52"/>
  <c r="S157" i="52"/>
  <c r="G14" i="76" l="1"/>
  <c r="X153" i="68"/>
  <c r="X163" i="68"/>
  <c r="X162" i="68"/>
  <c r="X154" i="68"/>
  <c r="X161" i="68"/>
  <c r="X160" i="68"/>
  <c r="X159" i="68"/>
  <c r="X158" i="68"/>
  <c r="X155" i="68"/>
  <c r="X165" i="68"/>
  <c r="X164" i="68"/>
  <c r="X156" i="68"/>
  <c r="Y5" i="68"/>
  <c r="X157" i="68"/>
  <c r="AB133" i="73"/>
  <c r="AB143" i="73"/>
  <c r="AB148" i="73"/>
  <c r="AB132" i="73" s="1"/>
  <c r="AB146" i="73"/>
  <c r="AB32" i="73"/>
  <c r="AB101" i="73" s="1"/>
  <c r="AB129" i="73" s="1"/>
  <c r="AB131" i="73" s="1"/>
  <c r="AB134" i="73" s="1"/>
  <c r="M35" i="66" s="1"/>
  <c r="N35" i="66" s="1"/>
  <c r="AB147" i="73"/>
  <c r="AB141" i="73"/>
  <c r="AB150" i="73"/>
  <c r="M40" i="66" s="1"/>
  <c r="N40" i="66" s="1"/>
  <c r="AB140" i="73"/>
  <c r="AB145" i="73"/>
  <c r="AB138" i="73"/>
  <c r="AB139" i="73"/>
  <c r="AB144" i="73"/>
  <c r="AB149" i="73"/>
  <c r="M41" i="66" s="1"/>
  <c r="AB142" i="73"/>
  <c r="Y161" i="69"/>
  <c r="Y157" i="69"/>
  <c r="Y160" i="69"/>
  <c r="Y165" i="69"/>
  <c r="Y163" i="69"/>
  <c r="Y158" i="69"/>
  <c r="Y155" i="69"/>
  <c r="Y164" i="69"/>
  <c r="Y162" i="69"/>
  <c r="Y159" i="69"/>
  <c r="Y153" i="69"/>
  <c r="Y156" i="69"/>
  <c r="Y154" i="69"/>
  <c r="AA154" i="72"/>
  <c r="AA158" i="72"/>
  <c r="AA155" i="72"/>
  <c r="AA159" i="72"/>
  <c r="AA153" i="72"/>
  <c r="AA157" i="72"/>
  <c r="AA161" i="72"/>
  <c r="AA165" i="72"/>
  <c r="AA160" i="72"/>
  <c r="AA162" i="72"/>
  <c r="AA164" i="72"/>
  <c r="AA156" i="72"/>
  <c r="AA163" i="72"/>
  <c r="Y157" i="73"/>
  <c r="Y161" i="73"/>
  <c r="Y165" i="73"/>
  <c r="Y154" i="73"/>
  <c r="Y158" i="73"/>
  <c r="Y162" i="73"/>
  <c r="Y153" i="73"/>
  <c r="Y155" i="73"/>
  <c r="Y159" i="73"/>
  <c r="Y163" i="73"/>
  <c r="Y156" i="73"/>
  <c r="Y160" i="73"/>
  <c r="Y164" i="73"/>
  <c r="Y154" i="71"/>
  <c r="Y158" i="71"/>
  <c r="Y162" i="71"/>
  <c r="Y163" i="71"/>
  <c r="Y155" i="71"/>
  <c r="Y159" i="71"/>
  <c r="Y164" i="71"/>
  <c r="Y156" i="71"/>
  <c r="Y160" i="71"/>
  <c r="Y165" i="71"/>
  <c r="Y153" i="71"/>
  <c r="Y157" i="71"/>
  <c r="Y161" i="71"/>
  <c r="AA31" i="70"/>
  <c r="AB128" i="70"/>
  <c r="AA132" i="70"/>
  <c r="V145" i="64"/>
  <c r="AA26" i="64"/>
  <c r="V26" i="64"/>
  <c r="V142" i="64"/>
  <c r="V144" i="64"/>
  <c r="V141" i="64"/>
  <c r="V146" i="64"/>
  <c r="V147" i="64"/>
  <c r="V138" i="64"/>
  <c r="V140" i="64"/>
  <c r="Z26" i="64"/>
  <c r="V150" i="64"/>
  <c r="G10" i="66" s="1"/>
  <c r="G9" i="76" s="1"/>
  <c r="X26" i="64"/>
  <c r="V143" i="64"/>
  <c r="Y26" i="64"/>
  <c r="V149" i="64"/>
  <c r="G11" i="66" s="1"/>
  <c r="G12" i="76" s="1"/>
  <c r="W26" i="64"/>
  <c r="AB26" i="64"/>
  <c r="AB95" i="64" s="1"/>
  <c r="AB123" i="64" s="1"/>
  <c r="V139" i="64"/>
  <c r="V148" i="64"/>
  <c r="V132" i="64" s="1"/>
  <c r="V5" i="64"/>
  <c r="Z5" i="69"/>
  <c r="Z5" i="71"/>
  <c r="Z5" i="73"/>
  <c r="AB5" i="72"/>
  <c r="T165" i="52"/>
  <c r="T164" i="52"/>
  <c r="U5" i="52"/>
  <c r="T161" i="52"/>
  <c r="T157" i="52"/>
  <c r="T163" i="52"/>
  <c r="T160" i="52"/>
  <c r="T155" i="52"/>
  <c r="T162" i="52"/>
  <c r="T159" i="52"/>
  <c r="T153" i="52"/>
  <c r="T156" i="52"/>
  <c r="T154" i="52"/>
  <c r="T158" i="52"/>
  <c r="Y153" i="68" l="1"/>
  <c r="Y165" i="68"/>
  <c r="Y158" i="68"/>
  <c r="Y155" i="68"/>
  <c r="Y163" i="68"/>
  <c r="Y160" i="68"/>
  <c r="Z5" i="68"/>
  <c r="Y156" i="68"/>
  <c r="Y159" i="68"/>
  <c r="Y164" i="68"/>
  <c r="Y161" i="68"/>
  <c r="Y154" i="68"/>
  <c r="Y162" i="68"/>
  <c r="Y157" i="68"/>
  <c r="N41" i="66"/>
  <c r="AB153" i="72"/>
  <c r="AB157" i="72"/>
  <c r="AB154" i="72"/>
  <c r="AB158" i="72"/>
  <c r="AB156" i="72"/>
  <c r="AB160" i="72"/>
  <c r="AB164" i="72"/>
  <c r="AB163" i="72"/>
  <c r="AB155" i="72"/>
  <c r="AB162" i="72"/>
  <c r="AB165" i="72"/>
  <c r="AB159" i="72"/>
  <c r="AB161" i="72"/>
  <c r="Z153" i="71"/>
  <c r="Z157" i="71"/>
  <c r="Z161" i="71"/>
  <c r="Z154" i="71"/>
  <c r="Z158" i="71"/>
  <c r="Z162" i="71"/>
  <c r="Z163" i="71"/>
  <c r="Z155" i="71"/>
  <c r="Z159" i="71"/>
  <c r="Z164" i="71"/>
  <c r="Z156" i="71"/>
  <c r="Z160" i="71"/>
  <c r="Z165" i="71"/>
  <c r="Z165" i="69"/>
  <c r="Z164" i="69"/>
  <c r="Z162" i="69"/>
  <c r="Z159" i="69"/>
  <c r="Z154" i="69"/>
  <c r="Z161" i="69"/>
  <c r="Z160" i="69"/>
  <c r="Z156" i="69"/>
  <c r="Z158" i="69"/>
  <c r="Z157" i="69"/>
  <c r="Z153" i="69"/>
  <c r="Z163" i="69"/>
  <c r="Z155" i="69"/>
  <c r="AB65" i="70"/>
  <c r="AA100" i="70"/>
  <c r="AA128" i="70" s="1"/>
  <c r="Z153" i="73"/>
  <c r="Z156" i="73"/>
  <c r="Z160" i="73"/>
  <c r="Z164" i="73"/>
  <c r="Z157" i="73"/>
  <c r="Z161" i="73"/>
  <c r="Z165" i="73"/>
  <c r="Z154" i="73"/>
  <c r="Z158" i="73"/>
  <c r="Z162" i="73"/>
  <c r="Z155" i="73"/>
  <c r="Z159" i="73"/>
  <c r="Z163" i="73"/>
  <c r="Y95" i="64"/>
  <c r="Y123" i="64" s="1"/>
  <c r="Z60" i="64"/>
  <c r="AA95" i="64"/>
  <c r="AA123" i="64" s="1"/>
  <c r="AB60" i="64"/>
  <c r="AA60" i="64"/>
  <c r="Z95" i="64"/>
  <c r="Z123" i="64" s="1"/>
  <c r="V95" i="64"/>
  <c r="V123" i="64" s="1"/>
  <c r="V131" i="64" s="1"/>
  <c r="V134" i="64" s="1"/>
  <c r="G6" i="66" s="1"/>
  <c r="G6" i="76" s="1"/>
  <c r="W60" i="64"/>
  <c r="W67" i="64" s="1"/>
  <c r="H3" i="66" s="1"/>
  <c r="H3" i="76" s="1"/>
  <c r="V158" i="64"/>
  <c r="V161" i="64"/>
  <c r="V159" i="64"/>
  <c r="V164" i="64"/>
  <c r="V157" i="64"/>
  <c r="V162" i="64"/>
  <c r="V156" i="64"/>
  <c r="V154" i="64"/>
  <c r="V165" i="64"/>
  <c r="V160" i="64"/>
  <c r="V153" i="64"/>
  <c r="V155" i="64"/>
  <c r="V163" i="64"/>
  <c r="W95" i="64"/>
  <c r="W123" i="64" s="1"/>
  <c r="X60" i="64"/>
  <c r="Y60" i="64"/>
  <c r="X95" i="64"/>
  <c r="X123" i="64" s="1"/>
  <c r="AA5" i="69"/>
  <c r="AA5" i="71"/>
  <c r="AA5" i="73"/>
  <c r="U165" i="52"/>
  <c r="U164" i="52"/>
  <c r="V5" i="52"/>
  <c r="U162" i="52"/>
  <c r="U158" i="52"/>
  <c r="U156" i="52"/>
  <c r="U154" i="52"/>
  <c r="U161" i="52"/>
  <c r="U157" i="52"/>
  <c r="U163" i="52"/>
  <c r="U160" i="52"/>
  <c r="U155" i="52"/>
  <c r="U159" i="52"/>
  <c r="U153" i="52"/>
  <c r="Z153" i="68" l="1"/>
  <c r="Z164" i="68"/>
  <c r="Z163" i="68"/>
  <c r="Z155" i="68"/>
  <c r="AA5" i="68"/>
  <c r="Z162" i="68"/>
  <c r="Z161" i="68"/>
  <c r="Z158" i="68"/>
  <c r="Z165" i="68"/>
  <c r="Z157" i="68"/>
  <c r="Z154" i="68"/>
  <c r="Z160" i="68"/>
  <c r="Z159" i="68"/>
  <c r="Z156" i="68"/>
  <c r="AA155" i="73"/>
  <c r="AA159" i="73"/>
  <c r="AA163" i="73"/>
  <c r="AA156" i="73"/>
  <c r="AA160" i="73"/>
  <c r="AA164" i="73"/>
  <c r="AA157" i="73"/>
  <c r="AA161" i="73"/>
  <c r="AA165" i="73"/>
  <c r="AA153" i="73"/>
  <c r="AA154" i="73"/>
  <c r="AA158" i="73"/>
  <c r="AA162" i="73"/>
  <c r="AA156" i="71"/>
  <c r="AA160" i="71"/>
  <c r="AA165" i="71"/>
  <c r="AA153" i="71"/>
  <c r="AA157" i="71"/>
  <c r="AA161" i="71"/>
  <c r="AA154" i="71"/>
  <c r="AA158" i="71"/>
  <c r="AA162" i="71"/>
  <c r="AA163" i="71"/>
  <c r="AA155" i="71"/>
  <c r="AA159" i="71"/>
  <c r="AA164" i="71"/>
  <c r="AA165" i="69"/>
  <c r="AA163" i="69"/>
  <c r="AA158" i="69"/>
  <c r="AA155" i="69"/>
  <c r="AA164" i="69"/>
  <c r="AA162" i="69"/>
  <c r="AA161" i="69"/>
  <c r="AA157" i="69"/>
  <c r="AA154" i="69"/>
  <c r="AA160" i="69"/>
  <c r="AA159" i="69"/>
  <c r="AA156" i="69"/>
  <c r="AA153" i="69"/>
  <c r="X189" i="65"/>
  <c r="I15" i="66" s="1"/>
  <c r="W180" i="64"/>
  <c r="W184" i="64" s="1"/>
  <c r="W169" i="64"/>
  <c r="W73" i="64"/>
  <c r="W170" i="64"/>
  <c r="W70" i="64"/>
  <c r="W177" i="64"/>
  <c r="W178" i="64"/>
  <c r="W182" i="64" s="1"/>
  <c r="W72" i="64"/>
  <c r="W175" i="64"/>
  <c r="W176" i="64"/>
  <c r="W71" i="64"/>
  <c r="W179" i="64"/>
  <c r="W183" i="64" s="1"/>
  <c r="W174" i="64"/>
  <c r="W173" i="64"/>
  <c r="W168" i="64"/>
  <c r="W171" i="64"/>
  <c r="W172" i="64"/>
  <c r="AB5" i="69"/>
  <c r="AB5" i="71"/>
  <c r="AB5" i="73"/>
  <c r="V165" i="52"/>
  <c r="V164" i="52"/>
  <c r="W5" i="52"/>
  <c r="V159" i="52"/>
  <c r="V153" i="52"/>
  <c r="V160" i="52"/>
  <c r="V162" i="52"/>
  <c r="V158" i="52"/>
  <c r="V156" i="52"/>
  <c r="V154" i="52"/>
  <c r="V163" i="52"/>
  <c r="V161" i="52"/>
  <c r="V157" i="52"/>
  <c r="V155" i="52"/>
  <c r="AA153" i="68" l="1"/>
  <c r="AA164" i="68"/>
  <c r="AA161" i="68"/>
  <c r="AA154" i="68"/>
  <c r="AA156" i="68"/>
  <c r="AA162" i="68"/>
  <c r="AA160" i="68"/>
  <c r="AA159" i="68"/>
  <c r="AA157" i="68"/>
  <c r="AA158" i="68"/>
  <c r="AA155" i="68"/>
  <c r="AA165" i="68"/>
  <c r="AB5" i="68"/>
  <c r="AA163" i="68"/>
  <c r="I15" i="76"/>
  <c r="AB155" i="71"/>
  <c r="AB159" i="71"/>
  <c r="AB164" i="71"/>
  <c r="AB156" i="71"/>
  <c r="AB160" i="71"/>
  <c r="AB165" i="71"/>
  <c r="AB153" i="71"/>
  <c r="AB157" i="71"/>
  <c r="AB161" i="71"/>
  <c r="AB154" i="71"/>
  <c r="AB158" i="71"/>
  <c r="AB162" i="71"/>
  <c r="AB163" i="71"/>
  <c r="AB160" i="69"/>
  <c r="AB156" i="69"/>
  <c r="AB165" i="69"/>
  <c r="AB163" i="69"/>
  <c r="AB164" i="69"/>
  <c r="AB162" i="69"/>
  <c r="AB159" i="69"/>
  <c r="AB154" i="69"/>
  <c r="AB161" i="69"/>
  <c r="AB155" i="69"/>
  <c r="AB153" i="69"/>
  <c r="AB158" i="69"/>
  <c r="AB157" i="69"/>
  <c r="AB153" i="73"/>
  <c r="AB154" i="73"/>
  <c r="AB158" i="73"/>
  <c r="AB162" i="73"/>
  <c r="AB155" i="73"/>
  <c r="AB159" i="73"/>
  <c r="AB163" i="73"/>
  <c r="AB156" i="73"/>
  <c r="AB160" i="73"/>
  <c r="AB164" i="73"/>
  <c r="AB157" i="73"/>
  <c r="AB165" i="73"/>
  <c r="AB161" i="73"/>
  <c r="AB32" i="70"/>
  <c r="AB132" i="70"/>
  <c r="W133" i="64"/>
  <c r="W189" i="64"/>
  <c r="H14" i="66" s="1"/>
  <c r="W164" i="52"/>
  <c r="W165" i="52"/>
  <c r="X5" i="52"/>
  <c r="W163" i="52"/>
  <c r="W160" i="52"/>
  <c r="W155" i="52"/>
  <c r="W161" i="52"/>
  <c r="W159" i="52"/>
  <c r="W153" i="52"/>
  <c r="W162" i="52"/>
  <c r="W158" i="52"/>
  <c r="W156" i="52"/>
  <c r="W154" i="52"/>
  <c r="W157" i="52"/>
  <c r="H14" i="76" l="1"/>
  <c r="AB153" i="68"/>
  <c r="AB159" i="68"/>
  <c r="AB158" i="68"/>
  <c r="AB155" i="68"/>
  <c r="AB163" i="68"/>
  <c r="AB162" i="68"/>
  <c r="AB154" i="68"/>
  <c r="AB161" i="68"/>
  <c r="AB160" i="68"/>
  <c r="AB157" i="68"/>
  <c r="AB165" i="68"/>
  <c r="AB164" i="68"/>
  <c r="AB156" i="68"/>
  <c r="AB101" i="70"/>
  <c r="AB129" i="70" s="1"/>
  <c r="W146" i="64"/>
  <c r="W27" i="64"/>
  <c r="W140" i="64"/>
  <c r="W145" i="64"/>
  <c r="AB27" i="64"/>
  <c r="AB96" i="64" s="1"/>
  <c r="AB124" i="64" s="1"/>
  <c r="W148" i="64"/>
  <c r="W132" i="64" s="1"/>
  <c r="W143" i="64"/>
  <c r="W150" i="64"/>
  <c r="H10" i="66" s="1"/>
  <c r="H9" i="76" s="1"/>
  <c r="W144" i="64"/>
  <c r="W139" i="64"/>
  <c r="X27" i="64"/>
  <c r="W142" i="64"/>
  <c r="Z27" i="64"/>
  <c r="W147" i="64"/>
  <c r="W141" i="64"/>
  <c r="W138" i="64"/>
  <c r="AA27" i="64"/>
  <c r="Y27" i="64"/>
  <c r="W149" i="64"/>
  <c r="H11" i="66" s="1"/>
  <c r="H12" i="76" s="1"/>
  <c r="W5" i="64"/>
  <c r="X165" i="52"/>
  <c r="X164" i="52"/>
  <c r="Y5" i="52"/>
  <c r="X161" i="52"/>
  <c r="X157" i="52"/>
  <c r="X162" i="52"/>
  <c r="X163" i="52"/>
  <c r="X160" i="52"/>
  <c r="X155" i="52"/>
  <c r="X159" i="52"/>
  <c r="X153" i="52"/>
  <c r="X158" i="52"/>
  <c r="X156" i="52"/>
  <c r="X154" i="52"/>
  <c r="W161" i="64" l="1"/>
  <c r="W156" i="64"/>
  <c r="W154" i="64"/>
  <c r="W163" i="64"/>
  <c r="W159" i="64"/>
  <c r="W155" i="64"/>
  <c r="W162" i="64"/>
  <c r="W165" i="64"/>
  <c r="W153" i="64"/>
  <c r="W158" i="64"/>
  <c r="W160" i="64"/>
  <c r="W164" i="64"/>
  <c r="W157" i="64"/>
  <c r="Z96" i="64"/>
  <c r="Z124" i="64" s="1"/>
  <c r="AA61" i="64"/>
  <c r="X96" i="64"/>
  <c r="X124" i="64" s="1"/>
  <c r="Y61" i="64"/>
  <c r="AA96" i="64"/>
  <c r="AA124" i="64" s="1"/>
  <c r="AB61" i="64"/>
  <c r="Z61" i="64"/>
  <c r="Y96" i="64"/>
  <c r="Y124" i="64" s="1"/>
  <c r="W96" i="64"/>
  <c r="W124" i="64" s="1"/>
  <c r="W131" i="64" s="1"/>
  <c r="W134" i="64" s="1"/>
  <c r="H6" i="66" s="1"/>
  <c r="H6" i="76" s="1"/>
  <c r="X61" i="64"/>
  <c r="X67" i="64" s="1"/>
  <c r="I3" i="66" s="1"/>
  <c r="I3" i="76" s="1"/>
  <c r="Y165" i="52"/>
  <c r="Y164" i="52"/>
  <c r="Z5" i="52"/>
  <c r="Y162" i="52"/>
  <c r="Y158" i="52"/>
  <c r="Y156" i="52"/>
  <c r="Y154" i="52"/>
  <c r="Y159" i="52"/>
  <c r="Y161" i="52"/>
  <c r="Y157" i="52"/>
  <c r="Y163" i="52"/>
  <c r="Y160" i="52"/>
  <c r="Y155" i="52"/>
  <c r="Y153" i="52"/>
  <c r="Y189" i="65" l="1"/>
  <c r="J15" i="66" s="1"/>
  <c r="X72" i="64"/>
  <c r="X177" i="64"/>
  <c r="X174" i="64"/>
  <c r="X178" i="64"/>
  <c r="X182" i="64" s="1"/>
  <c r="X179" i="64"/>
  <c r="X183" i="64" s="1"/>
  <c r="X168" i="64"/>
  <c r="X180" i="64"/>
  <c r="X184" i="64" s="1"/>
  <c r="X170" i="64"/>
  <c r="X173" i="64"/>
  <c r="X70" i="64"/>
  <c r="X175" i="64"/>
  <c r="X176" i="64"/>
  <c r="X172" i="64"/>
  <c r="X171" i="64"/>
  <c r="X73" i="64"/>
  <c r="X71" i="64"/>
  <c r="X169" i="64"/>
  <c r="Z165" i="52"/>
  <c r="Z164" i="52"/>
  <c r="AA5" i="52"/>
  <c r="Z159" i="52"/>
  <c r="Z153" i="52"/>
  <c r="Z163" i="52"/>
  <c r="Z162" i="52"/>
  <c r="Z158" i="52"/>
  <c r="Z156" i="52"/>
  <c r="Z154" i="52"/>
  <c r="Z161" i="52"/>
  <c r="Z157" i="52"/>
  <c r="Z160" i="52"/>
  <c r="Z155" i="52"/>
  <c r="J15" i="76" l="1"/>
  <c r="X133" i="64"/>
  <c r="X189" i="64"/>
  <c r="I14" i="66" s="1"/>
  <c r="I14" i="76" s="1"/>
  <c r="AA164" i="52"/>
  <c r="AA165" i="52"/>
  <c r="AB5" i="52"/>
  <c r="AA163" i="52"/>
  <c r="AA160" i="52"/>
  <c r="AA155" i="52"/>
  <c r="AA159" i="52"/>
  <c r="AA153" i="52"/>
  <c r="AA162" i="52"/>
  <c r="AA158" i="52"/>
  <c r="AA156" i="52"/>
  <c r="AA154" i="52"/>
  <c r="AA161" i="52"/>
  <c r="AA157" i="52"/>
  <c r="X147" i="64" l="1"/>
  <c r="X144" i="64"/>
  <c r="X149" i="64"/>
  <c r="I11" i="66" s="1"/>
  <c r="I12" i="76" s="1"/>
  <c r="X150" i="64"/>
  <c r="I10" i="66" s="1"/>
  <c r="I9" i="76" s="1"/>
  <c r="X143" i="64"/>
  <c r="Z28" i="64"/>
  <c r="X145" i="64"/>
  <c r="X146" i="64"/>
  <c r="Y28" i="64"/>
  <c r="X139" i="64"/>
  <c r="X140" i="64"/>
  <c r="X141" i="64"/>
  <c r="X142" i="64"/>
  <c r="X28" i="64"/>
  <c r="X148" i="64"/>
  <c r="X132" i="64" s="1"/>
  <c r="AA28" i="64"/>
  <c r="AB28" i="64"/>
  <c r="AB97" i="64" s="1"/>
  <c r="AB125" i="64" s="1"/>
  <c r="X138" i="64"/>
  <c r="X5" i="64"/>
  <c r="AB165" i="52"/>
  <c r="AB164" i="52"/>
  <c r="AB161" i="52"/>
  <c r="AB157" i="52"/>
  <c r="AB163" i="52"/>
  <c r="AB160" i="52"/>
  <c r="AB155" i="52"/>
  <c r="AB159" i="52"/>
  <c r="AB153" i="52"/>
  <c r="AB162" i="52"/>
  <c r="AB154" i="52"/>
  <c r="AB158" i="52"/>
  <c r="AB156" i="52"/>
  <c r="Y62" i="64" l="1"/>
  <c r="Y67" i="64" s="1"/>
  <c r="J3" i="66" s="1"/>
  <c r="J3" i="76" s="1"/>
  <c r="X97" i="64"/>
  <c r="X125" i="64" s="1"/>
  <c r="X131" i="64" s="1"/>
  <c r="X134" i="64" s="1"/>
  <c r="I6" i="66" s="1"/>
  <c r="I6" i="76" s="1"/>
  <c r="AA62" i="64"/>
  <c r="Z97" i="64"/>
  <c r="Z125" i="64" s="1"/>
  <c r="AA97" i="64"/>
  <c r="AA125" i="64" s="1"/>
  <c r="AB62" i="64"/>
  <c r="X165" i="64"/>
  <c r="X157" i="64"/>
  <c r="X162" i="64"/>
  <c r="X153" i="64"/>
  <c r="X163" i="64"/>
  <c r="X164" i="64"/>
  <c r="X158" i="64"/>
  <c r="X161" i="64"/>
  <c r="X160" i="64"/>
  <c r="X156" i="64"/>
  <c r="X159" i="64"/>
  <c r="X154" i="64"/>
  <c r="X155" i="64"/>
  <c r="Z62" i="64"/>
  <c r="Y97" i="64"/>
  <c r="Y125" i="64" s="1"/>
  <c r="Z189" i="65" l="1"/>
  <c r="K15" i="66" s="1"/>
  <c r="K15" i="76" s="1"/>
  <c r="Y173" i="64"/>
  <c r="Y180" i="64"/>
  <c r="Y184" i="64" s="1"/>
  <c r="Y169" i="64"/>
  <c r="Y174" i="64"/>
  <c r="Y179" i="64"/>
  <c r="Y183" i="64" s="1"/>
  <c r="Y70" i="64"/>
  <c r="Y176" i="64"/>
  <c r="Y71" i="64"/>
  <c r="Y73" i="64"/>
  <c r="Y72" i="64"/>
  <c r="Y177" i="64"/>
  <c r="Y172" i="64"/>
  <c r="Y170" i="64"/>
  <c r="Y168" i="64"/>
  <c r="Y171" i="64"/>
  <c r="Y178" i="64"/>
  <c r="Y182" i="64" s="1"/>
  <c r="Y175" i="64"/>
  <c r="Y189" i="64" l="1"/>
  <c r="J14" i="66" s="1"/>
  <c r="J14" i="76" s="1"/>
  <c r="Y133" i="64"/>
  <c r="Z29" i="64" l="1"/>
  <c r="Y146" i="64"/>
  <c r="AB29" i="64"/>
  <c r="AB98" i="64" s="1"/>
  <c r="AB126" i="64" s="1"/>
  <c r="Y139" i="64"/>
  <c r="Y148" i="64"/>
  <c r="Y132" i="64" s="1"/>
  <c r="Y29" i="64"/>
  <c r="Y144" i="64"/>
  <c r="AA29" i="64"/>
  <c r="Y138" i="64"/>
  <c r="Y147" i="64"/>
  <c r="Y141" i="64"/>
  <c r="Y149" i="64"/>
  <c r="J11" i="66" s="1"/>
  <c r="J12" i="76" s="1"/>
  <c r="Y140" i="64"/>
  <c r="Y150" i="64"/>
  <c r="J10" i="66" s="1"/>
  <c r="J9" i="76" s="1"/>
  <c r="Y145" i="64"/>
  <c r="Y143" i="64"/>
  <c r="Y142" i="64"/>
  <c r="Y5" i="64"/>
  <c r="AA98" i="64" l="1"/>
  <c r="AA126" i="64" s="1"/>
  <c r="AB63" i="64"/>
  <c r="Y164" i="64"/>
  <c r="Y165" i="64"/>
  <c r="Y156" i="64"/>
  <c r="Y157" i="64"/>
  <c r="Y160" i="64"/>
  <c r="Y153" i="64"/>
  <c r="Y158" i="64"/>
  <c r="Y162" i="64"/>
  <c r="Y163" i="64"/>
  <c r="Y155" i="64"/>
  <c r="Y154" i="64"/>
  <c r="Y159" i="64"/>
  <c r="Y161" i="64"/>
  <c r="Z63" i="64"/>
  <c r="Z67" i="64" s="1"/>
  <c r="K3" i="66" s="1"/>
  <c r="K3" i="76" s="1"/>
  <c r="Y98" i="64"/>
  <c r="Y126" i="64" s="1"/>
  <c r="Y131" i="64" s="1"/>
  <c r="Y134" i="64" s="1"/>
  <c r="J6" i="66" s="1"/>
  <c r="J6" i="76" s="1"/>
  <c r="AA63" i="64"/>
  <c r="Z98" i="64"/>
  <c r="Z126" i="64" s="1"/>
  <c r="AA189" i="65" l="1"/>
  <c r="L15" i="66" s="1"/>
  <c r="L15" i="76" s="1"/>
  <c r="Z72" i="64"/>
  <c r="Z174" i="64"/>
  <c r="Z179" i="64"/>
  <c r="Z183" i="64" s="1"/>
  <c r="Z171" i="64"/>
  <c r="Z71" i="64"/>
  <c r="Z178" i="64"/>
  <c r="Z182" i="64" s="1"/>
  <c r="Z169" i="64"/>
  <c r="Z180" i="64"/>
  <c r="Z184" i="64" s="1"/>
  <c r="Z170" i="64"/>
  <c r="Z173" i="64"/>
  <c r="Z73" i="64"/>
  <c r="Z175" i="64"/>
  <c r="Z70" i="64"/>
  <c r="Z172" i="64"/>
  <c r="Z168" i="64"/>
  <c r="Z176" i="64"/>
  <c r="Z177" i="64"/>
  <c r="Z189" i="64" l="1"/>
  <c r="K14" i="66" s="1"/>
  <c r="K14" i="76" s="1"/>
  <c r="Z133" i="64"/>
  <c r="Z145" i="64" l="1"/>
  <c r="Z147" i="64"/>
  <c r="AA30" i="64"/>
  <c r="Z146" i="64"/>
  <c r="Z141" i="64"/>
  <c r="Z143" i="64"/>
  <c r="Z148" i="64"/>
  <c r="Z132" i="64" s="1"/>
  <c r="Z142" i="64"/>
  <c r="AB30" i="64"/>
  <c r="AB99" i="64" s="1"/>
  <c r="AB127" i="64" s="1"/>
  <c r="Z138" i="64"/>
  <c r="Z139" i="64"/>
  <c r="Z144" i="64"/>
  <c r="Z149" i="64"/>
  <c r="K11" i="66" s="1"/>
  <c r="K12" i="76" s="1"/>
  <c r="Z30" i="64"/>
  <c r="Z150" i="64"/>
  <c r="K10" i="66" s="1"/>
  <c r="K9" i="76" s="1"/>
  <c r="Z140" i="64"/>
  <c r="Z5" i="64"/>
  <c r="AA99" i="64" l="1"/>
  <c r="AA127" i="64" s="1"/>
  <c r="AB64" i="64"/>
  <c r="AA64" i="64"/>
  <c r="AA67" i="64" s="1"/>
  <c r="L3" i="66" s="1"/>
  <c r="L3" i="76" s="1"/>
  <c r="Z99" i="64"/>
  <c r="Z127" i="64" s="1"/>
  <c r="Z131" i="64" s="1"/>
  <c r="Z134" i="64" s="1"/>
  <c r="K6" i="66" s="1"/>
  <c r="K6" i="76" s="1"/>
  <c r="Z162" i="64"/>
  <c r="Z165" i="64"/>
  <c r="Z153" i="64"/>
  <c r="Z163" i="64"/>
  <c r="Z158" i="64"/>
  <c r="Z157" i="64"/>
  <c r="Z164" i="64"/>
  <c r="Z156" i="64"/>
  <c r="Z155" i="64"/>
  <c r="Z154" i="64"/>
  <c r="Z160" i="64"/>
  <c r="Z161" i="64"/>
  <c r="Z159" i="64"/>
  <c r="AB189" i="65" l="1"/>
  <c r="M15" i="66" s="1"/>
  <c r="AA180" i="64"/>
  <c r="AA184" i="64" s="1"/>
  <c r="AA168" i="64"/>
  <c r="AA72" i="64"/>
  <c r="AA170" i="64"/>
  <c r="AA73" i="64"/>
  <c r="AA71" i="64"/>
  <c r="AA169" i="64"/>
  <c r="AA178" i="64"/>
  <c r="AA182" i="64" s="1"/>
  <c r="AA175" i="64"/>
  <c r="AA171" i="64"/>
  <c r="AA70" i="64"/>
  <c r="AA177" i="64"/>
  <c r="AA174" i="64"/>
  <c r="AA173" i="64"/>
  <c r="AA172" i="64"/>
  <c r="AA176" i="64"/>
  <c r="AA179" i="64"/>
  <c r="AA183" i="64" s="1"/>
  <c r="M15" i="76" l="1"/>
  <c r="AA189" i="64"/>
  <c r="L14" i="66" s="1"/>
  <c r="L14" i="76" s="1"/>
  <c r="AA133" i="64"/>
  <c r="AA142" i="64" l="1"/>
  <c r="AA143" i="64"/>
  <c r="AA140" i="64"/>
  <c r="AA141" i="64"/>
  <c r="AA148" i="64"/>
  <c r="AA132" i="64" s="1"/>
  <c r="AA149" i="64"/>
  <c r="L11" i="66" s="1"/>
  <c r="L12" i="76" s="1"/>
  <c r="AA146" i="64"/>
  <c r="AA147" i="64"/>
  <c r="AA144" i="64"/>
  <c r="AA145" i="64"/>
  <c r="AA138" i="64"/>
  <c r="AB31" i="64"/>
  <c r="AB100" i="64" s="1"/>
  <c r="AB128" i="64" s="1"/>
  <c r="AA139" i="64"/>
  <c r="AA150" i="64"/>
  <c r="L10" i="66" s="1"/>
  <c r="L9" i="76" s="1"/>
  <c r="AA31" i="64"/>
  <c r="AA5" i="64"/>
  <c r="AA155" i="64" l="1"/>
  <c r="AA153" i="64"/>
  <c r="AA162" i="64"/>
  <c r="AA165" i="64"/>
  <c r="AA164" i="64"/>
  <c r="AA158" i="64"/>
  <c r="AA160" i="64"/>
  <c r="AA163" i="64"/>
  <c r="AA157" i="64"/>
  <c r="AA161" i="64"/>
  <c r="AA156" i="64"/>
  <c r="AA159" i="64"/>
  <c r="AA154" i="64"/>
  <c r="AA100" i="64"/>
  <c r="AA128" i="64" s="1"/>
  <c r="AA131" i="64" s="1"/>
  <c r="AA134" i="64" s="1"/>
  <c r="L6" i="66" s="1"/>
  <c r="L6" i="76" s="1"/>
  <c r="AB65" i="64"/>
  <c r="AB67" i="64" s="1"/>
  <c r="M3" i="66" s="1"/>
  <c r="N3" i="66" l="1"/>
  <c r="M3" i="76"/>
  <c r="N3" i="76" s="1"/>
  <c r="AB178" i="64"/>
  <c r="AB182" i="64" s="1"/>
  <c r="AB70" i="64"/>
  <c r="AB175" i="64"/>
  <c r="AB174" i="64"/>
  <c r="AB180" i="64"/>
  <c r="AB184" i="64" s="1"/>
  <c r="AB179" i="64"/>
  <c r="AB183" i="64" s="1"/>
  <c r="AB169" i="64"/>
  <c r="AB72" i="64"/>
  <c r="AB71" i="64"/>
  <c r="AB172" i="64"/>
  <c r="AB170" i="64"/>
  <c r="AB73" i="64"/>
  <c r="AB173" i="64"/>
  <c r="AB171" i="64"/>
  <c r="AB168" i="64"/>
  <c r="AB176" i="64"/>
  <c r="AB177" i="64"/>
  <c r="AB189" i="64" l="1"/>
  <c r="M14" i="66" s="1"/>
  <c r="AB133" i="64"/>
  <c r="M14" i="76" l="1"/>
  <c r="N14" i="76" s="1"/>
  <c r="N14" i="66"/>
  <c r="AB139" i="64"/>
  <c r="AB148" i="64"/>
  <c r="AB132" i="64" s="1"/>
  <c r="AB142" i="64"/>
  <c r="AB145" i="64"/>
  <c r="AB150" i="64"/>
  <c r="M10" i="66" s="1"/>
  <c r="AB141" i="64"/>
  <c r="AB140" i="64"/>
  <c r="AB149" i="64"/>
  <c r="M11" i="66" s="1"/>
  <c r="AB32" i="64"/>
  <c r="AB101" i="64" s="1"/>
  <c r="AB129" i="64" s="1"/>
  <c r="AB131" i="64" s="1"/>
  <c r="AB138" i="64"/>
  <c r="AB147" i="64"/>
  <c r="AB144" i="64"/>
  <c r="AB143" i="64"/>
  <c r="AB146" i="64"/>
  <c r="AB5" i="64"/>
  <c r="N10" i="66" l="1"/>
  <c r="M9" i="76"/>
  <c r="N9" i="76" s="1"/>
  <c r="N11" i="66"/>
  <c r="M12" i="76"/>
  <c r="N12" i="76" s="1"/>
  <c r="AB134" i="64"/>
  <c r="M6" i="66" s="1"/>
  <c r="AB162" i="64"/>
  <c r="AB157" i="64"/>
  <c r="AB154" i="64"/>
  <c r="AB161" i="64"/>
  <c r="AB164" i="64"/>
  <c r="AB153" i="64"/>
  <c r="AB160" i="64"/>
  <c r="AB156" i="64"/>
  <c r="AB158" i="64"/>
  <c r="AB155" i="64"/>
  <c r="AB159" i="64"/>
  <c r="AB163" i="64"/>
  <c r="AB165" i="64"/>
  <c r="N6" i="66" l="1"/>
  <c r="M6" i="76"/>
  <c r="N6" i="76" s="1"/>
  <c r="S189" i="65"/>
  <c r="D15" i="66" s="1"/>
  <c r="S139" i="65"/>
  <c r="S140" i="65"/>
  <c r="S148" i="65"/>
  <c r="S132" i="65" s="1"/>
  <c r="S142" i="65"/>
  <c r="S150" i="65"/>
  <c r="D12" i="66" s="1"/>
  <c r="S143" i="65"/>
  <c r="N15" i="66" l="1"/>
  <c r="S144" i="65"/>
  <c r="X23" i="65"/>
  <c r="AA23" i="65"/>
  <c r="Y23" i="65"/>
  <c r="W23" i="65"/>
  <c r="AB23" i="65"/>
  <c r="AB92" i="65" s="1"/>
  <c r="AB120" i="65" s="1"/>
  <c r="Z23" i="65"/>
  <c r="V23" i="65"/>
  <c r="S146" i="65"/>
  <c r="U23" i="65"/>
  <c r="S138" i="65"/>
  <c r="R187" i="65"/>
  <c r="S23" i="65"/>
  <c r="T23" i="65"/>
  <c r="S141" i="65"/>
  <c r="S147" i="65"/>
  <c r="S145" i="65"/>
  <c r="S149" i="65"/>
  <c r="D13" i="66" s="1"/>
  <c r="R140" i="65" l="1"/>
  <c r="R149" i="65"/>
  <c r="R139" i="65"/>
  <c r="R147" i="65"/>
  <c r="R150" i="65"/>
  <c r="R148" i="65"/>
  <c r="R132" i="65" s="1"/>
  <c r="R134" i="65" s="1"/>
  <c r="R142" i="65"/>
  <c r="R146" i="65"/>
  <c r="R143" i="65"/>
  <c r="R5" i="65"/>
  <c r="R141" i="65"/>
  <c r="R145" i="65"/>
  <c r="R144" i="65"/>
  <c r="R138" i="65"/>
  <c r="W57" i="65"/>
  <c r="V92" i="65"/>
  <c r="V120" i="65" s="1"/>
  <c r="Y92" i="65"/>
  <c r="Y120" i="65" s="1"/>
  <c r="Z57" i="65"/>
  <c r="AA57" i="65"/>
  <c r="Z92" i="65"/>
  <c r="Z120" i="65" s="1"/>
  <c r="AA92" i="65"/>
  <c r="AA120" i="65" s="1"/>
  <c r="AB57" i="65"/>
  <c r="T92" i="65"/>
  <c r="T120" i="65" s="1"/>
  <c r="U57" i="65"/>
  <c r="V57" i="65"/>
  <c r="U92" i="65"/>
  <c r="U120" i="65" s="1"/>
  <c r="Y57" i="65"/>
  <c r="X92" i="65"/>
  <c r="X120" i="65" s="1"/>
  <c r="S92" i="65"/>
  <c r="S120" i="65" s="1"/>
  <c r="S131" i="65" s="1"/>
  <c r="S134" i="65" s="1"/>
  <c r="D7" i="66" s="1"/>
  <c r="T57" i="65"/>
  <c r="T67" i="65" s="1"/>
  <c r="W92" i="65"/>
  <c r="W120" i="65" s="1"/>
  <c r="X57" i="65"/>
  <c r="T142" i="65" l="1"/>
  <c r="T141" i="65"/>
  <c r="T143" i="65"/>
  <c r="T150" i="65"/>
  <c r="E12" i="66" s="1"/>
  <c r="T149" i="65"/>
  <c r="E13" i="66" s="1"/>
  <c r="U24" i="65"/>
  <c r="T147" i="65"/>
  <c r="T140" i="65"/>
  <c r="T148" i="65"/>
  <c r="T132" i="65" s="1"/>
  <c r="X24" i="65"/>
  <c r="W24" i="65"/>
  <c r="Y24" i="65"/>
  <c r="T24" i="65"/>
  <c r="Z24" i="65"/>
  <c r="T139" i="65"/>
  <c r="T146" i="65"/>
  <c r="AA24" i="65"/>
  <c r="V24" i="65"/>
  <c r="T138" i="65"/>
  <c r="T145" i="65"/>
  <c r="T144" i="65"/>
  <c r="AB24" i="65"/>
  <c r="AB93" i="65" s="1"/>
  <c r="AB121" i="65" s="1"/>
  <c r="R162" i="65"/>
  <c r="R155" i="65"/>
  <c r="R154" i="65"/>
  <c r="R164" i="65"/>
  <c r="S5" i="65"/>
  <c r="R156" i="65"/>
  <c r="R153" i="65"/>
  <c r="R157" i="65"/>
  <c r="R158" i="65"/>
  <c r="R160" i="65"/>
  <c r="R163" i="65"/>
  <c r="R159" i="65"/>
  <c r="R165" i="65"/>
  <c r="R161" i="65"/>
  <c r="E4" i="66"/>
  <c r="T172" i="65"/>
  <c r="T169" i="65"/>
  <c r="T168" i="65"/>
  <c r="T176" i="65"/>
  <c r="T173" i="65"/>
  <c r="T180" i="65"/>
  <c r="T184" i="65" s="1"/>
  <c r="T70" i="65"/>
  <c r="T171" i="65"/>
  <c r="T179" i="65"/>
  <c r="T183" i="65" s="1"/>
  <c r="T73" i="65"/>
  <c r="T177" i="65"/>
  <c r="T174" i="65"/>
  <c r="T178" i="65"/>
  <c r="T182" i="65" s="1"/>
  <c r="T175" i="65"/>
  <c r="T71" i="65"/>
  <c r="T72" i="65"/>
  <c r="T170" i="65"/>
  <c r="Y93" i="65" l="1"/>
  <c r="Y121" i="65" s="1"/>
  <c r="Z58" i="65"/>
  <c r="E10" i="76"/>
  <c r="W93" i="65"/>
  <c r="W121" i="65" s="1"/>
  <c r="X58" i="65"/>
  <c r="W58" i="65"/>
  <c r="V93" i="65"/>
  <c r="V121" i="65" s="1"/>
  <c r="AA58" i="65"/>
  <c r="Z93" i="65"/>
  <c r="Z121" i="65" s="1"/>
  <c r="Y58" i="65"/>
  <c r="X93" i="65"/>
  <c r="X121" i="65" s="1"/>
  <c r="U93" i="65"/>
  <c r="U121" i="65" s="1"/>
  <c r="V58" i="65"/>
  <c r="AB58" i="65"/>
  <c r="AA93" i="65"/>
  <c r="AA121" i="65" s="1"/>
  <c r="T93" i="65"/>
  <c r="T121" i="65" s="1"/>
  <c r="T131" i="65" s="1"/>
  <c r="U58" i="65"/>
  <c r="U67" i="65" s="1"/>
  <c r="E13" i="76"/>
  <c r="S161" i="65"/>
  <c r="S154" i="65"/>
  <c r="S165" i="65"/>
  <c r="S157" i="65"/>
  <c r="S160" i="65"/>
  <c r="S163" i="65"/>
  <c r="T5" i="65"/>
  <c r="S158" i="65"/>
  <c r="S153" i="65"/>
  <c r="S159" i="65"/>
  <c r="S164" i="65"/>
  <c r="S156" i="65"/>
  <c r="S162" i="65"/>
  <c r="S155" i="65"/>
  <c r="T133" i="65"/>
  <c r="T134" i="65" l="1"/>
  <c r="E7" i="66" s="1"/>
  <c r="U171" i="65"/>
  <c r="U72" i="65"/>
  <c r="U176" i="65"/>
  <c r="U73" i="65"/>
  <c r="U180" i="65"/>
  <c r="U184" i="65" s="1"/>
  <c r="U168" i="65"/>
  <c r="U169" i="65"/>
  <c r="U173" i="65"/>
  <c r="U174" i="65"/>
  <c r="U172" i="65"/>
  <c r="U70" i="65"/>
  <c r="U179" i="65"/>
  <c r="U183" i="65" s="1"/>
  <c r="F4" i="66"/>
  <c r="U170" i="65"/>
  <c r="U175" i="65"/>
  <c r="U71" i="65"/>
  <c r="U178" i="65"/>
  <c r="U182" i="65" s="1"/>
  <c r="U177" i="65"/>
  <c r="T161" i="65"/>
  <c r="T165" i="65"/>
  <c r="T159" i="65"/>
  <c r="U5" i="65"/>
  <c r="T153" i="65"/>
  <c r="T164" i="65"/>
  <c r="T160" i="65"/>
  <c r="T155" i="65"/>
  <c r="T154" i="65"/>
  <c r="T156" i="65"/>
  <c r="T157" i="65"/>
  <c r="T162" i="65"/>
  <c r="T158" i="65"/>
  <c r="T163" i="65"/>
  <c r="U133" i="65" l="1"/>
  <c r="Y25" i="65"/>
  <c r="U148" i="65"/>
  <c r="U132" i="65" s="1"/>
  <c r="W25" i="65"/>
  <c r="U25" i="65"/>
  <c r="U140" i="65"/>
  <c r="V25" i="65"/>
  <c r="U149" i="65"/>
  <c r="F13" i="66" s="1"/>
  <c r="U139" i="65"/>
  <c r="U138" i="65"/>
  <c r="U141" i="65"/>
  <c r="U147" i="65"/>
  <c r="U146" i="65"/>
  <c r="U142" i="65"/>
  <c r="U144" i="65"/>
  <c r="AA25" i="65"/>
  <c r="U150" i="65"/>
  <c r="F12" i="66" s="1"/>
  <c r="AB25" i="65"/>
  <c r="AB94" i="65" s="1"/>
  <c r="AB122" i="65" s="1"/>
  <c r="U143" i="65"/>
  <c r="Z25" i="65"/>
  <c r="U145" i="65"/>
  <c r="X25" i="65"/>
  <c r="U163" i="65"/>
  <c r="U165" i="65"/>
  <c r="U162" i="65"/>
  <c r="U155" i="65"/>
  <c r="U158" i="65"/>
  <c r="U153" i="65"/>
  <c r="U154" i="65"/>
  <c r="U156" i="65"/>
  <c r="U160" i="65"/>
  <c r="U161" i="65"/>
  <c r="U164" i="65"/>
  <c r="U157" i="65"/>
  <c r="U159" i="65"/>
  <c r="V94" i="65" l="1"/>
  <c r="V122" i="65" s="1"/>
  <c r="W59" i="65"/>
  <c r="Z59" i="65"/>
  <c r="Y94" i="65"/>
  <c r="Y122" i="65" s="1"/>
  <c r="Y59" i="65"/>
  <c r="X94" i="65"/>
  <c r="X122" i="65" s="1"/>
  <c r="F10" i="76"/>
  <c r="V59" i="65"/>
  <c r="V67" i="65" s="1"/>
  <c r="U94" i="65"/>
  <c r="U122" i="65" s="1"/>
  <c r="U131" i="65" s="1"/>
  <c r="U134" i="65" s="1"/>
  <c r="F7" i="66" s="1"/>
  <c r="Z94" i="65"/>
  <c r="Z122" i="65" s="1"/>
  <c r="AA59" i="65"/>
  <c r="AA94" i="65"/>
  <c r="AA122" i="65" s="1"/>
  <c r="AB59" i="65"/>
  <c r="F13" i="76"/>
  <c r="W94" i="65"/>
  <c r="W122" i="65" s="1"/>
  <c r="X59" i="65"/>
  <c r="V168" i="65" l="1"/>
  <c r="V174" i="65"/>
  <c r="V171" i="65"/>
  <c r="V71" i="65"/>
  <c r="V172" i="65"/>
  <c r="V169" i="65"/>
  <c r="V179" i="65"/>
  <c r="V183" i="65" s="1"/>
  <c r="V175" i="65"/>
  <c r="V178" i="65"/>
  <c r="V182" i="65" s="1"/>
  <c r="V176" i="65"/>
  <c r="V173" i="65"/>
  <c r="G4" i="66"/>
  <c r="V72" i="65"/>
  <c r="V73" i="65"/>
  <c r="V177" i="65"/>
  <c r="V70" i="65"/>
  <c r="V170" i="65"/>
  <c r="V180" i="65"/>
  <c r="V184" i="65" s="1"/>
  <c r="V140" i="65" l="1"/>
  <c r="V139" i="65"/>
  <c r="AB26" i="65"/>
  <c r="AB95" i="65" s="1"/>
  <c r="AB123" i="65" s="1"/>
  <c r="V145" i="65"/>
  <c r="Z26" i="65"/>
  <c r="V141" i="65"/>
  <c r="V148" i="65"/>
  <c r="V132" i="65" s="1"/>
  <c r="V147" i="65"/>
  <c r="V149" i="65"/>
  <c r="G13" i="66" s="1"/>
  <c r="V146" i="65"/>
  <c r="V26" i="65"/>
  <c r="V144" i="65"/>
  <c r="V150" i="65"/>
  <c r="G12" i="66" s="1"/>
  <c r="AA26" i="65"/>
  <c r="V138" i="65"/>
  <c r="V142" i="65"/>
  <c r="Y26" i="65"/>
  <c r="X26" i="65"/>
  <c r="V143" i="65"/>
  <c r="W26" i="65"/>
  <c r="V5" i="65"/>
  <c r="V133" i="65"/>
  <c r="V95" i="65" l="1"/>
  <c r="V123" i="65" s="1"/>
  <c r="V131" i="65" s="1"/>
  <c r="V134" i="65" s="1"/>
  <c r="G7" i="66" s="1"/>
  <c r="W60" i="65"/>
  <c r="W67" i="65" s="1"/>
  <c r="X95" i="65"/>
  <c r="X123" i="65" s="1"/>
  <c r="Y60" i="65"/>
  <c r="AA95" i="65"/>
  <c r="AA123" i="65" s="1"/>
  <c r="AB60" i="65"/>
  <c r="G10" i="76"/>
  <c r="V154" i="65"/>
  <c r="V161" i="65"/>
  <c r="V163" i="65"/>
  <c r="V164" i="65"/>
  <c r="V160" i="65"/>
  <c r="V155" i="65"/>
  <c r="V165" i="65"/>
  <c r="V159" i="65"/>
  <c r="V158" i="65"/>
  <c r="V162" i="65"/>
  <c r="V153" i="65"/>
  <c r="V156" i="65"/>
  <c r="V157" i="65"/>
  <c r="Y95" i="65"/>
  <c r="Y123" i="65" s="1"/>
  <c r="Z60" i="65"/>
  <c r="G13" i="76"/>
  <c r="Z95" i="65"/>
  <c r="Z123" i="65" s="1"/>
  <c r="AA60" i="65"/>
  <c r="X60" i="65"/>
  <c r="W95" i="65"/>
  <c r="W123" i="65" s="1"/>
  <c r="W172" i="65" l="1"/>
  <c r="W169" i="65"/>
  <c r="W174" i="65"/>
  <c r="W72" i="65"/>
  <c r="H4" i="66"/>
  <c r="W71" i="65"/>
  <c r="W180" i="65"/>
  <c r="W184" i="65" s="1"/>
  <c r="W73" i="65"/>
  <c r="W177" i="65"/>
  <c r="W178" i="65"/>
  <c r="W182" i="65" s="1"/>
  <c r="W179" i="65"/>
  <c r="W183" i="65" s="1"/>
  <c r="W175" i="65"/>
  <c r="W168" i="65"/>
  <c r="W173" i="65"/>
  <c r="W70" i="65"/>
  <c r="W176" i="65"/>
  <c r="W171" i="65"/>
  <c r="W170" i="65"/>
  <c r="W133" i="65" l="1"/>
  <c r="X27" i="65"/>
  <c r="W148" i="65"/>
  <c r="W132" i="65" s="1"/>
  <c r="W143" i="65"/>
  <c r="W138" i="65"/>
  <c r="W150" i="65"/>
  <c r="H12" i="66" s="1"/>
  <c r="W149" i="65"/>
  <c r="H13" i="66" s="1"/>
  <c r="AA27" i="65"/>
  <c r="W141" i="65"/>
  <c r="AB27" i="65"/>
  <c r="AB96" i="65" s="1"/>
  <c r="AB124" i="65" s="1"/>
  <c r="W144" i="65"/>
  <c r="W139" i="65"/>
  <c r="Z27" i="65"/>
  <c r="Y27" i="65"/>
  <c r="W140" i="65"/>
  <c r="W146" i="65"/>
  <c r="W147" i="65"/>
  <c r="W142" i="65"/>
  <c r="W27" i="65"/>
  <c r="W145" i="65"/>
  <c r="W5" i="65"/>
  <c r="W96" i="65" l="1"/>
  <c r="W124" i="65" s="1"/>
  <c r="W131" i="65" s="1"/>
  <c r="W134" i="65" s="1"/>
  <c r="H7" i="66" s="1"/>
  <c r="X61" i="65"/>
  <c r="X67" i="65" s="1"/>
  <c r="H13" i="76"/>
  <c r="H10" i="76"/>
  <c r="Y61" i="65"/>
  <c r="X96" i="65"/>
  <c r="X124" i="65" s="1"/>
  <c r="Y96" i="65"/>
  <c r="Y124" i="65" s="1"/>
  <c r="Z61" i="65"/>
  <c r="W164" i="65"/>
  <c r="W160" i="65"/>
  <c r="W153" i="65"/>
  <c r="W161" i="65"/>
  <c r="W154" i="65"/>
  <c r="W159" i="65"/>
  <c r="W165" i="65"/>
  <c r="W156" i="65"/>
  <c r="W155" i="65"/>
  <c r="W162" i="65"/>
  <c r="W163" i="65"/>
  <c r="W158" i="65"/>
  <c r="W157" i="65"/>
  <c r="Z96" i="65"/>
  <c r="Z124" i="65" s="1"/>
  <c r="AA61" i="65"/>
  <c r="AA96" i="65"/>
  <c r="AA124" i="65" s="1"/>
  <c r="AB61" i="65"/>
  <c r="S149" i="70"/>
  <c r="D27" i="66" s="1"/>
  <c r="S189" i="70"/>
  <c r="D29" i="66" s="1"/>
  <c r="S138" i="70"/>
  <c r="S141" i="70"/>
  <c r="S143" i="70"/>
  <c r="S145" i="70"/>
  <c r="S147" i="70"/>
  <c r="S144" i="70"/>
  <c r="X172" i="65" l="1"/>
  <c r="X70" i="65"/>
  <c r="X180" i="65"/>
  <c r="X184" i="65" s="1"/>
  <c r="X179" i="65"/>
  <c r="X183" i="65" s="1"/>
  <c r="X168" i="65"/>
  <c r="X173" i="65"/>
  <c r="X73" i="65"/>
  <c r="X174" i="65"/>
  <c r="X169" i="65"/>
  <c r="X176" i="65"/>
  <c r="X72" i="65"/>
  <c r="X178" i="65"/>
  <c r="X182" i="65" s="1"/>
  <c r="X177" i="65"/>
  <c r="X171" i="65"/>
  <c r="X175" i="65"/>
  <c r="I4" i="66"/>
  <c r="X170" i="65"/>
  <c r="X71" i="65"/>
  <c r="N29" i="66"/>
  <c r="D15" i="76"/>
  <c r="N15" i="76" s="1"/>
  <c r="N27" i="66"/>
  <c r="D13" i="76"/>
  <c r="Z23" i="70"/>
  <c r="Y23" i="70"/>
  <c r="S5" i="70"/>
  <c r="AA23" i="70"/>
  <c r="S140" i="70"/>
  <c r="S139" i="70"/>
  <c r="S150" i="70"/>
  <c r="D26" i="66" s="1"/>
  <c r="AB23" i="70"/>
  <c r="AB92" i="70" s="1"/>
  <c r="AB120" i="70" s="1"/>
  <c r="AB131" i="70" s="1"/>
  <c r="S146" i="70"/>
  <c r="S142" i="70"/>
  <c r="S148" i="70"/>
  <c r="S132" i="70" s="1"/>
  <c r="S23" i="70"/>
  <c r="T23" i="70"/>
  <c r="U23" i="70"/>
  <c r="V23" i="70"/>
  <c r="W23" i="70"/>
  <c r="X23" i="70"/>
  <c r="X133" i="65" l="1"/>
  <c r="X143" i="65"/>
  <c r="X141" i="65"/>
  <c r="AB28" i="65"/>
  <c r="AB97" i="65" s="1"/>
  <c r="AB125" i="65" s="1"/>
  <c r="X149" i="65"/>
  <c r="I13" i="66" s="1"/>
  <c r="Z28" i="65"/>
  <c r="X146" i="65"/>
  <c r="X138" i="65"/>
  <c r="X145" i="65"/>
  <c r="X139" i="65"/>
  <c r="X140" i="65"/>
  <c r="X148" i="65"/>
  <c r="X132" i="65" s="1"/>
  <c r="X144" i="65"/>
  <c r="Y28" i="65"/>
  <c r="X147" i="65"/>
  <c r="X142" i="65"/>
  <c r="X28" i="65"/>
  <c r="X150" i="65"/>
  <c r="I12" i="66" s="1"/>
  <c r="AA28" i="65"/>
  <c r="X5" i="65"/>
  <c r="W92" i="70"/>
  <c r="W120" i="70" s="1"/>
  <c r="W131" i="70" s="1"/>
  <c r="X57" i="70"/>
  <c r="X67" i="70" s="1"/>
  <c r="S92" i="70"/>
  <c r="S120" i="70" s="1"/>
  <c r="S131" i="70" s="1"/>
  <c r="S134" i="70" s="1"/>
  <c r="D21" i="66" s="1"/>
  <c r="T57" i="70"/>
  <c r="T67" i="70" s="1"/>
  <c r="T5" i="70" s="1"/>
  <c r="U92" i="70"/>
  <c r="U120" i="70" s="1"/>
  <c r="U131" i="70" s="1"/>
  <c r="V57" i="70"/>
  <c r="V67" i="70" s="1"/>
  <c r="Z57" i="70"/>
  <c r="Z67" i="70" s="1"/>
  <c r="Y92" i="70"/>
  <c r="Y120" i="70" s="1"/>
  <c r="Y131" i="70" s="1"/>
  <c r="Y57" i="70"/>
  <c r="Y67" i="70" s="1"/>
  <c r="X92" i="70"/>
  <c r="X120" i="70" s="1"/>
  <c r="X131" i="70" s="1"/>
  <c r="T92" i="70"/>
  <c r="T120" i="70" s="1"/>
  <c r="T131" i="70" s="1"/>
  <c r="U57" i="70"/>
  <c r="U67" i="70" s="1"/>
  <c r="Z92" i="70"/>
  <c r="Z120" i="70" s="1"/>
  <c r="Z131" i="70" s="1"/>
  <c r="AA57" i="70"/>
  <c r="AA67" i="70" s="1"/>
  <c r="AA92" i="70"/>
  <c r="AA120" i="70" s="1"/>
  <c r="AA131" i="70" s="1"/>
  <c r="AB57" i="70"/>
  <c r="AB67" i="70" s="1"/>
  <c r="V92" i="70"/>
  <c r="V120" i="70" s="1"/>
  <c r="V131" i="70" s="1"/>
  <c r="W57" i="70"/>
  <c r="W67" i="70" s="1"/>
  <c r="N26" i="66"/>
  <c r="D10" i="76"/>
  <c r="S154" i="70"/>
  <c r="S157" i="70"/>
  <c r="S163" i="70"/>
  <c r="S165" i="70"/>
  <c r="S161" i="70"/>
  <c r="S156" i="70"/>
  <c r="S164" i="70"/>
  <c r="S160" i="70"/>
  <c r="S162" i="70"/>
  <c r="S158" i="70"/>
  <c r="S159" i="70"/>
  <c r="S155" i="70"/>
  <c r="S153" i="70"/>
  <c r="AA97" i="65" l="1"/>
  <c r="AA125" i="65" s="1"/>
  <c r="AB62" i="65"/>
  <c r="I10" i="76"/>
  <c r="Z62" i="65"/>
  <c r="Y97" i="65"/>
  <c r="Y125" i="65" s="1"/>
  <c r="AA62" i="65"/>
  <c r="Z97" i="65"/>
  <c r="Z125" i="65" s="1"/>
  <c r="X97" i="65"/>
  <c r="X125" i="65" s="1"/>
  <c r="X131" i="65" s="1"/>
  <c r="X134" i="65" s="1"/>
  <c r="I7" i="66" s="1"/>
  <c r="Y62" i="65"/>
  <c r="Y67" i="65" s="1"/>
  <c r="I13" i="76"/>
  <c r="X157" i="65"/>
  <c r="X160" i="65"/>
  <c r="X163" i="65"/>
  <c r="X161" i="65"/>
  <c r="X154" i="65"/>
  <c r="X153" i="65"/>
  <c r="X155" i="65"/>
  <c r="X159" i="65"/>
  <c r="X156" i="65"/>
  <c r="X165" i="65"/>
  <c r="X164" i="65"/>
  <c r="X162" i="65"/>
  <c r="X158" i="65"/>
  <c r="U179" i="70"/>
  <c r="U183" i="70" s="1"/>
  <c r="U175" i="70"/>
  <c r="U173" i="70"/>
  <c r="U170" i="70"/>
  <c r="F18" i="66"/>
  <c r="F4" i="76" s="1"/>
  <c r="U70" i="70"/>
  <c r="U172" i="70"/>
  <c r="U180" i="70"/>
  <c r="U184" i="70" s="1"/>
  <c r="U178" i="70"/>
  <c r="U182" i="70" s="1"/>
  <c r="U177" i="70"/>
  <c r="U174" i="70"/>
  <c r="U171" i="70"/>
  <c r="U72" i="70"/>
  <c r="U176" i="70"/>
  <c r="U73" i="70"/>
  <c r="U71" i="70"/>
  <c r="U169" i="70"/>
  <c r="U168" i="70"/>
  <c r="E18" i="66"/>
  <c r="T177" i="70"/>
  <c r="T172" i="70"/>
  <c r="T174" i="70"/>
  <c r="T170" i="70"/>
  <c r="T171" i="70"/>
  <c r="T175" i="70"/>
  <c r="T169" i="70"/>
  <c r="T178" i="70"/>
  <c r="T182" i="70" s="1"/>
  <c r="T72" i="70"/>
  <c r="T176" i="70"/>
  <c r="T168" i="70"/>
  <c r="T180" i="70"/>
  <c r="T184" i="70" s="1"/>
  <c r="T71" i="70"/>
  <c r="T70" i="70"/>
  <c r="T173" i="70"/>
  <c r="T73" i="70"/>
  <c r="T179" i="70"/>
  <c r="T183" i="70" s="1"/>
  <c r="W168" i="70"/>
  <c r="W176" i="70"/>
  <c r="H18" i="66"/>
  <c r="H4" i="76" s="1"/>
  <c r="W179" i="70"/>
  <c r="W183" i="70" s="1"/>
  <c r="W72" i="70"/>
  <c r="W180" i="70"/>
  <c r="W184" i="70" s="1"/>
  <c r="W71" i="70"/>
  <c r="W178" i="70"/>
  <c r="W182" i="70" s="1"/>
  <c r="W133" i="70" s="1"/>
  <c r="W134" i="70" s="1"/>
  <c r="H21" i="66" s="1"/>
  <c r="H7" i="76" s="1"/>
  <c r="W174" i="70"/>
  <c r="W175" i="70"/>
  <c r="W171" i="70"/>
  <c r="W73" i="70"/>
  <c r="W70" i="70"/>
  <c r="W169" i="70"/>
  <c r="W170" i="70"/>
  <c r="W177" i="70"/>
  <c r="W173" i="70"/>
  <c r="W172" i="70"/>
  <c r="Z180" i="70"/>
  <c r="Z184" i="70" s="1"/>
  <c r="Z176" i="70"/>
  <c r="Z174" i="70"/>
  <c r="Z177" i="70"/>
  <c r="K18" i="66"/>
  <c r="Z175" i="70"/>
  <c r="Z71" i="70"/>
  <c r="Z169" i="70"/>
  <c r="Z178" i="70"/>
  <c r="Z182" i="70" s="1"/>
  <c r="Z179" i="70"/>
  <c r="Z183" i="70" s="1"/>
  <c r="Z170" i="70"/>
  <c r="Z172" i="70"/>
  <c r="Z73" i="70"/>
  <c r="Z72" i="70"/>
  <c r="Z171" i="70"/>
  <c r="Z168" i="70"/>
  <c r="Z70" i="70"/>
  <c r="Z173" i="70"/>
  <c r="D7" i="76"/>
  <c r="AA178" i="70"/>
  <c r="AA182" i="70" s="1"/>
  <c r="AA72" i="70"/>
  <c r="AA71" i="70"/>
  <c r="AA174" i="70"/>
  <c r="AA176" i="70"/>
  <c r="L18" i="66"/>
  <c r="AA173" i="70"/>
  <c r="AA73" i="70"/>
  <c r="AA169" i="70"/>
  <c r="AA175" i="70"/>
  <c r="AA172" i="70"/>
  <c r="AA168" i="70"/>
  <c r="AA170" i="70"/>
  <c r="AA179" i="70"/>
  <c r="AA183" i="70" s="1"/>
  <c r="AA70" i="70"/>
  <c r="AA171" i="70"/>
  <c r="AA177" i="70"/>
  <c r="AA180" i="70"/>
  <c r="AA184" i="70" s="1"/>
  <c r="G18" i="66"/>
  <c r="G4" i="76" s="1"/>
  <c r="V168" i="70"/>
  <c r="V176" i="70"/>
  <c r="V169" i="70"/>
  <c r="V173" i="70"/>
  <c r="V180" i="70"/>
  <c r="V184" i="70" s="1"/>
  <c r="V175" i="70"/>
  <c r="V71" i="70"/>
  <c r="V178" i="70"/>
  <c r="V182" i="70" s="1"/>
  <c r="V174" i="70"/>
  <c r="V170" i="70"/>
  <c r="V172" i="70"/>
  <c r="V73" i="70"/>
  <c r="V179" i="70"/>
  <c r="V183" i="70" s="1"/>
  <c r="V72" i="70"/>
  <c r="V70" i="70"/>
  <c r="V171" i="70"/>
  <c r="V177" i="70"/>
  <c r="X72" i="70"/>
  <c r="X174" i="70"/>
  <c r="X175" i="70"/>
  <c r="X178" i="70"/>
  <c r="X182" i="70" s="1"/>
  <c r="X170" i="70"/>
  <c r="X179" i="70"/>
  <c r="X183" i="70" s="1"/>
  <c r="X73" i="70"/>
  <c r="X71" i="70"/>
  <c r="X169" i="70"/>
  <c r="X171" i="70"/>
  <c r="X177" i="70"/>
  <c r="X180" i="70"/>
  <c r="X184" i="70" s="1"/>
  <c r="X176" i="70"/>
  <c r="I18" i="66"/>
  <c r="I4" i="76" s="1"/>
  <c r="X172" i="70"/>
  <c r="X173" i="70"/>
  <c r="X70" i="70"/>
  <c r="X168" i="70"/>
  <c r="T164" i="70"/>
  <c r="T157" i="70"/>
  <c r="T163" i="70"/>
  <c r="U5" i="70"/>
  <c r="T159" i="70"/>
  <c r="T160" i="70"/>
  <c r="T158" i="70"/>
  <c r="T161" i="70"/>
  <c r="T154" i="70"/>
  <c r="T155" i="70"/>
  <c r="T156" i="70"/>
  <c r="T153" i="70"/>
  <c r="T165" i="70"/>
  <c r="T162" i="70"/>
  <c r="AB175" i="70"/>
  <c r="AB171" i="70"/>
  <c r="AB168" i="70"/>
  <c r="AB180" i="70"/>
  <c r="AB184" i="70" s="1"/>
  <c r="M18" i="66"/>
  <c r="AB73" i="70"/>
  <c r="AB72" i="70"/>
  <c r="AB71" i="70"/>
  <c r="AB70" i="70"/>
  <c r="AB179" i="70"/>
  <c r="AB183" i="70" s="1"/>
  <c r="AB178" i="70"/>
  <c r="AB182" i="70" s="1"/>
  <c r="AB177" i="70"/>
  <c r="AB173" i="70"/>
  <c r="AB174" i="70"/>
  <c r="AB170" i="70"/>
  <c r="AB169" i="70"/>
  <c r="AB176" i="70"/>
  <c r="AB172" i="70"/>
  <c r="Y178" i="70"/>
  <c r="Y182" i="70" s="1"/>
  <c r="Y71" i="70"/>
  <c r="Y179" i="70"/>
  <c r="Y183" i="70" s="1"/>
  <c r="Y72" i="70"/>
  <c r="Y170" i="70"/>
  <c r="Y174" i="70"/>
  <c r="Y177" i="70"/>
  <c r="Y73" i="70"/>
  <c r="Y180" i="70"/>
  <c r="Y184" i="70" s="1"/>
  <c r="Y70" i="70"/>
  <c r="Y176" i="70"/>
  <c r="Y173" i="70"/>
  <c r="J18" i="66"/>
  <c r="Y168" i="70"/>
  <c r="Y171" i="70"/>
  <c r="Y175" i="70"/>
  <c r="Y169" i="70"/>
  <c r="Y172" i="70"/>
  <c r="Z133" i="70" l="1"/>
  <c r="Z134" i="70" s="1"/>
  <c r="K21" i="66" s="1"/>
  <c r="V133" i="70"/>
  <c r="V134" i="70" s="1"/>
  <c r="G21" i="66" s="1"/>
  <c r="G7" i="76" s="1"/>
  <c r="Y168" i="65"/>
  <c r="Y179" i="65"/>
  <c r="Y183" i="65" s="1"/>
  <c r="Y173" i="65"/>
  <c r="Y72" i="65"/>
  <c r="Y70" i="65"/>
  <c r="Y174" i="65"/>
  <c r="Y177" i="65"/>
  <c r="Y170" i="65"/>
  <c r="Y175" i="65"/>
  <c r="Y172" i="65"/>
  <c r="Y171" i="65"/>
  <c r="Y176" i="65"/>
  <c r="Y71" i="65"/>
  <c r="Y180" i="65"/>
  <c r="Y184" i="65" s="1"/>
  <c r="Y178" i="65"/>
  <c r="Y182" i="65" s="1"/>
  <c r="J4" i="66"/>
  <c r="J4" i="76" s="1"/>
  <c r="Y73" i="65"/>
  <c r="Y169" i="65"/>
  <c r="AB133" i="70"/>
  <c r="AB134" i="70" s="1"/>
  <c r="M21" i="66" s="1"/>
  <c r="U133" i="70"/>
  <c r="U134" i="70" s="1"/>
  <c r="F21" i="66" s="1"/>
  <c r="F7" i="76" s="1"/>
  <c r="Y133" i="70"/>
  <c r="Y134" i="70" s="1"/>
  <c r="J21" i="66" s="1"/>
  <c r="X133" i="70"/>
  <c r="X134" i="70" s="1"/>
  <c r="I21" i="66" s="1"/>
  <c r="I7" i="76" s="1"/>
  <c r="AA133" i="70"/>
  <c r="AA134" i="70" s="1"/>
  <c r="L21" i="66" s="1"/>
  <c r="U164" i="70"/>
  <c r="U160" i="70"/>
  <c r="U157" i="70"/>
  <c r="U154" i="70"/>
  <c r="U153" i="70"/>
  <c r="U159" i="70"/>
  <c r="U155" i="70"/>
  <c r="U162" i="70"/>
  <c r="U163" i="70"/>
  <c r="U156" i="70"/>
  <c r="U161" i="70"/>
  <c r="U158" i="70"/>
  <c r="V5" i="70"/>
  <c r="U165" i="70"/>
  <c r="T133" i="70"/>
  <c r="T134" i="70" s="1"/>
  <c r="E21" i="66" s="1"/>
  <c r="E4" i="76"/>
  <c r="N18" i="66"/>
  <c r="Y133" i="65" l="1"/>
  <c r="Y150" i="65"/>
  <c r="J12" i="66" s="1"/>
  <c r="J10" i="76" s="1"/>
  <c r="Y146" i="65"/>
  <c r="Z29" i="65"/>
  <c r="Y148" i="65"/>
  <c r="Y132" i="65" s="1"/>
  <c r="Y139" i="65"/>
  <c r="Y147" i="65"/>
  <c r="AA29" i="65"/>
  <c r="Y29" i="65"/>
  <c r="Y140" i="65"/>
  <c r="Y149" i="65"/>
  <c r="J13" i="66" s="1"/>
  <c r="J13" i="76" s="1"/>
  <c r="Y141" i="65"/>
  <c r="Y138" i="65"/>
  <c r="Y143" i="65"/>
  <c r="Y144" i="65"/>
  <c r="AB29" i="65"/>
  <c r="AB98" i="65" s="1"/>
  <c r="AB126" i="65" s="1"/>
  <c r="Y145" i="65"/>
  <c r="Y142" i="65"/>
  <c r="Y5" i="65"/>
  <c r="V158" i="70"/>
  <c r="V154" i="70"/>
  <c r="V153" i="70"/>
  <c r="V159" i="70"/>
  <c r="V157" i="70"/>
  <c r="V163" i="70"/>
  <c r="V165" i="70"/>
  <c r="W5" i="70"/>
  <c r="V156" i="70"/>
  <c r="V162" i="70"/>
  <c r="V164" i="70"/>
  <c r="V155" i="70"/>
  <c r="V160" i="70"/>
  <c r="V161" i="70"/>
  <c r="E7" i="76"/>
  <c r="N21" i="66"/>
  <c r="AA98" i="65" l="1"/>
  <c r="AA126" i="65" s="1"/>
  <c r="AB63" i="65"/>
  <c r="AA63" i="65"/>
  <c r="Z98" i="65"/>
  <c r="Z126" i="65" s="1"/>
  <c r="Y155" i="65"/>
  <c r="Y158" i="65"/>
  <c r="Y162" i="65"/>
  <c r="Y154" i="65"/>
  <c r="Y160" i="65"/>
  <c r="Y156" i="65"/>
  <c r="Y164" i="65"/>
  <c r="Y165" i="65"/>
  <c r="Y157" i="65"/>
  <c r="Y153" i="65"/>
  <c r="Y159" i="65"/>
  <c r="Y163" i="65"/>
  <c r="Y161" i="65"/>
  <c r="Y98" i="65"/>
  <c r="Y126" i="65" s="1"/>
  <c r="Y131" i="65" s="1"/>
  <c r="Y134" i="65" s="1"/>
  <c r="J7" i="66" s="1"/>
  <c r="J7" i="76" s="1"/>
  <c r="Z63" i="65"/>
  <c r="Z67" i="65" s="1"/>
  <c r="X5" i="70"/>
  <c r="W164" i="70"/>
  <c r="W155" i="70"/>
  <c r="W157" i="70"/>
  <c r="W159" i="70"/>
  <c r="W158" i="70"/>
  <c r="W156" i="70"/>
  <c r="W163" i="70"/>
  <c r="W154" i="70"/>
  <c r="W161" i="70"/>
  <c r="W153" i="70"/>
  <c r="W160" i="70"/>
  <c r="W162" i="70"/>
  <c r="W165" i="70"/>
  <c r="Z70" i="65" l="1"/>
  <c r="Z175" i="65"/>
  <c r="Z170" i="65"/>
  <c r="Z176" i="65"/>
  <c r="Z173" i="65"/>
  <c r="Z168" i="65"/>
  <c r="Z174" i="65"/>
  <c r="Z172" i="65"/>
  <c r="Z169" i="65"/>
  <c r="Z179" i="65"/>
  <c r="Z183" i="65" s="1"/>
  <c r="Z180" i="65"/>
  <c r="Z184" i="65" s="1"/>
  <c r="Z178" i="65"/>
  <c r="Z182" i="65" s="1"/>
  <c r="Z73" i="65"/>
  <c r="Z171" i="65"/>
  <c r="Z177" i="65"/>
  <c r="K4" i="66"/>
  <c r="K4" i="76" s="1"/>
  <c r="Z72" i="65"/>
  <c r="Z71" i="65"/>
  <c r="X164" i="70"/>
  <c r="X165" i="70"/>
  <c r="X162" i="70"/>
  <c r="Y5" i="70"/>
  <c r="X153" i="70"/>
  <c r="X159" i="70"/>
  <c r="X161" i="70"/>
  <c r="X157" i="70"/>
  <c r="X160" i="70"/>
  <c r="X154" i="70"/>
  <c r="X163" i="70"/>
  <c r="X155" i="70"/>
  <c r="X156" i="70"/>
  <c r="X158" i="70"/>
  <c r="Z133" i="65" l="1"/>
  <c r="Z144" i="65"/>
  <c r="Z140" i="65"/>
  <c r="AB30" i="65"/>
  <c r="AB99" i="65" s="1"/>
  <c r="AB127" i="65" s="1"/>
  <c r="Z146" i="65"/>
  <c r="Z30" i="65"/>
  <c r="Z150" i="65"/>
  <c r="K12" i="66" s="1"/>
  <c r="K10" i="76" s="1"/>
  <c r="Z147" i="65"/>
  <c r="Z138" i="65"/>
  <c r="Z148" i="65"/>
  <c r="Z132" i="65" s="1"/>
  <c r="Z149" i="65"/>
  <c r="K13" i="66" s="1"/>
  <c r="K13" i="76" s="1"/>
  <c r="Z143" i="65"/>
  <c r="Z139" i="65"/>
  <c r="Z145" i="65"/>
  <c r="Z141" i="65"/>
  <c r="Z142" i="65"/>
  <c r="AA30" i="65"/>
  <c r="Z5" i="65"/>
  <c r="Z5" i="70"/>
  <c r="Y156" i="70"/>
  <c r="Y155" i="70"/>
  <c r="Y161" i="70"/>
  <c r="Y163" i="70"/>
  <c r="Y159" i="70"/>
  <c r="Y164" i="70"/>
  <c r="Y158" i="70"/>
  <c r="Y154" i="70"/>
  <c r="Y165" i="70"/>
  <c r="Y160" i="70"/>
  <c r="Y153" i="70"/>
  <c r="Y162" i="70"/>
  <c r="Y157" i="70"/>
  <c r="Z153" i="65" l="1"/>
  <c r="Z157" i="65"/>
  <c r="Z155" i="65"/>
  <c r="Z164" i="65"/>
  <c r="Z158" i="65"/>
  <c r="Z163" i="65"/>
  <c r="Z154" i="65"/>
  <c r="Z156" i="65"/>
  <c r="Z165" i="65"/>
  <c r="Z162" i="65"/>
  <c r="Z159" i="65"/>
  <c r="Z160" i="65"/>
  <c r="Z161" i="65"/>
  <c r="AA64" i="65"/>
  <c r="AA67" i="65" s="1"/>
  <c r="Z99" i="65"/>
  <c r="Z127" i="65" s="1"/>
  <c r="Z131" i="65" s="1"/>
  <c r="Z134" i="65" s="1"/>
  <c r="K7" i="66" s="1"/>
  <c r="K7" i="76" s="1"/>
  <c r="AA99" i="65"/>
  <c r="AA127" i="65" s="1"/>
  <c r="AB64" i="65"/>
  <c r="Z154" i="70"/>
  <c r="Z164" i="70"/>
  <c r="Z161" i="70"/>
  <c r="Z153" i="70"/>
  <c r="Z159" i="70"/>
  <c r="Z160" i="70"/>
  <c r="Z156" i="70"/>
  <c r="AA5" i="70"/>
  <c r="Z163" i="70"/>
  <c r="Z162" i="70"/>
  <c r="Z158" i="70"/>
  <c r="Z155" i="70"/>
  <c r="Z157" i="70"/>
  <c r="Z165" i="70"/>
  <c r="L4" i="66" l="1"/>
  <c r="L4" i="76" s="1"/>
  <c r="AA178" i="65"/>
  <c r="AA182" i="65" s="1"/>
  <c r="AA171" i="65"/>
  <c r="AA170" i="65"/>
  <c r="AA173" i="65"/>
  <c r="AA168" i="65"/>
  <c r="AA179" i="65"/>
  <c r="AA183" i="65" s="1"/>
  <c r="AA169" i="65"/>
  <c r="AA174" i="65"/>
  <c r="AA176" i="65"/>
  <c r="AA175" i="65"/>
  <c r="AA70" i="65"/>
  <c r="AA71" i="65"/>
  <c r="AA172" i="65"/>
  <c r="AA72" i="65"/>
  <c r="AA177" i="65"/>
  <c r="AA73" i="65"/>
  <c r="AA180" i="65"/>
  <c r="AA184" i="65" s="1"/>
  <c r="AA158" i="70"/>
  <c r="AA154" i="70"/>
  <c r="AA157" i="70"/>
  <c r="AA165" i="70"/>
  <c r="AA155" i="70"/>
  <c r="AA156" i="70"/>
  <c r="AA153" i="70"/>
  <c r="AA164" i="70"/>
  <c r="AA161" i="70"/>
  <c r="AA159" i="70"/>
  <c r="AB5" i="70"/>
  <c r="AA160" i="70"/>
  <c r="AA162" i="70"/>
  <c r="AA163" i="70"/>
  <c r="AA133" i="65" l="1"/>
  <c r="AA31" i="65"/>
  <c r="AA150" i="65"/>
  <c r="L12" i="66" s="1"/>
  <c r="L10" i="76" s="1"/>
  <c r="AA146" i="65"/>
  <c r="AA141" i="65"/>
  <c r="AB31" i="65"/>
  <c r="AB100" i="65" s="1"/>
  <c r="AB128" i="65" s="1"/>
  <c r="AA147" i="65"/>
  <c r="AA142" i="65"/>
  <c r="AA139" i="65"/>
  <c r="AA148" i="65"/>
  <c r="AA132" i="65" s="1"/>
  <c r="AA144" i="65"/>
  <c r="AA140" i="65"/>
  <c r="AA149" i="65"/>
  <c r="L13" i="66" s="1"/>
  <c r="L13" i="76" s="1"/>
  <c r="AA145" i="65"/>
  <c r="AA143" i="65"/>
  <c r="AA138" i="65"/>
  <c r="AA5" i="65"/>
  <c r="AB154" i="70"/>
  <c r="AB165" i="70"/>
  <c r="AB162" i="70"/>
  <c r="AB157" i="70"/>
  <c r="AB153" i="70"/>
  <c r="AB161" i="70"/>
  <c r="AB163" i="70"/>
  <c r="AB160" i="70"/>
  <c r="AB159" i="70"/>
  <c r="AB158" i="70"/>
  <c r="AB156" i="70"/>
  <c r="AB164" i="70"/>
  <c r="AB155" i="70"/>
  <c r="AA100" i="65" l="1"/>
  <c r="AA128" i="65" s="1"/>
  <c r="AA131" i="65" s="1"/>
  <c r="AA134" i="65" s="1"/>
  <c r="L7" i="66" s="1"/>
  <c r="L7" i="76" s="1"/>
  <c r="AB65" i="65"/>
  <c r="AB67" i="65" s="1"/>
  <c r="AA161" i="65"/>
  <c r="AA163" i="65"/>
  <c r="AA154" i="65"/>
  <c r="AA153" i="65"/>
  <c r="AA162" i="65"/>
  <c r="AA157" i="65"/>
  <c r="AA159" i="65"/>
  <c r="AA165" i="65"/>
  <c r="AA164" i="65"/>
  <c r="AA156" i="65"/>
  <c r="AA155" i="65"/>
  <c r="AA158" i="65"/>
  <c r="AA160" i="65"/>
  <c r="AB176" i="65" l="1"/>
  <c r="AB70" i="65"/>
  <c r="AB170" i="65"/>
  <c r="AB168" i="65"/>
  <c r="AB72" i="65"/>
  <c r="AB171" i="65"/>
  <c r="AB174" i="65"/>
  <c r="AB172" i="65"/>
  <c r="AB178" i="65"/>
  <c r="AB182" i="65" s="1"/>
  <c r="AB173" i="65"/>
  <c r="AB71" i="65"/>
  <c r="M4" i="66"/>
  <c r="AB175" i="65"/>
  <c r="AB180" i="65"/>
  <c r="AB184" i="65" s="1"/>
  <c r="AB177" i="65"/>
  <c r="AB73" i="65"/>
  <c r="AB169" i="65"/>
  <c r="AB179" i="65"/>
  <c r="AB183" i="65" s="1"/>
  <c r="AB133" i="65" l="1"/>
  <c r="M4" i="76"/>
  <c r="N4" i="76" s="1"/>
  <c r="N4" i="66"/>
  <c r="AB139" i="65"/>
  <c r="AB145" i="65"/>
  <c r="AB149" i="65"/>
  <c r="M13" i="66" s="1"/>
  <c r="AB32" i="65"/>
  <c r="AB101" i="65" s="1"/>
  <c r="AB129" i="65" s="1"/>
  <c r="AB131" i="65" s="1"/>
  <c r="AB140" i="65"/>
  <c r="AB147" i="65"/>
  <c r="AB141" i="65"/>
  <c r="AB150" i="65"/>
  <c r="M12" i="66" s="1"/>
  <c r="AB143" i="65"/>
  <c r="AB142" i="65"/>
  <c r="AB144" i="65"/>
  <c r="AB148" i="65"/>
  <c r="AB132" i="65" s="1"/>
  <c r="AB146" i="65"/>
  <c r="AB138" i="65"/>
  <c r="AB5" i="65"/>
  <c r="AB134" i="65" l="1"/>
  <c r="M7" i="66" s="1"/>
  <c r="M7" i="76" s="1"/>
  <c r="N7" i="76" s="1"/>
  <c r="N7" i="66"/>
  <c r="M10" i="76"/>
  <c r="N10" i="76" s="1"/>
  <c r="N12" i="66"/>
  <c r="AB156" i="65"/>
  <c r="AB157" i="65"/>
  <c r="AB155" i="65"/>
  <c r="AB158" i="65"/>
  <c r="AB160" i="65"/>
  <c r="AB164" i="65"/>
  <c r="AB161" i="65"/>
  <c r="AB165" i="65"/>
  <c r="AB163" i="65"/>
  <c r="AB153" i="65"/>
  <c r="AB154" i="65"/>
  <c r="AB162" i="65"/>
  <c r="AB159" i="65"/>
  <c r="M13" i="76"/>
  <c r="N13" i="76" s="1"/>
  <c r="N13"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A1" authorId="0" shapeId="0" xr:uid="{D1B7D9A3-0EC6-1F49-8ED4-CF0FA67F0610}">
      <text>
        <r>
          <rPr>
            <b/>
            <sz val="10"/>
            <color rgb="FF000000"/>
            <rFont val="Tahoma"/>
            <family val="2"/>
          </rPr>
          <t>Oliver Lysaght:</t>
        </r>
        <r>
          <rPr>
            <sz val="10"/>
            <color rgb="FF000000"/>
            <rFont val="Tahoma"/>
            <family val="2"/>
          </rPr>
          <t xml:space="preserve">
</t>
        </r>
        <r>
          <rPr>
            <sz val="10"/>
            <color rgb="FF000000"/>
            <rFont val="Tahoma"/>
            <family val="2"/>
          </rPr>
          <t>Parent-child relationships</t>
        </r>
      </text>
    </comment>
    <comment ref="J1" authorId="0" shapeId="0" xr:uid="{61EF0127-D2FF-1844-BE65-19A38778E04A}">
      <text>
        <r>
          <rPr>
            <b/>
            <sz val="10"/>
            <color rgb="FF000000"/>
            <rFont val="Tahoma"/>
            <family val="2"/>
          </rPr>
          <t>Oliver Lysaght:</t>
        </r>
        <r>
          <rPr>
            <sz val="10"/>
            <color rgb="FF000000"/>
            <rFont val="Tahoma"/>
            <family val="2"/>
          </rPr>
          <t xml:space="preserve">
</t>
        </r>
        <r>
          <rPr>
            <sz val="10"/>
            <color rgb="FF000000"/>
            <rFont val="Tahoma"/>
            <family val="2"/>
          </rPr>
          <t>https://ric.werecycle.eu/Wiki/WEEEE</t>
        </r>
      </text>
    </comment>
    <comment ref="V3" authorId="0" shapeId="0" xr:uid="{DD83F77B-3724-4F49-8A18-B42B382C1479}">
      <text>
        <r>
          <rPr>
            <b/>
            <sz val="10"/>
            <color rgb="FF000000"/>
            <rFont val="Tahoma"/>
            <family val="2"/>
          </rPr>
          <t>Oliver Lysaght:</t>
        </r>
        <r>
          <rPr>
            <sz val="10"/>
            <color rgb="FF000000"/>
            <rFont val="Tahoma"/>
            <family val="2"/>
          </rPr>
          <t xml:space="preserve">
</t>
        </r>
        <r>
          <rPr>
            <sz val="10"/>
            <color rgb="FF000000"/>
            <rFont val="Tahoma"/>
            <family val="2"/>
          </rPr>
          <t xml:space="preserve"> (Industry feedback, more like 8-12 years with maintenance including replacement of small pistons every 3-4 years)</t>
        </r>
      </text>
    </comment>
    <comment ref="S28" authorId="0" shapeId="0" xr:uid="{270A6446-997E-944D-B01C-E85277013125}">
      <text>
        <r>
          <rPr>
            <b/>
            <sz val="10"/>
            <color rgb="FF000000"/>
            <rFont val="Tahoma"/>
            <family val="2"/>
          </rPr>
          <t>Oliver Lysaght:</t>
        </r>
        <r>
          <rPr>
            <sz val="10"/>
            <color rgb="FF000000"/>
            <rFont val="Tahoma"/>
            <family val="2"/>
          </rPr>
          <t xml:space="preserve">
</t>
        </r>
        <r>
          <rPr>
            <sz val="10"/>
            <color rgb="FF000000"/>
            <rFont val="Tahoma"/>
            <family val="2"/>
          </rPr>
          <t>Luminaires: 5, 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A1" authorId="0" shapeId="0" xr:uid="{52765FEF-C26B-4644-9E69-4574D00A2525}">
      <text>
        <r>
          <rPr>
            <b/>
            <sz val="10"/>
            <color rgb="FF000000"/>
            <rFont val="Tahoma"/>
            <family val="2"/>
          </rPr>
          <t>Oliver Lysaght:</t>
        </r>
        <r>
          <rPr>
            <sz val="10"/>
            <color rgb="FF000000"/>
            <rFont val="Tahoma"/>
            <family val="2"/>
          </rPr>
          <t xml:space="preserve">
</t>
        </r>
        <r>
          <rPr>
            <sz val="10"/>
            <color rgb="FF000000"/>
            <rFont val="Tahoma"/>
            <family val="2"/>
          </rPr>
          <t>Parent-child relationships</t>
        </r>
      </text>
    </comment>
    <comment ref="C1" authorId="0" shapeId="0" xr:uid="{43252E14-BDB6-0A47-8F9D-DE111EF19EF0}">
      <text>
        <r>
          <rPr>
            <b/>
            <sz val="10"/>
            <color rgb="FF000000"/>
            <rFont val="Tahoma"/>
            <family val="2"/>
          </rPr>
          <t>Oliver Lysaght:</t>
        </r>
        <r>
          <rPr>
            <sz val="10"/>
            <color rgb="FF000000"/>
            <rFont val="Tahoma"/>
            <family val="2"/>
          </rPr>
          <t xml:space="preserve">
</t>
        </r>
        <r>
          <rPr>
            <sz val="10"/>
            <color rgb="FF000000"/>
            <rFont val="Tahoma"/>
            <family val="2"/>
          </rPr>
          <t xml:space="preserve">Base on CPC2.1
</t>
        </r>
      </text>
    </comment>
    <comment ref="H1" authorId="0" shapeId="0" xr:uid="{C3673901-9068-E64A-B8EC-C2E0568D28F1}">
      <text>
        <r>
          <rPr>
            <b/>
            <sz val="10"/>
            <color rgb="FF000000"/>
            <rFont val="Tahoma"/>
            <family val="2"/>
          </rPr>
          <t>Oliver Lysaght:</t>
        </r>
        <r>
          <rPr>
            <sz val="10"/>
            <color rgb="FF000000"/>
            <rFont val="Tahoma"/>
            <family val="2"/>
          </rPr>
          <t xml:space="preserve">
</t>
        </r>
        <r>
          <rPr>
            <sz val="10"/>
            <color rgb="FF000000"/>
            <rFont val="Tahoma"/>
            <family val="2"/>
          </rPr>
          <t>First two digits = division, third digit = group. Fourth digit = class</t>
        </r>
      </text>
    </comment>
    <comment ref="L1" authorId="0" shapeId="0" xr:uid="{275C4E14-D769-BF42-A7D5-BFB06984F73A}">
      <text>
        <r>
          <rPr>
            <b/>
            <sz val="10"/>
            <color rgb="FF000000"/>
            <rFont val="Tahoma"/>
            <family val="2"/>
          </rPr>
          <t>Oliver Lysaght:</t>
        </r>
        <r>
          <rPr>
            <sz val="10"/>
            <color rgb="FF000000"/>
            <rFont val="Tahoma"/>
            <family val="2"/>
          </rPr>
          <t xml:space="preserve">
</t>
        </r>
        <r>
          <rPr>
            <sz val="10"/>
            <color rgb="FF000000"/>
            <rFont val="Tahoma"/>
            <family val="2"/>
          </rPr>
          <t>https://www.trade-tariff.service.gov.uk/find_commodity</t>
        </r>
      </text>
    </comment>
    <comment ref="M1" authorId="0" shapeId="0" xr:uid="{9DBFFB39-CB7B-8643-B42B-8E212BFBD16A}">
      <text>
        <r>
          <rPr>
            <b/>
            <sz val="10"/>
            <color rgb="FF000000"/>
            <rFont val="Tahoma"/>
            <family val="2"/>
          </rPr>
          <t>Oliver Lysaght:</t>
        </r>
        <r>
          <rPr>
            <sz val="10"/>
            <color rgb="FF000000"/>
            <rFont val="Tahoma"/>
            <family val="2"/>
          </rPr>
          <t xml:space="preserve">
</t>
        </r>
        <r>
          <rPr>
            <sz val="10"/>
            <color rgb="FF000000"/>
            <rFont val="Tahoma"/>
            <family val="2"/>
          </rPr>
          <t>https://www.trade-tariff.service.gov.uk/find_commodity</t>
        </r>
      </text>
    </comment>
    <comment ref="P1" authorId="0" shapeId="0" xr:uid="{3C1C6ABC-C828-6848-AE6E-4870F21E4F5E}">
      <text>
        <r>
          <rPr>
            <b/>
            <sz val="10"/>
            <color rgb="FF000000"/>
            <rFont val="Tahoma"/>
            <family val="2"/>
          </rPr>
          <t>Oliver Lysaght:</t>
        </r>
        <r>
          <rPr>
            <sz val="10"/>
            <color rgb="FF000000"/>
            <rFont val="Tahoma"/>
            <family val="2"/>
          </rPr>
          <t xml:space="preserve">
</t>
        </r>
        <r>
          <rPr>
            <sz val="10"/>
            <color rgb="FF000000"/>
            <rFont val="Tahoma"/>
            <family val="2"/>
          </rPr>
          <t>https://ric.werecycle.eu/Wiki/WEEEE</t>
        </r>
      </text>
    </comment>
    <comment ref="Y37" authorId="0" shapeId="0" xr:uid="{FF76A68F-7B13-B041-911D-12DCD7431657}">
      <text>
        <r>
          <rPr>
            <b/>
            <sz val="10"/>
            <color rgb="FF000000"/>
            <rFont val="Tahoma"/>
            <family val="2"/>
          </rPr>
          <t>Oliver Lysaght:</t>
        </r>
        <r>
          <rPr>
            <sz val="10"/>
            <color rgb="FF000000"/>
            <rFont val="Tahoma"/>
            <family val="2"/>
          </rPr>
          <t xml:space="preserve">
</t>
        </r>
        <r>
          <rPr>
            <sz val="10"/>
            <color rgb="FF000000"/>
            <rFont val="Tahoma"/>
            <family val="2"/>
          </rPr>
          <t>Luminaires: 5, 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R4" authorId="0" shapeId="0" xr:uid="{45BDF687-C3D8-5D4F-99B4-B6D34082E8C5}">
      <text>
        <r>
          <rPr>
            <b/>
            <sz val="10"/>
            <color rgb="FF000000"/>
            <rFont val="Tahoma"/>
            <family val="2"/>
          </rPr>
          <t>Oliver Lysaght:</t>
        </r>
        <r>
          <rPr>
            <sz val="10"/>
            <color rgb="FF000000"/>
            <rFont val="Tahoma"/>
            <family val="2"/>
          </rPr>
          <t xml:space="preserve">
</t>
        </r>
        <r>
          <rPr>
            <sz val="10"/>
            <color rgb="FF000000"/>
            <rFont val="Tahoma"/>
            <family val="2"/>
          </rPr>
          <t xml:space="preserve">Calculated in R using the mixdist package
</t>
        </r>
        <r>
          <rPr>
            <sz val="10"/>
            <color rgb="FF000000"/>
            <rFont val="Tahoma"/>
            <family val="2"/>
          </rPr>
          <t xml:space="preserve">
</t>
        </r>
        <r>
          <rPr>
            <sz val="10"/>
            <color rgb="FF000000"/>
            <rFont val="Tahoma"/>
            <family val="2"/>
          </rPr>
          <t>weibullparinv(1.56, 6.26, loc = 0)</t>
        </r>
      </text>
    </comment>
    <comment ref="E49" authorId="0" shapeId="0" xr:uid="{3687C4E2-09AE-9341-B419-16C0F1491111}">
      <text>
        <r>
          <rPr>
            <b/>
            <sz val="10"/>
            <color rgb="FF000000"/>
            <rFont val="Tahoma"/>
            <family val="2"/>
          </rPr>
          <t>Oliver Lysaght:</t>
        </r>
        <r>
          <rPr>
            <sz val="10"/>
            <color rgb="FF000000"/>
            <rFont val="Tahoma"/>
            <family val="2"/>
          </rPr>
          <t xml:space="preserve">
</t>
        </r>
        <r>
          <rPr>
            <sz val="10"/>
            <color rgb="FF000000"/>
            <rFont val="Tahoma"/>
            <family val="2"/>
          </rPr>
          <t>Luminaires: 5, 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E2" authorId="0" shapeId="0" xr:uid="{723B7ECE-1D92-3547-B337-391077638F0A}">
      <text>
        <r>
          <rPr>
            <b/>
            <sz val="10"/>
            <color rgb="FF000000"/>
            <rFont val="Tahoma"/>
            <family val="2"/>
          </rPr>
          <t>Oliver Lysaght:</t>
        </r>
        <r>
          <rPr>
            <sz val="10"/>
            <color rgb="FF000000"/>
            <rFont val="Tahoma"/>
            <family val="2"/>
          </rPr>
          <t xml:space="preserve">
</t>
        </r>
        <r>
          <rPr>
            <sz val="10"/>
            <color rgb="FF000000"/>
            <rFont val="Tahoma"/>
            <family val="2"/>
          </rPr>
          <t>Assumes straight line reduction in energy demand between a current assumed consumption and a historic level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5" authorId="0" shapeId="0" xr:uid="{3CFB6A4E-4B05-B945-8B7F-1EB9596F4EEB}">
      <text>
        <r>
          <rPr>
            <b/>
            <sz val="8"/>
            <rFont val="Tahoma"/>
            <family val="2"/>
          </rPr>
          <t>The materials are made from virgin stock.</t>
        </r>
      </text>
    </comment>
    <comment ref="E5" authorId="0" shapeId="0" xr:uid="{2DF82438-F3F5-7C48-8353-0716604CED81}">
      <text>
        <r>
          <rPr>
            <b/>
            <sz val="8"/>
            <color rgb="FF000000"/>
            <rFont val="Tahoma"/>
            <family val="2"/>
          </rPr>
          <t>The materials are re-used instead of disposed of by recycling or landfill.</t>
        </r>
      </text>
    </comment>
    <comment ref="F5" authorId="0" shapeId="0" xr:uid="{9DD5774B-E726-8347-8E97-9AFE31ABBEDC}">
      <text>
        <r>
          <rPr>
            <b/>
            <sz val="8"/>
            <color rgb="FF000000"/>
            <rFont val="Tahoma"/>
            <family val="2"/>
          </rPr>
          <t>The materials are made from recycled content where the previous product was different to the current product.</t>
        </r>
      </text>
    </comment>
    <comment ref="G5" authorId="0" shapeId="0" xr:uid="{03CBFCDE-ADC4-4544-9E03-CEC89540876D}">
      <text>
        <r>
          <rPr>
            <b/>
            <sz val="8"/>
            <rFont val="Tahoma"/>
            <family val="2"/>
          </rPr>
          <t>The materials  are made from recycled content where the previous product was the same as the new product.</t>
        </r>
      </text>
    </comment>
    <comment ref="B8" authorId="0" shapeId="0" xr:uid="{533E2B36-7AB5-E94E-9141-C48B6B15185C}">
      <text>
        <r>
          <rPr>
            <b/>
            <sz val="8"/>
            <color rgb="FF000000"/>
            <rFont val="Tahoma"/>
            <family val="2"/>
          </rPr>
          <t>Stationary machines for routine housekeeping tasks e.g. cookers / fridges</t>
        </r>
      </text>
    </comment>
    <comment ref="B12" authorId="0" shapeId="0" xr:uid="{FE53B7E0-A7A9-CF42-9449-82BB5087C27D}">
      <text>
        <r>
          <rPr>
            <b/>
            <sz val="8"/>
            <color rgb="FF000000"/>
            <rFont val="Tahoma"/>
            <family val="2"/>
          </rPr>
          <t>Small power equipment</t>
        </r>
      </text>
    </comment>
    <comment ref="B13" authorId="0" shapeId="0" xr:uid="{859524A0-BB86-5C41-B6A2-72E2AECE7ABE}">
      <text>
        <r>
          <rPr>
            <b/>
            <sz val="8"/>
            <rFont val="Tahoma"/>
            <family val="2"/>
          </rPr>
          <t>Excludes car batteries</t>
        </r>
      </text>
    </comment>
    <comment ref="A18" authorId="0" shapeId="0" xr:uid="{2E52F771-F2BD-E348-9317-21D6BBAB318D}">
      <text>
        <r>
          <rPr>
            <b/>
            <sz val="8"/>
            <color rgb="FF000000"/>
            <rFont val="Tahoma"/>
            <family val="2"/>
          </rPr>
          <t>Emissions associated with the generation of electricity at a power station.  Electricity generation factors do not include transmission and distribution.</t>
        </r>
      </text>
    </comment>
    <comment ref="A19" authorId="0" shapeId="0" xr:uid="{1D69A484-D1EE-3C40-B9B6-055D34B8B260}">
      <text>
        <r>
          <rPr>
            <b/>
            <sz val="8"/>
            <color rgb="FF000000"/>
            <rFont val="Tahoma"/>
            <family val="2"/>
          </rPr>
          <t>Emissions impact of the efficiency losses experienced in getting electricity from the power plant to the end user.</t>
        </r>
      </text>
    </comment>
    <comment ref="D25" authorId="0" shapeId="0" xr:uid="{B7C6952D-B23C-AB4C-9C60-979DDF8E3521}">
      <text>
        <r>
          <rPr>
            <b/>
            <sz val="8"/>
            <rFont val="Tahoma"/>
            <family val="2"/>
          </rPr>
          <t>Materials that are re-used instead of disposed of by recycling or landfill.</t>
        </r>
      </text>
    </comment>
    <comment ref="E25" authorId="0" shapeId="0" xr:uid="{51C38BBB-6904-A544-B0A9-439033F0901E}">
      <text>
        <r>
          <rPr>
            <b/>
            <sz val="8"/>
            <color rgb="FF000000"/>
            <rFont val="Tahoma"/>
            <family val="2"/>
          </rPr>
          <t>Open-loop recycling is the process of recycling material into other products.</t>
        </r>
      </text>
    </comment>
    <comment ref="F25" authorId="0" shapeId="0" xr:uid="{6BE42A86-B594-3D4D-AC44-5931F51B6B04}">
      <text>
        <r>
          <rPr>
            <b/>
            <sz val="8"/>
            <color rgb="FF000000"/>
            <rFont val="Tahoma"/>
            <family val="2"/>
          </rPr>
          <t>Closed-loop recycling is the process of recycling material back into the same product.</t>
        </r>
      </text>
    </comment>
    <comment ref="G25" authorId="0" shapeId="0" xr:uid="{489F06A6-FE5C-A74B-83F4-AA9CD989F158}">
      <text>
        <r>
          <rPr>
            <b/>
            <sz val="8"/>
            <rFont val="Tahoma"/>
            <family val="2"/>
          </rPr>
          <t>Energy is recovered from the waste through incineration and subsequent generation of electricity.</t>
        </r>
      </text>
    </comment>
    <comment ref="H25" authorId="0" shapeId="0" xr:uid="{25311CF1-0A6F-4E46-B5F5-20AEDA9F5928}">
      <text>
        <r>
          <rPr>
            <b/>
            <sz val="8"/>
            <color rgb="FF000000"/>
            <rFont val="Tahoma"/>
            <family val="2"/>
          </rPr>
          <t>CO₂e emitted as a result of composting a waste stream.</t>
        </r>
      </text>
    </comment>
    <comment ref="J25" authorId="0" shapeId="0" xr:uid="{D78ACA64-0360-6341-8F6A-B055A091707D}">
      <text>
        <r>
          <rPr>
            <b/>
            <sz val="8"/>
            <rFont val="Tahoma"/>
            <family val="2"/>
          </rPr>
          <t>Energy is recovered from the waste through anaerobic digestion.</t>
        </r>
      </text>
    </comment>
    <comment ref="B28" authorId="0" shapeId="0" xr:uid="{C3EF7EBC-7F8C-664C-B413-EB5DA3B49C63}">
      <text>
        <r>
          <rPr>
            <b/>
            <sz val="8"/>
            <color rgb="FF000000"/>
            <rFont val="Tahoma"/>
            <family val="2"/>
          </rPr>
          <t>Stationary machines for routine housekeeping tasks e.g. cookers / fridges</t>
        </r>
      </text>
    </comment>
    <comment ref="B30" authorId="0" shapeId="0" xr:uid="{B8B94C5F-D5B5-1843-84A1-CAC01D0615BC}">
      <text>
        <r>
          <rPr>
            <b/>
            <sz val="8"/>
            <color rgb="FF000000"/>
            <rFont val="Tahoma"/>
            <family val="2"/>
          </rPr>
          <t>Small power equipment</t>
        </r>
      </text>
    </comment>
    <comment ref="B31" authorId="0" shapeId="0" xr:uid="{05F933C3-4724-EC45-A358-F2CDA6F70D9A}">
      <text>
        <r>
          <rPr>
            <b/>
            <sz val="8"/>
            <rFont val="Tahoma"/>
            <family val="2"/>
          </rPr>
          <t>Excludes car batteries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M3" authorId="0" shapeId="0" xr:uid="{5E4D3825-A3FF-B744-BE8D-2A297957F75E}">
      <text>
        <r>
          <rPr>
            <b/>
            <sz val="10"/>
            <color rgb="FF000000"/>
            <rFont val="Tahoma"/>
            <family val="2"/>
          </rPr>
          <t>Oliver Lysaght:</t>
        </r>
        <r>
          <rPr>
            <sz val="10"/>
            <color rgb="FF000000"/>
            <rFont val="Tahoma"/>
            <family val="2"/>
          </rPr>
          <t xml:space="preserve">
</t>
        </r>
        <r>
          <rPr>
            <sz val="10"/>
            <color rgb="FF000000"/>
            <rFont val="Tahoma"/>
            <family val="2"/>
          </rPr>
          <t xml:space="preserve">Calculated in R using the mixdist package
</t>
        </r>
        <r>
          <rPr>
            <sz val="10"/>
            <color rgb="FF000000"/>
            <rFont val="Tahoma"/>
            <family val="2"/>
          </rPr>
          <t xml:space="preserve">
</t>
        </r>
        <r>
          <rPr>
            <sz val="10"/>
            <color rgb="FF000000"/>
            <rFont val="Tahoma"/>
            <family val="2"/>
          </rPr>
          <t>weibullparinv(1.56, 6.26, loc = 0)</t>
        </r>
      </text>
    </comment>
    <comment ref="A21" authorId="0" shapeId="0" xr:uid="{817AF707-F867-F34B-BC5A-D130D45CA0D7}">
      <text>
        <r>
          <rPr>
            <b/>
            <sz val="10"/>
            <color rgb="FF000000"/>
            <rFont val="Tahoma"/>
            <family val="2"/>
          </rPr>
          <t>Oliver Lysaght:</t>
        </r>
        <r>
          <rPr>
            <sz val="10"/>
            <color rgb="FF000000"/>
            <rFont val="Tahoma"/>
            <family val="2"/>
          </rPr>
          <t xml:space="preserve">
</t>
        </r>
        <r>
          <rPr>
            <sz val="10"/>
            <color rgb="FF000000"/>
            <rFont val="Calibri"/>
            <family val="2"/>
          </rPr>
          <t>hazard function (h(y) is the risk or probability that an event occurs in a period of time</t>
        </r>
        <r>
          <rPr>
            <sz val="10"/>
            <color rgb="FF000000"/>
            <rFont val="Tahoma"/>
            <family val="2"/>
          </rPr>
          <t xml:space="preserve">. </t>
        </r>
        <r>
          <rPr>
            <sz val="10"/>
            <color rgb="FF000000"/>
            <rFont val="Calibri"/>
            <family val="2"/>
          </rPr>
          <t xml:space="preserve">Weibull distribution ('a continuous probability distribution that, when used for stock and flow models, can be described as modelling the population given a variable and time-dependent failure rate.') for electronic products (ProSUM, 2017). The two-component Weibull distribution function is defined by a time-varying shape parameter α (t) and a scale parameter β(t) (van Schaik and Reuter, 2004; Polak and Drapalova, 2012).
</t>
        </r>
      </text>
    </comment>
    <comment ref="A31" authorId="0" shapeId="0" xr:uid="{67C0CA95-D82F-5A45-BB29-301E61C00E84}">
      <text>
        <r>
          <rPr>
            <b/>
            <sz val="10"/>
            <color rgb="FF000000"/>
            <rFont val="Tahoma"/>
            <family val="2"/>
          </rPr>
          <t>Oliver Lysaght:</t>
        </r>
        <r>
          <rPr>
            <sz val="10"/>
            <color rgb="FF000000"/>
            <rFont val="Tahoma"/>
            <family val="2"/>
          </rPr>
          <t xml:space="preserve">
</t>
        </r>
        <r>
          <rPr>
            <sz val="10"/>
            <color rgb="FF000000"/>
            <rFont val="Calibri"/>
            <family val="2"/>
          </rPr>
          <t>hazard function (h(y) is the risk or probability that an event occurs in a period of time</t>
        </r>
        <r>
          <rPr>
            <sz val="10"/>
            <color rgb="FF000000"/>
            <rFont val="Tahoma"/>
            <family val="2"/>
          </rPr>
          <t xml:space="preserve">. </t>
        </r>
        <r>
          <rPr>
            <sz val="10"/>
            <color rgb="FF000000"/>
            <rFont val="Calibri"/>
            <family val="2"/>
          </rPr>
          <t xml:space="preserve">Weibull distribution ('a continuous probability distribution that, when used for stock and flow models, can be described as modelling the population given a variable and time-dependent failure rate.') for electronic products (ProSUM, 2017). The two-component Weibull distribution function is defined by a time-varying shape parameter α (t) and a scale parameter β(t) (van Schaik and Reuter, 2004; Polak and Drapalova, 2012).
</t>
        </r>
      </text>
    </comment>
    <comment ref="A38" authorId="0" shapeId="0" xr:uid="{9C5B0B03-D7D1-944F-B671-CB1361F852C2}">
      <text>
        <r>
          <rPr>
            <b/>
            <sz val="10"/>
            <color rgb="FF000000"/>
            <rFont val="Tahoma"/>
            <family val="2"/>
          </rPr>
          <t>Oliver Lysaght:</t>
        </r>
        <r>
          <rPr>
            <sz val="10"/>
            <color rgb="FF000000"/>
            <rFont val="Tahoma"/>
            <family val="2"/>
          </rPr>
          <t xml:space="preserve">
</t>
        </r>
        <r>
          <rPr>
            <sz val="10"/>
            <color rgb="FF000000"/>
            <rFont val="Calibri"/>
            <family val="2"/>
          </rPr>
          <t>hazard function (h(y) is the risk or probability that an event occurs in a period of time</t>
        </r>
        <r>
          <rPr>
            <sz val="10"/>
            <color rgb="FF000000"/>
            <rFont val="Tahoma"/>
            <family val="2"/>
          </rPr>
          <t xml:space="preserve">. </t>
        </r>
        <r>
          <rPr>
            <sz val="10"/>
            <color rgb="FF000000"/>
            <rFont val="Calibri"/>
            <family val="2"/>
          </rPr>
          <t xml:space="preserve">Weibull distribution ('a continuous probability distribution that, when used for stock and flow models, can be described as modelling the population given a variable and time-dependent failure rate.') for electronic products (ProSUM, 2017). The two-component Weibull distribution function is defined by a time-varying shape parameter α (t) and a scale parameter β(t) (van Schaik and Reuter, 2004; Polak and Drapalova, 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47" authorId="0" shapeId="0" xr:uid="{C616298C-F7B0-0849-83A9-1FA174CD94FA}">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815DA250-38B4-9A47-94C4-E28A8767CDD9}">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F89C001E-5890-8040-B6EA-E853D0CF345D}">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CDC1B0E2-F1F4-F74B-AA19-F24CA8519D59}">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3281AB67-2390-084E-BF4D-1960D6BE771B}">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CEAB3D61-7842-394D-AA45-9443CD83E091}">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525524E6-F958-374C-9D2B-24B7113C174C}">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B37D77CB-E052-2D48-A839-275EB28E358A}">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963A926D-EB3C-724E-91F3-D66BEB2C4E77}">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9338472C-DFF6-7A47-95B0-8286C1C1BB55}">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EFF4DA98-F9C7-A04A-85EC-3A374D0BD30D}">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975AED93-9B0D-1E45-9140-DD7775281050}">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D5AC4183-6C09-0445-8FAB-90A5FF4E9CEB}">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0690AC0D-8C59-7B4F-8053-584196EFB1D3}">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1E1028B3-8B90-C94A-BD36-8F9298B50037}">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A52B11CB-461F-6C4A-957C-8BDF881E181E}">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51BA01D8-67BF-FD4C-88D6-7E1AD22CF304}">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00D8B369-3D45-0C40-A70F-4DAD60DAFCD8}">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ADFAC834-0F35-DF49-8CF9-89AA0FD4B554}">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64A92D36-3D63-2446-AF69-B2DDD35D0FFD}">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2E5F7AE1-3CA7-1545-9257-3A49697723E9}">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0FDA15C5-9A1C-8245-9B8C-BA612D16677F}">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7D3AB83F-CBE9-D84F-8732-6236CB1406B1}">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EF10DDE3-9BD7-E14F-ADD6-FD4ADDE5B686}">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DF136607-C8D2-CA42-9BDA-B4FFEFF2F7F3}">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Oliver Lysaght</author>
  </authors>
  <commentList>
    <comment ref="B38" authorId="0" shapeId="0" xr:uid="{66AD9DB7-2251-7D46-896F-20DEE0B1466D}">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 ref="A75" authorId="0" shapeId="0" xr:uid="{9A968A36-52B7-4C40-AD47-01633F56D571}">
      <text>
        <r>
          <rPr>
            <b/>
            <sz val="10"/>
            <color rgb="FF000000"/>
            <rFont val="Tahoma"/>
            <family val="2"/>
          </rPr>
          <t>Oliver Lysaght:</t>
        </r>
        <r>
          <rPr>
            <sz val="10"/>
            <color rgb="FF000000"/>
            <rFont val="Tahoma"/>
            <family val="2"/>
          </rPr>
          <t xml:space="preserve">
</t>
        </r>
        <r>
          <rPr>
            <sz val="10"/>
            <color rgb="FF000000"/>
            <rFont val="Tahoma"/>
            <family val="2"/>
          </rPr>
          <t>Assumption for laptop consumption energy usage is too high for smartphones. Approx around 0.005 kw/h, with 3 hour charging = 0.015 kw/h/day</t>
        </r>
      </text>
    </comment>
    <comment ref="B189" authorId="0" shapeId="0" xr:uid="{2328DBB6-0A73-3C4B-A101-1E5D996DA683}">
      <text>
        <r>
          <rPr>
            <b/>
            <sz val="10"/>
            <color rgb="FF000000"/>
            <rFont val="Tahoma"/>
            <family val="2"/>
          </rPr>
          <t>Oliver Lysaght:</t>
        </r>
        <r>
          <rPr>
            <sz val="10"/>
            <color rgb="FF000000"/>
            <rFont val="Tahoma"/>
            <family val="2"/>
          </rPr>
          <t xml:space="preserve">
</t>
        </r>
        <r>
          <rPr>
            <sz val="10"/>
            <color rgb="FF000000"/>
            <rFont val="Tahoma"/>
            <family val="2"/>
          </rPr>
          <t>How best to solve for this?</t>
        </r>
      </text>
    </comment>
  </commentList>
</comments>
</file>

<file path=xl/sharedStrings.xml><?xml version="1.0" encoding="utf-8"?>
<sst xmlns="http://schemas.openxmlformats.org/spreadsheetml/2006/main" count="66889" uniqueCount="9301">
  <si>
    <t>Extension_potential_route</t>
  </si>
  <si>
    <t>Extension_potential_lower_yr</t>
  </si>
  <si>
    <t>Extension_potential_upper_yr</t>
  </si>
  <si>
    <t>Mass_lower_kg</t>
  </si>
  <si>
    <t>Mass_upper_kg</t>
  </si>
  <si>
    <t>Source</t>
  </si>
  <si>
    <t>Source URL</t>
  </si>
  <si>
    <t>Year of estimate</t>
  </si>
  <si>
    <t>Electronics</t>
  </si>
  <si>
    <t>Low pressure air compressor</t>
  </si>
  <si>
    <t>ICF (2021)</t>
  </si>
  <si>
    <t>https://etl.beis.gov.uk/shared-files/3316/3713/8281/UK_ErP_Policy_Study_final_v4-stc_2_11_21.pdf</t>
  </si>
  <si>
    <t>Oil free air compressor</t>
  </si>
  <si>
    <t>Standard air compressor</t>
  </si>
  <si>
    <t>Refrigeration compressors</t>
  </si>
  <si>
    <t>TV</t>
  </si>
  <si>
    <t>Electronic display</t>
  </si>
  <si>
    <t>Induction hob</t>
  </si>
  <si>
    <t>Solid plate/cast iron hob</t>
  </si>
  <si>
    <t>Gas hob</t>
  </si>
  <si>
    <t>Rechargeable batteries</t>
  </si>
  <si>
    <t>NiMH</t>
  </si>
  <si>
    <t>Li-ion, laptops</t>
  </si>
  <si>
    <t>Li-ion, portable audio, power tools</t>
  </si>
  <si>
    <t>External power supplies</t>
  </si>
  <si>
    <t>small</t>
  </si>
  <si>
    <t>large</t>
  </si>
  <si>
    <t>Building automation and control systems</t>
  </si>
  <si>
    <t>domestic</t>
  </si>
  <si>
    <t>non-domestic</t>
  </si>
  <si>
    <t>Electric/gas patio heater</t>
  </si>
  <si>
    <t>Space heater</t>
  </si>
  <si>
    <t>gas boiler</t>
  </si>
  <si>
    <t>heat pump</t>
  </si>
  <si>
    <t>Electric instantaneous water heater</t>
  </si>
  <si>
    <t>Split system air conditioner</t>
  </si>
  <si>
    <t>Heat emitter</t>
  </si>
  <si>
    <t>ICT Server</t>
  </si>
  <si>
    <t>Smart phones</t>
  </si>
  <si>
    <t>Computer</t>
  </si>
  <si>
    <t>Laptop</t>
  </si>
  <si>
    <t>LED Lamps &amp; luminaires</t>
  </si>
  <si>
    <t>Inkjet &amp; toner cartridges</t>
  </si>
  <si>
    <t>Taps &amp; showerheads</t>
  </si>
  <si>
    <t>Water pump</t>
  </si>
  <si>
    <t>Commercial refrigerating appliances</t>
  </si>
  <si>
    <t>refridgerated display cabinets (RDC)</t>
  </si>
  <si>
    <t>Beverage coolers</t>
  </si>
  <si>
    <t>Ice cream freezers</t>
  </si>
  <si>
    <t>RDC covers</t>
  </si>
  <si>
    <t>Refridgerated containers</t>
  </si>
  <si>
    <t>Vacuum cleaner</t>
  </si>
  <si>
    <t>Professional dishwasher</t>
  </si>
  <si>
    <t>undercounter</t>
  </si>
  <si>
    <t>hood/door type</t>
  </si>
  <si>
    <t>Aircon/dehumidifier</t>
  </si>
  <si>
    <t>Open_repair</t>
  </si>
  <si>
    <t>https://github.com/openrepair/data</t>
  </si>
  <si>
    <t>2012-2021</t>
  </si>
  <si>
    <t>Battery/charger/adapter</t>
  </si>
  <si>
    <t>Coffee maker</t>
  </si>
  <si>
    <t>Decorative or safety lights</t>
  </si>
  <si>
    <t>Desktop computer</t>
  </si>
  <si>
    <t>Digital compact camera</t>
  </si>
  <si>
    <t>DSLR/video camera</t>
  </si>
  <si>
    <t>Fan</t>
  </si>
  <si>
    <t>Flat screen</t>
  </si>
  <si>
    <t>Food processor</t>
  </si>
  <si>
    <t>Games console</t>
  </si>
  <si>
    <t>Hair &amp; beauty item</t>
  </si>
  <si>
    <t>Hair dryer</t>
  </si>
  <si>
    <t>Handheld entertainment device</t>
  </si>
  <si>
    <t>Headphones</t>
  </si>
  <si>
    <t>Hi-Fi integrated</t>
  </si>
  <si>
    <t>Hi-Fi separates</t>
  </si>
  <si>
    <t>Iron</t>
  </si>
  <si>
    <t>Kettle</t>
  </si>
  <si>
    <t>Lamp</t>
  </si>
  <si>
    <t>Large home electrical</t>
  </si>
  <si>
    <t>Misc</t>
  </si>
  <si>
    <t>Mobile</t>
  </si>
  <si>
    <t>Musical instrument</t>
  </si>
  <si>
    <t>Paper shredder</t>
  </si>
  <si>
    <t>PC accessory</t>
  </si>
  <si>
    <t>Portable radio</t>
  </si>
  <si>
    <t>Power tool</t>
  </si>
  <si>
    <t>Printer/scanner</t>
  </si>
  <si>
    <t>Projector</t>
  </si>
  <si>
    <t>Sewing machine</t>
  </si>
  <si>
    <t>Small home electrical</t>
  </si>
  <si>
    <t>Small kitchen item</t>
  </si>
  <si>
    <t>Tablet</t>
  </si>
  <si>
    <t>Toaster</t>
  </si>
  <si>
    <t>Toy</t>
  </si>
  <si>
    <t>TV and gaming-related accessories</t>
  </si>
  <si>
    <t>Vacuum</t>
  </si>
  <si>
    <t>Watch/clock</t>
  </si>
  <si>
    <t>Vehicles</t>
  </si>
  <si>
    <t>Inland marine vessels and yachts</t>
  </si>
  <si>
    <t>Oakdene Hollins (2022)</t>
  </si>
  <si>
    <t>Textiles</t>
  </si>
  <si>
    <t>Blouse</t>
  </si>
  <si>
    <t>Wrap</t>
  </si>
  <si>
    <t>Bra/Corset</t>
  </si>
  <si>
    <t>Coat</t>
  </si>
  <si>
    <t>Dress</t>
  </si>
  <si>
    <t>Fleece/body warmer</t>
  </si>
  <si>
    <t>Jacket/blazer</t>
  </si>
  <si>
    <t>Jeans</t>
  </si>
  <si>
    <t>Leggings</t>
  </si>
  <si>
    <t>Knickers/underpants</t>
  </si>
  <si>
    <t>Nightwear</t>
  </si>
  <si>
    <t>Outdoor wear</t>
  </si>
  <si>
    <t>Peticoat/camisole/slip</t>
  </si>
  <si>
    <t>Shirt</t>
  </si>
  <si>
    <t>Shorts/cropped trousers</t>
  </si>
  <si>
    <t>Skirt</t>
  </si>
  <si>
    <t>Socks/tights/stockings</t>
  </si>
  <si>
    <t>Sportswear</t>
  </si>
  <si>
    <t>Sweatshirt/hoodie</t>
  </si>
  <si>
    <t>Swimwear</t>
  </si>
  <si>
    <t>Tie</t>
  </si>
  <si>
    <t>Top</t>
  </si>
  <si>
    <t>Trousers/suit trousers</t>
  </si>
  <si>
    <t>T-shirt/polo shirt/vest</t>
  </si>
  <si>
    <t>Suits</t>
  </si>
  <si>
    <t>Laitala and Klepp 2020</t>
  </si>
  <si>
    <t>https://www.mdpi.com/2071-1050/12/21/9151</t>
  </si>
  <si>
    <t>Varies</t>
  </si>
  <si>
    <t>Dresses</t>
  </si>
  <si>
    <t>Laitala and Klepp 2021</t>
  </si>
  <si>
    <t>Coats</t>
  </si>
  <si>
    <t>Laitala and Klepp 2022</t>
  </si>
  <si>
    <t>Skirts</t>
  </si>
  <si>
    <t>Laitala and Klepp 2023</t>
  </si>
  <si>
    <t>Laitala and Klepp 2024</t>
  </si>
  <si>
    <t>Laitala and Klepp 2025</t>
  </si>
  <si>
    <t>Blouse/shirts</t>
  </si>
  <si>
    <t>Laitala and Klepp 2026</t>
  </si>
  <si>
    <t>Trousers/pants</t>
  </si>
  <si>
    <t>Laitala and Klepp 2027</t>
  </si>
  <si>
    <t>T-shirts</t>
  </si>
  <si>
    <t>Laitala and Klepp 2028</t>
  </si>
  <si>
    <t>Bras</t>
  </si>
  <si>
    <t>Laitala and Klepp 2029</t>
  </si>
  <si>
    <t>Laitala and Klepp 2030</t>
  </si>
  <si>
    <t>Underpants</t>
  </si>
  <si>
    <t>Laitala and Klepp 2031</t>
  </si>
  <si>
    <t>Socks</t>
  </si>
  <si>
    <t>Laitala and Klepp 2032</t>
  </si>
  <si>
    <t>Jumper/knitwear</t>
  </si>
  <si>
    <t>14.14.25</t>
  </si>
  <si>
    <t>14.14.24</t>
  </si>
  <si>
    <t>https://wrap.org.uk/resources/report/measuring-active-life-clothing#download-file</t>
  </si>
  <si>
    <t>MRI Scanners</t>
  </si>
  <si>
    <t>Philips study</t>
  </si>
  <si>
    <t>T-shirt</t>
  </si>
  <si>
    <t>Cotton</t>
  </si>
  <si>
    <t>Carpet</t>
  </si>
  <si>
    <t>Sofa</t>
  </si>
  <si>
    <t>Furniture</t>
  </si>
  <si>
    <t>Printer</t>
  </si>
  <si>
    <t xml:space="preserve">Laptop </t>
  </si>
  <si>
    <t>Washing machine</t>
  </si>
  <si>
    <t>ERM</t>
  </si>
  <si>
    <t>http://randd.defra.gov.uk/Default.aspx?Menu=Menu&amp;Module=More&amp;Location=None&amp;ProjectID=17047&amp;FromSearch=Y&amp;Publisher=1&amp;SearchText=lifetimes&amp;SortString=ProjectCode&amp;SortOrder=Asc&amp;Paging=10#Description</t>
  </si>
  <si>
    <t>Jumpe/knitwear</t>
  </si>
  <si>
    <t>Shrt</t>
  </si>
  <si>
    <t>Wrap study</t>
  </si>
  <si>
    <t>Lifespan</t>
  </si>
  <si>
    <t>Mass</t>
  </si>
  <si>
    <t>Product</t>
  </si>
  <si>
    <t>Aircraft</t>
  </si>
  <si>
    <t>Lee, J.J., S.P. Lukachko, I.A. Waitz, and A. Schafer, 2001. Historical and Future Trends in
Aircraft Performance, Cost and Emissions. Annual Review of Energy and the Environment
26:167-200.</t>
  </si>
  <si>
    <t>Stock</t>
  </si>
  <si>
    <t>Year</t>
  </si>
  <si>
    <t>Buildings</t>
  </si>
  <si>
    <t>Cultivated biological resources</t>
  </si>
  <si>
    <t>Dwellings</t>
  </si>
  <si>
    <t>Entertainment, literary or artistic originals</t>
  </si>
  <si>
    <t>ICT Hardware</t>
  </si>
  <si>
    <t>Mineral exploration and evaluation</t>
  </si>
  <si>
    <t>Other machinery and equipmnt</t>
  </si>
  <si>
    <t>Computer software</t>
  </si>
  <si>
    <t>Telecommunications equipment</t>
  </si>
  <si>
    <t>Transport equipment</t>
  </si>
  <si>
    <t>Weapons</t>
  </si>
  <si>
    <t>ONS</t>
  </si>
  <si>
    <t>https://www.niesr.ac.uk/wp-content/uploads/2021/10/DP474-4.pdf</t>
  </si>
  <si>
    <t>Product type</t>
  </si>
  <si>
    <t>Raw material</t>
  </si>
  <si>
    <t>Semi-manufactured products</t>
  </si>
  <si>
    <t>Final good</t>
  </si>
  <si>
    <t>Scrap/waste</t>
  </si>
  <si>
    <t>Electric vehicle</t>
  </si>
  <si>
    <t>Infrastructure</t>
  </si>
  <si>
    <t>Wind turbine</t>
  </si>
  <si>
    <t>26.30.22.00</t>
  </si>
  <si>
    <t>26.30.22</t>
  </si>
  <si>
    <t>26.30</t>
  </si>
  <si>
    <t>26.20</t>
  </si>
  <si>
    <t>26.30.1</t>
  </si>
  <si>
    <t>26.20.11</t>
  </si>
  <si>
    <t>26.20.11.00</t>
  </si>
  <si>
    <t>product_category(1)</t>
  </si>
  <si>
    <t>product_category(3)</t>
  </si>
  <si>
    <t>Smart phone</t>
  </si>
  <si>
    <t>Indicator</t>
  </si>
  <si>
    <t>Material</t>
  </si>
  <si>
    <t>Percentage</t>
  </si>
  <si>
    <t>Mass_average_kg</t>
  </si>
  <si>
    <t>26.20.13.00</t>
  </si>
  <si>
    <t>851712</t>
  </si>
  <si>
    <t>Domestic</t>
  </si>
  <si>
    <t>Imports</t>
  </si>
  <si>
    <t>847130</t>
  </si>
  <si>
    <t>Aluminium</t>
  </si>
  <si>
    <t>Copper</t>
  </si>
  <si>
    <t>Plastics</t>
  </si>
  <si>
    <t>Magnesium</t>
  </si>
  <si>
    <t>Cobalt</t>
  </si>
  <si>
    <t>Tin</t>
  </si>
  <si>
    <t>Tungsten</t>
  </si>
  <si>
    <t>Silver</t>
  </si>
  <si>
    <t>Neodymium</t>
  </si>
  <si>
    <t>Gold</t>
  </si>
  <si>
    <t>Tantalum</t>
  </si>
  <si>
    <t>Palladium</t>
  </si>
  <si>
    <t>Praseodymium</t>
  </si>
  <si>
    <t>Indium</t>
  </si>
  <si>
    <t>Yttrium</t>
  </si>
  <si>
    <t>Gallium</t>
  </si>
  <si>
    <t>Gadolinium</t>
  </si>
  <si>
    <t>Europium</t>
  </si>
  <si>
    <t>Cerium</t>
  </si>
  <si>
    <t>LDPE</t>
  </si>
  <si>
    <t>ABS</t>
  </si>
  <si>
    <t>PA6</t>
  </si>
  <si>
    <t>PC</t>
  </si>
  <si>
    <t>Epoxy</t>
  </si>
  <si>
    <t>PMMA</t>
  </si>
  <si>
    <t>PP</t>
  </si>
  <si>
    <t>PS</t>
  </si>
  <si>
    <t>EPS</t>
  </si>
  <si>
    <t>PVC</t>
  </si>
  <si>
    <t>Iron (steel)</t>
  </si>
  <si>
    <t>Mass (g)</t>
  </si>
  <si>
    <t>Others (ceramics, semiconductors)</t>
  </si>
  <si>
    <t>Steel sheet (galvanized)</t>
  </si>
  <si>
    <t>Aluminium sheet</t>
  </si>
  <si>
    <t>LCD screen m2</t>
  </si>
  <si>
    <t>Copper wire</t>
  </si>
  <si>
    <t>Copper tube</t>
  </si>
  <si>
    <t>Powder coating</t>
  </si>
  <si>
    <t>Big caps &amp; coils</t>
  </si>
  <si>
    <t>Slots/ext. Ports</t>
  </si>
  <si>
    <t>Integrated circuits 5% Silicon, Gold</t>
  </si>
  <si>
    <t>Integrated circuits 1% silicon</t>
  </si>
  <si>
    <t>SMD &amp; LEDs avg</t>
  </si>
  <si>
    <t>PWB ½ lay 3.75 kg/m2</t>
  </si>
  <si>
    <t>PWB 6 lay 4.5 kg/m2</t>
  </si>
  <si>
    <t>Solder Alloy (SnAg4Cu0.5)</t>
  </si>
  <si>
    <t>Glass for lamps</t>
  </si>
  <si>
    <t>Glass for LCD</t>
  </si>
  <si>
    <t>Product_type</t>
  </si>
  <si>
    <t>28.13.14</t>
  </si>
  <si>
    <t>0108</t>
  </si>
  <si>
    <t>1</t>
  </si>
  <si>
    <t>0111</t>
  </si>
  <si>
    <t>0112</t>
  </si>
  <si>
    <t>0113</t>
  </si>
  <si>
    <t>0303</t>
  </si>
  <si>
    <t>2</t>
  </si>
  <si>
    <t>0309</t>
  </si>
  <si>
    <t>0408</t>
  </si>
  <si>
    <t>0505</t>
  </si>
  <si>
    <t>3</t>
  </si>
  <si>
    <t>0102</t>
  </si>
  <si>
    <t>4</t>
  </si>
  <si>
    <t>0104</t>
  </si>
  <si>
    <t>0106</t>
  </si>
  <si>
    <t>0307</t>
  </si>
  <si>
    <t>0802</t>
  </si>
  <si>
    <t>0201</t>
  </si>
  <si>
    <t>5</t>
  </si>
  <si>
    <t>0202</t>
  </si>
  <si>
    <t>0203</t>
  </si>
  <si>
    <t>0204</t>
  </si>
  <si>
    <t>0205</t>
  </si>
  <si>
    <t>0401</t>
  </si>
  <si>
    <t>0403</t>
  </si>
  <si>
    <t>0406</t>
  </si>
  <si>
    <t>0501</t>
  </si>
  <si>
    <t>0702</t>
  </si>
  <si>
    <t>6</t>
  </si>
  <si>
    <t>0302</t>
  </si>
  <si>
    <t>0304</t>
  </si>
  <si>
    <t>0306</t>
  </si>
  <si>
    <t>Identifier_NACE</t>
  </si>
  <si>
    <t>Identifier_SIC09</t>
  </si>
  <si>
    <t>Identifier_CPA</t>
  </si>
  <si>
    <t>Identifier_HS6/CN6</t>
  </si>
  <si>
    <t>Identifier_UNU</t>
  </si>
  <si>
    <t>Identifier_WEEE_Cat</t>
  </si>
  <si>
    <t>Lifespan_EoL_lower_yr</t>
  </si>
  <si>
    <t>Lifespan_EoL_upper_yr</t>
  </si>
  <si>
    <t>Lifespan_EoL_average_yr</t>
  </si>
  <si>
    <t>Lifespan_Weibull_shape</t>
  </si>
  <si>
    <t>Lifespan_Weibull_scale</t>
  </si>
  <si>
    <t>Resale</t>
  </si>
  <si>
    <t>Anaerobic digestion</t>
  </si>
  <si>
    <t>Composting</t>
  </si>
  <si>
    <t>Landfill</t>
  </si>
  <si>
    <t>Steel</t>
  </si>
  <si>
    <t>Identifier_PRODCOM</t>
  </si>
  <si>
    <t>Lifespan_EoL_SD</t>
  </si>
  <si>
    <t>Lifespan_EoL_median_yr</t>
  </si>
  <si>
    <t>product_category(2)</t>
  </si>
  <si>
    <t>Lifespan_owned_until_fixed_average_yr</t>
  </si>
  <si>
    <t>Lifespan_owned_until_fixed_median_yr</t>
  </si>
  <si>
    <t>UNU-Key</t>
  </si>
  <si>
    <t>group</t>
  </si>
  <si>
    <t>scale</t>
  </si>
  <si>
    <t>shape</t>
  </si>
  <si>
    <t>heating</t>
  </si>
  <si>
    <t>(household)</t>
  </si>
  <si>
    <t>[31]</t>
  </si>
  <si>
    <t>Dishwashers</t>
  </si>
  <si>
    <t>[31,</t>
  </si>
  <si>
    <t>32]</t>
  </si>
  <si>
    <t>Washing</t>
  </si>
  <si>
    <t>machines</t>
  </si>
  <si>
    <t>Dryers</t>
  </si>
  <si>
    <t>[11,</t>
  </si>
  <si>
    <t>31]</t>
  </si>
  <si>
    <t>and</t>
  </si>
  <si>
    <t>ventilation</t>
  </si>
  <si>
    <t>Fridges</t>
  </si>
  <si>
    <t>Freezers</t>
  </si>
  <si>
    <t>33]</t>
  </si>
  <si>
    <t>Air</t>
  </si>
  <si>
    <t>conditioners</t>
  </si>
  <si>
    <t>Other</t>
  </si>
  <si>
    <t>cooling</t>
  </si>
  <si>
    <t>Cooling</t>
  </si>
  <si>
    <t>(professional)</t>
  </si>
  <si>
    <t>Microwaves</t>
  </si>
  <si>
    <t>0201b</t>
  </si>
  <si>
    <t>Fans</t>
  </si>
  <si>
    <t>cleaners</t>
  </si>
  <si>
    <t>Personal</t>
  </si>
  <si>
    <t>care</t>
  </si>
  <si>
    <t>0205b</t>
  </si>
  <si>
    <t>Shavers</t>
  </si>
  <si>
    <t>0301b</t>
  </si>
  <si>
    <t>HDDs</t>
  </si>
  <si>
    <t>Desktop</t>
  </si>
  <si>
    <t>PCs</t>
  </si>
  <si>
    <t>0303a</t>
  </si>
  <si>
    <t>Laptops</t>
  </si>
  <si>
    <t>0303b</t>
  </si>
  <si>
    <t>Tablets</t>
  </si>
  <si>
    <t>Printers</t>
  </si>
  <si>
    <t>Telecom</t>
  </si>
  <si>
    <t>0306a</t>
  </si>
  <si>
    <t>phones</t>
  </si>
  <si>
    <t>0306b</t>
  </si>
  <si>
    <t>Smartphones</t>
  </si>
  <si>
    <t>Professional</t>
  </si>
  <si>
    <t>IT</t>
  </si>
  <si>
    <t>Flat</t>
  </si>
  <si>
    <t>screen</t>
  </si>
  <si>
    <t>0401b</t>
  </si>
  <si>
    <t>Headphones,</t>
  </si>
  <si>
    <t>earphones</t>
  </si>
  <si>
    <t>Music</t>
  </si>
  <si>
    <t>instruments,</t>
  </si>
  <si>
    <t>radio,</t>
  </si>
  <si>
    <t>HiFi</t>
  </si>
  <si>
    <t>0404b</t>
  </si>
  <si>
    <t>Video</t>
  </si>
  <si>
    <t>players</t>
  </si>
  <si>
    <t>Speakers</t>
  </si>
  <si>
    <t>34]</t>
  </si>
  <si>
    <t>Cameras</t>
  </si>
  <si>
    <t>TVs</t>
  </si>
  <si>
    <t>Game</t>
  </si>
  <si>
    <t>consoles</t>
  </si>
  <si>
    <t>0802b</t>
  </si>
  <si>
    <t>MRIs</t>
  </si>
  <si>
    <t>35]</t>
  </si>
  <si>
    <t>Cooled</t>
  </si>
  <si>
    <t>vending</t>
  </si>
  <si>
    <t>Cars</t>
  </si>
  <si>
    <t>[10,</t>
  </si>
  <si>
    <t>36]</t>
  </si>
  <si>
    <t>1102a</t>
  </si>
  <si>
    <t>BEVs</t>
  </si>
  <si>
    <t>1102b</t>
  </si>
  <si>
    <t>PHEVs</t>
  </si>
  <si>
    <t>HEVs</t>
  </si>
  <si>
    <t>Snowmobiles,</t>
  </si>
  <si>
    <t>golf</t>
  </si>
  <si>
    <t>cars,</t>
  </si>
  <si>
    <t>etc.</t>
  </si>
  <si>
    <t>Trucks</t>
  </si>
  <si>
    <t>Buses</t>
  </si>
  <si>
    <t>Motorhomes</t>
  </si>
  <si>
    <t>[32]</t>
  </si>
  <si>
    <t>Electric</t>
  </si>
  <si>
    <t>bikes</t>
  </si>
  <si>
    <t>Industrial</t>
  </si>
  <si>
    <t>&amp;</t>
  </si>
  <si>
    <t>motors</t>
  </si>
  <si>
    <t>[37]</t>
  </si>
  <si>
    <t>pumps</t>
  </si>
  <si>
    <t>[38]</t>
  </si>
  <si>
    <t>Lifting</t>
  </si>
  <si>
    <t>conveying</t>
  </si>
  <si>
    <t>Shaping</t>
  </si>
  <si>
    <t>1205a</t>
  </si>
  <si>
    <t>Wind</t>
  </si>
  <si>
    <t>turbines,</t>
  </si>
  <si>
    <t>onshore</t>
  </si>
  <si>
    <t>12,</t>
  </si>
  <si>
    <t>38]</t>
  </si>
  <si>
    <t>1205b</t>
  </si>
  <si>
    <t>o shore</t>
  </si>
  <si>
    <t>robots</t>
  </si>
  <si>
    <t>FCC</t>
  </si>
  <si>
    <t>catalyst</t>
  </si>
  <si>
    <t>[39]</t>
  </si>
  <si>
    <t>Central heating</t>
  </si>
  <si>
    <t>Heating and ventilation</t>
  </si>
  <si>
    <t>Flat screen monitors</t>
  </si>
  <si>
    <t>Small consumer electronics</t>
  </si>
  <si>
    <t xml:space="preserve">Component </t>
  </si>
  <si>
    <t>Aluminum</t>
  </si>
  <si>
    <t xml:space="preserve">Copper </t>
  </si>
  <si>
    <t xml:space="preserve">Steel </t>
  </si>
  <si>
    <t xml:space="preserve">Plastic </t>
  </si>
  <si>
    <t>Li-ion battery</t>
  </si>
  <si>
    <t xml:space="preserve">PCB </t>
  </si>
  <si>
    <t>Flat panel glass</t>
  </si>
  <si>
    <t xml:space="preserve">CRT glass </t>
  </si>
  <si>
    <t>Other glass</t>
  </si>
  <si>
    <t xml:space="preserve">Other metals </t>
  </si>
  <si>
    <t>Others</t>
  </si>
  <si>
    <t>Total mass (g)</t>
  </si>
  <si>
    <t>Dell Latitude CPi R -series PPX (1999)</t>
  </si>
  <si>
    <t xml:space="preserve">Battery </t>
  </si>
  <si>
    <t xml:space="preserve">Chasis bottom </t>
  </si>
  <si>
    <t xml:space="preserve">Chasis top </t>
  </si>
  <si>
    <t xml:space="preserve">Display </t>
  </si>
  <si>
    <t xml:space="preserve">Fan </t>
  </si>
  <si>
    <t>Hard drive</t>
  </si>
  <si>
    <t xml:space="preserve">Heat sink </t>
  </si>
  <si>
    <t>Keyboard</t>
  </si>
  <si>
    <t xml:space="preserve">Motherboard </t>
  </si>
  <si>
    <t xml:space="preserve">Optical drive </t>
  </si>
  <si>
    <t>Other components*</t>
  </si>
  <si>
    <t>Dell CPX H5005T PPX (2000)</t>
  </si>
  <si>
    <t>Dell Inspiron 14.1" 4100 (2001)</t>
  </si>
  <si>
    <t>Display*</t>
  </si>
  <si>
    <t>Dell Latitude 14.1" C600 (2001)</t>
  </si>
  <si>
    <t>Dell Latitude 14.1" C610 (2002)</t>
  </si>
  <si>
    <t>Dell Inspiron 14.1" 5100 (2003)</t>
  </si>
  <si>
    <t>Display</t>
  </si>
  <si>
    <t>Dell latitude 14.1" D600 (2003)</t>
  </si>
  <si>
    <t>Dell Latitude 14.1" D610 (2005)</t>
  </si>
  <si>
    <t>Dell Latitude 14.1" D620 (2006)</t>
  </si>
  <si>
    <t>Dell latitude 14.1" D630 (2007)</t>
  </si>
  <si>
    <t>Dell Inspiron 15.4"1525 (2008)</t>
  </si>
  <si>
    <t>Chasis bottom /Back cover</t>
  </si>
  <si>
    <t>HP Elitebook 12.1" 2530p (2008)</t>
  </si>
  <si>
    <t>HP elitebook 14.1" 6930p (2008)</t>
  </si>
  <si>
    <t>HP Elitebook 17" 8730w (2008)</t>
  </si>
  <si>
    <t>Dell Latitude 14.1" E6410 (2010)</t>
  </si>
  <si>
    <t xml:space="preserve"> </t>
  </si>
  <si>
    <t>Apple Macbook pro 15.4" A1286 (2011)</t>
  </si>
  <si>
    <t>Smartphone</t>
  </si>
  <si>
    <t>Palm Treo 650 (2004)*</t>
  </si>
  <si>
    <t>Main body</t>
  </si>
  <si>
    <t>LG VX5300 (2006)</t>
  </si>
  <si>
    <t>iPhone 1st generation A1203 (2007)</t>
  </si>
  <si>
    <t>Motorola ROKR (RIZR) Z6 (2007)</t>
  </si>
  <si>
    <t>iPhone 3G A1241 (2008)</t>
  </si>
  <si>
    <t>Blackberry Curve 8900 (2008)</t>
  </si>
  <si>
    <t>Motorola Droid MB810 (2010)</t>
  </si>
  <si>
    <t>Samsung Epic 4G SPHD700 (2010)</t>
  </si>
  <si>
    <t xml:space="preserve"> ZTE Z992 (2013)</t>
  </si>
  <si>
    <t>Samsung Duos GTI9082 (2013)</t>
  </si>
  <si>
    <t>Motorola Moto_E XT1527 (2015)</t>
  </si>
  <si>
    <t>Samsung Galaxy S6 SMG920V(2015)</t>
  </si>
  <si>
    <t>Samsung Galaxy Tab GT-P7510 (2011)</t>
  </si>
  <si>
    <t xml:space="preserve">Casing </t>
  </si>
  <si>
    <t xml:space="preserve">Interior parts </t>
  </si>
  <si>
    <t>Motherboard</t>
  </si>
  <si>
    <t>Samsung Galaxy Tab 4 SM-T530 (2014)</t>
  </si>
  <si>
    <t>Apple iPad 8GB 1st gen (2009)</t>
  </si>
  <si>
    <t xml:space="preserve">Display* </t>
  </si>
  <si>
    <t>Value</t>
  </si>
  <si>
    <t>brand</t>
  </si>
  <si>
    <t>title</t>
  </si>
  <si>
    <t>price</t>
  </si>
  <si>
    <t>Samsung</t>
  </si>
  <si>
    <t>Samsung Galaxy S10 | Unlocked | All Colours | Good Condition</t>
  </si>
  <si>
    <t>S&amp;M</t>
  </si>
  <si>
    <r>
      <t>Samsung Galaxy S6 SM-G920F 32GB, Black, White, Gold, Blue (Unlocked) Smartphone</t>
    </r>
    <r>
      <rPr>
        <sz val="10"/>
        <color rgb="FF000000"/>
        <rFont val="Apple Color Emoji"/>
      </rPr>
      <t>⭐</t>
    </r>
  </si>
  <si>
    <r>
      <t>Samsung Galaxy S7 G930F 32GB Black White Gold Silver Rose Unlocked GOOD</t>
    </r>
    <r>
      <rPr>
        <sz val="10"/>
        <color rgb="FF000000"/>
        <rFont val="Apple Color Emoji"/>
      </rPr>
      <t>⭐</t>
    </r>
  </si>
  <si>
    <t>Apple</t>
  </si>
  <si>
    <t>Apple iPhone 12 Pro - All Sizes - All Colours - Unlocked - Good Condition</t>
  </si>
  <si>
    <t>Apple iPhone 11 64GB/128GB/256&lt;wbr/&gt;GB - ALL COLOURS - UNLOCKED - VERY GOOD CONDITION</t>
  </si>
  <si>
    <t>Apple iPhone 8 - 64GB/256GB - Gold/Grey/ Silver - UNLOCKED - Excellent Grade A</t>
  </si>
  <si>
    <t>Apple iPhone 12 - All Sizes - All Colours - Unlocked - Good Condition</t>
  </si>
  <si>
    <t>Apple iPhone SE 2020 - 64/128/256GB - All Colours -UNLOCKED- GOOD CONDITION</t>
  </si>
  <si>
    <t>Apple iPhone XR - 64GB/128/256GB - ALL COLOURS - UNLOCKED - GOOD CONDITION</t>
  </si>
  <si>
    <t>Apple iPhone XS - 64GB, 256GB, 512GB - All Colours - Unlocked - Good Condition</t>
  </si>
  <si>
    <t>Apple iPhone X - 64GB 256GB - All Colours - Unlocked - Good Condition</t>
  </si>
  <si>
    <t>Apple iPhone 7 - 32GB 128GB 256GB-Unlocked SIM Free Smartphone Colours Very Good</t>
  </si>
  <si>
    <t>Apple iPhone 13 5G 6.1" Smart Phone 128GB Unlocked Sim-Free - (Midnight) B+</t>
  </si>
  <si>
    <r>
      <t>⭐</t>
    </r>
    <r>
      <rPr>
        <sz val="10"/>
        <color rgb="FF000000"/>
        <rFont val="Helvetica Neue"/>
        <family val="2"/>
      </rPr>
      <t>Apple iPhone 6S 16/32/64GB -All Colours-Unlock&lt;wbr/&gt;ed | Grade A EXCELLENT Condition</t>
    </r>
  </si>
  <si>
    <t>Apple iPhone 12 Pro Max - All Sizes - All Colours - Unlocked - Good Condition</t>
  </si>
  <si>
    <t>Google</t>
  </si>
  <si>
    <t>Google Pixel 5 128GB Just Black Sorta Sage Unlocked Smartphone Phone Very Good</t>
  </si>
  <si>
    <t>Apple iPhone 11 Pro Max  - All Sizes - All Colours - Unlocked - Good Condition</t>
  </si>
  <si>
    <t>Apple iPhone 11 - 64GB 128GB 256GB - Unlocked Smartphone Good Condition Warranty</t>
  </si>
  <si>
    <t>Apple iPhone 11 Pro - All Sizes - All Colours - Unlocked - Good Condition</t>
  </si>
  <si>
    <t>Apple iPhone 13 Pro Max - All Sizes - All Colours - Unlocked - Good Condition</t>
  </si>
  <si>
    <t>Motorola</t>
  </si>
  <si>
    <t>Motorola V3 Razr Sim Free Unlocked Bluetooth Flip Mobile Cell Phone</t>
  </si>
  <si>
    <r>
      <t xml:space="preserve">Samsung Galaxy S7 G930F 32GB Black White Gold Silver Unlocked - GOOD </t>
    </r>
    <r>
      <rPr>
        <sz val="10"/>
        <color rgb="FF000000"/>
        <rFont val="Apple Color Emoji"/>
      </rPr>
      <t>⭐</t>
    </r>
  </si>
  <si>
    <t>Samsung Galaxy J3 2017 SM-J330F - 16 GB - Black (Unlocked) Android Smartphone</t>
  </si>
  <si>
    <t>Samsung Galaxy J6+ Plus - SM-J610F - 32GB - Black - Unlocked - Very Good Grade B</t>
  </si>
  <si>
    <t>Apple iPhone 12 Mini - All Sizes - All Colours - Unlocked - Good Condition</t>
  </si>
  <si>
    <t>Apple iPhone 11 Pro Max  - All Sizes &amp; Colours - Unlocked - Very Good Condition</t>
  </si>
  <si>
    <t>Apple iPhone 12 64GB/128GB/256&lt;wbr/&gt;GB - ALL COLOURS - UNLOCKED - GOOD CONDITION</t>
  </si>
  <si>
    <t>Apple iPhone 11 - 64GB/128GB/256&lt;wbr/&gt;GB - All Colours - Unlocked - Good Condition</t>
  </si>
  <si>
    <t>Apple iPhone 12 64GB/128GB/256&lt;wbr/&gt;GB - ALL COLOURS - UNLOCKED- VERY GOOD CONDITION</t>
  </si>
  <si>
    <t>Apple iPhone 5C 8GB White Blue Green Pink Yellow Unlocked Grade A + CHARGR lead</t>
  </si>
  <si>
    <t>Apple iPhone 12 Pro Max - All Sizes- All Colours -Unlocked - Very Good Condition</t>
  </si>
  <si>
    <t>Samsung Galaxy Z Flip3 5G 128GB|256GB SM-F711B All Colours *VERY GOOD CONDITION*</t>
  </si>
  <si>
    <t>Apple iPhone 5S 16GB 32GB 64GB Unlocked Smartphone - Very Good Condition + CHRGR</t>
  </si>
  <si>
    <t>Apple iPhone 6 - 16/32/64GB Unlocked All Colours Grade A Condition + CHARGR</t>
  </si>
  <si>
    <t>Samsung Smartphone Galaxy J5 (2016) 16GB Black Unlocked Android Good ConditionA3</t>
  </si>
  <si>
    <r>
      <t xml:space="preserve">SAMSUNG GALAXY A30s - 64GB - DUO SIM -  ANDROID PHONE (2019) UNLOCKED - BLACK </t>
    </r>
    <r>
      <rPr>
        <sz val="10"/>
        <color rgb="FF000000"/>
        <rFont val="Apple Color Emoji"/>
      </rPr>
      <t>🔥</t>
    </r>
  </si>
  <si>
    <t>Nokia</t>
  </si>
  <si>
    <r>
      <t>⭐</t>
    </r>
    <r>
      <rPr>
        <sz val="10"/>
        <color rgb="FF000000"/>
        <rFont val="Helvetica Neue"/>
        <family val="2"/>
      </rPr>
      <t>EXCELLENT</t>
    </r>
    <r>
      <rPr>
        <sz val="10"/>
        <color rgb="FF000000"/>
        <rFont val="Apple Color Emoji"/>
      </rPr>
      <t>⭐</t>
    </r>
    <r>
      <rPr>
        <sz val="10"/>
        <color rgb="FF000000"/>
        <rFont val="Helvetica Neue"/>
        <family val="2"/>
      </rPr>
      <t>MIN&lt;wbr/&gt;T NOKIA 3310 BLUE (UNLOCKED) MOBILE PHONE- UK WARRANTY- FREE SIM</t>
    </r>
  </si>
  <si>
    <t>Apple iPhone SE 16GB 32GB 64GB 128GB 4G Unlocked iOS Smartphone Grade Pristine</t>
  </si>
  <si>
    <t>Samsung Galaxy S22 Ultra SM-S908B/DS - 128gb, 256gb, 512gb, 1TB (Unlocked)</t>
  </si>
  <si>
    <t>Apple iPhone 11 - 64GB 128GB 256GB - Unlocked - Good Condition UK Stock</t>
  </si>
  <si>
    <t>Samsung Galaxy S21 Ultra 5G, 128GB, 256GB, 512GB - Black, Silver, (Unlocked)</t>
  </si>
  <si>
    <t>Samsung Galaxy A50 128GB Dual Sim Unlocked 4G Android Smartphone Various Colours</t>
  </si>
  <si>
    <t>Google Pixel 4 64GB 128GB Unlocked Black White Orange Android Smart Phone | Good</t>
  </si>
  <si>
    <t>SAMSUNG Galaxy S9 - S9+ - S10e - S10 - 64GB - 128GB Unlocked Very good</t>
  </si>
  <si>
    <t>Apple iPhone 8 64GB 256GB Unlocked Smartphone Very Good 12 Months Warranty</t>
  </si>
  <si>
    <t>Original Boxed Nokia 3310 - Blue (Unlocked) Mobile Phone +WARRANTY</t>
  </si>
  <si>
    <t>Samsung Galaxy A20e Dual SIM 32GB Unlocked Black White Blue 4G Phone Excellent</t>
  </si>
  <si>
    <t>Apple iPhone 12 Pro - All Sizes - All Colours - Unlocked - Very Good Condition</t>
  </si>
  <si>
    <t>Motorola XT2231-2 Moto G22 4G 6.5" Smartphone 64GB 4GB RAM Unlocked - Black B+</t>
  </si>
  <si>
    <t>Apple iPhone 8 - 64GB, 256GB All Colours - Unlocked - Good Condition</t>
  </si>
  <si>
    <t>Huawei</t>
  </si>
  <si>
    <t>Huawei P40 5G Dual-SIM ANA-NX9 128GB 8GB RAM UNLOCKED -All Colours - UK Version</t>
  </si>
  <si>
    <t>Samsung Galaxy S21 Ultra 5G - All Sizes - All Colour - Unlocked - Good Condition</t>
  </si>
  <si>
    <r>
      <t>SAMSUNG GALAXY A30s - 64GB - DUO SIM - ANDROID PHONE (2019) UNLOCKED - WHITE</t>
    </r>
    <r>
      <rPr>
        <sz val="10"/>
        <color rgb="FF000000"/>
        <rFont val="Apple Color Emoji"/>
      </rPr>
      <t>🔥</t>
    </r>
  </si>
  <si>
    <t>Samsung Galaxy A70 128GB Dual Sim Unlocked 4G Smartphone *BUDGET GREAT PRICE*</t>
  </si>
  <si>
    <t>Apple iPhone XS Unlocked SIM Free Smartphone - 64GB 256GB 512GB - Excellent</t>
  </si>
  <si>
    <t>Apple iPhone 11 64GB/128GB/256&lt;wbr/&gt;GB - ALL COLOURS - UNLOCKED - GOOD CONDITION</t>
  </si>
  <si>
    <t>Apple iPhone 12 - 64GB 128GB 256GB - Unlocked - 12 Months Warranty - Grade A+</t>
  </si>
  <si>
    <t>Sony</t>
  </si>
  <si>
    <t>Sony Xperia 5 IV 128GB Black White Unlocked Android Smart Phone 5G | Excellent</t>
  </si>
  <si>
    <t>Apple iPhone 11 64GB 128GB 256GB All Colours  Unlocked Good Condition</t>
  </si>
  <si>
    <t>Apple iPhone SE 2020 - 64/128/256GB - All Colours -UNLOCKED- VERY GOOD CONDITION</t>
  </si>
  <si>
    <t>Apple iPhone 11 All Sizes All Colours  Unlocked 12M Warranty - Good Condition</t>
  </si>
  <si>
    <t>Samsung Galaxy A8 2018 32GB SM-A530F Unlocked DualSim 4G Android Smartphone GOOD</t>
  </si>
  <si>
    <t>Google Pixel 4 64GB Unlocked 4G Android Smartphone Excellent Condition</t>
  </si>
  <si>
    <t>Apple iPhone 6s 16GB 32GB 64GB 128GB Unlocked -All Colours - Very Good Condition</t>
  </si>
  <si>
    <t>Apple iPhone 8 - 64GB, 256GB All Colours - Unlocked - Very Good Condition</t>
  </si>
  <si>
    <t>Google Pixel 5 128GB 5G Unlocked Just Black Green Android Smartphone | Excellent</t>
  </si>
  <si>
    <t>APPLE</t>
  </si>
  <si>
    <t>Apple iPhone 12 64GB 128GB 256GB Unlocked All Colours - Good</t>
  </si>
  <si>
    <t>Apple iPhone 11 - 64GB 128GB 256GB - Unlocked - Excellent A+ Condition - UK</t>
  </si>
  <si>
    <t>Samsung Galaxy S10 S10e S10+ PLUS 128GB Dual Sim Unlocked Android Phone -GOOD</t>
  </si>
  <si>
    <t>Apple iPhone 8 64GB–256GB-All Colours - Unlocked Smartphone - Excellent-Grad&lt;wbr/&gt;e A</t>
  </si>
  <si>
    <t>Apple iPhone XS Max - All Sizes &amp; Colours - Unlocked Smartphone - Good Condition</t>
  </si>
  <si>
    <t>Nokia 8850 Black Mobile Phone GSM900/1800 Unlocked Full box</t>
  </si>
  <si>
    <r>
      <t>⭐</t>
    </r>
    <r>
      <rPr>
        <sz val="10"/>
        <color rgb="FF000000"/>
        <rFont val="Helvetica Neue"/>
        <family val="2"/>
      </rPr>
      <t>Huawei P9 Lite - P10 Lite - P20 Lite - 16GB -32GB Unlocked Grade A Smartphone</t>
    </r>
    <r>
      <rPr>
        <sz val="10"/>
        <color rgb="FF000000"/>
        <rFont val="Apple Color Emoji"/>
      </rPr>
      <t>⭐</t>
    </r>
  </si>
  <si>
    <t>Samsung Galaxy A12 SM-A125F/DSN - 64GB -Black (Unlocked) Good Condition+</t>
  </si>
  <si>
    <t>Samsung Galaxy Z Flip3 5G 128GB 256GB 6.7" Unlocked ALL COLOURS *GOOD CONDITION*</t>
  </si>
  <si>
    <t>Samsung Galaxy S22 / S22+ / S22 Ultra 5G Unlocked  EXCELLENT CONDITION A++</t>
  </si>
  <si>
    <t>Apple iPhone 13 - All Sizes - All Colours - Unlocked - Good Condition</t>
  </si>
  <si>
    <t>Apple iPhone X (iPhone 10) - 64GB 256GB Unlocked - Good - 12M Warranty</t>
  </si>
  <si>
    <t>Apple iPhone 13 Pro Max - All Sizes All Colours - Unlocked - Very Good Condition</t>
  </si>
  <si>
    <t>Apple iPhone SE 2020 64GB 128GB 256GB All Colours Unlocked Good</t>
  </si>
  <si>
    <t>Apple iPhone XS Max - All Sizes &amp; Colours - (UNLOCKED) - Very Good Condition</t>
  </si>
  <si>
    <t>Apple iPhone 12 64GB 128GB 256GB Unlocked All Colours - Excellent</t>
  </si>
  <si>
    <t>NEW CONDITION NOKIA 6303I (UNLOCKED)MOBI&lt;wbr/&gt;LE PHONE + WARRANTY</t>
  </si>
  <si>
    <t>Apple iPhone 7 Plus - 32GB 128GB 256GB - Unlocked Smartphone Very Good Condition</t>
  </si>
  <si>
    <t>Apple iPhone 12 Pro 128GB/256/512 - ALL COLOURS - UNLOCKED - VERY GOOD CONDITION</t>
  </si>
  <si>
    <t>Apple iPhone XS - 64GB 256GB 512GB, All Colours - Unlocked - Very Good Condition</t>
  </si>
  <si>
    <t>Apple iPhone 8 64GB-UNLOCKED-&lt;wbr/&gt;Excellent- Grade A - All Colours-12 Months Warranty</t>
  </si>
  <si>
    <t>Samsung Galaxy A8 2018 32GB SM-A530F Unlocked Dual Sim 4G Android Smartphone</t>
  </si>
  <si>
    <t>Samsung Galaxy S21, 5G, 128GB, Phantom Grey, Unlocked - Good Condition</t>
  </si>
  <si>
    <t>Samsung Galaxy S5 SM-G900F -16GB Black Gold White Blue - Unlocked Smartphone</t>
  </si>
  <si>
    <t>Apple iPhone 12 Pro 128GB 256GB 512GB Unlocked All Colours - Very Good</t>
  </si>
  <si>
    <t>Apple iPhone 7 - 32GB 128GB 256GB-Unlocked SIM Free Smartphone Colours Good</t>
  </si>
  <si>
    <t>Apple iPhone XR 64GB 128GB 256GB All Colours Unlocked Very Good Good Condition</t>
  </si>
  <si>
    <t>HTC</t>
  </si>
  <si>
    <t>HTC HD HD2 Phone T8585 Microsoft Windows Mobile - Black (Unlocked) [GRADE B]</t>
  </si>
  <si>
    <t>Samsung Galaxy Z Fold4 5G F936B/DS 256GB Unlocked Grade A+ Excellent Condition</t>
  </si>
  <si>
    <t>Apple iPhone 8 Plus - 64GB 256GB - Unlocked Smartphone Various Colours Very Good</t>
  </si>
  <si>
    <t>Sony Xperia L4 6.2'' 4G Smartphone 64GB Unlocked SIM-Free - Black (No Accs) B</t>
  </si>
  <si>
    <t>Apple iPhone 6S 16GB 32GB 64GB 128GB Unlocked 4G Smartphone Various Colour</t>
  </si>
  <si>
    <t>iPhone 12 Pro Max 128GB Graphite</t>
  </si>
  <si>
    <t>Apple iPhone XS Max 64GB 256GB 512GB - Unlocked Smartphone All Colours Excellent</t>
  </si>
  <si>
    <t>Apple iPhone 11 - 64GB 128GB 256GB - Unlocked - Very Good Condition - UK Stock</t>
  </si>
  <si>
    <t>Samsung Galaxy S20 Ultra 5G- 128GB - Black, Grey (Unlocked)</t>
  </si>
  <si>
    <t>Apple iPhone 11 Pro - All Sizes - All Colours - Unlocked - Very Good Condition</t>
  </si>
  <si>
    <t>Blackview</t>
  </si>
  <si>
    <t>Blackview A80 PLUS A80 Android Unlocked Smartphone Mobile Phone Dual SIM 13MP UK</t>
  </si>
  <si>
    <t>Apple iPhone XR - All Sizes &amp; All Colours - Unlocked - Good Condition Smartphone</t>
  </si>
  <si>
    <t>Apple iPhone 5S 16/32/64GB- Unlocked Smartphone All Colours Very Good Condition</t>
  </si>
  <si>
    <t>Google Pixel 6 Pro 5G - 128GB / 256GB - All Colours - Unlocked - Very Good</t>
  </si>
  <si>
    <t>Apple iPhone 12 64GB 128GB 256GB Unlocked All Colours - Very Good</t>
  </si>
  <si>
    <t>Apple iPhone 14 Pro Max - All Sizes -All Colours - Unlocked - Very Good</t>
  </si>
  <si>
    <t>Apple iPhone SE (2020) 2nd Generation 64GB 128GB Smartphone Very Good</t>
  </si>
  <si>
    <r>
      <t>⭐</t>
    </r>
    <r>
      <rPr>
        <sz val="10"/>
        <color rgb="FF000000"/>
        <rFont val="Helvetica Neue"/>
        <family val="2"/>
      </rPr>
      <t xml:space="preserve"> MINT NOKIA 6230i  Colour Camera -Unlocked Mobile Phone-  UK Warranty- FREE SIM</t>
    </r>
  </si>
  <si>
    <t>Apple iPhone 12 MINI 64GB 128GB - Unlocked All Colours - Good Condition</t>
  </si>
  <si>
    <t>Apple iPhone 12 Pro Max 128GB 256GB 512GB Unlocked All Colours - Excellent</t>
  </si>
  <si>
    <t>Apple iPhone 11 - 64GB, 128GB, 256GB Unlocked Smartphone All Colours - Very Good</t>
  </si>
  <si>
    <t>Apple iPhone 12 64GB 128GB 256GB All Colours Unlocked Good Condition</t>
  </si>
  <si>
    <t>Apple iPhone 7 Plus - 128GB - (Unlocked)</t>
  </si>
  <si>
    <t>Google Pixel 3A XL 64GB Unlocked 4G Android Smartphone Very Good Condition</t>
  </si>
  <si>
    <t>Apple iPhone 8 256GB-All Colours - Unlocked -Phone-Grade A+ 100% Battery Health</t>
  </si>
  <si>
    <t>Apple iPhone SE 2020 - 64/128/256GB - All Colours -UNLOCKED- EXCELLENT CONDITION</t>
  </si>
  <si>
    <t>Apple iPhone 8 Plus - 64GB 256GB - Unlocked Smartphone Various Colours Excellent</t>
  </si>
  <si>
    <r>
      <t>Samsung Galaxy S7 G930F 32GB Black White Gold Silver Rose Unlocked Good</t>
    </r>
    <r>
      <rPr>
        <sz val="10"/>
        <color rgb="FF000000"/>
        <rFont val="Apple Color Emoji"/>
      </rPr>
      <t>⭐</t>
    </r>
  </si>
  <si>
    <t>Apple iPhone XR - 64GB/128/256GB - ALL COLOURS - UNLOCKED - VERY GOOD CONDITION</t>
  </si>
  <si>
    <t>Samsung Galaxy NOTE20 5G 256GB Dual Sim Unlocked All Colours GOOD CONDITION</t>
  </si>
  <si>
    <r>
      <t>🔥</t>
    </r>
    <r>
      <rPr>
        <sz val="10"/>
        <color rgb="FF000000"/>
        <rFont val="Helvetica Neue"/>
        <family val="2"/>
      </rPr>
      <t>Apple iPhone SE 2020 2nd Gen 64GB iOS Red Smartphone Unlocked Grade A+ BOXED</t>
    </r>
    <r>
      <rPr>
        <sz val="10"/>
        <color rgb="FF000000"/>
        <rFont val="Apple Color Emoji"/>
      </rPr>
      <t>🔥</t>
    </r>
  </si>
  <si>
    <t>Samsung Galaxy S7 SM-G930F - 32GB - Black Gold Silver White Rose (Unlocked)</t>
  </si>
  <si>
    <t>Google Pixel 5 5G 128GB Unlocked Mostly Black Very Good Condition</t>
  </si>
  <si>
    <t>New Condition Nokia 6310i - Jet Black (Unlocked) Mobile Phone UK seller</t>
  </si>
  <si>
    <t>Apple iPhone 8 - 64GB, 256GB All Colours - Unlocked - Excellent Condition</t>
  </si>
  <si>
    <t>Apple iPhone 12 64GB/128GB/256&lt;wbr/&gt;GB - ALL COLOURS - UNLOCKED - Excellent Grade A</t>
  </si>
  <si>
    <t>Apple iPhone XS - 64GB/256/512GB - Grey/Silver/Go&lt;wbr/&gt;ld - UNLOCKED-Excel&lt;wbr/&gt;lent Grade A</t>
  </si>
  <si>
    <t>Samsung Galaxy S9 SM G960F 64GB Unlocked Smartphone Warranty VERY GOOD CONDITION</t>
  </si>
  <si>
    <t>Apple iPhone 11 Pro 64GB/256GB/512  ALL COLOURS - UNLOCKED - VERY GOOD CONDITION</t>
  </si>
  <si>
    <t>Apple iPhone 8 - 64GB 256GB - Unlocked All Colours - Good Condition</t>
  </si>
  <si>
    <t>Apple iPhone 8 - All Sizes - All Colours - Unlocked - Good Condition</t>
  </si>
  <si>
    <t>Samsung Galaxy Z Flip4 5G SM-F721B/DS 128/256GB Unlocked A+ Excellent Condition</t>
  </si>
  <si>
    <t>Apple iPhone SE 2022 5G 3rd Gen 64GB - 128GB - 256GB Grade A+ Pristine Condition</t>
  </si>
  <si>
    <t>Apple iPhone 12 Pro - 128GB 256GB 512GB - Unlocked - Excellent A+ Condition - UK</t>
  </si>
  <si>
    <r>
      <t xml:space="preserve">Samsung Galaxy A22 5G A226B 64GB Unlocked Black colour Android </t>
    </r>
    <r>
      <rPr>
        <sz val="10"/>
        <color rgb="FF000000"/>
        <rFont val="Apple Color Emoji"/>
      </rPr>
      <t>⭐⭐</t>
    </r>
    <r>
      <rPr>
        <sz val="10"/>
        <color rgb="FF000000"/>
        <rFont val="Helvetica Neue"/>
        <family val="2"/>
      </rPr>
      <t>Good Condition</t>
    </r>
  </si>
  <si>
    <t>Samsung Galaxy A51 2019 SM-A515F 128GB 4GB Smartphone Mobile Unlocked Grade A</t>
  </si>
  <si>
    <t>Samsung Galaxy S20 4G/5G -S20+ Plus 5G 128GB Unlocked Android Smartphone-*GO&lt;wbr/&gt;OD*</t>
  </si>
  <si>
    <t>Samsung Galaxy S21+ Plus - All Sizes &amp; Colours - Unlocked - Good Condition</t>
  </si>
  <si>
    <t>Blackberry</t>
  </si>
  <si>
    <t>Refurbished BlackBerry KEY2 Black 4.5" 64GB 4G Unlocked &amp; SIM F A2/PRD-63824-0&lt;wbr/&gt;35</t>
  </si>
  <si>
    <t>Samsung Galaxy S6 32GB SM-G920F Unlocked 4G LTE Android Smartphone All Colours</t>
  </si>
  <si>
    <t>Google Pixel 6 Pro - 128/256/512GB - ALL COLOURS - UNLOCKED -VERY GOOD CONDITION</t>
  </si>
  <si>
    <t>Apple iPhone XR 64GB 128GB 256GB - Unlocked Smartphone - Good Condition - UK</t>
  </si>
  <si>
    <t>Apple iPhone 11 Pro Max 64GB 256GB 512GB Unlocked Smartphone Good Condition</t>
  </si>
  <si>
    <t>Apple iPhone 11 Pro - 64GB, 256GB, 512GB Smartphone All Colours - Excellent</t>
  </si>
  <si>
    <t>Apple iPhone 13 Pro 128GB 256GB 512GB 1TB Unlocked All Colours - Very Good</t>
  </si>
  <si>
    <t>Apple iPhone 7 - 32GB/128GB/256&lt;wbr/&gt;GB - All Colours - UNLOCKED - GOOD CONDITION</t>
  </si>
  <si>
    <t>Samsung Galaxy S20 4G/5G - S20+ Plus 5G 128GB Unlocked Very GOOD CONDITION</t>
  </si>
  <si>
    <t>Apple iPhone 5S 16GB Unlocked Sim Free 4G Smartphone  Good Condition</t>
  </si>
  <si>
    <t>Apple iPhone XS Max 64GB 256GB 512GB - Unlocked Smartphone All Colours Very Good</t>
  </si>
  <si>
    <t>Apple iPhone 13 - All Sizes - All Colours - Unlocked - Excellent Condition</t>
  </si>
  <si>
    <t>Apple iPhone 11 Pro Max 64 256GB Unlocked Smartphone Sim Free Pristine Grade A+</t>
  </si>
  <si>
    <t>Samsung Galaxy S20 Ultra 5G SM-G988B 128GB Unlocked Warranty Very Good Condition</t>
  </si>
  <si>
    <t>Apple iPhone 11 Pro 64GB 256GB 512GB Unlocked All Colours Good Condition</t>
  </si>
  <si>
    <t>Samsung Galaxy A5 2017 32GB Unlocked 4G LTE Android Smartphone Various Colours</t>
  </si>
  <si>
    <t>Apple iPhone 7 - 32GB 128GB 256GB-Unlocked SIM Free Smartphone Colours Excellent</t>
  </si>
  <si>
    <t>Apple iPhone SE 2020 64GB 128GB 256GB - Unlocked All Colours - Good Condition</t>
  </si>
  <si>
    <r>
      <t xml:space="preserve">Samsung Galaxy A3 2017 16GB Unlocked Black Gold Blue Pink Android Phone </t>
    </r>
    <r>
      <rPr>
        <sz val="10"/>
        <color rgb="FF000000"/>
        <rFont val="Apple Color Emoji"/>
      </rPr>
      <t>⭐</t>
    </r>
    <r>
      <rPr>
        <sz val="10"/>
        <color rgb="FF000000"/>
        <rFont val="Helvetica Neue"/>
        <family val="2"/>
      </rPr>
      <t xml:space="preserve"> GOOD++</t>
    </r>
  </si>
  <si>
    <t>Huawei P30 Lite 128GB Unlocked 4G LTE Android Smartphone Excellent Device</t>
  </si>
  <si>
    <t>Google Pixel 5 5G - 128GB - Sage / Black - Unlocked - Good Condition</t>
  </si>
  <si>
    <t>SAMSUNG GALAXY Z FOLD3 5G 256GB 512GB 7.6" UNLOCKED ALL COLOUR *GOOD CONDITION*</t>
  </si>
  <si>
    <t>Samsung Galaxy Note20 Ultra 5G SM-N986 DS 256/512GB Unlocked Very Good Condition</t>
  </si>
  <si>
    <t>Apple iPhone 8 Plus - 64GB 128GB 256GB - Unlocked - Good Condition - UK</t>
  </si>
  <si>
    <t>Apple iPhone 12 Pro - All Sizes - All Colours - Unlocked - Excellent Condition</t>
  </si>
  <si>
    <t>Xiaomi</t>
  </si>
  <si>
    <t>Xiaomi Redmi Note 11 128GB FHD+ Unlocked Android Smartphone Dual Sim - Grey</t>
  </si>
  <si>
    <t>Apple iPhone SE 2022 3rd Gen 5G 64GB 128GB ALL COLOURS EXCELLENT CONDITION A++</t>
  </si>
  <si>
    <t>Apple iPhone XR - 64GB 128GB 256GB - Unlocked, Various Colours - Very Good</t>
  </si>
  <si>
    <t>Apple iPhone XS Max 64GB 256GB 512GB  Unlocked  All Colours -Excellent Condition</t>
  </si>
  <si>
    <t>Samsung Galaxy A20e (Dual SIM) - 32GB - Black (Unlocked) Smartphone</t>
  </si>
  <si>
    <t>Apple iPhone X (iPhone 10) 64GB 256GB All Colours Unlocked- Excellent Grade A</t>
  </si>
  <si>
    <t>Apple iPhone XR 64GB 128GB 256GB - Unlocked Smartphone - Excellent - Grade A</t>
  </si>
  <si>
    <t>Apple iPhone 12 Pro 128GB Unlocked All Colours - Very Good</t>
  </si>
  <si>
    <t>Apple iPhone 11 - 64GB 128GB - Unlocked - Free Next Day Delivery - Warranty</t>
  </si>
  <si>
    <t>Apple iPhone 12 Pro 128GB 256GB 512GB Unlocked All Colours - Excellent</t>
  </si>
  <si>
    <t>Huawei Mate 20 Pro 128GB 256GB Green Blue Twilight Pink Gold Black Unlocked</t>
  </si>
  <si>
    <t>Apple iPhone 13 Pro Max - 128GB 256GB 512GB - Excellent A+ Condition - Unlocked</t>
  </si>
  <si>
    <t>Apple iPhone 12 Mini 64GB 128GB 256GB All Colours Unlocked -Good Condition</t>
  </si>
  <si>
    <t>Samsung Galaxy Note 9 SM-N960F 128GB 6GB Mobile Midnight Black Unlocked GOOD{</t>
  </si>
  <si>
    <t>Apple iPhone 12 mini 64GB 128GB 256GB Unlocked All Colours - Excellent</t>
  </si>
  <si>
    <t>Apple iPhone 12 Pro Max - 128GB 256GB 512GB - Unlocked - Excellent A+ Condition</t>
  </si>
  <si>
    <t>Google Pixel 4a 5G 128GB Unlocked "Just Black" Very Good Condition</t>
  </si>
  <si>
    <t>Apple iPhone X 64GB 256GB ALL COLOURS Unlocked EXCELLENT CONDITION A++</t>
  </si>
  <si>
    <t>Google Pixel 4 XL 64GB 128GB Unlocked White/Black/Or&lt;wbr/&gt;ange Very Good Condition</t>
  </si>
  <si>
    <t>Samsung Galaxy J5 Smart Mobile Phone (2017) 16GB - Black (Unlocked) Grade A</t>
  </si>
  <si>
    <t>Apple iPhone 12 - 64GB 128GB 256GB - Unlocked - 12 Months Warranty - Very Good</t>
  </si>
  <si>
    <t>Samsung Galaxy Z Flip4 5G SM-F721B/DS 128/256GB Unlocked Very Good Condition</t>
  </si>
  <si>
    <t>Pristine Condition Nokia 8210 Various Colour (Unlocked) + 12 Months Warranty</t>
  </si>
  <si>
    <t>Samsung S21+ Plus 5G SM-G996B/DS DUAL SIM 128/256GB Unlocked Very Good Condition</t>
  </si>
  <si>
    <t>Apple iPhone 11 - 64GB / 128GB - Unlocked Smartphone - Very Good Condition</t>
  </si>
  <si>
    <t>Apple iPhone 6s+ Plus 16GB 32GB 64GB 128GB Unlocked Colours Very Good Condition</t>
  </si>
  <si>
    <t>Samsung Galaxy A20e  - 32GB - Black (Unlocked) (Dual SIM) Android Smartphone</t>
  </si>
  <si>
    <t>Apple iPhone 11 Pro Max 64GB 256GB 512GB All Colours Unlocked Good</t>
  </si>
  <si>
    <t>Apple iPhone 13 Pro Max 128GB 256GB 512GB 1TB Unlocked All Colours - Excellent</t>
  </si>
  <si>
    <t>Motorola Moto e30 Dual-SIM 32GB Unlocked 4G SIM-Free Smartphone - Blue B</t>
  </si>
  <si>
    <t>Apple iPhone 11 64GB 128GB 256GB - Unlocked Smartphone - Excellent - Grade A</t>
  </si>
  <si>
    <t>Apple iPhone 6 16GB 32GB 64GB 128GB Unlocked 4G Smartphone Very Good Condition</t>
  </si>
  <si>
    <t>Apple iPhone X - 64/256GB - Space Grey/ Silver - UNLOCKED -  VERY GOOD CONDITION</t>
  </si>
  <si>
    <t>Apple iPhone 6s 16GB 32GB 64GB 128GB Unlocked -All Colours - Excellent Condition</t>
  </si>
  <si>
    <t>Apple iPhone SE 32GB Silver White Unlocked 4G LTE UK Seller - Grade A + CHARGR</t>
  </si>
  <si>
    <t>Apple iPhone SE (2020) 2nd Gen 64GB,128GB Smartphone, All Colours, Excellent</t>
  </si>
  <si>
    <t>Samsung Galaxy A13 6.6'' 4G Smartphone 64GB Unlocked Dual-Sim - *Black* B</t>
  </si>
  <si>
    <t>Apple iPhone 13 Mini - All Sizes - All Colours - Unlocked - Good Condition</t>
  </si>
  <si>
    <t>Apple iPhone 11 Pro - 64GB, 256GB, 512GB Smartphone All Colours - Good</t>
  </si>
  <si>
    <t>Apple iPhone 11 64GB / 128GB / 256GB - UNLOCKED SMARTPHONE - VERY GOOD CONDITION</t>
  </si>
  <si>
    <t>Samsung Galaxy S7 SM-G930F - 32GB - BLACK (Unlocked)</t>
  </si>
  <si>
    <t>Samsung Galaxy Note20 Ultra 5G SM-N986 DS 256/512GB Unlocked Good Condition</t>
  </si>
  <si>
    <t>Apple iPhone 8 Plus - 64GB 128GB 256GB - Unlocked - Very Good Condition - UK</t>
  </si>
  <si>
    <t>Samsung Galaxy J3 2016 8GB Unlocked 4G LTE  Android Smartphone Gold/White/Bla&lt;wbr/&gt;ck</t>
  </si>
  <si>
    <t>Apple iPhone 11 Pro Max 64GB 256GB 512GB All Colours Unlocked Very Good</t>
  </si>
  <si>
    <t>Google Pixel 4 XL 64/128GB Unlocked All Colours Grade A+ Excellent Condition</t>
  </si>
  <si>
    <t>Apple iPhone 13 Pro 128GB 256GB 512GB Graphite Unlocked Excellent Condition</t>
  </si>
  <si>
    <t>Apple iPhone XR - 64GB/128/256GB - ALL COLOURS - UNLOCKED - Excellent Grade A</t>
  </si>
  <si>
    <t>Apple iPhone 11 64GB / 128GB / 256GB - UNLOCKED SMARTPHONE - GOOD CONDITION</t>
  </si>
  <si>
    <t>Apple iPhone 12 64GB 128GB 256GB Unlocked All Colours Good Condition</t>
  </si>
  <si>
    <t>Apple iPhone 11 Pro 64GB 256GB 512GB Unlocked All Colours - Very Good</t>
  </si>
  <si>
    <t>Apple iPhone 13 Pro Max 128GB 256GB 512GB 1TB Unlocked All Colours - Very Good</t>
  </si>
  <si>
    <t>Apple iPhone SE 2020 64GB 128GB 256GB All Colours Unlocked  Very Good</t>
  </si>
  <si>
    <t>Apple iPhone 12 Pro Max 128GB 256GB 512GB All Colours Unlocked Good</t>
  </si>
  <si>
    <t>OPPO</t>
  </si>
  <si>
    <t>OPPO Reno4 Pro 5G Dual SIM - 256GB - Blue - Unlocked - Very Good Grade B!</t>
  </si>
  <si>
    <t>Apple iPhone 12 Pro 128GB 256GB 512GB Unlocked Smartphone Good Condition</t>
  </si>
  <si>
    <t>Apple iPhone 12 Pro 256GB Unlocked All Colours - Very Good</t>
  </si>
  <si>
    <t>SAMSUNG GALAXY Z FOLD3 5G 256/512GB 12GB 7.6" Unlocked All Colours *EXCELLENT A*</t>
  </si>
  <si>
    <t>Apple iPhone 12 Pro Max 128GB 256GB 512GB Unlocked All Colours - Good Condition</t>
  </si>
  <si>
    <t>Apple iPhone 11 Pro - 64GB 256GB 512GB - Unlocked - Excellent A+ Condition - UK</t>
  </si>
  <si>
    <t>Alcatel</t>
  </si>
  <si>
    <t>Alcatel 10.68 1.8" 63 g Black Feature phone</t>
  </si>
  <si>
    <t>Apple iPhone 8 64GB–All Colours - Unlocked Smartphone - Excellent - Grade A</t>
  </si>
  <si>
    <t>Samsung Galaxy S22 Ultra 5G 128GB SIM-Free Smartphone 6.8" - Phantom Black B</t>
  </si>
  <si>
    <t>Samsung Galaxy A3 2017 16GB Unlocked 4G LTE Android Smartphone Various Colours</t>
  </si>
  <si>
    <t>Apple iPhone XS Max 64GB 256GB 512GB Unlocked Smartphone Good Refurbished</t>
  </si>
  <si>
    <t>Apple iPhone 11 Pro Max - 64GB 256GB 512GB - Unlocked - Excellent A+ Condition</t>
  </si>
  <si>
    <t>Huawei P30 Pro 128GB VOG-L09 Unlocked  4G Android Smartphone Good Condition</t>
  </si>
  <si>
    <t>Samsung S21 5G All Sizes All Colours Unlocked - Good Condition</t>
  </si>
  <si>
    <t>Samsung Galaxy Z Fold 3 5G - All Sizes All Colours Unlocked, Good Condition</t>
  </si>
  <si>
    <t>Apple iPhone 12 Pro 128GB 256GB 512GB All Colours Unlocked Excellent Condition</t>
  </si>
  <si>
    <t>Google Pixel 5 128GB 5G Unlocked Just Black Green Android Smartphone | Very Good</t>
  </si>
  <si>
    <t>Samsung Galaxy S20 5G / S21 5G 128GB/256GB Unlocked Android Smartphone-VER&lt;wbr/&gt;Y GOOD</t>
  </si>
  <si>
    <t>Apple iPhone 6 16GB  4G Unlocked Black colour - Good  Condition - UK Stock+</t>
  </si>
  <si>
    <t>Apple iPhone 8 64GB 128GB 256GB All Colours Unlocked Very Good Condition</t>
  </si>
  <si>
    <t>Apple iPhone 12 Pro Max 128GB/256GB/51&lt;wbr/&gt;2 - ALL COLOURS - UNLOCKED- GOOD CONDITION</t>
  </si>
  <si>
    <t>Apple iPhone 11 Pro Max 64GB/256GB/512 -ALL COLOURS-UNLOCK&lt;wbr/&gt;ED-VERY GOOD CONDITION</t>
  </si>
  <si>
    <t>Apple iPhone 14 Pro - All Sizes - All Colours - Unlocked - Excellent Condition</t>
  </si>
  <si>
    <t>Samsung Galaxy S20 4G/5G 128GB Dual Sim ALL COLOURS Unlocked *GOOD CONDITION*</t>
  </si>
  <si>
    <t>Google Pixel 5 GTT9Q 128GB 8GB 16MP Camera Smartphone Mobile Unlocked GOOD=</t>
  </si>
  <si>
    <t>Apple iPhone SE 2020 - All Sizes - All Colours - Unlocked - Very Good Condition</t>
  </si>
  <si>
    <t>Apple iPhone 6S 4G 4.7" SIM-Free Smart Phone 16GB - Rose Gold (No Accessories) C</t>
  </si>
  <si>
    <t>Apple iPhone 11 64GB 128GB 256GB All Colours  Unlocked  Excellent Condition</t>
  </si>
  <si>
    <t>Google Pixel 6 Pro 5G 128GB Unlocked All Colours Good Condition</t>
  </si>
  <si>
    <t>Samsung Galaxy A13 6.6'' Smartphone 64GB Unlocked Dual-Sim - (Light Blue) B+</t>
  </si>
  <si>
    <t>Apple iPhone XS - 64/256/512GB - All Colours - UNLOCKED - VERY GOOD CONDITION</t>
  </si>
  <si>
    <t>Samsung Galaxy S20 FE 5G SM-G781B/DS 128GB Unlocked Very Good Condition</t>
  </si>
  <si>
    <t>Oakcastle</t>
  </si>
  <si>
    <t>Oakcastle F100 Basic Mobile Feature Phone Keypad Dual SIM Bluetooth Music FM</t>
  </si>
  <si>
    <t>Apple iPhone 13 - All Sizes - All Colours - Unlocked - Very Good Condition</t>
  </si>
  <si>
    <t>Apple iPhone 7 32GB / 128GB iOS 4G LTE Unlocked Boxed  - Pristine Condition</t>
  </si>
  <si>
    <t>Google Pixel 4 XL 64GB 128GB Unlocked Clearly White,Black,Or&lt;wbr/&gt;ange Good Condition</t>
  </si>
  <si>
    <t>Apple iPhone XR 64GB 128GB 256GB - Unlocked - Excellent A+ Condition - UK Stock</t>
  </si>
  <si>
    <t>Motorola edge 20 pro - 256GB - Midnight Blue (Unlocked) (Dual SIM) -Please Read</t>
  </si>
  <si>
    <t>Samsung Galaxy A21s 32GB/64GB/128G&lt;wbr/&gt;B - All Colours - DualSIM Unlocked - Very Good</t>
  </si>
  <si>
    <t>Apple iPhone 12 Pro - 128GB 256GB 512GB - Unlocked - Very Good Condition - UK</t>
  </si>
  <si>
    <t>Apple iPhone 12 Mini 64GB 128GB 256GB Unlocked Phone, All Colour - Very GOOD - A</t>
  </si>
  <si>
    <t>Apple iPhone SE 2nd Gen (2020)-UNLOCKE&lt;wbr/&gt;D-64/128/256GB&lt;wbr/&gt;-IOS-ALL COLOURS-Excell&lt;wbr/&gt;ent</t>
  </si>
  <si>
    <t>Google Pixel 5 5G 128GB Unlocked All Colours Grade A+ Excellent Condition</t>
  </si>
  <si>
    <t>Samsung Galaxy S10 S10e S10+ PLUS NOTE 10+ 128GB Unlocked All Colour VERY GOOD</t>
  </si>
  <si>
    <t>Apple iPhone 4S 8GB16GB 32GB Unlocked Black White Smartphone 1Y Warranty GRADE A</t>
  </si>
  <si>
    <t>Motorola Moto E30 6.5'' 4G Smartphone 2GB RAM 32GB Dual-Sim Unlocked - Grey B+</t>
  </si>
  <si>
    <t>Samsung Galaxy S20 5G 128GB Dual Sim Unlocked All Colours *VERY GOOD CONDITION*</t>
  </si>
  <si>
    <t>Google Pixel 6 128GB 256GB 5G Unlocked Black Green Pink Smartphone Mobile | Good</t>
  </si>
  <si>
    <t>Apple iPhone 11 Pro 64GB 256GB 512GB  With Accessories Excellent</t>
  </si>
  <si>
    <t>Samsung Galaxy S20 Ultra S21 Ultra 5G 128GB Dual-Sim Android Phone UK VERY GOOD</t>
  </si>
  <si>
    <t>Apple iPhone 12 Mini - All Sizes - All Colours - Unlocked - Excellent Condition</t>
  </si>
  <si>
    <t>Samsung Galaxy A41 - 64GB - Blue (Unlocked) Smartphone Very Good Condition</t>
  </si>
  <si>
    <t>Samsung Galaxy Note 10 Plus 5G | Unlocked | All Colours | Good Condition</t>
  </si>
  <si>
    <t>Google Pixel 4  64GB 128GB - Black / Orange / White - Unlocked - Very Good B!</t>
  </si>
  <si>
    <t>Samsung Galaxy Note 20 Ultra 5G - 256GB, 512GB - Bronze, Black, White (Unlocked)</t>
  </si>
  <si>
    <t>Sony Xperia L4 XQ-AD51 4G LTE Android Smartphone Unlocked Black</t>
  </si>
  <si>
    <t>Apple iPhone XS Max 64GB 256GB 512GB  Unlocked  All Colours - Good Condition</t>
  </si>
  <si>
    <t>Google Pixel 6 128GB 256GB Mixed Colours Unlocked Very Good Condition</t>
  </si>
  <si>
    <t>Apple iPhone 13 Pro Max 128/256/512/1T&lt;wbr/&gt;B Unlocked Grade A+ Excellent Condition</t>
  </si>
  <si>
    <t>Samsung Galaxy S20 FE 128/256GB Unlocked All Colours Very Good Condition</t>
  </si>
  <si>
    <t>Apple iPhone XR 64GB 128GB 256GB Black Red Blue Coral White Unlocked Very Good</t>
  </si>
  <si>
    <t>Google Pixel 5 128GB 5G Unlocked Just Black Green Android Smart Phone | Good</t>
  </si>
  <si>
    <t>Samsung Galaxy A13 6.6'' 4G Smartphone 64GB Unlocked Dual-Sim - {Black} C</t>
  </si>
  <si>
    <t>Samsung Galaxy Note20 5G SM-N981B/DS 256GB DUAL SIM Unlocked Very Good Condition</t>
  </si>
  <si>
    <t>Apple iPhone XS 64GB 256GB 512GB - Unlocked All Colours - Good Condition</t>
  </si>
  <si>
    <t>Apple iPhone 13 5G 6.1" Smart Phone 128GB Unlocked Sim-Free - {Midnight} C</t>
  </si>
  <si>
    <t>Apple iPhone 7 32GB 128GB 256GB Unlocked All Colours Very Good Condition</t>
  </si>
  <si>
    <t>Apple iPhone 12 Pro Max 128GB 256GB 512GB Unlocked Graphite-Very Good-Sim Option</t>
  </si>
  <si>
    <t>Huawei P40 128GB 5G SIM FREE Unlocked Black with 20% Extra OFF - VERY GOOD - A</t>
  </si>
  <si>
    <t>OnePlus</t>
  </si>
  <si>
    <t>OnePlus 9 Pro LE2123 128GB 8GB 50MP Mobile Stellar Black Unlocked VERY GOOD{</t>
  </si>
  <si>
    <t>Apple iPhone 14 Pro Max 5G 6.7'' Smartphone 256GB Unlocked - (Space Black) B+</t>
  </si>
  <si>
    <t>Apple iPhone 6s 16GB 32GB 64GB 128GB Unlocked -All Colours - Good Condition</t>
  </si>
  <si>
    <t>Apple iPhone 11 64GB 128GB 256GB All Colours  Unlocked Very Good Condition</t>
  </si>
  <si>
    <t>Apple iPhone SE 2020 2nd Gen 64GB 128GB 256GB Unlocked EXCELLENT CONDITION A++</t>
  </si>
  <si>
    <t>Apple iPhone X - 64GB 256GB - All Colours - Unlocked - Very Good Condition</t>
  </si>
  <si>
    <t>Apple iPhone 13 Pro-UNLOCKED-1&lt;wbr/&gt;28/256/512GB/1&lt;wbr/&gt;TB-IOS-ALL COLOURS-Good</t>
  </si>
  <si>
    <t>Apple iPhone 11 64GB - Green - (Unlocked) Smartphone Very Good</t>
  </si>
  <si>
    <t>Apple iPhone 11 - 64GB 128GB 256GB Unlocked All Colours, 15% CODE OFF, VERY GOOD</t>
  </si>
  <si>
    <t>Xiaomi 11T 5G Dual Sim Unlocked Meteorite Grey 256GB Grade A boxed UK Warranty</t>
  </si>
  <si>
    <t>Apple iPhone 7 - 32GB 128GB - Unlocked Smartphone All Colours Excellent ***A***</t>
  </si>
  <si>
    <t>Apple iPhone 14 Pro Max 5G Smartphone 256GB Unlocked SIM-Free *Deep Purple* D</t>
  </si>
  <si>
    <t>Apple iPhone 11 Pro Max - 64GB, 256GB, 512GB Smartphone All Colours - Excellent</t>
  </si>
  <si>
    <t>Apple iPhone 12 64GB 128GB 256GB ALL COLOURS Unlocked EXCELLENT CONDITION A++</t>
  </si>
  <si>
    <r>
      <t>⭐</t>
    </r>
    <r>
      <rPr>
        <sz val="10"/>
        <color rgb="FF000000"/>
        <rFont val="Helvetica Neue"/>
        <family val="2"/>
      </rPr>
      <t xml:space="preserve"> Apple iPhone 6 16GB 32GB 64GB 4G Unlocked Grey Gold Silver - GRADE A + CHARGR</t>
    </r>
  </si>
  <si>
    <t>Samsung Galaxy S20 FE 5G 128GB 256GB Mint Navy White Red Unlocked Excellent</t>
  </si>
  <si>
    <t>Apple MGAA2B/A iPhone 6 Plus 4G 5.5'' Smartphone 16GB - Gold (No Accs) C</t>
  </si>
  <si>
    <t>Samsung Galaxy S9 | Unlocked | All Colours | Good Condition</t>
  </si>
  <si>
    <t>Samsung Galaxy XCover 4S Black 5" 32GB 4G Dual SIM unlocked to all network+CHGR</t>
  </si>
  <si>
    <t>Samsung Galaxy A80 2019 SM-A805F 128GB 8GB Smartphone Mobile Unlocked EXCELLENT=</t>
  </si>
  <si>
    <t>Apple iPhone 13 Pro Max 128/256/512/1T&lt;wbr/&gt;B Unlocked All Colours Good Condition</t>
  </si>
  <si>
    <t>Apple iPhone 11 Pro Max 64GB 256GB 512GB All Colours Unlocked Excellent</t>
  </si>
  <si>
    <t>TCL</t>
  </si>
  <si>
    <t>TCL 306 6.5'' 4G Android Smartphone 3GB RAM 32GB Unlocked Dual-Sim - *Blue* B</t>
  </si>
  <si>
    <t>Apple iPhone X (iPhone 10) 64GB 256GB Unlocked Space Grey/Silver Good Condition</t>
  </si>
  <si>
    <t>Samsung Galaxy NOTE10+ PLUS 5G 256GB Unlocked All Colours *VERY GOOD CONDITION*</t>
  </si>
  <si>
    <t>Apple iPhone 13 Pro Max - 128/256/512GB/&lt;wbr/&gt;1TB - All Colours - Excellent Condition</t>
  </si>
  <si>
    <t>Apple iPhone 13 Pro - All Sizes - All Colours - Unlocked - Very Good Condition</t>
  </si>
  <si>
    <t>Oppo</t>
  </si>
  <si>
    <t>Oppo Find X3 Pro CPH2173 256GB 12GB 50MP Smartphone Mobile Unlocked VERY GOOD=</t>
  </si>
  <si>
    <t>Apple iPhone 8 Plus 64GB / 256GB Unlocked Smartphone Very Good 1 Year Warranty</t>
  </si>
  <si>
    <t>Apple iPhone 12 Pro Max 128GB 256GB 512GB Unlocked All Colours - Good</t>
  </si>
  <si>
    <t>Apple iPhone 8 Plus 64GB 128GB 256GB ALLCOLOURS Unlocked EXCELLENT CONDITION A++</t>
  </si>
  <si>
    <t>Apple iPhone 12 Pro Max - 128GB 256GB 512GB - Unlocked - Good Condition - UK</t>
  </si>
  <si>
    <t>Apple iPhone 11 Pro Max A2218 64GB 4GB 12MP Smartphone Mobile Unlocked GOOD=</t>
  </si>
  <si>
    <t>Apple iPhone 11 Pro Max - 64GB 256GB 512GB - Unlocked - 12 Months Warranty</t>
  </si>
  <si>
    <t>Apple iPhone 13 Mini 5G 128GB 256GB ALL COLOURS Unlocked EXCELLENT CONDITION A++</t>
  </si>
  <si>
    <t>Apple iPhone 11 Pro 64GB/256GB/512&lt;wbr/&gt;GB - ALL COLOURS - UNLOCKED - GOOD CONDITION</t>
  </si>
  <si>
    <t>Apple iPhone XS 64GB 256GB 512GB All Colours Unlocked Good</t>
  </si>
  <si>
    <t>Apple iPhone 11 Pro Max - 64GB 256GB 512GB - Unlocked - Very Good Condition - UK</t>
  </si>
  <si>
    <t>Apple iPhone 12 Pro 128GB 256GB 512GB ALL COLOURS Unlocked EXCELLENT CONDITION</t>
  </si>
  <si>
    <t>Huawei P40 Pro 5G ELS-NX9 256GB 8GB Smartphone Silver Frost Unlocked VERY GOOD{</t>
  </si>
  <si>
    <t>Google Pixel 6a 5G Smartphone Android 6.1” SIM Free 128GB Charcoal C Grade</t>
  </si>
  <si>
    <t>Samsung Galaxy S20 FE 4G/5G 128GB Dual Sim All Colours **VERY GOOD CONDITION**</t>
  </si>
  <si>
    <t>Motorola XT2231-2 Moto G22 4G 6.5" Smartphone 64GB 4GB RAM Unlocked - Black B</t>
  </si>
  <si>
    <t>Apple iPhone 8 64GB, 256GB - Gold Space Grey Silver Red - Unlocked - Grade B</t>
  </si>
  <si>
    <t>Apple iPhone 8 - 64GB/256GB - Gold/Grey/ Silver Red UNLOCKED - Excellent Grade A</t>
  </si>
  <si>
    <r>
      <t>🔥</t>
    </r>
    <r>
      <rPr>
        <sz val="10"/>
        <color rgb="FF000000"/>
        <rFont val="Helvetica Neue"/>
        <family val="2"/>
      </rPr>
      <t xml:space="preserve">Apple iPhone X - 64/256GB - Space Grey/ Silver - UNLOCKED -  GOOD CONDITION </t>
    </r>
    <r>
      <rPr>
        <sz val="10"/>
        <color rgb="FF000000"/>
        <rFont val="Apple Color Emoji"/>
      </rPr>
      <t>🔥</t>
    </r>
  </si>
  <si>
    <t>Apple iPhone 12 Pro 128GB Graphite Unlocked Sim Free Mobile Smartphone A2407 A</t>
  </si>
  <si>
    <t>Samsung Galaxy Ace GT-5830i unlocked smartphone Very Good</t>
  </si>
  <si>
    <t>Samsung Galaxy A51 Dual SIM 128GB Unlocked Black White Android Phone 4G | Good</t>
  </si>
  <si>
    <t>Samsung Galaxy S20 5G 128GB Dual Sim Unlocked All Colours UK STOCK *GREAT VALUE*</t>
  </si>
  <si>
    <t>Apple iPhone XR 64GB 128GB 256GB All Colours Unlocked Very Good Condition</t>
  </si>
  <si>
    <t>BlackBerry</t>
  </si>
  <si>
    <t>Refurbished BlackBerry KEY2 Black 4.5" 64GB 4G Unlocked &amp; SIM F A1/PRD-63824-0&lt;wbr/&gt;35</t>
  </si>
  <si>
    <t>Apple iPhone 5S 16GB Unlocked Sim Free 4G LTE Smartphone Very Good Condition</t>
  </si>
  <si>
    <t>Apple iPhone 6S 32GB Unlocked Space Grey 4G LTE Smartphone - Pristine Condition</t>
  </si>
  <si>
    <t>Samsung S21 5G 128GB - ALL COLOURS - UNLOCKED - VERY GOOD CONDITION</t>
  </si>
  <si>
    <t>Apple iPhone 8 PLUS - 64/128/256GB - All Colours - UNLOCKED - GOOD CONDITION</t>
  </si>
  <si>
    <t>APPLE iPHONE 14 128GB MIDNIGHT UNLOCKED MPUQ3J/A A2881 100% BATTERY LIFE</t>
  </si>
  <si>
    <t>Apple iPhone SE 2020 64GB 128GB 256GB All Colours Unlocked Excellent</t>
  </si>
  <si>
    <t>Apple iPhone 11 64GB 128GB 256GB Black Green Purple Red White Unlocked Good</t>
  </si>
  <si>
    <t>Apple iPhone 12 Mini 5G 64/128/256GB ALLCOLOURS Unlocked EXCELLENT CONDITION A++</t>
  </si>
  <si>
    <t>Apple iPhone 11 Pro - 64GB 256GB 512GB - Unlocked - Good Condition - UK</t>
  </si>
  <si>
    <t>Apple iPhone 11 Pro 64GB 256GB 512GB Unlocked Smartphone Good Condition Warranty</t>
  </si>
  <si>
    <t>Samsung S21 5G 128GB - ALL COLOURS - UNLOCKED - GOOD CONDITION</t>
  </si>
  <si>
    <t>Apple iPhone 11 Pro - 64GB, 256GB, 512GB Smartphone All Colours - Very Good</t>
  </si>
  <si>
    <t>Samsung Galaxy A8 2018 32GB SM-A530F Unlocked Dual Sim 4G Android Smartphone ++</t>
  </si>
  <si>
    <t>OPPO FIND X5 PRO 256GB GLAZE BLACK 5G DUAL SIM UNLOCKED CPH2305 CUSTOMER RETURNS</t>
  </si>
  <si>
    <t>Apple iPhone 13 128/256/512GB Unlocked All Colours Grade A+ Excellent Condition</t>
  </si>
  <si>
    <t>Huawei P30 Pro VOG-L09 128GB 40MP Smartphone Mobile Mystic Blue Unlocked GOOD{</t>
  </si>
  <si>
    <t>Samsung Galaxy Note 10+ 5G - All Sizes -2 Colours -Unlocked -Very Good Condition</t>
  </si>
  <si>
    <t>Apple iPhone XR - 64GB - (Unlocked)</t>
  </si>
  <si>
    <t>Apple iPhone 8-UNLOCKED-64/&lt;wbr/&gt;256GB-IOS-ALL COLOURS-Good Condition</t>
  </si>
  <si>
    <t>Apple iPhone 13 Pro - All Sizes - All Colours - Unlocked - Good Condition</t>
  </si>
  <si>
    <t>Apple iPhone 12 Mini 64GB 128GB 256GB Unlocked All Colours - Very Good</t>
  </si>
  <si>
    <t>Google Pixel 3A 64GB Unlocked 4G Android Smartphone Mix Colour Good Condition</t>
  </si>
  <si>
    <t>Apple iPhone 13 Pro Max Graphite 128GB 256GB 512GB 1TB Unlocked GREAT Condition</t>
  </si>
  <si>
    <t>Apple iPhone 8 Plus - 64GB - Space Grey (Unlocked) A1897 (GSM)</t>
  </si>
  <si>
    <t>Apple iPhone 12 Mini 64GB 128GB 256GB All Colours Unlocked Excellent Condition</t>
  </si>
  <si>
    <t>Google Pixel 4 64GB 128GB Unlocked Black White Orange Android Phone | Very Good</t>
  </si>
  <si>
    <t>Google Pixel 6A G1AZG 128GB 6GB Smartphone Mobile Chalk Unlocked VERY GOOD{</t>
  </si>
  <si>
    <t>Oppo Reno4 Z 5G 128GB Black White Unlocked Mobile Phone Smartphone Very Good</t>
  </si>
  <si>
    <t>Samsung Note20 Ultra DS 128/256/512GB Unlocked Grade A+ Excellent Condition</t>
  </si>
  <si>
    <t>Apple iPhone 12 PRO 128GB 256GB 512GB ALL Unlocked GOOD Condition Warranty</t>
  </si>
  <si>
    <t>Samsung Galaxy A6 2018 SM-A600FN 32GB/3GB 16MP Mobile Black Unlocked GOOD</t>
  </si>
  <si>
    <t>Apple iPhone 12 Pro 128GB 256GB 512GB Unlocked Smartphone Excellent Condition</t>
  </si>
  <si>
    <t>Samsung Galaxy S10/S10e/S10+ PLUS 128GB Dual Sim Unlocked *EXCELLENT Condition*</t>
  </si>
  <si>
    <t>Samsung Galaxy A80 2019 SM-A805F 128GB 8GB Mobile Angel Gold Unlocked EXCELLENT{</t>
  </si>
  <si>
    <t>Apple iPhone XR A2105 64GB 3GB 12MP Smartphone Mobile Black Unlocked GOOD{</t>
  </si>
  <si>
    <t>Samsung Galaxy S20 FE 128GB 256GB Lavender Mint Navy White Red Orange Unlocked</t>
  </si>
  <si>
    <t>Samsung Galaxy J5 SM-J510F 2016 - 16GB - Black (Unlocked) (Single SIM) Android</t>
  </si>
  <si>
    <t>New Condition  Nokia 6300 GOLD Unlocked Camera Bluetooth Classic Mobile Phone</t>
  </si>
  <si>
    <t>Nokia 3220 Sim Free Unlocked Mobile Phone with Lights Good Condition</t>
  </si>
  <si>
    <t>Samsung Galaxy S20 - 128GB - Cosmic Blue Pink Grey - Unlocked - Good Condition!</t>
  </si>
  <si>
    <t>SAMSUNG GALAXY J5 2015 J500FN - 8GB - VARIOUS COLOURS - UNLOCKED - Grade B</t>
  </si>
  <si>
    <t>Blackview BV4900 5.7" Android Unlocked Rugged Smartphone Mobile phone 3+32GB UK</t>
  </si>
  <si>
    <t>Google Pixel 7 128GB 256GB ALL Colours Unlocked EXCELLENT Warranty</t>
  </si>
  <si>
    <r>
      <t>⭐</t>
    </r>
    <r>
      <rPr>
        <sz val="10"/>
        <color rgb="FF000000"/>
        <rFont val="Helvetica Neue"/>
        <family val="2"/>
      </rPr>
      <t>Samsung Galaxy A20e Dual SIM 32GB Unlocked Black White Blue 4G Phone Grade A +</t>
    </r>
    <r>
      <rPr>
        <sz val="10"/>
        <color rgb="FF000000"/>
        <rFont val="Apple Color Emoji"/>
      </rPr>
      <t>⭐</t>
    </r>
  </si>
  <si>
    <t>Apple iPhone XS Unlocked Smartphone - 64GB 256GB 512GB - Very Good</t>
  </si>
  <si>
    <t>Motorola E6 Play 32gb 4G LTE Android Smartphone Unlocked Grey</t>
  </si>
  <si>
    <t>Apple iPhone 8 64GB 128GB 256GB ALL COLOURS Unlocked EXCELLENT CONDITION A++</t>
  </si>
  <si>
    <t>Apple iPhone 8 PLUS - 64/128/256GB - All Colours - UNLOCKED- VERY GOOD CONDITION</t>
  </si>
  <si>
    <t>Apple iPhone 13 128GB 256GB 512GB Unlocked All Colours - Excellent</t>
  </si>
  <si>
    <t>OnePlus 8T - 128GB - Lunar Silver (Unlocked) - Excellent Condition</t>
  </si>
  <si>
    <t>Apple iPhone 14 6.1" 5G iOS Smartphone 128GB Unlocked SIM-Free - *Midnight* B</t>
  </si>
  <si>
    <t>Apple iPhone 11 64GB/128GB/256&lt;wbr/&gt;GB - Very Good Condition - TWO YEAR WARRANTY</t>
  </si>
  <si>
    <t>Apple iPhone XS - (Unlocked)</t>
  </si>
  <si>
    <t>Apple iPhone 8+ Plus 64GB 128GB 256GB Unlocked All Colours Good Condition</t>
  </si>
  <si>
    <t>OnePlus 8T 128GB 256GB Green Silver Cyberpunk Unlocked Mobile Phone Very Good</t>
  </si>
  <si>
    <t>Google Pixel 4 XL - 64GB 128GB - All Colours - (Unlocked) - Good Condition</t>
  </si>
  <si>
    <t>Samsung Galaxy Note10+ 4G Note10 Plus 5G Unlocked All Colours **GOOD CONDITION**</t>
  </si>
  <si>
    <t>Blackview A60 6.1" 16GB Unlocked Smartphone Dual SIM Mobile Phone 4080mAh 5+13MP</t>
  </si>
  <si>
    <t>Samsung Galaxy S20 Ultra 5G - All Sizes/Colours - Unlocked - Good Condition</t>
  </si>
  <si>
    <t>Apple iPhone 14 - All Sizes - All Colours - Unlocked - Excellent Condition</t>
  </si>
  <si>
    <t>Apple iPhone 14 Plus - 128GB Blue - Unlocked SIM FREE - 100% BH - Apple Warranty</t>
  </si>
  <si>
    <r>
      <t xml:space="preserve">Samsung Galaxy A5 2017 32GB Unlocked Black Gold Blue Pink Android Phone </t>
    </r>
    <r>
      <rPr>
        <sz val="10"/>
        <color rgb="FF000000"/>
        <rFont val="Apple Color Emoji"/>
      </rPr>
      <t>⭐</t>
    </r>
    <r>
      <rPr>
        <sz val="10"/>
        <color rgb="FF000000"/>
        <rFont val="Helvetica Neue"/>
        <family val="2"/>
      </rPr>
      <t xml:space="preserve"> GOOD</t>
    </r>
  </si>
  <si>
    <t>Apple iPhone 11 Pro Max 64GB 128GB 256GB - All Colours - Very Good Condition</t>
  </si>
  <si>
    <t>Apple iPhone 12 - All Sizes - All Colours - Unlocked - Excellent Condition</t>
  </si>
  <si>
    <t>Samsung Galaxy A13 5G 6.5'' Smartphone 4GB RAM 64GB Sim-Free - White B</t>
  </si>
  <si>
    <t>iPhone 12 Pro - All Colours - GRADE A - Excellent Condition - (Renewed)</t>
  </si>
  <si>
    <t>Google Pixel 5 - 128GB - ALL COLOURS - UNLOCKED - VERY GOOD CONDITION</t>
  </si>
  <si>
    <t>Apple iPhone XR - 64GB/128/256GB - ALL COLOURS - UNLOCKED - EXCELLENT CONDITION</t>
  </si>
  <si>
    <t>Apple iPhone 11 Pro - All Sizes - All Colours - Unlocked - Excellent Condition</t>
  </si>
  <si>
    <t>Apple iPhone 12 Mini 5G 64GB - 128GB - 256GB iOS Smartphone Very Good Condition</t>
  </si>
  <si>
    <t>SAMSUNG GALAXY S22 ULTRA 5G SM-S908B/DS 256GB 12GB RAM Phantom Black Unlocked</t>
  </si>
  <si>
    <t>Apple iPhone 12 Mini 64GB 128GB 256GB Unlocked All Colours Very Good Condition</t>
  </si>
  <si>
    <t>Samsung Galaxy S20+ PLUS 5G 128GB Dual Sim All Colours **VERY GOOD CONDITION**</t>
  </si>
  <si>
    <t>Apple iPhone 11 Purple 64GB (Unlocked) Smartphone Excellent Condition</t>
  </si>
  <si>
    <t>Samsung Galaxy Xcover 4s 32GB Black Dual SIM (Unlocked) Android Tough Smartphone</t>
  </si>
  <si>
    <t>Apple iPhone 12 PRO MAX 128GB 256GB 512GB ALL Unlocked GOOD Condition Warranty</t>
  </si>
  <si>
    <t>Huawei P30 Pro 256GB New Edition Dual Sim VOG-L29 Unlocked 4G Android Smartphone</t>
  </si>
  <si>
    <t>Apple iPhone XR 64GB 128GB 256GB Unlocked  Good Condition 12 month Warranty</t>
  </si>
  <si>
    <t>Samsung Galaxy Z Fold 3 5G - All Sizes All Colours Unlocked, Very Good Condition</t>
  </si>
  <si>
    <t>Apple iPhone SE 32GB Silver Grey Unlocked 4G LTE UK Seller -Grade A + FREE CHARG</t>
  </si>
  <si>
    <t>Apple iPhone 12 - 64GB 128GB 256GB - Unlocked - Good Condition - UK Stock</t>
  </si>
  <si>
    <r>
      <t xml:space="preserve">Samsung Galaxy A5 2017 32GB Unlocked Black Gold Blue Pink Android Phone </t>
    </r>
    <r>
      <rPr>
        <sz val="10"/>
        <color rgb="FF000000"/>
        <rFont val="Apple Color Emoji"/>
      </rPr>
      <t>⭐</t>
    </r>
    <r>
      <rPr>
        <sz val="10"/>
        <color rgb="FF000000"/>
        <rFont val="Helvetica Neue"/>
        <family val="2"/>
      </rPr>
      <t xml:space="preserve"> GOOD+</t>
    </r>
  </si>
  <si>
    <t>Motorola Moto X XT1052 16GB 32GB 64GB Black White Unlocked Smartphone Excellent</t>
  </si>
  <si>
    <t>Apple iPhone 12 Mini 64GB 128GB 256GB Unlocked All Colours - Good</t>
  </si>
  <si>
    <t>Samsung Galaxy S6 32GB 64GB Unlocked Black White Gold Blue Android | Very Good</t>
  </si>
  <si>
    <t>Samsung Galaxy A71 4G SM-A715F/DS Crush Silver 128GB  Grade B UK Warranty Seller</t>
  </si>
  <si>
    <t>Apple iPhone 11 - 64GB - (Unlocked)</t>
  </si>
  <si>
    <t>Samsung Galaxy Note 4 32GB (Unlocked) - Charcoal Black Very Good Condition</t>
  </si>
  <si>
    <t>Huawei P30 Pro - 128GB - All Colours - Unlocked - Good Condition</t>
  </si>
  <si>
    <t>Apple iPhone 13 Mini - All Sizes - All Colours - Unlocked - Very Good Condition</t>
  </si>
  <si>
    <t>Apple iPhone XR 64GB 128GB 256GB Black Red Yellow Blue Coral White Unlocked Good</t>
  </si>
  <si>
    <t>Apple iPhone 12 Pro 128GB 256GB 512GB Unlocked Graphite-Very Good-Sim Option</t>
  </si>
  <si>
    <t>Apple iPhone XR - All Sizes &amp; Colours (UNLOCKED) Very Good Condition Smartphone</t>
  </si>
  <si>
    <t>Apple iPhone 13 Pro 128GB 256GB 512GB 1TB Unlocked Silver- Excellent- Sim Option</t>
  </si>
  <si>
    <t>Samsung Galaxy NOTE20 4G 256GB Dual Sim Unlocked All Colours VERY GOOD CONDITION</t>
  </si>
  <si>
    <t>Apple iPhone 13 Pro 128GB 256GB 512GB 1TB Unlocked Black - Excellent- Sim Option</t>
  </si>
  <si>
    <r>
      <t xml:space="preserve">UNLOCKED </t>
    </r>
    <r>
      <rPr>
        <sz val="10"/>
        <color rgb="FF000000"/>
        <rFont val="Apple Color Emoji"/>
      </rPr>
      <t>⭐</t>
    </r>
    <r>
      <rPr>
        <sz val="10"/>
        <color rgb="FF000000"/>
        <rFont val="Helvetica Neue"/>
        <family val="2"/>
      </rPr>
      <t>EXCELLENT</t>
    </r>
    <r>
      <rPr>
        <sz val="10"/>
        <color rgb="FF000000"/>
        <rFont val="Apple Color Emoji"/>
      </rPr>
      <t>⭐</t>
    </r>
    <r>
      <rPr>
        <sz val="10"/>
        <color rgb="FF000000"/>
        <rFont val="Helvetica Neue"/>
        <family val="2"/>
      </rPr>
      <t xml:space="preserve"> NOKIA 3310 MOBILE WITH MAINS PLUG AND FREE SIM CARD</t>
    </r>
  </si>
  <si>
    <t>Apple iPhone 11 Pro 64GB 256GB - Unlocked - 12 Months Warranty - Very Good</t>
  </si>
  <si>
    <t>Apple iPhone 12 (PRODUCT) RED - 64GB (Unlocked) Smartphone Excellent Condition</t>
  </si>
  <si>
    <t>Alcatel U5 5044Y 8GB Unlocked Smartphone 5.0" In 5MP Camera Good Condition</t>
  </si>
  <si>
    <t>Samsung Galaxy J3 2016 8GB Unlocked Black White Gold Android Phone | Very Good</t>
  </si>
  <si>
    <t>Dual Sim Nokia 108  FM Radio GSM Bluetooth Unlocked+ 12 Months warranty</t>
  </si>
  <si>
    <t>Apple iPhone 12 Pro Max - Unlocked - All Colours &amp; GB -  12 Months Warranty - A+</t>
  </si>
  <si>
    <t>Apple iPhone 12 - 64GB 128GB 256GB - Unlocked - Very Good Condition - UK Stock</t>
  </si>
  <si>
    <t>Apple iPhone 11 Pro 64GB 256GB 512GB Unlocked Green -Very Good -Sim Option</t>
  </si>
  <si>
    <t>Huawei Mate 40 Pro 256gb 5G Android Smartphone Unlocked Silver</t>
  </si>
  <si>
    <t>Apple iPhone 6s+ Plus 16GB 32GB 64GB 128GB Unlocked Colours Good Condition</t>
  </si>
  <si>
    <t>Google Pixel 6 5G - 128GB - All Colours - Unlocked - Very Good Condition</t>
  </si>
  <si>
    <t>SAMSUNG GALAXY S21 5G | S21+ PLUS 5G | S21 ULTRA 5G UNLOCKED LATEST ANDROID</t>
  </si>
  <si>
    <t>Samsung Galaxy S9 Dual SIM | 64GB | Unlocked | Blue Black Gold Grey Purple</t>
  </si>
  <si>
    <t>Samsung Galaxy S20 G980F/DS Dual Sim Unlocked All Grade A+ Excellent Condition</t>
  </si>
  <si>
    <t>Samsung Galaxy S21 Ultra 5G 128GB 256GB Dual Sim UNLOCKED Android GOOD Condition</t>
  </si>
  <si>
    <t>Samsung Galaxy S21 FE - 128GB 256GB All Colours Unlocked - Very Good Condition</t>
  </si>
  <si>
    <t>Apple iPhone 12 Pro 128GB 256GB 512GB Unlocked All Colours Good Condition</t>
  </si>
  <si>
    <t>Apple iPhone 8 Plus 64GB 256GB UNLOCKED Refurbished Colours - Excellent Grade A</t>
  </si>
  <si>
    <t>Samsung Galaxy S10 - All Sizes - All Colours - Unlocked - Very Good Condition</t>
  </si>
  <si>
    <r>
      <t>⭐⭐</t>
    </r>
    <r>
      <rPr>
        <sz val="10"/>
        <color rgb="FF000000"/>
        <rFont val="Helvetica Neue"/>
        <family val="2"/>
      </rPr>
      <t xml:space="preserve"> Apple iPhone 5s 16GB Factory Unlocked 4G LTE Smartphone Good Condition</t>
    </r>
  </si>
  <si>
    <t>Samsung Galaxy Note 20 Ultra 5G, 256GB, White, Unlocked - Good Condition</t>
  </si>
  <si>
    <t>Samsung Galaxy S21+ 5G -128GB, 256GB - Black, Violet, Silver (Unlocked)</t>
  </si>
  <si>
    <t>Apple iPhone 11 64GB 128GB 256GB Unlocked - Good Condition - TWO YEAR WARRANTY</t>
  </si>
  <si>
    <t>Samsung Galaxy S20 FE 5G SM-G781B/DS 128GB Unlocked Grade A+ Excellent</t>
  </si>
  <si>
    <t>Apple iPhone 11 Pro - 64GB 256GB 512GB - Unlocked - Very Good  Condition - UK</t>
  </si>
  <si>
    <t>Apple iPhone 11 Pro 64GB 256GB 512GB Unlocked Grey - Good -Sim Option</t>
  </si>
  <si>
    <t>Apple iPhone X - (Unlocked)</t>
  </si>
  <si>
    <t>Samsung Galaxy S20 FE 128/256GB Unlocked All Colours A+ Excellent Condition</t>
  </si>
  <si>
    <t>Samsung Galaxy S10 S10+ PLUS 128GB Dual Sim Unlocked All Colour *GOOD CONDITION*</t>
  </si>
  <si>
    <t>Apple iPhone 8 Plus - Unlocked All Colours - Good Condition</t>
  </si>
  <si>
    <t>Apple iPhone 8 Plus - 64GB 128GB 256GB - Unlocked - Excellent A+ Condition - UK</t>
  </si>
  <si>
    <t>Samsung Galaxy S20 FE 5G G781B/DS 128GB DUAL SIM Unlocked Good Condition</t>
  </si>
  <si>
    <t>IMO</t>
  </si>
  <si>
    <t>IMO Q5 5.5" SIM-Free Smartphone 4G 16GB Unlocked - Midnight Blue C</t>
  </si>
  <si>
    <t>Samsung Galaxy A52s 5G SM-A528B 128GB 6GB Smartphone Mobile Unlocked VERY GOOD=</t>
  </si>
  <si>
    <t>Sony Xperia L3 - 32GB - Black (Unlocked) (Single SIM) GRADE A + CHARGR LEAD</t>
  </si>
  <si>
    <t>New Condition Nokia C2-01 - Black (Unlocked) Mobile Phone</t>
  </si>
  <si>
    <t>Apple iPhone 7 Plus - 32GB 128GB 256GB - Unlocked Smartphone Excellent Condition</t>
  </si>
  <si>
    <t>Samsung Galaxy S9 SM-G960F - 64GB - (Unlocked) Very Good Condition</t>
  </si>
  <si>
    <t>Google Pixel 6 Pro 5G - 128GB / 256GB - All Colours - Unlocked - Good Condition</t>
  </si>
  <si>
    <t>Samsung Galaxy S22+ Plus 5G SM-S906B/DS 128/256GB Unlocked Grade A+ Excellent</t>
  </si>
  <si>
    <t>Apple iPhone XR 64GB Mobile Phone SIM Free - Black</t>
  </si>
  <si>
    <t>Apple iPhone 12 Pro 128GB 256GB 512GB Unlocked Silver- Good -Sim Option</t>
  </si>
  <si>
    <t>Apple iPhone 13 Pro Max - All Sizes &amp; Colours - Unlocked - Excellent Condition</t>
  </si>
  <si>
    <t>Samsung Galaxy Note 20 Ultra 5G SM-N986B 256GB 12GB Mobile Unlocked VERY GOOD=</t>
  </si>
  <si>
    <t>Samsung Galaxy S20 5G 128GB - Unlocked - Excellent Condition - All Colours</t>
  </si>
  <si>
    <t>Apple iPhone 12 Pro - 128GB 256GB - Unlocked - Free Next Day Delivery - Warranty</t>
  </si>
  <si>
    <t>OnePlus 10 Pro - 128GB - Volcanic Black (Unlocked) (Dual SIM)</t>
  </si>
  <si>
    <t>Samsung Galaxy S20 | Unlocked | All Colours | Very Good Condition</t>
  </si>
  <si>
    <t>Apple iPhone 12 64, 128, 256 GB Unlocked Smartphone Sim Free Pristine Grade A+</t>
  </si>
  <si>
    <t>Samsung Galaxy S10 5G SM-G977B - 256GB 512GB Unlocked All Colours Good Condition</t>
  </si>
  <si>
    <t>Samsung Galaxy S22 Ultra 5G SM-S908B 128/256/512/1T&lt;wbr/&gt;B Unlocked Grade A+ Excellent</t>
  </si>
  <si>
    <t>Motorola Moto E20 6.5'' Smartphone 32GB SIM-Free Unlocked - *Coastal Blue* B</t>
  </si>
  <si>
    <t>Samsung Galaxy Note10 4G 256GB Dual Sim Android Unlocked All Colours *VERY GOOD*</t>
  </si>
  <si>
    <t>Samsung Galaxy S10 SM-G973W 128GB Smartphone Prism Green Unlocked NON UK MODEL</t>
  </si>
  <si>
    <t>Apple iPhone XS 64GB 256GB 512GB - Unlocked - 1 Year Warranty - Grade A+</t>
  </si>
  <si>
    <t>Samsung Galaxy S10+ Plus SM-G975F/DS 128/512GB/1TB Unlocked Very Good Condition</t>
  </si>
  <si>
    <t>NOKIA 6310i - (REFURBISHED) - SILVER - MOBILE PHONE – 3 MTH GUARANTEE</t>
  </si>
  <si>
    <t>Samsung Galaxy S20 128GB Dual Sim *LIMITED MEGA OFFER* Unlocked *GOOD CONDITION*</t>
  </si>
  <si>
    <t>Honor</t>
  </si>
  <si>
    <t>Refurbished Honor Magic4 Pro Black 6.81" 256GB 5G Unlocked &amp; SIM Fre A1/5109AFDK</t>
  </si>
  <si>
    <t>Apple iPhone XS Max 64GB Space Grey Unlocked Sim Free Mobile Smartphone A2101 C2</t>
  </si>
  <si>
    <t>Samsung Galaxy S20 FE Dual Sim-UNLOCKED-1&lt;wbr/&gt;28/256GB-ANDRO&lt;wbr/&gt;ID-ALL COLOURS-Very Good</t>
  </si>
  <si>
    <t>Samsung Galaxy Z Flip3 5G SM-F711B 128GB 8GB Phantom Black Unlocked VERY GOOD{</t>
  </si>
  <si>
    <t>Apple iPhone 11 Pro Max 64GB 128GB 256GB - All Colours - Good Condition</t>
  </si>
  <si>
    <t>Samsung Galaxy a52s 6.5" 5G Smartphone Android 6GB RAM 128GB Black C Grade</t>
  </si>
  <si>
    <t>Apple iPhone XS 64GB 256GB 512GB ALL COLOURS Unlocked EXCELLENT CONDITION A++</t>
  </si>
  <si>
    <t>Samsung Galaxy S22 5G 6.1'' Smartphone 256GB Unlocked SIM-Free - (Black) B+</t>
  </si>
  <si>
    <t>Apple iPhone 12-UNLOCKED-64&lt;wbr/&gt;/128/256GB-IOS&lt;wbr/&gt;-ALL COLOURS-Good Condition</t>
  </si>
  <si>
    <t>Apple iPhone 12 Pro 128GB 256GB 512GB Unlocked All Colours - Good Condition</t>
  </si>
  <si>
    <t>Samsung Galaxy A12 Smartphone, 64GB, Network Unlocked, Black, SM-A125F</t>
  </si>
  <si>
    <t>Apple iPhone 12 Pro Gold Unlocked 128GB 256GB 512GB GREAT Condition Warranty</t>
  </si>
  <si>
    <t>Samsung Galaxy Note20 Ultra 5G 256GB 512GB Unlocked Dual-Sim Android- Very GOOD*</t>
  </si>
  <si>
    <t>Samsung Galaxy S21 5G 128GB 256GB All Colours Unlocked Very Good</t>
  </si>
  <si>
    <t>Apple iPhone 11 - Unlocked - 64/128/256GB - All Colours - Excellent Condition</t>
  </si>
  <si>
    <t>Samsung Galaxy Note 10+ 5G - All Sizes - 2 Colours - Unlocked - Good Condition</t>
  </si>
  <si>
    <t>Apple iPhone X 64GB 256GB Unlocked All Colours - Good Condition</t>
  </si>
  <si>
    <t>Samsung Galaxy S20+ Plus 5G Dual SIM 128GB Unlocked Phone Various Colours | Good</t>
  </si>
  <si>
    <t>Samsung Galaxy S22 Ultra - All Sizes - All colours - Unlocked - Good Condition</t>
  </si>
  <si>
    <t>Apple iPhone 7 Plus 32GB 128GB 256GB Black Silver Rose Gold Unlocked Excellent</t>
  </si>
  <si>
    <t>Apple iPhone 13 Pro Graphite 128GB 256GB 512GB Unlocked GREAT Condition Warranty</t>
  </si>
  <si>
    <t>Samsung Galaxy S20 Ultra 5G 128GB SM-G988B Unlocked Android Smar Phone UK Good*</t>
  </si>
  <si>
    <t>Oppo Find X3 Neo 5G 256GB 12GB RAM Dual SIM Unlocked Very Good Condition</t>
  </si>
  <si>
    <t>Samsung Galaxy S10 SM-G970F - 128GB - prism White  (Unlocked) (Dual SIM)</t>
  </si>
  <si>
    <t>Apple iPhone 13 Midnight 128GB 256GB 512GB Warranty Excellent Condition 90-100%</t>
  </si>
  <si>
    <t>Google Pixel 4 - 64GB 128GB - All Colours - Unlocked Smartphone - Good Condition</t>
  </si>
  <si>
    <t>Sony Xperia XA2 H3113 32GB Unlocked 4G Android Smartphone Excellent Condition</t>
  </si>
  <si>
    <t>Apple iPhone 12 - 64GB - (Unlocked)</t>
  </si>
  <si>
    <t>Samsung Galaxy S20Plus 5G(SM-G986B)12&lt;wbr/&gt;8GB - Unlocked Warranty Very good Condition</t>
  </si>
  <si>
    <t>Apple iPhone 7 32GB 128GB 256GB Grey Rose Gold Silver Red Unlocked Very Good</t>
  </si>
  <si>
    <t>Apple iPhone 11 Pro 256GB Midnight Green (Unlocked) Good</t>
  </si>
  <si>
    <t>Samsung Galaxy S20 FE 5G 128GB 512GB ALL COLOURS Unlocked EXCELLENT CONDITION A+</t>
  </si>
  <si>
    <t>Nokia Lumia 925 (A00011574 ) 16GB (Unlocked) GSM Smartphone - Black</t>
  </si>
  <si>
    <t>Apple iPhone 13 Pro 128GB 256GB 512GB 1TB Unlocked Blue - Excellent- Sim Option</t>
  </si>
  <si>
    <t>Apple iPhone 14 Pro Max - 256GB Space Black - Unlocked SIM FREE - Apple Warranty</t>
  </si>
  <si>
    <t>Apple iPhone XR - 64GB 128GB 256GB - Unlocked - Various Colours - Good</t>
  </si>
  <si>
    <t>Samsung Galaxy S20 Ultra 5G, 128GB, Unlocked, Cosmic Grey - Good Condition</t>
  </si>
  <si>
    <t>Samsung Galaxy S21 Ultra 5G - All Sizes - All Colours - Unlocked - Very Good</t>
  </si>
  <si>
    <t>SAMSUNG GALAXY J4 2018 J400 16GB GOLD DUAL SIM UNLOCKED EXCELLENT REFURBISHED</t>
  </si>
  <si>
    <t>Samsung Galaxy S22 SM-S901B/DS - 128GB, 256GB - Black, Green (Unlocked)</t>
  </si>
  <si>
    <t>Apple iPhone SE 2020 - 64/128/256GB - All Colours -UNLOCKED- Used</t>
  </si>
  <si>
    <t>Samsung Galaxy S22+ Plus - All Sizes &amp; Colours - Unlocked - Excellent Condition</t>
  </si>
  <si>
    <t>Apple iPhone 12 Pro Max -128GB - PACIFIC BLUE  (Unlocked) EXCELLENT CONDITION</t>
  </si>
  <si>
    <t>Apple iPhone SE (2016) 32GB Space Grey(Unlocked)&lt;wbr/&gt;Smartphone - Very Good Condition</t>
  </si>
  <si>
    <t>Samsung Galaxy Z Flip3 5G | Unlocked | All Colours | Very Good Condition</t>
  </si>
  <si>
    <t>Apple iPhone 13 Pro 128GB 256GB 512GB 1TB Unlocked Silver- Very Good- Sim Option</t>
  </si>
  <si>
    <t>OnePlus 8 Pro 5G - 128GB Black / 256GB Green - Unlocked - Good Condition</t>
  </si>
  <si>
    <t>Oppo Find X2 Lite 128GB Moonlight Black Pearl White Mobile Unlocked Very Good</t>
  </si>
  <si>
    <t>Samsung Galaxy S20 Ultra 5G - All Sizes/Colours - Unlocked - Very Good Condition</t>
  </si>
  <si>
    <t>Apple iPhone 6S 32GB- Unlocked - All Colors -Excellent Condition +Warranty</t>
  </si>
  <si>
    <t>Samsung Galaxy S9+ Plus 128GB Unlocked Mobile  Good UK seller</t>
  </si>
  <si>
    <t>Huawei P40 5G ANA-NX9 128GB 50MP Camera Smartphone Mobile Black Unlocked</t>
  </si>
  <si>
    <t>Google Pixel 6 Pro GLUOG 128GB Smartphone Stormy Black Unlocked VERY GOOD{</t>
  </si>
  <si>
    <t>Apple iPhone 14 Plus - All Sizes - All Colours - Unlocked - Good Condition</t>
  </si>
  <si>
    <t>Samsung Galaxy Note 9 SM-N960F 128GB 6GB Smartphone Mobile Unlocked VERY GOOD=</t>
  </si>
  <si>
    <t>Apple iPhone SE 2020 4.7'' 4G Smartphone 64GB Unlocked SIM-Free - (Black) B+</t>
  </si>
  <si>
    <t>Apple iPhone 7+ Plus 32GB 128GB Unlocked Black Silver Gold Rose 4G Phone | Good</t>
  </si>
  <si>
    <t>Apple iPhone 13 128GB 256GB 512GB ALL Colours Unlocked GOOD Condition Warranty</t>
  </si>
  <si>
    <t>Samsung Galaxy S21 5G 128GB Dual Sim Unlocked All Colours *EXCELLENT CONDITION*</t>
  </si>
  <si>
    <t>Apple iPhone X (iPhone 10) - 64GB 256GB Unlocked - Excellent - 12M Warranty</t>
  </si>
  <si>
    <t>Samsung Galaxy S10+ Plus Duos SM-G975U1 128GB Smartphone Unlocked Non-UK Model</t>
  </si>
  <si>
    <t>Apple iPhone 12 Mini 5G 128GB - 256GB Unlocked iOS Grade A+ Pristine Condition</t>
  </si>
  <si>
    <t>Samsung Galaxy Note20 4G - 256GB - All Colours - Unlocked - Good Condition</t>
  </si>
  <si>
    <t>Samsung Galaxy S22 Ultra 5G 128GB SIM-Free Smartphone 6.8" - Phantom Black B+</t>
  </si>
  <si>
    <t>OPPO A16S CPH227X 64GB Pearl Blue 6.52" tested Unlocked Dual UK 1 Year Warranty</t>
  </si>
  <si>
    <t>Samsung Galaxy S21 FE - 128GB 256GB All Colours Unlocked - Good Condition</t>
  </si>
  <si>
    <t>iPhone 11 Pro Max - All Colours - GRADE A - Excellent Condition - (Renewed)</t>
  </si>
  <si>
    <t>Apple iPhone XR - 64GB 128GB - Unlocked - Next Day Delivery - 1 Year Warranty</t>
  </si>
  <si>
    <t>Apple iPhone 12 Pro Max 128GB 256GB 512GB All Colours Unlocked Excellent</t>
  </si>
  <si>
    <t>Samsung Galaxy S20 - 128GB - All Colours - Unlocked - Good Condition</t>
  </si>
  <si>
    <t>Apple iPhone XR 4G 6.1'' Smartphone 64GB Unlocked SIM-Free - White (No Accs) B-</t>
  </si>
  <si>
    <t>Apple iPhone 11 Red 64GB (Unlocked) Smartphone Good</t>
  </si>
  <si>
    <t>Apple iPhone XR 64GB, 128GB - Black, Blue, White, Yellow - Unlocked - Grade B</t>
  </si>
  <si>
    <t>Google Pixel 5 5G - 128GB - Sage / Black - Unlocked - Very Good Condition</t>
  </si>
  <si>
    <t>Samsung Galaxy A8 2018 SM-A530F Grade B Unlocked Black   32GB UK  warranty</t>
  </si>
  <si>
    <t>Refurbished Apple iPhone 12 Pro Pacific Blue 6.1" 128GB 5G Unlock A3/MGMN3B/A/MV</t>
  </si>
  <si>
    <t>Apple iPhone 14 Pro 128GB 256GB 512GB 1TB Space Black EXCELLENT 90-100% BH</t>
  </si>
  <si>
    <t>Apple iPhone 14 6.1" 5G iOS Smartphone 128GB Unlocked SIM-Free - [Midnight] C+</t>
  </si>
  <si>
    <t>Samsung Galaxy S22 Ultra 5G SM-S908B 128GB Mobile Phantom Black Unlocked GOOD{</t>
  </si>
  <si>
    <t>Apple iPhone 14 Plus - 128GB Midnight - Unlocked SIM FREE - Apple Warranty!</t>
  </si>
  <si>
    <t>Samsung Galaxy S20 5G SM-G981B 128GB 12GB Smartphone Mobile Unlocked VERY GOOD=</t>
  </si>
  <si>
    <t>BLACKBERRY Z3 Black 5" 8GB 1.2GHz 1.5GB RAM 5/1.1MP Camera Mobile Phone</t>
  </si>
  <si>
    <t>Sony Xperia L4 6.2'' 4G Smartphone 64GB Unlocked SIM-Free - Black (No Accs) C-</t>
  </si>
  <si>
    <t>Samsung Galaxy Note20 5G - 256GB - All Colours - Unlocked - Very Good Condition</t>
  </si>
  <si>
    <t>Motorola Moto E20 4G 6.5'' Smartphone 32GB Unlocked Blue [DMG Corner] C</t>
  </si>
  <si>
    <t>Apple iPhone 8 64GB/128GB/256&lt;wbr/&gt;GB Unlocked - Refurbished Good</t>
  </si>
  <si>
    <t>Apple iPhone SE 16GB/32GB/64GB&lt;wbr/&gt;/128GB Unlocked - Refurbished Good</t>
  </si>
  <si>
    <t>Xiaomi Redmi Note 11 Pro 5G 64GB/128GB Unlocked - Refurbished Good</t>
  </si>
  <si>
    <t>Apple iPhone 12 Pro Max 512GB Silver (Unlocked) Grade A+ "eBay Excellent"</t>
  </si>
  <si>
    <t>Samsung A32 5G 64GB Unlocked SIM Free - Refurbished Good</t>
  </si>
  <si>
    <t>Apple iPhone X - 64GB/256GB - All Colours - Unlocked - Good Condition</t>
  </si>
  <si>
    <t>Apple iPhone Xs Max - 64GB 128GB 256GB - Unlocked -  Very Good Condition - UK</t>
  </si>
  <si>
    <t>Honor 20e Dual SIM 64GB Unlocked Black Android Smart Phone Mobile 4G | Good</t>
  </si>
  <si>
    <t>SAMSUNG</t>
  </si>
  <si>
    <t>Samsung Galaxy Note9 SM-N960F 128GB Unlocked All Colours ***GOOD CONDITION***</t>
  </si>
  <si>
    <t>Apple iPhone SE 2nd Gen 2020 64GB Unlocked White</t>
  </si>
  <si>
    <t>Apple iPhone 12 - Unlocked - 128GB - All Colours - Very Good Condition</t>
  </si>
  <si>
    <t>Apple iPhone 14 Pro Max 256GB Gold Unlocked Sim Free Mobile Smartphone A2894 A</t>
  </si>
  <si>
    <t>Nokia LUMIA 625 - Black (Unlocked) Smartphone Mobile+ 12 Months Warranty</t>
  </si>
  <si>
    <t>Apple iPhone 13 Mini A2628 128GB 4GB 12MP Mobile Midnight Unlocked VERY GOOD{</t>
  </si>
  <si>
    <t>Apple iPhone 7 32GB 128GB 256GB Unlocked All Colours Good Condition</t>
  </si>
  <si>
    <t>Samsung Galaxy S20 FE 5G 128GB 256GB Mint Navy White Red Unlocked Very Good</t>
  </si>
  <si>
    <t>Samsung S8 64GB Unlocked - Refurbished Good</t>
  </si>
  <si>
    <t>Samsung Galaxy Note10 Lite 4G 128GB Android Unlocked Smartphone *GOOD CONDITION*</t>
  </si>
  <si>
    <t>Apple iPhone 12 Mini 64 128 256GB Unlocked Smartphone Sim Free Pristine Grade A+</t>
  </si>
  <si>
    <t>Apple iPhone 11 Red 64GB Unlocked, Excellent, Mint Condition</t>
  </si>
  <si>
    <t>Motorola Moto E20 6.5'' 4G Smartphone 2GB RAM 32GB SIM-Free Unlocked - Grey B</t>
  </si>
  <si>
    <t>Samsung Galaxy A51 128GB DualSim 4GB 48MP 6.5" Android Unlocked *GOOD CONDITION*</t>
  </si>
  <si>
    <t>Samsung Galaxy S9 - All Sizes &amp; Colours - (UNLOCKED) - Good Condition</t>
  </si>
  <si>
    <t>Nokia Lumia 820 - 8GB - Black (Unlocked) 4G Smartphone - Very Condition</t>
  </si>
  <si>
    <t>Blackview A80 2+16GB Cheap Android Mobile 4G Budget Smartphone Unlocked 4200mAh</t>
  </si>
  <si>
    <t>Apple iPhone 7 32GB 128GB Black -Grade A Plus Pristine Condition + CHARGR</t>
  </si>
  <si>
    <t>New Condition Nokia 6303 (Unlocked)Mobi&lt;wbr/&gt;le phone + Warranty</t>
  </si>
  <si>
    <t>Samsung Galaxy S20 FE 4G/5G 128GB Dual Sim Unlocked Android UK Model- Very GOOD</t>
  </si>
  <si>
    <t>Samsung Galaxy S21 Ultra 5G 128GB 256GB 512GB All Colours Unlocked Good</t>
  </si>
  <si>
    <t>Fairphone</t>
  </si>
  <si>
    <t>Fairphone 2 32GB Mixed Colours Unlocked Good Condition</t>
  </si>
  <si>
    <t>Apple iPhone X - 64/256GB - Space Grey/ Silver - UNLOCKED -  EXCELLENT CONDITION</t>
  </si>
  <si>
    <t>Apple iPhone 8 - 64GB 128GB 256GB - Unlocked - Excellent A+ Condition - UK Stock</t>
  </si>
  <si>
    <t>Samsung Galaxy Z Flip3 5G SM-F711B 128 (Unlocked) Android Phone Good Condition</t>
  </si>
  <si>
    <t>Oppo Find X3 Pro CPH2173 256GB 12GB 50MP Mobile Gloss Black Unlocked VERY GOOD{</t>
  </si>
  <si>
    <t>Motorola E6 Plus 32gb Android 4G LTE Smartphone Unlocked Graphite</t>
  </si>
  <si>
    <t>Apple iPhone 8 64GB 128GB 256GB All Colours Unlocked Unlocked  Good Condition</t>
  </si>
  <si>
    <t>Samsung Galaxy S21 5G SM-G991B/DS DUAL SIM 128GB 256GB Unlocked Good Condition</t>
  </si>
  <si>
    <t>Huawei Y6 (2019) 32GB Black Ble Brown Unlocked Smartphone Mobile Phone Very Good</t>
  </si>
  <si>
    <t>Apple iPhone 11 64GB Yellow Unlocked</t>
  </si>
  <si>
    <t>Apple iPhone 6S 4G 4.7" Smart Phone 16GB Unlocked 1YR Warranty - *Rose Gold* D</t>
  </si>
  <si>
    <t>Samsung Galaxy Note 4 32GB Black Single SIM Android (Unlocked) Smartphone</t>
  </si>
  <si>
    <t>Apple iPhone 8-UNLOCKED-64/&lt;wbr/&gt;256GB-IOS-ALL COLOURS-Excell&lt;wbr/&gt;ent Condition</t>
  </si>
  <si>
    <r>
      <t xml:space="preserve">Samsung Galaxy A5 2017 32GB Unlocked Black Gold Blue Pink Android Phone </t>
    </r>
    <r>
      <rPr>
        <sz val="10"/>
        <color rgb="FF000000"/>
        <rFont val="Apple Color Emoji"/>
      </rPr>
      <t>⭐</t>
    </r>
  </si>
  <si>
    <t>Apple iPhone 11 Pro 64 256 512GB Unlocked Smartphone Sim Free Pristine Grade A+</t>
  </si>
  <si>
    <t>100% Genuine Original Nokia C5-00 3.15MP 3G GSM Unlock Mobile Phone GOLD</t>
  </si>
  <si>
    <t>Samsung Galaxy S10 Lite 128GB Unlocked Smartphone, Prism Black- EXCELLENT A+</t>
  </si>
  <si>
    <t>Apple iPhone 6S 16GB/32GB/64GB&lt;wbr/&gt;/128GB Unlocked SIM Free - Refurbished Very Good</t>
  </si>
  <si>
    <t>Apple iPhone 12 Pro Max Graphite 128GB 256GB 512GB Unlocked GREAT Condition</t>
  </si>
  <si>
    <t>Apple iPhone X, 64GB, Space Grey, Unlocked - Refurbished Good</t>
  </si>
  <si>
    <t>iPhone 12 Pro - All Colours - GRADE C - Standard Condition - (Renewed)</t>
  </si>
  <si>
    <t>Apple iPhone XS, 64GB, Silver, Unlocked - Refurbished Good</t>
  </si>
  <si>
    <t>Apple iPhone XR 64GB 128GB 256GB All Colours Unlocked Very G Excellent Condition</t>
  </si>
  <si>
    <t>DOOGEE</t>
  </si>
  <si>
    <t>DOOGEE V10 5G Rugged Smartphone 128GB Outdoor Mobile Unlocked 8500mAh -orange</t>
  </si>
  <si>
    <t>DOOGEE X96 Smartphones 32GB 4G Dual SIM Phones Unlocked Fingerprint,Fa&lt;wbr/&gt;ce ID Red</t>
  </si>
  <si>
    <t>DOOGEE S35 Rugged Smartphone 4G Android 10 Unlocked Mobile Phone Outdoor IP68</t>
  </si>
  <si>
    <t>Samsung Galaxy Note 10 - 256GB - All Colours - Unlocked - Good Condition</t>
  </si>
  <si>
    <t>Apple iPhone 8 64GB 128GB 256GB Unlocked GOOD Condition</t>
  </si>
  <si>
    <t>Huawei P20 Lite ANE-LX1 32GB  64GB Unlocked 4G Android Smartphones Pristine A+++</t>
  </si>
  <si>
    <t>Apple iPhone 12 Mini 64GB 128GB 256GB Unlocked Black - Good - Sim Option</t>
  </si>
  <si>
    <t>Apple iPhone 8 Plus, 64GB, Red, Unlocked - Refurbished Good</t>
  </si>
  <si>
    <t>Samsung S20 Ultra 5G 128GB/512GB Unlocked - Refurbished Good</t>
  </si>
  <si>
    <t>Apple iPhone 6S Plus 16GB/32GB/64GB&lt;wbr/&gt;/128GB Unlocked SIM Free - Refurbished Ver...</t>
  </si>
  <si>
    <t>Motorola Moto G60S 128GB Unlocked Smartphone - Green - Refurbished Good</t>
  </si>
  <si>
    <t>Samsung Galaxy S20 Plus, 5G, 128GB, Cosmic Grey, Unlocked Single SIM - Good Cond</t>
  </si>
  <si>
    <t>DOOGEE S35T Cheap Smartphone Rugged Mobile 4G Unlocked 64GB Waterproof -orange</t>
  </si>
  <si>
    <t>Apple iPhone 12 Pro Max 128GB 256GB 512GB Unlocked Graphite-Excel&lt;wbr/&gt;lent-Sim Option</t>
  </si>
  <si>
    <t>Samsung Galaxy S20 FE 5G | Unlocked | All Colours | Good Condition</t>
  </si>
  <si>
    <t>Samsung S10 Plus 128GB/512GB/1T&lt;wbr/&gt;B Unlocked SIM Free - Refurbished Excellent</t>
  </si>
  <si>
    <t>Huawei Mate20 Pro 128GB LYA-L09 Unlocked 4G  Android Smartphone Various Colours</t>
  </si>
  <si>
    <t>OnePlus 10T 5G - 128GB - Black (Unlocked) (Dual SIM)</t>
  </si>
  <si>
    <t>Apple iPhone XS 64GB/256GB/512&lt;wbr/&gt;GB Unlocked SIM Free - Refurbished Good</t>
  </si>
  <si>
    <t>Samsung Galaxy S22+ Plus - All Sizes &amp; Colours - Unlocked - Good Condition</t>
  </si>
  <si>
    <t>Apple iPhone XR 64GB Unlocked Smartphone, Blue - Extra 15% CODE OFF - VERY GOOD</t>
  </si>
  <si>
    <t>Google Pixel 4 64GB Unlocked All Colours Single SIM Free Pristine Grade A+</t>
  </si>
  <si>
    <t>Apple iPhone 14 - All Sizes - All Colours - Unlocked - Good Condition</t>
  </si>
  <si>
    <t>OnePlus Nord 5G Dual SIM 128GB Unlocked Grey Blue Android Smart Phone | Good</t>
  </si>
  <si>
    <t>Samsung Galaxy A6 2018 32GB Unlocked Black Gold Purple Android 4G Phone | Good</t>
  </si>
  <si>
    <t>OnePlus 6T 128GB Black | Unlocked (Dual Sim) | Refurbished (Good)</t>
  </si>
  <si>
    <t>Apple iPhone 8, 64GB, Space Grey, Unlocked - Refurbished Good</t>
  </si>
  <si>
    <t>Apple iPhone 6 16GB 32GB 64GB 128GB Unlocked Space Grey Silver Gold | Very Good</t>
  </si>
  <si>
    <t>Apple iPhone 8 Plus - 64GB 128GB 256GB - All Colours - Unlocked - Good Condition</t>
  </si>
  <si>
    <t>Apple iPhone 11 A2221 128GB 4GB 12MP Camera Smartphone Mobile Unlocked GOOD=</t>
  </si>
  <si>
    <t>Galaxy s10 - All Sizes - All Colours - Unlocked - Good Condition</t>
  </si>
  <si>
    <t>Samsung Galaxy A5 2017 32GB Unlocked Black Gold Blue Pink Android Phone +</t>
  </si>
  <si>
    <t>Samsung Galaxy S20 FE 4G - 128GB - All Colours - Unlocked - Very Good Condition</t>
  </si>
  <si>
    <t>Oakcastle F100 Basic Mobile Phone Keypad Dual SIM Bluetooth Music FM</t>
  </si>
  <si>
    <t>Apple iPhone 11 64GB &amp; 128GB &amp; 256GB LTE 4G Unlocked iOS Smartphone All Colours</t>
  </si>
  <si>
    <t>Motorola Moto G 8GB unlocked Smartphone Android Mobile</t>
  </si>
  <si>
    <t>Samsung Galaxy A22 5G Dual SIM 64GB Unlocked Black White Mobile Phone | Good</t>
  </si>
  <si>
    <t>Apple iPhone 13 Starlight 128GB 256GB 512GB EXCELLENT Condition 90-100% BH</t>
  </si>
  <si>
    <t>NOKIA 3410 - GOOD CONDITION - Unlocked - UK Warranty - Free Sim</t>
  </si>
  <si>
    <t>OPPO A94 5G 6.4" Android Smartphone 128GB Unlocked SIM-Free - [Cosmo Blue] C+</t>
  </si>
  <si>
    <t>Apple iPhone 12 Pro A2407 256GB 6GB 12MP Smartphone Pacific Blue Unlocked GOOD{</t>
  </si>
  <si>
    <t>Samsung Galaxy S10 Lite 4G 128GB Dual Sim Unlocked All Colours *GOOD CONDITION*</t>
  </si>
  <si>
    <t>Sony Xperia Z5 Compact 32GB Unlocked 4G  Android Smartphone Very Good Condition</t>
  </si>
  <si>
    <t>Samsung Galaxy S20+ Plus 5G SM-G986B 128GB 12GB 64MP Mobile Unlocked EXCELLENT=</t>
  </si>
  <si>
    <t>Apple iPhone SE 2020 64GB 128GB Black White 2nd GEN iOS Unlocked -Good Condition</t>
  </si>
  <si>
    <t>Apple iPhone 13 Pro 128GB 256GB 512 - All Colours Unlocked - Excellent Condition</t>
  </si>
  <si>
    <t>Samsung Galaxy A51 64GB 128GB ALL COLOURS Unlocked EXCELLENT CONDITION A++</t>
  </si>
  <si>
    <t>Samsung Galaxy S4 Mini 8GB | Black | Unlocked | Refurbished (Good)</t>
  </si>
  <si>
    <t>Apple iPhone 12 Pro - 128GB 256GB 512GB - Unlocked - 12 Months Warranty - (A+)</t>
  </si>
  <si>
    <t>OnePlus 6T Dual SIM 128GB 64GB 256GB Unlocked Black Purple Android 4G | Good</t>
  </si>
  <si>
    <t>Samsung Galaxy S22 5G 6.1'' Smartphone 256GB 8GB RAM Unlocked Phantom White C</t>
  </si>
  <si>
    <t>Apple iPhone 11 Pro 64GB/128GB/256&lt;wbr/&gt;GB Unlocked All Colours - Very Good Condition</t>
  </si>
  <si>
    <t>Oppo Reno4 Pro 5G 128GB 256GB Blue Black White Pink Green Unlocked Excellent</t>
  </si>
  <si>
    <t>Samsung Galaxy Z Fold3 5G - 256GB - Silver - Unlocked - Excellent Condition</t>
  </si>
  <si>
    <t>Refurbished Apple iPhone 12 Pro Max Pacific Blue 6.7" 128GB 5G Un A3/MGDA3B/A/MV</t>
  </si>
  <si>
    <t>Alcatel 20.20 2.4" 80 g Grey Senior phone 2020X-3AALGB11</t>
  </si>
  <si>
    <t>OPPO FIND X3 LITE 5G CPH2145 128GB 8GB BLACK DUAL SIM UNLOCKED EXCELLENT REFURB</t>
  </si>
  <si>
    <t>SAMSUNG GALAXY NOTE20 ULTRA 5G 256/512GB DUAL SIM ALL COLOURS *GOOD CONDITION*</t>
  </si>
  <si>
    <t>Google Pixel 3 XL - 64GB / 128GB - All Colours - Unlocked -Very Good Condition</t>
  </si>
  <si>
    <t>Samsung Galaxy S22 - 128GB/256GB - All Colours - Unlocked - Good Condition</t>
  </si>
  <si>
    <t>iPhone XS - All Colours - Grade A - Excellent Condition - (Renewed)</t>
  </si>
  <si>
    <t>Samsung Galaxy S20 5G SM-G981B 128GB 12GB Smartphone Mobile Unlocked EXCELLENT=</t>
  </si>
  <si>
    <r>
      <t xml:space="preserve">Samsung Galaxy A22 5G A226B 64GB Unlocked Black colour Android </t>
    </r>
    <r>
      <rPr>
        <sz val="10"/>
        <color rgb="FF000000"/>
        <rFont val="Apple Color Emoji"/>
      </rPr>
      <t>⭐⭐</t>
    </r>
    <r>
      <rPr>
        <sz val="10"/>
        <color rgb="FF000000"/>
        <rFont val="Helvetica Neue"/>
        <family val="2"/>
      </rPr>
      <t>Good Condition+</t>
    </r>
  </si>
  <si>
    <t>Apple MMXF3B/A iPhone SE 5G 4.7" Smartphone 64GB Unlocked 2022 - Midnight B</t>
  </si>
  <si>
    <t>OPPO Reno 4 Pro - 256GB - Space Black - Unlocked - Excellent</t>
  </si>
  <si>
    <t>Samsung Galaxy S20 FE 4G Smartphone 128GB Unlocked Sim-Free - (Cloud Navy) B+</t>
  </si>
  <si>
    <t>Samsung Galaxy Z Fold2 5G 256GB 12GB 12MP 7.6" Android *VERY GOOD CONDITION*</t>
  </si>
  <si>
    <t>Apple iPhone 12 Pro MAX-UNLOCKED-1&lt;wbr/&gt;28/256/512GB-I&lt;wbr/&gt;OS-ALL COLOURS-Good Condition</t>
  </si>
  <si>
    <t>Samsung Galaxy Z Flip 3 5G Foldable Smartphone SIM Free 128GB Cream C Grade</t>
  </si>
  <si>
    <t>Samsung Galaxy S20 5G/S20+ Plus 5G 128GB Unlocked Very GOOD CONDITION SmartPhone</t>
  </si>
  <si>
    <t>Apple iPhone 12 Pro A2407 256GB 12MP Smartphone Mobile Graphite Unlocked GOOD*</t>
  </si>
  <si>
    <t>Google Pixel 4 - 64GB - Just Black - Unlocked -Single SIM - Excellent Condition</t>
  </si>
  <si>
    <t>OnePlus Nord 64GB 128GB 256GB Blue Marble Grey Onyx Unlocked Mobile Very Good</t>
  </si>
  <si>
    <t>Apple iPhone XR A2105 64GB 3GB 12MP Camera Smartphone Mobile Unlocked GOOD=</t>
  </si>
  <si>
    <t>Samsung Galaxy S21+ Plus 5G SM-G996B 128GB 8GB Phantom Violet Unlocked GOOD{</t>
  </si>
  <si>
    <t>OPPO Find X5 - 256GB 5G 6.55" Android Unlocked Dual SIM Smart Phones CPH 2307</t>
  </si>
  <si>
    <t>Huawei P40 5G 128GB ANA-NX9 Unlocked Android Smartphone Excellent Condition</t>
  </si>
  <si>
    <t>Samsung Galaxy Note 10.1 Tablet SM-P605 Black 16GB 10.1" 3GB RAM Android 5.1.1</t>
  </si>
  <si>
    <t>Apple iPhone XR - 64GB 128GB - Unlocked - 12 Months Warranty - Next Day Delivery</t>
  </si>
  <si>
    <t>Xiaomi  phone Mi 9T Dual Sim 64GB 6GB RAM Carbon Black</t>
  </si>
  <si>
    <t>Apple iPhone 13 - 128GB 256GB 512GB - Unlocked - Good Condition - UK Stock</t>
  </si>
  <si>
    <t>Apple iPhone 14 Pro 128GB 256GB 512GB 1TB Gold Unlocked EXCELLENT 90-100% BH</t>
  </si>
  <si>
    <t>Apple iPhone 12 64GB Unlocked Phone Red - Extra 15% CODE OFF - VERY GOOD A</t>
  </si>
  <si>
    <t>Samsung Galaxy S20 Ultra -128GB - 512GB - All Colours - Very Good Condition</t>
  </si>
  <si>
    <t>Apple iPhone 7 Plus - 32GB 128GB 256GB - Unlocked Very Good, No Touch ID</t>
  </si>
  <si>
    <t>Samsung Galaxy S20 Ultra 5G | Unlocked | All Colours | Good Condition</t>
  </si>
  <si>
    <t>Apple iPhone 7 32GB/128GB/256&lt;wbr/&gt;GB Unlocked SIM Free - Refurbished Very Good</t>
  </si>
  <si>
    <t>Apple iPhone 11 A2221 64GB 4GB 12MP Smartphone Mobile Black Unlocked GOOD{</t>
  </si>
  <si>
    <t>Apple iPhone XS 64GB/256GB/512&lt;wbr/&gt;GB Unlocked SIM Free - Refurbished Very Good</t>
  </si>
  <si>
    <t>Apple iPhone 6S Plus 16GB/32GB/64GB&lt;wbr/&gt;/128GB Unlocked - Refurbished Good</t>
  </si>
  <si>
    <t>Huawei P Smart (2019) 64GB Midnight Black Locked To EE Smartphone Good</t>
  </si>
  <si>
    <t>Apple iPhone 13 Blue 128GB 256GB 512GB EXCELLENT Condition Warranty 90-100% BH</t>
  </si>
  <si>
    <t>SAMSUNG GALAXY J5 2016 J510 16GB BLACK DUAL SIM UNLOCKED VERY GOOD REFURBISHED</t>
  </si>
  <si>
    <t>Nokia G21 6.5" - 4G 64 GB Blue Dual SIM Mobile Phone</t>
  </si>
  <si>
    <t>Huawei P20 - 128GB - All Colours - Unlocked - Good Condition</t>
  </si>
  <si>
    <t>Apple iPhone 12 64GB/128GB/256&lt;wbr/&gt;GB Unlocked SIM Free - Refurbished Good</t>
  </si>
  <si>
    <t>Samsung Galaxy S21+ Plus - All Sizes &amp; Colours - Unlocked - Excellent Condition</t>
  </si>
  <si>
    <t>Samsung Galaxy Note 20 Ultra 5G SM-N986B 256GB 12GB Black Unlocked VERY GOOD{</t>
  </si>
  <si>
    <t>Huawei P20 Pro - 128GB - All Colours - Unlocked - Very Good Condition</t>
  </si>
  <si>
    <t>Samsung Galaxy S21+ Plus - All Sizes &amp; Colours - Unlocked - Very Good Condition</t>
  </si>
  <si>
    <t>Samsung Galaxy J3 2017 16GB Unlocked Black Blue Gold Android Phone | Very Good</t>
  </si>
  <si>
    <t>Google Pixel 6 Pro 5G - 128GB / 256GB - All Colours - Unlocked - Excellent</t>
  </si>
  <si>
    <t>Samsung Galaxy S20 Plus 5G - 128GB - All Colours - Unlocked - Good Condition</t>
  </si>
  <si>
    <t>Samsung Galaxy S10e SM-G970F 128GB 6GB 16MP Mobile Prism White Unlocked GOOD{</t>
  </si>
  <si>
    <t>Google Pixel 3 XL G013C 64GB 4GB Smartphone Mobile Clearly White Unlocked GOOD{</t>
  </si>
  <si>
    <t>Apple iPhone 12 Pro Graphite Unlocked 128GB 256GB 512GB GREAT Condition Warranty</t>
  </si>
  <si>
    <t>Samsung Galaxy S20 FE 5G - 128GB - All Colours - Unlocked - Good Condition</t>
  </si>
  <si>
    <t>Huawei P40 Pro 5G ELS-NX9 256GB 8GB 50MP Smartphone Silver Frost Unlocked GOOD{</t>
  </si>
  <si>
    <t>Samsung Galaxy J6 2018 32GB Unlocked 4G Android Smartphone Various Colour</t>
  </si>
  <si>
    <t>Apple iPhone 12 Pro A2407 128GB 6GB 12MP Smartphone Mobile Unlocked GOOD=</t>
  </si>
  <si>
    <t>Samsung Galaxy S21 Ultra 5G - All Sizes - All Colours - Unlocked - Excellent</t>
  </si>
  <si>
    <t>Sony Xperia E3 white 4.5" 4Gb LTE Smartphone Unlocked</t>
  </si>
  <si>
    <t>Apple iPhone 12, 64GB, Unlocked, White - Good Condition</t>
  </si>
  <si>
    <t>Apple iPhone XS Max - All Sizes &amp; Colours - (UNLOCKED) - Excellent  Condition</t>
  </si>
  <si>
    <t>Apple iPhone 14 Pro Max 128GB 256GB 512GB 1TB Deep Purple GREAT CONDITION</t>
  </si>
  <si>
    <t>Apple iPhone 12 - 64GB Green - Unlocked Smartphone (A2403) - Good Condition</t>
  </si>
  <si>
    <t>Apple iPhone 7 Plus 32GB Unlocked Phone Gold, Extra 15% CODE OFF - VERY GOOD - A</t>
  </si>
  <si>
    <t>Apple iPhone XS 256GB Unlocked Space Grey - Extra 15% Code OFF - VERY GOOD - A</t>
  </si>
  <si>
    <t>Apple iPhone XS 64GB Unlocked Smartphone Silver - Extra 15% Code OFF - VERY GOOD</t>
  </si>
  <si>
    <t>Samsung Galaxy J6+ 2018 SM-J610FN 32GB 6" 13MP 3GB RAM Android 10 Unlocked</t>
  </si>
  <si>
    <t>Apple MNGK3B/A iPhone 13 5G 6.1" Smartphone 128GB Unlocked SIM-Free Green B</t>
  </si>
  <si>
    <t>Google Pixel 6 Pro 128GB/256GB 6.7" Unlocked Android 5G Smartphone - UK Version</t>
  </si>
  <si>
    <t>Samsung Galaxy S21, 5G, 128GB, Phantom Pink, Unlocked - Good Condition</t>
  </si>
  <si>
    <t>Apple iPhone 13 A2482 256GB 12MP Smartphone Mobile Black Unlocked NON UK MODEL</t>
  </si>
  <si>
    <t>Samsung Galaxy S10 Dual SIM 128GB 512GB Unlocked Various Colours | Very Good</t>
  </si>
  <si>
    <t>Apple iPhone 8 Plus, 64GB, Gold, Unlocked - Refurbished Good</t>
  </si>
  <si>
    <t>Apple iPhone 7 Plus 32GB Unlocked Matte Black - Extra 15% CODE OFF - VERY GOOD A</t>
  </si>
  <si>
    <t>Motorola Moto E30 6.5'' 4G Smartphone 2GB RAM 32GB Dual-Sim Unlocked - Grey B</t>
  </si>
  <si>
    <t>Samsung Galaxy S10+ Plus SM-G975F 128GB 8GB 16MP Smartphone Unlocked VERY GOOD=</t>
  </si>
  <si>
    <t>Motorola Moto G62 5G 6.5" Smartphone 4GB RAM 64GB Unlocked - Midnight Grey D</t>
  </si>
  <si>
    <t>Samsung Galaxy Z Fold4 SM-F936B/DS - 512GB - Greygreen (Unlocked)</t>
  </si>
  <si>
    <t>Alcatel 10.68 4.57 cm 1.8" 63 g Black Feature phone 1068D-3AALGB12</t>
  </si>
  <si>
    <t>Samsung Galaxy Note 10 SM-N970F 256GB 8GB 12MP Mobile Aura Glow Unlocked GOOD{</t>
  </si>
  <si>
    <t>Samsung Galaxy A52 5G 6.5" Smartphone 128GB SIM-Free Unlocked *Awesome Blue* D</t>
  </si>
  <si>
    <t>Apple iPhone XS 64GB Unlocked Gold - Extra 15% Code OFF - VERY GOOD</t>
  </si>
  <si>
    <t>SAMSUNG J56 J5 2016 (J510) 16GB  BLACK - DUAL SIM UNLOCKED - GOOD REFURBISHED</t>
  </si>
  <si>
    <t>Samsung Galaxy A71 Dual SIM 128GB Unlocked Black Blue Silver Pink | Very Good</t>
  </si>
  <si>
    <t>Apple iPhone 13 Pro Max ALL 128GB 256GB 512GB 1TB GOOD Condition Warranty</t>
  </si>
  <si>
    <t>Google Pixel 6a - 128GB - Charcoal - Unlocked - Very Good Condition</t>
  </si>
  <si>
    <t>Apple iPhone 7 Plus 32GB A1784 (GSM) (Unlocked) - Black</t>
  </si>
  <si>
    <t>Apple iPhone 12 Pro MAX-UNLOCKED-1&lt;wbr/&gt;28/256/512GB-I&lt;wbr/&gt;OS-ALL COLOURS-Excell&lt;wbr/&gt;ent</t>
  </si>
  <si>
    <t>Samsung Galaxy S10 SM-G973F 128GB 8GB 16MP Mobile Prism Black Unlocked GOOD{</t>
  </si>
  <si>
    <t>Apple iPhone 14 128GB Purple (Unlocked) Grade A+ "eBay Excellent"</t>
  </si>
  <si>
    <t>Samsung Galaxy J6+ 2018 SM-J610FN 32GB 6" 13MP 3GB RAM Android10 Unlocked</t>
  </si>
  <si>
    <t>Apple iPhone 7 Plus 32GB Unlocked Rose Gold - Extra 15% CODE OFF - VERY GOOD - A</t>
  </si>
  <si>
    <t>Samsung Galaxy S20 Plus, 5G, 128GB, Cosmic Black, Unlocked Single SIM - Good Con</t>
  </si>
  <si>
    <t>Samsung Galaxy S21+ Plus 5G SM-G996B 256GB 8GB 64MP Violet Unlocked VERY GOOD{</t>
  </si>
  <si>
    <t>Motorola Moto e30 Dual-SIM 32GB Unlocked 4G SIM-Free Smartphone - Blue C</t>
  </si>
  <si>
    <t>Samsung S21 Plus 5G All Sizes All Colours 12M Warranty Unlocked Good Condition</t>
  </si>
  <si>
    <t>Apple iPhone SE 2020 64GB 128GB 2nd Gen Black iOS Unlocked - Pristine Condition</t>
  </si>
  <si>
    <t>Google Pixel 7 Pro 128GB GP4BC 50MP Android Smartphone Obsidian Black Unlocked</t>
  </si>
  <si>
    <t>Apple iPhone SE 16GB 32GB 64GB 128GB Unlocked | All Colours Phone 4G | Good</t>
  </si>
  <si>
    <t>Apple iPhone 14 Plus - 128GB - Midnight (Unlocked) + Free Fast Plug</t>
  </si>
  <si>
    <t>Apple iPhone 13 Pro Max A2643 128GB 6GB Smartphone Mobile Unlocked VERY GOOD=</t>
  </si>
  <si>
    <t>Apple iPhone 8 Plus 64GB Space Grey Unlocked - Refurbished Good</t>
  </si>
  <si>
    <t>Samsung Galaxy A3 2017 16GB Unlocked Black Gold Blue Pink Android Phone | Good</t>
  </si>
  <si>
    <t>Samsung Galaxy A8 2018 32GB SM-A530F Unlocked Dual Sim4G Android Smartphone GOOD</t>
  </si>
  <si>
    <t>Apple iPhone 8 Plus - 64GB 256GB Space Grey, Gold, Silver, Unlocked, Excellent</t>
  </si>
  <si>
    <t>Samsung Galaxy J3 2017 16GB Unlocked  4G LTE Android Smartphone Various Colours</t>
  </si>
  <si>
    <t>Huawei P20 Lite 64GB Unlocked Black Blue Pink Android Smartphone 4G | Very Good</t>
  </si>
  <si>
    <t>Apple iPhone 6S 16GB 32GB 64GB Unlocked 4G Smartphone Excellent Condition</t>
  </si>
  <si>
    <t>Apple iPhone 8 - 64GB/ 256GB - All Colours - Unlocked -  Very Good Condition</t>
  </si>
  <si>
    <t>Apple iPhone XS Max - 64GB/256GB - All Colours - UNLOCKED - GOOD CONDITION</t>
  </si>
  <si>
    <t>Apple iPhone 11 Pro A2215 64GB 4GB 12MP Mobile Midnight Green Unlocked GOOD{</t>
  </si>
  <si>
    <t>Samsung Galaxy A70 Dual SIM 128GB Unlocked Black Blue White Pink 4G Phone | Good</t>
  </si>
  <si>
    <t>Apple iPhone 8 64GB 128GB 256GB Unlocked Space Grey Gold Silver Red 4G | Good</t>
  </si>
  <si>
    <t>Apple iPhone 11 Pro 64GB 256GB 512GB Unlocked Grey - Very Good -Sim Option</t>
  </si>
  <si>
    <t>Apple iPhone 11 64GB Unlocked Phone Black -Extra 15% CODE OFF - GOOD B+</t>
  </si>
  <si>
    <t>Apple iPhone 12, 64GB, Black, Unlocked - Good Condition</t>
  </si>
  <si>
    <t>Samsung Galaxy A9 SM-A920FD - 128GB - Vitality Blue - Smartphone (Dual SIM) GOOD</t>
  </si>
  <si>
    <t>Huawei P30 128GB Aurora | Unlocked (Dual Sim) | Refurbished (Good)</t>
  </si>
  <si>
    <t>Apple iPhone 13 Mini - 128GB/256/512 -ALL COLOURS-UNLOCK&lt;wbr/&gt;ED - GOOD CONDITION</t>
  </si>
  <si>
    <t>Samsung Galaxy S21 Ultra 5G SM-G998B/DS 128/256/512GB Unlocked All Colours Good</t>
  </si>
  <si>
    <t>Samsung Galaxy S20 FE, 5G 128GB, Cloud Navy, Unlocked - Good Condition</t>
  </si>
  <si>
    <t>Microsoft</t>
  </si>
  <si>
    <t>Microsoft Lumia 550 4.7" Mobile Phone 8Gb Black</t>
  </si>
  <si>
    <t>Samsung Galaxy A52 5G SM-A526B 128GB 6GB 64MP Smartphone Mobile Unlocked GOOD=</t>
  </si>
  <si>
    <t>Apple MNE23B/A iPhone 13 Pro 5G 6.1" Smartphone 128GB SIM-Free Alpine Green C</t>
  </si>
  <si>
    <t>Samsung Galaxy S21 5G SM-G991B 128GB 8GB Smartphone Mobile Unlocked VERY GOOD=</t>
  </si>
  <si>
    <t>Apple iPhone 13 Pro Max 5G SIM-Free Smartphone 128GB Unlocked - Graphite C</t>
  </si>
  <si>
    <t>Sony Xperia L3 32GB Unlocked Black/Gold/Sil&lt;wbr/&gt;ver Very Good Condition</t>
  </si>
  <si>
    <r>
      <t>⭐</t>
    </r>
    <r>
      <rPr>
        <sz val="10"/>
        <color rgb="FF000000"/>
        <rFont val="Helvetica Neue"/>
        <family val="2"/>
      </rPr>
      <t>SAMSUNG GALAXY S8 G950 G950F 64GB Smartphone - Grade A+ CHARGR</t>
    </r>
  </si>
  <si>
    <t>Huawei P20 Pro - 128GB - Black - O2 - Good Condition</t>
  </si>
  <si>
    <t>Apple iPhone XR - 64GB 128GB 256GB Unlocked Smartphone Good Condition Warranty</t>
  </si>
  <si>
    <t>Motorola Edge 20 Lite 128GB Unlocked Smartphone - Electric Graphite - Good</t>
  </si>
  <si>
    <t>Apple iPhone 7 A1778 32GB 2GB 12MP Camera Smartphone Mobile Unlocked VERY GOOD=</t>
  </si>
  <si>
    <t>Xiaomi Mi 10 5G 256GB Unlocked Green/Peach Gold/Grey Very Good Condition</t>
  </si>
  <si>
    <t>Apple iPhone 12 64GB Unlocked phone Black-Extra 15% CODE OFF - VERY GOOD A</t>
  </si>
  <si>
    <t>Samsung Galaxy Note 10+ Plus 5G SM-N976B 256GB 12GB Aura Glow Unlocked GOOD{</t>
  </si>
  <si>
    <t>Oppo Find X5 CPH2307 5G 256GB 50MP Android Mobile Smartphone Black Unlocked</t>
  </si>
  <si>
    <t>Samsung Galaxy Note 10 Lite SM-N770F 128GB 6GB Aura Black Unlocked VERY GOOD{</t>
  </si>
  <si>
    <t>OnePlus Nord 2T 5G 128GB 256GB Grey Shadow Jade Fog Unlocked Mobile Excellent</t>
  </si>
  <si>
    <t>Google Pixel 5 5G 128GB Unlocked Just Black/Sorta Sage Very Good Condition</t>
  </si>
  <si>
    <t>Apple iPhone XS, 256GB, Space Grey, Unlocked - Refurbished Good</t>
  </si>
  <si>
    <t>Refurbished Apple iPhone 11 Pro Max Silver 6.5" 64GB 4G Unlocked  A3/MWHF2B/A/MV</t>
  </si>
  <si>
    <t>Samsung Galaxy A41 A415F/DS "DUAL SIM" 64GB Unlocked All Colours Good Condition</t>
  </si>
  <si>
    <t>Samsung Galaxy J5 SM-J510FN 2016 16GB Unlocked All Colours Good Condition</t>
  </si>
  <si>
    <t>Apple iPhone 8 - 64GB/128GB/256&lt;wbr/&gt;GB - All Colours - UNLOCKED - VERY GOOD CONDITION</t>
  </si>
  <si>
    <t>Samsung Galaxy A70 128GB Dual Sim Unlocked 4G Android Smartphone Various Colours</t>
  </si>
  <si>
    <t>WORKING NOKIA 6310 -  GOLD - MOBILE PHONE HANDSET 6 MONTH GUARANTEE</t>
  </si>
  <si>
    <t>Apple MMXF3B/A iPhone SE 5G 4.7" Smartphone 64GB Unlocked 2022 - Midnight C+</t>
  </si>
  <si>
    <t>Apple iPhone 11 Pro 64GB 256GB 512GB Unlocked Green - Good -Sim Option</t>
  </si>
  <si>
    <t>Samsung Galaxy S20 FE 5G SM-G781B 128GB 6GB Mobile Cloud White Unlocked GOOD{</t>
  </si>
  <si>
    <t>Apple iPhone 11 Pro 64GB 256GB 512GB Unlocked Grey - Excellent -Sim Option</t>
  </si>
  <si>
    <t>ALCATEL</t>
  </si>
  <si>
    <t>Alcatel 1 5033X 5" 4G Smartphone 8GB Storage Unlocked Sim-Free - Gold B</t>
  </si>
  <si>
    <t>Samsung S21 Ultra 5G All Colours All Sizes Unlocked - Very Good Condition</t>
  </si>
  <si>
    <t>Nokia 1110i Sim Free Unlocked Black Handset Mobile Cell Phone</t>
  </si>
  <si>
    <t>Fairphone 2 32GB Mixed Colours Unlocked Very Good Condition</t>
  </si>
  <si>
    <t>Apple iPhone X, 256GB, Space Grey, Unlocked - Refurbished Good</t>
  </si>
  <si>
    <t>Samsung Galaxy S20 FE, 5G, 128GB, Cloud Mint, Unlocked - Good Condition</t>
  </si>
  <si>
    <t>Samsung Galaxy S22 Ultra 5G SM-S908B 128GB 8GB Smartphone Unlocked EXCELLENT=</t>
  </si>
  <si>
    <t>Apple iPhone SE 2022 - All Sizes - All Colours - Unlocked - Very Good Condition</t>
  </si>
  <si>
    <t>Apple iPhone 14 5G 6.1'' Smartphone 128GB Unlocked SIM-Free - (Starlight) B+</t>
  </si>
  <si>
    <t>Apple MN962B/A iPhone 7 Smartphone 128GB Unlocked Sim Free 1YR [Jet Black] C</t>
  </si>
  <si>
    <t>Samsung Galaxy S21 5G - All Sizes - All Colours - Unlocked - Excellent Condition</t>
  </si>
  <si>
    <t>OnePlus 9 Pro 5G LE2123 128GB 50MP Android Smartphone Morning Mist Unlocked</t>
  </si>
  <si>
    <t>Sony Xperia XZ2 Compact 32GB Unlocked 4G Android Smartphone Excellent Condition</t>
  </si>
  <si>
    <t>Apple iPhone 12 Pro Max A2411 256GB 6GB 12MP Smartphone Mobile Unlocked GOOD=</t>
  </si>
  <si>
    <t>Samsung Galaxy A13 6.6'' 4G Smartphone 64GB Unlocked SIM-Free - Black B+</t>
  </si>
  <si>
    <t>Apple MMXF3B/A iPhone SE 5G 4.7" Smartphone 64GB Unlocked 2022 - Midnight C</t>
  </si>
  <si>
    <t>Samsung Galaxy A13 6.6'' 4G Smartphone 64GB Unlocked Dual-Sim - [Black] C+</t>
  </si>
  <si>
    <t>SAMSUNG J56 J5 2016 J510 16GB BLACK DUAL SIM UNLOCKED CERTIFIED REFURB</t>
  </si>
  <si>
    <t>Apple iPhone 13 Pro Gold Unlocked 128GB 256GB 512GB GREAT Condition Warranty</t>
  </si>
  <si>
    <t>Samsung Galaxy S20 FE, 128GB, Cloud White, Unlocked Dual SIM- Good Condition</t>
  </si>
  <si>
    <t>Samsung Galaxy A52s 5G SM-A528B 128GB 4GB Smartphone Mobile Unlocked VERY GOOD=</t>
  </si>
  <si>
    <t>Samsung Galaxy A23 5G 6.6'' Smartphone 4GB RAM 64GB Unlocked - Awesome Blue C</t>
  </si>
  <si>
    <t>Samsung Galaxy A20e Dual SIM 32GB Unlocked Black White Blue Pink 4G | Very Good</t>
  </si>
  <si>
    <t>Motorola Moto e30 Dual-SIM 32GB Unlocked 4G SIM-Free Smartphone - Blue B+</t>
  </si>
  <si>
    <t>Samsung Galaxy S10+ Plus - All Sizes &amp; Colours - Unlocked - Excellent Condition</t>
  </si>
  <si>
    <t>Google Pixel 6 5G - 128GB - All Colours - Unlocked - Good Condition</t>
  </si>
  <si>
    <t>Samsung Galaxy S21+ 5G SM-G996B/DS - 128GB, 256GB - Silver, Violet, Black</t>
  </si>
  <si>
    <t>Huawei P40 Lite 5G Dual SIM 128GB Black Silver Green Unlocked Mobile | Very Good</t>
  </si>
  <si>
    <t>Samsung Galaxy Z Flip 3 5G 6.7'' Folding Smartphone 128GB SIM-Free - *Cream* B</t>
  </si>
  <si>
    <t>Huawei P30 Pro - 128GB - All Colours - Unlocked - Very Good Condition</t>
  </si>
  <si>
    <t>Apple iPhone 6S Plus 16GB, 32GB, 64GB - Gold, Silver, Space Grey - Grade B</t>
  </si>
  <si>
    <t>Samsung Galaxy S22 Ultra 5G SM-S908B 128GB Phantom Black Unlocked VERY GOOD{</t>
  </si>
  <si>
    <t>Samsung Galaxy A5 2017 32GB Unlocked Black Gold Blue Pink Android Phone | Good</t>
  </si>
  <si>
    <t>Samsung Galaxy S20 5G - 128GB - All Colours - Unlocked - Very Good Condition</t>
  </si>
  <si>
    <t>Apple iPhone 14 Pro Max 128GB 256GB 512GB 1TB Space Black EXCELLENT 90-100% BH</t>
  </si>
  <si>
    <t>Apple iPhone 14 Plus 6.7'' 5G SIM-Free Smartphone 128GB Unlocked - Midnight C</t>
  </si>
  <si>
    <t>Samsung Galaxy Z Flip3 5G 128GB Phantom Black Unlocked - Good Condition</t>
  </si>
  <si>
    <t>Apple iPhone 13 Pro Max 256GB Blue Unlocked A2643 Grade B Apple UK 1 yr Warranty</t>
  </si>
  <si>
    <t>Huawei Mate 20 Lite 64GB Unlocked 4G LTE Android Smartphone Various Colours</t>
  </si>
  <si>
    <t>Honor X8 4G 6.7" FHD+ 6GB / 128GB Unlocked Dual Sim Free Smart Phone Silver</t>
  </si>
  <si>
    <t>Apple iPhone 12 Pro 128GB 256GB 512GB Unlocked Gold- Very Good - Sim Option</t>
  </si>
  <si>
    <t>Samsung Galaxy S21 5G | Unlocked | All Colours | Good Condition</t>
  </si>
  <si>
    <t>Samsung Galaxy S22 SM-S901B/DS - 128GB - Pink Gold (Unlocked)</t>
  </si>
  <si>
    <t>Samsung Galaxy S20 FE 4G 128GB Dual Sim Unlocked All Colours **GOOD CONDITION**</t>
  </si>
  <si>
    <t>Samsung Galaxy A3 2017  SM-A320FL Grade A Unlocked Bue  16GB 1 year warranty</t>
  </si>
  <si>
    <t>Xiaomi Mi 11 Smartphone 256Gb Gray 5G unlocked MZB08JMEN</t>
  </si>
  <si>
    <t>Apple iPhone 12 Pro 128 256 512 GB Unlocked Smartphone SimFree Pristine Grade A+</t>
  </si>
  <si>
    <t>Apple iPhone 11 Pro 64GB - Midnight Green (CDMA + GSM) Network Read Description*</t>
  </si>
  <si>
    <t>Apple iPhone XS Max - 64GB/256GB - All Colours - UNLOCKED - VERY GOOD CONDITION</t>
  </si>
  <si>
    <t>Samsung S21 5G Phantom White/Grey/Vio&lt;wbr/&gt;let/Pink - Unlocked - Excellent Condition</t>
  </si>
  <si>
    <t>Apple iPhone 11 Pro 64GB 256GB 512GB Unlocked - With Accessories - Good</t>
  </si>
  <si>
    <t>Samsung Galaxy S20 4G/5G 128GB Dual Sim Unlocked Smartphone Android- EXCELLENT</t>
  </si>
  <si>
    <t>Samsung Galaxy S10 Dual SIM 128GB 512GB White Black Green Unlocked Very Good</t>
  </si>
  <si>
    <t>Motorola Moto E6 Play 5.5'' 4G Smartphone 32GB Unlocked - Black (No Accs) B</t>
  </si>
  <si>
    <t>Huawei P40 Lite JNY-LX1 Unlocked Smartphone Quad Camera 6.4" 48MP 128GB Grade A</t>
  </si>
  <si>
    <t>Apple iPhone 14 Pro 5G Smartphone 256GB Unlocked SIM-Free - {Purple} C</t>
  </si>
  <si>
    <t>Apple iPhone 7-UNLOCKED-32/&lt;wbr/&gt;128/256GB-IOS-&lt;wbr/&gt;ALL COLOURS-Very Good Condition</t>
  </si>
  <si>
    <t>Samsung Galaxy J3 J320FN 2016 - 16GB 8GB Unlocked Grade A+ Excellent Condition</t>
  </si>
  <si>
    <t>Apple iPhone 11 Pro - Unlocked 64/256/512GB - All Colours - Excellent Condition</t>
  </si>
  <si>
    <t>Apple iPhone SE 32GB Factory 4G LTE Unlocked Smartphone All Colours + Free CHARG</t>
  </si>
  <si>
    <t>Samsung Galaxy S10 Plus | Unlocked | All Colours | Very Good Condition</t>
  </si>
  <si>
    <t>Apple iPhone XS 64GB 256GB 512GB Space Grey Silver Gold Unlocked 3G 4G Excellent</t>
  </si>
  <si>
    <t>Apple iPhone 11 - All Sizes - All Colours - Unlocked - Excellent Condition</t>
  </si>
  <si>
    <t>Apple iPhone 7 Plus - 32GB 128GB 256GB - Unlocked Smartphone All Colours Good</t>
  </si>
  <si>
    <t>Huawei P20 128GB EML-L29 Unlocked Sim Free 4G LTE Android Smartphone</t>
  </si>
  <si>
    <t>Apple iPhone 7 32GB 128GB 256GB ALL COLOURS Unlocked EXCELLENT CONDITION A++</t>
  </si>
  <si>
    <t>Samsung A33 5G 128gb Android Smartphone Unlocked White</t>
  </si>
  <si>
    <t>Apple iPhone 13 Pro Max-128/256/51&lt;wbr/&gt;2/1000GB-All Colours-Unlock&lt;wbr/&gt;ed-Excellent</t>
  </si>
  <si>
    <t>Apple iPhone 13 Pro Max 128GB 256GB 512GB 1000GB All Colours Unlocked Very Good</t>
  </si>
  <si>
    <t>Samsung Galaxy Z Flip 4, 5G, 128GB, Pink Gold, Unlocked - Pristine Condition</t>
  </si>
  <si>
    <t>Apple iPhone 8 Plus - Unlocked All Colours - Very Good Condition</t>
  </si>
  <si>
    <t>Samsung Galaxy S20 FE 4G/5G 128GB Unlocked Android Smartphone Dual Sim *GOOD*</t>
  </si>
  <si>
    <t>Apple iPhone 8 64GB Sim Free Unlocked iOS Smartphone Silver - Very Good - A</t>
  </si>
  <si>
    <t>Samsung Galaxy A6 2018 32GB SM-A600FN Unlocked 4G LTE Android Smartphone</t>
  </si>
  <si>
    <t>Apple iPhone 7 Plus 32GB Unlocked Matte Black - Extra 15% CODE OFF - GOOD B+</t>
  </si>
  <si>
    <t>Samsung Galaxy A12 64GB | Black | Unlocked (Dual Sim) | Refurbished (Good)</t>
  </si>
  <si>
    <t>Apple iPhone 7 Plus 32GB Unlocked - Rose Gold - Extra 15% CODE OFF - GOOD - B+</t>
  </si>
  <si>
    <t>Motorola Moto G22 4G 6.5" Smartphone 64GB 4GB RAM SIM-Free (DMG Sim Tray) B</t>
  </si>
  <si>
    <t>Apple iPhone XR 128GB Black Unlocked SIM Free A2105 Excellent Grade A</t>
  </si>
  <si>
    <t>Apple iPhone 7 32GB 128GB iOS Smartphone 4G Unlocked All Colours Very Good</t>
  </si>
  <si>
    <t>Samsung Galaxy S21 FE 5G Smartphone 128GB Unlocked SIM-Free - *White* B</t>
  </si>
  <si>
    <t>Sony Xperia XZ3 64GB  4G  H8416  Android Black Unlocked Grade C 1yr UK Warranty</t>
  </si>
  <si>
    <t>Samsung Galaxy S8 SM-G950 64GB Unlocked Smartphone ALL Colours Sim Free UK MINT</t>
  </si>
  <si>
    <t>Apple iPhone X 256GB Unlocked Smartphone, Space Grey (NO Face ID)- VERY GOOD A</t>
  </si>
  <si>
    <t>Apple iPhone 8 64GB 128GB 256GB Unlocked Space Grey Gold Silver Red | Very Good</t>
  </si>
  <si>
    <t>Apple iPhone X 256GB Unlocked Phon Silver -  Extra 15% CODE OFF - VERY GOOD - A</t>
  </si>
  <si>
    <t>Apple iPhone 14 Pro 5G Smartphone 128GB Unlocked SIM-Free - (Deep Purple) B+</t>
  </si>
  <si>
    <t>OPPO Find X2 Neo 5G CPH2009 256GB 5G Black Unlocked Dual Grade B UK Warranty</t>
  </si>
  <si>
    <t>Samsung Zflip 3 5G Unlocked - Blue - 128GB - Very Good Condition</t>
  </si>
  <si>
    <t>Samsung Galaxy J4 Plus SM-J415 32GB Unlocked Android 6" Smartphone (Black) B</t>
  </si>
  <si>
    <t>Motorola Moto Edge 20 Pro 5G XT2153-1 Dual Midnight Blue 256GB Grade B UK seller</t>
  </si>
  <si>
    <t>Motorola Moto E20 6.5'' Smartphone 32GB SIM-Free Unlocked - (Coastal Blue) B+</t>
  </si>
  <si>
    <t>Apple iPhone 12 Pro Max Graphite 128GB 256GB 512GB EXCELLENT Condition Warranty</t>
  </si>
  <si>
    <t>Motorola XT2137-1 Moto G50 5G 6.5" Smartphone 64GB Unlocked - (Aqua Green) B+</t>
  </si>
  <si>
    <t>Samsung Zflip 3 5G Unlocked - Blue - 128GB - Excellent Condition</t>
  </si>
  <si>
    <t>TCL 306 6.5'' 4G Android Smartphone 3GB RAM 32GB Unlocked Dual-Sim - (Blue) B+</t>
  </si>
  <si>
    <t>Apple iPhone XS - 64GB 256GB 512GB, All Colours - Unlocked - Excellent Condition</t>
  </si>
  <si>
    <t>Samsung Galaxy A51 2019 SM-A515F 128GB 4GB Smartphone Mobile Unlocked VERY GOOD=</t>
  </si>
  <si>
    <t>Apple iPhone XS 512GB Gold Unlocked to all network grade A</t>
  </si>
  <si>
    <t>Sony Xperia L4 4G 6.2'' Smartphone 3GB RAM 64GB Sim-Free - Black (No Accs) C</t>
  </si>
  <si>
    <t>Apple iPhone XR 64GB White Unlocked - Refurbished Good</t>
  </si>
  <si>
    <t>Google Pixel 7 Pro 6.7" Smartphone 5G Android SIM Free 128GB Licorice Black</t>
  </si>
  <si>
    <t>Samsung Galaxy S22+ 6.6" 5G Smartphone SIM-Free 128GB Unlocked - Pink Gold B+</t>
  </si>
  <si>
    <t>Samsung Galaxy S22 Ultra 6.8'' 5G Smartphone 128GB Unlocked - *Burgundy* B</t>
  </si>
  <si>
    <t>SAMSUNG GALAXY S20+ plus  5G SM-G986B/DS 128GB PHANTOM BLACK UNLOCKED 12GB RAM</t>
  </si>
  <si>
    <t>Samsung Galaxy Note 10 All Colours &amp; Storage (Unlocked) Smartphone  B-Grade</t>
  </si>
  <si>
    <t>Samsung Galaxy Z Flip3 5G 6.7" Smartphone 128GB Unlocked Sim Free Lavender B</t>
  </si>
  <si>
    <t>Samsung Galaxy Z Fold4 SM-F936B 256GB 12GB Phantom Black Unlocked EXCELLENT{</t>
  </si>
  <si>
    <t>HTC DESIRE 626, 16GB, DARK GREY, UNLOCKED, EXCELLENT REFURBISHED</t>
  </si>
  <si>
    <t>Samsung Galaxy S20 FE - 128GB - Navy, White, Lavender, Orange (Unlocked)</t>
  </si>
  <si>
    <t>Samsung Galaxy Z Flip 3 5G 6.7" Smartphone 8GB RAM 128GB Sim-Free - *Black* B</t>
  </si>
  <si>
    <t>Apple iPhone 12 Pro Max Gold Unlocked 128GB 256GB 512GB EXCELLENT Condition</t>
  </si>
  <si>
    <t>Nokia G20 Android SmartPhone 64GB 4GB RAM  Unlocked</t>
  </si>
  <si>
    <t>Samsung Galaxy Z Flip3 5G - 128GB 256GB - Main Colours - Unlocked - Excellent</t>
  </si>
  <si>
    <t>Apple iPhone 12 Pro Max A2411 128GB 6GB 12MP Mobile Pacific Blue Unlocked GOOD{</t>
  </si>
  <si>
    <t>Apple iPhone XR 64GB Unlocked Smartphone Red, Extra 15% CODE OFF - VERY GOOD A</t>
  </si>
  <si>
    <t>Samsung Galaxy Z Flip 4, 5G, 128GB, Graphite, Unlocked - Pristine Condition</t>
  </si>
  <si>
    <t>Pristine Apple iPhone 11 128GB Black Unlocked - 24 Month Warranty - With Box</t>
  </si>
  <si>
    <t>Google Pixel 6 Pro GLUOG 128GB 12GB 50MP Smartphone Mobile Unlocked GOOD=</t>
  </si>
  <si>
    <t>Samsung Galaxy S21 5G - Unlocked - All Colours - All GB's - Very Good Grade B!</t>
  </si>
  <si>
    <t>OnePlus 8 5G IN2013 256GB Smartphone Mobile Interstellar Glow Unlocked VERY GOOD</t>
  </si>
  <si>
    <t>Samsung Galaxy S20 5G SM-G981B 128GB 8GB 64MP Smartphone Mobile Unlocked GOOD=</t>
  </si>
  <si>
    <t>Honor 20e 64GB Black | Unlocked (Dual Sim) | Refurbished (Good)</t>
  </si>
  <si>
    <t>SAMSUNG GALAXY S21 5G 128GB 256GB 8GB 6.2" Dual Sim All Colours *GOOD CONDITION*</t>
  </si>
  <si>
    <t>Samsung Galaxy S21 Ultra 5G | Unlocked | All Colours | Very Good Condition</t>
  </si>
  <si>
    <t>BLU</t>
  </si>
  <si>
    <t>BLU X150E Windows 8.1 Smartphone SIM-Free Mobile Phone Dual SIM 8GB Grey C Grade</t>
  </si>
  <si>
    <t>Apple iPhone 8 256GB Unlocked Smartphone Silver - February Sale- VEY GOOD</t>
  </si>
  <si>
    <t>Apple iPhone 8 Plus 64GB Unlocked Gold, Summer Deal - 15% OFF - VERY GOOD - B+</t>
  </si>
  <si>
    <t>Samsung Galaxy S8 SM-G950 64GB Unlocked Smartphone Pristine A+</t>
  </si>
  <si>
    <t>Samsung Galaxy S10, 128GB, Prism Black, Unlocked - Good Condition</t>
  </si>
  <si>
    <t>Apple iPhone SE 2020 - 64GB - OPTISCH WIE NEU - Schwarz - Weiß - Rot</t>
  </si>
  <si>
    <t>Samsung Galaxy S20+ Plus 5G 128GB Unlocked All Colour Android UK Model-Very GOOD</t>
  </si>
  <si>
    <t>Samsung Galaxy Note 5 32GB Black Single SIM Android (Unlocked) Smartphone</t>
  </si>
  <si>
    <t>Apple iPhone 13 Pro 256GB Alpine Green Unlocked A2638 Grade C Apple UK Warranty</t>
  </si>
  <si>
    <t>Refurbished Apple iPhone 12 Pro Max Gold 6.7" 128GB 5G Unlocked &amp; A3/MGD93B/A/MV</t>
  </si>
  <si>
    <t>Huawei P30 ELE-L29 128GB Aurora Sunrise Crystal Black White Unlocked Excellent</t>
  </si>
  <si>
    <t>Samsung Galaxy A3 2016 16GB Black Single SIM (Unlocked) Excellent Smartphone</t>
  </si>
  <si>
    <t>Samsung Galaxy S22 Ultra 5G Smartphone S Pen SIM Free 128GB Black C Grade</t>
  </si>
  <si>
    <t>Apple iPhone XS 256GB Unlocked Smartphone, Silver-Februar&lt;wbr/&gt;y Sale - GOOD B</t>
  </si>
  <si>
    <t>Google Pixel 6 GB7N6 128GB 8GB 50MP Smartphone Mobile Unlocked VERY GOOD=</t>
  </si>
  <si>
    <t>Apple MGJ63B/A iPhone 12 5G 6.1'' Smartphone 64GB Unlocked White (No Accs) C</t>
  </si>
  <si>
    <t>Oppo Find X3 Neo 5G 256GB 12GB RAM Dual SIM Unlocked Good Condition</t>
  </si>
  <si>
    <t>Oppo A54 5G 64gb Android Smartphone 4G Unlocked Black</t>
  </si>
  <si>
    <t>Samsung Galaxy S22 5G 6.1'' Smartphone 128GB Dual-Sim Unlocked - Pink Gold B+</t>
  </si>
  <si>
    <t>Samsung Galaxy Z Flip4 SM-F721B 128GB 8GB Mobile Pink Gold Unlocked VERY GOOD{</t>
  </si>
  <si>
    <t>Apple iPhone 11 Pro 64GB 256GB 512GB Unlocked Silver - Good -Sim Option</t>
  </si>
  <si>
    <t>Samsung Galaxy S20 FE, 5G, 128GB, Cloud Lavender, Unlocked - Good Condition</t>
  </si>
  <si>
    <t>Apple iPhone 8  64GB  A1905  Gold Unlocked Box Grade A 1 yr UK Warranty Next Day</t>
  </si>
  <si>
    <t>Samsung Galaxy S20 FE, 5G, 128GB, Cloud Orange, Unlocked - Good Condition</t>
  </si>
  <si>
    <t>Samsung Galaxy S10 SM-G973F 512GB 8GB Smartphone Prism Black Unlocked VERY GOOD{</t>
  </si>
  <si>
    <t>Apple iPhone XR - 64GB - Black (Unlocked) Good, New Batt</t>
  </si>
  <si>
    <t>Xsonly.com</t>
  </si>
  <si>
    <t>Xiaomi Mi 11 Smartphone 128Gb Blue 5G unlocked MZB08JNEN</t>
  </si>
  <si>
    <t>Apple iPhone 13 Pro Max 5G Smartphone 1TB SIM-Free Unlocked - {Graphite} C</t>
  </si>
  <si>
    <t>Apple iPhone 12 Pro, iOS, 6.1", 5G, SIM Free, 128GB, Gold - Good Condition</t>
  </si>
  <si>
    <t>Samsung Galaxy Note 10+ Plus 5G 256GB SM-N976B Unlocked Smartphone | Very Good</t>
  </si>
  <si>
    <t>EXCELLENT REFURBISHED SAMSUNG GALAXY XCOVER PRO BLACK 64GB SM-G715FN/DS DUAL SIM</t>
  </si>
  <si>
    <t>Apple iPhone 12 Pro Max 256GB  Pecific Blue  Unlocked Excellent Condition</t>
  </si>
  <si>
    <t>iPhone 7 32GB SIM Free Mobile Phone Black Refurbished</t>
  </si>
  <si>
    <t>Apple iPhone 11 Pro Max 64GB Midnight Green (Unlocked) Very Good</t>
  </si>
  <si>
    <t>Oppo Reno4 Z 5G 128GB Unlocked Blue White Android Smartphone CPH2065 | Good</t>
  </si>
  <si>
    <t>Apple iPhone 8 UNLOCKED Smartphone - 64GB 128GB 256GB GOOD Condition - Warranty</t>
  </si>
  <si>
    <t>Apple iPhone 11 64GB 128GB 256GB Black Green Purple Red White Unlocked Excellent</t>
  </si>
  <si>
    <t>Samsung Galaxy S21 5G - Unlocked - All Colours - 128GB / 256GB - Excellent A*</t>
  </si>
  <si>
    <t>Samsung Galaxy A7 2018 64GB Unlocked Black Blue Gold Android Smartphone | Good</t>
  </si>
  <si>
    <t>Apple iPhone 8 Plus 64G - 256GB - Unlocked - Excellent Condition - Grade A+</t>
  </si>
  <si>
    <t>Samsung Galaxy S20 Plus 5G, 128GB, Aura Red, Unlocked Single SIM, Good Condition</t>
  </si>
  <si>
    <t>Samsung Galaxy A12 32GB 64GB 128GB All Colours Dual SIM Unlocked - Excellent</t>
  </si>
  <si>
    <t>Apple iPhone 8 64GB Unlocked, Gold - Summer Deal - 15% OFF - Very Good B+</t>
  </si>
  <si>
    <t>Samsung Galaxy A10 Dual Sim - 32GB Unlocked All Colours Very Good Condition</t>
  </si>
  <si>
    <t>Samsung Galaxy Note 20 5G, 256GB, Mystic Grey, Unlocked - Good Condition</t>
  </si>
  <si>
    <t>Apple iPhone XS Max 64GB Unlocked Variants, Extra 15% CODE OFF - EXCELLENT AAA+</t>
  </si>
  <si>
    <t>Apple iPhone 12 Pro Max 128GB 256GB 512GB All Colours Unlocked Very Good</t>
  </si>
  <si>
    <t>Apple iPhone 12 Pro Max A2411 128GB 6GB 12MP Smartphone Mobile Unlocked GOOD=</t>
  </si>
  <si>
    <t>OnePlus 8 5G IN2013 256GB 12GB 48MP Smartphone Mobile Unlocked VERY GOOD=</t>
  </si>
  <si>
    <t>Huawei P20 Lite ANE-LX1 32GB Unlocked 4G LTE Android Smartphone Various Colors</t>
  </si>
  <si>
    <r>
      <t>Samsung Galaxy J4 (2018) DUOs - Unlocked - 16GB SM-J400M - GOLD - GRADE A</t>
    </r>
    <r>
      <rPr>
        <sz val="10"/>
        <color rgb="FF000000"/>
        <rFont val="Apple Color Emoji"/>
      </rPr>
      <t>🔥</t>
    </r>
  </si>
  <si>
    <t>Apple iPhone 5S 64GB | Silver | Unlocked | Refurbished (Good)</t>
  </si>
  <si>
    <t>Apple iPhone XR, 64GB, Black, Unlocked - Good Condition</t>
  </si>
  <si>
    <t>Apple iPhone 12 Pro 128GB 256GB 512GB Unlocked Gold- Excellent - Sim Option</t>
  </si>
  <si>
    <t>Samsung Galaxy A71 SM-A715F 128GB 6GB Prism Crush Black Unlocked VERY GOOD{</t>
  </si>
  <si>
    <t>Apple iPhone 12 64GB 128GB 256GB Black White Red Green Blue Purple Mobile Good</t>
  </si>
  <si>
    <t>Apple iPhone 8 UNLOCKED Smartphone - 64GB 128GB 256GB - EXCELLENT Condition</t>
  </si>
  <si>
    <t>Apple iPhone SE 2020 64GB 128GB 256GB - Unlocked - Excellent Condition</t>
  </si>
  <si>
    <t>Google Pixel 3a XL 64GB Unlocked Black,White,Pu&lt;wbr/&gt;rple Very Good Condition</t>
  </si>
  <si>
    <t>Sony Xperia 5 II XQ-AS52 128GB 8GB 12MP Smartphone Mobile Black Unlocked GOOD{</t>
  </si>
  <si>
    <t>Apple iPhone 11 Pro Max Unlocked 64GB 256GB 512GB - 15% CODE OFF - EXCELLENT AAA</t>
  </si>
  <si>
    <t>Apple iPhone X 64GB 256GB 5.8inch 4G Unlocked Excellent Condition</t>
  </si>
  <si>
    <t>Samsung Galaxy A21 - 32GB - Blue (Unlocked) (Dual SIM)  A</t>
  </si>
  <si>
    <t>Xiaomi MI 10T PRO 5G, 256GB, Lunar Silver, Unlocked - Refurbished Excellent</t>
  </si>
  <si>
    <t>Samsung Galaxy NOTE 9 UK SPEC ANDROID UNLOCKED 128GB ALL COLOURS *VERY GOOD*</t>
  </si>
  <si>
    <t>Apple iPhone 7 32GB 128GB 256GB Grey Rose Gold Silver Red Unlocked Excellent</t>
  </si>
  <si>
    <t>Apple iPhone 12 Pro 128GB 256GB 512GB Unlocked Blue- Very Good - Sim Option</t>
  </si>
  <si>
    <t>Galaxy S3 Mini 8GB Blue Dual SIM Android (Unlocked) Excellent Smartphone</t>
  </si>
  <si>
    <t>Grade A3 Apple iPhone 11 Pro Midnight Green 5.8" 64GB 4G Unlocked A3/MWC62B/A/MV</t>
  </si>
  <si>
    <t>Apple iPhone 8 256GB Black Unlocked Smartphone Very Good</t>
  </si>
  <si>
    <t>Samsung Galaxy Z Flip4 5G Smartphone 256GB Unlocked SIM-Free - *Pink Gold* B</t>
  </si>
  <si>
    <t>Apple iPhone XR 64GB Unlocked Phone Yellow - Extra 15% CODE OFF - VERY GOOD - A</t>
  </si>
  <si>
    <t>Google Pixel 4a G025N 128GB 6GB 12MP Camera Smartphone Mobile Unlocked GOOD=</t>
  </si>
  <si>
    <t>OPPO A94 5G 128GB FLUID BLACK CPH221  DUAL SIM UNLOCKED EXCELLENT CONDITIONS</t>
  </si>
  <si>
    <t>OPPO Find X3 Lite 5G CPH2145 128GB 5G Black Unlocked Dual Grade C 1Y UK Warranty</t>
  </si>
  <si>
    <t>Apple iPhone 14 Pro 128GB 256GB 512GB 1TB ALL Unlocked GOOD Condition Warranty</t>
  </si>
  <si>
    <t>Samsung Galaxy S20 FE 5G 128GB Dual Sim Unlocked All Colours **GOOD CONDITION**</t>
  </si>
  <si>
    <t>cubot</t>
  </si>
  <si>
    <t>Cubot P20 6.18" Android Smartphone 4G, 64GB, 4GB RAM, Dual-SIM - Black (EU Plug)</t>
  </si>
  <si>
    <t>Apple iPhone 14 Pro Max 6.7'' 5G Smartphone 128GB Unlocked - (Silver) B+</t>
  </si>
  <si>
    <t>Apple iPhone 5S ME432B/A 4G Smartphone 16GB Unlocked Sim Free - {Space Grey} C</t>
  </si>
  <si>
    <t>Samsung Galaxy S20 ULTRA 5G SM-G988B 128GB Unlocked Warranty Excellent Condition</t>
  </si>
  <si>
    <t>Apple iPhone 11 Pro 5.8'' 4G iOS Smartphone 64GB Unlocked - *Midnight Green* D</t>
  </si>
  <si>
    <t>Apple iPhone 6S 16GB 32GB 64GB 128GB - Unlocked - Colours - EXCELLENT CONDITION</t>
  </si>
  <si>
    <t>Samsung Galaxy S10 SM-G973F 512GB 8GB Smartphone Mobile Unlocked VERY GOOD=</t>
  </si>
  <si>
    <t>Samsung Galaxy A9 SM-A920FD - 128GB - Vitality Blue Smartphone (Dual SIM) GOOD++</t>
  </si>
  <si>
    <t>Samsung Galaxy S20, 128GB, Cloud Blue, Unlocked - Good Condition</t>
  </si>
  <si>
    <t>Samsung Galaxy A40 Dual SIM 64GB Unlocked Black White Pink Blue 4G | Very Good</t>
  </si>
  <si>
    <t>Apple iPhone 8 64GB 256GB Black Gold Silver Unlocked 4G LTE - Pristine Condition</t>
  </si>
  <si>
    <t>Apple iPhone 12, 64GB, Green, Unlocked - Good Condition</t>
  </si>
  <si>
    <t>Apple iPhone 5S 16/32/64GB Unlocked Grey, White, Gold Good Condition</t>
  </si>
  <si>
    <t>Apple iPhone 13 Mini, 128GB, Red, Unlocked - Fair Condition</t>
  </si>
  <si>
    <t>Samsung Galaxy S6 32GB SM-G920F Unlocked Sim Free Android Phones Various Colours</t>
  </si>
  <si>
    <t>Nokia 719901161071 C01 Plus 5.45" 16GB Smartphone Android 11 Go Edition Blue</t>
  </si>
  <si>
    <t>Motorola Nexus 6 32GB Unlocked Android Smartphone - Blue</t>
  </si>
  <si>
    <t>Samsung Galaxy J4 - Unlocked - SM-J400F - 16GB - Black Android Smartphone</t>
  </si>
  <si>
    <t>Apple iPhone XS 64GB - 256GB 512GB - Unlocked - 12 Months Warranty - Very Good</t>
  </si>
  <si>
    <t>Samsung Galaxy Z Flip3 5G F711B/DS 128/256GB Unlocked All Colours Good Condition</t>
  </si>
  <si>
    <t>Apple iPhone 11 64GB Unlocked Phone Red - Extra 15% CODE OFF - VERY GOOD AA</t>
  </si>
  <si>
    <t>Samsung Galaxy M30s 64GB 128GB Mixed Colours Unlocked Very Good Condition</t>
  </si>
  <si>
    <t>Apple iPhone 11 64GB 128GB 256GB - Excellent Condition - TWO YEAR WARRANTY</t>
  </si>
  <si>
    <t>Samsung Galaxy S10+ Plus - All Sizes &amp; Colours - Unlocked - Good Condition</t>
  </si>
  <si>
    <t>Apple iPhone 8 Plus-64GB-Unlo&lt;wbr/&gt;cked All Colours  Excellent Grad A +1 Year Warranty</t>
  </si>
  <si>
    <t>Samsung Galaxy S21 FE 5G 6.4'' Smartphone 128GB 6GB RAM Unlocked Lavender C</t>
  </si>
  <si>
    <t>Apple iPhone 13 Pro, 128GB, Sierra Blue, Unlocked - Fair Condition</t>
  </si>
  <si>
    <t>Samsung Galaxy S21 Ultra 5G SM-G998B/DS 128/256/512GB Unlocked Very Good</t>
  </si>
  <si>
    <t>Google Pixel 7 Pro GP4BC 128GB 12GB 50MP Smartphone Mobile Unlocked EXCELLENT=</t>
  </si>
  <si>
    <t>Samsung Galaxy NOTE10 AURA GLOW 256GB DUAL SIM *GOOD CONDITION* UNLOCKED PHONE</t>
  </si>
  <si>
    <t>Samsung Galaxy Note 10+ Plus SM-N975F 256GB 12GB Mobile Aura Glow Unlocked GOOD{</t>
  </si>
  <si>
    <t>Huawei P40 Pro 5G ELS-NX9 256GB 8GB 50MP Smartphone Mobile Unlocked VERY GOOD=</t>
  </si>
  <si>
    <t>Samsung Galaxy S20+ Plus 5G 128GB Unlocked All Colour Smartphone UK Model- GOOD</t>
  </si>
  <si>
    <t>Apple iPhone 13 128GB 256GB 512GB All Colours Unlocked Good Condition</t>
  </si>
  <si>
    <t>Apple iPhone XS -NO FACE ID - Unlocked - 12 Months Warranty - Next Day Delivery</t>
  </si>
  <si>
    <t>Apple iPhone 12 Pro 256GB Unlocked, Graphite - Good Condition</t>
  </si>
  <si>
    <t>Apple iPhone 8 64GB/256GB -UNLOCKED -Very Good Refurbished  All Colours</t>
  </si>
  <si>
    <t>Samsung Galaxy S20 5G SM-G981B/DS 128GB COSMIC GREY Android Unlocked VERY GOOD</t>
  </si>
  <si>
    <t>Samsung Galaxy S10 SM-G973F 128GB 8GB Smartphone Prism White Unlocked VERY GOOD{</t>
  </si>
  <si>
    <t>Apple iPhone 12 Pro Max A2411 128GB 6GB 12MP Mobile Gold Unlocked VERY GOOD{</t>
  </si>
  <si>
    <t>Apple iPhone 8 Plus - Unlocked All Colours - Excellent Condition</t>
  </si>
  <si>
    <t>OnePlus 9 5G LE2113 128GB 8GB Smartphone Mobile Winter Mist Unlocked VERY GOOD{</t>
  </si>
  <si>
    <t>Apple iPhone X - 64GB - Space Grey/ Silver - UNLOCKED - EXXCELLENT CONDITION</t>
  </si>
  <si>
    <t>Apple iPhone 12 Pro A2407 128GB 6GB 12MP Smartphone Mobile Unlocked VERY GOOD=</t>
  </si>
  <si>
    <t>Samsung S9 - 64GB - Black - 12 Month Warranty - Pristine Refurbished</t>
  </si>
  <si>
    <t>TCL L Mariana Blue 6.53" Smartphone Hybrid Dual SIM Android 10.0 4G 6Gb 64Gb</t>
  </si>
  <si>
    <t>Samsung Galaxy J3 2017 16GB Black Unlocked Sim Free Android Mobile Smartphone B</t>
  </si>
  <si>
    <t>Samsung Galaxy S21 Ultra 5G SM-G998B 128GB 12GB Smartphone Mobile Unlocked GOOD=</t>
  </si>
  <si>
    <t>Apple iPhone 14 Pro Max 5G Smartphone 256GB Unlocked SIM-Free (Deep Purple) B+</t>
  </si>
  <si>
    <t>Apple iPhone XS 64GB 256GB 512GB Unlocked All Colours - Good</t>
  </si>
  <si>
    <t>Samsung Galaxy Note20 4G/5G 128GB/256GB- ALL COLOURS Dual-Sim Android- *GOOD*</t>
  </si>
  <si>
    <t>Apple iPhone 13 PRO MAX 256GB SIERRA BLUE UNLOCKED **GOOD CONDITION**</t>
  </si>
  <si>
    <t>Apple iPhone 11 64GB 128GB Unlocked All Colours Excellent Condition</t>
  </si>
  <si>
    <t>Samsung Galaxy J5 2016 16GB Unlocked Black White Gold Android Phone 4G | Good</t>
  </si>
  <si>
    <t>Samsung Galaxy S21 Ultra 5G Dual SIM 256GB 128GB Unlocked Smart Phone | Good</t>
  </si>
  <si>
    <t>Samsung Galaxy S20 FE 5G | Unlocked | All Colours | Very Good Condition</t>
  </si>
  <si>
    <t>Google Pixel 6 Pro Grade B</t>
  </si>
  <si>
    <t>Apple iPhone 6s 16GB 32GB 64GB 128GB Unlocked All Colours Good Condition</t>
  </si>
  <si>
    <t>Apple iPhone X 256GB Unlocked Smartphone, Space Grey - 15% CODE OFF - VERY GOOD</t>
  </si>
  <si>
    <t>Apple iPhone 8 64GB Unlocked, Space Grey - Summer Hot Deal, 15% OFF - Good B</t>
  </si>
  <si>
    <t>Microsoft Lumia 640 4G 8GB (Unlocked) Windows 10 Smartphone Very Good</t>
  </si>
  <si>
    <t>Apple iPad Pro 10.5" 64GB Gold | Wi-Fi | Refurbished (Good)</t>
  </si>
  <si>
    <t>Huawei P30 Lite MAR-LX1A - 64/128/256GB Unlocked All Colours Very Good Condition</t>
  </si>
  <si>
    <t>Samsung Galaxy S20 FE 5G | 128GB | Android | Cloud Red | Unlocked | Good</t>
  </si>
  <si>
    <t>Samsung Galaxy S21 5G SM-G991B 256GB 8GB Smartphone Phantom Grey Unlocked GOOD{</t>
  </si>
  <si>
    <t>Google Pixel 4a 5G G025I 128GB 6GB 16MP Smartphone Mobile Unlocked VERY GOOD=</t>
  </si>
  <si>
    <t>Microsoft Lumia 650 Dual Sim, 16GB, Black, Unlocked - Excellent Condition</t>
  </si>
  <si>
    <t>Samsung Galaxy S20 FE  (SM-G780F) Unlocked Android Smartphone Pristine Condition</t>
  </si>
  <si>
    <t>Samsung Galaxy A13 2022 64GB 4G Dual SIM Unlocked Black - UK Version - Excellent</t>
  </si>
  <si>
    <t>LG</t>
  </si>
  <si>
    <t>LG V30 H930, 64GB Unlocked Smartphone - Moroccan Blue - Refurbished Pristine</t>
  </si>
  <si>
    <t>Apple iPhone SE 2nd Gen. - 64GB - White (Unlocked) A2296 (GSM)</t>
  </si>
  <si>
    <t>Samsung Galaxy S9 SM-G960 - 64GB - Lilac Purple (Unlocked) Smartphone</t>
  </si>
  <si>
    <t>Samsung Galaxy A51 5G Dual SIM 128GB Unlocked Black White Android | Good</t>
  </si>
  <si>
    <t>OnePlus 6 Dual SIM 64/128/256GB Unlocked All Colours Very Good Condition</t>
  </si>
  <si>
    <t>Samsung Galaxy A52s 5G SM-A528B 128GB 4GB Mobile Awesome Violet Unlocked GOOD{</t>
  </si>
  <si>
    <t>Sony Xperia 1 iv XQ-CT54 256GB 5G 6.5" Black Unlocked Grade B Uk 1 year Warranty</t>
  </si>
  <si>
    <t>Google Pixel 2 XL 64GB Just Black Unlocked to all network grade A</t>
  </si>
  <si>
    <t>Apple iPhone XS Max - All Sizes &amp; Colours - (UNLOCKED) - Excellent Condition</t>
  </si>
  <si>
    <t>Samsung Galaxy Note 9 | 128GB 512GB | Android | Unlocked | Black Blue</t>
  </si>
  <si>
    <t>Samsung Galaxy A90 (5G) - 128GB - All Colours - (Unlocked) - Good Condition</t>
  </si>
  <si>
    <t>Apple iPhone 11 Pro 64GB 256GB 512GB Unlocked All Colours Excellent Condition</t>
  </si>
  <si>
    <t>Google Pixel 6a  - 128GB - All Colours - Unlocked - Good Condition</t>
  </si>
  <si>
    <t>Apple iPhone 7 - 32GB 128GB 256GB - Unlocked Smartphone - Good Condition</t>
  </si>
  <si>
    <t>Samsung S21 | 256GB | Android | 5G | Phantom Grey | Unlocked | Good</t>
  </si>
  <si>
    <t>Apple iPhone 11 Pro 64GB 256GB 512GB All Colours  Unlocked Excellent</t>
  </si>
  <si>
    <t>Samsung Galaxy S20 5G - 128GB - All Colours - Unlocked - Good Condition</t>
  </si>
  <si>
    <t>Samsung Galaxy S10 Dual SIM 128GB Unlocked Various Colours Android Mobile | Good</t>
  </si>
  <si>
    <t>Xiaomi Mi 11T Pro 16.9 cm 6.67" Dual SIM Android 11 5G 8Gb 256Gb Grey MZB09K3EN</t>
  </si>
  <si>
    <t>Huawei P30 ELE-L09 2019 128GB Unlocked All Colours Good Condition</t>
  </si>
  <si>
    <t>Apple iPhone 13 A2634 256GB 12MP Smartphone Mobile Pink Unlocked NON UK MODEL</t>
  </si>
  <si>
    <t>Samsung Galaxy J5 2016 16GB Unlocked Black White Gold Android Phone | GOOD</t>
  </si>
  <si>
    <t>Apple iPhone 11 Pro 64GB 256GB 512GB Unlocked All Colours Very Good Condition</t>
  </si>
  <si>
    <t>Samsung Galaxy A6 2018 SM-A600FN 32GB/3GB 16MP Mobile Black Unlocked GOOD-</t>
  </si>
  <si>
    <t>Apple iPhone 12, 64GB, Blue, Unlocked - Good Condition</t>
  </si>
  <si>
    <t>Microsoft Lumia 640 4G 8GB All Colours Windows 10 - Very Good Condition + CHARGR</t>
  </si>
  <si>
    <t>Apple iPhone 12 Pro Max 128GB Pacific Blue (Unlocked) Grade A "eBay Very Good"</t>
  </si>
  <si>
    <t>Samsung Galaxy A51 5G SM-A516B/DS 128GB Dual Sim Android Unlocked *VERY GOOD*</t>
  </si>
  <si>
    <t>Samsung Galaxy A3 2016 16GB SM-A310F Unlocked Sim Free 4G  Android Smartphones</t>
  </si>
  <si>
    <t>Motorola Moto E6 Play 5.5'' 4G Smartphone 32GB Unlocked - Black (No Accs) C-</t>
  </si>
  <si>
    <t>Samsung S21 Ultra 5G  | 512GB | Android | Phantom Navy | Unlocked | Good</t>
  </si>
  <si>
    <t>OnePlus 3T A3003 4G  Dual Sim Gunmetal 128GB Grade C UK seller 1 year Warranty</t>
  </si>
  <si>
    <t>Apple iPhone 8 A1905 (AT&amp;T Only) 128GB Gold (Very Good)</t>
  </si>
  <si>
    <t>CAT</t>
  </si>
  <si>
    <t>CAT S42 H+ 5.5" Hybrid Dual SIM Android 10.0 4G 3Gb 32Gb Black</t>
  </si>
  <si>
    <t>Apple iPhone 8 - 64GB 128GB 256GB Unlocked - All Colors - Very Good A</t>
  </si>
  <si>
    <t>Samsung Galaxy S10 | Unlocked | All Colours | Very Good Condition</t>
  </si>
  <si>
    <t>Samsung Galaxy Note20 4G/5G 256GB-All COLOURS Unlocked Dual-Sim| Very Good</t>
  </si>
  <si>
    <t>Samsung Galaxy S7 32GB SM-G930F Unlocked Sim Free 4G LTE Android Smartphone</t>
  </si>
  <si>
    <t>Apple iPhone SE (3rd Gen) A2595 (Red Pocket Only) 64GB Starlight (Very Good)</t>
  </si>
  <si>
    <t>N/A</t>
  </si>
  <si>
    <t>Google Pixel 2 (5.0", 64GB/4GB, 12.2MP) - White [CPO] - As New</t>
  </si>
  <si>
    <t>Apple iPhone 11 Pro Max 64GB Gold Unlocked Smartphone - Grade B Phone Only</t>
  </si>
  <si>
    <t>Apple iPhone 7 Plus A1784 (GSM Unlocked) 256GB Matte Black (Very Good)</t>
  </si>
  <si>
    <t>Apple iPhone 8 64/128/256GB Unlocked All Colours Good Condition</t>
  </si>
  <si>
    <t>Apple iPhone SE - 16GB - Space Grey (Unlocked) Excellent Smartphone</t>
  </si>
  <si>
    <t>Apple iPhone 8 Plus - 64GB - Silver - Xfinity - Excellent Condition</t>
  </si>
  <si>
    <t>Apple iPhone 8 256GB 128GB 64GB Unlocked Red Gray Silver Gold 1 Yr Warranty-Good</t>
  </si>
  <si>
    <t>APPLE iPhone XR A1984 A12 6.06 3GB 64GB Space Gray A-Ware iOS</t>
  </si>
  <si>
    <t>Nokia X10 64GB 6GB RAM Dual SIM Unlocked Android Smartphone - Forest Green</t>
  </si>
  <si>
    <t>Apple iPhone XS 64GB Unlocked Space Grey - Very Good - 12M UK WARRANTY</t>
  </si>
  <si>
    <t>Excellent Samsung Galaxy S10+ SM-G975F -128GB -Prism Green (Unlocked) (Dual SIM)</t>
  </si>
  <si>
    <t>Samsung Galaxy S5 - 16GB - WhiteUnlocked) - Good Condition</t>
  </si>
  <si>
    <t>Google Pixel 4a 5G G025E (AT&amp;T Only) 128GB Just Black (Good)</t>
  </si>
  <si>
    <t>Apple iPhone XS Max 256GB Unlocked Smartphone - Gold / Silver / Grey ( Good )</t>
  </si>
  <si>
    <t>Apple iPhone 8 - 64GB / 128GB / 256GB Unlocked - All Sizes &amp; Colours "Excellent"</t>
  </si>
  <si>
    <t>[Open Box] Apple iPhone 8 256GB - Gold</t>
  </si>
  <si>
    <t>Samsung Galaxy Note 20 5G N981U (Xfinity Only) 128GB Mystic Bronze (Excellent)</t>
  </si>
  <si>
    <t>Apple iPhone 12 64GB Unlocked Phone Black - -Extra 15% CODE OFF - GOOD B+</t>
  </si>
  <si>
    <t>SAMSUNG GALAXY NOTE10+ PLUS 5G 256GB UNLOCKED- BLACK | AURA GLOW-GOOD CONDITION</t>
  </si>
  <si>
    <t>Apple iPhone 7 32GB, 128GB - Black, Rose Gold, Red, Silver  - Unlocked - Grade C</t>
  </si>
  <si>
    <t>Samsung Galaxy S7 SM-G930F 32GB Unlocked Various Colours  Very Good</t>
  </si>
  <si>
    <t>Honor 8S (2019) 32GB 64GB Black Gold Blue Factory Unlocked Excellent</t>
  </si>
  <si>
    <t>TOP NOKIA 3410 SILVER WORKING MOBILE PHONE 1 YEAR BEST WARRANTY</t>
  </si>
  <si>
    <t>Samsung Galaxy S8+ Various Colours 64GB (Unlocked) Android Smartphone A-Grade</t>
  </si>
  <si>
    <t>Apple iPhone 11 128GB Unlocked Smartphone, Yellow - Special offer - GOOD B</t>
  </si>
  <si>
    <t>APPLE IPHONE XR A1984 6.06 3GB 128GB SPACE GRAY OS</t>
  </si>
  <si>
    <t>Samsung Galaxy A52S 128GB Unlocked Smartphone, Black -February Sale- VERY GOOD A</t>
  </si>
  <si>
    <t>Apple iPhone 14 Pro Max - 1TB Space Black - Unlocked SIM FREE - Apple Warranty!</t>
  </si>
  <si>
    <t>APPLE IPHONE XS A1920 4GB 64GB LTE SILVER IOS</t>
  </si>
  <si>
    <t>Samsung Galaxy J5 (2017) 16GB J530F - (Unlocked) BLACK - GRADE A</t>
  </si>
  <si>
    <t>Apple iPhone 12 128GB  Unlocked Smartphone - Black - Grade B - Good with 15% OFF</t>
  </si>
  <si>
    <t>Apple iPhone 13 512GB Unlocked Smartphone, Blue -January Sale- GOOD B</t>
  </si>
  <si>
    <t>Apple iPhone SE 2020 A2275 A13 4GB 64GB LTE Grau A-Ware iOS</t>
  </si>
  <si>
    <t>Apple iPhone 4S 8GB 16GB 32GB Unlocked Black White Smartphone - 12M Warranty</t>
  </si>
  <si>
    <t>OnePlus 6T 128GB 256GB Dual SIM Unlocked All Colours Good Condition</t>
  </si>
  <si>
    <t>BLU G60 6.1" 64GB/3GB International Unlocked Android Smartphone - Red™</t>
  </si>
  <si>
    <t>Apple iPhone 7 Plus - 128GB - All Colors - Unlocked - Very Good Condition</t>
  </si>
  <si>
    <t>Samsung Galaxy Note 20 5G N981U (Xfinity Only) 128GB Mystic Gray (Excellent)</t>
  </si>
  <si>
    <t>Apple iPhone SE - 16/32/64GB - UNLOCKED Smartphone - Various Colours - GOOD</t>
  </si>
  <si>
    <t>[Open Box] Apple iPhone 8 Plus 64GB - Gold</t>
  </si>
  <si>
    <t>Apple iPhone 13- 128GB 256GB 512GB Unlocked - All colors - EXCELLENT A+</t>
  </si>
  <si>
    <t>Google Pixel 5 5G 128GB, All Colours, Unlocked - VERY GOOD &amp; 15% OFF -  TOP DEAL</t>
  </si>
  <si>
    <t>Samsung Galaxy A70 - 128GB - White (Unlocked) (Dual SIM) Boxed</t>
  </si>
  <si>
    <t>Samsung Galaxy A32 5G 64GB A326U (T-Mobile) - Excellent</t>
  </si>
  <si>
    <t>Samsung Galaxy S21 128GB 5G SM-G991B Unlocked - Phantom Pink - VERY GOOD - A</t>
  </si>
  <si>
    <t>OnePlus 9 Pro 256GB,128GB DualSIM Pine Green,Stellar Black,Morning Mist-VeryGood</t>
  </si>
  <si>
    <t>Motorola Moto G 5G (2022) 256GB XT2213-3 Factory Unlocked - Excellent</t>
  </si>
  <si>
    <t>Apple iPhone 12 Mini 5G - 64GB Unlocked - Black (eBay Certified A+)</t>
  </si>
  <si>
    <t>Apple iPhone 13 128 256 512GB Unlocked Pink Midnight Blue&amp;more-Very&lt;wbr/&gt;Good</t>
  </si>
  <si>
    <t>Apple iPhone 7 Plus - 256GB - All Colors - GSM Unlocked - Very Good Condition</t>
  </si>
  <si>
    <t>Apple iPhone XS 64/ 256/ 512GB 5.8inch Unlocked All Colours Very Good Condition</t>
  </si>
  <si>
    <t>Google Pixel 5 128GB Unlocked Green,Black 1 Yr Warranty-VeryG&lt;wbr/&gt;ood</t>
  </si>
  <si>
    <t>Samsung Galaxy S20 FE SM-G780F/DS - 128GB - Cloud White (Unlocked)</t>
  </si>
  <si>
    <t>Microsoft Lumia 900- 16GB - Black (Unlocked) Smartphone Excellent Condition</t>
  </si>
  <si>
    <t>Apple iPhone 6s - 16GB - ROSE Gold (Unlocked) A1688 (CDMA + GSM)</t>
  </si>
  <si>
    <t>Samsung Galaxy J5 2017 16GB Unlocked 4G  Android Smartphone Very Good Condition</t>
  </si>
  <si>
    <t>Apple iPhone 12 Mini, 128GB, Unlocked, Green - Good Condition</t>
  </si>
  <si>
    <t>Apple iPhone 8 - 64GB 256GB - Unlocked All Colours - Very Good Condition</t>
  </si>
  <si>
    <t>Huawei P9 Lite 16GB Unlocked Android 4G Smartphone - Pristine Condition + CHARGR</t>
  </si>
  <si>
    <t>Apple iPhone SE 2020 - 64GB 128GB 256GB - All Colours - Unlocked - Very Good</t>
  </si>
  <si>
    <t>Samsung Galaxy A51 SM-A515F/DS - 128GB - Prism Crush Black (Unlocked) (Dual SIM)</t>
  </si>
  <si>
    <t>Samsung Galaxy J3(2017) SM-J330F - 16 GB - Black Gold Blue (Unlocked) Smartphone</t>
  </si>
  <si>
    <t>Apple iPhone 8 64GB Unlocked Gold</t>
  </si>
  <si>
    <t>Apple iPhone 13  128GB Alpine Green Unlocked A2633 Grade B Apple UK Warranty</t>
  </si>
  <si>
    <t>Apple iPhone 13 Pro Max 6.7'' 5G iOS Smartphone 128GB Unlocked - {Graphite} C</t>
  </si>
  <si>
    <t>Samsung Galaxy A50 Dual SIM 128GB Unlocked Black White Pink Blue 4G Phone | Good</t>
  </si>
  <si>
    <t>Google Pixel 6 Pro 5G, 128GB, Cloudy White, Unlocked - Good Condition</t>
  </si>
  <si>
    <t>Samsung S20 FE 4G / 5G All Sizes All Colours Unlocked - Excellent Condition</t>
  </si>
  <si>
    <t>Samsung Galaxy J6+ 2018 SM-J610FN 32GB 6" 13MP 3GB RAM Android 10 Unlocked Black</t>
  </si>
  <si>
    <r>
      <t xml:space="preserve">Samsung Galaxy A22 5G A226B 64GB Unlocked White colour Android </t>
    </r>
    <r>
      <rPr>
        <sz val="10"/>
        <color rgb="FF000000"/>
        <rFont val="Apple Color Emoji"/>
      </rPr>
      <t>⭐⭐</t>
    </r>
    <r>
      <rPr>
        <sz val="10"/>
        <color rgb="FF000000"/>
        <rFont val="Helvetica Neue"/>
        <family val="2"/>
      </rPr>
      <t>GOOD-</t>
    </r>
  </si>
  <si>
    <t>Samsung Galaxy S22 5G 6.1'' Smartphone 8GB RAM 256GB Unlocked SIM-Free Black B+</t>
  </si>
  <si>
    <t>Samsung Galaxy A40 | 64GB Blue | Unlocked (Dual Sim) | Refurbished (Good)</t>
  </si>
  <si>
    <t>Apple iPhone XR 64GB Unlocked Smartphone Black, Extra 15% CODE OFF - Very Good A</t>
  </si>
  <si>
    <t>Samsung Galaxy Note9 N960F 2018 128GB 512GB Blue Black White Unlocked Excellent</t>
  </si>
  <si>
    <t>Samsung Galaxy S22 5G 128GB 256GB Black White Gold Green Unlocked Very Good</t>
  </si>
  <si>
    <t>HUAWEI P30 Lite Smartphone, 128GB, Network Unlocked, Black, MAR-LX1A</t>
  </si>
  <si>
    <t>Apple iPhone 14 Pro 5G 6.1'' iOS Smartphone 256GB Unlocked - (Space Black) B+</t>
  </si>
  <si>
    <t>SAMSUNG GALAXY S22 ULTRA 5G 128GB BURGUNDY UNLOCKED UK VERS BOXED</t>
  </si>
  <si>
    <t>Apple MLPK3B/A iPhone 13 5G 6.1" SIM-Free Smartphone 128GB Unlocked - Blue B+</t>
  </si>
  <si>
    <t>Samsung Galaxy S20 Ultra 5G SM-G988B 128GB 12GB Smartphone Mobile Unlocked GOOD=</t>
  </si>
  <si>
    <t>Pristine Apple iPhone 11 Pro 64GB Midnight Green Unlocked - 24 Month Warranty</t>
  </si>
  <si>
    <t>Apple iPhone 7 32GB -128GB Black Silver iOS Unlocked -Grade A Pristine Condition</t>
  </si>
  <si>
    <t>Apple iPhone 7 Plus 32GB Unlocked, Jet Black - Extra 15% CODE OFF - VERY GOOD A</t>
  </si>
  <si>
    <t>Motarola</t>
  </si>
  <si>
    <t>Motorola Moto X Style 32GB M1411 Unlocked</t>
  </si>
  <si>
    <t>Apple iPhone X - 64GB 256GB -Unlocked - 12 Months Warranty - Excellent Grade A+</t>
  </si>
  <si>
    <t>Motorola g30 Smartphone Android 4GB RAM 6.52" SIM Free 128GB Dark Pearl unlocked</t>
  </si>
  <si>
    <t>Google Pixel 4 64GB Unlocked 4G Android Smartphone Various Colour Good Condition</t>
  </si>
  <si>
    <t>iPhone Apple A1586 4.7" Grey Apple A8/1GB/16GB/OS&lt;wbr/&gt;X 12.5.7 - Grade B+ Screen</t>
  </si>
  <si>
    <t>Apple MLPH3B/A iPhone 13 5G 6.1" Smartphone 128GB Sim-Free 6GB RAM Pink C</t>
  </si>
  <si>
    <t>Apple iPhone XS - 64GB Unlocked Colours - - Extra 15% CODE OFF - VERY GOOD - A</t>
  </si>
  <si>
    <t>Apple iPhone 12 Pro - All Colours - Unlocked - Excellent Condition</t>
  </si>
  <si>
    <t>Apple iPhone 12 Mini 64GB Unlocked Phone, Red - January Sale -VERY GOOD - A</t>
  </si>
  <si>
    <t>Samsung Galaxy S10 | S10+ Plus | S10 5G 128GB 256GB Dual Sim Android Unlocked</t>
  </si>
  <si>
    <t>Alcatel 3V Spectrum 4G 6" Smartphone 2GB RAM 16GB Sim Free Unlocked *Gold* C</t>
  </si>
  <si>
    <t>Apple iPhone 12 - 128GB White - Unlocked Smartphone (A2403) Very Good Condition</t>
  </si>
  <si>
    <t>Apple iPhone X (iPhone 10) Smartphone 64GB 256GB Grey Silver Unlocked Very Good</t>
  </si>
  <si>
    <t>Apple iPhone 13 Pro Max 256GB Graphite Unlocked A2643 Grade C Apple UK Warranty</t>
  </si>
  <si>
    <t>SAMSUNG GALAXY J5 2016 J56 - 16GB - VARIOUS COLOURS - UNLOCKED - VERY GOOD</t>
  </si>
  <si>
    <t>Samsung Galaxy Z Fold4 5G F936B/DS 256GB Dual SIM Unlocked Very Good Condition</t>
  </si>
  <si>
    <t>Apple iPhone 11 Pro Max A2218 64GB Mobile Matte Space Grey Unlocked GOOD*</t>
  </si>
  <si>
    <t>Apple iPhone 12 Pro A2407 256GB 6GB 12MP Smartphone Mobile Unlocked GOOD=</t>
  </si>
  <si>
    <t>Samsung Galaxy S22 Plus  5G SM-G906B/DS Grey  128GB Grade B UK Warranty seller</t>
  </si>
  <si>
    <t>Apple iPhone X 64GB Unlocked Silver,  Extra 15% CODE OFF - Silver, VERY GOOD A</t>
  </si>
  <si>
    <t>Huawei P10 32GB 64GB Unlocked 4G LTE Android Smartphones Excellent Device</t>
  </si>
  <si>
    <t>Apple iPhone 11 Pro, 64GB, Unlocked, Gold - Good Condition</t>
  </si>
  <si>
    <t>Blackview BV4900Pro 5.7" Android 12 Rugged Smartphone 4GB+64GB Mobile 5580mAh UK</t>
  </si>
  <si>
    <t>Apple iPhone 12 Pro, 256GB, Pacific Blue, Unlocked - Good Condition</t>
  </si>
  <si>
    <t>Apple iPhone 11, 64GB, Purple, Unlocked - Good Condition</t>
  </si>
  <si>
    <t>Samsung Galaxy S21+ Plus 5G SM-G996B 256GB 8GB 64MP Mobile Unlocked VERY GOOD=</t>
  </si>
  <si>
    <t>Samsung Galaxy A12 - 64GB - Black - Unlocked - Excellent Condition</t>
  </si>
  <si>
    <t>Microsoft Lumia 550 - 8GB - White (Unlocked)+ 12 Months warranty</t>
  </si>
  <si>
    <t>Apple iPhone X 256GB Unlocked Phone, Silver -  Extra 15% CODE OFF - GOOD B+</t>
  </si>
  <si>
    <t>Samsung Galaxy J5 J510FN 2016 - 16GB Unlocked All Colours Very Good Condition</t>
  </si>
  <si>
    <t>Samsung Galaxy Note 9, 128GB, Ocean Blue, Unlocked - Fair Condition</t>
  </si>
  <si>
    <t>Apple iPhone XS 64GB Unlocked Space Grey - Extra 15% CODE OFF - GOOD B+</t>
  </si>
  <si>
    <t>Samsung Galaxy S22 Ultra 6.8'' 5G Smartphone 8GB RAM 128GB Unlocked Burgundy C</t>
  </si>
  <si>
    <t>Apple iPhone 13 Pro Max A2643 256GB 6GB Smartphone Mobile Unlocked VERY GOOD=</t>
  </si>
  <si>
    <t>Samsung Galaxy S21 FE 5G SM-G990B 128GB 6GB Smartphone Mobile Unlocked GOOD=</t>
  </si>
  <si>
    <t>Samsung Galaxy J3 2016 8GB Unlocked Black White Gold Android Phone 4G | Good</t>
  </si>
  <si>
    <t>Apple iPhone 14 - 128GB Starlight - Unlocked SIM FREE - 100% BH - Apple Warranty</t>
  </si>
  <si>
    <t>Apple iPhone XR - All Colours - 64GB 128GB 256GB - Unlocked Excellent Condition</t>
  </si>
  <si>
    <t>Samsung Galaxy S9 Plus Dual SIM | 64GB 128GB 256GB | Unlocked | All Colours</t>
  </si>
  <si>
    <t>Samsung Galaxy S22 Ultra 6.8'' 5G Smartphone 8GB RAM 128GB Unlocked - Black B</t>
  </si>
  <si>
    <t>Apple iPhone 8 64GB Space Grey | Unlocked | Refurbished (Good)</t>
  </si>
  <si>
    <t>Apple iPhone 12 Pro Max 6.7'' 5G Smartphone 128GB SIM-Free Unlocked - *Gold* D</t>
  </si>
  <si>
    <t>Google Pixel 5 5G - 128GB Just Black Unlocked Single SIM- Good Grade C Condition</t>
  </si>
  <si>
    <t>OPPO FIND X5 PRO 5G 256GB CERAMIC WHITE DUAL SIM UNLOCKED CERTIFIED REFURBISHED</t>
  </si>
  <si>
    <t>Apple iPhone 12 64GB 128GB 256GB Unlocked Red - Good - Sim Option</t>
  </si>
  <si>
    <t>Samsung Galaxy S21 FE 6.4'' Unlocked SIM-Free 5G Smartphone 128GB - Graphite B</t>
  </si>
  <si>
    <r>
      <t>⭐</t>
    </r>
    <r>
      <rPr>
        <sz val="10"/>
        <color rgb="FF000000"/>
        <rFont val="Helvetica Neue"/>
        <family val="2"/>
      </rPr>
      <t>Samsung Galaxy A40 (SM-A405FN) 64GB - Dual Sim - Unlocked -Grade A CONDITION</t>
    </r>
    <r>
      <rPr>
        <sz val="10"/>
        <color rgb="FF000000"/>
        <rFont val="Apple Color Emoji"/>
      </rPr>
      <t>⭐</t>
    </r>
  </si>
  <si>
    <t>Samsung Galaxy S20 FE 5G SM-G781B 128GB 6GB Mobile Cloud Lavender Unlocked GOOD{</t>
  </si>
  <si>
    <t>OnePlus 7 Pro 4G GM1913 256GB 8GB 48MP Smartphone Mobile Unlocked VERY GOOD=</t>
  </si>
  <si>
    <t>Pristine Apple iPhone 11 Pro Max 256GB Gold Unlocked - 24 Month Warranty</t>
  </si>
  <si>
    <t>Apple iPhone 8 Plus 64GB 256GB 5.5inch  All Colours Unlocked Excellent Condition</t>
  </si>
  <si>
    <t>Samsung Galaxy A90 SM-A908B 5G 128GB Unlocked All Colours Good Condition</t>
  </si>
  <si>
    <t>Samsung Galaxy S21+ Plus 5G SM-G996B/DS - 128GB  - Phantom Silver (Unlocked)</t>
  </si>
  <si>
    <t>Apple MMXF3B/A iPhone SE 5G 4.7" Smartphone 64GB Unlocked 2022 - Midnight B+</t>
  </si>
  <si>
    <t>Apple iPhone 11 Pro 5.8" 4G SIM Free 256GB Qi Charging Midnight Green C Grade</t>
  </si>
  <si>
    <t>Samsung Galaxy Z Flip4 5G SM-F721B/DS 128/256GB Unlocked Grade A+ Excellent</t>
  </si>
  <si>
    <t>Samsung Galaxy Z Fold 2 5G | Unlocked | All Colours | Very Good Condition</t>
  </si>
  <si>
    <t>Apple iPhone X 10 A1901 64GB 3GB 12MP Smartphone Space Grey Unlocked VERY GOOD{</t>
  </si>
  <si>
    <t>Refurbished OPPO Reno4 Pro 5G Black 6.5" 128GB 5G Unlocked &amp; SIM F A1/CPH2089BLK</t>
  </si>
  <si>
    <t>Apple iPhone X (iPhone 10) 64GB 256GB Unlocked Grey/Silver Very Good Condition</t>
  </si>
  <si>
    <t>Samsung Galaxy S20+ Plus 5G Dual SIM 128GB Unlocked Various Colours | Very Good</t>
  </si>
  <si>
    <t>Umidigi</t>
  </si>
  <si>
    <t>Umidigi F1 6.3" 128GB Smartphone (2018) FHD+ Unlocked Dual Sim (EU plug) - Red</t>
  </si>
  <si>
    <t>Apple iPhone SE 2020, 64GB, Red, Unlocked - Good Condition</t>
  </si>
  <si>
    <t>Samsung Galaxy Z Flip 3, 5G, 256GB, Phantom Black, Unlocked - Good Condition</t>
  </si>
  <si>
    <t>Samsung Galaxy Tab E | Unlocked | All Colours | 8GB | Very Good Condition</t>
  </si>
  <si>
    <t>Google Pixel 2 XL - 64GB 128GB Unlocked Black/Black&amp;Wh&lt;wbr/&gt;ite Good Condition</t>
  </si>
  <si>
    <t>Apple iPhone 13 Pro 128GB/256/512 - ALL COLOURS - UNLOCKED - VERY GOOD CONDITION</t>
  </si>
  <si>
    <t>Samsung Galaxy S20 4G/5G 128GB Dual Sim Unlocked All Colours UK Model -VERY GOOD</t>
  </si>
  <si>
    <t>Samsung S20 Ultra 5G All Sizes All Colours Unlocked - Excellent Condition</t>
  </si>
  <si>
    <t>Samsung Galaxy J5 Prime Black 16GB SM-G579M Unlocked 4G LTE Android Smartphone</t>
  </si>
  <si>
    <t>Xiaomi 12 Pro 5G 256GB Dual SIM Unlocked Blue/Green/Gre&lt;wbr/&gt;y/Purple Good Condition</t>
  </si>
  <si>
    <t>Apple iPhone 13  128GB  A2633 Blue Unlocked Boxed Apple UK Warranty Grade B</t>
  </si>
  <si>
    <t>Samsung Galaxy A41 - 64GB (4GB RAM) - Prism Crush Black - Unlocked - Very Good</t>
  </si>
  <si>
    <t>Apple iPhone 7 A1778 32GB 2GB 12MP Smartphone Mobile Black Unlocked VERY GOOD{</t>
  </si>
  <si>
    <t>iPhone 12 - All Colours - GRADE A - Excellent Condition - (Renewed)</t>
  </si>
  <si>
    <t>One Plus 7 Pro 128gb 4G LTE Android Smartphone Unlocked Grey</t>
  </si>
  <si>
    <t>Apple iPhone XS 256GB Unlocked Smartphone Space Grey - 12M UK Warranty - GOOD</t>
  </si>
  <si>
    <t>Apple iPhone 7 - 32GB 128GB 256GB - Unlocked Smartphone - Very Good Condition</t>
  </si>
  <si>
    <t>Samsung Galaxy Z Flip3 5G - 128GB 256GB - Main Colours - Unlocked - Very Good</t>
  </si>
  <si>
    <t>Huawei P30 Pro 6.4" Unlocked Smartphone, 128GB, Black - Good Condition</t>
  </si>
  <si>
    <t>Samsung Galaxy A21s 32GB Silver | Unlocked (Dual Sim) | Refurbished (Very Good)</t>
  </si>
  <si>
    <t>Samsung Galaxy J5 (2017) SM-J530F - 16GB - Black (Unlocked) Grade A + CHRG</t>
  </si>
  <si>
    <t>Samsung Galaxy S21 Ultra 5G All Colour &amp; Storage (Unlocked) Smartphone B-Grade</t>
  </si>
  <si>
    <r>
      <t xml:space="preserve">Samsung Galaxy A22 5G A226B 64GB Unlocked White  colour Android </t>
    </r>
    <r>
      <rPr>
        <sz val="10"/>
        <color rgb="FF000000"/>
        <rFont val="Apple Color Emoji"/>
      </rPr>
      <t>⭐⭐</t>
    </r>
    <r>
      <rPr>
        <sz val="10"/>
        <color rgb="FF000000"/>
        <rFont val="Helvetica Neue"/>
        <family val="2"/>
      </rPr>
      <t>GOOD</t>
    </r>
  </si>
  <si>
    <t>Huawei Mate 9 Pro - 64GB - Haze Gold - Unlocked - Good Condition</t>
  </si>
  <si>
    <t>Samsung Galaxy S10e SM-G970F/DS Dual SIM 128GB Unlocked Grade A+ Excellent</t>
  </si>
  <si>
    <t>Apple iPhone 11 Pro Max 256GB Green Unlocked Smartphone - Grade D Phone Only</t>
  </si>
  <si>
    <t>TCL 30 SE 4GB RAM 64 GB storage Dual Nano SIM 4G  6.52" Blue  Factory Unlock</t>
  </si>
  <si>
    <t>Apple iPhone 8 64GB 128GB 256GB All Colours Unlocked Excellent Condition</t>
  </si>
  <si>
    <t>Apple iPhone 11 64GB Unlocked Black Smartphone -Extra 15% CODE OFF - Very GOOD</t>
  </si>
  <si>
    <t>Samsung Galaxy S20 Plus 5G- 128GB - All Colours - Unlocked - Very Good Condition</t>
  </si>
  <si>
    <t>Apple iPhone 14 Plus 6.7'' 5G Smartphone 128GB Unlocked SIM-Free - *Red* B</t>
  </si>
  <si>
    <t>Samsung Galaxy A70 (2019) SM-A705FN 128GB 6GB 32MP Mobile Unlocked VERY GOOD=</t>
  </si>
  <si>
    <t>Apple iPhone 7 32GB  Grade A++ iOS 4G LTE Unlocked - Grade A Condition</t>
  </si>
  <si>
    <t>Samsung SM-G960F Galaxy S9 6.2" 12MP 64GB Network Unlocked - Midnight Black</t>
  </si>
  <si>
    <t>Samsung Galaxy Z Flip4 5G Smartphone 128GB Dual-Sim Unlocked - {Bora Purple} C</t>
  </si>
  <si>
    <t>SAMSUNG J5 2017 (J530) 16 / 32 GB - VARIOUS COLOURS - UNLOCKED - EXCELLENT</t>
  </si>
  <si>
    <t>Samsung Galaxy A3 16GB Mixed Colours Unlocked Very Good Condition</t>
  </si>
  <si>
    <t>Samsung Galaxy S21, 5G, 128GB, Phantom Violet, Unlocked - Good Condition</t>
  </si>
  <si>
    <t>Apple iPhone 12 Pro, 128GB, Unlocked, Pacific Blue - Good Condition</t>
  </si>
  <si>
    <t>Samsung Galaxy S21 5G - 128GB - All Colors (T-Mobile) - Very Good Condition</t>
  </si>
  <si>
    <t>Samsung Galaxy Z Fold3 5G SM-F926B/DS 12GB RAM  256GB  Phantom Black Unlocked</t>
  </si>
  <si>
    <t>Apple iPhone SE 2020 2nd Gen 64GB White Unlocked Sim Free ​Mobile Smartphone A</t>
  </si>
  <si>
    <t>Apple iPhone 8 - 256GB - All Colors - AT&amp;T - Good Condition</t>
  </si>
  <si>
    <t>Samsung Galaxy S20 5G UW G981V (Xfinity Only) 128GB Cosmic Gray (Excellent)</t>
  </si>
  <si>
    <t>Apple iPhone 11, 64GB, White, Unlocked - Good Condition</t>
  </si>
  <si>
    <t>Nokia 8.3 5G 64GB,128GB Unlocked Polar Night 1 Yr Warranty-VeryG&lt;wbr/&gt;ood</t>
  </si>
  <si>
    <t>Samsung Galaxy A20e - 32GB - Coral (Unlocked) (Dual SIM)</t>
  </si>
  <si>
    <t>Samsung Galaxy A5 2015 16GB SM-A500FU Unlocked Android Phone Excellent Device</t>
  </si>
  <si>
    <t>Samsung Galaxy A12 32GB A125U 4G LTE (Verizon) Locked - Excellent</t>
  </si>
  <si>
    <t>Samsung Galaxy Note20 Ultra 5G - 256GB - Mystic Black (Unlocked) - Very Good</t>
  </si>
  <si>
    <t>Google Pixel 4a 5G G025E (Fully Unlocked) 128GB Just Black (Very Good)</t>
  </si>
  <si>
    <t>Apple iPhone 7 Plus A1784 (GSM Unlocked) 256GB Silver (Very Good)</t>
  </si>
  <si>
    <t>Samsung Galaxy Z Flip 4, 5G, 128GB, Bora Purple, Unlocked - Pristine Condition</t>
  </si>
  <si>
    <t>Apple iPhone 8 Plus 256GB - Gold [Refurbished] - Excellent</t>
  </si>
  <si>
    <t>Apple iPhone 6s A1688 (T-Mobile Only) 32GB Space Gray (Very Good)</t>
  </si>
  <si>
    <t>Samsung Galaxy S21 FE 5G G990U (Fully Unlocked) 128GB Navy Blue (Excellent)</t>
  </si>
  <si>
    <t>Motorola Moto G 5G (2022) 256GB XT2213-3 Factory Unlocked - Very Good</t>
  </si>
  <si>
    <t>[Open Box] Apple iPhone 8 256GB - Silver</t>
  </si>
  <si>
    <t>Apple iPhone SE 2020 - 64GB - All Colors - Fully Unlocked - Very Good Condition</t>
  </si>
  <si>
    <t>OnePlus 9 UK Model Dual SIM Winter Mist 128GB Excellent Condition Unlocked</t>
  </si>
  <si>
    <t>Huawei P30 Lite - 128GB - Peacock Blue (Dual SIM) GRADE A</t>
  </si>
  <si>
    <t>Apple iPhone 12 Pro 128GB 256GB 512GB Silver Grey Gold Blue Unlocked Good</t>
  </si>
  <si>
    <t>Samsung Galaxy S9 - Choose Carrier or Unlocked -  Very Good Condition</t>
  </si>
  <si>
    <t>Samsung Galaxy S21 FE 5G G990U (T-Mobile Only) 128GB White (Excellent)</t>
  </si>
  <si>
    <t>HUAWEI P30 Lite - 128GB - Unlocked Smartphone Very Good Condition</t>
  </si>
  <si>
    <t>Samsung Galaxy S20 FE 5G G781U (T-Mobile Only) 128GB Cloud Navy (Excellent)</t>
  </si>
  <si>
    <t>BLUE NOKIA 3310 WORKING MOBILE 12 MONTH WARRANTY MAINS PLUG MINT GENUINE CASING</t>
  </si>
  <si>
    <t>Apple iPhone 8 - 128GB - All Colors - Unlocked - Good Condition</t>
  </si>
  <si>
    <t>Apple iPhone SE (2020) 64GB/128GB/256&lt;wbr/&gt;GB - All Colours, Good Condition Smartphone</t>
  </si>
  <si>
    <t>Apple iPhone 7 32GB - 128GB - Unlocked - 12 Months Warranty - Good Condition</t>
  </si>
  <si>
    <t>Apple iPhone X 64GB UNLOCKED GSM - CDMA Carriers GOOD CONDITION - SILVER - GRAY</t>
  </si>
  <si>
    <t>Apple iPhone 7 32GB - Black - Vodafone (A1778) - Excellent Condition No Touch ID</t>
  </si>
  <si>
    <t>Motorola Moto One Vision 128GB XT1970-2 4G LTE Factory GSM Unlocked - Excellent</t>
  </si>
  <si>
    <t>HUAWEI P9 EVA-L09 3GB 32GB DUALSIM TITANIUM GRAY</t>
  </si>
  <si>
    <t>Apple iPhone 6s Plus A1687 (T-Mobile Only) 32GB Space Gray (Good)</t>
  </si>
  <si>
    <t>GRADE A Samsung Galaxy S21 5G  - 128GB- Phantom Black ( NO BOX)</t>
  </si>
  <si>
    <t>Samsung Galaxy S22 Plus 5G S906B/DS 128GB Dual SIM Unlocked Very Good Condition</t>
  </si>
  <si>
    <t>HONOR 9X LITE JSN-L21 FACTORY UNLOCKED 128GB 4GB RAM GREEN 6.5" SMARTPHONE</t>
  </si>
  <si>
    <t>Samsung Galaxy S10e - 128GB - All Colors - Verizon - Excellent Condition</t>
  </si>
  <si>
    <t>Apple iPhone 7 Plus 128GB Black A1784 GSM (Unlocked) Excellent Smartphone</t>
  </si>
  <si>
    <t>Samsung Galaxy A20e - 32GB - Blue (Unlocked) (Dual SIM)</t>
  </si>
  <si>
    <t>Apple  iPhone XR  - Choose Carrier or Unlocked - Excellent </t>
  </si>
  <si>
    <t>Samsung Galaxy S10e - 128GB - All Colors - AT&amp;T- Good Condition</t>
  </si>
  <si>
    <t>Apple iPhone 8 64GB Unlocked (CDMA + GSM) - Very Good</t>
  </si>
  <si>
    <t>Apple iPhone XR 64GB NETWORK 4G LTE SMARTPHONE - EXCELLENT - XFINITY LOCKED</t>
  </si>
  <si>
    <t>Apple iPhone 11 - 64GB/128GB/256&lt;wbr/&gt;GB - All Colours - Unlocked - Excellent</t>
  </si>
  <si>
    <t>Google Pixel 4 XL - 64GB - Black | White UNLOCKED | ANDROID | UK WARRANTY</t>
  </si>
  <si>
    <t>Apple iPhone SE 16GB Space Grey [Refurbished] - Excellent</t>
  </si>
  <si>
    <t>HTC 10 (32GB, 4G/LTE, Tel) - Carbon Gray [Refurbished] - As New - [Au Stock]</t>
  </si>
  <si>
    <t>OPPO A15 CPH2185 32GB Mystery Blue tested Unlocked Dual UK 1 Year Warranty</t>
  </si>
  <si>
    <t>Samsung Galaxy A51 SM-A515F/DS - 128GB - Prism Crush White (Unlocked) (Dual SIM)</t>
  </si>
  <si>
    <t>Samsung Galaxy A6 2018 SM-A600FN 32GB/3GB 16MP Mobile Unlocked GOOD Condition +</t>
  </si>
  <si>
    <t>Samsung Galaxy A41 - 64GB (4GB RAM) - Prism Crush Blue - Unlocked - Good</t>
  </si>
  <si>
    <t>Samsung Galaxy S20 FE 5G | 128GB | Android | Cloud Navy | Unlocked | Good</t>
  </si>
  <si>
    <t>Samsung Galaxy Z Flip 3, 5G, 128GB, Lavender, Unlocked - Excellent Condition</t>
  </si>
  <si>
    <t>Samsung 4G 5G All Sizes All Colours Unlocked - Excellent Condition</t>
  </si>
  <si>
    <t>Apple iPhone 13 128GB Pink Unlocked - 24 Month Warranty - New Unsealed In Box</t>
  </si>
  <si>
    <t>Samsung Galaxy S9 G960F 64GB 128GB 256GB Black Blue Grey Gold Unlocked Very Good</t>
  </si>
  <si>
    <t>Samsung Galaxy Z Flip 3  | 256GB | Lavander | Unlocked | Good Condition</t>
  </si>
  <si>
    <t>Samsung Galaxy A21s - 32GB - White - Unlocked - Smartphone - Very Good</t>
  </si>
  <si>
    <t>Samsung S22 Ultra - All Sizes - All Colours - Unlocked - Excellent Condition</t>
  </si>
  <si>
    <t>Apple iPhone XS - 64GB 256GB 512GB Unlocked - Extra 15% CODE OFF - VERY GOOD</t>
  </si>
  <si>
    <t>Samsung Galaxy A72 SM-A725F 128GB 6GB Mobile Awesome Violet Unlocked VERY GOOD{</t>
  </si>
  <si>
    <t>Apple iPhone XS Max 64GB Unlocked Smartphone Space Grey (No Face ID) -VERY GOOD</t>
  </si>
  <si>
    <t>Apple iPhone SE 2020 64GB Red | Unlocked | Refurbished (Acceptable)</t>
  </si>
  <si>
    <t>Google Pixel 2 - 64GB 128GB Unlocked Blue/Black/Whi&lt;wbr/&gt;te Good Condition</t>
  </si>
  <si>
    <t>Samsung Galaxy S20 FE 128GB Unlocked Smartphone Sim Free Pristine Grade A+</t>
  </si>
  <si>
    <t>Google Pixel 4 64GB Storage Just Black Network Unlocked Android - Very Good</t>
  </si>
  <si>
    <t>Apple iPhone XS - Unlocked - 64GB/256GB/512&lt;wbr/&gt;GB - All Colours - Good Condition</t>
  </si>
  <si>
    <t>Nokia G21 TA-1418 4G 6.5" Smartphone 4GB RAM 64GB Unlocked - Nordic Blue B</t>
  </si>
  <si>
    <t>OnePlus 8T Dual SIM 128GB 256GB Unlocked Black Green Smartphone Mobile 5G | Good</t>
  </si>
  <si>
    <t>Samsung Galaxy Z Fold2 5G - 256GB - Mystic Bronze - Unlocked - Very Good</t>
  </si>
  <si>
    <t>Samsung Galaxy A71 128GB Unlocked Smartphone, Prism Crush Silver- VERY GOOD A</t>
  </si>
  <si>
    <t>Apple iPhone 12 Pro 128GB 256GB 512GB Unlocked Silver- Excellent -Sim Option</t>
  </si>
  <si>
    <t>Apple iPhone 11 64GB/128GB/256&lt;wbr/&gt;GB - UNLOCKED - All Colours - Very Good Condition</t>
  </si>
  <si>
    <t>Apple iPhone 12 PRO-UNLOCKED-1&lt;wbr/&gt;28/256/512GB-I&lt;wbr/&gt;OS-ALL COLOURS-Very Good Condition</t>
  </si>
  <si>
    <t>Motorola Moto G60S 128GB Unlocked Smartphone - Blue - Refurbished Excellent</t>
  </si>
  <si>
    <t>Samsung Galaxy S20/S20+ Plus 4G/5G 128GB Unlocked Smartphone Android *GOOD*</t>
  </si>
  <si>
    <t>Sony Xperia 5 ii XQ-AS52 128GB tested Black Unlocked Grade B Uk 1 year Warranty</t>
  </si>
  <si>
    <t>MOTOROLA EDGE XT2063-3 128GB SOLAR BLACK UNLOCKED VERY GOOD REFURBISHED</t>
  </si>
  <si>
    <t>Oneplus 7T - 128GB - All Colours - Unlocked - Very Good Condition</t>
  </si>
  <si>
    <t>Apple iPhone 12 Mini, 64GB, White, Unlocked - Good Condition</t>
  </si>
  <si>
    <t>Motorola Moto G4 Plus Dual-SIM 16GB Black Unlocked Mobile 4G</t>
  </si>
  <si>
    <t>Apple iPhone 13 Pro Max - 128GB 256GB 512GB - Good Condition - Unlocked</t>
  </si>
  <si>
    <t>Sony Xperia 5 II XQ-AS52 128GB 8GB 12MP Smartphone Mobile Unlocked VERY GOOD=</t>
  </si>
  <si>
    <t>NOKIA 1100 REFURBISHED COND YELLOW UNLOCKED MOBILE PHONE UK SELLER FINAL VERSION</t>
  </si>
  <si>
    <t>Huawei Mate 20 Lite SNE-LX1 64GB Unlocked Very Good Condition</t>
  </si>
  <si>
    <t>Samsung Galaxy Z Fold2 5G SM-F916B 256GB 12GB 12MP Mystic Bronze Unlocked GOOD{</t>
  </si>
  <si>
    <t>Apple iPhone 11 Red 64GB Unlocked - Excellent, Pristine</t>
  </si>
  <si>
    <t>Apple iPhone 8 Unlocked 64GB/256GB Space Grey/Silver - Excellent Condition</t>
  </si>
  <si>
    <t>Apple iPhone 12 Pro - 256GB - Gold (Unlocked) A2411 ** EXCELLENT CONDITION **</t>
  </si>
  <si>
    <t>Motorola g22 6.5" Smartphone Android 4GB RAM 4G SIM Free 64GB Cosmic Black</t>
  </si>
  <si>
    <t>Apple iPhone 13 Pro Max 128GB Graphite Unlocked A2643 Grade C Apple UK Warranty</t>
  </si>
  <si>
    <t>OnePlus 8 Pro 128GB 5G Unlocked phone, Onyx Black-January sale-EXCELLENT A+</t>
  </si>
  <si>
    <t>Apple iPhone XR 64GB 128GB 256GB ALL COLOURS Unlocked EXCELLENT CONDITION A++</t>
  </si>
  <si>
    <t>Samsung Galaxy S6  SM-G920F Grade A Unlocked Blue Topaz 32GB 1 year warranty</t>
  </si>
  <si>
    <t>Apple iPhone SE 2016 - All Sizes - All Colours - Unlocked - Good Condition</t>
  </si>
  <si>
    <t>Huawei Honor View 20 PCT-L29 128GB 48MP Mobile Smartphone Camera Black Unlocked</t>
  </si>
  <si>
    <t>Samsung Galaxy S20 FE | Unlocked | All Colours | Very Good Condition</t>
  </si>
  <si>
    <t>LG Nexus 5X - 32GB - Carbon Black (Unlocked) - Smartphone - Very- Good Condition</t>
  </si>
  <si>
    <t>Microsoft Surface Duo Smartphone USV-00002 6GB 256GB (Dual-Screen)</t>
  </si>
  <si>
    <t>Huawei P30 Lite MAR-LX1A (2019) - 64GB 128GB 256GB Unlocked Good Condition</t>
  </si>
  <si>
    <t>Apple iPhone 12 Pro 512GB Unlocked All Colours - Very Good</t>
  </si>
  <si>
    <t>Google Pixel 5 5G - 128GB Just Black (Unlocked) (Single SIM) Very Good Condition</t>
  </si>
  <si>
    <t>Apple iPhone 13 Pro 256GB Unlocked Smartphone, Sierra Blue- GOOD B</t>
  </si>
  <si>
    <r>
      <t xml:space="preserve">Samsung Galaxy A5 2017 32GB Unlocked Black Gold Blue Pink Android Excellent </t>
    </r>
    <r>
      <rPr>
        <sz val="10"/>
        <color rgb="FF000000"/>
        <rFont val="Apple Color Emoji"/>
      </rPr>
      <t>⭐⭐</t>
    </r>
  </si>
  <si>
    <t>Apple iPhone 12 PRO-UNLOCKED-1&lt;wbr/&gt;28/256/512GB-I&lt;wbr/&gt;OS-ALL COLOURS-Excell&lt;wbr/&gt;ent Condition</t>
  </si>
  <si>
    <t>Apple iPhone 14 6.1 Inch 128-GB 6-GB Ram Smartphone Midnight Black</t>
  </si>
  <si>
    <t>Apple iPhone 12 Pro, 128GB, Unlocked, Silver - Good Condition</t>
  </si>
  <si>
    <t>Samsung Galaxy S22 5G 6.1'' Smartphone 8GB RAM 128GB Unlocked - Green B+</t>
  </si>
  <si>
    <t>Apple iPhone 8 - 64GB 256GB Unlocked Smartphone Good Condition Warranty</t>
  </si>
  <si>
    <t>OPPO A54 5G CPH2195 64GB ROM 4GB RAM FLUID BLACK DUAL SIM UNLOCKED BRAND NEW</t>
  </si>
  <si>
    <t>Samsung Galaxy J5 SM-J510FN (2016) 16GB Unlocked All Colours Good Condition</t>
  </si>
  <si>
    <t>Apple iPhone 7 Plus 128GB Unlocked Silver - Extra 15% CODE OFF - GOOD - B+</t>
  </si>
  <si>
    <t>Apple iPhone 12 Pro A2341 128GB Smartphone Mobile Blue Unlocked NON UK MODEL</t>
  </si>
  <si>
    <t>Motorola Moto G8 Plus - 64GB - Cosmic Blue - Unlocked - Good Condition</t>
  </si>
  <si>
    <t>Apple iPhone 11 64GB Unlocked Yellow - 12M UK Warranty - Very Good &amp; 15% OFF</t>
  </si>
  <si>
    <t>Samsung Galaxy S10+ PLUS 128GB PRISM BLACK Dual Sim Android Unlocked VERY GOOD</t>
  </si>
  <si>
    <t>GOOGLE PIXEL 2 (G011A) 64GB / 128GB - BLACK / WHITE / BLUE, UNLOCKED, VERY GOOD</t>
  </si>
  <si>
    <t>OnePlus 7 GM1903 256GB 8GB Smartphone Mobile Mirror Grey Unlocked VERY GOOD{</t>
  </si>
  <si>
    <t>Apple iPhone 12 Pro Max 256GB Graphite Unlocked - 24 Month Warranty - Pristine</t>
  </si>
  <si>
    <t>Samsung Galaxy S20 Ultra 5G - All Sizes/Colours - Unlocked - Excellent Condition</t>
  </si>
  <si>
    <t>Apple iPhone 14 Pro Max 5G Smartphone 128GB Unlocked SIM-Free (Deep Purple) B+</t>
  </si>
  <si>
    <t>Prestigio</t>
  </si>
  <si>
    <t>Prestigio MultiPad Wize 3147 3G</t>
  </si>
  <si>
    <t>Apple iPhone 12 Mini 64GB 128GB 256GB Blue Network Unlocked - Very Good</t>
  </si>
  <si>
    <t>Apple iPhone 11 Pro 4G 5.8" Smartphone 64GB Unlocked Sim-Free - {Space Grey} C</t>
  </si>
  <si>
    <t>Samsung Galaxy S21 FE - 128GB 256GB All Colours Unlocked - Excellent Condition</t>
  </si>
  <si>
    <t>Apple iPhone SE2 - Unlocked - 64/128/256GB - All Colours - Excellent Condition</t>
  </si>
  <si>
    <t>Apple iPhone 11 Pro 64 256 512 GB Unlocked Smartphone Sim Free Pristine Grade A+</t>
  </si>
  <si>
    <t>NOKIA 1100 REFURBISED COND ORANGE UNLOCKED MOBILE PHONE, YOUR LANGUAGE INSTALLED</t>
  </si>
  <si>
    <t>Apple MN962B/A iPhone 7 4G Smartphone 128GB Unlocked Jet Black (No Accessories)C</t>
  </si>
  <si>
    <t>iPhone XR - 64GB - Black - Unlocked - 12 Month Warranty - Pristine Refurbished</t>
  </si>
  <si>
    <t>Samsung Galaxy A70 - 128GB - All Colours - Unlocked - Good Condition</t>
  </si>
  <si>
    <t>Samsung S21 5G 128/256GB Dual Sim Unlocked Smartphone *EXCELLENT CONDITION*</t>
  </si>
  <si>
    <t>GOOGLE Pixel 4 XL 64GB 128GB 6.3" 16MP Unlocked Smartphone - UK Version</t>
  </si>
  <si>
    <t>Samsung Galaxy J4 Plus 32GB Smartphone Black Gold Very Good Condition Unlocked</t>
  </si>
  <si>
    <t>Honor 20 Lite Dual SIM 64GB 128GB Unlocked Black Blue Android Phone 4G | Good</t>
  </si>
  <si>
    <t>Samsung Galaxy Note 20 Ultra 5G | Unlocked | All Colours | Very Good Condition</t>
  </si>
  <si>
    <t>Boxed Refurbished Pristine Samsung Galaxy S10e 4G LTE 128GB Unlocked SM-G970F/DS</t>
  </si>
  <si>
    <t>Samsung Galaxy Note 9 SM-N960F 128GB 6GB 12MP Smartphone Mobile Unlocked GOOD=</t>
  </si>
  <si>
    <t>Apple iPhone 11 64GB/128GB/256&lt;wbr/&gt;GB UNLOCKED Smartphone Various Colours VERY GOOD</t>
  </si>
  <si>
    <t>Apple MLK03B/A iPhone 13 mini 5G iOS Smartphone 128GB Unlocked - [Midnight] C+</t>
  </si>
  <si>
    <t>Microsoft Lumia 550 4.7" - 8GB - Black 4G Unlocked Smartphone</t>
  </si>
  <si>
    <t>Samsung Galaxy S20 Plus 5G, 128GB, Aura Red, Unlocked  - Excellent Condition</t>
  </si>
  <si>
    <t>Motorola G8 Plus 64GB 4G Cosmic Blue Unlocked Dual Sim</t>
  </si>
  <si>
    <t>Google Pixel 6 Pro GLUOG 128GB 12GB Smartphone Mobile Unlocked VERY GOOD=</t>
  </si>
  <si>
    <t>Samsung Galaxy Note20 4G 256GB 6.7" Unlocked Smartphone SM-N980F/DS Mystic Grey</t>
  </si>
  <si>
    <t>Google Pixel 5 128GB Black | Unlocked | Refurbished (Good)</t>
  </si>
  <si>
    <t>One Plus 7 Pro 256gb 4G LTE Android Smartphone Unlocked Grey</t>
  </si>
  <si>
    <t>OPPO A15 3 GB RAM 32 GB storage 6.5" Dual Nano SIM 4G  factory Unlocked</t>
  </si>
  <si>
    <t>Apple iPhone 11 Pro Max 64GB 256GB 512GB Unlocked Silver - Very Good -Sim Option</t>
  </si>
  <si>
    <t>Apple iPhone 11 Pro A2215 64GB 4GB 12MP Camera Smartphone Mobile Unlocked GOOD=</t>
  </si>
  <si>
    <t>Apple iPhone 12 - 64GB, 128GB - Black, Purple, Red (Unlocked)</t>
  </si>
  <si>
    <t>Apple iPhone 11 Pro 64GB 256GB 512GB Unlocked Silver - Very Good -Sim Option</t>
  </si>
  <si>
    <t>Google Pixel 6 Pro GLUOG 128GB Smartphone Mobile Stormy Black Unlocked GOOD{</t>
  </si>
  <si>
    <t>Samsung Galaxy S10 Dual Sim -UNLOCKED-128/&lt;wbr/&gt;512GB-ANDROID-&lt;wbr/&gt;ALL COLOURS-Excell&lt;wbr/&gt;ent</t>
  </si>
  <si>
    <t>NOKIA 6310I - (TOTAL REFURBISHED) - SILVER - MOBILE PHONE – 3 MONTH GUARANTEE</t>
  </si>
  <si>
    <t>Apple iPhone SE 2020, 128GB, Black, Unlocked - Good Condition</t>
  </si>
  <si>
    <t>Apple iPhone 11 - 64GB 128GB 256GB - All Colours - Extra 15% CODE OFF - GOOD B</t>
  </si>
  <si>
    <t>Sony Xperia 10 II - 128GB - Black - EE - Smartphone - Very Good Condition</t>
  </si>
  <si>
    <t>Huawei P30 - 128GB - All Colours - Unlocked - Very Good Condition</t>
  </si>
  <si>
    <t>Apple iPhone 11 Pro - 64GB - Silver (Unlocked), Excellent Condition</t>
  </si>
  <si>
    <t>Samsung Galaxy S9 Plus 64GB Black | Unlocked | Refurbished (Fair)</t>
  </si>
  <si>
    <t>Samsung Galaxy J5 2016 16GB SM-J510FN Unlocked Sim Free Android Smartphone</t>
  </si>
  <si>
    <t>Apple iPhone 11 Pro 64GB 256GB 512GB Grey Silver Gold Green Unlocked Very Good</t>
  </si>
  <si>
    <t>Oppo A5 2020 4G CPH1931 Dual Sim Mirror Black  64GB Grade B UK 1 year Warranty</t>
  </si>
  <si>
    <t>Samsung Galaxy S20 5G SM-G981B 128GB 12GB Mobile Cloud Pink Unlocked EXCELLENT{</t>
  </si>
  <si>
    <t>Sony Xperia X Compact 32GB Unlocked 4G  Android Smartphone Very Good Condition</t>
  </si>
  <si>
    <t>Apple iPhone 13 Pro 128GB 256GB 512GB 1TB Unlocked All Colours Good Condition</t>
  </si>
  <si>
    <t>Honor 50 Lite 128GB Black (Unlocked) Smartphone GRADE A</t>
  </si>
  <si>
    <t>Apple iPhone 11 Pro 64GB 256GB 512GB Unlocked All Colours - Excellent</t>
  </si>
  <si>
    <t>Samsung Galaxy S22 5G 6.1'' Smartphone 128GB Dual-Sim Unlocked - (Pink Gold) B+</t>
  </si>
  <si>
    <t>Samsung Galaxy S21+ 5G 6.7" Smartphone 128GB SIM Free Unlocked Phantom Black C</t>
  </si>
  <si>
    <t>Samsung Galaxy S10 LITE 128GB All Colours Dual Sim Unlocked Android - Good</t>
  </si>
  <si>
    <t>Samsung S21 Ultra 5g All Sizes All Colours - Unlocked - Excellent Condition</t>
  </si>
  <si>
    <t>Samsung Galaxy S22+ 6.6'' 5G Smartphone 256GB Unlocked DUAL-SIM- *Black* B</t>
  </si>
  <si>
    <t>Samsung Galaxy S22 Ultra 5G SM-S908B 128GB Phantom Black Unlocked EXCELLENT{</t>
  </si>
  <si>
    <t>MOTOROLA MOTO G5 16GB Grey Gold -  Unlocked - Smartphone Grade PRISTINE</t>
  </si>
  <si>
    <t>Samsung Galaxy A32 5G 64GB | Violet | Unlocked (Dual Sim) | Refurbished (Good)</t>
  </si>
  <si>
    <t>Samsung Galaxy S21 Ultra, 5G, 256GB, Phantom Black, Unlocked - Good Condition</t>
  </si>
  <si>
    <t>Honor 10 Dual SIM 128GB Unlocked Blue Android Smartphone Mobile 4G | Very Good</t>
  </si>
  <si>
    <t>Apple iPhone XS Max 64GB Unlocked Gold - Extra 15% CODE OFF - VERY GOOD - A</t>
  </si>
  <si>
    <t>Apple iPhone 12 - 64GB - 128GB - 256GB - "BLUE" - UNLOCKED - "GOOD CONDITION"</t>
  </si>
  <si>
    <t>Apple iPhone 12 Pro Max 128GB 256GB 512GB Unlocked Silver- Very Good -Sim Option</t>
  </si>
  <si>
    <t>Apple iPhone 11  64GB/128GB/256&lt;wbr/&gt;GB - All Colours - Network Unlocked - Good</t>
  </si>
  <si>
    <t>Apple iPhone XR 256GB Black Unlocked SIM Free A2105 Excellent Grade A</t>
  </si>
  <si>
    <t>TCL 306 4G 6.5'' Android Smartphone 32GB Unlocked Dual-Sim - (Space Grey) B+</t>
  </si>
  <si>
    <t>Samsung Galaxy A13 32GB 64GB 128GB Mixed Colours Unlocked Very Good Condition</t>
  </si>
  <si>
    <t>Samsung Galaxy S6 32GB SM-G920F (Unlocked)  Android Smartphone Very Good</t>
  </si>
  <si>
    <t>Google Pixel 4a 128GB Unlocked Jet Black, Barely Blue Good Condition</t>
  </si>
  <si>
    <t>Apple iPhone 12 mini 64GB 128GB 256GB Black White Red Blue Unlocked Very Good</t>
  </si>
  <si>
    <t>Apple iPhone 12-UNLOCKED-64&lt;wbr/&gt;/128/256GB-IOS&lt;wbr/&gt;-ALL COLOURS-Very Good Condition</t>
  </si>
  <si>
    <t>Samsung Galaxy S10 5G 6.7" Smartphone 256GB Unlocked Silver (No Accessories) B+</t>
  </si>
  <si>
    <t>MOTOROLA Moto Edge 20 Lite 5G 128GB Unlocked Smartphone XT-2139 - All Colours</t>
  </si>
  <si>
    <t>Samsung Galaxy A3 2016 16GB Unlocked Black Gold White Pink Android 4G | Good</t>
  </si>
  <si>
    <t>Apple iPhone X - 64GB 256GB Unlocked - Extra 15% CODE OFF - VERY GOOD AA</t>
  </si>
  <si>
    <t>Apple iPhone 12 MINI-UNLOCKED-&lt;wbr/&gt;64/128/256GB-I&lt;wbr/&gt;OS-ALL COLOURS-Excell&lt;wbr/&gt;ect Condition</t>
  </si>
  <si>
    <t>Oppo Reno8 Pro Duos CPH2357 256GB 50MP Camera Smartphone Mobile Black Unlocked</t>
  </si>
  <si>
    <t>Apple iPhone 14 Pro 128GB 256GB 512GB 1TB Black Gold Purple Unlocked Excellent</t>
  </si>
  <si>
    <t>Apple iPhone 12 64GB 128GB 256GB Unlocked Smartphone Sim Free Pristine Grade A+</t>
  </si>
  <si>
    <t>Samsung Galaxy S20FE  (SM-G780F)-Unl&lt;wbr/&gt;ocked Android Smartphone Very Good Condition</t>
  </si>
  <si>
    <t>Apple iPhone 12 Pro Max 512GB 128GB 256GB Unlocked Graphite Gold Blue etc-Good</t>
  </si>
  <si>
    <t>Apple iPhone 14 Pro 5G Smartphone 128GB Unlocked SIM-Free - [Space Black] C+</t>
  </si>
  <si>
    <t>Samsung Galaxy A6 2018 SM-A600FN 32GB/3GB 16MP Mobile Black Unlocked GOOD+</t>
  </si>
  <si>
    <t>Samsung Galaxy Note 10 Lite DS 128GB Unlocked All Colours Very Good Condition</t>
  </si>
  <si>
    <t>Samsung Galaxy A41 - 64GB (4GB RAM) - Prism Crush Black - Unlocked - Good</t>
  </si>
  <si>
    <t>Apple iPhone 11 Red 64GB Unlocked - Excellent Condition</t>
  </si>
  <si>
    <t>Samsung Galaxy S21 5G SM-G991B 256GB Mobile Phantom Violet Unlocked VERY GOOD#</t>
  </si>
  <si>
    <t>Apple iPhone XS 64GB 256GB 512GB Unlocked Space Grey,Silver,Go&lt;wbr/&gt;ld Good Condition</t>
  </si>
  <si>
    <t>Samsung Galaxy S21 Ultra 5G 128GB/256GB Dual Sim UNLOCKED Android- VERY GOOD</t>
  </si>
  <si>
    <t>Sony Xperia 10 III 6" Android Smartphone 6GB RAM 5G SIM Free 128GB Black</t>
  </si>
  <si>
    <t>Apple iPhone 11 64GB Black (Unlocked) Smartphone Very Good Condition</t>
  </si>
  <si>
    <t>Samsung Galaxy S20 FE 5G - 128GB - All Colours - Unlocked - Very Good Condition</t>
  </si>
  <si>
    <t>Samsung Galaxy S20 Ultra 5G SM-G988B 128GB 12GB Cosmic Black Unlocked GOOD{</t>
  </si>
  <si>
    <t>Apple iPhone XS Max - 64GB/ 256GB/ 512GB - All Sizes &amp; Colours, "Good Condition"</t>
  </si>
  <si>
    <t>Apple MH6P3B/A iPhone XR 6.1'' 4G Smartphone 64GB 3GB RAM Sim-Free *Red* D</t>
  </si>
  <si>
    <t>Apple iPhone 12 Mini, 64GB, Unlocked, Black - Good Condition</t>
  </si>
  <si>
    <r>
      <t xml:space="preserve">Samsung Galaxy S7 G930F 32GB Black White Gold Silver Rose Unlocked Good </t>
    </r>
    <r>
      <rPr>
        <sz val="10"/>
        <color rgb="FF000000"/>
        <rFont val="Apple Color Emoji"/>
      </rPr>
      <t>⭐</t>
    </r>
  </si>
  <si>
    <t>Apple iPhone 14 Pro Max 5G Smartphone 1TB Unlocked Dual-Sim - (Deep Purple) B+</t>
  </si>
  <si>
    <t>Samsung Galaxy A9 A920F 2018 - 64/128GB Unlocked All Colours Very Good Condition</t>
  </si>
  <si>
    <t>Google Pixel 4a 128GB Unlocked Jet Black,Barely Blue Good Condition</t>
  </si>
  <si>
    <t>Samsung Galaxy A12 Smartphone 4GB RAM 6.5" 4G LTE SIM Free 64GB Black C Grade</t>
  </si>
  <si>
    <t>Oppo Find X2 Neo 5G 256GB Unlocked Moonlight Black, Starry Blue Good Condition</t>
  </si>
  <si>
    <t>iPhone XS Max - All Colours - Grade A - Excellent Condition - (Renewed)</t>
  </si>
  <si>
    <t>Apple iPhone 12 Pro, 512GB, Graphite, Unlocked - Good Condition</t>
  </si>
  <si>
    <t>Apple iPhone 11 Pro Max, 64GB, Gold, Unlocked - Good Condition</t>
  </si>
  <si>
    <t>MOTOROLA MOTO G5 16GB Grey  -  Unlocked - Smartphone Grade VERY GOOD</t>
  </si>
  <si>
    <t>Apple iPhone 12 Pro, 256GB, Unlocked, Gold - Good Condition</t>
  </si>
  <si>
    <t>Google Pixel 4 64GB Unlocked 4G Android Smartphone Very Good Condition</t>
  </si>
  <si>
    <t>Apple iPhone 11 64GB Unlocked Black - 12M UK Warranty - Excellent Condition A+</t>
  </si>
  <si>
    <t>Samsung Galaxy S10e 128GB, Canary Yellow, Unlocked - Good Condition</t>
  </si>
  <si>
    <r>
      <t>⭐</t>
    </r>
    <r>
      <rPr>
        <sz val="10"/>
        <color rgb="FF000000"/>
        <rFont val="Helvetica Neue"/>
        <family val="2"/>
      </rPr>
      <t xml:space="preserve"> Samsung Galaxy S7 Edge 32GB 4G Unlocked Various Colours GRADE A Excellent </t>
    </r>
    <r>
      <rPr>
        <sz val="10"/>
        <color rgb="FF000000"/>
        <rFont val="Apple Color Emoji"/>
      </rPr>
      <t>⭐</t>
    </r>
  </si>
  <si>
    <t>Samsung Galaxy S20 Plus - 128GB - Cosmic Black / Grey - Unlocked - Excellent A*</t>
  </si>
  <si>
    <t>Apple iPhone XR - UNLOCKED - 64/128/256GB All Colours - Excellent Condition</t>
  </si>
  <si>
    <t>SAMSUNG GALAXY S20 ULTRA 5G 128GB 12GB RAM (Unlocked) - GOOD CONDITION</t>
  </si>
  <si>
    <t>Apple iPhone 12 Pro Max 128GB 256GB 512GB Unlocked Blue- Good - Sim Option</t>
  </si>
  <si>
    <t>SAMSUNG GALAXY S20 5G 128GB UNLOCKED DUAL SIM ANDROID - VERY GOOD CONDITION</t>
  </si>
  <si>
    <t>Nokia Lumia 830 16GB - Unlocked Smartphone + 12 Months warranty</t>
  </si>
  <si>
    <t>Apple iPhone 12 | 64GB 128GB 256GB | Unlocked | Black Green Red White Blue</t>
  </si>
  <si>
    <t>Samsung Galaxy S22 Ultra 6.8'' 5G Smartphone 8GB RAM 128GB Unlocked Burgundy B</t>
  </si>
  <si>
    <t>Apple iPhone SE 2020, 64GB, White, Unlocked - Good Condition</t>
  </si>
  <si>
    <t>OnePlus 5 Dual SIM 64GB 128GB Unlocked All Colours Good Condition</t>
  </si>
  <si>
    <r>
      <t>⭐⭐</t>
    </r>
    <r>
      <rPr>
        <sz val="10"/>
        <color rgb="FF000000"/>
        <rFont val="Helvetica Neue"/>
        <family val="2"/>
      </rPr>
      <t>Samsung Galaxy A40 (SM-A405FN) 64GB - Dual Sim - Unlocked -Excellent CONDITION</t>
    </r>
  </si>
  <si>
    <t>Apple iPhone 7 Plus - 32GB/128GB/256&lt;wbr/&gt;GB - All Colours - Good Condition - Warranty</t>
  </si>
  <si>
    <t>Samsung Galaxy S21 5G 128/256/512GB Unlocked  All Colour Excellent CONDITION</t>
  </si>
  <si>
    <t>Samsung S20 FE 4G &amp; 5G All Sizes All Colours Unlocked - Good Condition</t>
  </si>
  <si>
    <t>Apple iPhone 8 Plus Ex-Demo 5.5" Display 4G LTE SIM Free 64GB Red</t>
  </si>
  <si>
    <t>Samsung Galaxy A5 2017 32GB Unlocked Black Gold Blue Pink Android Excellent++</t>
  </si>
  <si>
    <t>Apple MQ1F3ZD/A iPhone 14 Pro 5G 6.1" Smartphone 256GB Unlocked Deep Purple C</t>
  </si>
  <si>
    <t>OPPO A72 4GB RAM 128 GB storage 6.5" Dual Nano SIM  4G black Factory Unlock</t>
  </si>
  <si>
    <t>Samsung Galaxy S10 Dual Sim -UNLOCKED-128/&lt;wbr/&gt;512GB-ANDROID-&lt;wbr/&gt;ALL COLOURS-Good</t>
  </si>
  <si>
    <t>Apple iPhone 12 Pro Max 128 256GB Unlocked Smartphone Sim Free Pristine Grade A+</t>
  </si>
  <si>
    <t>Apple iPhone 13 Pro Max 128GB 256GB 512GB 1TB Graphite Gold  Unlocked Very Good</t>
  </si>
  <si>
    <t>Samsung Galaxy S21 Plus 5G DS 128/256GB Unlocked All Colours Good Condition</t>
  </si>
  <si>
    <t>Samsung Galaxy Z Fold4 5G Foldable Smartphone 256GB Unlocked - (Grey/Green) B+</t>
  </si>
  <si>
    <t>Samsung Galaxy Z Flip3  Smartphone Unlocked 128GB 6.7" -  Black B</t>
  </si>
  <si>
    <t>Apple iPhone 6S 16GB 32GB 64GB Unlocked  Sim Free 4G Smartphone Good Condition</t>
  </si>
  <si>
    <t>Apple iPhone SE 2020 64GB 2nd Gen 4G LTE Silver/White/R&lt;wbr/&gt;ed , Unlocked, With Box.</t>
  </si>
  <si>
    <t>Samsung Galaxy S20 FE Dual Sim-UNLOCKED-1&lt;wbr/&gt;28/256GB-ANDRO&lt;wbr/&gt;ID-ALL COLOURS-Excell&lt;wbr/&gt;ent</t>
  </si>
  <si>
    <t>Apple iPhone XR  64GB, 128GB - Black Blue Red White Yellow - Unlocked - Grade C</t>
  </si>
  <si>
    <t>Refurbished Apple iPhone 12 Mini Black 5.4" 64GB 5G Unlocked &amp; SI A3/MGDX3B/A/MV</t>
  </si>
  <si>
    <t>Google Pixel 5 GTT9Q 5G Sorta Sage 6" 128GB  Android Grade B 1 year UK Warranty</t>
  </si>
  <si>
    <t>Apple iPhone 12 Pro, 256GB, Unlocked, Silver - Good Condition</t>
  </si>
  <si>
    <t>GRADE B  Samsung Galaxy A52 5G SM-A526B/DS - 128GB - Awesome Black</t>
  </si>
  <si>
    <t>Samsung Galaxy J4 - Unlocked - 32GB - GSM-J400F - DUAL SIM - Black - Android</t>
  </si>
  <si>
    <t>Apple iPhone SE 2020, 128GB, Red, Unlocked - Good Condition</t>
  </si>
  <si>
    <t>Apple iPhone 12 Pro Max 256GB Gold (Unlocked) Grade B "eBay Good" *BOXED*</t>
  </si>
  <si>
    <t>Samsung Galaxy S22 - 128GB/256GB - All Colours - Unlocked - Very Good Condition</t>
  </si>
  <si>
    <t>Apple iPhone 13 Pro, 128GB, Graphite, Unlocked - Refurbished Good</t>
  </si>
  <si>
    <t>Samsung Galaxy S7 Edge 4G Smartphone 32GB Unlocked -GRADE B SHADED</t>
  </si>
  <si>
    <t>Samsung Galaxy S9 SM-G960F 64GB 4GB Mobile Midnight Black Unlocked VERY GOOD{</t>
  </si>
  <si>
    <t>Samsung Galaxy J6 Plus Red 4G SM-Aj610F/DS 32GB  Grade C UK 1 yr Warranty Seller</t>
  </si>
  <si>
    <t>IMO Q5 5.5" SIM-Free Smartphone 4G 16GB Unlocked - Midnight Blue D+</t>
  </si>
  <si>
    <t>Apple iPhone 11 - 64GB 128GB 256GB - Unlocked - Excellent Condition</t>
  </si>
  <si>
    <t>Apple iPhone 13 iOS 6.1" 5G Smartphone SIM Free 128GB Midnight</t>
  </si>
  <si>
    <t>Apple iPhone 7, 128GB, Black, Unlocked - Fair Condition</t>
  </si>
  <si>
    <t>Samsung Galaxy S8 64GB Black | Unlocked | Refurbished (Good)</t>
  </si>
  <si>
    <t>OnePlus 7T HD1903  128GB Unlocked Frosted Silver,Blue,Wh&lt;wbr/&gt;ite Very Good Condition</t>
  </si>
  <si>
    <t>Samsung Galaxy A50 128GB | Coral | Unlocked (Dual Sim) | Refurbished (Good)</t>
  </si>
  <si>
    <t>Apple iPhone 8 Plus - 64GB 128GB 256GB Unlocked, Variants, Very Good,  15% OFF</t>
  </si>
  <si>
    <t>Samsung Galaxy S21 5G SM-G991B 128GB 8GB Mobile Phantom Pink Unlocked VERY GOOD{</t>
  </si>
  <si>
    <t>Samsung Galaxy S21 FE 5G Smartphone 128GB SIM-Free Unlocked - *Lavender* B</t>
  </si>
  <si>
    <t>Apple iPhone XR - 64GB 128GB 256GB Unlocked - All Colours - Excellent Condition</t>
  </si>
  <si>
    <t>Samsung Galaxy A10 - 32GB - Black (Unlocked) (Dual SIM)</t>
  </si>
  <si>
    <t>Samsung Galaxy S10 SM-G973F 128GB 8GB Mobile Cardinal Red Unlocked VERY GOOD{</t>
  </si>
  <si>
    <t>Apple iPhone 12 Pro A2407 128GB 6GB Smartphone Mobile Gold Unlocked VERY GOOD{</t>
  </si>
  <si>
    <t>Huawei P20 Pro - 128GB - Black - EE - Good Condition</t>
  </si>
  <si>
    <t>Sony E1  D2005  4GB 3G White Tested Unlocked Grade B Uk  Warranty</t>
  </si>
  <si>
    <t>Apple iPhone 11, 128GB, Red, Unlocked - Good Condition</t>
  </si>
  <si>
    <t>Google Pixel 4a 128GB Just Black Unlocked Smartphone Mobile Phone Good</t>
  </si>
  <si>
    <t>Google Pixel 6 128GB 256GB Mixed Colours Unlocked Good Condition</t>
  </si>
  <si>
    <t>Apple iPhone 12 Pro 128GB 256GB 512GB Unlocked Graphite-Good-&lt;wbr/&gt;Sim Option</t>
  </si>
  <si>
    <t>Apple iPhone X - 64GB 256GB -Unlocked - 12 Months Warranty - Very Good Condition</t>
  </si>
  <si>
    <t>Samsung Galaxy S21 5G SM-G991B 128GB 8GB 0 Phantom Violet Unlocked VERY GOOD{</t>
  </si>
  <si>
    <t>Sony Xperia L3 i3312 32GB 4G  Android Black Unlocked Grade B Uk 1 year Warranty</t>
  </si>
  <si>
    <t>Apple iPhone 11 Pro 64GB 256GB 512GB  With Accessories Very Good</t>
  </si>
  <si>
    <t>Samsung Galaxy S20 5G SM-G981B/DS 128GB CLOUD PINK Android Unlocked *VERY GOOD*</t>
  </si>
  <si>
    <t>Refurbished Apple iPhone 12 Pro Max Graphite 6.7" 128GB 5G Unlock A3/MGD73B/A/MV</t>
  </si>
  <si>
    <t>Google Pixel 3 - 64GB / 128GB - All Colours - Unlocked - Good Condition</t>
  </si>
  <si>
    <t>Apple iPhone X 10 A1901 64GB 3GB Smartphone Mobile Space Grey Unlocked GOOD{</t>
  </si>
  <si>
    <t>Apple iPhone 11 - 64GB 128GB 256GB - All Colors -February Sale- GOOD B</t>
  </si>
  <si>
    <t>Apple iPhone XS 4G Smartphone 4GB RAM 64GB Unlocked Space Grey (No Accs) B</t>
  </si>
  <si>
    <t>Samsung Galaxy Z Fold4 5G Smartphone 256GB Dual-Sim Unlocked - *Beige* B</t>
  </si>
  <si>
    <t>Apple iPhone 11 Pro Max - Unlocked 64/256/512GB -All Colours Excellent Condition</t>
  </si>
  <si>
    <t>Samsung Galaxy S6 32GB 64GB Unlocked Black White Gold Blue Android 4G | Good</t>
  </si>
  <si>
    <t>Apple iPhone XR, 64GB, White, Unlocked - Refurbished Fair</t>
  </si>
  <si>
    <t>iPhone 11 Pro - All Colours - GRADE A - Excellent Condition - (Renewed)</t>
  </si>
  <si>
    <t>Apple iPhone 14 Plus 6.7'' 5G Smartphone 128GB Unlocked SIM-Free - (Red) B+</t>
  </si>
  <si>
    <t>Apple iPhone SE 2nd Gen 2020 64GB Unlocked Smartphone Very Good</t>
  </si>
  <si>
    <t>Sony Xperia XZ1 Compact 32GB Unlocked 4G  Android Smartphone Good Condition</t>
  </si>
  <si>
    <t>Motorola Moto G 5G Plus 64GB,128GB Unlocked Surfing Blue,Mystic Lilac-Good</t>
  </si>
  <si>
    <t>Apple iPhone 11 Pro Unlocked 64GB 256GB 512GB EXCELLENT Condition</t>
  </si>
  <si>
    <t>Samsung Galaxy Z Flip3 5G SM-F711B - 128GB - Lavender (Unlocked - GRADE B)</t>
  </si>
  <si>
    <t>Apple iPhone 11 128GB Purple Unlocked Sim Free Mobile Smartphone A2221 C1</t>
  </si>
  <si>
    <t>Apple iPhone XR - 64GB - Black, Silver (Unlocked)</t>
  </si>
  <si>
    <t>Xiaomi 12 Pro 5G 256GB Unlocked Blue/Green/Gre&lt;wbr/&gt;y/Purple Good Condition</t>
  </si>
  <si>
    <t>Huawei P9 32GB Unlocked Grey Silver Android Smartphone Mobile Phone 4G | Good</t>
  </si>
  <si>
    <t>Samsung Galaxy S20 FE 5G SM-G781B Unlocked Android Smartphone Pristine Condition</t>
  </si>
  <si>
    <t>Apple iPhone 11, 64GB, Yellow, Unlocked - Good Condition</t>
  </si>
  <si>
    <t>Samsung Galaxy S20 128GB Unlocked Smartphone Sim Free Pristine Grade A+</t>
  </si>
  <si>
    <t>Apple iPhone 11 64, 128, 256GB Unlocked Smartphone Sim Free Pristine Grade A+</t>
  </si>
  <si>
    <t>Samsung Galaxy S20+ Plus 5G SM-G986B 128GB 12GB Aura Red Unlocked VERY GOOD{</t>
  </si>
  <si>
    <t>Huawei P10 Lite WAS-LX1 32GB 64GB White Black Gold Blue Unlocked 4G Excellent</t>
  </si>
  <si>
    <t>Apple iPhone 7 256GB 32GB 128GB Unlocked Silver Rose Black Gold Black Red-Good</t>
  </si>
  <si>
    <t>DOOGEE X95 Cheap 4G Smartphone Unlocked Mobile Phone Android 10 Dual SIM 16GB</t>
  </si>
  <si>
    <t>Apple MHDC3B/A iPhone 11 4G 6.1'' Smartphone 64GB 3GB RAM Unlocked - (White) C</t>
  </si>
  <si>
    <t>Apple MGMN3B/A iPhone 12 Pro 5G Smartphone 128GB SIM-Free - {Pacific Blue} C</t>
  </si>
  <si>
    <t>Samsung Galaxy A51 5G 128GB Black White Pink Unlocked Smartphone Very Good</t>
  </si>
  <si>
    <t>Apple iPhone XR-UNLOCKED-64&lt;wbr/&gt;/128/256GB-IOS&lt;wbr/&gt;-ALL COLOURS-Excell&lt;wbr/&gt;ent Condition</t>
  </si>
  <si>
    <t>Google Pixel 4 64GB 128GB Clearly White Black Orange Unlocked Mobile Very Good</t>
  </si>
  <si>
    <t>Apple iPhone X 64GB Unlocked Silver,  1YR Warranty - Very Good Condition - Boxed</t>
  </si>
  <si>
    <t>Apple iPhone 6s 16GB/32GB/64GB&lt;wbr/&gt;/128GB - All Colours - Unlocked - Excellent</t>
  </si>
  <si>
    <t>Sony Xperia X Compact 32GB Unlocked Sim Free Smartphone Mobile Phone Good</t>
  </si>
  <si>
    <t>Apple iPhone X GOOD Condition Refurbished and Unlocked</t>
  </si>
  <si>
    <t>Apple iPhone 7 Plus - 32GB 128GB 256GB - All Colours - Extra 15% CODE OFF - GOOD</t>
  </si>
  <si>
    <t>Apple iPhone 7 32GB 128GB 256GB Unlocked GOOD Condition</t>
  </si>
  <si>
    <t>Samsung Galaxy Z Flip4 5G Smartphone 256GB Unlocked SIM-Free - (Pink Gold) B+</t>
  </si>
  <si>
    <t>Apple iPhone 14 Plus 5G 6.7'' Smartphone 256GB Unlocked SIM-Free *Starlight* B</t>
  </si>
  <si>
    <t>Samsung A51 64GB/128GB/256&lt;wbr/&gt;GB Unlocked - Refurbished Good</t>
  </si>
  <si>
    <t>Apple iPhone 8 Plus 64GB 4G LTE Unlocked iOS Smartphone All Colours Excellent</t>
  </si>
  <si>
    <t>Apple iPhone SE (2020) 2nd Gen. - 64GB - Black - Unlocked</t>
  </si>
  <si>
    <t>Samsung Galaxy A6 SM-A600 - 32GB - Various Colour (Unlocked)Smar&lt;wbr/&gt;tphone</t>
  </si>
  <si>
    <t>Samsung Galaxy Note 20 5G, 256GB, Mystic Green, Unlocked - Good Condition</t>
  </si>
  <si>
    <t>Apple iPhone XS - 256GB Unlocked Silver Gold Grey - Extra 15% OFF, VERY GOOD - A</t>
  </si>
  <si>
    <t>Samsung Galaxy Z Flip 3 5G 6.7'' Folding Smartphone 128GB SIM-Free - (Cream) B+</t>
  </si>
  <si>
    <t>Samsung Galaxy S21+ Plus 5G 128GB Dual Sim Unlocked Phone UK | “Pristine A+++</t>
  </si>
  <si>
    <r>
      <t>⭐</t>
    </r>
    <r>
      <rPr>
        <sz val="10"/>
        <color rgb="FF000000"/>
        <rFont val="Helvetica Neue"/>
        <family val="2"/>
      </rPr>
      <t>SAMSUNG GALAXY S8 G950 G950F 64GB Smartphone - Grade Pristine + CHARGR Lead</t>
    </r>
  </si>
  <si>
    <t>Samsung Galaxy S20 5G (SM-G981B) - Unlocked Warranty Very Good Condition</t>
  </si>
  <si>
    <t>Emporia</t>
  </si>
  <si>
    <t>Emporia Smart.4 4G 5" 3GB / 32GB Unlocked &amp; Sim Free Easy Use Smartphone Black</t>
  </si>
  <si>
    <t>Apple iPhone 11 Pro Max, 64GB, Silver, Unlocked - Good Condition</t>
  </si>
  <si>
    <t>Samsung Galaxy A8 2018 32GB Unlocked Black Gold Grey Android Phone 4G | Good</t>
  </si>
  <si>
    <t>Apple iPhone 14 Pro Max - 128GB Gold - Unlocked SIM FREE - Apple Warranty!</t>
  </si>
  <si>
    <t>Samsung Galaxy Note 10 256GB Aura White Single SIM Unlocked Very Good Smartphone</t>
  </si>
  <si>
    <t>Samsung Galaxy S21 5G 6.2" Smartphone 8GB RAM 128GB SIM-Free - Phantom Grey D</t>
  </si>
  <si>
    <t>Apple iPhone 11 Pro 64GB/256GB/512 ALL COLOURS - UNLOCKED - EXCELLENT CONDITION</t>
  </si>
  <si>
    <t>Apple iPhone 14 Pro 5G 6.1'' Smartphone 128GB Unlocked SIM-Free - *Gold* B</t>
  </si>
  <si>
    <t>Motorola XT2231-2 Moto G22 4G 6.5" Smartphone 64GB 4GB RAM Unlocked - Black C</t>
  </si>
  <si>
    <t>Sony Xperia L2 H3311 32GB 4G  Boxed Black Unlocked Grade B Uk 1 year Warranty</t>
  </si>
  <si>
    <t>Samsung Galaxy A50 A505FN/DS - 64/128/256GB Unlocked Very Good Condition</t>
  </si>
  <si>
    <t>Samsung Galaxy A21s - 32GB - 48MP Camera - Blue - Unlocked - Very Good</t>
  </si>
  <si>
    <t>Xiaomi Mi 10T Pro 5G 256GB Cosmic Black Dual SIM Unlocked UK VERSION -Excellent</t>
  </si>
  <si>
    <t>Apple iPhone 8 | 64GB | Space Grey, Gold, Silver | Good Condition | Warranty</t>
  </si>
  <si>
    <t>Apple iPhone 12 Mini, 64GB, White, Unlocked - Excellent Condition</t>
  </si>
  <si>
    <t>Apple iPhone 13 Mini - 128GB/256/512 -ALL COLOURS-UNLOCK&lt;wbr/&gt;ED - VERY GOOD CONDITION</t>
  </si>
  <si>
    <t>Samsung A21s SM-A217F/DS DUAL SIM 32GB 64GB Unlocked Very Good Condition</t>
  </si>
  <si>
    <t>Apple iPhone 14 128GB 256GB 512GB Black Purple White Blue Red Unlocked Pristine</t>
  </si>
  <si>
    <t>Apple iPhone 12 A2403 128GB 4GB 12MP Smartphone Mobile Unlocked VERY GOOD=</t>
  </si>
  <si>
    <t>Apple iPhone XR 4G 6.1" Smartphone 3GB RAM 64GB Unlocked White (No Accs) B</t>
  </si>
  <si>
    <t>Oppo Find X2 - 256 GB (8GB RAM) - Black - Unlocked - Very Good Condition</t>
  </si>
  <si>
    <t>Samsung Galaxy A70 (2019) SM-A705FN 128GB 6GB Smartphone Mobile Unlocked GOOD=</t>
  </si>
  <si>
    <t>Samsung Galaxy Note 8 64GB Black Dual SIM (Unlocked) Very Good Smartphone</t>
  </si>
  <si>
    <t>Apple iPhone XR - Unlocked - 64GB / 128GB / 256GB - All Colours - Good Condition</t>
  </si>
  <si>
    <t>IMO Q5 5.5" SIM-Free Smartphone 4G 16GB Unlocked - Midnight Blue C+</t>
  </si>
  <si>
    <t>Apple iPhone 13 Pro 128/256/512/1T&lt;wbr/&gt;B Unlocked All Colours Very Good Condition</t>
  </si>
  <si>
    <t>Samsung Galaxy S22 Ultra 5G SM-S908B 128GB Smartphone Green Unlocked GOOD{</t>
  </si>
  <si>
    <t>Apple iPhone XS 64GB 256GB 512GB Unlocked Smartphone Good Refurbished Warranty</t>
  </si>
  <si>
    <t>Samsung Galaxy Note 20 5G 256GB | Mystic Bronze | Unlocked (Dual) | Refurbish...</t>
  </si>
  <si>
    <t>Apple iPhone 6 64GB Grey (Unlocked) Excellent Smartphone</t>
  </si>
  <si>
    <t>Apple iPhone 11 Pro Max-UNLOCKED-6&lt;wbr/&gt;4/256/512GB-IO&lt;wbr/&gt;S-ALL COLOURS-Good Condition</t>
  </si>
  <si>
    <t>Apple iPhone XS Max - 512GB - Gold (Unlocked) A2101 (GSM)</t>
  </si>
  <si>
    <t>Apple iPhone 11 A2221 64GB 4GB 12MP Smartphone Mobile Purple Unlocked GOOD{</t>
  </si>
  <si>
    <t>Samsung A50 - 64GB - Black - 12 Month Warranty - Pristine Refurbished</t>
  </si>
  <si>
    <t>Samsung S20 Plus 5G All Sizes All Colours Unlocked - Very Good Condition</t>
  </si>
  <si>
    <t>Samsung Galaxy S10 - All Sizes - All Colours - Vodafone - Good Condition</t>
  </si>
  <si>
    <t>Google Pixel 4 XL G020P 64GB Smartphone Mobile Just Black Unlocked VERY GOOD{</t>
  </si>
  <si>
    <t>Apple iPhone 12, 128GB, Green, Unlocked - Fair Condition</t>
  </si>
  <si>
    <t>Samsung Galaxy Note 10 N970 256GB Black Android Single Sim (Unlocked)- Very GOOD</t>
  </si>
  <si>
    <t>Apple iPhone 8 PLUS-UNLOCKED-&lt;wbr/&gt;64/256GB-IOS-A&lt;wbr/&gt;LL COLOURS-Good Condition</t>
  </si>
  <si>
    <t>Google Pixel 3 64GB 128GB White Black Pink Unlocked 4G Smartphone Excellent</t>
  </si>
  <si>
    <t>Sony Xperia Z3+ Plus E6553 32GB White Black Copper Green Unlocked Excellent</t>
  </si>
  <si>
    <t>Microsoft Lumia 535, 8GB, Unlocked Smartphone - Black - Refurbished Excellent</t>
  </si>
  <si>
    <t>Samsung Galaxy S20 5G - 128GB - All Colours - Unlocked - Excellent Condition</t>
  </si>
  <si>
    <t>Apple iPhone 8 Plus 256GB Unlocked Gold - Summer Deal 15% OFF - VERY GOOD - B+</t>
  </si>
  <si>
    <t>Apple iPhone 12 64GB 128GB 256GB Black White Red Green Blue Purple Very Good</t>
  </si>
  <si>
    <t>Samsung Galaxy A21s - 32GB - Black - (Unlocked) Smartphone - Good Condition</t>
  </si>
  <si>
    <t>Samsung Galaxy Z Fold3 5G256GB 512GB Black Silver Green Unlocked Phone Very Good</t>
  </si>
  <si>
    <t>Samsung Galaxy A3 2017 16GB Unlocked 4G LTE Android Smartphone + Warranty Gold</t>
  </si>
  <si>
    <t>Google Pixel 4a G025N 128GB 6GB Smartphone Mobile Just Black Unlocked GOOD{</t>
  </si>
  <si>
    <t>Samsung Galaxy Z Flip3 5G - 256GB - All Colours - Unlocked - Good Condition</t>
  </si>
  <si>
    <t>Nokia C1-01 - Dark Gary (Unlocked) Smartphone</t>
  </si>
  <si>
    <t>Apple iPhone 12 Pro Max 128GB 256GB 512GB Unlocked Gold- Very Good - Sim Option</t>
  </si>
  <si>
    <t>Samsung Galaxy S20  (SM-G980F) - Unlocked Warranty Excellent Condition</t>
  </si>
  <si>
    <t>Oppo Find X2 Lite 128GB Moonlight Black Pearl White Mobile Unlocked Excellent</t>
  </si>
  <si>
    <t>Apple MPUF3ZD/A iPhone 14 6.1" 5G Smartphone 128GB Unlocked - Midnight B</t>
  </si>
  <si>
    <t>Apple iPhone XR - Unlocked - 64/128/256GB - All Colours - Very Good Condition</t>
  </si>
  <si>
    <t>Huawei P30 Lite 128GB | Peacock Blue | Unlocked | Refurbished (Good)</t>
  </si>
  <si>
    <t>OnePlus Nord 2 6.43" Smartphone Android 12GB RAM 5G SIM Free 256GB Grey</t>
  </si>
  <si>
    <t>Apple iPhone 6S 32GB-All Colors-Unlocke&lt;wbr/&gt;d Good Condition+ Warranty</t>
  </si>
  <si>
    <t>Apple iPhone SE - 32GB - Space Grey (Unlocked) Excellent Smartphone</t>
  </si>
  <si>
    <t>Apple iPhone 13 256GB 512GB - All Sizes &amp; Colours - SIM FREE Unlocked, Very Good</t>
  </si>
  <si>
    <t>Samsung Galaxy Fold 5G - 512GB - Silver / Black - Unlocked - Very Good Condition</t>
  </si>
  <si>
    <t>Apple iPhone 13 Pro 128GB 256GB 512GB 1TB Unlocked Blue - Very Good- Sim Option</t>
  </si>
  <si>
    <t>Apple iPhone 6s-UNLOCKED-16&lt;wbr/&gt;/32/64/128GB-I&lt;wbr/&gt;OS-ALL COLOURS-Very Good Condition</t>
  </si>
  <si>
    <t>Google Pixel 6a - UK Model - Dual SIM - Chalk - 128GB Good Condition - Unlocked</t>
  </si>
  <si>
    <t>Samsung Galaxy A52s 5G SM-A528B 128GB 6GB Mobile Awesome Violet Unlocked GOOD{</t>
  </si>
  <si>
    <t>Apple iPhone 14 Plus 6.7'' 5G Smartphone 128GB Unlocked SIM-Free - {Red} C</t>
  </si>
  <si>
    <t>Samsung Galaxy S10 5G *Majestic White* 256GB Unlocked Smartphone GOOD CONDITION</t>
  </si>
  <si>
    <t>Samsung Galaxy Note 10 SM-N970F 256GB 8GB 12MP Smartphone Mobile Unlocked GOOD=</t>
  </si>
  <si>
    <t>Samsung Galaxy S10 Plus Dual Sim-UNLOCKED-1&lt;wbr/&gt;28/256GB/1TB-A&lt;wbr/&gt;LL COLOURS-Good</t>
  </si>
  <si>
    <t>GOOGLE PIXEL 4 XL (G020P) 64GB, 4G, WHITE, UNLOCKED, CERTIFIED REFURBISHED</t>
  </si>
  <si>
    <t>Pristine Grade A Samsung Galaxy S20 5G 128GB Dual Sim Unlocked Mixed Colours</t>
  </si>
  <si>
    <t>Apple iPhone 11-UNLOCKED-64&lt;wbr/&gt;/128/256GB-IOS&lt;wbr/&gt;-ALL COLOURS-Very Good Condition</t>
  </si>
  <si>
    <t>Motorola Moto G, XT1032, 16GB, Yellow Folio Edition</t>
  </si>
  <si>
    <t>Apple iPhone 13, 128GB, Starlight, Unlocked - Good Condition</t>
  </si>
  <si>
    <t>Samsung Galaxy S22 Plus, 5G, 256GB, White, Unlocked - Good Condition</t>
  </si>
  <si>
    <t>Samsung Galaxy S21 FE 5G SM-G990U- 128 GB - All Colors -(T-Mobile) - Very Good</t>
  </si>
  <si>
    <t>Apple iPhone 12 Pro Max, 256GB, Gold, Unlocked - Good Condition</t>
  </si>
  <si>
    <t>Samsung Galaxy A3 (2016) 16GB 4.7" 13MP Android 7 Black Unlocked Boxed</t>
  </si>
  <si>
    <t>Apple iPhone 12 Pro Max, 128GB, Silver, Unlocked - Good Condition</t>
  </si>
  <si>
    <t>Samsung Galaxy S21+ Plus SM-G996U 128GB - All Colors - (AT&amp;T) - Good</t>
  </si>
  <si>
    <t>Samsung Galaxy Z Flip 5G SM-F707U - 256GB - Bronze - (AT&amp;T) - Very Good</t>
  </si>
  <si>
    <t>Motorola Moto G 4G, XT1039, 8GB, Purple</t>
  </si>
  <si>
    <t>Apple iPhone 12 Mini, 128GB, Unlocked, Black - Good Condition</t>
  </si>
  <si>
    <t>Samsung Galaxy S22 SM-S901U - 128GB - All Colors - (US cellular) - Very Good</t>
  </si>
  <si>
    <t>Apple iPhone 13, 128GB, Pink, Unlocked - Good Condition</t>
  </si>
  <si>
    <t>Samsung Galaxy A3 2014 SM-A300F 16GB 4.5" 8MP 1.5GB RAM Android 6.0.1 Unlocked</t>
  </si>
  <si>
    <t>Apple iPhone 12 Pro Max, 128GB, Gold, Unlocked - Good Condition</t>
  </si>
  <si>
    <t>Samsung Galaxy Z Flip 5G SM-F707U 256GB (Unlocked) - Grey and Bronze - Good</t>
  </si>
  <si>
    <t>Samsung Galaxy Z Flip3 5G SM-F711U 128GB Lavender Lila SEHR GUT Smartphone</t>
  </si>
  <si>
    <t>Samsung Galaxy S20 FE 5G SM-G781U - 128GB - Green - (T-Mobile) - Good</t>
  </si>
  <si>
    <t>Samsung Galaxy S22 Plus, 5G, 128GB, Pink, Unlocked - Good Condition</t>
  </si>
  <si>
    <t>Google Pixel 4 XL (64GB, 6GB) 6.3" (GSM + CDMA) 4G LTE Unlocked (Black)</t>
  </si>
  <si>
    <t>Samsung Galaxy S20 FE 5G (128GB, 6GB) 6.5" Fully Unlocked (GSM + Verizon) G781U</t>
  </si>
  <si>
    <t>Google Pixel 6 - GB7N6 - 128GB - All Colors - (Unlocked) - Very Good</t>
  </si>
  <si>
    <t>REVVL</t>
  </si>
  <si>
    <t>REVVL 4 - AL5007W - 6.2" - 32GB - Graphite - (T-Mobile Unlocked) - Good</t>
  </si>
  <si>
    <t>LG WING 5G LMF100V- 256GB - Gray ( T-mobile Unlocked ) Good</t>
  </si>
  <si>
    <t>OnePlus 9 128GB - Winter Mist ( T-mobile Unlocked) 10/10 unlocked Excellent</t>
  </si>
  <si>
    <t>Apple iPhone 7 Plus - 32GB - All Colors (Unlocked) Good</t>
  </si>
  <si>
    <t>Samsung Galaxy S21 FE 5G SM-G990U- 128 GB - All Colors (US Cellular) - Good</t>
  </si>
  <si>
    <t>Samsung Galaxy S21, 5G, 128GB, Phantom White, Unlocked - Good Condition</t>
  </si>
  <si>
    <t>Samsung Galaxy A13 5G SM-A136U - 64GB - Black - (AT&amp;T) - Good</t>
  </si>
  <si>
    <t>Motorola Revvlry XT1952 32GB - Black - (T-Mobile Unlocked)  - Good</t>
  </si>
  <si>
    <t>Samsung Galaxy S21 Ultra, 5G, 128GB, Phantom Silver, Unlocked - Good Condition</t>
  </si>
  <si>
    <t>Samsung Galaxy Z Flip 5G SM-F707U - 256GB - Bronze - (AT&amp;T) - Good</t>
  </si>
  <si>
    <t>Samsung Galaxy S21 FE 5G SM-G990U- 128 GB (T-Mobile Unlocked) - Very Good</t>
  </si>
  <si>
    <t>OnePlus 9 128GB Black ( T-Mobile Unlocked) Good</t>
  </si>
  <si>
    <t>Samsung Galaxy S10 Lite SM-G770F Dual Sim - 128GB - Blue (Unlocked) Good</t>
  </si>
  <si>
    <t>Google Pixel 6 Pro - G8BOU - 128GB - Black - (T-Mobile) - Very Good</t>
  </si>
  <si>
    <t>Apple iPhone 12 Pro, 512GB, Unlocked, Gold - Good Condition</t>
  </si>
  <si>
    <t>Apple iPhone 7 Plus - 128GB - All Colors (Unlocked) Good</t>
  </si>
  <si>
    <t>LG WING 5G LMF100V- 256GB - Silver - ( T-Mobile Unlocked ) - B Good</t>
  </si>
  <si>
    <t>T-Mobile</t>
  </si>
  <si>
    <t>LG Velvet 5G - LMG900UM1 - 128GB - All Colors - (T-Mobile Unlocked) - Very Good</t>
  </si>
  <si>
    <t>Samsung Galaxy S21 FE 5G SM-G990U- 128 GB - All Colors (Metro) - Good</t>
  </si>
  <si>
    <t>Apple iPhone 12 Pro, 128GB, Pacific Blue, Unlocked - Good Condition</t>
  </si>
  <si>
    <t>LG Stylo 6 LMQ730 - 64GB - All Colors (Cricket Wireless Unlocked) - Good</t>
  </si>
  <si>
    <t>LG G8 ThinQ LM-G820U- 128GB - Black (AT&amp;T Unlocked) Excellent</t>
  </si>
  <si>
    <t>Samsung Galaxy S21 FE 5G SM-G990U- 128 GB - All Colors -(T-Mobile) - Excellent</t>
  </si>
  <si>
    <t>Google Pixel 6 Pro 5G (128GB, 12GB) 6.71" Fully Unlocked (GSM + Verizon) G8VOU</t>
  </si>
  <si>
    <t>Samsung Galaxy S20 Ultra 5G, 128GB, Unlocked, Cosmic Black - Good Condition</t>
  </si>
  <si>
    <t>Samsung Galaxy Z Fold 3 5G F926U 512GB Factory Unlocked Phantom Black- Excellent</t>
  </si>
  <si>
    <t>Samsung Galaxy S20 SM-G981U - 128GB - All Colors - (Unlocked) - Very Good</t>
  </si>
  <si>
    <t>Apple iPhone 12, 128GB, Unlocked, White - Good Condition</t>
  </si>
  <si>
    <t>Apple iPhone 12 Pro, 256GB, Unlocked, Gold - Fair Condition</t>
  </si>
  <si>
    <t>Samsung Galaxy S10e SM-G970U - 128GB - All Colors - (Unlocked) - Very Good</t>
  </si>
  <si>
    <t>Apple iPhone 11, 64GB, Black, Unlocked - Good Condition</t>
  </si>
  <si>
    <t>Nokia X100 5G - 128GB - Midnight Blue - (T-Mobile Unlocked) - Very Good</t>
  </si>
  <si>
    <t>SAMSUNG Galaxy S21 5G 128GB Phantom Gray  SM-G991U - Snapdragon - SEHR GUT</t>
  </si>
  <si>
    <t>Google Pixel 5 - 128GB - GD1YQ - Black and Green - (Unlocked) - Very Good</t>
  </si>
  <si>
    <t>Apple iPhone 12, 128GB, Red, Unlocked - Good Condition</t>
  </si>
  <si>
    <t>Apple iPhone XR 64GB White Unlocked - Refurbished Excellent</t>
  </si>
  <si>
    <t>Apple iPhone 13 Pro Max, 256GB, Sierra Blue, Unlocked - Refurbished Good</t>
  </si>
  <si>
    <t>Nokia 3.1, 16GB, Black Chrome, Unlocked - Refurbished Good</t>
  </si>
  <si>
    <t>Apple iPhone 12 Pro, 512GB, Unlocked, Silver - Good Condition</t>
  </si>
  <si>
    <t>Google Pixel 5, 128GB, Just Black, Unlocked - Fair Condition</t>
  </si>
  <si>
    <t>Apple iPhone 12 Pro Max, 128GB, Graphite, Unlocked - Fair Condition</t>
  </si>
  <si>
    <t>Samsung Galaxy Note20 5G SM-N981U - 128GB - All Colors (Verizon) - Good</t>
  </si>
  <si>
    <t>Samsung Galaxy Note 20 Ultra 5G N986B DualSIM 256GB Bronze Mystic - Sehr Gut</t>
  </si>
  <si>
    <t>Apple iPhone 12 Pro Max, 256GB, Silver, Unlocked - Fair Condition</t>
  </si>
  <si>
    <t>Apple iPhone 6S, 32GB, Space Grey, Unlocked - Good Condition</t>
  </si>
  <si>
    <t>OnePlus Nord N10 5G - 128GB - Midnight Ice - (T-Mobile Unlocked) - Good</t>
  </si>
  <si>
    <t>Apple iPhone 12 Pro Max, 128GB, Graphite, Unlocked - Good Condition</t>
  </si>
  <si>
    <t>Apple iPhone 12 Pro, 128GB, Unlocked, Gold - Good Condition</t>
  </si>
  <si>
    <t>OnePlus 7 256GB 6.6" Sim Free Unlocked - Mirror Grey - Refurbished Excellent</t>
  </si>
  <si>
    <t>Apple iPhone 7, 32GB, Rose Gold, Unlocked - Fair Condition</t>
  </si>
  <si>
    <t>Google Pixel 6 - GB7N6 128gb -Kinda Coral- - (Unlocked) -Excellent</t>
  </si>
  <si>
    <t>Apple iPhone 11 Pro Max, 64GB, Space Grey, Unlocked - Good Condition</t>
  </si>
  <si>
    <t>Apple iPhone X - 64GB 256GB Unlocked Variants - Extra 15% CODE OFF - GOOD B+</t>
  </si>
  <si>
    <t>Apple iPhone XR 64GB Unlocked Smartphone White - Extra 15% CODE OFF - VERY GOOD</t>
  </si>
  <si>
    <t>Google Pixel 6a GX7AS - 128GB - Chalk - (T-mobile) - Excellent</t>
  </si>
  <si>
    <t>Samsung Galaxy S10 Plus 128/512GB&amp;1TB DualSIM Red,Black,Silv&lt;wbr/&gt;er,etc-VeryGoo&lt;wbr/&gt;d</t>
  </si>
  <si>
    <t>Apple iPhone XS 512GB Unlocked Smartphone, Space Grey - February Sale- GOOD B</t>
  </si>
  <si>
    <t>Apple iPhone 13 Pro Max 128GB Sierra Blue Unlocked - Refurbished Good</t>
  </si>
  <si>
    <t>Apple iPhone 7 Plus MNQM2B/A 4G Smartphone 32GB Unlocked Black (No Accessories)C</t>
  </si>
  <si>
    <t>Samsung Galaxy S22+ 5G SM-S906B 128GB 8GB 50MP Mobile Green Unlocked VERY GOOD{</t>
  </si>
  <si>
    <t>Pristine Apple iPhone 8 64GB Space Grey Unlocked - 24 Month Warranty 93% Battery</t>
  </si>
  <si>
    <t>Apple iPhone XS Max 64GB Unlocked Space Grey - Extra 15% CODE OFF - VERY GOOD A</t>
  </si>
  <si>
    <t>Samsung Galaxy S21 5G Dual SIM 128GB Unlocked Various Colours Mobile | Excellent</t>
  </si>
  <si>
    <t>Samsung Galaxy Z Flip 3, 5G, 128GB, Lavender, Unlocked - Pristine Condition</t>
  </si>
  <si>
    <t>Samsung Galaxy S21 5G SM-G991B 256GB 8GB Smartphone Mobile Unlocked VERY GOOD=</t>
  </si>
  <si>
    <t>Refurbished Honor Magic4 Pro Cyan 6.81" 256GB 5G Unlocked &amp; SIM Free A1/5109AFDM</t>
  </si>
  <si>
    <t>SAMSUNG GALAXY J5 2017 J530 16GB - BLACK DUAL SIM UNLOCKED VERY GOOD REFURBISHED</t>
  </si>
  <si>
    <t>Google Pixel 6 Pro GLUOG 128GB Smartphone Mobile Sorta Sunny Unlocked VERY GOOD{</t>
  </si>
  <si>
    <t>Apple iPhone 14 5G 6.1'' Smartphone 128GB Unlocked SIM-Free - *Blue* B</t>
  </si>
  <si>
    <t>Samsung Galaxy S22+ 5G SM-S906B 128GB 8GB Smartphone Mobile Unlocked VERY GOOD=</t>
  </si>
  <si>
    <t>Apple iPhone XS 64/ 256/ 512GB 5.8inch Unlocked All Colours Excellent Condition</t>
  </si>
  <si>
    <t>Google Pixel 6 Pro GLUOG 128GB Smartphone Mobile Stormy Black Unlocked VERY GOOD</t>
  </si>
  <si>
    <t>Apple iPhone 7-UNLOCKED-32/&lt;wbr/&gt;128/256GB-IOS-&lt;wbr/&gt;ALL COLOURS-Excell&lt;wbr/&gt;ent Condition</t>
  </si>
  <si>
    <t>Samsung Galaxy S22 Ultra 5G 128GB SIM-Free Smartphone 6.8" - Phantom Black C+</t>
  </si>
  <si>
    <t>Apple iPhone 11, 128GB, Purple, Unlocked - Good Condition</t>
  </si>
  <si>
    <t>SAMSUNG GALAXY S20 FE 5G 128GB VARIOUS COLOURS DUAL SIM UNLOCKED EXCELLENT</t>
  </si>
  <si>
    <r>
      <t>Samsung Galaxy J5 PRO (2017) 16GB - Unlocked - SILVER/BLUE - GRADE A</t>
    </r>
    <r>
      <rPr>
        <sz val="10"/>
        <color rgb="FF000000"/>
        <rFont val="Apple Color Emoji"/>
      </rPr>
      <t>🔥</t>
    </r>
  </si>
  <si>
    <t>Samsung Galaxy Z Flip4 5G Smartphone 8GB RAM 128GB Dual-SIM Unlocked (Blue) B+</t>
  </si>
  <si>
    <t>Samsung Mobile Galaxy Z Flip3 5G 128GB Smartphone Unlocked - Lavender C</t>
  </si>
  <si>
    <t>OnePlus 8 5G IN2013 256GB 12GB 48MP Mobile Intersellar Glow Unlocked VERY GOOD{</t>
  </si>
  <si>
    <t>Samsung Galaxy S22+ 6.6'' 5G Smartphone 128GB Unlocked SIM-Free - (Black) B+</t>
  </si>
  <si>
    <t>Samsung Galaxy S21 FE 5G 6.4'' Smartphone 128GB Unlocked - {Graphite} C</t>
  </si>
  <si>
    <t>Samsung Galaxy Z Flip4 6.7” 5G Smartphone 128GB Unlocked - (Graphite) B+</t>
  </si>
  <si>
    <t>Apple iPhone 12 - 64GB - Blue  - O2 - Very Good Condition</t>
  </si>
  <si>
    <t>Refurbished Apple iPhone 11 Black 6.1" 64GB 4G</t>
  </si>
  <si>
    <t>Apple MWC22B/A iPhone 11 Pro 5.8'' Smartphone 64GB Unlocked - *Space Grey* D</t>
  </si>
  <si>
    <t>OnePlus Nord 5G Smartphone Android 8GB RAM SIM Free 128GB Grey Onyx C Grade</t>
  </si>
  <si>
    <t>Refurbished Apple iPhone 11 Red 6.1" 64GB 4G Unlocked &amp; SIM Free  A3/MWLV2B/A/MV</t>
  </si>
  <si>
    <t>Samsung Galaxy Z Fold4 SM-F936B 256GB 12GB Smartphone Mobile Unlocked VERY GOOD=</t>
  </si>
  <si>
    <t>Apple iPhone XS - 64GB / 256GB / 512GB Unlocked Smartphone All Colors- GOOD B+</t>
  </si>
  <si>
    <t>Apple iPhone 11 128GB Unlocked Phone, Black - Extra 20% CODE OFF - VERY GOOD A</t>
  </si>
  <si>
    <t>Samsung Galaxy A5 2016 16GB Unlocked Black Gold White Pink Android | Very Good</t>
  </si>
  <si>
    <t>Apple iPhone 12 Pro 128GB/256GB/51&lt;wbr/&gt;2GB Unlocked - Refurbished Good</t>
  </si>
  <si>
    <t>Samsung Galaxy Z Fold4 5G Foldable Smartphone 256GB Unlocked - *Grey/Green* B</t>
  </si>
  <si>
    <t>Samsung Galaxy Note 10, 256GB, Aura White - Fair Condition</t>
  </si>
  <si>
    <t>Apple iPhone 12, 256GB, Unlocked, Blue - Good Condition</t>
  </si>
  <si>
    <t>Apple iPhone SE 2nd Gen 64GB 128GB 256GB Unlocked Black Good Sim Option</t>
  </si>
  <si>
    <t>Apple MN912B/A iPhone 7 4G Smartphone 32GB Unlocked Sim-Free 1YR [Rose Gold] C</t>
  </si>
  <si>
    <t>Apple iPhone 11 Pro 256GB Unlocked iOS Smartphone, Midnight Green Grade B Good</t>
  </si>
  <si>
    <t>Samsung Galaxy S8 G950F 64GB Black Grey Silver Blue Gold Unlocked 4G Excellent</t>
  </si>
  <si>
    <t>Samsung Galaxy Z Fold3 5G SM-F926B/DS - 256GB - Phantom Black (Unlocked)</t>
  </si>
  <si>
    <t>Google Pixel 3a XL G020B 64GB 4GB 12MP Mobile Purple-ish Unlocked VERY GOOD{</t>
  </si>
  <si>
    <t>Samsung Galaxy A90 SM-A908B 5G - 128GB Unlocked All Colours Good Condition</t>
  </si>
  <si>
    <t>Apple iPhone 14 - 128GB - Midnight Black (Unlocked) Excellent Condition</t>
  </si>
  <si>
    <t>Google Pixel 4a 5G 128GB Just Black Unlocked Smartphone Mobile Phone Very Good</t>
  </si>
  <si>
    <t>DORO 6040 Mobile Phone 2.8" 2G 7878</t>
  </si>
  <si>
    <t>Samsung Galaxy S20+ 5G Edition SM-G986B/DS - 128GB - white(Unlocked&lt;wbr/&gt;).</t>
  </si>
  <si>
    <t>OnePlus Nord 64GB 128GB 256GB Blue Marble Grey Onyx Unlocked Mobile Excellent</t>
  </si>
  <si>
    <t>Apple iPhone 12 Pro 128GB 256GB 512GB Unlocked Silver- Very Good -Sim Option</t>
  </si>
  <si>
    <t>Samsung Galaxy A52 5G 128GB 256GB Black White Violet Blue Unlocked Very Good</t>
  </si>
  <si>
    <t>Samsung Galaxy Note 10 Plus 5G 256GB 512GB White Black Blue Unlocked Very Good</t>
  </si>
  <si>
    <t>Motorola Moto G50 Unlocked Smartphone Octa Core 4GB 64GB 6.5" IPS 5G Android 11</t>
  </si>
  <si>
    <t>Apple iPhone 13 128GB 256GB 512GB ALL Colours Unlocked GREAT Condition Warranty</t>
  </si>
  <si>
    <t>Apple iPhone 14 Plus 6.7'' 5G Smartphone 128GB Unlocked SIM-Free - {Purple} C</t>
  </si>
  <si>
    <t>Apple MWC22B/A iPhone 11 Pro 5.8'' Smartphone 64GB Unlocked - *Space Grey* B</t>
  </si>
  <si>
    <t>SAMSUNG GALAXY S10 | 128GB - UNLOCKED - VERY GOOD CONDITION</t>
  </si>
  <si>
    <t>OnePlus 7 Pro - 128GB - Mirror Grey (Unlocked) - Excellent Condition</t>
  </si>
  <si>
    <t>Samsung Galaxy S10 5G 256GB Unlocked Various Colours Smartphone Mobile | Good</t>
  </si>
  <si>
    <t>SAMSUNG GALAXY S20+ PLUS 5G 128GB DUAL SIM 64MP | UNLOCKED | VERY GOOD CONDITION</t>
  </si>
  <si>
    <t>Samsung Galaxy Note20 4G/5G 256GB Unlocked Android Smartphone UK Model-Good</t>
  </si>
  <si>
    <t>Apple iPhone XS Max 64GB Unlocked Space Grey - Extra 15% Code OFF - EXCELLENT A+</t>
  </si>
  <si>
    <t>Samsung Galaxy Z Flip4 SM-F721B 128GB Smartphone Bora Purple Unlocked VERY GOOD#</t>
  </si>
  <si>
    <t>Samsung Galaxy A12 64GB | Black | Unlocked | Refurbished (Good)</t>
  </si>
  <si>
    <t>Huawei P30 128GB Black Unlocked Sim Free Android Mobile Smartphone EML-L09 C2</t>
  </si>
  <si>
    <t>Apple iPhone 12 Mini - Unlocked -64/128/256GB- All Colours - Good Condition</t>
  </si>
  <si>
    <t>Samsung Galaxy Z Fold3 5G - 512GB - Silver - Unlocked - Excellent Condition</t>
  </si>
  <si>
    <t>Apple iPhone 12 Pro, 5G, Unlocked, 256GB, Pacific Blue - Good Condition</t>
  </si>
  <si>
    <t>Samsung Galaxy Z Flip4 5G Smartphone 256GB Unlocked SIM-Free - *Graphite* B</t>
  </si>
  <si>
    <t>Samsung SM-G996 S21+ 5G 128GB Sim Free Android Smartphone *Phantom Violet* D</t>
  </si>
  <si>
    <t>Samsung Galaxy S8 | 64GB | Unlocked | Android | Black Blue Gold Grey Pink Silver</t>
  </si>
  <si>
    <t>Apple iPhone 8 Space Grey 64GB (Unlocked ) A grade 12Months Warranty</t>
  </si>
  <si>
    <t>Huawei P20 Lite - 64GB - All Colours - Unlocked - Good Condition</t>
  </si>
  <si>
    <t>Samsung Galaxy A12 64GB | Blue | Unlocked (Dual Sim) | Refurbished (Good)</t>
  </si>
  <si>
    <t>Apple iPhone XS Max 64GB Unlocked Variants - Extra 15% CODE OFF - VERY GOOD A</t>
  </si>
  <si>
    <t>Google Pixel 6 Pro GLUOG 128GB Smartphone Cloudy White Unlocked VERY GOOD{</t>
  </si>
  <si>
    <t>Samsung Galaxy S21 Plus, 5G, 128GB, Phantom Black, Unlocked - Good Condition</t>
  </si>
  <si>
    <t>Samsung Galaxy S22 Ultra  5G | All Sizes | Unlocked | All Colours | Very Good</t>
  </si>
  <si>
    <t>Apple iPhone 14 Pro Max 5G 6.7" Smartphone 256GB Unlocked - Deep Purple B+</t>
  </si>
  <si>
    <t>Apple iPhone XS Max - 64GB 256GB 512GB Variants - Extra 15% CODE OFF - VERY GOOD</t>
  </si>
  <si>
    <t>Samsung Galaxy S21 Ultra 5G 128gb Dual Sim Unlocked - All Colours - Smartphones</t>
  </si>
  <si>
    <t>Nokia 5 TA-1024 4G LTE Android Smartphone Unlocked Blue</t>
  </si>
  <si>
    <t>Samsung Galaxy S21 FE 5G Smartphone 128GB Dual-Sim Unlocked - {Graphite} C</t>
  </si>
  <si>
    <t>Samsung Galaxy A51 - 128GB - All Colours - Unlocked - Very Good Condition</t>
  </si>
  <si>
    <t>Apple iPhone SE 2016, 64GB, Space Grey, Unlocked - Fair Condition</t>
  </si>
  <si>
    <t>Apple iPhone 12 - 64GB - Blue UNLOCKED (CDMA + GSM) 12 MONTH WARRANTY  Very Good</t>
  </si>
  <si>
    <t>OnePlus 8 Pro 5G - 128GB Black / 256GB Green - Unlocked - Excellent Condition</t>
  </si>
  <si>
    <t>Apple iPhone 11 Pro Max 64GB 256GB 512GB Grey Silver Gold Unlocked Very Good</t>
  </si>
  <si>
    <t>Huawei P20  EML-L09 Unlocked Midnight Black 128GB Grade A tested UK Warranty</t>
  </si>
  <si>
    <t>Apple iPhone 7 32GB, 128GB - Black Rose Gold Silver Gold - Unlocked - Grade B</t>
  </si>
  <si>
    <t>Apple iPhone XR | 64GB 128GB 256GB | Unlocked | Black Blue Coral Red White</t>
  </si>
  <si>
    <t>Motorola Moto G7 Dual SIM 64GB Unlocked Black Smartphone Mobile 4G | Very Good</t>
  </si>
  <si>
    <t>Samsung Galaxy S22+ 5G SM-S906B 256GB 8GB 50MP Mobile Green Unlocked VERY GOOD{</t>
  </si>
  <si>
    <t>Motorola Moto G4 (2016) 16GB 32GB Mixed Colours Unlocked Good Condition</t>
  </si>
  <si>
    <t>Samsung Galaxy S22 Plus  5G | All Sizes | Unlocked | All Colours</t>
  </si>
  <si>
    <t>SAMSUNG GALAXY S10-S10e - S10+ Plus-S10 lite- 128GB S105G UNLOCKED | FREE GIFTS</t>
  </si>
  <si>
    <t>Apple iPhone 13 Pro 5G SIM-Free Smartphone 256GB Unlocked - Graphite B+</t>
  </si>
  <si>
    <t>Apple iPhone 14 Plus 5G 6.7'' Smartphone 128GB Unlocked SIM-Free - *Blue* B</t>
  </si>
  <si>
    <t>Apple iPhone XS 64GB - Network Free, Gold</t>
  </si>
  <si>
    <t>Apple iPhone X 64GB 256GB Unlocked Refurbished - Very Good Condition</t>
  </si>
  <si>
    <t>Samsung Galaxy A72 SM-A725F 128GB 6GB 64MP Mobile Awesome Black Unlocked GOOD{</t>
  </si>
  <si>
    <t>SAMSUNG GALAXY S21 ULTRA 5G 128GB/256G/512 GB UNLOCKED - V.GOOD CONDITION</t>
  </si>
  <si>
    <t>Apple iPhone XS Max 256GB Unlocked Space Grey, Grade B Good - TOP UK DEAL</t>
  </si>
  <si>
    <t>Samsung Galaxy Z Fold2 5G - 256GB - Mystic Black - Unlocked - Good Condition</t>
  </si>
  <si>
    <t>Nokia 6.1 Smartphone, 32GB, Network Unlocked, Black Copper, TA-1050</t>
  </si>
  <si>
    <t>Apple iPhone XS 256GB Sim Free Unlocked Gold - Extra 15% Code OFF - VERY GOOD A</t>
  </si>
  <si>
    <t>Apple iPhone 8 256GB SIM Free Space Grey</t>
  </si>
  <si>
    <t>Apple iPhone 12 Mini 64GB Unlocked iOS Smartphone Black, January Sale - GOOD - B</t>
  </si>
  <si>
    <t>Apple MPVA3ZD/A iPhone 14 6.1'' 5G Smartphone 128GB Unlocked - Product Red D</t>
  </si>
  <si>
    <t>Apple MPUF3ZD/A iPhone 14 6.1" 5G Smartphone 128GB Unlocked - Midnight C</t>
  </si>
  <si>
    <t>Samsung Galaxy J6+ 2018 SM-J610FN 32GB 6" 13MP 3GB RAM Android 10 Unlocked.</t>
  </si>
  <si>
    <t>Samsung Galaxy S22 Ultra 5G SM-S908B 128GB 8GB Smartphone Mobile Unlocked GOOD=</t>
  </si>
  <si>
    <t>Samsung Galaxy S20 FE 5G | Unlocked | All Colours | 128GB | Good Condition</t>
  </si>
  <si>
    <t>Apple iPhone 14 5G 6.1'' Smartphone 128GB Unlocked SIM-Free - *Starlight* B</t>
  </si>
  <si>
    <t>Apple iPhone 14 5G 6.1'' Smartphone 256GB Unlocked Sim-Free - *Midnight* B</t>
  </si>
  <si>
    <t>Samsung Galaxy Z Flip4 SM-F721B 128GB Smartphone Bora Purple Unlocked VERY GOOD</t>
  </si>
  <si>
    <t>Samsung Galaxy Note 10 Lite SM-N770F 128GB 6GB 12MP Mobile Unlocked VERY GOOD=</t>
  </si>
  <si>
    <t>Huawei P40 Lite 128GB Dual Sim Unlocked Android Smartphone Excellent Device</t>
  </si>
  <si>
    <t>Apple iPhone 14 6.1" 5G Smartphone 128GB Unlocked - Midnight B Free Glass Protec</t>
  </si>
  <si>
    <t>Samsung Galaxy S9 SM-G960 - 64GB - Lilac Purple (Unlocked) Smartphones</t>
  </si>
  <si>
    <t>Apple iPhone 14 Plus Unlocked Smartphone 5G A15 Bionic 512GB Storage 6.7" OLED</t>
  </si>
  <si>
    <t>Samsung Galaxy A8 (2018) - 32GB 64GB - All Colours - Unlocked - Good Condition</t>
  </si>
  <si>
    <t>Apple iPhone 13 5G 6.1" iOS Smartphone 128GB Unlocked SIM-Free - [Midnight] C+</t>
  </si>
  <si>
    <t>Motorola Motosmart MOD11 Black Unlocked Smartphone</t>
  </si>
  <si>
    <t>Apple iPhone 5C 16GB White (Unlocked) Excellent Smartphone</t>
  </si>
  <si>
    <t>Apple iPhone 16GB Blue (Unlocked) Excellent Smartphone</t>
  </si>
  <si>
    <t>Samsung Galaxy S22 Ultra 5G 128GB SIM-Free Smartphone 6.8" - Phantom Black C</t>
  </si>
  <si>
    <t>Samsung Galaxy A72 128GB Various Colours (Unlocked) Android Smartphone A-Grade</t>
  </si>
  <si>
    <t>Apple iPhone 7 Plus A1784 128GB 3GB Smartphone Mobile Jet Black Unlocked GOOD{</t>
  </si>
  <si>
    <t>Apple iPhone 14 Pro 5G Smartphone 512GB Unlocked Dual-Sim - {Deep Purple} C</t>
  </si>
  <si>
    <t>Refurbished Apple iPhone 11 Pro Space Grey 5.8" 64GB 4G Unlocked  A3/MWC22B/A/MV</t>
  </si>
  <si>
    <t>Apple iPhone 14 Pro 5G Smartphone 256GB Unlocked SIM-Free - [Space Black] C+</t>
  </si>
  <si>
    <t>Apple iPhone 14 Pro Max 5G 6.7" Smartphone 256GB Unlocked - Deep Purple B</t>
  </si>
  <si>
    <t>Apple iPhone 7 | 32 64 128GB | Unlocked | Refurbished with 1 Year Warranty</t>
  </si>
  <si>
    <t>Motorola EX112 - WHITE (Unlocked) Mobile Phone</t>
  </si>
  <si>
    <t>Google Pixel 5 5G - 128GB - Sage / Black - Unlocked - Excellent Condition</t>
  </si>
  <si>
    <t>Apple iPhone XS Max - 64GB - UNLOCKED - Gold - Excellent Condition</t>
  </si>
  <si>
    <t>Motorola Moto G7 Play - 32GB - Gold / Indigo - Unlocked - Good Condition</t>
  </si>
  <si>
    <t>Apple iPhone 11 64GB Variants - Unlocked - Extra 15% CODE OFF - VERY GOOD AA</t>
  </si>
  <si>
    <t>Samsung Galaxy A70 SM-A705FN Dual Sim Black 128GB Grade B UK Warranty seller</t>
  </si>
  <si>
    <t>Samsung Galaxy S20 5G Dual Sim-UNLOCKED-1&lt;wbr/&gt;28GB-ANDROID-A&lt;wbr/&gt;LL COLOURS-Good Condition</t>
  </si>
  <si>
    <t>HUAWEI P10 64GB  VTR - L09 Unlocked 4G LTE Android Smartphone Excellent device</t>
  </si>
  <si>
    <t>Apple iPhone 8 64GB Unlocked Space Grey, Summer Deal, 15% OFF - Excellent AA+</t>
  </si>
  <si>
    <t>Samsung Galaxy Note10+ PLUS 4G  12GB/256GB DUAL SIM EXCELLENT CONDITION</t>
  </si>
  <si>
    <t>Apple iPhone 14 Pro 5G 6.1'' Smartphone 128GB Unlocked SIM-Free - {Gold} C</t>
  </si>
  <si>
    <t>Samsung S6 Edge - 32GB 64GB 128GB Unlocked All Colours Very Good Condition</t>
  </si>
  <si>
    <t>Huawei P30 Pro 128GB VOG-L09 Unlocked  4G Android Smartphone Excellent Device</t>
  </si>
  <si>
    <t>Samsung Galaxy A12 6.5'' 4G Smartphone 64GB Dual-Sim Unlocked - Black A</t>
  </si>
  <si>
    <t>Google Pixel 4a 128GB Black (Unlocked) Android Smartphone - B</t>
  </si>
  <si>
    <t>Apple iPhone 12, 256GB, Unlocked, White - Good Condition</t>
  </si>
  <si>
    <t>Samsung Galaxy A20 - Red - 32GB  - Unlocked - Good Condition</t>
  </si>
  <si>
    <t>Apple iPhone 14 Pro Max 5G Smartphone 512GB Unlocked SIM-Free - (Silver) B+</t>
  </si>
  <si>
    <t>Samsung Galaxy S3 MINI- White/Black Unlocked Very Good Condition</t>
  </si>
  <si>
    <t>Samsung Galaxy S4 16GB Unlocked AMOLED 13MP Android - Excellent Condition</t>
  </si>
  <si>
    <t>Samsung Galaxy A40 (SM-A405FN) 64GB - Dual Sim - Unlocked - Grade B Condition</t>
  </si>
  <si>
    <t>Huawei P10 Lite 32GB Unlocked Sim Free 4G Android Smartphone Very Good Condition</t>
  </si>
  <si>
    <t>Sony Xperia XZ Premium 64GB Unlocked 4G  Android Smartphone Very Good Condition</t>
  </si>
  <si>
    <t>Samsung Galaxy S10, 128GB, Prism White, Unlocked - Good Condition</t>
  </si>
  <si>
    <t>Samsung Galaxy A50 (2019) 64GB 128GB Black White Blue Coral Unlocked Very Good</t>
  </si>
  <si>
    <t>Apple iPhone 8 Gold - 64GB - (Unlocked) 88% Battery</t>
  </si>
  <si>
    <t>Samsung Galaxy A51 2019 SM-A515F 128GB 4GB Prism Crush White Unlocked VERY GOOD{</t>
  </si>
  <si>
    <t>Sony E2303 Xperia M4 Aqua Mobile Unlocked Smartphone Android 8GB Black C Grade</t>
  </si>
  <si>
    <t>Nokia G60 5G 64GB Unlocked Sim Free Black Android Mobile Smartphone TA-1479 B</t>
  </si>
  <si>
    <t>Apple iPhone 12 Pro Max 128GB 256GB 512GB Unlocked Silver- Excellent -Sim Option</t>
  </si>
  <si>
    <t>Samsung Galaxy S10 Lite | 128GB | Android | Black | Unlocked | Good</t>
  </si>
  <si>
    <t>Apple iPhone 11, 256GB, White, Unlocked - Good Condition</t>
  </si>
  <si>
    <t>Apple iPhone 14 Pro Max 5G 6.7'' Smartphone 256GB SIM-Free Unlocked - *Gold* B</t>
  </si>
  <si>
    <t>Apple iPhone 13 Pro 128GB 256GB 512GB 1TB Unlocked Black - Very Good- Sim Option</t>
  </si>
  <si>
    <t>Google Pixel 3a - 64GB - White / Black / Purple - Unlocked - Very Good Condition</t>
  </si>
  <si>
    <t>Samsung Galaxy S21 Ultra 5G SM-G998B 128GB 12GB Phantom Silver Unlocked GOOD{</t>
  </si>
  <si>
    <t>Samsung Galaxy Z Flip4 SM-F721B 128GB 8GB Smartphone Mobile Unlocked VERY GOOD=</t>
  </si>
  <si>
    <t>SAMSUNG S21 FE 5G G990B 128GB 6GB, LAVENDER, DUAL SIM UNLOCKED, CERTIFIED REFURB</t>
  </si>
  <si>
    <t>Apple iPhone 6S Plus 16GB/32GB/64GB&lt;wbr/&gt;/128GB Unlocked SIM Free - Refurbished Good</t>
  </si>
  <si>
    <t>Apple iPhone XS Max 64GB 256GB 512GB SpaceGrey Silver Gold Unlocked Excellent</t>
  </si>
  <si>
    <t>Samsung Galaxy S21 FE 5G SM-G990B 128GB 6GB 12MP Mobile White Unlocked GOOD{</t>
  </si>
  <si>
    <t>Apple iPhone 12 Mini 64GB/128GB/256&lt;wbr/&gt;GB Unlocked SIM Free - Refurbished Excellent</t>
  </si>
  <si>
    <t>Samsung Galaxy Z Flip4 SM-F721B 128GB 8GB Mobile Graphite Unlocked VERY GOOD{</t>
  </si>
  <si>
    <t>Oppo Find X3 Lite 5G Smartphone Android 8GB RAM 6.4” SIM Free 128GB Starry Black</t>
  </si>
  <si>
    <t>Samsung Galaxy J5 SM-J510FN (2016) 16GB Unlocked All Colours Very Good Condition</t>
  </si>
  <si>
    <t>Samsung Galaxy S20 FE 5G SM-G781B 128GB 6GB Smartphone Cloud Mint Unlocked GOOD{</t>
  </si>
  <si>
    <t>Xiaomi Mi 10T Pro 5G 8GB 256GB Cosmic Black Dual SIM Unlocked UK VERSION -- Good</t>
  </si>
  <si>
    <t>Samsung S22 All Sizes - All Colours - Unlocked - 12M Warranty - Good Condition</t>
  </si>
  <si>
    <t>Apple iPhone 8 64GB 256GB Gold Red Silver Space Grey Unlocked Mobile Excellent</t>
  </si>
  <si>
    <t>Samsung Galaxy S8 | 64GB | Android | Grey | Unlocked | Good Condition</t>
  </si>
  <si>
    <t>Huawei P20 128gb 4G LTE Android Smartphone Unlocked Pink Gold</t>
  </si>
  <si>
    <t>OPPO A15 3 GB RAM 32 GB storage 6.5" Dual Nano SIM 4G  factory Unlocked.#</t>
  </si>
  <si>
    <t>Samsung Galaxy S10 Lite 128GB Unlocked Smartphone, Prism White - VERY GOOD A</t>
  </si>
  <si>
    <t>Samsung Galaxy A52s 5G 6.5" Smartphone 128GB Unlocked - *Awesome Violet* B</t>
  </si>
  <si>
    <t>OPPO FIND X3 LITE 5G CPH2145 128GB BLACK DUAL SIM UNLOCKED CERTIFIED REFURB</t>
  </si>
  <si>
    <t>Samsung Galaxy S20 FE 4G SM-G780F 128GB 6GB 12MP Cloud Mint Unlocked VERY GOOD{</t>
  </si>
  <si>
    <t>Apple iPhone 11 6.1" Smartphone Unlocked 64GB Red C Grade</t>
  </si>
  <si>
    <t>Apple iPhone 11 64GB Unlocked Variants, - Extra 15% CODE OFF - EXCELLENT AAA+</t>
  </si>
  <si>
    <t>Apple iPhone SE 2020 64GB 128GB 256GB - Unlocked - Very Good Condition</t>
  </si>
  <si>
    <t>Apple iPhone 6s PLUS-UNLOCKED-&lt;wbr/&gt;16/32/64/128GB&lt;wbr/&gt;-IOS-ALL COLOURS-Very Good Condition</t>
  </si>
  <si>
    <t>Samsung Galaxy S20 5G SM-G981B 128GB 12GB Mobile Cloud Blue Unlocked VERY GOOD{</t>
  </si>
  <si>
    <t>Apple iPhone 12 64GB 128GB 256GB Unlocked Green - Good - Sim Option</t>
  </si>
  <si>
    <t>Apple iPhone 12 64GB Black (Unlocked) A2403 Grade B "eBay Good"</t>
  </si>
  <si>
    <t>Apple iPhone 13 128GB 256GB 512GB White Blue Pink Red Green Unlocked Very Good</t>
  </si>
  <si>
    <t>Microsoft Lumia 640 - 8GB - White/BLACK (Unlocked) Smartphone Excellent</t>
  </si>
  <si>
    <t>Samsung Galaxy S22 5G SM-S901B 256GB 8GB Smartphone Mobile Unlocked VERY GOOD=</t>
  </si>
  <si>
    <t>Apple iPhone XS 64GB SIM Free Unlocked Gold - Extra 15% CODE OFF - EXCELLENT A+</t>
  </si>
  <si>
    <t>Apple iPhone 7 32GB 128GB 256GB 4.7 4G All Colours Unlocked Excellent Condition</t>
  </si>
  <si>
    <t>Samsung Galaxy S21 Ultra, 5G, 128GB, Phantom Black, Unlocked - Good Condition</t>
  </si>
  <si>
    <t>Samsung Galaxy A51 64GB/128GB/256&lt;wbr/&gt;GB - All Colours - Unlocked - Excellent</t>
  </si>
  <si>
    <t>Apple iPhone XS 64GB 256GB 512GB - Unlocked Smartphone - Excellent - Grade A</t>
  </si>
  <si>
    <t>OnePlus Nord - 128GB - Blue Marble (Unlocked) (Dual SIM) - Very Good B Condition</t>
  </si>
  <si>
    <t>Apple iPhone 12 Pro A2407 256GB 6GB Smartphone Mobile Gold Unlocked VERY GOOD{</t>
  </si>
  <si>
    <t>Samsung Galaxy A3 (2016) 16GB Black White Gold Pink Unlocked Android Very Good</t>
  </si>
  <si>
    <t>Samsung Galaxy Z Flip 3 | 256GB | Android | 5G | Creame | Unlocked | Good</t>
  </si>
  <si>
    <t>Samsung Galaxy Z Flip3 5G 128GB 256GB Mixed Colours Unlocked Good Condition</t>
  </si>
  <si>
    <t>Samsung Galaxy XCover 5 64G SIMFree Enterprise Edition Rugged Smartphone - Black</t>
  </si>
  <si>
    <t>Sony Xperia 5 II 6.1" Smartphone 8GB RAM 5G SIM Free 128GB Blue</t>
  </si>
  <si>
    <t>Apple iPhone XS - UNLOCKED - 64/256/512GB - All Colours - Very Good Condition</t>
  </si>
  <si>
    <t>OPPO Find X3 Pro 12GB RAM  256GB Storage 5G (Dual SIM)  6.7"  Unlocked Black</t>
  </si>
  <si>
    <t>Samsung Galaxy S10e - 128GB - Prism Green (Unlocked) - Excellent Condition</t>
  </si>
  <si>
    <t>SAMSUNG GALAXY J56 J5 2016 (J510) 16GB, BLACK - UNLOCKED - VERY GOOD REFURBISHED</t>
  </si>
  <si>
    <t>Samsung Galaxy S20 SM-G980F 128GB 8GB Smartphone Mobile Unlocked VERY GOOD=</t>
  </si>
  <si>
    <t>Apple iPhone XS | 64GB 256GB 512GB | Unlocked | Gold Silver Space Grey</t>
  </si>
  <si>
    <t>Samsung Galaxy S20 FE 4G SM-G780F 128GB 6GB 12MP Smartphone Unlocked VERY GOOD=</t>
  </si>
  <si>
    <t>Apple iPhone 7 - 32GB/128GB/256&lt;wbr/&gt;GB - All Colours - Network Unlocked - Excellent</t>
  </si>
  <si>
    <t>Samsung Galaxy S5 16GB SM-G900F Unlocked 4G LTE  Android Phone Excellent Device</t>
  </si>
  <si>
    <t>Apple MGMK3B/A iPhone 12 Pro 5G iOS Smartphone 128GB Sim-Free - *Graphite* B</t>
  </si>
  <si>
    <t>Huawei P8 Lite 16GB Unlocked Black/Gold/Ros&lt;wbr/&gt;e Gold/White Very Good Condition</t>
  </si>
  <si>
    <t>Samsung S21 Ultra 5G | 512GB | Android | Phantom Silver | Unlocked | Good</t>
  </si>
  <si>
    <t>Samsung Galaxy S21 5G SM-G991B 128GB 8GB Smartphone Phantom Grey Unlocked GOOD{</t>
  </si>
  <si>
    <t>Apple iPhone 12 6.1'' 5G Smartphone 64GB Unlocked Dual-Sim - *Black* D</t>
  </si>
  <si>
    <t>Samsung Galaxy Z Flip 3 5G Foldable Smartphone SIM Free 256GB Phantom C Grade</t>
  </si>
  <si>
    <t>GOOGLE PIXEL 2 (G011A) 64GB WHITE - UNLOCKED VERY GOOD REFURBISHED</t>
  </si>
  <si>
    <t>SAMSUNG GALAXY A52S 5G 128GB/6GB AWESOMEBLACK DUAL SIM UNLOCKED CERTIFIED REFURB</t>
  </si>
  <si>
    <t>Apple iPhone 14 Plus 6.7'' 5G Smartphone 128GB Unlocked Sim-Free (Midnight) B+</t>
  </si>
  <si>
    <t>Boxed Pristine Samsung Galaxy S21 5G Unlocked SM-G991B/DS 128GB Phantom Violet</t>
  </si>
  <si>
    <t>Samsung Galaxy S20 Plus 5G 128GB 256GB Black Grey Blue White Unlocked Excellent</t>
  </si>
  <si>
    <t>OPPO Reno4 Pro 5G -256 GB-Blue Smartphone Ref: Z772</t>
  </si>
  <si>
    <t>Samsung Galaxy Z Flip3 5G Unlocked Smartphone 128GB 6.7" - Phantom Black C+</t>
  </si>
  <si>
    <t>Google Pixel 2 64GB Android Factory Unlocked Pristine Smartphone Grade A+</t>
  </si>
  <si>
    <t>Motorola Moto G7 - 64GB - Black / White - Unlocked - Good Condition</t>
  </si>
  <si>
    <t>DUAL SIM Samsung Galaxy S10 SM-G973 128GB Mobile Smartphone Unlocked SIM FREEUK</t>
  </si>
  <si>
    <t>Apple iPhone 11 Pro Max, 512GB , Unlocked, Midnight Green - Good Condition</t>
  </si>
  <si>
    <r>
      <t>Samsung Galaxy S7 G930F 32GB Black White Gold Silver Rose Unlocked - GOOD</t>
    </r>
    <r>
      <rPr>
        <sz val="10"/>
        <color rgb="FF000000"/>
        <rFont val="Apple Color Emoji"/>
      </rPr>
      <t>⭐</t>
    </r>
  </si>
  <si>
    <t>Samsung Galaxy A71 128GB Unlocked, All Colours " Excellent "Amazing Deal 10% OFF</t>
  </si>
  <si>
    <t>Samsung Galaxy S10e - 128GB - Canary Yellow - Unlocked - Dual SIM - Excellent A*</t>
  </si>
  <si>
    <t>Samsung Galaxy Z Fold3 5G  - 256GB - Phantom Silver (Unlocked)</t>
  </si>
  <si>
    <t>Apple iPhone 13 Pro-128/256/51&lt;wbr/&gt;2/1000GB-All Colours-Unlock&lt;wbr/&gt;ed-Good Condition</t>
  </si>
  <si>
    <t>Samsung Galaxy S20 FE 4G SM-G780F 128GB 6GB Smartphone Cloud Navy Unlocked GOOD{</t>
  </si>
  <si>
    <t>OnePlus 8T 128GB 256GB Green Silver Cyberpunk Unlocked Mobile Phone Excellent</t>
  </si>
  <si>
    <t>Samsung Galaxy Note 9 SM-N960F 128GB 6GB Mobile Ocean Blue Unlocked VERY GOOD{</t>
  </si>
  <si>
    <t>Galaxy S3 16GB White Dual SIM Android (Unlocked) Excellent Smartphone</t>
  </si>
  <si>
    <t>Apple iPhone 11 Pro Max 64GB Space Grey (Unlocked) Smartphone, Very Good</t>
  </si>
  <si>
    <t>Samsung Galaxy A13 6.6'' Smartphone 64GB Unlocked Dual-Sim - [Light Blue] C+</t>
  </si>
  <si>
    <t>Samsung Galaxy Note 5 64GB Black Single SIM Android (Unlocked) Smartphone</t>
  </si>
  <si>
    <t>Samsung Galaxy S22 Ultra 6.8'' 5G Smartphone 8GB RAM 128GB Unlocked Burgundy B+</t>
  </si>
  <si>
    <t>Dual Sim Samsung Galaxy 20 4G Grey (Unlocked) Smartphone +12 Months waranty</t>
  </si>
  <si>
    <t>Apple MPXV3ZD/A iPhone 14 Pro 5G Smartphone 128GB Unlocked - Space Black D</t>
  </si>
  <si>
    <t>Samsung Galaxy A52s 5G SM-A528B 128GB 4GB Smartphone Awesome Mint Unlocked GOOD{</t>
  </si>
  <si>
    <t>Apple iPhone 11 64GB  A2221  Purple Unlocked Boxed UK 1 year Warranty Grade A</t>
  </si>
  <si>
    <t>Refurbished Motorola Edge 20 Pro Midnight Blue 6.7" 256GB 5G Unloc A1/PANY0005GB</t>
  </si>
  <si>
    <t>Huawei P8 Lite 2017 16GB Unlocked 4G LTE Android Smartphone Excellent Device</t>
  </si>
  <si>
    <t>Apple iPhone 12 64GB 128GB 256GB - Black Unlocked - Extra 15% CODE OFF - GOOD B</t>
  </si>
  <si>
    <t>Apple iPhone 11 Pro, 64GB Gold - (Unlocked) Smartphone *Excellent*</t>
  </si>
  <si>
    <t>Apple iPhone 11 Pro 512GB 256GB 64GB Unlocked Gray Green Gold Silver-Good</t>
  </si>
  <si>
    <r>
      <t>Samsung Galaxy S7 G930F 32GB Black White Gold Silver Rose Unlocked Very Good</t>
    </r>
    <r>
      <rPr>
        <sz val="10"/>
        <color rgb="FF000000"/>
        <rFont val="Apple Color Emoji"/>
      </rPr>
      <t>⭐</t>
    </r>
  </si>
  <si>
    <t>SAMSUNG GALAXY A30s 64GB DUAL SIM 4GB RAM 25MP 6.4" UNLOCKED</t>
  </si>
  <si>
    <t>Apple iPhone 8 64GB 256GB Unlocked Smartphone pristine 12 Months Warranty +CHRG</t>
  </si>
  <si>
    <t>Apple iPhone 12 Pro, 512GB, Pacific Blue, Unlocked - Good Condition</t>
  </si>
  <si>
    <t>Apple MQ3D2B/A iPhone 6 4G Smartphone 32GB Unlocked Space Grey (No Accessories)C</t>
  </si>
  <si>
    <t>Apple MMXH3B/A iPhone SE 5G 4.7" Smartphone 64GB Unlocked SIM-Free 2022 Red B</t>
  </si>
  <si>
    <t>Apple MJNM3B/A iPhone 12 6.1" 5G Smartphone 64GB 4GB RAM Unlocked Purple C</t>
  </si>
  <si>
    <t>Samsung Galaxy S20+ Plus 5G SM-G986B 128GB/12GB Aura Red Unlocked VERY GOOD</t>
  </si>
  <si>
    <t>Huawei P30 Lite Dual SIM 128GB Unlocked Blue, Crystal, White Android | Excellent</t>
  </si>
  <si>
    <t>IMO Q5 5.5" SIM-Free Smartphone 4G 16GB Unlocked - Midnight Blue B+</t>
  </si>
  <si>
    <t>Apple iPhone SE 2020 4.7'' 4G Smartphone 64GB Unlocked Dual-Sim - *Black* D</t>
  </si>
  <si>
    <t>Apple iPhone 11 64GB Unlocked White, 12M Warranty, VERY GOOD, 15% OFF, BUY NOW!!</t>
  </si>
  <si>
    <t>Apple ME433B/A iPhone 5s 4G 4" Smartphone 16GB - Silver (No Accs/Discolour&lt;wbr/&gt;ed) C</t>
  </si>
  <si>
    <t>Samsung Galaxy S10e SM-G970F 128GB 6GB Mobile Prism White Unlocked VERY GOOD{</t>
  </si>
  <si>
    <t>Apple iPhone 5S 16GB Silver UNLOCKED 4G LTE Smartphone Very Good</t>
  </si>
  <si>
    <t>Samsung Galaxy A50 A505FN/DS DUAL SIM 64/128/256GB Unlocked Good Condition</t>
  </si>
  <si>
    <t>SAMSUNG GALAXY S8 G950 G950F 64GB Smartphone -Very Good Condition</t>
  </si>
  <si>
    <t>Samsung Galaxy S10 5G SM-G977B 256/512GB Unlocked Grade A+ Excellent Condition</t>
  </si>
  <si>
    <t>Apple iPhone 14 6.1" 5G iOS Smartphone 128GB Unlocked SIM-Free - {Midnight} C</t>
  </si>
  <si>
    <t>Apple iPhone 7 32GB | Silver | Unlocked | Refurbished (Excellent)</t>
  </si>
  <si>
    <t>Refurbished Apple iPhone 11 Pro Max Gold 6.5" 64GB 4G Unlocked &amp;  A3/MWHG2B/A/MV</t>
  </si>
  <si>
    <t>Samsung Galaxy Z Flip | 256GB | Black | Unlocked | Good Cond</t>
  </si>
  <si>
    <t>Apple iPhone 11 Pro A2215 64GB 4GB Smartphone Mobile Space Grey Unlocked GOOD{</t>
  </si>
  <si>
    <t>Huawei Y6 2018 16GB Unlocked Black Blue Android Smartphone Mobile | Very Good</t>
  </si>
  <si>
    <t>Apple iPhone 14 6.1'' 5G Smartphone 128GB Unlocked SIM-Free - {Product Red} C</t>
  </si>
  <si>
    <t>Samsung Galaxy Z Fold 3 5G 256gb Android Smartphone Unlocked Phantom Green</t>
  </si>
  <si>
    <t>Samsung Galaxy S21 5G | Unlocked | All Colours | 256 GB | Good Condition</t>
  </si>
  <si>
    <t>Samsung Galaxy S10 SM-G973F/DS - 128GB - Prism White (Unlocked) (Dual SIM) Smar</t>
  </si>
  <si>
    <t>Apple iPhone 13 Pro 6.1" Smartphone 128GB SIM-Free Unlocked - Alpine Green C</t>
  </si>
  <si>
    <t>OnePlus 6T - 128GB 256GB - All Colours - Unlocked - Smartphone - Good Condition</t>
  </si>
  <si>
    <t>OnePlus 7T Pro 6.67" Smartphone Android SIM-Free Unlocked 256GB Storage C Grade</t>
  </si>
  <si>
    <t>Apple iPhone 14 Pro A2890 128GB 6GB 48MP Smartphone Mobile Unlocked VERY GOOD=</t>
  </si>
  <si>
    <t>Apple iPhone 14 Pro Max 6.7'' 5G Smartphone 128GB Unlocked - *Space Black* B</t>
  </si>
  <si>
    <t>Huawei Honor 10 Lite 64GB Unlocked All Colours Good Condition</t>
  </si>
  <si>
    <t>Apple MQ1F3ZD/A iPhone 14 Pro 5G 6.1" Smartphone 256GB Unlocked Deep Purple B+</t>
  </si>
  <si>
    <t>Apple iPhone 7 128GB | Red | Unlocked | Refurbished (Good)</t>
  </si>
  <si>
    <t>Refurbished Apple iPhone 11 Black 6.1" 256GB 4G Unlocked &amp; SIM Fr A3/MWM72B/A/MV</t>
  </si>
  <si>
    <t>Samsung Galaxy S21 Plus, 5G, 128GB, Phantom Violet, Unlocked - Fair Condition</t>
  </si>
  <si>
    <t>Samsung Galaxy S20+ Plus 5G 128GB Dual Sim Unlocked All Colours *Very GOOD*</t>
  </si>
  <si>
    <t>Apple iPhone 12 A2403 64GB 4GB 12MP Smartphone Mobile Green Unlocked GOOD{</t>
  </si>
  <si>
    <t>Apple iPhone 11 White (Unlocked), 64GB Smartphone Excellent Condition</t>
  </si>
  <si>
    <t>Samsung Galaxy S21 Ultra 5G DualSim 128GB Unlocked Phantom Silver GOOD CONDITION</t>
  </si>
  <si>
    <t>Samsung Galaxy S10 128GB Unlocked Android Smartphone Dual Sim SM-G973F/DS</t>
  </si>
  <si>
    <t>Apple iPhone XS Max 64GB 256GB 512GB  Unlocked All Colours - Very Good Condition</t>
  </si>
  <si>
    <t>Google Pixel 6 GB7N6 128GB 50MP Smartphone Sorta Seafoam Unlocked VERY GOOD{</t>
  </si>
  <si>
    <t>2022 Apple iPhone SE iOS 4.7" 5G SIM Free 256GB Starlight</t>
  </si>
  <si>
    <t>GOOGLE PIXEL 4XL 64GB 128GB BLACK | WHITE UNLOCKED ANDROID - EXCELLENT CONDITION</t>
  </si>
  <si>
    <t>Samsung Galaxy S20 5G SM-G981B 128GB 8GB 64MP Mobile Cloud Blue Unlocked GOOD{</t>
  </si>
  <si>
    <t>Huawei P30 Lite - 128GB - Midnight Black - EE - Good Condition</t>
  </si>
  <si>
    <t>Apple iPhone XR-UNLOCKED-64&lt;wbr/&gt;/128/256GB-IOS&lt;wbr/&gt;-ALL COLOURS-Very Good Condition</t>
  </si>
  <si>
    <t>Apple iPhone 14 6.1'' 5G Smartphone 128GB Unlocked SIM-Free - *Product Red* B</t>
  </si>
  <si>
    <t>Apple MPVN3ZD/A iPhone 14 5G 6.1'' Smartphone 128GB Unlocked SIM-Free - Blue B</t>
  </si>
  <si>
    <t>Apple iPhone 7 Plus 128GB | Red | Unlocked | Refurbished (Good)</t>
  </si>
  <si>
    <t>Nokia Lumia 735 8GB 1GB RAM Unlocked Smartphone - Green Very good</t>
  </si>
  <si>
    <t>Xiaomi Poco X3 Pro - Smartphone 256GB, 8GB RAM, Dual Sim, Phantom Black</t>
  </si>
  <si>
    <t>Google Pixel 6 Pro GLUOG 128GB 50MP Smartphone Stormy Black Unlocked VERY GOOD#</t>
  </si>
  <si>
    <t>Refurbished Google Pixel 6 Pro Cloudy White 6.7" 128GB 5G Unloc A3/GA03165-GB/&lt;wbr/&gt;MV</t>
  </si>
  <si>
    <t>Samsung Galaxy J3 2016 8GB Black | Refurbished (Excellent)</t>
  </si>
  <si>
    <t>SAMSUNG Z FLIP 3 5G - 128GB - VARIOUS COLOURS - EXCELLENT</t>
  </si>
  <si>
    <t>Samsung Galaxy Z Flip3 5G 256GB Unlocked - Green</t>
  </si>
  <si>
    <t>Huawei P30 Pro 4G 128GB 8GB RAM Android Unlocked All Colours **GOOD CONDITION**</t>
  </si>
  <si>
    <t>Apple iPhone 14 Plus 5G iOS Smartphone 128GB Unlocked SIM-Free - {Purple} C</t>
  </si>
  <si>
    <t>Apple iPhone 14 Pro 5G Smartphone 256GB Unlocked SIM-Free - (Space Black) B+</t>
  </si>
  <si>
    <t>Samsung A70 128gb 4G LTE Android Smartphone Unlocked Blue</t>
  </si>
  <si>
    <t>Apple iPhone 14 - 128GB Purple - Unlocked SIM FREE - 100% BH - Apple Warranty!</t>
  </si>
  <si>
    <t>Huawei P Smart 2020 128gb 4G LTE Android Smartphone Unlocked Blue</t>
  </si>
  <si>
    <t>Apple iPhone 7 32GB | Silver | Unlocked | Refurbished (Good)</t>
  </si>
  <si>
    <t>Samsung Galaxy S20 SM-G980F 128GB 8GB 64MP Smartphone Mobile Unlocked GOOD=</t>
  </si>
  <si>
    <t>Samsung Galaxy S21 5G 128GB/256GB Unlocked All Colour UK Model- Very Good</t>
  </si>
  <si>
    <t>Apple iPhone 13 5G 6.1" Smart Phone 128GB Unlocked Sim-Free - [Midnight] C+</t>
  </si>
  <si>
    <t>Samsung S20 - 128GB - Cosmic Grey - 12 Month Warranty - Pristine Refurbished</t>
  </si>
  <si>
    <t>Apple iPhone 7, 32GB, Black, Unlocked - Fair Condition</t>
  </si>
  <si>
    <t>Apple iPhone 7 Plus - 32GB 128GB 256GB - Unlocked Smartphone - Good Condition</t>
  </si>
  <si>
    <t>Apple iPhone 12 Pro Max 128GB/256GB/51&lt;wbr/&gt;2-ALL COLOURS-UNLOCK&lt;wbr/&gt;ED-EXCELLENT CONDITION</t>
  </si>
  <si>
    <t>Google Pixel 2 - 64GB - Black White Blue Android Smartphone Unlocked Mint UK</t>
  </si>
  <si>
    <t>Apple iPhone 11 64GB Unlocked Green Smartphone - 12M Warranty - Good Condition</t>
  </si>
  <si>
    <t>Samsung Galaxy S22+ Plus 5G S906B/DS 128GB Dual SIM Unlocked Very Good Condition</t>
  </si>
  <si>
    <t>Samsung Galaxy S20 Dual Sim-UNLOCKED-1&lt;wbr/&gt;28/256GB-ANDRO&lt;wbr/&gt;ID-ALL COLOURS-Excell&lt;wbr/&gt;ent</t>
  </si>
  <si>
    <t>Samsung J3 2017 16GB Gold Unlocked</t>
  </si>
  <si>
    <t>Samsung Galaxy S20 FE 4G SM-G780F 128GB 6GB 12MP Smartphone Unlocked EXCELLENT=</t>
  </si>
  <si>
    <t>Apple iPhone 11 All Sizes All Colours 12M Warranty  Unlocked Very Good Condition</t>
  </si>
  <si>
    <t>Apple iPhone 5S ME432B/A 4G Smartphone 16GB Unlocked Space Grey (No Accs) D</t>
  </si>
  <si>
    <t>Samsung S21 Ultra 5G Phantom Black 128GB Excellent</t>
  </si>
  <si>
    <t>Apple iPhone 11 64GB Unlocked Green - 12M UK Warranty - Very Good &amp; 15% OFF</t>
  </si>
  <si>
    <t>Samsung Galaxy S21+ Plus 5G Dual SIM 128GB 256GB Unlocked Smartphone | Very Good</t>
  </si>
  <si>
    <t>Huawei P30 - 128GB - All Colours - Unlocked - Good Condition</t>
  </si>
  <si>
    <t>Oppo Reno2 Z 128GB 256GB Sky White Luminous Black Mobile Unlocked Excellent</t>
  </si>
  <si>
    <t>Apple iPhone 12 Pro 128GB 256GB 512GB Unlocked Blue- Good - Sim Option</t>
  </si>
  <si>
    <t>Apple iPhone SE 2020 2nd Gen - All GB &amp; Colours - 12 Months Warranty - Very Good</t>
  </si>
  <si>
    <t>Samsung S21+ All Sizes All Colours 12M Warranty Unlocked - Very Good Condition</t>
  </si>
  <si>
    <t>Samsung Galaxy Z Fold3 5G | Unlocked | All Colours | Good Condition</t>
  </si>
  <si>
    <t>Excellent Condition Samsung Galaxy S5 SM-G900F -16GB Black (Unlocked) Smartphone</t>
  </si>
  <si>
    <t>Apple iPhone XS iOS 5.8" OLED Screen 4G LTE SIM Free 64GB Silver B Grade</t>
  </si>
  <si>
    <t>Apple iPhone XS 256GB Sim Free Unlocked iOS Smartphone, Gold - Excellent A+</t>
  </si>
  <si>
    <t>Apple iPhone 12 Pro 256GB 128GB 512GB Unlocked Graphite Gold Blue Silver-Good</t>
  </si>
  <si>
    <t>Samsung Galaxy Z Flip4 5G Smartphone 128GB Unlocked SIM-Free - {Graphite} C</t>
  </si>
  <si>
    <t>Apple iPhone 12 Pro UNLOCKED - 128/256/512GB - All Colours - Excellent Condition</t>
  </si>
  <si>
    <t>Apple MHDC3B/A iPhone 11 4G 6.1'' Smartphone 64GB Sim-Free Unlocked *White* B</t>
  </si>
  <si>
    <t>Samsung Galaxy A8 2018 32GB Dual SIM,Unlocked Black,Gray,Gol&lt;wbr/&gt;d 1 Yr Warranty-Good</t>
  </si>
  <si>
    <t>OnePlus 7 Pro 4G GM1913 256GB 8GB 48MP Mobile Nebula Blue Unlocked VERY GOOD{</t>
  </si>
  <si>
    <t>Samsung Galaxy S10e 128GB All Colours Unlocked UK *BRAND NEW* Just BOX OPEN</t>
  </si>
  <si>
    <t>MOTOROLA EDGE 20 XT2143-1 128GB 8GB WHITE DUAL SIM UNLOCKED CERTIFIED REFURB</t>
  </si>
  <si>
    <t>SAMSUNG GALAXY S21 5G 128GB/256GB Dual Sim Android All Colours *GOOD CONDITION**</t>
  </si>
  <si>
    <t>Huawei P20 Pro (Dual Sim) Grade A</t>
  </si>
  <si>
    <t>Refurbished Apple iPhone 12 Black 6.1" 64GB 5G Unlocked &amp; SIM Fre A3/MGJ53B/A/MV</t>
  </si>
  <si>
    <t>Huawei P Smart 2019 4G LTE Android Smartphone Unlocked Blue</t>
  </si>
  <si>
    <t>SAMSUNG GALAXY J5 2015 J500FN - 8GB - VARIOUS COLOURS - UNLOCKED - EXCELLENT</t>
  </si>
  <si>
    <t>Samsung Galaxy S21+ Plus 5G SM-G996B 128GB 8GB 64MP Silver Unlocked VERY GOOD{</t>
  </si>
  <si>
    <t>Samsung Galaxy Z Flip4 5G Smartphone 128GB Dual-SIM Unlocked - *Blue* B</t>
  </si>
  <si>
    <t>Samsung S20 FE 4G 128gb Android Smartphone Unlocked Navy</t>
  </si>
  <si>
    <t>Apple iPhone 14 128gb - Excellent - Unlocked, 100% Batt Health</t>
  </si>
  <si>
    <t>LG Nexus 5X 16GB 32GB Carbon Quartz Ice Unlocked Smartphone Android Excellent</t>
  </si>
  <si>
    <t>Apple iPhone 12 64GB Unlocked White - Extra 15% CODE OFF - VERY GOOD A</t>
  </si>
  <si>
    <t>Apple iPhone 12 Mini, 64GB, Blue, Unlocked - Good Condition</t>
  </si>
  <si>
    <t>Google Pixel 4 64GB 128GB Unlocked White,Black,Or&lt;wbr/&gt;ange Very Good Condition</t>
  </si>
  <si>
    <t>Samsung Galaxy A52s 5G SM-A528B/DS "DUAL SIM" 128GB Unlocked Good Condition</t>
  </si>
  <si>
    <t>Oppo Find X2 - 128GB 8GB RAM - 48MP Camera - Black - Unlocked - Very Good</t>
  </si>
  <si>
    <t>Samsung Galaxy Z Flip4 5G Smartphone 128GB Unlocked SIM-Free - [Graphite] C+</t>
  </si>
  <si>
    <t>Apple iPhone 11 - 64GB - Black (Unlocked) A2221 (CDMA + GSM)</t>
  </si>
  <si>
    <t>Samsung Galaxy A22 5G 64GB | Black | Unlocked (Dual Sim) | Refurbished (Excel...</t>
  </si>
  <si>
    <t>Apple iPhone 12 Pro 128GB (A2407) Unlocked iOS Smartphone,Gra&lt;wbr/&gt;phite - Very Good</t>
  </si>
  <si>
    <t>Apple iPhone 14 Pro Max 5G 6.7'' Smartphone 1TB SIM-Free Unlocked - (Gold) B+</t>
  </si>
  <si>
    <t>Apple iPhone 11 ProMax 64GB 256GB 512GB Unlocked All Colours Excellent Condition</t>
  </si>
  <si>
    <t>Oneplus 7T HD1903 128GB 8GB Smartphone Mobile Frosted Silver Unlocked GOOD{</t>
  </si>
  <si>
    <t>Samsung Galaxy S20 Plus 5G 128GB All Colours Unlocked Good</t>
  </si>
  <si>
    <t>Ulefone</t>
  </si>
  <si>
    <t>Ulefone Note 7P 4G Android Smartphone 6.1" 3GB RAM 32GB Storage, Gold, VERY GOOD</t>
  </si>
  <si>
    <t>Samsung Galaxy S9 SM-G960F 64GB 4GB 12MP Smartphone Mobile Unlocked VERY GOOD=</t>
  </si>
  <si>
    <t>Google Pixel 4a 5G 128GB | Just Black | Unlocked | Refurbished (Good)</t>
  </si>
  <si>
    <t>Samsung A20e A202F 4G LTE Android Smartphone Unlocked Black</t>
  </si>
  <si>
    <t>Samsung Galaxy S20 SM-G980F 128GB 64MP Smartphone Grey/Blue Unlocked VERY GOOD,.</t>
  </si>
  <si>
    <t>TCL 306 6.5'' 4G Android Smartphone 32GB Unlocked - Blue (Cracked Sceen) B</t>
  </si>
  <si>
    <t>Apple iPhone 6 - 32GB - Space Grey (Unlocked) Very Good Condition</t>
  </si>
  <si>
    <t>Apple iPhone 14 Pro Max 6.7'' 5G Smartphone 128GB Unlocked - (Space Black) B+</t>
  </si>
  <si>
    <t>Samsung Galaxy S21 5G SM-G991B 128GB 8GB 64MP Smartphone Mobile Unlocked GOOD=</t>
  </si>
  <si>
    <t>Samsung Galaxy S20 4G/5G 128GB All Colours Unlocked Android Phone UK Model -GOOD</t>
  </si>
  <si>
    <t>Samsung Galaxy S10 SM-G973F 128GB 8GB Smartphone Mobile Unlocked VERY GOOD=</t>
  </si>
  <si>
    <t>SAMSUNG S20 FE 4G/5G 128/256GB VARIOUS COLOURS DUAL SIM UNLOCKED EXCELLENT</t>
  </si>
  <si>
    <t>Samsung Galaxy Z Flip4 5G Smartphone 128GB Dual-Sim Unlocked - [Bora Purple] C+</t>
  </si>
  <si>
    <t>Apple iPhone 8 - 64GB/ 256GB - All Colours - Unlocked - Excellent Condition</t>
  </si>
  <si>
    <t>Apple iPhone 11 Pro 64GB 256GB 512GB  With Accessories Good</t>
  </si>
  <si>
    <t>Google Pixel 5 5G 128GB Unlocked Smartphone - Just Black - Very Good &amp; 15% OFF</t>
  </si>
  <si>
    <t>Apple iPhone XS Max - 64GB 256GB 512GB - Very Good Condition - 12months Warranty</t>
  </si>
  <si>
    <t>Samsung Galaxy A51 128GB DUOS 4GB 48MP 6.5" Unlocked ***VERY GOOD CONDITION***</t>
  </si>
  <si>
    <t>Apple iPhone 11 Pro 64GB Unlocked Smartphone Gold - 12M UK Warranty - Excellent</t>
  </si>
  <si>
    <t>Samsung Galaxy A3 2015 16GB SM-A300FU Unlocked Android Phone Excellent Device</t>
  </si>
  <si>
    <t>Samsung Galaxy Z Flip4 6.7” 5G Smartphone 128GB Unlocked - {Graphite} C</t>
  </si>
  <si>
    <t>Apple iPhone 7 32GB -128GB Black Silver iOS Unlocked - Very Good Condition</t>
  </si>
  <si>
    <t>Samsung Galaxy A13 64GB | White | Unlocked (Dual Sim) | Refurbished (Good)</t>
  </si>
  <si>
    <t>Samsung Galaxy S9 Plus | Unlocked | All Colours | Very Good Condition</t>
  </si>
  <si>
    <t>Samsung Galaxy S10 Lite SM-G770F/DS 128GB Unlocked Very Good Condition</t>
  </si>
  <si>
    <t>Apple iPhone 7 PLUS - 32/128/256GB -All Colours- UNLOCKED - GOOD</t>
  </si>
  <si>
    <t>Samsung Galaxy A41 64GB Unlocked Smartphone, All Colors- VERY GOOD A</t>
  </si>
  <si>
    <t>Samsung Galaxy Z Flip3 5G 128GB 256GB Black Green Lilac White Unlocked Very Good</t>
  </si>
  <si>
    <t>Google Pixel 7 Pro GP4BC 128GB 12GB 50MP Mobile Obsidian Unlocked EXCELLENT{</t>
  </si>
  <si>
    <t>Samsung Galaxy S20 FE 5G Dual Sim-UNLOCKED-1&lt;wbr/&gt;28/256GB-ALL COLOURS-Very Good</t>
  </si>
  <si>
    <t>Google Pixel 3 XL G013C 64GB 4GB 12MP Camera Smartphone Mobile Unlocked GOOD=</t>
  </si>
  <si>
    <t>Apple iPhone 13 Pro 128GB 256GB 512GB Graphite Gold Silver Unlocked Very Good</t>
  </si>
  <si>
    <t>Samsung Galaxy Z Flip3 5G 128GB 256GB Black Lavender White Unlocked Excellent</t>
  </si>
  <si>
    <t>Samsung Galaxy Note8 - 128GB - Midnight Black - Unlocked - Very Good Condition</t>
  </si>
  <si>
    <t>Xiaomi Redmi Note 9 64GB Midnight Grey - Unlocked - Good Condition</t>
  </si>
  <si>
    <t>Apple iPhone 11 Pro Max, 256GB , Unlocked, Space Grey - Good Condition</t>
  </si>
  <si>
    <t>Apple iPhone 11 Pro 64GB 256GB 512GB Unlocked Smartphone UK - Good Condition</t>
  </si>
  <si>
    <t>Apple iPhone 11 Pro Max 64GB 256GB 512GB Unlocked - Extra 15% CODE OFF - GOOD B+</t>
  </si>
  <si>
    <t>NOKIA 6230i CATH KIDSTON PINK CAMERA PHONE 7 MONTH WARRANTY – EXPERT SELLER</t>
  </si>
  <si>
    <t>Tcl 306 Dual-Sim Unlocked 32GB Smartphone &amp; Earbuds Bundle - *Space Grey* B</t>
  </si>
  <si>
    <t>OPPO A54s  4GBRAM 128GB storage Dual Nano SIM 6.52" 4G Black factory Unlocked./</t>
  </si>
  <si>
    <t>Samsung Galaxy S21+ Plus 5G SM-G996B 128GB 8GB Phantom Black Unlocked VERY GOOD{</t>
  </si>
  <si>
    <t>Huawei P30 - 128GB - All Colours - Unlocked - Excellent Condition</t>
  </si>
  <si>
    <t>Apple iPhone 13 Pro 5G 6.1" Smartphone 128GB 6GB RAM SIM-Free - (Graphite) C</t>
  </si>
  <si>
    <t>Motorola Moto G4 16GB Black (Unlocked) Smartphone Very Good Condition</t>
  </si>
  <si>
    <t>OnePlus Six 6 Dual-SIM 64GB 128GB 256GB - Black White Red Unlocked Very Good</t>
  </si>
  <si>
    <t>IMO Q5 5.5" SIM-Free Smartphone 4G 16GB Unlocked - Midnight Blue B</t>
  </si>
  <si>
    <t>Samsung S22 All Colours  All Sizes  12M Warranty - Unlocked Very Good Condition</t>
  </si>
  <si>
    <t>Apple iPhone 6s Plus 32GB | Space Grey | Unlocked | Refurbished (Very Good)</t>
  </si>
  <si>
    <t>Apple iPhone 14 Plus 128GB 256GB 512GB Black Purple Blue Red Unlocked Very Good</t>
  </si>
  <si>
    <t>Samsung Galaxy A6 2018 32GB | Black | Unlocked | Refurbished (Good)</t>
  </si>
  <si>
    <t>Samsung Galaxy S20 - 128GB - All Colours - Unlocked - Excellent</t>
  </si>
  <si>
    <t>Motorola Moto XT1622 G4 5.5" Smartphone 2GB 16GB Unlocked - Black (No Accs) C</t>
  </si>
  <si>
    <t>Apple MPX93ZD/A iPhone 14 6.1'' 5G Smartphone 512GB Unlocked SIM-Free Purple B</t>
  </si>
  <si>
    <t>Apple iPhone 12 Pro Max UNLOCKED 128/256/512GB- All Colours- Very Good Condition</t>
  </si>
  <si>
    <t>Samsung Galaxy Z Flip4 5G Smartphone 128GB Dual-SIM Unlocked - {Blue} C</t>
  </si>
  <si>
    <t>Apple iPhone SE - 16GB 32GB - Space Grey | Refurbished | 1 year warranty</t>
  </si>
  <si>
    <t>Samsung Galaxy S20+ 5G SM-G986B 128GB/12GB Cosmic Grey Unlocked VERY GOOD..</t>
  </si>
  <si>
    <t>Apple iPhone 14 5G 6.1'' SIM-Free Smartphone 128GB Unlocked - Starlight C</t>
  </si>
  <si>
    <t>Apple iPhone 7 PLUS-UNLOCKED-&lt;wbr/&gt;32/128/256GB-I&lt;wbr/&gt;OS-ALL COLOURS-Very Good Condition</t>
  </si>
  <si>
    <t>Samsung Galaxy S20+ 5G - 128GB Cosmic Grey - Unlocked Dual SIM - Good Condition!</t>
  </si>
  <si>
    <t>Apple iPhone 11 White (Unlocked) 64GB Smartphone Very Good Condition</t>
  </si>
  <si>
    <t>Apple iPhone SE (2020) 256GB Unlocked Smartphone, Red - Good &amp; 15% OFF</t>
  </si>
  <si>
    <t>Apple iPhone 14 Plus 5G 6.7'' Smartphone 256GB Unlocked Dual-Sim - *Purple* B</t>
  </si>
  <si>
    <t>Samsung Galaxy S22 Ultra 6.8'' 5G Smartphone 128GB Unlocked - (Burgundy) B+</t>
  </si>
  <si>
    <t>Refurbished Apple iPhone 11 Black 6.1" 128GB 4G Unlocked &amp; SIM Fr A3/MWM02B/A/MV</t>
  </si>
  <si>
    <t>Google Pixel 3a XL - 64GB - White Black Purple - Unlocked - Good Condition</t>
  </si>
  <si>
    <t>Apple iPhone 7 Plus 32GB Sim Free Unlocked</t>
  </si>
  <si>
    <t>SAMSUNG GALAXY J5 2017 J530F 16GB GOLD DUAL SIM UNLOCKED EXCELLENT REFURBISHED</t>
  </si>
  <si>
    <t>Refurbished Apple iPhone SE 2020 Black 4.7" 64GB 4G Unlocked &amp; SI A2/MX9R2B/A/MV</t>
  </si>
  <si>
    <t>Apple iPhone 12 Pro A2407 512GB 6GB Smartphone Mobile Graphite Unlocked GOOD{</t>
  </si>
  <si>
    <t>Apple iPhone 5S  16GB (Unlocked) GSM Smartphone - Space Grey Very Good</t>
  </si>
  <si>
    <t>Apple iPhone 8 64GB 256GB 4.70 4G All Colours Unlocked Very Good Condition</t>
  </si>
  <si>
    <t>Xiaomi 11T Pro 128GB 256GB 512GB Black Silver Blue Unlocked Android Very Good</t>
  </si>
  <si>
    <t>Apple iPhone 7 Plus 128GB | Jet Black | Unlocked | Refurbished (Good)</t>
  </si>
  <si>
    <t>Samsung Galaxy Z Fold3 5G | Unlocked | All Colours | Very Good Condition</t>
  </si>
  <si>
    <t>Pristine Apple iPhone 11 64GB Purple Unlocked - 24 Month Warranty - With Box</t>
  </si>
  <si>
    <t>Apple iPhone XS 256GB 64GB 512GB Unlocked Gold Silver Gray-VeryGood</t>
  </si>
  <si>
    <t>Apple iPhone 11 Pro 64GB, Midnight Green, (Unlocked) Smartphone Excellent</t>
  </si>
  <si>
    <t>Apple iPhone XR 64GB Unlocked Smartphone Red - Extra 15% CODE OFF - EXCELLENT A+</t>
  </si>
  <si>
    <t>Samsung Galaxy S20 FE 128GB/256GB SIM-Free Smartphone - Very Good</t>
  </si>
  <si>
    <t>Redmi</t>
  </si>
  <si>
    <t>Xiaomi Redmi Note 8T 64gb 4G Android Smartphone Unlocked Grey</t>
  </si>
  <si>
    <t>Google Pixel 6 5G 256GB,128GB Unlocked Kinda Coral,Black,So&lt;wbr/&gt;rta Seafoam-Good</t>
  </si>
  <si>
    <t>OnePlus 7T Pro HD1913 256GB Haze Blue Mclaren Edition Unlocked Very Good</t>
  </si>
  <si>
    <t>Samsung Galaxy Z Fold2 5G SM-F916B 256GB 12GB Smartphone Mobile Unlocked GOOD=</t>
  </si>
  <si>
    <t>Samsung Galaxy S20 5G - 128GB - All Colours - Excellent Condition</t>
  </si>
  <si>
    <t>Apple iPhone SE 32GB Factory 4G LTE Unlocked Smartphone All Colours Grade A</t>
  </si>
  <si>
    <t>OnePlus 7 | 256GB | Unlocked | Android | Grey | Good Condition</t>
  </si>
  <si>
    <t>Samsung Galaxy Note10 4G 256GB Dual Sim Unlocked All Colours  *GOOD CONDITION*</t>
  </si>
  <si>
    <t>Apple iPhone 5 MD297B/A 4" SIM-Free 16GB Smartphone Wi-Fi - Black (No Accs) C</t>
  </si>
  <si>
    <t>Refurbished Google Pixel 6 Pro Sorta Sunny 6.7" 128GB 5G Unlock A2/GA03166-GB/&lt;wbr/&gt;MV</t>
  </si>
  <si>
    <t>Samsung Galaxy A52 5G 128GB 256GB Black White Violet Blue Unlocked Excellent</t>
  </si>
  <si>
    <t>Apple iPhone 13 Mini 5G 5.4" SIM-Free Smartphone 128GB Unlocked - Pink B</t>
  </si>
  <si>
    <t>Apple iPhone XS 256GB Sim Free Unlocked iOS Smartphone Space Grey - Excellent A+</t>
  </si>
  <si>
    <t>Samsung A21s SM-A217F/DS DUAL SIM 32GB 64GB Unlocked Very Good Condition UK</t>
  </si>
  <si>
    <t>Samsung Galaxy Z Flip3 5G SM-F711B - 128GB - Phantom Black (Unlocked - GRADE B)</t>
  </si>
  <si>
    <t>Huawei P Smart (2019) - 64GB - Midnight Black - Unlocked - Good Condition</t>
  </si>
  <si>
    <t>Apple iPhone 5s 16GB Factory Unlocked 4G LTE Smartphone</t>
  </si>
  <si>
    <t>Apple iPhone X (iPhone 10) 64GB 256GB All Colours Unlocked Smartphone Excellent</t>
  </si>
  <si>
    <t>Apple iPhone 5c 4G 4" Smartphone 8GB Unlocked White (No Accs/Discolour&lt;wbr/&gt;ed) D</t>
  </si>
  <si>
    <t>XIAOMI MI 11 LITE 5G 128GB BLACK 8GB RAM UNLOCKED DUAL SIM EXCELLENT CONDITIONS</t>
  </si>
  <si>
    <t>GRADE B Samsung Galaxy S20 Ultra 5G SM-G988B/DS - 128GB - Cosmic Grey (Unlocked)</t>
  </si>
  <si>
    <t>Apple iPhone 12 A2403 64GB 4GB 12MP Camera Smartphone Mobile Unlocked GOOD=</t>
  </si>
  <si>
    <t>Apple iPhone 12 64GB 128GB 256GB All Colours Unlocked  Pristine</t>
  </si>
  <si>
    <t>Google Pixel 2 64GB Just Black Android Excellent (Unlocked) Smartphone</t>
  </si>
  <si>
    <t>GRADE C GOOD BOXED SAMSUNG GALAXY XCOVER PRO BLACK 64GB SM-G715FN/DS DUAL SIM</t>
  </si>
  <si>
    <t>SAMSUNG GALAXY Z FOLD2 5G 256GB 12GB 12MP 7.6" All Colours *Very GOOD CONDITION*</t>
  </si>
  <si>
    <t>Apple iPhone 11 Pro 5.8'' 4G iOS Smartphone 64GB Unlocked - [Midnight Green] C+</t>
  </si>
  <si>
    <t>Apple iPhone XS 64GB 256GB 512GB All Colours Unlocked Excellent</t>
  </si>
  <si>
    <t>Apple iPhone 12 Pro - All Sizes - All Colours - Unlocked - Grade A Condition</t>
  </si>
  <si>
    <t>Samsung Galaxy Z Flip3 5G SM-F711B - 128GB - Green (Unlocked - GRADE A)</t>
  </si>
  <si>
    <t>Huawei P Smart FIG-LX1 (2017) 32GB 64GB Black Blue Gold Rose Unlocked Excellent</t>
  </si>
  <si>
    <t>Samsung Galaxy A9 SM-A920F 2018 128GB 4G Unlocked Grade A+ Excellent Condition</t>
  </si>
  <si>
    <t>Apple iPhone 11 - 64GB - Black, Red (Unlocked)</t>
  </si>
  <si>
    <t>Blackberry Key 2 LE 64gb Android Smartphone Unlocked Grey</t>
  </si>
  <si>
    <t>Apple iPhone 8 Plus Smartphone, 64GB, Network Unlocked, Silver, A1897</t>
  </si>
  <si>
    <t>OnePlus 6 Dual SIM 128GB - Mirror Black (Unlocked) Good Condition</t>
  </si>
  <si>
    <t>Apple iPhone 6s 32GB 4.7 inch (Unlocked) Smartphone - Space Grey</t>
  </si>
  <si>
    <t>Huawei P20 EML-L09 64GB 128GB Black Blue Gold Unlocked Smartphone Very Good</t>
  </si>
  <si>
    <t>Apple MN8X2B/A iPhone 7 4G Smart Phone 32GB Unlocked Sim-Free 1YR [Black] D</t>
  </si>
  <si>
    <t>Apple iPhone 12 Mini 64GB Unlocked iOS Smartphone, White - Very Good - A</t>
  </si>
  <si>
    <t>Google Pixel 4a G025N 128GB 6GB Smartphone Mobile Just Black Unlocked VERY GOOD{</t>
  </si>
  <si>
    <t>Samsung Galaxy Note 10 256GB Unlocked Smartphone, Aura Black - VERY GOOD A</t>
  </si>
  <si>
    <t>Samsung Galaxy S20 SM-G980F 128GB 8GB Smartphone Cosmic Grey Unlocked VERY GOOD{</t>
  </si>
  <si>
    <t>Apple iPhone 14 Pro 5G 6.1'' Smartphone 256GB Unlocked SIM-Free - (Gold) B+</t>
  </si>
  <si>
    <t>Huawei P30 | 128GB | Unlocked | Android | Aurora | Good Condition</t>
  </si>
  <si>
    <t>Apple iPhone 8 - 64GB Unlocked Smartphone Very Good + 12 Months Warranty</t>
  </si>
  <si>
    <t>Apple iPhone 7 Plus A1784 128GB 3GB 12MP Smartphone Mobile Unlocked GOOD=</t>
  </si>
  <si>
    <t>Samsung Galaxy A12 64GB Unlocked Smartphones, Black -February Sale- EXCELLENT A+</t>
  </si>
  <si>
    <t>Samsung Galaxy S7 SM-G930F 32GB Unlocked Various Colour Grade Very Good Conditio</t>
  </si>
  <si>
    <t>Apple iPhone 13 Red 128GB 256GB 512GB EXCELLENT Condition Warranty 90-100% BH</t>
  </si>
  <si>
    <t>TCL 10 Pro 4G Smartphone 6GB RAM 128GB Unlocked SIM-Free Grey (No Accessories) C</t>
  </si>
  <si>
    <t>Samsung Galaxy S21 5G SM-G991B 128GB 8GB Mobile Phantom Violet Unlocked GOOD{</t>
  </si>
  <si>
    <t>Samsung Galaxy A52s 5G SM-A528B 128GB 6GB 64MP Smartphone Mobile Unlocked GOOD=</t>
  </si>
  <si>
    <t>Huawei P Smart 2019 64GB Aurora Blue | Unlocked | Refurbished (Good)</t>
  </si>
  <si>
    <t>OnePlus 8 5G IN2013 256GB Smartphone Interstellar Glow Unlocked VERY GOOD#</t>
  </si>
  <si>
    <t>SAMSUNG GALAXY A40 A41 64GB 4GB Android Unlocked Smartphone *GOOD CONDITION*</t>
  </si>
  <si>
    <t>Samsung Galaxy S20 5G SM-G981B 128GB 12GB Mobile Cosmic Grey Unlocked VERY GOOD{</t>
  </si>
  <si>
    <t>Samsung Galaxy Z Flip 3 5G 6.7" Smartphone 8GB RAM 128GB Sim-Free - {Black} C</t>
  </si>
  <si>
    <t>Apple iPhone 6 16GB 32GB 64GB 128GB Unlocked Space Grey Silver Gold | Excellent</t>
  </si>
  <si>
    <t>Apple iPhone 13 Pro Max Unlocked Smartphone 5G A15 Bionic 128GB 6.7" FHD+ OLED</t>
  </si>
  <si>
    <t>Huawei P20 Lite SingleSIM  Smartphone 4/64GB Blue</t>
  </si>
  <si>
    <t>Apple MNQM2B/A iPhone 7 Plus 4G Smartphone 32GB SIM Free Unlocked {Black} C</t>
  </si>
  <si>
    <t>Samsung Galaxy S21 FE 5G Smartphone 128GB SIM-Free Unlocked - {Lavender} C</t>
  </si>
  <si>
    <t>Apple iPhone XS A2097 64GB 4GB 12MP Smartphone Mobile Gold Unlocked VERY GOOD{</t>
  </si>
  <si>
    <t>Apple MQ083ZD/A iPhone 14 Pro 5G 6.1" Smartphone 128GB Unlocked - Gold B+</t>
  </si>
  <si>
    <t>Samsung Galaxy S10 Enterprise Edition 4G 6.1" 128GB Unlocked Sim Free SmartPhone</t>
  </si>
  <si>
    <t>SAMSUNG GALAXY J5 2017 SM-J530F 16GB BLACK UNLOCKED VERY GOOD REFURBISHED</t>
  </si>
  <si>
    <t>Apple iPhone 11 Pro Max 64GB 256GB 512GB Unlocked Grey - Very Good -Sim Option</t>
  </si>
  <si>
    <t>Samsung Galaxy Z Flip3 5G | Unlocked | All Colours | Android | All Sizes</t>
  </si>
  <si>
    <t>Samsung Galaxy A52s 5G SM-A528B 128GB Mobile Awesome Black Unlocked VERY GOOD#</t>
  </si>
  <si>
    <t>Samsung Galaxy S9 (G960U) - 64GB - All Colors - (Verizon) - Very Good Condition</t>
  </si>
  <si>
    <t>Samsung Galaxy Core Prime 8GB Black | Unlocked | Refurbished (Good)</t>
  </si>
  <si>
    <t>Samsung Galaxy A03s A037U (MetroPCS Only) 32GB Black (Good)</t>
  </si>
  <si>
    <t>Wiko</t>
  </si>
  <si>
    <t>Wiko Rainbow 4G 8GB Mixed Colours Unlocked Good Condition</t>
  </si>
  <si>
    <t>Samsung Galaxy A5 2017 Boxed SM-A520F Grade A Unlocked Black  32GB 1 yr warranty</t>
  </si>
  <si>
    <t>Samsung Galaxy Note 20 5G 128GB N981U (AT&amp;T) Locked - Excellent</t>
  </si>
  <si>
    <t>Alcatel 6060S Idol 5S Unlocked Smartphone 5.2" HD Screen, 32 GB, 8MP™</t>
  </si>
  <si>
    <t>Samsung Galaxy S21 FE 5G - Choose Carrier or Unlocked - Very Good Condition</t>
  </si>
  <si>
    <t>Motorola One 5G Ace 2021 128GB XT2113-2 Factory Unlocked - Excellent</t>
  </si>
  <si>
    <t>Samsung Galaxy S21 5G - 128GB - Phantom Gray - Boost Mobile -Very Good Condition</t>
  </si>
  <si>
    <t>Apple iPhone SE 16GB Gold (Unlocked) Excellent Smartphone</t>
  </si>
  <si>
    <t>Apple iPhone SE (3rd Gen) A2595 (US Cellular Only) 128GB Starlight (Excellent)</t>
  </si>
  <si>
    <t>OPPO A53 4GB RAM 64GB storage Dual Nano SIM 6.5" 4G Black Factory Unlock</t>
  </si>
  <si>
    <t>Sony Xperia Z5 Dual SIM E6683 32GB Unlocked — Black</t>
  </si>
  <si>
    <t>Apple iPhone 7 Plus A1661 (Fully Unlocked) 32GB Rose Gold (Excellent)</t>
  </si>
  <si>
    <t>Samsung Galaxy S21 5G - 128GB - All Colors - Sprint - Very Good Condition</t>
  </si>
  <si>
    <t>Samsung Galaxy S22 128GB Smartphone in Phantom Black SM-S901BZKDEUB</t>
  </si>
  <si>
    <t>LG K31 32GB K300QM 4G LTE Factory Unlocked - Very Good</t>
  </si>
  <si>
    <t>Apple iPhone 8 Plus - 256GB - All Colors - Fully Unlocked - Excellent Condition</t>
  </si>
  <si>
    <t>Samsung Galaxy S21 5G 128GB 256GB Grey White Violet Pink Unlocked Excellent</t>
  </si>
  <si>
    <t>Apple iPhone 7 Plus 32GB/128GB/256&lt;wbr/&gt;GB 4G LTE iOS Smartphone (Factory Unlocked)</t>
  </si>
  <si>
    <t>Google PIXEL 3A 64GB violetto viola SBLOCCATO MOLTO BUONO - RICONDIZIONATO</t>
  </si>
  <si>
    <t>OPPO RENO4 Z 5G CPH2065 BLACK DUAL SIM 128GB ROM 8GB RAM  6.57" UNLOCKED</t>
  </si>
  <si>
    <t>Samsung Galaxy A51 - 128GB - Prism Crush Black - Verizon - Excellent Condition</t>
  </si>
  <si>
    <t>Motorola Moto G5 - 16GB - Blue (Unlocked) Excellent</t>
  </si>
  <si>
    <t>Apple iPhone 12 64GB 128GB 256GB (White) Unlocked iOS SmartPhone - Excellent</t>
  </si>
  <si>
    <t>Apple iPhone 12 Mini 64GB 5G Unlocked Red - 12M UK WARRANTY - EXCELLENT 15% OFF</t>
  </si>
  <si>
    <t>OnePlus 8 128/256GB DualSIM Onyx Black,Silver,I&lt;wbr/&gt;nterstellar Glow,Green-Ver&lt;wbr/&gt;yGood</t>
  </si>
  <si>
    <t>OnePlus 7T - 128GB - Frosted Silver / Glacier Blue (Sprint) -Very Good Condition</t>
  </si>
  <si>
    <t>Motorola One 5G Ace 128GB XT2113-2 (T-Mobile) Unlocked Volcanic Gray - Excellent</t>
  </si>
  <si>
    <t>Samsung Galaxy A9 2018 128GB Dual SIM Black,Blue 1 Yr Warranty-Good</t>
  </si>
  <si>
    <t>Samsung Galaxy S21 5G - Choose Carrier or Unlocked - Good Condition</t>
  </si>
  <si>
    <t>Microsoft Lumia 650 RM-1152 Black White 16GB -12 M Warranty- Grade A Condition</t>
  </si>
  <si>
    <t>Nokia G20 (64GB/4GB, 48MP, Unlocked) - Dark Blue</t>
  </si>
  <si>
    <t>Google Pixel 6 Pro 5G 128GB White [Refurbished] - Excellent</t>
  </si>
  <si>
    <t>Motorola Moto G7 Plus - 64GB - Deep Indigo - Unlocked - Very Good Condition</t>
  </si>
  <si>
    <t>Sony Xperia M5 16GB Mixed Colours Unlocked Good Condition</t>
  </si>
  <si>
    <t>Samsung Galaxy A71 128GB A715W 4G LTE GSM Unlocked - Excellent</t>
  </si>
  <si>
    <t>Samsung Galaxy S20+ Plus 5G -  Choose Carrier or Unlocked - Excellent</t>
  </si>
  <si>
    <t>OnePlus Nord N10 5G 128GB BE2026 Factory Unlocked - Very Good</t>
  </si>
  <si>
    <t>OPPO Find X5 Lite 5G 256GB Black VF [Open Box - New]</t>
  </si>
  <si>
    <t>Huawei P30 Lite MAR-LX1A Unlocked Android Smartphone 6.15" 48MP 256GB Grade B</t>
  </si>
  <si>
    <t>Apple iPhone 8 Plus - 64GB - All Colors - AT&amp;T - Excellent Condition</t>
  </si>
  <si>
    <t>Motorola Edge 5G 256GB XT2063-2 Factory Unlocked - Very Good</t>
  </si>
  <si>
    <t>Samsung Galaxy S9 Plus 64GB - Choose Carrier or Unlocked - Very Good Condition</t>
  </si>
  <si>
    <t>Pristine Condition Nokia 8210 Various Colour (Unlocked)Very Good+ Warranty</t>
  </si>
  <si>
    <t>Samsung Galaxy Note 8 - 64GB - Various Colors - Verizon - Good Condition</t>
  </si>
  <si>
    <t>Motorola RAZR 128GB  Black Verizon XT2000-1 Flip Phone- Folding Screen Excellent</t>
  </si>
  <si>
    <t>Apple iPhone SE (3rd Gen) 5G 128GB Starlight [Refurbished] - As New</t>
  </si>
  <si>
    <t>Samsung Galaxy S20 FE SM-G780G - 128GB - Cloud Red (Unlocked)</t>
  </si>
  <si>
    <t>Samsung Galaxy A42 5G SM-A426B 128GB Prism Dot Black Unlocked to all network</t>
  </si>
  <si>
    <t>Apple iPhone 11, 128GB, Black, Unlocked - Good Condition</t>
  </si>
  <si>
    <t>Samsung Galaxy S20 Plus 5G - 128GB - Cosmic Gray - Unlocked - Good</t>
  </si>
  <si>
    <t>OnePlus 9 - UK Model - Dual SIM - Astral Black - 128GB - 8GB RAM</t>
  </si>
  <si>
    <t>Samsung Galaxy S20 FE 5G - 128GB - All Colors - Unlocked - Very Good Condition</t>
  </si>
  <si>
    <t>TCL 30 SE 4GB RAM 64 GB storage Dual Nano SIM 4G  6.52" Gray Factory Unlock</t>
  </si>
  <si>
    <t>Motorola Edge (2022) XT2205-1 - 128GB -5 G. Gray (T-Mobile Unlocked) Very Good</t>
  </si>
  <si>
    <t>Samsung Galaxy S21 5G SM-G991U - 128GB - All Colors (Boost Mobile) - Good</t>
  </si>
  <si>
    <t>Samsung Galaxy S21 5G (128GB, 8GB) 6.2" Factory Unlocked (GSM + Verizon) G991U1</t>
  </si>
  <si>
    <t>Apple iPhone 12, 128GB, Black, Unlocked - Good Condition</t>
  </si>
  <si>
    <t>Samsung Galaxy S21 5G SM-G991B 256GB 8GB 64MP Smartphone Mobile Unlocked GOOD=</t>
  </si>
  <si>
    <t>Acer / Dell / Fujitsu / HP / Lenovo / Toshiba</t>
  </si>
  <si>
    <t>FAST CHEAP INTEL CORE i3/i5 WINDOWS 10 8GB RAM 240GB SSD/500GB HDD WI-FI LAPTOP</t>
  </si>
  <si>
    <t>Microsoft Surface Pro 4 i5-6300U 8GB RAM 256GB Win10Pro (GRADE A+)</t>
  </si>
  <si>
    <t>Dell</t>
  </si>
  <si>
    <t>Cheap Fast Dell Latitude Windows 11 Laptop i3 4th - 6th Gen 16GB 256GB Blue Pink</t>
  </si>
  <si>
    <t>Laptop Dell Latitude 7480 14in 6th 7th Gen i5 i7 8GB RAM 256GB SSD FHD, VG</t>
  </si>
  <si>
    <t>Lenovo</t>
  </si>
  <si>
    <t>WINDOWS 11 Lenovo ThinkPad X250 Core i5 4GB 8GB Ram 128GB 240GB SSD Laptop</t>
  </si>
  <si>
    <t>Microsoft Surface Pro 5 Core i5 2.60GHz 8GB Ram 256GB SSD Windows 11 Tablet</t>
  </si>
  <si>
    <t>MODEL WILL VARY DEPENDING ON STOCK</t>
  </si>
  <si>
    <t>Laptop Windows 10 iseries Refurbished Laptops 4GB 8GB RAM SSD HDD Build Your Own</t>
  </si>
  <si>
    <t>Geo</t>
  </si>
  <si>
    <t>GeoBook 120 12.5" Windows 10 Laptop Intel Celeron N3450 4GB RAM 64GB eMMC Black</t>
  </si>
  <si>
    <t>Mix Brands</t>
  </si>
  <si>
    <t>CHEAP FAST Top Brand Windows 10/11 Laptop i5 4th 8GB Ram 256GB SSD/ 1TB HDD WIFI</t>
  </si>
  <si>
    <t>Different</t>
  </si>
  <si>
    <t>CHEAP FAST Top Brand Windows 10/11 Laptop i3/i5 16GB Ram 256GB SSD/ 1TB HDD WIFI</t>
  </si>
  <si>
    <t>Acer</t>
  </si>
  <si>
    <t>FAST ACER CHROMEBOOK 14 LAPTOP CHROME OS CELERON N 32GB SSD SLIM 14" HD LAPTOP</t>
  </si>
  <si>
    <t>Dell XPS 13 9370 i7-8650 Quad 13.3" Touchscreen 512GB Nvme SSD 16GB RAM Win11</t>
  </si>
  <si>
    <t>Lenovo 2 in 1 Convertible 12.5" FHD Touchscreen Intel i7 8GB RAM 256GB SSD Win11</t>
  </si>
  <si>
    <t>Dell Latitude 5470 Core i5-6200U 8GB Ram 256GB SSD Windows 11 Laptop 14"</t>
  </si>
  <si>
    <t>ACER, FUJITSU, RM, STONE, LENOVO, HP</t>
  </si>
  <si>
    <t>Mixed Brand  15.6" Laptop Options  up to i5 7th Gen 16GB 512GB Win 10. Excellent</t>
  </si>
  <si>
    <t>Dell Latitude 7250 Core i5-5300U 16GB Ram 256GB SSD Windows 10 Laptop</t>
  </si>
  <si>
    <t>Dell Latitude 7280 Core i7-6600U 16GB Ram 512GB  Windows 11 Laptop</t>
  </si>
  <si>
    <t>Cheap Dell Latitude 15.6" Laptop Up to i7 8th Gen 16Gb 512GB SSD  Win 10 11</t>
  </si>
  <si>
    <t>FAST DELL LATITUDE 12 CORE i3 7TH GEN 128GB SSD WINDOW 11 LAPTOP USB C WEBCAM HD</t>
  </si>
  <si>
    <t>Lenovo ThinkPad X1 Yoga 3rd Gen i7-8650U 16GB 512GB FHD Touch Windows 11 Laptop</t>
  </si>
  <si>
    <t>HP</t>
  </si>
  <si>
    <t>HP EliteBook 725 G3 Windows 11 Laptop AMD PRO A8 R6 8GB RAM 128GB SSD WEBCAM</t>
  </si>
  <si>
    <t>HP 820 G3 LIGHTWEIGHT LAPTOP WINDOWS 11 CORE I5 256GB SSD 8GB RAM WEBCAM USB C</t>
  </si>
  <si>
    <t>Toshiba</t>
  </si>
  <si>
    <t>Toshiba R830 laptop i5 8GB 480Gb SSD Webcam DVD CD Windows 11 Pink Purple Blue</t>
  </si>
  <si>
    <t>Lenovo ThinkPad T480s Core i7-8650U 16GB 256GB SSD FHD Windows 11 Laptop</t>
  </si>
  <si>
    <t>Microsoft Surface Pro 3 Core i5 1.90GHz 8GB Ram 256GB SSD Windows 11 Tablet</t>
  </si>
  <si>
    <t>FAST ACER CHROMEBOOK 11 N7 TOUCHSCREEN CHROME OS LAPTOP 16GB 11.5" HD SCREEN</t>
  </si>
  <si>
    <t>Intel</t>
  </si>
  <si>
    <t>Lenovo i7 Laptop Clearance. 4th to 8th gen  - Options - Grade A .</t>
  </si>
  <si>
    <t>Microsoft Surface Pro 4 Core i5 2.40GHz 4GB Ram 128GB SSD Windows 11 Tablet</t>
  </si>
  <si>
    <t>HP EliteBook x360 Core i5-7200U 16GB Ram 512GB  Windows 11 Touchscreen Laptop.</t>
  </si>
  <si>
    <t>Laptop Dell Latitude 7280 12in 6th Gen i5 i7 8GB 16GB RAM 256GB SSD Warranty, VG</t>
  </si>
  <si>
    <t>Dell Latitude 7440 Core i5-4310U 8GB Ram 256GB SSD Windows 10 Laptop WARRANTY</t>
  </si>
  <si>
    <t>HP EliteBook x360 Core i5-8350U 16GB Ram 512GB  Windows 11 Touchscreen Laptop G3</t>
  </si>
  <si>
    <t>FAST Lenovo ThinkPad T460s Core i5-6300U 8GB/12GB Ram 256GB/512GB SSD FHD Laptop</t>
  </si>
  <si>
    <t>Lenovo Thinkpad  laptop 14.1" Cheap Core i5 up to 11th Gen 16GB 480GB SSD</t>
  </si>
  <si>
    <t>Laptop Windows 10 Dual Core Refurbished Laptops 320GB 500GB HDD 120GB 240GB SSD</t>
  </si>
  <si>
    <t>Lenovo Windows 11 laptop 14.1" Cheap Core i5 1st to 6th Gen up to 16GB 480GB SSD</t>
  </si>
  <si>
    <t>FAST DELL LATITUDE INTEL QUAD CORE i5/i7 16GB RAM SSD/HDD WINDOWS 11 LAPTOP</t>
  </si>
  <si>
    <t>HP EliteBook 840 G5 i5-8350U 8GB Ram 512GB SSD FHD Windows 11 Warranty Laptop</t>
  </si>
  <si>
    <t>Dell Windows 11 laptop 14.1" Cheap Core i5 2nd to 7th Gen up to 16GB 480GB SSD</t>
  </si>
  <si>
    <t>Dell Latitude 7280 7270 Core i5-6200U 8GB Ram 128GB  Windows 11 Laptop</t>
  </si>
  <si>
    <t>FAST LENOVO YOGA 11E 360° TOUCHSCREEN CHROMEBOOK 16GB CHROME OS 2 IN 1 WEBCAM</t>
  </si>
  <si>
    <t>Panasonic</t>
  </si>
  <si>
    <t>Panasonic Toughbook -Toughpad  CF-D1, i5  8GB RAM, 1TB, Win 11 Pro Engineers Tab</t>
  </si>
  <si>
    <t>Lenovo Yoga 260 Core i5-6200U 8GB Ram 128GB SSD Win 11 Laptop Touchscreen Tablet</t>
  </si>
  <si>
    <t>Lenovo ThinkPad T495, 14" FullHD Screen, Ryzen 7 Pro 3700U, 16GB RAM, 256GB SSD</t>
  </si>
  <si>
    <t>Cheap Dell Latitude 14.1" Laptop Up to i7 10th Gen 16Gb 512GB SSD  Win 10 11</t>
  </si>
  <si>
    <t>HP Elite X2 1012 G1 2 in 1 Laptop Core M5 8GB RAM 256GB SSD Touchscreen Intel HD</t>
  </si>
  <si>
    <t>Dell Precision 5530 Laptop 15.6 Full HD, i7-8850H, 32GB RAM, 1TB SSD, NVIDIA</t>
  </si>
  <si>
    <t>Dell Precision Workstation CAD Laptop. Options up to 32GB i9 9th Gen. Windows 11</t>
  </si>
  <si>
    <t>Samsung 11.6” Chromebook Laptop PC 2GB Ram 16GB SSD HDD Bluetooth Webcam HDMI</t>
  </si>
  <si>
    <t>LENOVO</t>
  </si>
  <si>
    <t>LENOVO IdeaPad 3i 14" Chromebook - Intel Celeron Grey - REFURB-A</t>
  </si>
  <si>
    <t>HP Envy x360 15-EU0501NA 15.6" Touch AMD Ryzen 7 512GB SSD 16GB RAM B&amp;O - Win 11</t>
  </si>
  <si>
    <t>Linx</t>
  </si>
  <si>
    <t>Linx 1010 Cheap Tablet/Laptop 10.1" Intel CPU, Webcam, Touchscreen, Win 10</t>
  </si>
  <si>
    <t>Microsoft Surface Laptop 13" I5 7th Gen 2.60GHZ 8GB 256GB Windows 11 pro B Grade</t>
  </si>
  <si>
    <t>Lenovo MIIX 320 -10ICR TABLET ONLY Intel Atom x5 Z8350 - 4GB RAM  64GB (B)</t>
  </si>
  <si>
    <t>Dell Latitude  12.5-13.3" Laptop Up to i7 6th Gen Multiple Options Win 10 11 Pro</t>
  </si>
  <si>
    <t>Laptop Dell Latitude 7480 14in 7th Gen i5 i7 8GB 16GB RAM 256GB SSD, G</t>
  </si>
  <si>
    <t>HP Elitebook 840 G3 Laptop . up to i7 6th gen and touchscreen. Options Grade A .</t>
  </si>
  <si>
    <t>HP Laptop ProBook x360 440 G1 Touchscreen i5 7200U 512GB SSD 16GB RAM Win11 Pro</t>
  </si>
  <si>
    <t>HP Probook Laptop, 13.3 - 14.1" Up to i7 6th gen or i5 10th Gen Win 10  / 11 Pro</t>
  </si>
  <si>
    <t>Laptop HP ZBook Studio G4 15.6in Xeon E3-1505M V6 32GB RAM 250GB 512GB SSD, VG</t>
  </si>
  <si>
    <t>Toshiba R830 laptop i5 8GB 480Gb SSD Webcam DVD CD Windows 10 Pink Purple Blue</t>
  </si>
  <si>
    <t>Laptop HP EliteBook 820 G3 12in 6th Gen i5 i7 8GB 16GB RAM 256GB SSD, VG</t>
  </si>
  <si>
    <t>Lenovo IdeaPad Flex 5i 13.3" 2 in 1 Chromebook i3 1115G4 4GB 128GB SSD</t>
  </si>
  <si>
    <t>DELL WINDOWS 11 LAPTOP CORE I7 256GB SSD 8GB RAM 14" HD SCREEN ULTRABOOK WEBCAM</t>
  </si>
  <si>
    <t>Dell Latitude E5470 i5-6200U 8GB 16GB Ram 240GB 480GB SSD Windows 11 Laptop</t>
  </si>
  <si>
    <t>Dell Latitude 7290 Laptop, 12.5" HD Screen, i7-8650U, 16GB RAM, 512GB SSD</t>
  </si>
  <si>
    <t>Lenovo Thinkpad L470 Laptop - 14" HD Laptop with i5 CPU + SSD &amp; Windows 11 Pro</t>
  </si>
  <si>
    <t>Cheap HP Chromebook 14" Laptop T4M32UT#ABA 4GB RAM 16GB SSD 12M Warranty</t>
  </si>
  <si>
    <t>🔥Lenovo ThinkPad X1 YOGA Core i5-7300U, 8GB, 256GB, HD 620 4G Windows 11 pro!🔥</t>
  </si>
  <si>
    <t>Laptop Dell Latitude E7270 12in 6th Gen i5 i7 8GB 16GB RAM 256GB SSD, VG</t>
  </si>
  <si>
    <t>SLEEK FAST LENOVO X250 CORE I5 5TH GEN 8GB RAM 256GB SSD WINDOWS 11 PRO 12.5"</t>
  </si>
  <si>
    <t>SUPER FAST Dell Windows 11 Laptop N4100 8GB RAM 128GB SSD WEBCAM WARRANTY SLIM</t>
  </si>
  <si>
    <t>Dell Latitude E7250 Laptop - 13" HD Screen with i5 CPU + SSD &amp; Windows 11 Pro*</t>
  </si>
  <si>
    <t>Cheap Fast Lenovo ThinkPad Windows 11 Laptop i5 4th - 6th Gen 8GB 1TB Blue Pink</t>
  </si>
  <si>
    <t>CHEAP FAST DELL E5540 Windows 11 14" Laptop CORE i5 8GB RAM 500GB HDD HD SCREEN</t>
  </si>
  <si>
    <t>HP Victus  16.1" Ryzen 5 5600H 16GB RAM 512GB SSD 144Hz RX5500 Gaming Laptop</t>
  </si>
  <si>
    <t>Venturer</t>
  </si>
  <si>
    <t>Venturer Europa 11 Notebook Intel 2Gb 64Gb eMMC 11.6" Full HD Black Windows 10 S</t>
  </si>
  <si>
    <t>Lenovo ThinkPad T490 Core i7-8565U 8GB Ram 256GB SSD FHD Webcam HDMI Laptop</t>
  </si>
  <si>
    <t>Dell Latitude 7280 Laptop, 12.5" Intel® Core™ i5, 8GB RAM, 256GB SSD, Windows 10</t>
  </si>
  <si>
    <t>Lenovo Thinkpad T470 Core i5-6300U 2.40GHz 8GB DDR4 256GB SSD HDMI Webcam Laptop</t>
  </si>
  <si>
    <t>Apple MacBook Pro 13'' Core i5 2.3GHZ Ram 16GB SSD 512GB  Various Spec</t>
  </si>
  <si>
    <t>SUPER FAST LINUX UBUNTU LAPTOP INTEL CORE I5 8GB RAM 1TB HDD SSD WEBCAM WARRANTY</t>
  </si>
  <si>
    <t>Lenovo ThinkPad T490 Core i5-8265U 8GB Ram 256GB SSD FHD Webcam HDMI Laptop</t>
  </si>
  <si>
    <t>DELL HP LENOVO CHEAP FAST WINDOWS 11 LAPTOP CORE I5 4GB/8GB RAM HDD SSD WEBCAM</t>
  </si>
  <si>
    <t>Acer Aspire Switch 10 (SW5-012) 10.1" 64GB Quad-Core 1.33GHz WIN 10PRO (GRADE B)</t>
  </si>
  <si>
    <t>Microsoft Surface Pro 4 i5-6300U 8GB RAM 256GB Win10Pro (GRADE A)</t>
  </si>
  <si>
    <t>POWERFULL WINDOWS 11 DELL LAPTOP CORE I5 128GB SSD 8GB RAM WEBCAM WIFI ULTRABOOK</t>
  </si>
  <si>
    <t>HP Probook 640 G1 Laptop, Intel Core i5, 8GB RAM, 256GB SSD, Windows 10</t>
  </si>
  <si>
    <t>ASUS</t>
  </si>
  <si>
    <t>ASUS Chromebook Laptop Intel Celeron N3350 4GB RAM 32GB eMMC 11.6" Chrome OS</t>
  </si>
  <si>
    <t>HP 650 Laptop 15.6" Intel i3 2.20GHz 8GB RAM 500GB HDD CD DVD Drive Webcam Wi-Fi</t>
  </si>
  <si>
    <t>Dell Latitude 5490 Core i5-8250U 8GB Ram 256GB SSD FHD Windows 11 Webcam Laptop</t>
  </si>
  <si>
    <t xml:space="preserve">FAST DELL CORE i7 LAPTOP 256GB SSD 8GB RAM WINDOWS 11 12.5" HD SLIM </t>
  </si>
  <si>
    <t>HP ZBook 15U G3 Laptop, 15.6" Intel Core i7, 16GB RAM, 512GB SSD, Windows 10</t>
  </si>
  <si>
    <t>Lenovo Duet ZA6F0007GB , MediaTek, 4GB RAM, 128GB, 10.1", Blue / Grey - Pristine</t>
  </si>
  <si>
    <t>HP CHROMEBOOK 11" N3450 1.1 G6 EE 4GB RAM 32GB SSD CHROME OS WEBCAM Black A Grad</t>
  </si>
  <si>
    <t>Dell Inspiron 15-3501 Laptop 15.6" FHD, Intel Core i5 1135G7, 8GB RAM, 256GB SSD</t>
  </si>
  <si>
    <t>SUPER FAST UBUNTU LINUX+WINDOWS 10 LAPTOP CORE I5 16GB RAM 1TB HDD SSD DUAL BOOT</t>
  </si>
  <si>
    <t>HP EliteBook 840 G2 Laptop, 14" Intel Core i5, 8GB RAM, 256GB SSD, Windows 10</t>
  </si>
  <si>
    <t>ASUS VivoBook F415 Laptop Intel Core i3-1005G1 4GB RAM 128GB SSD 14" FHD Win10 S</t>
  </si>
  <si>
    <t>HP EliteBook 2560p i5-2520M 2.50GHz 4GB Ram 250GB HDD Windows 11 Webcam Laptop</t>
  </si>
  <si>
    <t>Dell Latitude 7400 2 in 1 Laptop, 14" Core i7, 16GB RAM, 512GB SSD, Windows 10</t>
  </si>
  <si>
    <t>HP Elitebook 745 G3 14" Laptop AMD Pro A8-8600B 8GB DDR3 256GB SSD Windows 10</t>
  </si>
  <si>
    <t>CHEAP Lenovo ThinkPad X230 Core I5-3320M 8GB RAM 256GB SSD Windows 10 Laptop</t>
  </si>
  <si>
    <t>WINDOWS 11 Lenovo ThinkPad T430 CHEAP Core i5-3320M 8GB 16GB Ram HDD SSD Laptop</t>
  </si>
  <si>
    <t>HP EliteBook 745 G2 AMD A8 Quad Core 8GB 16GB Ram 128GB 240GB SSD Radeon Laptop</t>
  </si>
  <si>
    <t>HP ProBook 650 G3 Laptop, 15.6" Intel Core i5, 8GB RAM, 256GB SSD, Windows 10</t>
  </si>
  <si>
    <t>Dell Latitude E5290 Core i5-8250U 16GB Ram 256GB  Windows 11 Laptop Webcam Hdmi</t>
  </si>
  <si>
    <t>Windows 11 Laptop Dell Latitude 5490 Core i5-8350U 8GB Ram 256GB SSD Webcam</t>
  </si>
  <si>
    <t>Lenovo ThinkPad L380 TOUCHSCREEN i5-8250U 8GB 256GB SSD FHD Windows 11 Laptop</t>
  </si>
  <si>
    <t>HP Laptop ProBook x360 440 G1 Touchscreen i5 8th 3.4GHz 512GB SSD 16GB Win11</t>
  </si>
  <si>
    <t>Lenovo ThinkPad T490 Core i5-8365U 16GB Ram 256GB SSD FHD Webcam HDMI Laptop</t>
  </si>
  <si>
    <t>Microsoft Surface Pro 4 i5-6300U 4GB RAM 128GB Win10Pro (GRADE A)  🔥🔥</t>
  </si>
  <si>
    <t>Lenovo Thinkpad X230 Core i5 2.60GHz 16GB Ram Office SSD Windows 10 Laptop</t>
  </si>
  <si>
    <t>Asus</t>
  </si>
  <si>
    <t>ASUS Zenbook 14 UX3402 14" Laptop – Intel® Core™ i7 - 1TB SSD - REFURB-A</t>
  </si>
  <si>
    <t>Laptop i3 Windows 10 Refurbished Laptops 4GB 8GB RAM 120GB SSD 500GB HDD iSeries</t>
  </si>
  <si>
    <t>Cheap Dell Gaming Laptop E5520 15.6" Intel Core i3 2.20Ghz, Windows 10, HDMI</t>
  </si>
  <si>
    <t>GeoBook 140 Minecraft Ed 14.1" Laptop Intel Celeron N4020 4GB 64GB eMMC Green</t>
  </si>
  <si>
    <t>Laptop Dell Latitude 7290 12.5in 8th Gen i5/i7 8GB 16GB RAM 250GB SSD W10/11, G</t>
  </si>
  <si>
    <t>Lenovo IdeaPad 5 Duet 13.3" Chromebook, Snapdragon, 8GB, 256GB (82QS000NUK)</t>
  </si>
  <si>
    <t>Dell Laptop Refurbished iSeries DualCore Windows 10 4GB RAM 120GB SSD Laptops</t>
  </si>
  <si>
    <t>Lenovo ThinkPad T440p i7-4600M 2.90GHz 8GB Ram 500GB Windows 11 Webcam Laptop</t>
  </si>
  <si>
    <t>DELL WINDOWS 11 LAPTOP CORE I5 128GB SSD 8GB RAM 14" HD SCREEN ULTRABOOK WEBCAM</t>
  </si>
  <si>
    <t>Lenovo Thinkpad T430 laptop 8GB 480Gb SSD Webcam DVD Windows 10 Pink Purple</t>
  </si>
  <si>
    <t>DELL HP LENOVO CHEAP FAST WINDOWS 10 LAPTOP CORE I5 4GB/8GB RAM HDD SSD WEBCAM</t>
  </si>
  <si>
    <t>HP Elitedesk 830 G5 13.3in 8th Gen i5 i7 8/16GB RAM 256/512GB SSD Win 11, VG</t>
  </si>
  <si>
    <t>DELL Precision M6800 17.3" LAPTOP i7 4810MQ 16GB 512SSD 1TB Quadro K3100M Gaming</t>
  </si>
  <si>
    <t>Brands Will Vary Depending on available Stock</t>
  </si>
  <si>
    <t>Laptop Windows 10 iSeries Refurbished 8GB RAM SSD HDD Build Your Own Laptops Now</t>
  </si>
  <si>
    <t>Lenovo Thinkpad L470 Laptop - 14" HD Laptop with i5 CPU + SSD &amp; Windows 11 Pro*</t>
  </si>
  <si>
    <t>Lenovo X1 Carbon Gen 3 i7-5600U 256GB SSD 14inch Widescreen HDMI Windows 11</t>
  </si>
  <si>
    <t>Kids Gaming Laptop Chromebook 11.6" HD 2.2 GHz 4GB 16GB HDMI WIFI Play Store</t>
  </si>
  <si>
    <t>Lenovo ThinkPad T460p i7-6700HQ 16GB 512GB SSD NVIDIA GeForce Windows 11 Laptop</t>
  </si>
  <si>
    <t xml:space="preserve">WINDOWS 11 Lenovo Thinkpad X260 Laptop Core i5-6200U 8GB 256GB SSD Webcam </t>
  </si>
  <si>
    <t>Dell Latitude E7450 Windows 10 14" Laptop Intel i5 5200U 2.2GHz 4GB 500GB HDD</t>
  </si>
  <si>
    <t>Dell Latitude 7280 Laptop 12.5" Intel i5-7300U 8GB 256GB SSD win10  TOUCHSCREEN</t>
  </si>
  <si>
    <t>Lenovo T480s Laptop Core i5-8350U 16GB Ram 256GB  Windows 11 14" Laptop.</t>
  </si>
  <si>
    <t xml:space="preserve">ASUS Flip CM3200FM Chromebook MediaTek 2.2GHz Octa Core 4GB 64GB eMMC 12" Touch </t>
  </si>
  <si>
    <t>Lenovo ThinkPad T530 Laptop 320GB HDD 4GB RAM Intel i5-3210M Windows 10 Pro</t>
  </si>
  <si>
    <t>Dell Latitude 7390 Touchscreen Laptop, i5 7th Gen, 8GB, 128GB SSD, Win 11 Pro</t>
  </si>
  <si>
    <t>Windows 11 Laptop Dell Latitude 5400 Core i5-8350U 16GB Ram 512GB SSD Webcam B</t>
  </si>
  <si>
    <t>Dell Latitude E5430 laptop 8GB 480Gb SSD Webcam Windows 11 Pink Purple Blue</t>
  </si>
  <si>
    <t>Asus Flip C433 14" FHD 2 in 1 Chromebook Intel Core m3 8100Y 64GB eMMC 4GB RAM</t>
  </si>
  <si>
    <t>Dell Latitude 5400 Core i5-8365U 16GB Ram 256GB SSD FHD Windows 11 Webcam Laptop</t>
  </si>
  <si>
    <t>SUPER FAST WINDOWS 11 LAPTOP CORE I3 4GB/8GB RAM HDD SSD FREEGIFT WARRANTY</t>
  </si>
  <si>
    <t>Lenovo Thinkpad T470s Core i5 6th Gen 8GB DDR4 256GB SSD HDMI Webcam Laptop</t>
  </si>
  <si>
    <t>Asus Chromebook Flip C433T Core Dual Core m3 8th Gen 64GB SSD Faulty Battery</t>
  </si>
  <si>
    <t>Panasonic Toughbook Cf-31 Mk5 i5 Military Grade Up to 16 Gb Ram Rugged Laptop 4G</t>
  </si>
  <si>
    <t>Touchscreen Google Chromebook Pixel 13" Model CB001 - i5 1.8GHz 4GB RAM 32GB SSD</t>
  </si>
  <si>
    <t>FAST Dell Latitude 7480 i5-6200U 8GB/16GB 256GB/512GB SSD Windows 11 Laptop</t>
  </si>
  <si>
    <t>Lenovo ThinkPad T460s Windows 10 14" Laptop Intel i7 6600u 2.6 GHz 8GB 256GB SSD</t>
  </si>
  <si>
    <t>Purple Pink Lenovo ThinkPad T440 Core I5 8GB RAM 256GB SSD Windows 10 Pro Laptop</t>
  </si>
  <si>
    <t>HP EliteBook 820 G3 WINDOWS 11 Core i5-6200U 8GB/16GB Ram 240GB/480GB SSD Laptop</t>
  </si>
  <si>
    <t>ASUS Chromebook C423NA-BV0158 Intel Celeron N3350 4Gb 32Gb eMMC 14" Chrome OS</t>
  </si>
  <si>
    <t>FAST DELL LATITUDE 7250 CORE i7 256GB SSD 8GB RAM 12.5 HD WINDOWS 11 TOUCHSCREEN</t>
  </si>
  <si>
    <t>DELL</t>
  </si>
  <si>
    <t>DELL Inspiron 5518 Laptop i5-11320H 8Gb 256Gb SSD 15.6" Full HD W11 4K1W0</t>
  </si>
  <si>
    <t>Dell 1Tb Terabyte Laptop Windows10 Intel Core Inside WiFi 5GHz DVD HDMI USB Cam</t>
  </si>
  <si>
    <t>Lenovo ThinkPad Yoga S1 2-in-1 Laptop Core i5 4GB Ram 128GB SSD Touchscreen</t>
  </si>
  <si>
    <t>Lenovo ThinkPad 13 2nd Gen, Intel i5, 8GB, 128GB, 13.3", Black - Good - No Charg</t>
  </si>
  <si>
    <t>Lenovo ThinkPad T460s Windows 10 14" Laptop Intel i7 6600u 2.6GHz 12GB 256GB SSD</t>
  </si>
  <si>
    <t>Samsung 905s 13.3"HD Amd Quad Core  1.00GHz 4GB 128 SSD Win10 ultrabook</t>
  </si>
  <si>
    <t>LENOVO WINDOWS 11 LAPTOP THINKPAD T440P CORE I5 8GB RAM 128GB SSD STORAGE WIFI</t>
  </si>
  <si>
    <t>HP ProBook 640 G1 Windows 10 14in Laptop Intel i5 4210M 2.6GHz 8GB 240GB SSD</t>
  </si>
  <si>
    <t>Lenovo ThinkPad Laptop Windows11 Gaming i5 2.7GHz Fast E-Series SSD 15.6" Screen</t>
  </si>
  <si>
    <t>HP EliteBook x360 Core i5-7300U 16GB Ram 512GB  Windows 11 Touchscreen Laptop</t>
  </si>
  <si>
    <t>Lenovo 300e Chromebook 2nd gen 81MB 11.6" Intel, Touchscreen, 12M warranty</t>
  </si>
  <si>
    <t>Dell Latitude 7280 7270 Core i5-6200U 8GB Ram 128GB  Windows 11 Laptop B</t>
  </si>
  <si>
    <t>FAST DELL Optiplex DT Intel Pentium G Series 4GB 500GB PC Desktop Win 10 WIFI</t>
  </si>
  <si>
    <t>Windows 10 Laptop Dell Latitude 7390 Core i5-8350U 16GB Ram 256GB SSD Webcam</t>
  </si>
  <si>
    <t>HP EliteBook 820 G1 Laptop, 12" Intel Core i5, 8GB RAM, 256GB SSD, Windows 10</t>
  </si>
  <si>
    <t>Lenovo ThinkPad X280 Intel Core I5-8250U 8GB RAM 128GB SSD Windows 11 Laptop</t>
  </si>
  <si>
    <t>LENOVO IdeaPad 3i 14" Laptop - Intel® Core™ i3 - Blue - REFURB-C</t>
  </si>
  <si>
    <t>Samsung Chromebook 4 11.6" Intel Celeron 4GB RAM 32 GB eMMC Laptop (Silver) B+</t>
  </si>
  <si>
    <t>WINDOWS 10 LAPTOP HP 655 15.6" QUAD CORE AMD A10-5750 8GB RAM 500GB HDD DPORT HD</t>
  </si>
  <si>
    <t>Laptop Dell Latitude 7280 12in Intel 6/7th Gen i5/i7 8GB/16GB RAM 256GB SSD, G</t>
  </si>
  <si>
    <t xml:space="preserve">Dell Gaming Laptop 14.1" Intel I5 2.5Ghz 8GB 480GB SSD HDD Windows 10 7 HDMI </t>
  </si>
  <si>
    <t>Unbranded</t>
  </si>
  <si>
    <t>CHEAP Core i3 i5 Laptop Windows 11  Warranty 4GB - 16GB Ram 250GB - 1TB HDD SSD</t>
  </si>
  <si>
    <t>Lenovo ThinkPad Yoga 260 Windows 10 12.5" Laptop Intel i5 6200U 4GB 128GB SSD</t>
  </si>
  <si>
    <t>Lenovo V14 Laptop Intel Celeron N4020 4GB RAM 1TB HDD 14" WINDOWS NOT INCLUDED</t>
  </si>
  <si>
    <t>GEO</t>
  </si>
  <si>
    <t xml:space="preserve">Geo GeoFlex 110 11.6" Windows 10 Touchscreen Laptop Intel N3350 64GB </t>
  </si>
  <si>
    <t>Lenovo IdeaPad Flex 5i 13.3" 2 in 1 Chromebook i3 1115G4 4GB RAM 128GB SSD</t>
  </si>
  <si>
    <t>HP Pavilion G6 Red Laptop AMD A8-4500m 1.9Ghz 8gb Memory 240gb SSD 15.6 HD (1183</t>
  </si>
  <si>
    <t>Panasonic Toughbook CF19   Rugged Laptop Core i5 Win 7 or 10 5 Year Warranty 4G</t>
  </si>
  <si>
    <t>Dell HP Lenovo Fujitsu</t>
  </si>
  <si>
    <t>Cheap laptop Dell HP Lenovo Fujitsu Windows 10 Wireless 4GB 8GB 16GB SSD WIFI</t>
  </si>
  <si>
    <t>Lenovo ThinkPad T460s Windows 10 14" Laptop Intel i5 6200U 2.3 GHz 8GB 128GB SSD</t>
  </si>
  <si>
    <t>Dell Latitude E7450 Windows 10 14" Laptop Intel i5 5200U @2.2GHz 8GB 500GB HDD</t>
  </si>
  <si>
    <t>Various</t>
  </si>
  <si>
    <t>Fast Windows 10 Refurbished Laptop Intel i5 4GB 8GB RAM SSD HDD Build Your Own</t>
  </si>
  <si>
    <t>Windows 11 Laptop Dell Latitude 7390 Core i5-8350U 16GB Ram 256GB SSD Webcam</t>
  </si>
  <si>
    <t>Dell Latitude E7440 i3-4030U 1.90GHz 4GB Ram 128GB SSD Windows 11 Webcam Laptop</t>
  </si>
  <si>
    <t>CHEAP Lenovo Thinkpad T420 WINDOWS 11 Laptop Core i5-2520M 2.50GHz 8GB 250GB HDD</t>
  </si>
  <si>
    <t>HP EliteBook Cheap Gaming Laptop 8460p 14" Intel Core i5 2.50Ghz, Windows 10</t>
  </si>
  <si>
    <t>HP Pavilion 14-ec0537sa 14" Laptop AMD Ryzen 5 5500U 8GB 256GB SSD Windows 10</t>
  </si>
  <si>
    <t xml:space="preserve">SUPER FAST WINDOWS 11 LAPTOP CORE I5 4GB/8GB RAM HDD SSD FREE GIFT </t>
  </si>
  <si>
    <t>Cheap Fast Dell HP Lenovo Windows 10 Laptop Core i3 i5 i7 CPU 8GB RAM 128GB SSD</t>
  </si>
  <si>
    <t>Lenovo ThinkPad X260 Core i5-6200U 4GB / 8GB Ram 128GB / 240GB SSD Laptop</t>
  </si>
  <si>
    <t>HP EliteBook 840 G2 14" Laptop Intel i5 5300U 2.3GHz 8GB 240GB SSD Win10Pro A2</t>
  </si>
  <si>
    <t>Dell Latitude 7280 Excellent Laptop / Win10 / I5/I7 CPU - 256GB SSD - 8GB RAM</t>
  </si>
  <si>
    <t>LENOVO IdeaPad 3i 14" Chromebook - Intel Celeron - Blue - REFURB-C</t>
  </si>
  <si>
    <t>HP Chromebook 11a-Na0502sa 11.6" Laptop MediaTek MT8183 4GB RAM 32GB eMMC White</t>
  </si>
  <si>
    <t>Lenovo ThinkPad T495, 14" FullHD Screen, Ryzen 7 Pro 3700U, 16GB RAM, 512GB SSD</t>
  </si>
  <si>
    <t>Lenovo ThinkPad X250 Core I5 8GB RAM 128GB 512GB SSD Windows 10 GOLD Laptop</t>
  </si>
  <si>
    <t>Lenovo ThinkPad L380 Yoga 2-in-1 Laptop, 13.3 Touch, Core i5, 8GB RAM, 256GB SSD</t>
  </si>
  <si>
    <t>various</t>
  </si>
  <si>
    <t>Lenovo Thinkpad X Series 12.5" Laptop, Core i5 Multiple Options Win 10 Pro</t>
  </si>
  <si>
    <t>Laptop HP EliteBook 820 G3 6th Gen i5 i7 8GB 16GB RAM 256GB 512GB SSD, G</t>
  </si>
  <si>
    <t>HP Probook 430 G1 Core i5-4200U 8GB Ram 500GB HDD Windows 11 Webcam HDMI Laptop</t>
  </si>
  <si>
    <t>Lenovo S130-14Igm Windows 10 14" Laptop Intel Celeron N4000 1.1Ghz 4GB 64GB SSD</t>
  </si>
  <si>
    <t>Lenovo ThinkPad W520 15.6" Laptop Core i5-2540M 2.60GHz 8GB 320GB NVIDIA</t>
  </si>
  <si>
    <t>CHEAP Dell Latitude E5420 i5 2.50GHz 8GB Ram 500GB HDD Windows 11 Webcam Laptop</t>
  </si>
  <si>
    <t>Laptop Dell Latitude E7470 14in 6th Gen i5 i7 8GB 16GB RAM 256GB SSD Warranty, G</t>
  </si>
  <si>
    <t>Dell Inspiron 15 3501 15.6" Full HD Laptop Core i3 4GB RAM 128GB SSD  C Grade</t>
  </si>
  <si>
    <t>⚡⚡Microsoft Surface Pro 3 1631 Core i5-4300U 8GB 256GB Win 10 Pro Grade A⚡⚡</t>
  </si>
  <si>
    <t>Lenovo ThinkPad X280 8th GEN i7-8650U 1.90 GHz 8GB 256GB SSD Windows 11</t>
  </si>
  <si>
    <t>Lenovo ThinkPad Yoga 12 2-in-1 Laptop Core i5 8GB Ram 128GB SSD Touchscreen</t>
  </si>
  <si>
    <t>VivoBook 15 Laptop 15.6" Core i7 16GB RAM 512GB SSD Full HD Black</t>
  </si>
  <si>
    <t>CHEAP Dell Windows 10 Laptop 14.1" i5 1st to 6th Gen up to 16GB 240GB Blue Pink</t>
  </si>
  <si>
    <t>HP 14s-fq0022na AMD Athlon 3020e 4GB RAM 64GB eMMC 14" Laptop Blue</t>
  </si>
  <si>
    <t xml:space="preserve">HP Laptop 15-dw Quad Core i5-1135G7 8GB RAM 512GB SSD 15.6" FHD Windows 11 </t>
  </si>
  <si>
    <t>HP 255 G8 Laptop 15.6" FHD 128GB SSD AMD Athlon 3.3GHz WINDOWS 10/11 QWERTY INT</t>
  </si>
  <si>
    <t>Microsoft Surface Pro 4 Core i5-6300U 8GB Ram 256GB SSD Windows 11 12.3" Tablet</t>
  </si>
  <si>
    <t>Panasonic Toughbook  CF-D1, i5 MK3 16 GB RAM ,2 TB, Windows 11 Pro Engineers Tab</t>
  </si>
  <si>
    <t>HP Laptop 15-dw Intel Core N4020 4GB RAM 500GB HDD Win 11 15.6" Full HD Black</t>
  </si>
  <si>
    <t>Lenovo ThinkPad X390 Core i5-8365U 16GB Ram 256GB SSD Windows 11 Webcam Laptop</t>
  </si>
  <si>
    <t>HP Pavilion Gaming 15-EC2018NA Ryzen 5 5600H 15.6" 8Gb GTX 1650 Win 10 4N8T8EA</t>
  </si>
  <si>
    <t>DELL LATITUDE 7480 i7-7600U, 14" WIDESCREEN, WIN 11, 8GB RAM 256GB SSD, 102</t>
  </si>
  <si>
    <t>Dell Latitude 7200 2 in 1 Laptop Tablet i5-8365U  8GB 256GB SSD touch Win 11 Pro</t>
  </si>
  <si>
    <t>TOUCHSCREEN Dell E5450 i5-5200U 2.20GHz 8GB Ram 128GB SSD Windows 11 Laptop</t>
  </si>
  <si>
    <t xml:space="preserve">LENOVO YOGA S730 Laptop, 13.3" Intel Core i5, 8GB RAM, 256GB SSD, Windows 10 </t>
  </si>
  <si>
    <t>ASUS P550C 15.6" Laptop i3 CPU 1.4GHz 8GB RAM 500GB HDD CD / DVD, Webcam, Win10</t>
  </si>
  <si>
    <t>Lenovo X1 Yoga Laptop i7-7600U Touchscreen 16GB 512GB 1 Year Warranty Windows 11</t>
  </si>
  <si>
    <t>Geo GeoFlex 340 14" i3-1005G1 128GB 4GB Touchscreen Windows 11 Silver Laptop C2</t>
  </si>
  <si>
    <t>HP ProBook 650 G2 Laptop, 15.6" Intel Core i3, 8GB RAM, 256GB SSD, Windows 10</t>
  </si>
  <si>
    <t xml:space="preserve">POWERFULL DELL LATITUDE 14 CORE I5 WINDOWS 11 LAPTOP 8GB RAM 128GB SSD 14" FHD </t>
  </si>
  <si>
    <t>Lenovo Legion 5 15.6" 165Hz Gaming Laptop Ryzen 7 5800H 16GB GeForce RTX 3070</t>
  </si>
  <si>
    <t>Dell XPS 13 Plus 9320 4.4 i5 1240P, 512GB, 8GB Ram, 13.4" FHD 1920x1200 Win 11</t>
  </si>
  <si>
    <t>Blue Gold Lenovo ThinkPad T460 Core I5 8GB RAM 256GB SSD Windows 10 Pro Laptop</t>
  </si>
  <si>
    <t>Lenovo ThinkPad X390 Core i5 8th Gen 8365U 16GB 256GB NVME Windows 11 Laptop</t>
  </si>
  <si>
    <t>LENOVO Yoga 6 13.3" 2 in 1 Laptop - AMD Ryzen 5 - 256GB SSD - Blue - REFURB-A</t>
  </si>
  <si>
    <t>Lenovo Laptop T440 Thinkpad I5 4th 4GB 8GB 128GB SSD 500Gb HDD Windows 11 WIFI</t>
  </si>
  <si>
    <t>LENOVO IdeaPad Duet 5 13.3" 2 in 1 Chromebook - Qualcomm Snapdragon, 256 GB eMMC</t>
  </si>
  <si>
    <t>Geo Computers</t>
  </si>
  <si>
    <t>Geo Flex 340 14.1" Laptop Touch W10 Intel Core i3 4Gb 128GB SSD GE199</t>
  </si>
  <si>
    <t>Asus ZenBook Flip UX362 2in1 Laptop 13.3 Intel Core i5 8265 256GB NVMe 8GB Win10</t>
  </si>
  <si>
    <t>Lenovo ThinkPad X230 Core i5 2.60GHz 16GB RAM SSD  Laptop -Microsoft Office 2021</t>
  </si>
  <si>
    <t>ASUS C202XA 11.6" Chromebook - 32GB emmC - Grey &amp; Black REFURB-A</t>
  </si>
  <si>
    <t>CHEAP FAST DELL LATITUDE LAPTOP INTEL QUAD CORE i7-8th 16GB 256GB SSD HD WIN11</t>
  </si>
  <si>
    <t>HP Chromebook x360 14b-cb0002na Pentium N6000 4Gb 64Gb eMMC 14" FHD touch Chrome</t>
  </si>
  <si>
    <t>Lenovo Yoga Slim 7 14" FHD Laptop Intel Core i5 1035G4 8GB 256GB SSD Orchid</t>
  </si>
  <si>
    <t>DELL LATITUDE 7490 i7-8650U, 14" WIDESCREEN, WIN 11, 16GB RAM, 256GB SSD, HDMI</t>
  </si>
  <si>
    <t>Dell Latitude E7250 Laptop, 12.5" Intel® Core i5, 8GB RAM, 256GB SSD, Windows 10</t>
  </si>
  <si>
    <t>Panasonic Toughbook CF-D1, i5 6th Gen,16GB RAM, 512GB SSD, Win10 Pro Diagnostics</t>
  </si>
  <si>
    <t>WINDOWS 11 Dell Latitude 7280 Core i7-6600U 4GB/8GB 256GB/512GB SSD Laptop</t>
  </si>
  <si>
    <t>HP Pavilion Plus 14-eh0500sa 14" 2.2K Laptop Intel Core i5 1240P 8GB 512GB SSD</t>
  </si>
  <si>
    <t>DELL LATITUDE 14 INTEL i7 LAPTOP WINDOWS 11 8GB RAM 500GB HDD WIFI HD SCREEN</t>
  </si>
  <si>
    <t>DELL 5280 CORE I3 WINDOWS 11 LAPTOP 8GB RAM 128GB SSD 12.5" HD SCREEN USB C</t>
  </si>
  <si>
    <t>Laptop Dell Latitude 7490 14in Intel 8th Gen i5 i7 8GB 16GB RAM 256GB SSD,  VG</t>
  </si>
  <si>
    <t>Dell Latitude E7440 i5-4300U 1.90GHz 8GB Ram 128GB SSD Windows 11 Webcam Laptop</t>
  </si>
  <si>
    <t>DELL LATITUDE E7270 12.5" WIDESCREEN LAPTOP, i5, 16GB RAM, WIN11, 256GB SSD HDMI</t>
  </si>
  <si>
    <t>Lenovo Yoga 6 13ALC6 13.3" Touchscreen Laptop AMD Ryzen 5 5500U 256GB SSD</t>
  </si>
  <si>
    <t>Lenovo ThinkPad X390 Intel Core I5-8365U 8GB RAM 128GB SSD Windows 10 Pro Laptop</t>
  </si>
  <si>
    <t>DELL LATITUDE E7450 CORE I5 5TH GEN 128GB SSD 8GB RAM WINDOWS 11 WIFI HD SCREEN</t>
  </si>
  <si>
    <t>CHEAP Gaming Laptop A475 AMD PRO A12-9800B R7 Graphics 8GB RAM 256GB SSD Win10</t>
  </si>
  <si>
    <t>Dell Latitude E7240 Very Good Laptop - I5/I7 CPU / 8GB RAM / 256GB SSD</t>
  </si>
  <si>
    <t>CHEAP Lenovo Thinkpad T420 Core i5-2520M 2.50GHz 8GB 250GB HDD Windows 10 Laptop</t>
  </si>
  <si>
    <t>Dell Latitude E5470 Core i5-6200U 2.30GHz 8GB 128GB SSD Webcam Windows 10 Laptop</t>
  </si>
  <si>
    <t>Toshiba Satellite Pro R50 15.6" i3-8130U 2.20GHz 8GB Ram 256GB SSD Webcam Laptop</t>
  </si>
  <si>
    <t>Lenovo Thinkpad X250 12.5" FHD Touch i5 8GB RAM 256GB Laptop Office 12M Warranty</t>
  </si>
  <si>
    <t>Lenovo IdeaPad 5i Pro 16" Intel Core i5-11300H 8GB RAM 512 GB SSD MX450 - Win 11</t>
  </si>
  <si>
    <t>Lenovo IdeaPad Duet 3 11" Chromebook - Qualcomm Snapdragon, 4GB RAM, 128GB, Grey</t>
  </si>
  <si>
    <t>Lenovo IdeaPad 1 15.6" FHD Laptop AMD Ryzen 5 8GB RAM 256GB SSD - Grey B+</t>
  </si>
  <si>
    <t>Lenovo B50 i5 Windows11 Laptop 15.6" 500Gb DVDRW HDMI USB WiFi 5GHz - Boxed</t>
  </si>
  <si>
    <t>Lenovo ThinkPad T470 14" Laptop i5 7th Gen 2.50GHz 8GB 256GB SSD Faulty Battery</t>
  </si>
  <si>
    <t>Dell Latitude 5480 Laptop, 14" Intel® Core™ i5, 8GB RAM, 256GB SSD, Windows 10</t>
  </si>
  <si>
    <t>Lenovo ThinkPad T460s Windows 10 14in Laptop Intel i5 6300u 2.4GHz 8GB 256GB SSD</t>
  </si>
  <si>
    <t>Pink Blue Lenovo ThinkPad T470 Core I5 8GB RAM 256GB SSD Windows 10 Pro Laptop</t>
  </si>
  <si>
    <t>Cheap Hp Chromebook 11.6 " N3450 G6 EE 4GB RAM, 32GB SSD Black &amp; Yellow A Grade</t>
  </si>
  <si>
    <t>Lenovo Yoga Slim 7 Pro 14" 2.8K Ryzen 7 5800H 16Gb 512Gb SSD W10 Grey 82MS006GUK</t>
  </si>
  <si>
    <t>SAMSUNG GALAXY BOOK 2 15.6" LAPTOP CORE i5-1235U 256GB SSD WIN 11 NP750XED-KC2UK</t>
  </si>
  <si>
    <t>Microsoft Surface Pro X - 128GB (8GB RAM) - LTE (Unlocked) - 13in - Black - Good</t>
  </si>
  <si>
    <t>ASUS ROG Zephyrus G14 Gaming Laptop AMD Ryzen 5-4600HS 8GB RAM 512GB SSD 14" FHD</t>
  </si>
  <si>
    <t>HP Chromebook x360 Convertible 14c-ca0005na i5 10th gen 8/128GB 14" Touchscreen</t>
  </si>
  <si>
    <t>HP 17-cn0041na Intel Pentium Gold 4Gb 128Gb SSD 17.3" FHD W10</t>
  </si>
  <si>
    <t>Lenovo ThinkPad X390 Core i7 8th Gen 8365U 16GB 256GB NVME Windows 11 Laptop</t>
  </si>
  <si>
    <t>FAST LENOVO WIDNOWS 11 LAPTOP THINKPAD L460 INTEL CORE I5 128GB SSD 8GB RAM</t>
  </si>
  <si>
    <t>ASUS Zenbook S Flip UX371EA 13.3" 2 in 1 Laptop - Intel Core i7, Black REFURB-A</t>
  </si>
  <si>
    <t>DELL LATITUDE 7480 i7-7600U, 14" WIDESCREEN, WIN 11, 16GB RAM, 256GB SSD, HDMI</t>
  </si>
  <si>
    <t>Fujitsu</t>
  </si>
  <si>
    <t>Fujitsu Gaming Laptop Windows11 15.6" 8Gb Ram Fast 500Gb HDD WiFi 5Ghz DVD HDMI</t>
  </si>
  <si>
    <t>FAST HP ProBook 640 G2 i5-6200U 8GB Ram 256GB SSD Windows 11 Webcam Laptop</t>
  </si>
  <si>
    <t>Dell Inspiron 5567 Intel Core i3-7100U 4GB RAM 1TB HDD 15.6" Windows 10 Laptop</t>
  </si>
  <si>
    <t>HP Elitebook 830 G5 Laptop - 13" FHD + I5-8350U CPU + NVMe SSD &amp; Windows 11 Pro*</t>
  </si>
  <si>
    <t>HP 15s-fq2039na i3-1115G4 Notebook 15.6" FHD 4Gb 128Gb SSD W10S Silver</t>
  </si>
  <si>
    <t>Lenovo 300e Chromebook 11.6" Touch AMD 4Gb 32Gb eMMC ChromeOS Grey 82J9000TUK</t>
  </si>
  <si>
    <t>Dell Inspiron 15 5518 Intel i5-11320H 8GB RAM, 256GB SSD Business Laptop Win 11</t>
  </si>
  <si>
    <t>CHEAP Dell Latitude E7450 i3-5010U 8GB Ram 128GB SSD Webcam Windows 11 Laptop</t>
  </si>
  <si>
    <t>Lenovo ThinkPad X260 Laptop, 12.5" Intel Core i7, 8GB RAM, 256GB SSD, Windows 10</t>
  </si>
  <si>
    <t>Lenovo Thinkpad T480s intel I5-8250U 8GB RAM 256 SSD Notebook Win10Pro Black A3</t>
  </si>
  <si>
    <t>HP 14a-na0509sa 14" FHD Chromebook Intel Pentium Silver N5030 4GB 64GB eMMC</t>
  </si>
  <si>
    <t>HP EliteBook 840 G3 WINDOWS 11 Core i5-6200U 8GB/16GB Ram 240GB/480GB SSD Laptop</t>
  </si>
  <si>
    <t>DELL LATITUDE E5270 i5-6300U, 13.3" WIDESCREEN, WINDOWS 11, 8GB RAM, 256GB SSD</t>
  </si>
  <si>
    <t>Huawei Matebook 2020 WRTB-WAH9L 13" Laptop, 8GB, 512GB, - Grey - Excellent</t>
  </si>
  <si>
    <t>Lenovo Thinkpad X270 Fast Core I5 8GB RAM 128GB SSD Windows 10 Laptop - A Grade</t>
  </si>
  <si>
    <t>HP Spectre x360 13 aw2024na i7 1165G7 16GB 512GB Touch Ultrabook 2-in-1 Laptop</t>
  </si>
  <si>
    <t>HP ProBook 640 G5 Laptop - 14" FHD Intel i5-8365 Up to 32GB Ram + Windows 11 Pro</t>
  </si>
  <si>
    <t>CHEAP Gaming Laptop Lenovo A475 AMD PRO A12-9800B R7 16GB RAM 256GB SSD Win10</t>
  </si>
  <si>
    <t>LENOVO IdeaPad 3i 14" Laptop - Intel® Core™ i3, Blue - REFURB-A - Currys</t>
  </si>
  <si>
    <t>FAST DELL 7280 INTEL CORE I5 6TH 128GB SSD 12.5" HD 8GB RAM WINDOWS 11</t>
  </si>
  <si>
    <t>HP ProBook 450 G5 Core i3 7100U 8GB 500GB HDD 14" Windows 10 Pro Laptop</t>
  </si>
  <si>
    <t>Lenovo ThinkPad X270 Laptop, 12.5" Intel Core i7, 8GB RAM, 256GB SSD, Windows 10</t>
  </si>
  <si>
    <t xml:space="preserve">Laptop Dell Vostro 3590 15.6" Intel i5-10210U/8GB/&lt;wbr/&gt;120GB SSD/Win 11 Pro </t>
  </si>
  <si>
    <t>Powerful Lenovo ThinkPad L440 Laptop Intel Core i5 8GB RAM 256GB SSD 14" HD</t>
  </si>
  <si>
    <t>Laptop HP EliteBook 840 G4 14in 7th Gen i5/i7 16GB RAM 512GB SSD Warranty, G</t>
  </si>
  <si>
    <t>Laptop HP EliteBook 820 G4 12in 7th Gen i7 16GB RAM 512GB SSD FHD, VG</t>
  </si>
  <si>
    <t>LENOVO IdeaPad Flex 5i 13.3" 2 in 1 Chromebook - Intel® Core™ i3, 128 GB SSD.</t>
  </si>
  <si>
    <t>LENOVO IdeaPad 3i 14" Chromebook - Intel Celeron - Blue - REFURB-A</t>
  </si>
  <si>
    <t>Dell Alienware M15 Core i7 8750H 2.2Ghz 8gb Mem 500gb SSD 8gb RTX2070 15" (1462)</t>
  </si>
  <si>
    <t>Dell Latitude 3590 Windows 11 15.6" Laptop Intel i5 7200U 2.5GHz 8GB 120GB SSD</t>
  </si>
  <si>
    <t>Gigabyte</t>
  </si>
  <si>
    <t>Gigabyte G5 Intel Core i5 16GB  PCIe Nvidia RTX 3050Ti 15.6" HD Refurb Laptop</t>
  </si>
  <si>
    <t>Lenovo Yoga 6 Laptop AMD Ryzen 5-5500U 8GB RAM 256GB SSD 13.3" Touch Win 10 HM</t>
  </si>
  <si>
    <t>HP 14s-fq0005na AMD Ryzen 3 3250U 4GB 128GB SSD 14" Laptop White</t>
  </si>
  <si>
    <t>HP Elitebook 830 G6 Laptop - 13" FHD + I5-8365U CPU + NVMe SSD &amp; Windows 11 Pro</t>
  </si>
  <si>
    <t>Lenovo ThinkPad X1 Carbon G6 Core I5 16GB RAM 1TB SSD Windows 10 Pro HD Laptop</t>
  </si>
  <si>
    <t>HP Elitedesk 830 G5 13.3in 8th Gen i5 i7 8/16GB RAM 256/512GB SSD Win 11, G</t>
  </si>
  <si>
    <t>Lenovo Thinkpad X1 Carbon 2nd Gen i7-4550U 8GB RAM 500GB SSD Win10 Pro (VG) -...</t>
  </si>
  <si>
    <t xml:space="preserve">HP x2 11-da0502na 11" 2 in 1 Chromebook Quad HD Snapdragon 7c 4GB 64GB emmc </t>
  </si>
  <si>
    <t>HP Elitebook 840 G2 Laptop Intel Core i5-5300U 8GB 256GB SSD Touch Screen</t>
  </si>
  <si>
    <t>Minecraft Edition Laptop Intel I5 4Th Gen 8Gb 120Gb SSD 14.1" Webcam Windows 11</t>
  </si>
  <si>
    <t>Fast Cheap Gaming Laptop HP Intel i5 256GB SSD 15.6" 8GB Win11 PC Computer</t>
  </si>
  <si>
    <t>HP Notebook 250 G7 Core i5 8265U 8GB 25GB SSD 15.6" Windows 10 Pro Laptop</t>
  </si>
  <si>
    <t>Lenovo ThinkPad P14s Gen 1 Laptop 14 FHD, Ryzen Pro 7 4750U, 16GB RAM, 512GB,AMD</t>
  </si>
  <si>
    <t>Dell Latitude E6230 Very Good BLACK 12.5" - I5/I7 CPU / 8GB / 128GB/256GB SSD</t>
  </si>
  <si>
    <t>FAST DELL Latitude Intel Quad Core i5 8th Gen 256GB SSD 16GB Windows 11 Laptop</t>
  </si>
  <si>
    <t>Dell latitude E7470 14" intel  i5-6300u 6th gen 8GB Ram 256GB SSD WIN 11 PRO</t>
  </si>
  <si>
    <t>ASUS ZenBook Flip 13 UX363, Intel Core i5 , 8GB RAM, 512GB SSD, 13.3", Grey - Ex</t>
  </si>
  <si>
    <t>RENEWED Lenovo Thinkpad T470s Core i5-7300U 16GB 256GB SSD Touchscreen FHD</t>
  </si>
  <si>
    <t>ASUS VivoBook F415 Laptop Intel Pentium Gold 7505 4GB 128GB SSD 14" FHD Win 10 S</t>
  </si>
  <si>
    <t>Lenovo ThinkPad X1 Yoga Gen 2 14" i7-7600U 16GB 512GB SSD Cam WiFi</t>
  </si>
  <si>
    <t>Lenovo Yoga Slim 7 Pro 14" 2K Laptop Core i7 11370H 11th Gen 16GB RAM 512GB SSD</t>
  </si>
  <si>
    <t>HP ProBook 430 G7 13.3" Laptop Core i7 10th Gen 16GB 256GB SSD Windows 11 Pro</t>
  </si>
  <si>
    <t>LENOVO IdeaPad 3 15.6" Laptop - AMD Ryzen 7 - 512GB SSD - Blue - REFURBISHED</t>
  </si>
  <si>
    <t>ACER</t>
  </si>
  <si>
    <t>ACER 715 15.6" Chromebook - Intel Pentium - 128GB emmC - Grey - REFURB-B</t>
  </si>
  <si>
    <t>Dell Latitude E5470 14" FHD i5-6300U 128GB SSD 8GB laptop</t>
  </si>
  <si>
    <t>ASUS ROG Zephyrus M16 GU603HM-KR007T i7-11800H 16" 1Tb SSD 16Gb RTX 3060 W10</t>
  </si>
  <si>
    <t>IdeaPad 3i 15.6" Laptop Intel Core i5 1235U 12th Gen 8GB 256GB SSD Windows 11</t>
  </si>
  <si>
    <t>Microsoft Surface Pro 12.3" Intel Core i7 16GB RAM 256GB SSD Top Spec Laptop</t>
  </si>
  <si>
    <t>HP Elitebook 1040 G1 Folio Intel i5-43000U 8GB 128GB 14" Webcam SLIM LIGHTWEIGHT</t>
  </si>
  <si>
    <t>DELL LATITUDE E6430 LAPTOP CORE i5-3340M | 16GB | 480GB SSD | WEBCAM | WIN 11</t>
  </si>
  <si>
    <t>Geo Computers GeoBook 140 14" Laptop Windows 10 Intel Celeron 4Gb 64Gb eMMC</t>
  </si>
  <si>
    <t>CHEAP Laptop Windows 10  1 Year Warranty Core i3 8GB Ram 320GB HDD</t>
  </si>
  <si>
    <t>Lenovo Touchscreen Laptop IdeaPad Flex 5 15.6" 2 in 1 Ryzen 5 8GB RAM 256GB SSD</t>
  </si>
  <si>
    <t>Panasonic Toughbook Cf-31 Mk4 i5 Military Grade Up To 16 Gb Ram Rugged Laptop 4G</t>
  </si>
  <si>
    <t>Dell Latitude E5530 Windows 10 15.6" Laptop Intel i5 3320M @2.6GHz 4GB 500GB HDD</t>
  </si>
  <si>
    <t>Panasonic Toughbook CF-54 Rugged Laptop i5 ,Win 10 Pro, Fhd Touch 4G Up to 16 Gb</t>
  </si>
  <si>
    <t>HP ZBook Studio X360 G5 E-2176M 32GB RAM 250GB/1TB SSD P1000M W10/W11, G</t>
  </si>
  <si>
    <t>Renewed Dell Precision 7520 - Nvidia M2200 - 512 SSD - 16Gb 15.6" -1 Yr Warranty</t>
  </si>
  <si>
    <t>Dell Latitude E7240 Laptop, 12.5" Intel® Core i7, 8GB RAM, 256GB SSD, Windows 10</t>
  </si>
  <si>
    <t>Lenovo ThinkPad X260 I5-6200U 4GB 8GB 256GB SSD 1TB SSD Windows 10 Laptop</t>
  </si>
  <si>
    <t>Thin Lightweight Lenovo Carbon X1 14" Cheap Gaming Laptop Intel Core i5 256GB SS</t>
  </si>
  <si>
    <t>Lenovo ThinkPad X1 Yoga 14" i5-8265U 1TB 16GB Touchscreen QHD Windows 11 Laptop</t>
  </si>
  <si>
    <t>Cheap Windows 11 4th Gen i5 Laptop 12.5" Dell Latitude E7240 4GB RAM 128 GB SSD</t>
  </si>
  <si>
    <t>Dell Latitude 5591 Core i7 8th Gen 15.6" NVIDIA 32GB Ram 512GB SSD Windows 11</t>
  </si>
  <si>
    <t>LENOVO IdeaPad 3i 14" Laptop - Intel® Core™ i5 - 256GB SSD - REFURB-A</t>
  </si>
  <si>
    <t>Asus VivoBook 15 X515JA-BQ1414T 15.6"FHD Core i5 10th gen 256gb ssd 8GB Win11 (1</t>
  </si>
  <si>
    <t>Panasonic Toughbook CF-54 Toughbook 16GB  Ram Win 10 Pro Rugged Laptop Fhd Touch</t>
  </si>
  <si>
    <t>HP Chromebook 11A G8 Education Edition 11.6" AMD A4 9120C 4GB RAM 16GB eMMC</t>
  </si>
  <si>
    <t>Lenovo Thinkpad X1 Yoga 1st Gen i7-6600U 16GB RAM 512GB SSD Win 10 Pro (G) - ...</t>
  </si>
  <si>
    <t>Lenovo IdeaPad 3i 15.6" FHD Laptop Intel Core i7 1165G7 8GB 512GB SSD Blue</t>
  </si>
  <si>
    <t xml:space="preserve">Fast Lenovo Think Pad T430 Core i5 4-8GB Window 10 Pro </t>
  </si>
  <si>
    <t>Dell Latitude 5290 Tablet, Intel® Core i5, 8GB RAM, 256GB SSD, Black, Windows 10</t>
  </si>
  <si>
    <t>Lenovo Thinkpad T470 Core i5-6300U 2.40GHz 8GB DDR4 256GB SSD Webcam Laptop</t>
  </si>
  <si>
    <t>Lenovo Ideapad 5i 14" FHD Touchscreen Chromebook Intel 7505 4GB RAM 128GB SSD</t>
  </si>
  <si>
    <t>Dell Latitude 7490 Laptop, 14" FullHD Screen, i7-8650U, 16GB RAM, 512GB SSD</t>
  </si>
  <si>
    <t>Dell Latitude 7330 Laptop: Core i7 12th Gen, 16GB RAM 512GB, Iris Xe Warranty</t>
  </si>
  <si>
    <t>Panasonic Toughbook Cf 19 Rugged Laptop i5 Win 11  512 Gb Ssd 4G &amp; Gps</t>
  </si>
  <si>
    <t>HP ProBook 455 G9 Notebook AMD Ryzen 5 5625U 8GB 256GB Windows 11 Home</t>
  </si>
  <si>
    <t>Dell Latitude 3570 Laptop, 15.6" Intel® Core™ i5, 8GB RAM, 256GB HDD, Windows 10</t>
  </si>
  <si>
    <t xml:space="preserve">Lenovo ThinkPad X270 Laptop Intel Core i5-6200U 8GB 180GB SSD 12.5" Win 10 Pro </t>
  </si>
  <si>
    <t>Asus C223NA-GJ0014 11.6" Chromebook Celeron N3350 4GB RAM 32GB eMMC B Grade</t>
  </si>
  <si>
    <t>Dell XPS 13 9315 4.4 i5 1230U, 256GB SSD,8GB Ram, 13.4" FHD 1920x1200, TOUCH SCR</t>
  </si>
  <si>
    <t>Dell Inspiron 15 3511 Laptop 128GB SSD 4GB RAM Intel Core i3 Windows 11 Home</t>
  </si>
  <si>
    <t>Dell Alienware M15 R7 4.7ghz i7 ,16GB,1TB SSD,360hz 15.6",8GB nVidia RTX 3070 Ti</t>
  </si>
  <si>
    <t>Acer Chromebook 515 Laptop 128GB SSD RAM 4GB Intel Pentium GOLD 7505 Chrome OS</t>
  </si>
  <si>
    <t>HP Pavilion 15-eg0041na 15.6" Laptop Core i7 16GB RAM 512GB SSD Silver C Grade</t>
  </si>
  <si>
    <t>Panasonic Toughbook Cf-31 Mk2 i5 Military Grade Fully Rugged Diagnostics</t>
  </si>
  <si>
    <t>HP EliteBook 840 G5 Core i5 8350U 8GB 256GB SSD 14" FHD Windows 10 Pro Laptop</t>
  </si>
  <si>
    <t>Dell Latitude 3500 Laptop, 15.6" Intel® Core™ i5, 8GB RAM, 256GB SSD, Windows 10</t>
  </si>
  <si>
    <t>Dell Inspiron 12 3511 15.6" Laptop Core i5 8GB RAM 512GB SSD Silver C Grade</t>
  </si>
  <si>
    <t>CHEAP HP ProBook 640 G1 WINDOWS 11 Core i5-4200M 8GB 16GB Ram HDD SSD Laptop</t>
  </si>
  <si>
    <t xml:space="preserve">HP Stream 11 ak0021na 11.6" Laptop Intel Celeron N4020 4GB RAM 64GB eMMC </t>
  </si>
  <si>
    <t>FAST HP 655 G1 WINDOWS 11 LAPTOP AMD A8 128GB SSD 8GB RAM 15" HD GRAPHICS WEBCAM</t>
  </si>
  <si>
    <t xml:space="preserve">Acer Spin 3 SP313-51N 13.3" Laptop Core i7 1165G7 11th Gen 8GB RAM 512GB SSD </t>
  </si>
  <si>
    <t>Dell Latitude 7280 Touchscreen Core i7-6600U 8GB 128GB SSD FHD Webcam Laptop</t>
  </si>
  <si>
    <t>Dell Latitude 5580 Windows 10 15.6" Laptop Intel i5 7200U 2.5GHz 8GB 120GB SSD</t>
  </si>
  <si>
    <t>FAST Dell Latitude 7290 Laptop Intel Quad Core i7-8th 16GB 256GB NVMe Win11 Pro</t>
  </si>
  <si>
    <t>HP 15s-fq4553na Laptop 256GB SSD 4GB RAM Intel Core i5-1155G7 Windows 10 Silver</t>
  </si>
  <si>
    <t>Dell Inspiron 7737 Notebook i7, 16GB RAM, 1TB SSHD, 17.3 FHD Touchscreen GeForce</t>
  </si>
  <si>
    <t>Cheap Laptop Lenovo Thinkpad X240 Core i3 4th Gen 4GB 128GB SSD Windows 10 Fast</t>
  </si>
  <si>
    <t>Dell Inspiron 14 7420 Laptop, Intel Core i5, 8GB RAM, 512GB SSD, 14", Silver</t>
  </si>
  <si>
    <t>Honor Magicbook 14 Laptop 128GB SSD 8GB RAM Intel Core i5-1135G7 Windows 10</t>
  </si>
  <si>
    <t>Huawei MateBook D 14" Laptop Grey AMD Ryzen 5 3500U 8GB RAM 512GB SSD</t>
  </si>
  <si>
    <t>HP Pavilion 15-eg0065na Intel Pentium Gold 256GB SSD 15.6" Laptop - Silver  B</t>
  </si>
  <si>
    <t>Acer 15.6" Google ChromeBook Laptop Intel Pentium 4417U 4GB 128GB SSD Grey</t>
  </si>
  <si>
    <t>Lenovo X1 Carbon Windows 11 14" PC Intel i5 4210U 1.7GHz 4GB 120GB SSD</t>
  </si>
  <si>
    <t>Blue Pink Lenovo ThinkPad X240 Core I5 8GB RAM 256GB SSD Windows 10 Pro Laptop</t>
  </si>
  <si>
    <t>Dell Latitude 5591 Core i7 8th Gen 15.6" NVIDIA 16GB Ram 512GB SSD Windows 11</t>
  </si>
  <si>
    <t>Lenovo Ideapad S145 Laptop, 15.5" Intel Celeron, 8GB RAM, 256gb SSD, Windows 10</t>
  </si>
  <si>
    <t>HP ProBook 430 G3 Laptop, 13.3" Intel Core i5, 8GB RAM, 256GB SSD, Windows 10</t>
  </si>
  <si>
    <t>HP Spectre x360 14-ef0000na Convertible 13.5" Laptop i7 16GB RAM 1TB SSD C Grade</t>
  </si>
  <si>
    <t>MSI</t>
  </si>
  <si>
    <t>MSI GP66 Leopard 15.6" Gaming Laptop i7 11800H 32GB 1TB SSD GeForce RTX 3080</t>
  </si>
  <si>
    <t>Lenovo ThinkPad T450s 14" Touchscreen i7-5600U 8GB 256GB SSD WiFi Cam W10 Pro</t>
  </si>
  <si>
    <t>HP ProBook 640 G1 Windows 10 14" Laptop Intel i5 4200M 2.5GHz 8GB 120GB SSD</t>
  </si>
  <si>
    <t>Samsung Galaxy Book2 Pro NP930XED 13.3" Laptop 256GB RAM 8GB Intel i5 Windows 11</t>
  </si>
  <si>
    <t>Lenovo Yoga 6 Laptop 13.3" 256GB SSD RAM 8GB AMD Ryzen 5 Windows 10 Abyss Blue</t>
  </si>
  <si>
    <t>HP Elitebook x360 1030 G3 Core i5 8th Gen 16GB 512GB NVMe Laptop Touch Win 11</t>
  </si>
  <si>
    <t>Asus Vivobook 14 M413ia 14" FHD Ryzen 5 4500u 2.40Ghz 256GB SSD  8GB Win11 (1)</t>
  </si>
  <si>
    <t>Dell Vostro 3560 15.6" i3-3120M 2.50GHz 4GB Ram 320GB HDD Webcam HDMI Laptop</t>
  </si>
  <si>
    <t>Toshiba Gaming Laptop C50 15.6" 4th Gen Core i5 2.50Ghz, Webcam, Windows 10</t>
  </si>
  <si>
    <t>Asus Chromebook X415M 14" Laptop 128GB SSD RAM 4GB Intel N5030 Chrome OS PC</t>
  </si>
  <si>
    <t>Dell inspiron 7306 2-in-1 laptop Core i7 1165G7 16gb 500gb SSd 13.3 Touch (1390)</t>
  </si>
  <si>
    <t>HP Pavilion 14-DY0517SA 14" X360 Laptop i5-1135G7 4.2Ghz 8GB / 256 SSD Win 10</t>
  </si>
  <si>
    <t>Microsoft Surface Pro 5 Intel i5-7300U 2.6GHz 8GB 256GB SSD</t>
  </si>
  <si>
    <t>Fujitsu Lifebook A3510 Intel Core i3, 256GB 8GB RAM 15"6 LCD Win 10 Pro</t>
  </si>
  <si>
    <t>Samsung Galaxy Book2 Notebook 15.6" FHD i5-1235U 8Gb 256Gb SSD W11P</t>
  </si>
  <si>
    <t>Lenovo IdeaPad 3-14ITL05 14" FHD Laptop Intel Pentium Gold 7505 4GB 128GB SSD</t>
  </si>
  <si>
    <t>HP 15-gw0502sa Windows 10 15.6" Laptop AMD Athlon Silver 3050U 4GB RAM 1TB Black</t>
  </si>
  <si>
    <t>HP Gaming Laptop 250 G3 15.6" 4th Gen Core i3 1.70Ghz, 8GB, Webcam, Windows 10</t>
  </si>
  <si>
    <t>Lenovo Legion 5 15 - Phantom Blue - REFURBISHED Laptop</t>
  </si>
  <si>
    <t>Lenovo IdeaPad Gaming 3 Laptop 15.6" - Ryzen 5, Full HD, 8 GB, 512 GB, RTX 3060</t>
  </si>
  <si>
    <t>Lenovo IdeaPad Duet 3i 10.3" FHD 2 in 1 Laptop Intel Celeron N4020 4GB 64GB eMMC</t>
  </si>
  <si>
    <t>Lenovo ThinkPad T460s Windows 10 14" Laptop Intel i7 6600U 2.6GHz 12GB 256GB SSD</t>
  </si>
  <si>
    <t>Acer Aspire 2390 Intel Core 2 T5800 250GB HDD 2GB RAM 12.1" Windows 10 Laptop</t>
  </si>
  <si>
    <t>HP Chromebook 14a-nd0001na Laptop 64GB eMMC 4GB RAM AMD 3015Ce Chrome OS</t>
  </si>
  <si>
    <t>Samsung Galaxy Chromebook Go Laptop 64GB eMMC 4GB RAM Intel Celeron Chrome OS</t>
  </si>
  <si>
    <t>Asus Chromebook Notebook C424M 14" 64GB eMMC RAM 4GB Intel N5030 Chrome OS PC</t>
  </si>
  <si>
    <t>HP 15-N090SA Laptop Amd A8 4555M 8gb Mem 240gb SSD Radeon 15.6" Touch (1285)</t>
  </si>
  <si>
    <t>HP Pavilion 15-eh0045na Laptop AMD Athlon 3150U 4/128GB SSD Touchscreen Win 10 S</t>
  </si>
  <si>
    <t>Dell Inspiron 15 3510  Laptop 128GB SSD 4GB Intel Celeron Windows 11 Home Silver</t>
  </si>
  <si>
    <t>Lenovo ThinkPad T460s Windows 10 14" Laptop Intel i7 6600U 2.6GHz 8GB 256GB SSD</t>
  </si>
  <si>
    <t>FAST CHEAP DELL/HP/LENOVO CORE i3/i5 LAPTOP 8GB RAM 128GB SSD Wi-Fi WINDOWS 10</t>
  </si>
  <si>
    <t>Lenovo Yoga 7i 15 - Dark Moss - REFURBISHED Laptop</t>
  </si>
  <si>
    <t>Pink Gold Lenovo ThinkPad X280 Core I5-8250U 8GB RAM 256GB SSD Windows 11 Laptop</t>
  </si>
  <si>
    <t>HP Pro X2 612 G2 i5-7th Gen 8GB RAM 256GB SSD Windows 10 Pro (4VV13UP#ABA) A+</t>
  </si>
  <si>
    <t>Lenovo IdeaPad 5i 14 - Abyss Blue - REFURBISHED Laptop</t>
  </si>
  <si>
    <t>Dell Latitude 7480 14" Laptop, Intel i5, 8GB RAM, 128GB SSD - Black - Good</t>
  </si>
  <si>
    <t>HP Pavilion 15-n278sa 15.6" AMD A8 1TB 8GB HD DVD Windows 10 Silver Laptop C1</t>
  </si>
  <si>
    <t>HP ENVY x360 15-eu0005na 15.6" Convertible Laptop Ryzen 7 16GB 512GB C Grade</t>
  </si>
  <si>
    <t>Cheap Fast Lenovo ThinkPad Windows 10 Laptop I5 4th-8th Gen 8GB 256GB Blue Pink</t>
  </si>
  <si>
    <t>Dell Alienware M15 R7 Ryzen 4.7ghz, 16GB, 512GB SSD, 6GB nVidia RTX 3060</t>
  </si>
  <si>
    <t>Dell Latitude 3570 Windows 10 15.6" Laptop Intel i5 6200u 2.3GHz 8GB 500GB HDD</t>
  </si>
  <si>
    <t>Asus X409JA-EK025T / A409JA 14" FHD Core i5 10th gen 256gb ssd 8GB Win 11 (1</t>
  </si>
  <si>
    <t>LENOVO IdeaPad 3i 14" Chromebook - Intel® Celeron® N4020 - REFURBISHED</t>
  </si>
  <si>
    <t>LENOVO IdeaPad Flex 5i 13.3" 2 in 1 Chromebook - Grey - REFURB-A</t>
  </si>
  <si>
    <t>DELL Inspiron 16 5620 i7 1255U 4.7ghz, 16GB, 512GB, 16" FHD, Backlit Keyboard</t>
  </si>
  <si>
    <t>Lenovo IdeaPad S340-14 14" Celeron 64GB 4GB Slim Black Chrome OS Laptop C2</t>
  </si>
  <si>
    <t>Dell Latitude 5480 14" Laptop, Intel Core i5, 8GB, 256GB SSD, Black - Excellent</t>
  </si>
  <si>
    <t>HP 14S-DQ2019NA Laptop, Intel Core i3, 8GB RAM, 128 SSD, 14", Natural Silver - R</t>
  </si>
  <si>
    <t>Dell Latitude 7280 12.5" Laptop, Intel Core i5, 8GB, 256GB, Black - Excellent</t>
  </si>
  <si>
    <t>Microsoft Surface Laptop 13.5" Touchscreen- 500GB SSD Intel Core i7-8650U 16GB</t>
  </si>
  <si>
    <t>Acer Predator Triton 300 15.6" RTX 3080 Laptop i7 11800H 11th Gen 16GB 1TB SSD</t>
  </si>
  <si>
    <t>Dell Latitude E5550 i5-5200U 2.20GHz 8GB Ram 500GB HDD Windows 11 Webcam Laptop</t>
  </si>
  <si>
    <t>Asus VivoBook Pro 14 K3400PA-KM017T Laptop 512GB SSD 8GB RAM Intel Windows</t>
  </si>
  <si>
    <t>HP Omen 16-c0500na 16.1" 165Hz QHD Gaming Laptop Ryzen 7 5800H 16GB RAM RX 6600M</t>
  </si>
  <si>
    <t>Toshiba Portege Z30-A Slimline i5-4200U 4GB 128GB SSD Windows 11 Webcam Laptop</t>
  </si>
  <si>
    <t>Lenovo Thinkpad L390 - i5 8265U 8Gb RAM 256Gb SSD 13.3" 13"- Windows 11 Pro</t>
  </si>
  <si>
    <t>Lenovo Ideapad Flex 3 82BB000HUK Intel Celeron, 4GB, 32GB, 11.6", Almond</t>
  </si>
  <si>
    <t>HP Elitebook 840 G5 Laptop i5-7200U 2.50GHz 8GB RAM 256GB NVME SSD Win10 C</t>
  </si>
  <si>
    <t>Laptop Dell Latitude 3350 - i3 5005U @ 2.00GHz/8GB/12&lt;wbr/&gt;0GB SSD/Win11Home</t>
  </si>
  <si>
    <t>HP 840 G2 - EliteBook - i5 (5TH) 2.90GHZ  - 8GB - 240GB SSD - Touchscreen - CL93</t>
  </si>
  <si>
    <t>GeoBook 140 Minecraft Ed 14.1" Laptop Intel Celeron N3450 4GB 64GB eMMC Green</t>
  </si>
  <si>
    <t xml:space="preserve">ASUS ZenBook Flip 13 Laptop i5-1035G4 8GB RAM 512GB SSD 13.3" FHD IPS Touch W10 </t>
  </si>
  <si>
    <t>Windows 11 Dell Latitude 7480 Core i5-6300U 256GB SSD 16GB Laptop Notebook 14"</t>
  </si>
  <si>
    <t>Lenovo ThinkPad T460s Windows 10 14" Laptop Intel i7 6600U 2.6GHz 8GB 240GB SSD</t>
  </si>
  <si>
    <t>Samsung Galaxy Book Go 14" Laptop 4GB RAM 128GB SSD Full HD Mystic Silver</t>
  </si>
  <si>
    <t>Lenovo IdeaPad 5i 14" Chromebook, Intel i3, 4GB RAM, 256GB SSD (82M8001CUK)</t>
  </si>
  <si>
    <t>Dell Laptop Latitude E5280 Core i5-7300U 8GB Ram 128GB  Windows 11  Webcam Hdmi</t>
  </si>
  <si>
    <t>14a HP Google Chromebook 14" inch Screen OS Chrome with USB-C/Bluetoot&lt;wbr/&gt;h/64GB</t>
  </si>
  <si>
    <t>Lenovo Thinkpad T470S Laptop i7 6th Gen 256GB SSD 12GB USB-C HD Webcam 4G WiFi</t>
  </si>
  <si>
    <t>Dell Latitude 7390 Touchscreen Laptop 8th Gen i5 8 GB DDR4 256 GB M.2 Windows 11</t>
  </si>
  <si>
    <t>Lenovo ThinkPad T470s Laptop Touch Screen i7 7th Gen 8GB 240 SSD Windows 11 Pro</t>
  </si>
  <si>
    <t xml:space="preserve">Microsoft Surface Pro 5 - 1796 - i5-7300U 8GB RAM 256GB eMMC  Windows 10 Home </t>
  </si>
  <si>
    <t>HP EliteBook 840 G6 Laptop i5-8365U 1.60GHz 14" HD 8GB RAM 256GB SSD Win10 C</t>
  </si>
  <si>
    <t>Fujitsu LifeBook A512 Windows 10 15.6" Laptop Intel i3 3110 2.4GHz 4GB 500GB HDD</t>
  </si>
  <si>
    <t>Dell Latitude E7270 Laptop, 12.5" Intel® Core i5, 8GB RAM, 256GB SSD, Windows 10</t>
  </si>
  <si>
    <t>Lenovo S330 MediaTek MT8173C 4Gb 64Gb eMMC 14" FHD Chrome OS 81JW001GUK</t>
  </si>
  <si>
    <t>Asus X543u 15.6" FHD Core i5-8250u upot 1.8Ghz 500GB 8GB Win11 laptop 1YR RTB (3</t>
  </si>
  <si>
    <t>Venturer Europa 11 Notebook Intel Celeron 2Gb 64Gb SSD 11.6" IPS Full HD Win 10</t>
  </si>
  <si>
    <t>Lenovo ThinkPad 13 2nd Gen, Intel Core i5, 8GB RAM, 128GB SSD, Black - Fair Cond</t>
  </si>
  <si>
    <t>Acer Aspire E1-570 15.6" i3-3217U 750GB 6GB HD DVD Windows 10 Black Laptop</t>
  </si>
  <si>
    <t>Dell Latitude 7280 12.5" Laptop, Intel Core i5, 8GB, 256GB SSD, Black - Good</t>
  </si>
  <si>
    <t>Laptop Dell Vostro 15 3568 15.6" Intel i3-7130U/2.70G&lt;wbr/&gt;Hz/4GB/120GB SSD/Win 11 Pro</t>
  </si>
  <si>
    <t>Lenovo IdeaPad 3 81WD00F5UK Intel Core i3, 14" Laptop, 128GB SSD, 4GB RAM - Blue</t>
  </si>
  <si>
    <t>Dell Latitude E5401 14" Laptop i5-9400H 16GB RAM 240GB SSD WEB CAM W10P🔥🔥</t>
  </si>
  <si>
    <t>Lenovo Thinkpad X1 Carbon 2nd Gen Touchscreen Core i5-4300U 8GB 128GB SSD Laptop</t>
  </si>
  <si>
    <t>HP 250 G4 15.6" Core i5-6200U 2.30GHz 4GB Ram 500GB SSD HDD Warranty Laptop</t>
  </si>
  <si>
    <t>Lenovo IdeaPad 5 Pro Intel Core i5 1135G7 11th Gen 8GB 512GB SSD 14" 2.8K Laptop</t>
  </si>
  <si>
    <t>Lenovo IdeaPad 3i 14" Chromebook, Intel Celeron, 4GB RAM, 64GB eMMC (82C1000GUK)</t>
  </si>
  <si>
    <t>Dell Inspiron 16 5620  Laptop 512GB SSD 8GB RAM Intel Core i5 Windows 11 Home</t>
  </si>
  <si>
    <t>HP EliteBook 820 G2 12.5" i5-5200U 256GB 8GB HD Windows 10 Business Laptop B</t>
  </si>
  <si>
    <t>Lenovo IdeaPad 5i 13.3" Chromebook - Intel Core i3, 4GB RAM, 128GB (82M70006UK)</t>
  </si>
  <si>
    <t>Lenovo IdeaPad S340-15IWL - Intel Pentium, 4GB RAM, 128GB HDD, 15.6" - Grey</t>
  </si>
  <si>
    <t>Lenovo IdeaPad 3 81WE010HUK Laptop, Intel i5, 8GB RAM, 256GB SSD, 15.6", Grey</t>
  </si>
  <si>
    <t>HP Envy 13-ba1561sa 13.3" Laptop i5 1135G7 11th Gen 8GB 512GB GeForce MX450</t>
  </si>
  <si>
    <t>Laptop Dell Latitude E5440 i5 - 1.70GHz/8GB/12&lt;wbr/&gt;0GB SSD/Windows 11 Pro</t>
  </si>
  <si>
    <t>Lenovo IdeaPad 1-11ADA05 11.6" Windows Laptop AMD 3020e 4GB RAM 64GB eMMC Grey</t>
  </si>
  <si>
    <t>Panasonic Toughbook Cf-19 Rugged Laptop i5 Win 10 Pro Or 11 Pro  4G  512 Gb Ssd</t>
  </si>
  <si>
    <t>Dell Latitude 7480 Laptop, 14" Full HD, Intel i7-7600U, 16GB, 256GB SSD</t>
  </si>
  <si>
    <t>Huawei MateBook D 15.6" Laptop Intel Core i5 10210U 8GB RAM 512GB SSD</t>
  </si>
  <si>
    <t>HP Elitebook X360 1030 G2 i5 7300u 2.50Ghz 8GB RAM 256GB SSD FHD Touch Win 11</t>
  </si>
  <si>
    <t>HP ProBook x360 440 G1 Touchscreen Laptop i5 8th 3.4GHz 512GB SSD 16GB Window 11</t>
  </si>
  <si>
    <t>HP Pavilion Laptop 14" Full HD IPS Intel Quad Core i5-1035G1 16GB RAM 512GB SSD</t>
  </si>
  <si>
    <t>ASUS VivoBook X415JA Laptop Core i7-1065G7 8GB RAM 512GB SSD 14" FHD IPS Win 10</t>
  </si>
  <si>
    <t>Lenovo Yoga 12 Windows 10 12.5" Laptop Intel i5 5200U 2.2GHz 4GB 120GB SSD</t>
  </si>
  <si>
    <t>Lenovo IdeaPad 3i Intel Celeron N4020 64GB eMMC Chromebook 11.6" Laptop</t>
  </si>
  <si>
    <t>Laptop Dell Latitude E7270 Core i5-6200u/2.30G&lt;wbr/&gt;Hz/4GB/128GB SSD/Windows 10 Pro</t>
  </si>
  <si>
    <t>Lenovo Thinkpad T440 Core i5-4300U 8GB Ram 128GB SSD Windows 11 Webcam Laptop</t>
  </si>
  <si>
    <t>ASUS Vivobook X405UA Intel Core i3-7100U 4GB RAM 128GB SSD 14" Windows 10 Laptop</t>
  </si>
  <si>
    <t>Lenovo IdeaPad 3 Chromebook Celeron N4020 4Gb 32Gb eMMC 11.6" HD Chrome</t>
  </si>
  <si>
    <t>Laptop Dell Latitude 5580 15.6in i5 6th Gen 8GB RAM 256GB SSD Warranty, VG</t>
  </si>
  <si>
    <t>FAST Windows 11 LAPTOP Intel i5 Dell Latitude 14" 8GB RAM 128GB SSD FHD HDMI CAM</t>
  </si>
  <si>
    <t>Dell Latitude E7240 Laptop Intel Core i5 4th Gen 4GB 256GB M.2 SSD</t>
  </si>
  <si>
    <t>HP 14s-dq2021na i5-1135G7 Notebook 14" FHD 8Gb 512Gb SSD W11 Silver</t>
  </si>
  <si>
    <t>DELL XPS 13 9370 i5-8250U Quad Core 8Gb 1Tb SSD FHD Win 10</t>
  </si>
  <si>
    <t>Lenovo IdeaPad 3i 15.6" FHD Laptop Intel Core i7 1255U 12th Gen 8GB 512GB SSD</t>
  </si>
  <si>
    <t>15.6" ASUS FX51P TUF Gaming Laptop Core i5-11300H, 3050, 16GB, 512GB SSD,Wins10</t>
  </si>
  <si>
    <t>Dell Latitude 5290 Laptop, 12.5" HD Screen, i5-8250U, 16GB, 256GB SSD</t>
  </si>
  <si>
    <t>Lenovo ThinkPad T440p i3-4000M 2.40GHz 8GB Ram 500GB Windows 11 Webcam Laptop</t>
  </si>
  <si>
    <t>HP Elitebook 840 G3 Intel i5 6300u 2.40Ghz 8GB RAM 256GB SSD 14" Webcam Win 10</t>
  </si>
  <si>
    <t>HP Pavilion 14-dv1629sa 14" Laptop Core i5 1155G7 11th Gen 8GB 512GB Windows 11</t>
  </si>
  <si>
    <t>Acer Spin 5 SP513-51 Intel i3-7100U 8GB RAM 128GB SSD 13.3" Touchscreen Laptop</t>
  </si>
  <si>
    <t>Dell Latitude E7240 i3-4010U 1.70GHz 4GB Ram 128GB SSD Windows 11 Webcam Laptop</t>
  </si>
  <si>
    <t>Samsung Galaxy Book 2 360 Laptop NP730QED 256GB RAM 8GB Core i5 Windows 11 PC</t>
  </si>
  <si>
    <t>Dell XPS 7390 i5-10210U QUAD Core 8Gb 1Tb SSD FingerPrint Windows 10</t>
  </si>
  <si>
    <t>Refurbished Dell Latitude 3310 Intel Core 8265 U 256 SSD 8Gb Ram 1 Yr Warranty</t>
  </si>
  <si>
    <t>Inspiron 14 3493 i5-1035G1 16GB 1TB SATA HD NVIDIA 2GB 14-inch HD W10 WIFI CAM</t>
  </si>
  <si>
    <t>Dell Latitude 14 5404 Rugged i7 4650u 1.70Ghz 8GB 240GB SSD 14" Win 10</t>
  </si>
  <si>
    <t>FAST Windows 11 LAPTOP i5 12.5" Dell Latitude E7240 4GB RAM 128 GB SSD HDMI</t>
  </si>
  <si>
    <t>Panasonic Toughbook CF 54 Rugged Laptop 16 GB RAM 1 Tb  Ssd Win 10 Pro Fhd Touch</t>
  </si>
  <si>
    <t>Panasonic Toughbook CF-D1, i5 6th Gen Mk 3, 16GB RAM Windows 10 Pro Diagnostics</t>
  </si>
  <si>
    <t>🔥🔥Dell Latitude Laptop 14" E5440 i5-4200U 8GB RAM 240GB SSD WWAN 4G W10P🔥🔥</t>
  </si>
  <si>
    <t>Dell Latitude 7280 Core i5-6300U 2.40GHz 8GB 128GB SSD Webcam Windows 11 Laptop</t>
  </si>
  <si>
    <t>Laptop HP 250 G6 15.6" Grey Intel i5-7200U/4GB/1&lt;wbr/&gt;20GB SSD/Win 11 Home</t>
  </si>
  <si>
    <t>Laptop Dell Latitude E5470 Core i5-6440 2.60GHz/8GB/12&lt;wbr/&gt;8GB SSD/Win11Pro</t>
  </si>
  <si>
    <t>DELL Inspiron 14 Plus 7420 4.7 i7, 16GB, 512 SSD,  14" 2.2K 2240x1400 1YR WRNTY</t>
  </si>
  <si>
    <t>DELL LATITUDE E7450 CORE I7 5TH GEN 256GB SSD 8GB RAM WINDOWS 11 WIFI HD SCREEN</t>
  </si>
  <si>
    <t>Samsung Galaxy Book Pro 15.6" Laptop, Intel Core i5, 8GB RAM, 512GB SSD, Silver</t>
  </si>
  <si>
    <t xml:space="preserve">Laptop Lenovo Yoga 2 13 13.3" Intel i3-4010U/4GB/1&lt;wbr/&gt;20GB SSD/Win 10 Pro </t>
  </si>
  <si>
    <t>Dell XPS 15 9520 Laptop 512GB SSD 16GB RAM Intel Core i5-12500H Windows 11 Home</t>
  </si>
  <si>
    <t>Apple iPhone 11 Red 64GB Unlocked Refurbished, G</t>
  </si>
  <si>
    <t>Dell Latitude 3480 i3-6006U 2.00GHz 8GB Ram 128GB SSD Webcam Windows 11 Laptop</t>
  </si>
  <si>
    <t>Dell Latitude E7470 Core i3-6100U 2.30GHz 8GB DDR4 128GB SSD Webcam HDMI Laptop</t>
  </si>
  <si>
    <t>Dell Inspiron 15 3515 Laptop, AMD Ryzen 5, 8GB RAM, 256GB SSD, 15.6", Black</t>
  </si>
  <si>
    <t>HP ProBook 430 G2 Windows 10 13.3" Laptop Intel i5 5200U 2.2GHz 4GB 500GB HDD</t>
  </si>
  <si>
    <t>Lenovo Yoga 12 Windows 10 12.5" Laptop Intel i5 5200U 2.2GHz 4GB 500GB HDD</t>
  </si>
  <si>
    <t>CHEAP Dell Latitude 7480 Core i5-6200U 2.30GHz 8GB DDR4 128GB SSD Webcam Laptop</t>
  </si>
  <si>
    <t>HP EliteBook 820 G3 Windows 11 12.5" Laptop Intel i5 6200U 2.3GHz 8GB 256GB SSD</t>
  </si>
  <si>
    <t>Thin Lightweight Lenovo Carbon X1 14" Car | Vehicle Diagnostics Laptop Notebook</t>
  </si>
  <si>
    <t>HP ProBook 640 G1 Windows 10 14" Laptop Intel i5 4200M 2.5GHz 4GB 500GB HDD</t>
  </si>
  <si>
    <t>Laptop HP EliteBook 840 G4 14in 7th Gen i7 16GB RAM 512GB SSD Touchscreen, VG</t>
  </si>
  <si>
    <t>Dell Latitude 7270 WINDOWS 11 LAPTOP 12.5" i7-6th 8GB RAM 128GB SSD FHD HDMI</t>
  </si>
  <si>
    <t>Dell Latitude E7270 i3-6100U 2.30GHz 8GB Ram 128GB SSD Windows 11 Webcam Laptop</t>
  </si>
  <si>
    <t>Dell Latitude E7270 i7-6600U 2.60GHz 8GB Ram 128GB SSD Windows 11 Webcam Laptop</t>
  </si>
  <si>
    <t>HP Cheap EliteBook 8440p Gaming Laptop 14" Intel Core i5 2.53Ghz, Windows 10</t>
  </si>
  <si>
    <t>ASUS VivoBook S14 Laptop Ryzen 7 3700u 8GB RAM 512GB SSD 14.2" FHD CIYL-105</t>
  </si>
  <si>
    <t>Acer Aspire 3 A315-53-52GL, Intel Core i5, 8GB RAM, 2TB HDD, 15.6", Black</t>
  </si>
  <si>
    <t>Dell Inspiron 14 7400 14.5" Laptop, Intel Core i7-1165G7, 8GB, 512GB SSD, Silver</t>
  </si>
  <si>
    <t xml:space="preserve">Laptop Dell Vostro 3558 Intel Core i3-4005U - 1.70GHz/4GB/50&lt;wbr/&gt;0GB/Windows 10 Pro </t>
  </si>
  <si>
    <t>Lenovo Ideapad 300-15ISK, Intel Core i5, 8GB RAM, 1TB HDD, 15.6", Black</t>
  </si>
  <si>
    <t>Cheap fast dell laptop e5430 Intel I5 3rd 4GB 320Gb Webcam 14.1" Windows 10 HDMI</t>
  </si>
  <si>
    <t>Acer Nitro 5 AN515-54FV Laptop, intel i5, 8GB RAM, 1TB, 15.6" Full HD, Black</t>
  </si>
  <si>
    <t>HP Chromebook 11a-ne0000na MT8183 Notebook 11.6" HD 4Gb 64Gb eMMC Chrome Grey</t>
  </si>
  <si>
    <t>Laptop Dell Latitude 3550 15.6" Intel i5-5200U/2.20G&lt;wbr/&gt;Hz/4GB/120GB SSD/Win 10 Home</t>
  </si>
  <si>
    <t>Lenovo ThinkPad T540p Core i5-4200M 2.50GHz 8GB Ram 500GB HDD Windows 11 Laptop</t>
  </si>
  <si>
    <t>HP 14s-dq2502sa 14" Laptop Intel Pentium Gold 7505 4GB 128GB Windows 10</t>
  </si>
  <si>
    <t>Lenovo IdeaPad 5 Pro Intel Core i5 1135G7 11th Gen 8GB RAM 512GB 14" 2.8K Laptop</t>
  </si>
  <si>
    <t>ASUS E210M Laptop E210M</t>
  </si>
  <si>
    <t>HP Envy 15-ep1503na 15.6" Laptop Core i7 11800H 16GB RAM 512GB SSD RTX 3050 Ti</t>
  </si>
  <si>
    <t>Lenovo Duet ZA6F0025GB Laptop, MediaTek, 4GB, 64GB, 10.1", Ice Blue/Grey - Good</t>
  </si>
  <si>
    <t>Lenovo IdeaPad 3 82H801GQUK Laptop, Intel i3, 8GB RAM, 128GB SSD, 15.6", Grey</t>
  </si>
  <si>
    <t>Dell Latitude E5470 14" Laptop, Intel Core i5, 8GB, 500GB SSD, Black - Pristine</t>
  </si>
  <si>
    <t>Lenovo Yoga 9 14IAP7 Laptop 512GB SSD 16GB RAM Intel Core i5-1240P Windows 11</t>
  </si>
  <si>
    <t>Lenovo Thinkpad X260 Core i5 2.30GHz 8GB 180GB SSD Webcam Windows 10 Laptop</t>
  </si>
  <si>
    <t>Laptop HP ProBook 640 G2 14" Intel i5-6200U/8GB/1&lt;wbr/&gt;20GB SSD/Win11Pro</t>
  </si>
  <si>
    <t>ASUS Chromebook C425TA Laptop Intel Core M3-8100Y 4GB RAM 64GB eMMC 14" Full HD</t>
  </si>
  <si>
    <t>Dell Latitude 5580 Intel i5 6300u 2.40Ghz 8GB RAM 256GB SSD 15" HD Win 10</t>
  </si>
  <si>
    <t>Lenovo ThinkPad X1 Yoga 1st Gen 14" Notebook i5-6300U 8GB RAM 250GB SSD FHD, G</t>
  </si>
  <si>
    <t>HP Omen 16-b1001na 16.1" 165Hz QHD IPS 14-Core i7-12700H 16GB, 1TB SSD RTX3070Ti</t>
  </si>
  <si>
    <t>Lenovo ThinkPad X380 Yoga 13" Laptop Touch i5-8250U 8GB RAM 256GB SSD Pristine</t>
  </si>
  <si>
    <t>Dell Laptop Latitude E5280 Core i5-7300U 8GB Ram 256GB  Windows 11  Webcam Hdmi</t>
  </si>
  <si>
    <t>Lenovo IdeaPad 5 AMD Ryzen 5 4500U 8Gb 256Gb SSD 15.6" FHD W10S 81YQ0015UK</t>
  </si>
  <si>
    <t>Huawei MateBook D 14" Intel Core i3 1115G4 11th Gen 8GB RAM 256GB SSD Grey</t>
  </si>
  <si>
    <t>Asus X515JA-EJ2133W 15.6" Laptop Core i3 8GB RAM 256GB SSD Silver</t>
  </si>
  <si>
    <t>Dell Latitude 7240 Core i5-4310U 8GB Ram 128GB SSD Windows 10 Laptop 1 WARRANTY</t>
  </si>
  <si>
    <t>LENOVO Legion 7i 16 Gaming Intel Core i9 RTX 3080ti 32GB DDR5 RAM 1 TB SSD 165Hz</t>
  </si>
  <si>
    <t>Dell Latitude 3380 Windows 10 13.3" Laptop Intel i3 6006U 2GHz 4GB 120GB SSD</t>
  </si>
  <si>
    <t>Samsung S20 5G Grey 128GB Unlocked Refurbished, VG</t>
  </si>
  <si>
    <t>Microsoft Surface Laptop Go Core i5-1035G1 4GB RAM 64GB eMMC 12.4" Touchscreen</t>
  </si>
  <si>
    <t>Asus ROG Zephyrus M16 GU603 16" Laptop Core i9 32GB RAM 2TB SSD RTX 3080Ti</t>
  </si>
  <si>
    <t>Lenovo ThinkPad T460s Windows 10 14" Laptop Intel i5 6300U 2.4GHz 8GB 128GB SSD</t>
  </si>
  <si>
    <t>Lenovo Thinkpad X280 Core i5-8250U 8GB 256GB SSD Webcam Windows 11 HDMI Laptop</t>
  </si>
  <si>
    <t>HP Stream 11-ak0506sa 11.6" Windows 10 Laptop Celeron N4020 2GB RAM 32GB eMMC</t>
  </si>
  <si>
    <t>Acer Chromebook CB714-W Intel Core i3 8130U, 4GB, 64GB eMMC, 14" Laptop Grey</t>
  </si>
  <si>
    <t xml:space="preserve">ASUS VivoBook 17 Laptop Intel Pentium Silver N5000 8GB RAM 1TB HDD 17.3" Win 10 </t>
  </si>
  <si>
    <t>Laptop Acer TravelMate P449 14" Intel i5-7200U/8GB/1&lt;wbr/&gt;20GB SSD/Win 11 Pro -Grade B</t>
  </si>
  <si>
    <t>HP X360 310 G2 Pentium Quad Core 4GB Ram 256GB SSD Webcam Windows 10 HDMI Laptop</t>
  </si>
  <si>
    <t>HP EliteBook 840 G8 Intel i5-1145G7 8Gb 256Gb SSD 14" Full HD W10P 48R33EA</t>
  </si>
  <si>
    <t>Cheap Lenovo ThinkPad X280 Laptop Core I5 8GB RAM 256GB SSD Windows 10 Pro Pink</t>
  </si>
  <si>
    <t>DELL Inspiron 16 Plus 7620 4.7 i7, 16GB, 512 SSD,  16" 3K 3072x1920 1YR WRNTY</t>
  </si>
  <si>
    <t>HP ProBook 450 G5 15.6" i5-8250U 8GB Ram 256GB SSD Windows 11 Warranty Laptop</t>
  </si>
  <si>
    <t>Toshiba Cheap Gaming Laptop Pro C660 15.6" Core i3 2.20Ghz, Webcam, Windows 10</t>
  </si>
  <si>
    <t>ASUS VivoBook K553 Laptop Core i5-1135G7 16GB 512GB SSD 15.6" FHD IPS OLED Win10</t>
  </si>
  <si>
    <t>Dell XPS 13 Plus 9320 13.4" Laptop Intel Core i5 1240P 12th Gen 16GB 512GB Grey</t>
  </si>
  <si>
    <t>HP Probook 470 G5 i5 8250u 1.60GHz 8GB RAM 256GB SSD 17.3-inch Windows 11</t>
  </si>
  <si>
    <t>Dell Latitude 5490 14in 7/8th Gen i5/i7 8G/16GB RAM 256/512GB SSD Win 10/11, G</t>
  </si>
  <si>
    <t>Lenovo ThinkPad Yoga L13 Gen 3 Ryzen 7 Pro 5875U 13.3" Touch 16Gb 256Gb SSD W11P</t>
  </si>
  <si>
    <t>Dell Latitude 7490 Intel i5 8350u 1.70Ghz 8GB RAM 128GB SSD 14" FHD Win 11</t>
  </si>
  <si>
    <t>Laptop Dell Latitude 5400 14in i5-8365U 8GB RAM 256GB SSD FHD Warranty, VG</t>
  </si>
  <si>
    <t>Lenovo THINKPAD WINDOWS 11 GAMING LAPTOP Core i7 8GB 240GB SSD Rocket League FHD</t>
  </si>
  <si>
    <t>Acer Aspire 3 15.6" Laptop Intel Core i3 1115G4 11th Gen 8GB RAM 128GB SSD</t>
  </si>
  <si>
    <t>Lenovo IdeaPad 110-15IBR 15.6" Celeron 240GB 4GB Full HD Windows Black Laptop C2</t>
  </si>
  <si>
    <t>Lenovo IdeaPad 3 Laptop, Intel Celeron, 4GB, 32GB, 11.6", Onyx Black - Excellent</t>
  </si>
  <si>
    <t xml:space="preserve">Laptop HP 240 G7 14.1" Intel Celeron N4020/4GB/128G&lt;wbr/&gt;B SSD/Win 10 Pro </t>
  </si>
  <si>
    <t>Dell Latitude 5590 15.6in 7th/8th Gen i5/i7 8GB/24GB RAM 256GB/512GB SSD FHD,VG</t>
  </si>
  <si>
    <t>FAST Lenovo ThinkPad X260 CHEAP Laptop Core i5-6200U 4GB/8GB 240GB/480GB SSD</t>
  </si>
  <si>
    <t>GOLD FINISHED REFURBISHED DELL LATITUDE 7290 CORE I5 8th GEN 8GB 250GB SSD</t>
  </si>
  <si>
    <t>Lenovo IdeaPad 1 15.6" Laptop AMD Ryzen 5 8GB RAM 256GB SSD Cloud Grey C Grade</t>
  </si>
  <si>
    <t>HP ENVY x360 15-ed0504na 15.6" i7 Laptop 16GB RAM, 512GB SSD, Silver - VERY GOOD</t>
  </si>
  <si>
    <t>Dell Latitude 3500 15.6" i3-8145U 2.10GHz 8GB 256GB SSD FHD Windows 11 Laptop</t>
  </si>
  <si>
    <t>Laptop Dell Latitude E7470 14in 6th Gen i5 i7 8GB 16GB RAM 256GB SSD, VG</t>
  </si>
  <si>
    <t>Lenovo ThinkPad L440 14" HD i5-4200M 8GB 128GB SSD DVDRW WiFi CAM Windows 10</t>
  </si>
  <si>
    <t>Lenovo ThinkBook 14s Yoga G2 IAP 14" Intel Core i5 1235U 8GB 256GB SSD</t>
  </si>
  <si>
    <t>HP 250 G5 15.6" Notebook Intel Core i3, 4GB RAM, 500GB HDD, Grey</t>
  </si>
  <si>
    <t>ASUS E510MA-EJ015TS Laptop, Intel Celeron N4020, 4GB RAM, 64GB eMMC, 15.6", Blue</t>
  </si>
  <si>
    <t>FAST WINDOWS 10 DELL CORE i5 LAPTOP WIFI HDMI FREE P&amp;P</t>
  </si>
  <si>
    <t>Lenovo IdeaPad 5 Pro 14" 2.8K Laptop Intel Core i5 1135G7 11th Gen 8GB 512GB SSD</t>
  </si>
  <si>
    <t>Lenovo ThinkPad 13 2nd Gen, Core i5, 8GB RAM, 128GB SSD, 13.3" Black - Excellent</t>
  </si>
  <si>
    <t>Dell Latitude E5250 Intel i5-5300U 8GB RAM 128GB SSD Wins 10 Pro - GRADE A</t>
  </si>
  <si>
    <t>Dell Latitude E5450 i5-5200U 2.20GHz 8GB Ram 256GB SSD Webcam Windows 11 Laptop</t>
  </si>
  <si>
    <t>Lenovo Duet ZA6F0025GB Chromebook Laptop, 4GB, 64GB, 10.1", Blue/Grey - Pristine</t>
  </si>
  <si>
    <t>Lenovo ThinkPad T470 Windows 10 14" Laptop Intel i5 6200u 2.3GHz 8GB 256GB SSD</t>
  </si>
  <si>
    <t>LENOVO X1 Carbon Intel i7 3667U 2.5GHz 128GB SSD 8GB 14" Win 10 UHD TOUCHSCREEN</t>
  </si>
  <si>
    <t>Lenovo IdeaPad Flex 5 13ITL6 Chromebook 13.3" FHD Touch i3-1115G4 4GB RAM 128GB</t>
  </si>
  <si>
    <t>Apple iPhone 12 Pro Graphite 128GB Unlocked Refurbished, VG</t>
  </si>
  <si>
    <t>HP Victus 16-e0081na 16.1" IPS 144Hz 6-Core Ryzen-5 8GB, 256GB SSD GTX 1650 4GB</t>
  </si>
  <si>
    <t>Dell Latitude 7490 Intel i5 8350u 1.70Ghz 16GB RAM 256GB SSD 14" FHD Win 11</t>
  </si>
  <si>
    <t>Laptop Acer TravelMate X349 14" Intel i3-6100U/4GB/1&lt;wbr/&gt;28GB SSD/Win11Pro</t>
  </si>
  <si>
    <t>Acer Chromebook 315 CB315-3HT-P09C&lt;wbr/&gt;, Intel Pentium, 4GB RAM, 64GB eMMC, Silver</t>
  </si>
  <si>
    <t>Lenovo ThinkPad T460S Windows 10 14" Laptop Intel i5 6300U 2.4 8GB 256GB SSD</t>
  </si>
  <si>
    <t>Dell Vostro 3560 15.6" i5-3210M 2.50GHz 8GB Ram 320GB HDD Webcam HDMI Laptop</t>
  </si>
  <si>
    <t>HP ProBook 645 G1 Windows 10 14" Laptop AMD A6 5350M 2.9GHz 8GB 320GB HDD</t>
  </si>
  <si>
    <t>Lenovo ThinkPad X1 Carbon LAPTOP Intel core i5-5200 8GB RAM 240GB SSD Win10Pro A</t>
  </si>
  <si>
    <t>Dell XPS 13 9305 Laptop, 13.3" FHD Screen, i7-1165G7, 16GB RAM, 512GB SSD</t>
  </si>
  <si>
    <t>HP ProBook 640 G5 Laptop -14" FHD Intel i5-8365 Up to 32GB Ram + Windows 11 Pro*</t>
  </si>
  <si>
    <t>Lenovo ThinkPad L460 Core i5-6200U 2.30GHz 8GB Ram 128GB SSD Windows 11 Laptop</t>
  </si>
  <si>
    <t>Laptop Dell Latitude 7390 13.3in 8th Gen i5/17 8GB 16GB RAM 256GB 512GB SSD, VG</t>
  </si>
  <si>
    <t xml:space="preserve">Laptop Acer TravelMate P258 15.6" Intel i5-6200U/4GB/1&lt;wbr/&gt;20GB SSD/Win10Pro </t>
  </si>
  <si>
    <t>[Windows 11] HP 14" Laptop (512GB SSD, Intel Core i7-1065G7, 1.30 GHz, 8GB RAM)</t>
  </si>
  <si>
    <t>Lenovo ThinkPad T450 Windows 10 14" Laptop Intel i5 5200U 2.2GHz 8GB 120GB SSD</t>
  </si>
  <si>
    <t>Lenovo Laptop Ideapad 3 14" Full HD Intel Quad Core i5-1035G1 8GB RAM 256GB SSD</t>
  </si>
  <si>
    <t>Huawei Matebook 14S 14.2" Touchscreen Intel Core i7 11370H 11th Gen 16GB 1TB SSD</t>
  </si>
  <si>
    <t>Panasonic Toughbook CF-19 Rugged Laptop i5, Diagnostics Win 7 Or Win 10, 3G</t>
  </si>
  <si>
    <t>LENOVO IdeaPad 3i 15.6" Chromebook - Intel® Pentium® - REFURB-A</t>
  </si>
  <si>
    <t>Lenovo ThinkPad Yoga 12 Windows 10 12.5" Laptop Intel i5 5200U 4GB 500GB HDD</t>
  </si>
  <si>
    <t>HP ProBook x360 11 G5 Laptop Celeron N4020 4GB RAM 64GB eMMC 11.6" Touch W10 Pro</t>
  </si>
  <si>
    <t>Lenovo Yoga 260 Windows 11 12.5" Laptop Intel i5 6200U 2.3GHz 4GB 120GB SSD</t>
  </si>
  <si>
    <t>Dell Gaming Laptop E7240 12.5" Intel Core i5, 8GB, Fast SSD, Webcam, Win10, HDMI</t>
  </si>
  <si>
    <t>HP EliteBook 830 G8 Laptop, 13.3" FullHD Display, i5-1135G7, 16GB RAM, 256GB SSD</t>
  </si>
  <si>
    <t>Dell Latitude 7480 14" i5-6300U 8GB 256GB SSD HDMI WiFi WebCam Windows 10</t>
  </si>
  <si>
    <t>HP 14-AM081NA Core i3 6th 6006u 2.0Ghz 8gb Memory 240gb SSD 14.2" HD (1188)</t>
  </si>
  <si>
    <t>DELL Inspiron 16 5620 i7 1255U 4.7ghz, 32GB, 1TB, 16" FHD, Win 11, 1YR WRNTY</t>
  </si>
  <si>
    <t>Dell Precision 5530 Laptop 15.6 Full HD, i7-8850H, 32GB RAM, 512GB SSD, NVIDIA</t>
  </si>
  <si>
    <t>Toshiba TouchScreen Windows11 Laptop HD Display 500GB HDD DVD-RW HDMI WiFi Cam</t>
  </si>
  <si>
    <t>HP Elitebook 830 G5 Laptop - 13" FHD + I5-8350U CPU + NVMe SSD &amp; Windows 11 Pro</t>
  </si>
  <si>
    <t>CHEAP HP EliteBook 745 G2 QUAD CORE Laptop FAST AMD A8 8GB/16GB 240GB/480GB SSD</t>
  </si>
  <si>
    <t>Asus Zenbook UX360UAK, Intel Core i5, 8GB, 256GB, 13" - Grey</t>
  </si>
  <si>
    <t>Toshiba Portege X20 12.5" 2-in-1 Laptop Intel i5 7200U 8GB RAM 256GB M.2 SSD W10</t>
  </si>
  <si>
    <t>Apple MacBook Pro A2251 2020 Core i5 2GHz 16GB RAM 512GB SSD 13" Touch Bar 1063</t>
  </si>
  <si>
    <t>Samsung Galaxy Book 15.6" Laptop Core i5 8GB RAM 256GB SSD Denim Blue C Grade</t>
  </si>
  <si>
    <t>Dell Latitude E5470 Windows 10 14" Laptop Intel i5 6200U 2.3GHz 8GB 120GB SSD</t>
  </si>
  <si>
    <t>CHEAP Lenovo ThinkPad 11e Chromebook Intel Celeron 2GB RAM 16GB SSD HDMI 11.6"</t>
  </si>
  <si>
    <t>Geobook 3SI Windows 10 Laptop 13.3" Intel Core i3 5005U 4GB RAM 128GB SSD</t>
  </si>
  <si>
    <t>Lenovo ThinkPad FHD 15.6" CAD Laptop, i7-4800MQ 8GB 128GB SSD+HDD Quadro K2100M</t>
  </si>
  <si>
    <t>Dell Latitude E5550 i5-5300U 8GB Ram 256GB SSD FHD Windows 11 Webcam Laptop</t>
  </si>
  <si>
    <t>HP Spectre x360 13.3" 512GB SSD, Intel Core i7-1065G7, 3.9GHz, 8GB RAM, Windows</t>
  </si>
  <si>
    <t>ASUS Chromebook C423NA Laptop Intel CeleronN3350 8GB RAM 32GB eMMC 14" Chrome OS</t>
  </si>
  <si>
    <t>HP 15.6" ProBook Windows10 Laptop Fast WiFi 5GHz HD Screen 8Gb DVD Cam Office</t>
  </si>
  <si>
    <t>Laptop Acer TravelMate P449 14" Intel i5-8250U/12GB/&lt;wbr/&gt;128GB SSD/Win11Pro</t>
  </si>
  <si>
    <t>Lenovo IdeaPad Duet 3i Celeron N4020 4Gb 64Gb eMMC 10.3" WUXGA W10S 82AT002HUK</t>
  </si>
  <si>
    <t>HP Pavilion Blue Laptop Windows11 15.6" HD i5 2.93GHz DVD-RW WiFi 5GHz Office</t>
  </si>
  <si>
    <t>ACER Aspire 3 15.6" Laptop - AMD Athlon - 128GB SSD - Silver - REFURB-B</t>
  </si>
  <si>
    <t>Asus Chromebook C214M 11.6" Laptop 32GB HDD RAM 4GB Intel N4020 Chrome OS</t>
  </si>
  <si>
    <t>Lenovo ThinkPad T460s 14" FHD Touchscreen 8GB 256GB SSD WiFi Webcam</t>
  </si>
  <si>
    <t>ASUS ZenBook 13 UX325EA 13.3" Laptop - Intel® Core™ i7 - 512GB SSD - REFURB-B</t>
  </si>
  <si>
    <t>Lenovo YOGA 7i 14" Convertible Laptop Core i5 8GB RAM 256GB SSD Grey C Grade</t>
  </si>
  <si>
    <t>Laptop HP 14-bw020na 14" HD AMD A6-9220/2.50GH&lt;wbr/&gt;z/8GB/128GB SSD/Windows 11/Blue</t>
  </si>
  <si>
    <t>Lenovo IdeaPad 3 Laptop, AMD 3015CE, 4GB RAM, 64GB eMMC, 14", Grey</t>
  </si>
  <si>
    <t>ASUS VivoBook 15 X1500 15.6" Laptop Core i3 8GB RAM 256GB SSD Silver C Grade</t>
  </si>
  <si>
    <t>HP EliteBook 745 G2 Windows 10 14" Laptop AMD A6 Pro 7050B 2.2GHz 4GB 120GB SSD</t>
  </si>
  <si>
    <t>Dell Inspiron 13 5379, 13.3" Laptop, Intel i5, 8GB RAM, 256GB SSD, Grey - Good</t>
  </si>
  <si>
    <t>HP 840 G2 - EliteBook - i5 (5TH) @2.90GHZ  - 8GB Ram  - 240GB SSD - WIN 10  CL92</t>
  </si>
  <si>
    <t>Dell Latitude 5400 Laptop, 14" Intel® Core™ i5, 8GB RAM, 256GB SSD, Windows 10</t>
  </si>
  <si>
    <t>HP EliteBook 725 G3 12.5" AMD A12 256GB 8GB Full HD Windows Silver Laptop B</t>
  </si>
  <si>
    <t>Dell Latitude 5290 2-in-1 Tablet+Keyboar&lt;wbr/&gt;d  i3-7130U,4GB,1&lt;wbr/&gt;28GB SSD,12.5” FHD+ *B*</t>
  </si>
  <si>
    <t>Dell Latitude 3400 Core i5-8265U 8th Gen 8GB DDR4 256GB SSD FHD Webcam Laptop</t>
  </si>
  <si>
    <t>Dell Alienware M15 R7 4.7ghz, 32GB, 1TB ,8GB nVidia RTX 3070 Ti ,3YR WRNTY S&amp;D</t>
  </si>
  <si>
    <t>HP 15s-eq1516sa 15.6" Laptop AMD Ryzen 3 3250U 4GB 128GB SSD Silver</t>
  </si>
  <si>
    <t>HP Touchscreen ProBook Laptop x360 440 G1 i5 8th 3.4GHz 512GB SSD 16GB Windows11</t>
  </si>
  <si>
    <t>Dell Latitude 3570 Intel Core i5-6200 2.30GHz 4GB RAM 500GB HDD Win10Pro - Good</t>
  </si>
  <si>
    <t>HP ProBook 640 G2 Laptop, 14" Intel Core i5, 8GB RAM, 256GB SSD, Windows 10</t>
  </si>
  <si>
    <t>HP Envy x360 2-in-1 Laptop 15-ey0502sa AMD Ryzen 7 5825U 16GB 512GB SSD</t>
  </si>
  <si>
    <t>Razer</t>
  </si>
  <si>
    <t>Razer Blade Pro 17, 17.3" FHD 300Hz, i7-10875H, 32GB RAM, 1.5TB SSD, RTX 2080S</t>
  </si>
  <si>
    <t>Toshiba Sat L50D Laptop AMD A10 8700   8gb Mem 240gb SSD Radeon 15.6" FHD (1230)</t>
  </si>
  <si>
    <t>Samsung Galaxy Book Pro 360 15.6" Laptop Windows 10 i7 1165G7 11th Gen 8GB 512GB</t>
  </si>
  <si>
    <t>Lenovo ThinkPad X13 Yoga 20T2CTO1WW, Intel Core i7, 16GB RAM, 256GB SSD, Black</t>
  </si>
  <si>
    <t>Microsoft Surface Book - 13.5" - Core i5 128GB SSD 8GB RAM - Aluminium - Good</t>
  </si>
  <si>
    <t>HP 14-cf0500sa 14" Pentium 128GB 4GB Full HD Windows 11 Gold Laptop B</t>
  </si>
  <si>
    <t>Dell Latitude E7270 i5-6200U 2.30GHz 8GB Ram 128GB SSD Windows 11 Webcam Laptop</t>
  </si>
  <si>
    <t>Renewed Dell Inspiron 5559 Intel i5 512 SSD 4Gb Ram 15.6" screen - 1 Yr Warranty</t>
  </si>
  <si>
    <t>HP Victus by HP 16-e0511na Laptop Ryzen 7 5800H 16Gb 512Gb SSD 16.1" FHD W11</t>
  </si>
  <si>
    <t>HP Stream 11-ak0026na N4120 Notebook 11.6" Intel Celeron 4Gb 64Gb eMMC W11S Blue</t>
  </si>
  <si>
    <t>HP Chromebook x360 14b-cb0502na Intel Pentium Silver N6000 8GB 128GB eMMC</t>
  </si>
  <si>
    <t>DELL Latitude E7250 Very Good Laptop / Win10 / I5-5300U - 4GB RAM - 128GB SSD</t>
  </si>
  <si>
    <t>HP ZBook 14 Core i5-4300U 1.90GHz 8GB Ram 256GB SSD AMD Radeon HD Webcam Laptop</t>
  </si>
  <si>
    <t>Lenovo IdeaPad 3 82BA0006UK Chromebook, Intel Celeron, 4GB , 32GB, 11.6", Black</t>
  </si>
  <si>
    <t>DELL XPS 13 9380 i5-8265U Quad Core 8Gb 512Gb SSD FHD Win 10 Pro</t>
  </si>
  <si>
    <t>Acer Swift X 14" Laptop 512GB SSD RAM 16GB AMD Ryzen 75700U Windows 10 Pro PC</t>
  </si>
  <si>
    <t>Lenovo ThinkPad T470P Laptop, Intel Core i7, 16GB RAM, 512GB HDD, 15.6", Black</t>
  </si>
  <si>
    <t>HP Pavilion 15-eg0040na Laptop 512GB SSD 8GB RAM Intel i5-1135G7 Windows 11</t>
  </si>
  <si>
    <t>Dell XPS 13 9310 Laptop, 13.3" FHD+ Screen, i7-1185G7, 16GB RAM, 512GB SSD</t>
  </si>
  <si>
    <t>Lenovo Thinkpad X260 Core i5-6200U 2.30GHz 8GB 256GB SSD Webcam HDMI Laptop</t>
  </si>
  <si>
    <t>ASUS C204MA-BU0440-&lt;wbr/&gt;3Y Laptop, Intel Celeron, 4GB RAM, 32GB eMMC, 11.6", Grey</t>
  </si>
  <si>
    <t>Dell Latitude 7400 2-in-1 Touchscreen Intel i7-8665U 16GB RAM 256GB SSD Win 11</t>
  </si>
  <si>
    <t>Lenovo ThinkPad T470p i7-7820HQ 16GB 512GB SSD NVIDIA GeForce Windows 11 Laptop</t>
  </si>
  <si>
    <t>Lenovo IdeaPad 3i 14" Chromebook Intel Celeron N4020 2.8GHz 64GB eMMC 4GB Silver</t>
  </si>
  <si>
    <t>Asus Zenbook 14 Laptop 512GB SSD 8GB RAM Intel i5-1135G7 Windows 10 Home</t>
  </si>
  <si>
    <t>ASUS TUF Dash F15 Gaming Laptop i5-11300H 8GB 512GB SSD 15.6" FHD RTX 3050Ti 4GB</t>
  </si>
  <si>
    <t>Lenovo IdeaPad 3 14APO6 AMD 3015Ce 8Gb 128Gb eMMC 14" Full HD Chrome 82MY000NUK</t>
  </si>
  <si>
    <t>Microsoft Surface Pro 4 12.3" i5-6300U 128GB 4GB Touchscreen Laptop Tablet B</t>
  </si>
  <si>
    <t>Dell G3 15 3500 i5-10300H Quad Core 8Gb 512Gb SSD GTX 1650 Ti 4Gb Windows 10 Pro</t>
  </si>
  <si>
    <t>HP Pavilion 15-EG0024NA Laptop, Intel Pentium Gold, 8GB, 128GB, 15.6", Silver</t>
  </si>
  <si>
    <t>Asus Zenbook Duo 14" Laptop  Intel Core i7 1165G7 16GB + 32GB Optane 512GB SSD</t>
  </si>
  <si>
    <t>Lenovo Thinkpad T460 i3-6100U 2.40GHz 8GB Ram 128GB SSD Windows 11 Webcam Laptop</t>
  </si>
  <si>
    <t>HP ZBook 15 Core i7-4700MQ 2.40GHz 8GB 128GB SSD NVIDIA Quadro K610M Laptop</t>
  </si>
  <si>
    <t>Dell Latitude E5270 12.5" Very Good Laptop - I5/I7 CPU / 8GB RAM / 256GB SSD</t>
  </si>
  <si>
    <t>Dell Latitude 3580 Intel Core i3-6006 2.0GHz 4GB RAM 500GB HDD Win10 - Very Good</t>
  </si>
  <si>
    <t>Dell Vostro 5468 Core i5-7200U 2.50GHz 8GB DDR4 256GB SSD Webcam HDMI Laptop</t>
  </si>
  <si>
    <t>Samsung Galaxy Book2 Pro NP950XED 15.6" Laptop 256GB RAM 8GB Intel i5 Windows 11</t>
  </si>
  <si>
    <t>Cheap dell laptop e5430 Intel I5 3rd 8GB 320Gb Webcam 14.1" Windows 10 HDMI</t>
  </si>
  <si>
    <t>Dell Inspiron 16 Plus 7610 Laptop i7-11800H,16GB&lt;wbr/&gt;,1TB SSD, RTX 3060,16.0" 3K/QHD+</t>
  </si>
  <si>
    <t>Dell Latitude 5580 Laptop i5-6200U,8GB RAM,256GB SSD,Webcam,15.&lt;wbr/&gt;6” HD *B*</t>
  </si>
  <si>
    <t>Lenovo ThinkPad Yoga 460 i7-6500U 2.50GHz 8GB 256GB SSD 360° Touchscreen Laptop</t>
  </si>
  <si>
    <t>Lenovo Thinkpad X250, HD, i7-5600U, 8GB RAM, 500GB SSD, Win 10 Pro (VG) - Cha...</t>
  </si>
  <si>
    <t>Lenovo ThinkPad L460 Windows 11 14" Laptop Intel i5 6200U 2.3GHz 8GB 120GB SSD</t>
  </si>
  <si>
    <t>Dell Vostro 15 3501, i3-1005G1, 8GB RAM, 500GB SSD, Win 11 Pro (VG) - Charity</t>
  </si>
  <si>
    <t>Lenovo IdeaPad Duet 3 - 10.3" detachable 2 in 1 tablet 4GB/64GB eMMC Windows 10S</t>
  </si>
  <si>
    <t>Lenovo IdeaPad Slim 1i 81VT0009NUK Laptop, Intel Celeron, 4GB RAM, 64GB eMMC</t>
  </si>
  <si>
    <t>Samsung Galaxy TabPro S LTE, Intel Core M3, 4GB RAM, 128GB SSD, 11.6", Black</t>
  </si>
  <si>
    <t>Lenovo Yoga 7i 2-in-1 i5-1135G7 8Gb 256Gb 14" FHD W10 82BH000DUK</t>
  </si>
  <si>
    <t>Lenovo ThinkPad X1 Carbon Gen 6 Core i5-8250U 8GB RAM 256GB SSD 14'' Laptop</t>
  </si>
  <si>
    <t>HP 17-cn0528sa Laptop Pentium Gold 7505 4Gb 128Gb SSD 17.3" Full HD W11S 4L3J0EA</t>
  </si>
  <si>
    <t>HP 14s-dq2019na 14" Full HD Laptop Core i3 8GB RAM 128GB SSD Silver C Grade</t>
  </si>
  <si>
    <t>Lenovo ThinkPad T470s 14" FHD i7-6600U 8GB 256GB SSD WiFi Webcam Windows 10 Pro</t>
  </si>
  <si>
    <t>Lenovo Chromebook 14e Laptop AMD A4-9120C 4GB RAM 32GB eMMC 14" FHD Chrome OS</t>
  </si>
  <si>
    <t>HP 14-db0500sa 14" Chromebook AMD A4 9120 4GB RAM 32GB eMMC Blue</t>
  </si>
  <si>
    <t>Dell Latitude E5470 Windows 11 14" Laptop Intel i5 6200U 2.3GHz 4GB 256GB SSD</t>
  </si>
  <si>
    <t>Dell Latitude 3340 Windows 10 13.3" Laptop Intel i3 5005U 2.0GHz 8GB 120GB SSD</t>
  </si>
  <si>
    <t>ASUS ZenBook Pro Duo UX581 15.6" Laptop - Intel Core i9 1TB - REFURB-A</t>
  </si>
  <si>
    <t>Lenovo ThinkPad T460s Windows 10 14" Laptop Intel i7 6600u 2.6GHz 8GB 512GB SSD</t>
  </si>
  <si>
    <t>Lenovo ThinkPad S440 14-Inch Laptop 500gb i5 8gig 2.3 GHz RENEWED 1 YR WARRANTY</t>
  </si>
  <si>
    <t>Lenovo ThinkPad P50 FHD 15.6" Laptop, i7-6820HQ 16GB RAM 256GB SSD Quadro M1000M</t>
  </si>
  <si>
    <t>Dell Inspiron 17 Touchscreen 7746 Notebook i7 16GB RAM 1TB SSHD 17.3 FHD GeForce</t>
  </si>
  <si>
    <t>HP Business Laptop 255 G7 15.6" Full HD AMD Ryzen 5 3500U 8GB RAM 256GB SSD W10</t>
  </si>
  <si>
    <t>HP Pavilion 14-dv2513sa 14" Laptop - Intel® Core™ i5 - White - REFURB-A</t>
  </si>
  <si>
    <t>Lenovo Thinkpad X270 Core i5 2.30GHz 8GB DDR4 180GB Webcam Windows 10 Laptop</t>
  </si>
  <si>
    <t>Dell Precision 5520 Laptop i7-6820HQ,16GB&lt;wbr/&gt;,512GB SSD,Quadro M1200,15.6"FHD US *B*</t>
  </si>
  <si>
    <t>HP Elitebook 745 G3 14" AMD A12 256GB 8GB QHD Windows Silver Business Laptop B</t>
  </si>
  <si>
    <t>Dell Vostro 14 5468 Core i5-7200U 2.50GHz 8GB DDR4 256GB SSD Webcam HDMI Laptop</t>
  </si>
  <si>
    <t>Acer Swift 3 SF314-42 AMD Ryzen 5 4500U 8GB RAM 1TB SSD 14" Laptop Purple</t>
  </si>
  <si>
    <t>Dell Latitude E5470 Laptop, 14" Intel® Core™ i5, 8GB RAM, 256GB SSD, Windows 10</t>
  </si>
  <si>
    <t>HP EliteBook 820 G4 12.5" Laptop i5 2.6GHz 8GB 256GB SSD - RENEWED</t>
  </si>
  <si>
    <t>Panasonic Toughbook CF-54 Rugged Laptop 16 GB RAM, 2 Tb  Ssd  ,Windows 11 Pro</t>
  </si>
  <si>
    <t>Microsoft Surface Pro X 2010 SQ1 8GB RAM 128GB SSD 13" 4G LTE - TABLET ONLY</t>
  </si>
  <si>
    <t>HP 14" Laptop IPS Full HD Intel Core i7 16GB RAM 512GB SSD Win 10 14s-dq1505sa</t>
  </si>
  <si>
    <t>HP Envy x360 13.3" 2 in 1 OLED Laptop Core i7 1165G7 11th Gen 8GB 512GB SSD</t>
  </si>
  <si>
    <t>Dell Latitude 5490 Intel Core i5 8350 1.70Ghz 8GB RAM 256GB SSD 14" FHD Win 11</t>
  </si>
  <si>
    <t>HP 14s-fq1000na 14" Laptop Ryzen 5 8GB RAM 256GB SSD Full HD Natural Silver</t>
  </si>
  <si>
    <t>Panasonic Toughbook-Tabl&lt;wbr/&gt;et Windows 10 Pro,CF-20 Replaced Older  Cf 19 4G Model</t>
  </si>
  <si>
    <t>Dell Latitude E7470 i5-6200U 2.30GHz 8GB Ram 128GB SSD Windows 11 Webcam Laptop</t>
  </si>
  <si>
    <t>Lenovo ThinkPad T440 Windows 10 14" Laptop Intel i5 4210U 1.7GHz 8GB 120GB SSD</t>
  </si>
  <si>
    <t>ASUS C433 14" Chromebook Flip Laptop Core M3 4GB 128GB Touchscreen Silver Blue</t>
  </si>
  <si>
    <t>HP ZBook 15 G2 Core i7-4710MQ 2.50GHz 8GB DDR3 128GB SSD NVIDIA Quadro Laptop</t>
  </si>
  <si>
    <t>Dell Gaming Cheap Laptop 1540 15.6" Intel Core i3 2.40Ghz, Webcam, Win 10, HDMI</t>
  </si>
  <si>
    <t>Lenovo ThinkPad X13 Yoga 20SX0000UK, Intel Core i5, 8GB RAM, 256GB SSD, Black</t>
  </si>
  <si>
    <t>Dell 13 5391 Laptop Intel® i5-10210U 8GB 256GB M.2 13.3-inch FHD 1Yr Warranty</t>
  </si>
  <si>
    <t>Acer TravelMate B118-M-P7GL 11.6" Pentium 128GB 4GB HD Windows 11 Black Laptop B</t>
  </si>
  <si>
    <t>HP 14-CM0002NA 14" Laptop, AMD Ryzen 3, 4GB RAM, 128GB SSD, Black</t>
  </si>
  <si>
    <t>HP ZBook 17 G2 17.3"  i7-4810MQ 32GB RAM 1TB SSD 1TB HDD QUADRO K1100M Laptop</t>
  </si>
  <si>
    <t>Lenovo IdeaPad 5 Laptop, Intel i7 , 8GB RAM, 1TB SSD, 15.6", Grey Charcoal</t>
  </si>
  <si>
    <t>Dell Cheap Gaming Laptop E6430 14" Intel Core i5 2.50Ghz, 8GB, Windows 10</t>
  </si>
  <si>
    <t>Dell Inspiron 13 7306 13.3" 2-in-1 Laptop, Intel i7, 8GB RAM, 512GB SSD, Black</t>
  </si>
  <si>
    <t>ASUS ProArt Studiobook 16" 4K OLED 2TB SSD 64GB Ram 2.5GHz Core i9-11900H - 3060</t>
  </si>
  <si>
    <t>Clevo</t>
  </si>
  <si>
    <t>Clevo Ergo W540AU 14" i5-5200U 128GB 8GB HD DVD Windows 10 Grey Cheap Laptop C3</t>
  </si>
  <si>
    <t>Lenovo ThinkPad L460 Windows 10 14" Laptop Intel i5 6200U 2.3GHz 8GB 180GB SSD</t>
  </si>
  <si>
    <t xml:space="preserve">Laptop Acer Extensa 15 EX215 15.6" Intel i5/4GB/128GB SSD/Win 11 Pro </t>
  </si>
  <si>
    <t>Lenovo Thinkpad Windows11 Laptop Intel i5 3.2GHz 500Gb 8Gb 15.6" HD Display DVD</t>
  </si>
  <si>
    <t>Lenovo IdeaPad 3i 14" Laptop, Intel Core i5, 8GB RAM, 256GB SSD (81X700CTUK)</t>
  </si>
  <si>
    <t>Lenovo ThinkPad T460 14" FHD i5-6300U 8GB 500GB WiFi Webcam Windows 10</t>
  </si>
  <si>
    <t>HP EliteBook 840 G3 i5 (2.4GHz) 4GB RAM 128GB SSD Windows 10 Pro 14" UK Laptop</t>
  </si>
  <si>
    <t>Dell Latitude 5300 laptop, 13.3" HD Screen, Intel i5-8265U, 16GB RAM, 256GB SSD</t>
  </si>
  <si>
    <t>Dynabook</t>
  </si>
  <si>
    <t>Dynabook Satellite Pro ET10-G-106 Celeron N3350 4GB 128GB 10.1" Touch Win 10 Pro</t>
  </si>
  <si>
    <t>Acer Nitro 5, Intel Core i5 9300H, Geforce GTX 1650, 15.6" Gaming Laptop</t>
  </si>
  <si>
    <t>HP Pavilion Gaming 15-EC2018NA Ryzen 5 5600H 15.6" GTX 1650 W10 4N8T8EA#ABU</t>
  </si>
  <si>
    <t>Acer Nitro 5 AN515-43 Laptop, Ryzen 7, 8GB, 1TB HDD + 256GB SSD, 15.6", Black</t>
  </si>
  <si>
    <t>HP Spectre x360 16-F1501NA 16" 4K OLED Touch 12-Core i7, 16GB, 1TB SSD 4GB GRFX</t>
  </si>
  <si>
    <t>Windows 11 laptop Dell e5430 Intel I5 3rd 16GB 480Gb SSD Webcam 14.1" HDMI</t>
  </si>
  <si>
    <t>Lenovo V330-15IKB FHD 15.6" i5-8250U 4GB Ram 120GB SSD Windows 11 Webcam Laptop</t>
  </si>
  <si>
    <t>HP 15-da2006nx Gaming Laptop 15" Intel i7-10510U 8/1TB HDD Nvidia GeForce MX130</t>
  </si>
  <si>
    <t>Huawei MateBook D 16 Notebook Laptop 512GB SSD 8GB RAM Intel Windows 11</t>
  </si>
  <si>
    <t>Lenovo  X1 Yoga Touch Screen Gen 5 Laptop  i7 10th 16 GB  512 SSD Win pro</t>
  </si>
  <si>
    <t>RENEWED HP ProBook 645 G3 14" Laptop - AMD A10 2.4GHz CPU, 8GB, 256GB SSD</t>
  </si>
  <si>
    <t>FAST HP ProBook 640 G2 Core i5-6200U 8GB Ram 500GB HDD Windows 11 Webcam Laptop</t>
  </si>
  <si>
    <t>Dell Inspiron 3580 i5-8265U 8GB 1TB HD 15.6" FHD WIFI CAM AMD Radeon 520 2GB W10</t>
  </si>
  <si>
    <t>Dell Latitude E5270 12.4" i5-6300U 128GB SSD 8GB laptop</t>
  </si>
  <si>
    <t>Dell Latitude 7390 Laptop, 13.3" Full HD Screen, i5-8350U, 16GB, 256GB SSD</t>
  </si>
  <si>
    <t>Acer CB314-1H 14" Chromebook Intel Celeron N 32GB eMMC 4GB RAM Silver C Grade</t>
  </si>
  <si>
    <t>Acer Chromebook CP513-1H-S8FH Laptop, , 4GB, 64GB eMMC, 13.3", Silver - Pristine</t>
  </si>
  <si>
    <t>Panasonic Toughbook CF 54 Toughbook  16 GB 1 Tb Win 10 Pro Rugged Laptop FHD</t>
  </si>
  <si>
    <t>Apple iPhone SE 3rd Gen Midnight 64GB Unlocked Refurbished, VG</t>
  </si>
  <si>
    <t>Dell Inspiron 15 7537 15.6" i7 8GB 1TB SSHD FHD Touchscreen Laptop Nvidia</t>
  </si>
  <si>
    <t>DELL XPS 13 9370 i5-8250U Quad Core 8Gb 512Gb SSD UHD Touchscreen Win 10</t>
  </si>
  <si>
    <t xml:space="preserve"> HP Laptop Windows 10 EliteBook Folio G1 Core m5-6Y57 8GB 128GB SSD Touchscreen</t>
  </si>
  <si>
    <t>Lenovo ThinkPad L460 Windows 10 14" Laptop Intel i5 6200U 2.3GHz 4GB 256GB SSD</t>
  </si>
  <si>
    <t>ASUS E510MA-EJ118TS Laptop 15.6" FHD Celeron N4020 4GB 64GB Rose Gold/Pink | #B</t>
  </si>
  <si>
    <t>Windows 11 Lenovo Thinkpad T450 i5-5200U 8GB 16GB Ram 240GB 480GB SSD Laptop</t>
  </si>
  <si>
    <t>Lenovo ThinkPad Helix Windows 10 Tablet Intel i5 3337U 1.8GHz 4GB 256GB SSD</t>
  </si>
  <si>
    <t>HP Chromebook x360 14c-cc0004na i5-1135G7 8Gb 256Gb SSD 14" FHD touch Chrome</t>
  </si>
  <si>
    <t>HP Elitebook X360 1030 G2 i7-7600U 16GB 512GB  SSD 13.3'' FHD Touch Screen</t>
  </si>
  <si>
    <t>DELL Venue 10 Pro 5000 5055 10" Tablet Intel 1.83Ghz Quad 64GB SSD Win 8.1 Pro</t>
  </si>
  <si>
    <t>Dell Vostro 5568 Fast Business Laptop i5-7200U 16 GB 240GB SSD BACKLIT KEYBOARD</t>
  </si>
  <si>
    <t>LENOVO IdeaPad 3i 11.6" Chromebook - Intel Celeron- Black - REFURB-C</t>
  </si>
  <si>
    <t>Dell Precision 3520 i7-7820H 16GB 250GB SSD 15.6" Touchscreen Win10 Pro Laptop</t>
  </si>
  <si>
    <t>HP Cheap Compaq CQ58 Gaming Laptop 15.6" Intel i3 2.20Ghz, Webcam, Windows 10</t>
  </si>
  <si>
    <t>Laptop Dell Latitude 7490 14in Intel i5 i7 7th 8th Gen 8GB 16GB RAM 256GB SSD, G</t>
  </si>
  <si>
    <t>Microsoft Surface Go 3 Pentium 6500Y - 4GB RAM 64GB eMMC - Good Condition</t>
  </si>
  <si>
    <t>Venturer Europa 14" Laptop - 64GB eMMC, 2GB RAM, Celeron N4000 - Black</t>
  </si>
  <si>
    <t>HP 250 G4 15.6" Core i3-5005U 2.00GHz 8GB Ram 240GB SSD Webcam Warranty Laptop</t>
  </si>
  <si>
    <t>Lenovo ThinkPad 13 2nd Gen, Intel i5, 8GB, 128GB, 13.3", Black - Excellent - No</t>
  </si>
  <si>
    <t>Dell Latitude 7400 14" | i5 8th Gen | 16GB RAM, 240GB SSD | *Grade B*</t>
  </si>
  <si>
    <t>HP 14S-DQ2021NA Laptop, Intel i5, 8GB RAM, 512GB SSD, 14", Silver - Excellent</t>
  </si>
  <si>
    <t>ASUS VivoBook 14 X413FA-EK201T , Intel i5 , 8GB , 256GB SSD, 14" Full HD, Black</t>
  </si>
  <si>
    <t>Dell XPS 15 9560 i5-7300U 1TB 256GB 8GB GTX 1050 Windows 10 Silver Laptop B</t>
  </si>
  <si>
    <t>Lenovo Thinkpad T450 Core i5-5300U 2.30GHz 16GB Ram 240GB SSD Windows 10 Laptop</t>
  </si>
  <si>
    <t>HP Chromebook 14a-nd0002na AMD 3015Ce 4Gb 64Gb eMMC 14" HD Chrome 4J924EA#ABU</t>
  </si>
  <si>
    <t>HP 15s-eq2030na 5500U Notebook 15.6" FHD AMD Ryzen 5 8Gb 256Gb SSD W11 Silver</t>
  </si>
  <si>
    <t>ASUS Chromebook C403NA Laptop Celeron N3350 4GB RAM 32GB eMMC 14" FHD Chrome OS</t>
  </si>
  <si>
    <t>HP x360 14b-cb0004na Chromebook 14" Laptop Pentium Silver 8GB 128GB eMMC Blue</t>
  </si>
  <si>
    <t>Dell Latitude 15 5500 i5-8365U QUAD Core 4Gb 500Gb HDD FHD Win10 Pro 64</t>
  </si>
  <si>
    <t>Dell Latitude 7290 12.5" i5-7300U 256GB 8GB HD Windows 10 Pro Business Laptop B</t>
  </si>
  <si>
    <t>Lenovo ThinkPad T470s 14" i7-7500U 256GB 8GB FHD Windows Black Business Laptop B</t>
  </si>
  <si>
    <t>Dell Latitude 7490 14" | i5 8th Gen | 16GB RAM 256GB SSD | *US Keyboard*</t>
  </si>
  <si>
    <t>Dell Inspiron 14 5402 11th Gen i5-1135G7 4 Core 8Gb 256Gb SSD FHD Win10</t>
  </si>
  <si>
    <t>Dell Latitude 3450 Windows 10 14" Laptop Intel i5 5200U 2.2GHz 8GB 240GB SSD</t>
  </si>
  <si>
    <t>HP Envy x360 15-eu0500na 15.6" 2 in 1 Laptop AMD Ryzen 5 5500U 8GB 512GB SSD</t>
  </si>
  <si>
    <t>Panasonic Toughbook-Tabl&lt;wbr/&gt;et Windows 11 Pro,CF-20 Replaced Older  Cf 19 Model</t>
  </si>
  <si>
    <t>HP ENVY x360 AMD Ryzen 5 2500U 8GB 128GB SSD 13.3"TOUCH BK some keys not working</t>
  </si>
  <si>
    <t>Hp Envy 13-ba0010 gaming 13"Fhd Touch Core i7-10510 2.3Gh 16gb 512gb MX350 Win11</t>
  </si>
  <si>
    <t>Lenovo Yoga 7i 15.6" 2-in-1 Laptop, Intel Core i7, 16GB RAM, 1TB SSD, Slate Grey</t>
  </si>
  <si>
    <t>HP 6570b Gaming Laptop 15.6" Intel Core i5 2.60Ghz, Webcam, Serial, Windows 10</t>
  </si>
  <si>
    <t>Dell G3 15 3500 i5-10300H 4 Core 8Gb 512Gb SSD GeForce GTX 1650 Ti 4Gb Win10 Pro</t>
  </si>
  <si>
    <t>HP 14s-fq0022na 3020E Notebook 14" HD AMD Athlon 4Gb 64Gb eMMC W11S Blue</t>
  </si>
  <si>
    <t>HUAWEI MateBook D 15 Laptop, 15.5” Intel Core i3, 8GB RAM, 256GB SSD, Windows 10</t>
  </si>
  <si>
    <t>HP 14-cf2518sa 14" Laptop Intel Pentium Gold 6405U 4GB RAM 128GB SSD Silver</t>
  </si>
  <si>
    <t>HP ProBook 645 G3 Laptop Windows 10 14 AMD A10 8730b 2.4 8GB 120GB SSD Charger</t>
  </si>
  <si>
    <t>FAST HP 830 G6 CORE I5-8265U 16GB RAM 256GB SSD WINDOWS 11 LAPTOP ULTRA HD</t>
  </si>
  <si>
    <t>Huawei MateBook D 15.6" i5 1135G7 11th Gen 8GB RAM 256GB SSD Grey</t>
  </si>
  <si>
    <t>Acer TravelMate P2 P214-52-39XV i3-10110U Notebook 14" FHD 8Gb 256Gb SSD W10P</t>
  </si>
  <si>
    <t>HP 15.6" Laptop 6-Core AMD Ryzen 5 5500U 8GB RAM 256GB SSD Silver Windows 10 FHD</t>
  </si>
  <si>
    <t>HP ENVY x360 Convert 13.3" OLED 2 in 1 Laptop Intel Core i7 1165G7 512GB SSD</t>
  </si>
  <si>
    <t>Dell XPS 7390 Intel Core i5-10210U 1TB HD 8GB RAM 13.3" FHD 1920x1080 WIFI S&amp;D</t>
  </si>
  <si>
    <t>Fujitsu Gaming Laptop A544 15.6" Core i3 1.70Ghz, Webcam, 8GB, Windows 10, HDMI</t>
  </si>
  <si>
    <t>Lenovo Ideapad 3 Laptop Intel Celeron N4020 4GB RAM 32GB eMMC 11.6-inch ChromeOS</t>
  </si>
  <si>
    <t>LENOVO IdeaPad 3 15.6" Laptop - AMD Ryzen™ 5, 256 GB SSD, Blue,</t>
  </si>
  <si>
    <t>Acer Aspire ES1-512 15.6" Celeron 500GB 4GB HD DVD Windows 10 Black Laptop C2</t>
  </si>
  <si>
    <t>Dell Latitude 15 5500 i7-8665U QUAD Core 16Gb 256Gb SSD Windows 10 Pro 64</t>
  </si>
  <si>
    <t>Dell Latitude 3558 Windows 10 15.6" Laptop Intel i5 5200U 2.2GHz 4GB 500GB HDD</t>
  </si>
  <si>
    <t xml:space="preserve">Laptop Lenovo B5400 15.6" Intel Core i3-4000m 2.40GHz/4GB/50&lt;wbr/&gt;0GB/Windows 10 Pro </t>
  </si>
  <si>
    <t xml:space="preserve">Dell Vostro Laptop Intel i3 5th Gen 15.6" Windows 10 Pro 8GB 1 Year Warranty </t>
  </si>
  <si>
    <t>Fujitsu LifeBook A514 Windows 10 15.6" Laptop Intel i3 4005U 8GB 500GB SSHD</t>
  </si>
  <si>
    <t>Lenovo L-Series Gaming Laptop Windows11 Pro Fast SSD NVME Intel Core 8th Gen</t>
  </si>
  <si>
    <t>Dell 3470 Gaming Laptop 14" Core i3 2.30Ghz, Webcam, Fast SSD, 8GB, Windows 10</t>
  </si>
  <si>
    <t>HP Elite x2 1012 G2 i5 7300U 256GB SSD 8GB  12.3 Touch Screen Laptop</t>
  </si>
  <si>
    <t>DELL XPS 15 9520 5.0 i9 12900HK 32GB 1TB,RTX 3050 Ti,15.6 UHD+ 3840x2400 Win 11</t>
  </si>
  <si>
    <t>HP Pavilion 13 13-A001NA Windows 10 13.3" Laptop Intel I5 4210U 4GB 120GB SSD</t>
  </si>
  <si>
    <t>Dell Precision 3561 Laptop, 15.6" FHD , i7-11850H, 32GB RAM, 1TB SSD, NVIDIA</t>
  </si>
  <si>
    <t>HP 17-cp0501na 17.3" Laptop Windows 10 AMD Ryzen 5 5500U 16GB RAM 512GB SSD</t>
  </si>
  <si>
    <t>CEAP Dell Latitude WINDOWS 11 E5470 Core i5-6200U 4GB 128GB SSD Webcam Laptop</t>
  </si>
  <si>
    <t>Dell Latitude 5480 Windows 10 14" Laptop Intel i5 6440HQ 2.6GHz 4GB 500GB HDD</t>
  </si>
  <si>
    <t>Lenovo B50-70 80EU Laptop Intel i3 4th Gen 8GB  480GB SSD Windows 10 Grade B</t>
  </si>
  <si>
    <t>Lenovo B590 Intel Core i3-3110M 4GB RAM 500GB HDD 15.6" Windows 10 Home Laptop</t>
  </si>
  <si>
    <t>Lenovo IdeaPad 5i Chromebook 14" Laptop 4GB RAM 128GB SSD Touchscreen C Grade</t>
  </si>
  <si>
    <t>DELL LATITUDE E7470 Core i5 6300U 8GB 128GB SSD 14" touchscreen Win10 laptop</t>
  </si>
  <si>
    <t>Laptop Lenovo Yoga 2 13 Intel i3-4010U/1.70G&lt;wbr/&gt;Hz/4GB/128GB SSD/Win 10 Pro</t>
  </si>
  <si>
    <t>Purple Lenovo Thinkpad X250 8GB RAM 128GB SSD Core I5 Windows 10 Pro Excellent</t>
  </si>
  <si>
    <t>Lenovo ideapad L340 Gaming Laptop 15"FHD Core i5-9300H 2.7Ghz 8GB 512GB GTX1650</t>
  </si>
  <si>
    <t>Dell Latitude E7470 Windows 10 14" Laptop Intel i5 6300U 2.4GHz 8GB 256GB SSD</t>
  </si>
  <si>
    <t>HP EliteBook 820 G3 Core i5-6200U 8GB Ram 128GB SSD Windows 11 Webcam Laptop</t>
  </si>
  <si>
    <t>Dell Latitude 7280 12.5" | i5-7300U Processor | 16GB, NO SSD *BIOS LOCKED*</t>
  </si>
  <si>
    <t>Asus Vivobook 15.6" FHD Intel Pentium Gold 6805 4GB RAM 128GB SSD Silver</t>
  </si>
  <si>
    <t>Lenovo 100e Windows 10 STUDENT LAPTOP 2nd Gen 11.6'' 81M8 Intel 4GB RAM 64GB</t>
  </si>
  <si>
    <t>Asus VivoBook Pro 15 Ryzen 9 15.6" Laptop 16GB RAM 1TB SSD NVIDIA GeForce RTX</t>
  </si>
  <si>
    <t>Lenovo IdeaPad 1 Intel Celeron N4020 4Gb 64Gb eMMC 14" HD W11S 81VU00HHUK</t>
  </si>
  <si>
    <t>Asus X415EA-EB741TS 14" Full HD Laptop Pentium Gold 4GB RAM 128GB SSD C Grade</t>
  </si>
  <si>
    <t>CHEAP Laptop Windows 10 Intel Core I5 8GB RAM 128GB SSD 1 Year Warranty</t>
  </si>
  <si>
    <t>Dell Latitude 3340 Windows 10 13.3" Laptop Intel i3 4030U 1.9GHz 8GB 120GB SSD</t>
  </si>
  <si>
    <t>HP EliteBook 740 G1 Core i3-4030U 4GB DDR3 128GB SSD Webcam Windows 10 Laptop</t>
  </si>
  <si>
    <t>Laptop Dell Latitude 7300 13.3in i5-8365U 8GB RAM 256GB SSD FHD Warranty, VG</t>
  </si>
  <si>
    <t>Stone Computers</t>
  </si>
  <si>
    <t>Stonebook Cloud C10a NOTCHA-294 Slim Laptop 14" 64GB 4GB Celeron Windows 10</t>
  </si>
  <si>
    <t>Dell Latitude 3510 15.6" Laptop - Intel Core i5, 8GB RAM, 256GB SSD, Grey</t>
  </si>
  <si>
    <t>Dell Inspiron 15 5000 15.6" Laptop Core i5 8GB RAM 256GB SSD Radeon R7 C Grade</t>
  </si>
  <si>
    <t>CHEAP FAST DELL LATITUDE LAPTOP INTEL QUAD CORE i7-8th 8GB 256GB SSD FHD WIN11</t>
  </si>
  <si>
    <t>FAST DELL I7 LAPTOP Latitude E7250 2.60GHz 256GB SSD Webcam Windows 10  i7-5600U</t>
  </si>
  <si>
    <t>Lenovo laptop Windows 10 14.1" Cheap Core i5 2nd to 4th Gen up to 16GB 480GB SSD</t>
  </si>
  <si>
    <t>Laptop HP ProBook 640 G1 14" Intel i3-4000M 4GB 8GB 120GB SSD 320/500GB Win 10</t>
  </si>
  <si>
    <t>Refurbished Dell Latitude E7440 i7 Dual Core 4600U 512 SSD 8Gb Ram 1 Yr Warranty</t>
  </si>
  <si>
    <t>Lenovo Thinkpad T440 Gaming Laptop 14" Intel Core i5, Webcam, 8GB, Windows 10</t>
  </si>
  <si>
    <t>Lenovo ThinkPad Yoga 12 Windows 10 12.5" Laptop Intel i5 5200U 4GB 120GB SDD</t>
  </si>
  <si>
    <t>BLACK FRIDAY Microsoft Surface Pro 4 i7 8GB 256GB 12.3" Windows 10 Pro Pristine!</t>
  </si>
  <si>
    <t>Dell Latitude 5480 Core i3-7100U 2.40GHz 8GB 128GB SSD Windows 11 Webcam Laptop</t>
  </si>
  <si>
    <t>Lenovo ThinkPad T460s Windows 10 14" Laptop Intel i5 6200U @2.3GHz 8GB 256GB SSD</t>
  </si>
  <si>
    <t>Lenovo ThinkPad T460s Windows 10 14" Laptop Intel i5 6200U 2.3GHz 8GB 128GB SSD</t>
  </si>
  <si>
    <t>HP ProBook 430 G2 Laptop, 13.3" Intel Core i5, 8GB RAM, 256GB SSD, Windows 10</t>
  </si>
  <si>
    <t>Dell Precision 17 7760 i7-11850H 8 Core 16Gb 512Gb SSD FHD RTX A3000 6Gb Win10</t>
  </si>
  <si>
    <t>HP 14s-dq2514na 14" Laptop Windows 10 Core i7 1165G7 11th Gen 8GB RAM 512GB SSD</t>
  </si>
  <si>
    <t>HP ENVY X360 15.6" Convertible Laptop Core i7 16GB RAM 512GB SSD Silver C Grade</t>
  </si>
  <si>
    <t>Dell Latitude E5470 Core i5-6200U 2.30GHz 4GB 500GB HDD Webcam Windows 10 Laptop</t>
  </si>
  <si>
    <t>HP EliteBook Folio 1040 G3 14in Notebook i5-6300U 8GB RAM 256GB SSD QHD Touch,VG</t>
  </si>
  <si>
    <t>Dell Latitude 3340 Windows 10 13.3" Laptop Intel i3 4030U 1.9GHz 4GB 60GB SSD</t>
  </si>
  <si>
    <t>Lenovo ThinkPad T460s Windows 10 14" Laptop Intel i5 6200U 2.3GHz 8GB 256GB SSD</t>
  </si>
  <si>
    <t>HP Elitebook 840 G5 Laptop i5-8250U 1.60GHz 8GB RAM 256GB NVME SSD Win10 C</t>
  </si>
  <si>
    <t>HP Pavilion 13 Windows 10 13.3" Laptop Intel i5 4210U 1.7GHz 4GB 160GB SSD</t>
  </si>
  <si>
    <t>Lenovo ThinkPad X1 Carbon G6 Core I5 8GB RAM 256GB SSD Windows 10 Pro HD Laptop</t>
  </si>
  <si>
    <t>Fujitsu LifeBook Laptop Windows11 i7 QuadCore 3.2GHz WiFi 5GHz 8Gb HD 15.6" DVD</t>
  </si>
  <si>
    <t>Acer Swift X 16" QHD Laptop Intel Core i7 1260P 12th Gen 16GB 1TB SSD Arc A370M</t>
  </si>
  <si>
    <t>Dell Latitude 5420 Laptop: 11th Gen Core i5, 16GB RAM, 256GB, FHD 14", Warranty</t>
  </si>
  <si>
    <t>‎Lenovo IdeaPad 3 Chromebook  14" Full HD Intel® Celeron® 64 GB eMMC Wi-Fi</t>
  </si>
  <si>
    <t>ASUS ZenBook 15 15.6" OLED Touchscreen Laptop i7 16GB 1TB GTX 1650Ti C Grade</t>
  </si>
  <si>
    <t>HP Elitebook 840 G5 Laptop i5-8250U 1.60GHz 16GB RAM 256GB NVME SSD Win10 B</t>
  </si>
  <si>
    <t>Dell Inspiron 15 7537 15.6" i7 8GB 500GB SSHD FHD Touchscreen Laptop</t>
  </si>
  <si>
    <t>Lenovo Thinkpad T450s Core i5-5200U 4GB 500GB HDD Webcam FHD Windows 10 Laptop</t>
  </si>
  <si>
    <t>HP Envy x360 15-es1001na Laptop 512GB SSD 8GB RAM Intel i5-1155G7 Windows 11</t>
  </si>
  <si>
    <t>Microsoft Surface Laptop 4 13.5" 512GB SSD 16GB Ram 3.0GHz i7-1185G7 - Warranty!</t>
  </si>
  <si>
    <t>Dynabook Satellite Pro E10-S-101 11.6" Laptop Celeron N4020 4GB 128GB 7687692</t>
  </si>
  <si>
    <t>HP ProBook 640 G1 Windows 10 14" Laptop Intel i5 4210M 2.6GHz 8GB 240GB SSD</t>
  </si>
  <si>
    <t>Microsoft Surface Pro 5 12.3" M3-7Y30 128GB 4GB 2-in-1 Touchscreen Laptop Tablet</t>
  </si>
  <si>
    <t>GOLD Laptop Lenovo ThinkPad T470 Core I5 8GB RAM 256GB SSD Windows 10 Pro 14"</t>
  </si>
  <si>
    <t>ASUS Chromebook CB314-1H-C3E3 Laptop, Intel Celeron, 4GB RAM, 64GB, 14", Silver</t>
  </si>
  <si>
    <t>HONOR</t>
  </si>
  <si>
    <t>Honor MagicBook 14", NBL-WAQ9AHNR Ryzen 5 8GB 256GB Laptop - Grey - Pristine</t>
  </si>
  <si>
    <t>Laptop Dell Latitude 7400 14in Intel 8th Gen i5 8GB RAM 256GB SSD Warranty, VG</t>
  </si>
  <si>
    <t>Lenovo IdeaPad 3 Laptop 15.6" Intel Core i3 4GB RAM 128GB SSD Windows 11 Blue #A</t>
  </si>
  <si>
    <t>HP Pavilion 14-CE3600SA 14" FHD Intel i3-1005G1 8GB 256GB SSD Windows 10 Silver</t>
  </si>
  <si>
    <t>HP ProBook 430 G4 Core i5-7200U 2.50GHz 8GB DDR4 500GB HDD Webcam HDMI Laptop</t>
  </si>
  <si>
    <t>Toshiba Tecra A40 Windows 10 14" Laptop Intel i5 6200U 2.3 GHz 8GB 256GB SSD</t>
  </si>
  <si>
    <t>Samsung Gaming Laptop NP300E5C 15.6" Intel Core i5, Webcam, 8GB, Windows 10</t>
  </si>
  <si>
    <t>RENEWED HP ProBook 645 G2 14" Laptop - AMD A10 1.8GHz CPU, 4GB, 128GB SSD</t>
  </si>
  <si>
    <t xml:space="preserve">Acer Chromebook Spin 513 Convertible Laptop 4GB RAM, 64GB eMMC 13.3" Full HD </t>
  </si>
  <si>
    <t>Windows 10 HP Elitebook 640 G2 i5-6200U Laptop PC - 8GB DDR4 - 256GB SSD Renewed</t>
  </si>
  <si>
    <t>HP 14-DK0011NA Laptop, AMD Ryzen 5, 8GB RAM, 256GB SSD, 14", Natural Silver</t>
  </si>
  <si>
    <t>Lenovo ThinkPad X1 Carbon Core i7 8th Gen 16GB 256GB SSD 14'' Laptop Windows 11</t>
  </si>
  <si>
    <t>Dell Latitude E7270 12.5" i7-6600U 256GB 8GB Full HD Windows Business Laptop C2</t>
  </si>
  <si>
    <t>Windows 11 Dell 7280 Core i5 6200U 256GB SSD 8GB Laptop Notebook</t>
  </si>
  <si>
    <t>Dell Precision 7520 E3-1535M v6 QUAD core 16Gb 512Gb SSD M1200 4Gb Win10 Pro</t>
  </si>
  <si>
    <t xml:space="preserve">Lenovo gaming laptop 14.1" Intel I5 2ND 2.5Ghz 8GB 480GB SSD DVD Windows 10 </t>
  </si>
  <si>
    <t>Dell Inspiron 5421 Core i5-3337U 1.80GHz 4GB DDR3 320GB HDD Touchscreen Laptop</t>
  </si>
  <si>
    <t>HP Pro X2 Tablet 612 G2 i7-7th Gen 8GB RAM 256GB SSD Win 10 Pro Grade A</t>
  </si>
  <si>
    <t>Laptop Dell Latitude E7270 12.5in 6th Gen i5 i7 8GB 16GB RAM 250GB SSD, G</t>
  </si>
  <si>
    <t>HP Spectre x360 15.6" 4K Touch Laptop i7 10750H 16GB GeForce 1650 Ti MaxQ</t>
  </si>
  <si>
    <t>Microsoft Surface Laptop 13.5" Touchscreen (256GB SSD, Intel Core i5-7200U 8GB</t>
  </si>
  <si>
    <t>Lenovo ThinkPad X1 Tablet (Gen 3) Core i5-8250U 8GB 256GB SSD 13" QHD+ IPS Touch</t>
  </si>
  <si>
    <t>Dell Alienware X15 R1 i7-11800H 8 Core 32Gb 1Tb SSD RTX 3070 8Gb QHD 240Hz</t>
  </si>
  <si>
    <t>Toshiba Tecra Z40 - C Windows 10 14" Laptop Intel i5 6200U 2.3GHz 8GB 256GB SSD</t>
  </si>
  <si>
    <t>Laptop Dell Inspiron 3451 Intel Celeron N2840 @ 2.16GHz/4GB/12&lt;wbr/&gt;0GB/Win10Pro</t>
  </si>
  <si>
    <t xml:space="preserve">Lenovo IdeaPad 3 Laptop Intel Core i5-10210U 4GB RAM 256GB SSD 14" FHD Win 10 </t>
  </si>
  <si>
    <t>Dell Inspiron 14 5482 2-in-1 i3-8145U 1TB HD 8GB 14" FHD TOUCH SCREEN W/PRO NF</t>
  </si>
  <si>
    <t>HP 15-da0057na intel Core i7-7500U 4GB RAM 2TB HDD 15.6" Windows 10 Home Laptop</t>
  </si>
  <si>
    <t>Dell Latitude E5520 Windows 10 15.6" Laptop Intel i5 2410M 2.3GHz 4GB 500GB HDD</t>
  </si>
  <si>
    <t>Lenovo IdeaPad 5 Pro Laptop i5-11300H 8Gb 512Gb SSD 16" WQXGA W10 82L90033UK</t>
  </si>
  <si>
    <t>HP 14s-dq2019na Intel Core i3 8GB RAM 128GB SSD 14" Laptop - *Silver* B</t>
  </si>
  <si>
    <t>Toshiba Gaming Cheap Laptop L730 13.3" Intel Core i3 2.30Ghz, Webcam, Windows 10</t>
  </si>
  <si>
    <t>Dell Vostro 15 Windows 10 15.6" Laptop Intel i3 6006U 2GHz 4GB 120GB SSD</t>
  </si>
  <si>
    <t>Lenovo ThinkPad L540 FHD Core i5-4200M 2.50GHz 8GB DDR3 500GB Windows 10 Laptop</t>
  </si>
  <si>
    <t>Renewed Dell Latitude 3590 i5 256 SSD 8Gb Ram 15.6" screen - 1 Yr Warranty</t>
  </si>
  <si>
    <t>Dell Precision 15 7550 i9-10885H 8 Core 32Gb 1Tb SSD FHD Win10 Pro</t>
  </si>
  <si>
    <t>GeoBook 2E GE175 12.5" Intel Celeron N3450 Quad Core 4Gb 12.5" W10P Edu - GE175</t>
  </si>
  <si>
    <t>CHEAP Lenovo ThinkPad T440s Laptop Core I5 8GB Ram 256GB SSD Windows 10 Pro 14"</t>
  </si>
  <si>
    <t>Dell Inspiron 14 3480 Laptop, Intel Core i5, 8GB RAM, 256GB SSD, 14", Silver</t>
  </si>
  <si>
    <t>POWERFULL HP PROBOOK WINDOWS 11 LAPTOP CORE I3 8GB RAM 500GB STORAGE 14" HD</t>
  </si>
  <si>
    <t>Lenovo Thinkpad X270 12.5" i5-6300U 256GB 8GB Windows 10 Pro Business Laptop B</t>
  </si>
  <si>
    <t>VENTURA</t>
  </si>
  <si>
    <t xml:space="preserve">VENTURER Europa LT 14" Laptop - Celeron 1.1GHz - 64GB SSD, 2GB RAM - Black </t>
  </si>
  <si>
    <t>Sony Vaio White Laptop BIG 15.6" HD WideScreen Windows10 DVD WiFi 5GHz AntiVirus</t>
  </si>
  <si>
    <t>Hp Chromebook 11" G8 N4020 4GB 32GB Grey &amp; Black Google play Store  12M Waranty</t>
  </si>
  <si>
    <t>HP Chromebook x360 14b-cb0002na 14" Touch FHD Pentium N6000 4Gb eMMC 4H2A1EA</t>
  </si>
  <si>
    <t>HP ENVY x360 13-bd0017na i7-1165G7 2-in-1 13.3" Touch FHD 16Gb 512Gb SSD W11</t>
  </si>
  <si>
    <t>HP Spectre x360 13.5" 2 in 1 Laptop Core i7 1165G7 11th Gen 16GB RAM 512GB SSD</t>
  </si>
  <si>
    <t>Laptop Lenovo Yoga 2 13 20344 Intel i3-4010U/4GB/1&lt;wbr/&gt;20GB SSD/Win 10 Pro</t>
  </si>
  <si>
    <t>Asus VivoBook E402WA 14" AMD E2 240GB 4GB HD Portable Windows Blue Laptop C2</t>
  </si>
  <si>
    <t>Lenovo IdeaPad L34081LW00HUMH 15.6" Laptop, AMD Ryzen 7, 16GB RAM, 512GB SSD</t>
  </si>
  <si>
    <t>HP Pro X2 612 G2 i5-7th Gen 8GB RAM 256GB SSD 4G LTE Wins10 Pro (L5H62EA#ABU)A</t>
  </si>
  <si>
    <t>ASUS X550CA Intel Core i5-3337U 4/6GB RAM 750GB/1TB HDD 15.5" Windows 10 Laptop</t>
  </si>
  <si>
    <t>ASUS VivoBook X705MA-BX019T Laptop Pentium N5000 8Gb 1Tb 17.3" HD+ W10</t>
  </si>
  <si>
    <t>HP Pavilion 14-dv2501sa Laptop i3-1215U 8Gb 256Gb SSD 14" FHD touch W11 6L7K1EA</t>
  </si>
  <si>
    <t>Panasonic Toughbook CF19 Rugged Laptop i5 Win 10 Pro 5 Year Warranty Up To 16 Gb</t>
  </si>
  <si>
    <t>Dell Latitude 3480 i3-6006U 2.00GHz 8GB Ram 128GB SSD Windows 11 Warranty Laptop</t>
  </si>
  <si>
    <t>Dell Inspiron 14 5418 Laptop, Intel Core i5, 8GB RAM, 512GB SSD, 14", Silver</t>
  </si>
  <si>
    <t>Lenovo Yoga 6 13 AMD Ryzen 5 5500U 8Gb 256Gb SSD 13.3" FHD Win 11 82UD005SUK</t>
  </si>
  <si>
    <t>Lenovo ThinkPad T14 Gen 2 Laptop: 11th Gen i5, 16GB RAM, 500GB SSD, LTE Warranty</t>
  </si>
  <si>
    <t>Lenovo Laptop IdeaPad 1 14ADA05 14" AMD Athlon Silver 3050e 4GB RAM 64GB eMMC #A</t>
  </si>
  <si>
    <t>Dell Latitude 7390 Intel i5 8350u 1.70Ghz 16GB RAM 256GB SSD 13.3" FHD Win 11</t>
  </si>
  <si>
    <t>HP Laptop 15s-eq RYZEN3-5300U 3.8GHz 15.6" 1920x1080 8/256GB SSD WEBCAM WIN 10</t>
  </si>
  <si>
    <t>CHEAP FAST DELL Latitude Intel Quad Core i5 4th Gen 8GB 120GB SSD WIN10 Laptop</t>
  </si>
  <si>
    <t>HP ZBook 15u G3 15.6" i7-6500U 256GB 16GB Windows 10 Pro Workstation Laptop B</t>
  </si>
  <si>
    <t>HP Omen 17.3" 144Hz Gaming Laptop i7 10750H 10th Gen 16GB RAM RTX 2080 Super</t>
  </si>
  <si>
    <t>ASUS CX14 14" Chromebook - Intel® Celeron™ - 64GB emmC - Silver - REFURB-B</t>
  </si>
  <si>
    <t>Cheap dell laptop e5430 Intel I5 3rd 8GB 240Gb SSD Webcam 14.1" Windows 10 HDMI</t>
  </si>
  <si>
    <t>HP Stream 11-AK0512SA 11.6" Laptop PC 4GB Ram 64GB eMMc HDD Bluetooth Windows 10</t>
  </si>
  <si>
    <t>Acer Swift 1 SF114-34 14" Full HD Laptop Intel Pentium 4GB RAM 128GB SSD C Grade</t>
  </si>
  <si>
    <t>Lenovo Thinkpad T490s 14" Intel i5 8th Gen CPU 8GB RAM 256GB NVMe SSD Win 10 Pro</t>
  </si>
  <si>
    <t>ASUS Vivobook Pro 15 Laptop AMD Ryzen 7 4700U 8GB 512GB SSD 15.6" FHD IPS Win 10</t>
  </si>
  <si>
    <t>Dell XPS 13 9315 4.7 i7 1250U, 512GB SSD,16GB Ram,13.4" FHD+ 1920x1200 3YR WRNTY</t>
  </si>
  <si>
    <t>Lenovo 300e Chromebook 2ndGen Laptop Celeron N4020 4GB 32GB eMMC 11.6" IPS Touch</t>
  </si>
  <si>
    <t>Lenovo ThinkPad X280 Core i5-8350U 8GB 256GB SSD HDMI WiFi WebCam W11 Pro</t>
  </si>
  <si>
    <t>ASUS E510MA Laptop Intel Celeron N4020 4GB RAM 64GB eMMC 15.6" FHD Win 10 Home S</t>
  </si>
  <si>
    <t>Dell Latitude 7490 Intel i5 8350u 1.70Ghz 8GB RAM 256GB SSD 14" FHD Win 11</t>
  </si>
  <si>
    <t>Lenovo ThinkPad T460S Windows 10 14" Laptop Intel i7 6600U 2.6GHz 12GB 256GB SSD</t>
  </si>
  <si>
    <t>Lenovo IdeaPad 3 11.6" HD Chromebook Intel Celeron 4GB RAM 32GB eMMC Black | #A</t>
  </si>
  <si>
    <t>HP Chromebook 14A-ND0001NA Laptop, AMD 3015ce, 4GB RAM, 64GB eMMC, 14", White</t>
  </si>
  <si>
    <t>Hypa</t>
  </si>
  <si>
    <t>Hypa HY001 Slim Portable Lightweight Laptop 14" Full HD 64GB 4GB Ram Wifi Green</t>
  </si>
  <si>
    <t>Dell Precision 7520 i7-6820HQ QUAD 16Gb 512Gb SSD WX 4130 2Gb Win10 Pro</t>
  </si>
  <si>
    <t>MSI Raider GE66 15.6" Gaming Laptop, Intel Core i7, 16GB, 512GB (9S7-154314-09&lt;wbr/&gt;5)</t>
  </si>
  <si>
    <t>Lenovo Ideapad Flex 3, MediaTek MT8183, 4GB RAM, 64GB eMMC, 11.6", Grey</t>
  </si>
  <si>
    <t>Lenovo Ideapad 5 14ITL06 Laptop, Intel Core i5, 8GB RAM, 256GB SSD, 15.6" - Grey</t>
  </si>
  <si>
    <t>HP ENVY x360 2-in-1 Laptop 15-ew0504na Intel Core i5 1240P 8GB 512GB SSD</t>
  </si>
  <si>
    <t>HP Probook 430 G2 Core i5-4300U 4GB DDR3 120GB SSD Webcam HDMI Windows 10 Laptop</t>
  </si>
  <si>
    <t>Geo Computers GeoBook 140X  Notebook 14.1" FHD Celeron N4020 4Gb 128Gb SSD W11S</t>
  </si>
  <si>
    <t>DELL Inspiron 16 Plus 7620 4.7 i7, 16GB, 1 TB SSD,  16" 3K 3072x1920 1YR WARANTY</t>
  </si>
  <si>
    <t>HP Notebook 14s-dq1505sa Core i7 1065G7 8GB 512GB SSD 14" Windows 10 Pro Laptop</t>
  </si>
  <si>
    <t>HP ZBook Studio X360 G5 E-2176M 32GB RAM 250GB/1TB SSD P1000M W10/W11, VG</t>
  </si>
  <si>
    <t>ASUS Chromebook Flip C100PA 10.1" Rockchip 16GB 4GB Touchscreen Silver Laptop B</t>
  </si>
  <si>
    <t>Lenovo V330-14IKB FHD i5-8250U 8GB 256GB SSD Windows 11 Warranty Webcam Laptop</t>
  </si>
  <si>
    <t>Dell XPS 13 9315 4.4 i5 1230U, 512GB SSD,8GB Ram, 13.4" FHD 1920x1200, 3YR WRNTY</t>
  </si>
  <si>
    <t>Lenovo ThinkPad T460 14" Laptop, i5 6th Gen, 8GB RAM, 256GB SSD, Windows 11</t>
  </si>
  <si>
    <t>HP 14" Chromebook (14a-na0509sa) - Pentium 1.1GHz 64GB eMMC 4GB RAM Silver/White</t>
  </si>
  <si>
    <t>Acer Aspire 5 15.6" Laptop AMD Ryzen 5 5500U 8GB RAM 512GB SSD Black</t>
  </si>
  <si>
    <t>Lenovo ThinkPad T460s Windows 10 14" Laptop Intel i5 6300u 2.4GHz 8GB 256GB SSD</t>
  </si>
  <si>
    <t>HUAWEI Matebook X Pro i5-10210U 16GB 512GB SSD MX250 2Gb Touch 3K 13.9"(Pristine</t>
  </si>
  <si>
    <t>Dell Latitude 7480 Laptop, 14" Full HD, Intel i5-7300U, 16GB RAM, 256GB M.2 SSD</t>
  </si>
  <si>
    <t>Fujitsu Lifebook T731 Core i5-2520M 2.50GHz 4GB Ram 180GB SSD Webcam HDMI Laptop</t>
  </si>
  <si>
    <t>HP 15-DA0598SA Blue laptop Core i3 7020u 2.30Ghz 4gb Mem 240gb SSD 15.6" (1286)</t>
  </si>
  <si>
    <t>Dell Gaming Laptop E6320 13.3" Intel Core i3 2.10Ghz, Webcam, Windows 10, HDMI</t>
  </si>
  <si>
    <t>HP Pavilion 14-al111la 14" i7-7500U 256GB 4GB Windows 10 Silver Laptop B</t>
  </si>
  <si>
    <t>HP 15-db0521 15" FHD Amd A6-9225 2 cores 2.6Ghz 4GB 1TB R4 3 Cores win10 LAPTOP</t>
  </si>
  <si>
    <t>REFURBISHED 13.3 HP Probook 430 G2 i5-5200 8GB 240SSD Win 10 Laptop</t>
  </si>
  <si>
    <t>ASUS ZenBook 13 UX325EA 13.3" Laptop - Intel® Core™ i5 - 512GB SSD - REFURB-A</t>
  </si>
  <si>
    <t>Gaming laptop Lenovo ThinkPad T430i 14.1" 500GB Intel i3 2.6GHz 8GB Win 7 10 SSD</t>
  </si>
  <si>
    <t>HP Pavilion 14-dv2501sa 14" Laptop Intel Core i3 1215U 8GB 256GB SSD</t>
  </si>
  <si>
    <t>Lenovo ThinkPad T460s Windows 10 14" Laptop Intel i5 6300U 2.4GHz 8GB 256GB SSD</t>
  </si>
  <si>
    <t>MEDION</t>
  </si>
  <si>
    <t>MEDION AKOYA S4403 14" Touchscreen Core i5, 8GB, 512GB 2-in-1 Laptop Titan Grey</t>
  </si>
  <si>
    <t>FAST DELL Latitude Intel Quad Core i5 8th Gen 256GB SSD 8GB Ram Windows11 Laptop</t>
  </si>
  <si>
    <t>Acer Swift SF314-43 14" AMD Ryzen 5 5500u 4.0GHz 8GB RAM 1TB SSD Laptop - Win 11</t>
  </si>
  <si>
    <t>ASUS X415EA-EK746WS 14" Laptop Pentium Gold 4GB RAM 128GB SSD Silver C Grade</t>
  </si>
  <si>
    <t>Lenovo ThinkPad L460 Windows 10 14" Laptop Intel i5 6200U @2.3GHz 4GB 256GB SSD</t>
  </si>
  <si>
    <t>Lenovo Thinkpad T460 i5-6300U 2.40GHz 8GB Ram 500GB HDD Windows 11 Webcam Laptop</t>
  </si>
  <si>
    <t>Lenovo Yoga 7 14ACN6 14" Laptop AMD Ryzen 7 5800U 8GB RAM 512GB SSD</t>
  </si>
  <si>
    <t>Dell Inspiron 14 5405 14" FHD Laptop AMD Ryzen 5 4500U 8GB RAM 256GB SSD</t>
  </si>
  <si>
    <t>Lenovo ThinkPad T530 Laptop 320GB HDD 4GB RAM Windows 10 Pro Intel i5-3210M.</t>
  </si>
  <si>
    <t>HP Elite X2 1012 G2 Tablet, 12.3" Intel® Core i5, 8GB RAM, 256GB SSD, Windows 10</t>
  </si>
  <si>
    <t>Hp EliteBook 8460p Intel Core i5-2540M 4GB RAM 320GB HDD 15.6" Windows 10 Laptop</t>
  </si>
  <si>
    <t>Asus X515MA-EJ539T 15" Laptop Celeron N4020 8GB RAM 1TB HDD Windows 11 | Grade B</t>
  </si>
  <si>
    <t>Dell Gaming Laptop E6440 i5 3.4Ghz 500GB SSD 16GB 14.1" HD Windows 10 DVD HDMI</t>
  </si>
  <si>
    <t>HP Pavilion 14-ec0537sa 14" Laptop AMD Ryzen 5 5500U 8GB RAM 256GB Windows 10</t>
  </si>
  <si>
    <t>HP Pavilion Laptop 14" Full HD IPS Intel Quad Core i5-1035G1 8GB RAM 512GB SSD</t>
  </si>
  <si>
    <t>Dell Ultrabook Laptop Windows11 Pro i5 2.9GHz HD 1600x900 Res 500Gb WiFi 5GHz</t>
  </si>
  <si>
    <t>Acer Aspire ES1-512 15.6" Celeron 1TB 4GB HD DVD Windows 10 Black Laptop B</t>
  </si>
  <si>
    <t>HP Chromebook 14A-NA0510SA 14'' Laptop, Intel Pentium, 8GB, 128GB (4J9C0EA#ABU)</t>
  </si>
  <si>
    <t>Panasonic Toughbook CF-54 Rugged Laptop Fhd Touch 16 GB  1 Tb Win 11 Pro Rugged</t>
  </si>
  <si>
    <t>Lenovo ThinkPad X1 Carbon G5 Laptop i5-7200U 8GB 256GB SSD 14" FHD 4G Win 10 Pro</t>
  </si>
  <si>
    <t>Lenovo IdeaPad Flex 5 Laptop i5-1135G7 8Gb 256Gb SSD 13.3" FHD touch 82M7000CUK</t>
  </si>
  <si>
    <t>Lenovo ThinkPad X1 Carbon LAPTOP Intel core i7-5600 8GB RAM 240GB SSD Win10Pro A</t>
  </si>
  <si>
    <t>Dell Latitude E7250 Core i5-5200U 2.20GHz 4GB DDR3 128GB SSD Webcam HDMI Laptop</t>
  </si>
  <si>
    <t>Venturer Europa 11" Notebook - Rose Gold</t>
  </si>
  <si>
    <t>Samsung Galaxy Chromebook Go 14" Laptop 8GB RAM 64GB eMMC Wi-Fi Silver C Grade</t>
  </si>
  <si>
    <t>HP Pavilion x360 14" Convertible Laptop Core i3 8GB RAM 128GB SSD Silver C Grade</t>
  </si>
  <si>
    <t>Lenovo E31-70 Core i3-4030U 1.90GHz 4GB DDR3 128GB SSD Webcam Windows 10 Laptop</t>
  </si>
  <si>
    <t>Lenovo IdeaPad 3 Laptop AMD Athlon Gold 3150U 4GB RAM 128GB SSD 14" FHD Win 10 S</t>
  </si>
  <si>
    <t>Dell Inspiron 15-7506 2-in-1 i7-1165G7,16GB&lt;wbr/&gt;,512GB SSD,15.6"FHD Touch SILVER *US*</t>
  </si>
  <si>
    <t>HUAWEI Matebook D15 i5 10th Gen CPU 15.6" LAPTOP 8GB/256GB Grey</t>
  </si>
  <si>
    <t>HP EliteBook 745 G4 AMD A10 Quad Core 8GB Ram 128GB SSD FHD Windows 11 Laptop</t>
  </si>
  <si>
    <t>Dell Gaming Laptop Latitude E6430 14" Intel Core i3 2.60Ghz, Nvidia, Windows 10</t>
  </si>
  <si>
    <t>Microsoft Surface Book 3 13.5" 512GB SSD 32GB Ram Core i7 10th Gen GTX 1650 4GB</t>
  </si>
  <si>
    <t>ASUS ExpertBook B9 Laptop Core i7-10510U 16GB RAM 512GB SSD 14" FHD Win 10 Pro</t>
  </si>
  <si>
    <t>Dell Vostro 3580 15.6" i5-8265U 8GB Ram 256GB SSD FHD Windows 11 Warranty Laptop</t>
  </si>
  <si>
    <t>ASUS Chromebook C523 15.6" Laptop Intel Celeron 4GB RAM 64GB eMMC</t>
  </si>
  <si>
    <t>Clevo Ergo W540AU 14" i5-5200U 128GB 8GB HD DVD Windows 10 Grey Cheap Laptop B</t>
  </si>
  <si>
    <t>Dell Latitude 3490 14" Business Laptop i3 8th Gen 8GB 128GB SSD Win11</t>
  </si>
  <si>
    <t>Dell Latitude 7430 14" Laptop: Core i7 12th Gen 32GB RAM 512GB, Iris Xe Warranty</t>
  </si>
  <si>
    <t>Dell Inspiron 15-3541 Laptop AMD E1-6010,4GB RAM,500GB HD,DVD-RW,15.6&lt;wbr/&gt;" 720p HD</t>
  </si>
  <si>
    <t>Lenovo Ideapad 3 Intel Core i3 1005G1 4GB RAM 128GB SSD  14" FHD Laptop Blue</t>
  </si>
  <si>
    <t>HP 6570b Gaming Laptop 15.6" Intel Core i3 2.50Ghz, Webcam, Serial, Windows 10</t>
  </si>
  <si>
    <t>Lenovo Laptop Ideapad 3 14" Full HD Quad Core Intel i7-1065G7 8GB RAM 256GB SSD</t>
  </si>
  <si>
    <t>Dynabook Satellite Pro C50-H 15"FHD Core i5-1035G1 1.2GH 256GB SSD 8GB Win11 (9</t>
  </si>
  <si>
    <t>Dell Latitude 7430 14" Laptop: Core i7 12th Gen 16GB RAM 500GB, Iris Xe Warranty</t>
  </si>
  <si>
    <t>Dell Inspiron 3510 Laptop Celeron N4020,4GB RAM,1TB SATA HD,15.6" HD *B*</t>
  </si>
  <si>
    <t>Lenovo ThinkPad L470 Laptop, 14" Intel® Core™ i5, 8GB RAM, 256GB SSD, Windows 10</t>
  </si>
  <si>
    <t>HP Spectre x360 16-f1501na 16" 4K OLED Laptop i7 1260P 16GB 1TB Intel Arc A370M</t>
  </si>
  <si>
    <t>CHEAP HP ProBook 640 G1 Core i5-4200M 2.50GHz 4GB 320GB Webcam Windows 10 Laptop</t>
  </si>
  <si>
    <t>HP Pavilion 15-eg0065na 15.6" Laptop Pentium Gold 8GB RAM 256GB SSD C Grade</t>
  </si>
  <si>
    <t>Dell Latitude E5450 Windows 10 14" Laptop Intel i5 5300U 2.3GHz 6GB 120GB SSD</t>
  </si>
  <si>
    <t>Cheap dell laptop e5430 Intel I5 3rd 4GB 120Gb SSD Webcam 14.1" Windows 10 HDMI</t>
  </si>
  <si>
    <t>Lenovo IdeaPad S340 AMD Ryzen 3-3200U 4GB 128GB SSD Blue 15.6" Laptop 81NC007PUK</t>
  </si>
  <si>
    <t>HP 14-DG0XXX  14" Laptop Celeron  4GB 64GB SSD Windows 11 Home - inc VAT</t>
  </si>
  <si>
    <t>Dynabook Satellite Pro C40-G-10Y 14" Laptop i3-10110U 8GB 256GB A1PYS26E114L #A</t>
  </si>
  <si>
    <t>HP ProBook 650 G4, Laptop Core i3-8130U@2.20G&lt;wbr/&gt;hz, 4GB RAM, 128GB SSD Windows 10</t>
  </si>
  <si>
    <t>Lenovo ideapad Slim 1-11AST-05 11" Laptop AMD A4-9120e 4GB 64GB R3 81VR000UUK #A</t>
  </si>
  <si>
    <t>Lenovo Yoga 6 13.3" 2 in 1 Laptop AMD Ryzen 5 5500U 8GB RAM 256GB SSD</t>
  </si>
  <si>
    <t xml:space="preserve">ASUS ROG Zephyrus G14 LGaming Laptop Ryzen 9-5900HS 32GB RAM 1TB SSD 14" WQHD </t>
  </si>
  <si>
    <t>HP EliteBook 840 G1 Laptop, 14" Intel Core i5, 8GB RAM, 256GB SSD, Windows 10</t>
  </si>
  <si>
    <t>Dell Latitude E5540 Windows 10 15.6" Laptop Intel i3 4010U 1.7GHz 8GB 120GB SSD</t>
  </si>
  <si>
    <t>HP 13-BA1013NA Laptop, Intel Core i5, 8GB RAM, 512GB HDD, 13.3", Silver - Refurb</t>
  </si>
  <si>
    <t>Lenovo IdeaPad 3 82BA0017UK, Intel Celeron, 4GB, 32GB, 11.6", Black (No Charger)</t>
  </si>
  <si>
    <t>Laptop Dell Inspiron 3451 - Intel Celeron N2840 @ 2.16GHz/4GB/12&lt;wbr/&gt;0GB/Win10Pro</t>
  </si>
  <si>
    <t>Lenovo ThinkPad E15 15.6" i5-10210U 256GB 8GB Windows 11 Pro Business Laptop A</t>
  </si>
  <si>
    <t>Lenovo G50-80 15.6" HD Core i5-5200U 2.20Ghz 1TB 8GB Win10 cheap fast laptop (2</t>
  </si>
  <si>
    <t>Dell Inspiron 15 5000 5584 i5-8265U 1TB HD 15.6" FHD 8GB WEB CAMERA  WIFI W/PRO</t>
  </si>
  <si>
    <t>Dell Latitude E5450 i3-5005U 2.00GHz 8GB Ram 500GB HDD Windows 11 Webcam Laptop</t>
  </si>
  <si>
    <t>HP EliteBook 820 G1 Cheap Laptop Intel Core I5 8GB RAM 128GB SSD Windows 10</t>
  </si>
  <si>
    <t>Lenovo ThinkPad X260 i5-6300U 2.40GHz 4GB RAM 120GB SSD 1080p W10Pro</t>
  </si>
  <si>
    <t>Huawei Matebook X Pro 2020 Laptop, i7 Processor, 16GB RAM, 1TB SSD, 13.9", Grey</t>
  </si>
  <si>
    <t>Dell Latitude 7280 i5-6300U 8GB 256GB SSD 12.5'' Screen Win 11 Pro</t>
  </si>
  <si>
    <t>Dell Latitude 7270 i5-6300U 8GB 256GB SSD 12.5'' Touch Screen Win 11 Pro</t>
  </si>
  <si>
    <t>Lenovo IdeaPad 1i 11.6" Laptop Intel Celeron N4020 4GB 64GB Windows 11 Home Blue</t>
  </si>
  <si>
    <t>Dell Latitude 3480 Windows 10 14" Laptop Intel i3 6006U 2GHz 8GB 120GB SSD</t>
  </si>
  <si>
    <t>ASUS F515EA-BQ570T Laptop i3-1115G4 8Gb 256Gb SSD 15.6" Full HD W10</t>
  </si>
  <si>
    <t>Lenovo IdeaPad 3 i3-1115G4 Notebook 17.3" FHD 4Gb 256Gb SSD W11S Grey 82H900PBUK</t>
  </si>
  <si>
    <t>ASUS Chromebook CX1100CNA Laptop Celeron N3350 4GB RAM 64GB eMMC 11.6" Chrome OS</t>
  </si>
  <si>
    <t>Lenovo IdeaPad 3 MediaTek MT8183 4Gb 64Gb eMMC 14" FHD 82KN002BUK</t>
  </si>
  <si>
    <t>Entity</t>
  </si>
  <si>
    <t>Entity HW274 Twin 2-in-1 10.1" Convertible Laptop 64GB Storage Windows 10 Bronze</t>
  </si>
  <si>
    <t>HP Folio 13 2000 Windows 10 13.3" Laptop Intel i5 2467M 1.6GHz 4GB 128GB SSD</t>
  </si>
  <si>
    <t>HP ZBook 15u G2 Intel Core i5 - 5200U 2.70Ghz 16GB Ram 240GB SSD - CL45</t>
  </si>
  <si>
    <t>HP Pavilion 15-eg0032na i3-1115G4 8Gb 256Gb SSD 15.6" Full HD W10</t>
  </si>
  <si>
    <t>Dell XPS 13 9315 4.4 i5 1230U, 256GB SSD,8GB Ram,13.4" FHD+ 1920x1200, 3YR WRNTY</t>
  </si>
  <si>
    <t>TOSHIBA TECRA A11-1EG Intel Core I5 2.67GHz 8GB 128GB SSD Win10 Cheap Laptop VGA</t>
  </si>
  <si>
    <t>Samsung Gaming Laptop 300E 15.6" Intel Core i3 2.30Ghz, Webcam, Windows 10</t>
  </si>
  <si>
    <t>HP ProBook 745 G2 Windows 10 14" Laptop AMD A6 Pro 7050B 2.2GHz 8GB 500GB HDD</t>
  </si>
  <si>
    <t>Lenovo IdeaPad 5i 14" Chromebook - Intel Core i3, 4GB, 256GB, Grey - Excellent</t>
  </si>
  <si>
    <t>Lenovo ThinkPad L460 Windows 10 14" Laptop Intel i5 6200U @2.3GHz 8GB 256GB SSD</t>
  </si>
  <si>
    <t>YIXIN</t>
  </si>
  <si>
    <t>YIXIN 13.3" Laptop w/ IPS display, 1.5GHz, 6GB RAM, 128GB SSD, Win 10 - Silver</t>
  </si>
  <si>
    <t>HP EliteBook 820 G3 i3-6100U 2.30GHz 8GB Ram 128GB SSD Windows 11 Webcam Laptop</t>
  </si>
  <si>
    <t>Gigabyte AORUS 17X Intel Core i9 64GB 1TBSSD RTX3080 17" Refurb Gaming Laptop</t>
  </si>
  <si>
    <t>Lenovo Thinkpad T460s, FHD, i7-6600U, 20GB RAM, 500GB SSD, Win 10 Pro (VG) - ...</t>
  </si>
  <si>
    <t>Dell Latitude 9520 Laptop, 15.6 FullHD Screen, i5-1135G7, 8GB RAM, 256GB SSD</t>
  </si>
  <si>
    <t>Dell Latitude 5480 Core i3-7100U 2.40GHz 8GB 128GB SSD Windows 10 Webcam Laptop</t>
  </si>
  <si>
    <t>Toshiba Satellite L850D 15.6" AMD E2 750GB 4GB HD DVD Windows 10 White Laptop A</t>
  </si>
  <si>
    <t>Dragon Touch</t>
  </si>
  <si>
    <t>Dragon Touch Y88 Plus 7" Tablet, 0.5GB RAM, 8GB Storage, Grey</t>
  </si>
  <si>
    <t>Lenovo IdeaPad Duet 10.1" Chromebook MediaTek P60T 4GB 64GB Blue Grey ZA6F0025GB</t>
  </si>
  <si>
    <t>Laptop HP ProBook 640 G2 14.1in i5-6300U 8GB RAM 256GB SSD FHD (Gold)</t>
  </si>
  <si>
    <t>Panasonic Toughbook/Toug&lt;wbr/&gt;hpad  CF-D1, i5  8GB RAM,500 GB Win 10 Pro Engineers Tab</t>
  </si>
  <si>
    <t>HP 15s-fq2016na Intel Core i5-1135G7 8Gb 512Gb SSD 15.6" FHD W10 30A26EA</t>
  </si>
  <si>
    <t>Lenovo V130 15IKB Windows 10 15.6" Laptop Intel i3 7020U 2.3GHz 4GB 128GB SSD</t>
  </si>
  <si>
    <t>Dell Latitude 5580 Laptop, 15.6" Intel® Core i5, 8GB RAM, 256GB SSD, Windows 10</t>
  </si>
  <si>
    <t>LENOVO IdeaPad Flex 5i 14" 2 in 1 Laptop - Intel® Core™ i5, 256 GB SSD, Blue</t>
  </si>
  <si>
    <t>HP EliteBook 840 G6 Laptop i5-8265U 1.60GHz 14" HD 8GB RAM 256GB SSD Win10 B</t>
  </si>
  <si>
    <t>Acer CB315-2H-46D2, AMD A4-9120C, 4GB, 64GB eMMC, 15.6" Silver (NX.H8SEK.005)</t>
  </si>
  <si>
    <t>Lenovo ThinkPad T460s FHD i5-6200U 2.30GHz 8GB Ram 256GB SSD Windows 11 Laptop</t>
  </si>
  <si>
    <t>HP Pavilion 15-dk2029na 15.6" Gaming Laptop Core i5 8GB RAM 512GB SSD Black</t>
  </si>
  <si>
    <t>DELL Inspiron 14 Plus 7420 4.7 i7, 32GB, 1TB SSD,  14" 2.2K 2240x1400 1YR WRNTY</t>
  </si>
  <si>
    <t>Dell Inspiron 13 5378 Laptop, Intel Core i7, 8GB RAM, 256GB SSD, 13.3”, Silver</t>
  </si>
  <si>
    <t>HP EliteBook X360 1030 G2 Core I5-7300U 8GB RAM 256GB SSD Windows 10 Pro Laptop</t>
  </si>
  <si>
    <t>Panasonic Toughbook Cf-19 i5 Laptop Windows 11 Professional  8 Gb New 256 ssd 4G</t>
  </si>
  <si>
    <t>ASUS E510MA-BR887WS&lt;wbr/&gt;, Intel Celeron N4020, 4GB RAM, 64GB eMMC, 15.6", Blue</t>
  </si>
  <si>
    <t>Asus X54C intel Core i3 15.6" Windows 7 500GB HDD 6GB RAM- Black R- Mains Only</t>
  </si>
  <si>
    <t>LENOVO IdeaPad Flex 3 11.6" 2 in 1 Chromebook - MediaTek MT8183, Refurbished</t>
  </si>
  <si>
    <t>LENOVO IdeaPad 5 Pro 16" Laptop - AMD Ryzen 5, Grey - DAMAGED BOX</t>
  </si>
  <si>
    <t>HP OMEN 15-en1000na Ryzen 7 5800H 15.6" QHD 16Gb 1Tb SSD RTX 3070 W11</t>
  </si>
  <si>
    <t>Large Screen  Dell Vostro 3559 Laptop i5 6th Gen 4GB 500GB HDD Windows 10</t>
  </si>
  <si>
    <t>Dell G3 3500 Gaming Laptop Core i7 10750H 2.6Ghz 16gb 500gb SSD RTX2060 (1458)</t>
  </si>
  <si>
    <t>ASUS VivoBook K3502ZA-L1056W Laptop i5-12500H 16Gb 512Gb SSD 15.6" FHD W11</t>
  </si>
  <si>
    <t>Dell Latitude 5400 Laptop 14" Touchscreen, Intel i7-8665U, 512GB SSD, 16GB RAM</t>
  </si>
  <si>
    <t>Lenovo ThinkPad X240 FAST Intel Core I5 4GB Ram 128GB SSD Windows 10 Pro 12.5-in</t>
  </si>
  <si>
    <t>Lenovo v15 v15-IIL 15.6"FHD Core i5-1035G1 1.19Ghz 256GB SSD 8GB Win11 (1)</t>
  </si>
  <si>
    <t>Dell Precision 3551 Laptop, 15.6" HD Screen, i5-10400H, 16GB RAM, 256GB SSD</t>
  </si>
  <si>
    <t>HP OMEN 16.1" Gaming Laptop, Ryzen 7 5800H 16GB / 512GB 165Hz, Black - VERY GOOD</t>
  </si>
  <si>
    <t>Lenovo ThinkPad 13 Core i5-7300U 8GB 128GB SSD 13.3" Windows 10 Pro Laptop</t>
  </si>
  <si>
    <t xml:space="preserve">lenovo thinkpad windows 7 intel core 1.69Ghz 2GB 2.0 60GB WIFI 12.1 red </t>
  </si>
  <si>
    <t>Lenovo ThinkPad T460s Windows 10 14" Laptop Intel i5 6200U @2.3GHz 8GB 128GB SSD</t>
  </si>
  <si>
    <t>Lenovo ThinkPad X1 Yoga (4th Gen) Core i5 8265U 8GB 256GB SSD 14" Touch LAPTOP #</t>
  </si>
  <si>
    <t>Dell Inspiron 14 5482 2 in 1 i5-8265U 256GB 8GB 14" FHD TOUCH NVIDIA MX130 WPRO</t>
  </si>
  <si>
    <t>HP EliteBook 840 G6 Laptop i5-8365U 14" Full HD Screen 8GB RAM 256GB SSD Win10 C</t>
  </si>
  <si>
    <t>Lenovo Thinkpad X1 Extreme Gen3, 15.6" UHD, i7-10750H, 32GB RAM, 1TB SSD, 1650Ti</t>
  </si>
  <si>
    <t>Lenovo ThinkPad X270 Core i5-6300U 8GB 256GB SSD HDMI WiFi WebCam W10 Pro</t>
  </si>
  <si>
    <t>REFURBISHED Dell LATITUDE 5280 240 ssd i5 8 gig Win 10 Pro 1 yr warranty</t>
  </si>
  <si>
    <t>Dell Latitude E5470 Windows 11 14" Laptop Intel i5 6200U 2.3GHz 8GB 120GB SSD</t>
  </si>
  <si>
    <t>Lenovo B580 15.6" Laptop, Intel Core i3, 4GB RAM, 128GB SSD, Black</t>
  </si>
  <si>
    <t>HP Laptop 15s-fq2094nl i3-1115G4 4.1GHz 15.6 HD ANTI-GLARE 8GB/256GB SSD WIN 11S</t>
  </si>
  <si>
    <t>PINK Laptop Lenovo ThinkPad X250 Intel Core I5 8GB RAM 256GB SSD Windows 10</t>
  </si>
  <si>
    <t>HP Envy x360 15-eu0501na 15.6" Laptop Windows 10 AMD Ryzen 7 5700U 16GB 512GB</t>
  </si>
  <si>
    <t>HP Laptop 14s-dq Intel N4020 4GB RAM 128GB SSD 14" HD Webcam Windows 11 S</t>
  </si>
  <si>
    <t>LENOVO IdeaPad Flex 5 15" 2 in 1 Laptop - AMD Ryzen 5, 256 GB SSD, Grey</t>
  </si>
  <si>
    <t>HP ProBook 450 G1 Laptop, 15.6" Intel Core i5, 8GB RAM, 256GB SSD, Windows 10</t>
  </si>
  <si>
    <t>Dell Latitude 14" FHD Laptop, Intel i5-6300U 8GB 128GB SSD HD Graphics 520 E7470</t>
  </si>
  <si>
    <t>Dell Latitude 3450 i5-5200U 2.20GHz 8GB Ram 256GB SSD Windows 11 Webcam Laptop</t>
  </si>
  <si>
    <t>HP Pavilion x360 14-ek0500sa 14" 2 in 1 Laptop i5 1235U 12th Gen 8GB 512GB</t>
  </si>
  <si>
    <t>HP ProBook 440 G4 Core i5-7200U 2.50GHz 8GB DDR4 128GB SSD Webcam HDMI Laptop</t>
  </si>
  <si>
    <t>HP Spectre X360 Convertible 13.3" - i5-6200U 2.3GHz 8GB RAM 256GB SSD - Good</t>
  </si>
  <si>
    <t>Panasonic Toughbook Cf-19   Rugged i5 Win 10 or Win 11 16 Gb 2 Tb Ssd 4g</t>
  </si>
  <si>
    <t>LENOVO IdeaPad 3i 14" Laptop - Intel® Pentium® Gold, 128 GB SSD - REFURB-A</t>
  </si>
  <si>
    <t>HP Spectre x360 Laptop Core i7-1065G7 8GB 512GB SSD 13.3" FHD Touch Convertible</t>
  </si>
  <si>
    <t>Dell Inspiron 7490 i7-1051U 256GB NVMe SSD HD 8Gb RAM 14.0" FHD FP WIFI W/PRO UK</t>
  </si>
  <si>
    <t xml:space="preserve">DELL LATITUDE 13.3" CORE i7 6th GEN 8GB RAM 256GB SSD WINDOWS 11 LAPTOP HD LCD </t>
  </si>
  <si>
    <t>ASUS E410MA-EB012TS Laptop Intel Celeron N4020 4GB 64GB SSD 14" FHD IPS Win10 HM</t>
  </si>
  <si>
    <t>HP Elitebook 840 G4 i5-7300U Quad Core 16GB 250GB  SSD 14'' FHD Screen</t>
  </si>
  <si>
    <t>DELL Inspiron 14 5425 Ryzen 7 5825U 4.5ghz, 16GB Ram, 512GB SSD, 14" FHD, Win 11</t>
  </si>
  <si>
    <t>HP ZBook 15u G2 Intel Core i5 - 5200U 2.70Ghz 16GB Ram 240GB SSD Radeon R7 CL51</t>
  </si>
  <si>
    <t>HP Elitebook 840 G5 Laptop i5-7300U 2.50GHz 8GB RAM 256GB NVME SSD Win10 C</t>
  </si>
  <si>
    <t>Dell Latitude Laptop i5 8th Gen E5490 14" 16GB 250GB 1 Year Warranty Free P&amp;P!</t>
  </si>
  <si>
    <t>CHEAP Windows 10 Laptop Intel Core I5 8GB RAM 320GB HDD 1 Year Warranty</t>
  </si>
  <si>
    <t>Toshiba Windows11 15.6" HD Laptop i5 2.7GHz WiFi DVD HDMI 500Gb 8Gb Office</t>
  </si>
  <si>
    <t>Laptop HP EliteBook 830 G6 14in 8th Gen i5/i7 16GB RAM 512GB SSD, VG</t>
  </si>
  <si>
    <t>Dell 5285 2-in-1 i5-7300U 2.6GHz 8GB RAM 256GB Cellular 3g WIFI Webcam</t>
  </si>
  <si>
    <t>Lenovo Thinkpad L380 FAST WINDOWS 11 Laptop i5-8250u 128GB SSD 8GB USB C Webcam</t>
  </si>
  <si>
    <t>Dell Latitude E5470 Windows 10 14" Laptop Intel i5 7300U 2.6GHz 4GB 120GB SSD</t>
  </si>
  <si>
    <t>HP ENVY x360 13-bd0018na i5-1135G7 2-in-1 13.3" Touch FHD 8Gb 512Gb SSD W11</t>
  </si>
  <si>
    <t>LENOVO 100e Gen 3 11.6" Chromebook Laptop - 32GB eMMC, 4GB RAM - Grey/Speckled</t>
  </si>
  <si>
    <t>Lenovo ThinkPad X230 Laptop Core i5 8GB SSD Webcam Win 10 Cheap Fast Wifi 2.6GHz</t>
  </si>
  <si>
    <t>Microsoft Surface Pro 4 12.3" Core M3 128GB 4GB Windows 11 Pro Laptop Tablet C2</t>
  </si>
  <si>
    <t>Lenovo IdeaPad 3i Gen 6 Laptop 17" HD+ Intel Celeron 6305 4GB 128GB 82H900C9UK A</t>
  </si>
  <si>
    <t>HP Spectre x360 13 aw2024na i7 1165G7 16GB 1TB Touch Ultrabook 2-in-1 Laptop</t>
  </si>
  <si>
    <t>Dell Latitude E5470 Intel i5 6300u 2.40Ghz 4GB RAM 500GB HDD 14" Win 10</t>
  </si>
  <si>
    <t>Dell XPS 13 Plus 9320 4.7 i7 1260P, 1TB,16GB Ram,13.4 3.5K OLED TOUCH 3YR WRNTY</t>
  </si>
  <si>
    <t>Panasonic Toughbook Cf-19 Intel Core i5 Win 7 Or Win 10 32-bit  5 Year Warranty</t>
  </si>
  <si>
    <t>HP Pro X2 612 G2 i5-7th Gen 8GB RAM 256GB SSD Windows 10 Pro (1DT66AW#ABU) A+ 🔥</t>
  </si>
  <si>
    <t>Dell Latitude E5270 Windows 11 12.5" Laptop Intel i5 6300U 2.4GHz 8GB 120GB SSD</t>
  </si>
  <si>
    <t>LENOVO IdeaPad 3i 11.6" Chromebook - Intel® Celeron®, 64 GB eMMC, Black</t>
  </si>
  <si>
    <t>DELL Inspiron 15 3502 15.6" Laptop Pentium Silver N5030 4GB 128GB Black |Grade A</t>
  </si>
  <si>
    <t>HP Envy 13.3" Laptop Intel Core i5 10210U 8GB RAM 512GB SSD GeForce MX350</t>
  </si>
  <si>
    <t>Lenovo ThinkPad T460S Windows 10 14" Laptop Intel i7 6600U 2.6GHz 8GB 256GB SSD</t>
  </si>
  <si>
    <t>LENOVO IdeaPad 5i Pro 14" Laptop - Intel® Core™ i5, 512 GB SSD, Grey</t>
  </si>
  <si>
    <t>Microsoft Surface Laptop Go 12.45" PixelSense Core i5 8GB RAM 128GB SSD Platinum</t>
  </si>
  <si>
    <t>Dell XPS 13 9310 Touchscreen Laptop 13.4" Intel Core i7 16GB RAM 512GB SSD</t>
  </si>
  <si>
    <t>HP Envy x360 15-eu0501sa 15.6" Laptop Windows 10 AMD Ryzen 7 5700U 16GB 512GB</t>
  </si>
  <si>
    <t>Dell G7-7790 Gaming Laptop i7-8750H,16GB,&lt;wbr/&gt;512GB SSD,GeForce RTX 2060,17.3"FHD *B*</t>
  </si>
  <si>
    <t>Panasonic Toughbook CF D1  i5 1 Mk 3 16 GB RAM,2 TB Windows 10 Pro Engineers Tab</t>
  </si>
  <si>
    <t>Dell Latitude E6320 13.3" Core i5-2520M 4GB HDMI Windows 10 Professional Laptop</t>
  </si>
  <si>
    <t>Dell Latitude E5470 i5 6200u 2.30Ghz 8GB RAM 256GB SSD 14" HDMI AC Wifi Win 10</t>
  </si>
  <si>
    <t>Dell Latitude E7450 Windows 10 14" Laptop Intel i5 5200U 2.2GHz 4GB 240GB SSD</t>
  </si>
  <si>
    <t>Lenovo ThinkPad E480 I5-8250U 8GB 256GB SSD 14" W10P RENEWED 1 YR WARRANTY</t>
  </si>
  <si>
    <t>Laprtop Lenovo ThinkPad T480s 14in i7-8650U 16GB RAM 250GB SSD FHD Touchscreen,G</t>
  </si>
  <si>
    <t xml:space="preserve">HP Chromebook 14-db0000na 14" Laptop A4-9120 Chrome OS USB-C microSD Cam Blue </t>
  </si>
  <si>
    <t>Dell Latitude 5501 Laptop, 15.6" FHD, i7-9850H, 16GB RAM, 512GB SSD, NVIDIA</t>
  </si>
  <si>
    <t>Lenovo Thinkpad L590, 15.6" FHD Screen, Intel i7-8665U, 16GB RAM, 512GB SSD</t>
  </si>
  <si>
    <t>HP EliteBook 840 G3 Core i5 6300U 8GB 500GB HDD 14" Windows 10 Laptop</t>
  </si>
  <si>
    <t>Acer Aspire 1 64GB 4GB RAM Intel Celeron N4500 14" LCD Full HD Win 11  - Pink</t>
  </si>
  <si>
    <t>Microsoft Surface Pro 3 i5 4GB 128GB Tablet 12in + Keyboard - Win 10</t>
  </si>
  <si>
    <t xml:space="preserve">HP ProBook 440 G3 Core i5 6th Gen 2.30GHz 8GB DDR3 128GB SSD Webcam HDMI Laptop </t>
  </si>
  <si>
    <t>Microsoft Surface Go2 Tablet Pentium Gold 4425Y 8GB 128GB SSD 10.5" FHD+ W10 Pro</t>
  </si>
  <si>
    <t>CHEAP Lenovo ThinkPad T440s Laptop Core I5 8GB Ram 128GB SSD Windows 10 Pro 14"</t>
  </si>
  <si>
    <t>HP Stream Laptop 14s-fq0508sa 14" Full HD AMD 3020e 4GB RAM 64GB eMMC Windows 10</t>
  </si>
  <si>
    <t>Microsoft Surface Book 2 - Intel Core i5 128GB -8GB RAM - 13.5" Aluminium - Good</t>
  </si>
  <si>
    <t>HP ProBook 450 G2 15.6" Laptop Core i3-4030U 1.90GHz 8GB 500GB HDD Webcam FHD</t>
  </si>
  <si>
    <t>HP 17-by2000na 17.3" Laptop Intel Core i5 10210U 4GB + 16GB Optane 1TB HDD R530</t>
  </si>
  <si>
    <t>LENOVO IdeaPad Slim 1i 11.6" Laptop - Intel® Celeron®, 64 GB eMMC, Blue</t>
  </si>
  <si>
    <t>HP Elitebook 840 G5 i5 8350u 1.70Ghz 8GB RAM 128GB SSD 14" FHD Win 11</t>
  </si>
  <si>
    <t>Dell Latitude 7480 14" FHD i5-7300U 8GB 256GB SSD HDMI WiFi WebCam W10 Pro</t>
  </si>
  <si>
    <t>HP Envy x360 2-in-1 Laptop 13-bf0500na Intel Core i7 1250U 12th Gen 16GB 512GB</t>
  </si>
  <si>
    <t>Lenovo IdeaPad 5 Chrome 14" Touch Laptop Pentium Gold 7505 4GB RAM 128GB SSD #B</t>
  </si>
  <si>
    <t>Lenovo YOGA 6 13.3" FHD 2 in 1 Laptop AMD Ryzen 7 5700U 8GB 512GB SSD Blue</t>
  </si>
  <si>
    <t>CHEAP Lenovo Thinkpad X240 FAST Core I5 4GB Ram 128GB SSD Windows 10 Pro 12.5-in</t>
  </si>
  <si>
    <t>🔥DELL Latitude E6440 14" Laptop 8GB RAM 480GB SSD i5-4210M 2.6ghz Wins 10 Pro🔥</t>
  </si>
  <si>
    <t>ASUS Chromebook CB314-1HT-C21U Laptop, Intel Celeron, 4GB, 64GB, 14" - Silver</t>
  </si>
  <si>
    <t>Asus Zenbook 14 UX3402ZA 14" 2.8K OLED Laptop Intel Core i7 1260P 16GB 1TB SSD</t>
  </si>
  <si>
    <t>Toshiba Portege Z30-C-151 13.3" i5-6200U 128GB 8GB Windows 10 Pro Grey Laptop C2</t>
  </si>
  <si>
    <t>Laptop Acer TravelMate P645 14" Intel i5-5200U/8GB/1&lt;wbr/&gt;28GB SSD/Win 11 Pro</t>
  </si>
  <si>
    <t>Lenovo IdeaPad Flex 5 81X3004LUK 15.6" Laptop, Intel i5, 8GB, 256GB SSD, Grey</t>
  </si>
  <si>
    <t>Samsung Galaxy Book Pro 360 15.6" Laptop Core i7 16GB RAM 512GB SSD Blue</t>
  </si>
  <si>
    <t xml:space="preserve">Lenovo thinkpad Gaming Laptop X220 12.5" Intel I5 2.5Ghz 8GB 480GB SSD Win 10 </t>
  </si>
  <si>
    <t>Pink Gold Lenovo ThinkPad X270 Core I5 8GB RAM 256GB SSD Windows 10 Pro Laptop</t>
  </si>
  <si>
    <t>Lenovo Ideapad Duet 3 2 in 1 Tablet Celeron N4020 4GB 64GB 10.3" WUXGA IPS W10 S</t>
  </si>
  <si>
    <t>Dell Precision 7520 i5-7300HQ QUAD 16Gb 256Gb SSD 1Tb HDD M1200 4Gb Win10 Pro</t>
  </si>
  <si>
    <t>Lenovo ThinkPad E14 14" i5-10210U 256GB 8GB Full HD Windows 11 Business Laptop A</t>
  </si>
  <si>
    <t>HP Pavilion 14-dv0564sa 14" Laptop Core i7 1165G7 11th Gen 16GB RAM 512GB SSD</t>
  </si>
  <si>
    <t>Lenovo IdeaPad 3 82BA0007UK Laptop, Intel Celeron, 4GB RAM, 64GB eMMC, 11.6", Bl</t>
  </si>
  <si>
    <t>ASUS W202N Laptop Celeron N3350 4GB RAM 64GB eMMC 11.6" Windows 10 Pro Education</t>
  </si>
  <si>
    <t>Lenovo Thinkpad X230 12'' Intel i5 3320M 16GB RAM 512GB SSD CHEAP GRADE A LAPTOP</t>
  </si>
  <si>
    <t>HP Spectre x360 13-AW2501NA 13.3" 4K OLED Touch i7-1165G7 16GB RAM 1TB SSD</t>
  </si>
  <si>
    <t>HP 14-na503sa 14" Chromebook - Intel® Celeron®, 64 GB eMMC, White (Very Good)</t>
  </si>
  <si>
    <t>Lenovo IdeaPad 3 17ADA05 17.3" Laptop Athlon Silver 3050U 4GB 128GB 81W2008LUK A</t>
  </si>
  <si>
    <t>Lenovo X1 Carbon 4th Gen UltraBook 14" FHD i5 6th Gen 8GB 256GB SSD Win 10 Pro</t>
  </si>
  <si>
    <t>Lenovo IdeaPad Flex 3i 11.6" Chromebook - Intel Celeron, 4GB RAM, 64GB eMMC, Blu</t>
  </si>
  <si>
    <t>Dell Latitude E7440 Laptop, 14" Intel® Core™ i5, 8GB RAM, 256GB SSD, Windows 10</t>
  </si>
  <si>
    <t>Dell Inspiron 5505 Laptop Ryzen 5 4500U,8GB RAM,256GB SSD,15.6" FHD *FAST SHIP*</t>
  </si>
  <si>
    <t>Panasonic Toughbook Cf-19 Mk7 Core i5 Win 10 Or WIN 11  16GB RAM 2 Tb SSD 4G GPS</t>
  </si>
  <si>
    <t>Lenovo ThinkPad T440s Business Laptop i5 4th Gen 4GB 500GB SSHD Win 10 Pro</t>
  </si>
  <si>
    <t>Lenovo IdeaPad 3i 15.6" Intel N4020 4GB RAM 128GB SSD Laptop Windows 11 - Blue</t>
  </si>
  <si>
    <t>Fujitsu LifeBook U745 i5-5200U 2.20GHz 4GB Ram 128GB SSD Windows 11 Laptop</t>
  </si>
  <si>
    <t>Lenovo ThinkPad T460s Windows 10 14" Laptop Intel i7 6600u 2.6GHz 8GB 256GB SSD</t>
  </si>
  <si>
    <t>HP Pavilion 15-BA032NV 15.6" Laptop, intel Core i5, 512GB, 8GB RAM, White</t>
  </si>
  <si>
    <t>Lenovo ThinkPad Yoga 260 Windows 10 12.5" Laptop Intel i5 6200U 8GB 120GB SSD</t>
  </si>
  <si>
    <t>HP 15s-eq2504sa 15.6" Laptop AMD Ryzen 5 5500U 8GB RAM 256GB Windows 10</t>
  </si>
  <si>
    <t>Dell Inspiron One 2330 All-in-One i7-3770S 4 core 8Gb 2Tb HDD FHD TouchScreen</t>
  </si>
  <si>
    <t>Dell XPS 13 9305 Laptop 13.3" Intel Core EVO i7 11th Gen 16GB RAM 512GB NVMe SSD</t>
  </si>
  <si>
    <t>TOSHIBA DYNABOOK PORTEGE</t>
  </si>
  <si>
    <t>TOSHIBA DYNABOOK 2-IN-1 CORE i5 7TH GEN 8GB RAM 256GB SSD TOUCH SCREEN LAPTOP HD</t>
  </si>
  <si>
    <t>Acer TravelMate SSD Laptop Windows10 HD 15.6" Widescreen DVD-RW WiFi HDMI BOXED</t>
  </si>
  <si>
    <t>Dell Latitude E5490 Core i5 8th 512GB SSD M.2 16GB Windows 11 Notebook Laptop</t>
  </si>
  <si>
    <t>Dell Alienware M15 R7 Ryzen 9, 64GB, 1TB,8GB nVidia RTX 3070 Ti ,1YR WRNTY</t>
  </si>
  <si>
    <t>Dell Latitude 5401 Laptop, 14" Intel Core i7, 16GB RAM, 512GB SSD, Windows 10</t>
  </si>
  <si>
    <t>Acer Aspire 5 A514-52 14" Windows 10 Laptop Core i5 10210U 10th Gen 8GB 256GB</t>
  </si>
  <si>
    <t>Lenovo ThinkPad X260 Laptop, 12.5" Intel Core i5, 8GB RAM, 256GB SSD, Windows 10</t>
  </si>
  <si>
    <t>Geo GEOFLEX 110 11.6" Celeron N4020 4Gb 64Gb 11" Touch W11 Black GE325</t>
  </si>
  <si>
    <t>Lenovo ThinkPad X260 12.5" i7-6600U 512GB 16GB Full HD Windows Business Laptop B</t>
  </si>
  <si>
    <t>Fujitsu LifeBook S752 Windows 10 14" Laptop Intel i5 3210M 2.5GHz 6GB 500GB HDD</t>
  </si>
  <si>
    <t>FAST Lenovo ThinkPad T420 Core i5 2.5Ghz 8GB 1TB HDD Win 7 Laptop</t>
  </si>
  <si>
    <t>Dell Latitude E5450 Windows 10 14" Laptop Intel i5 5200U 2.2GHz 8GB 120GB SSD</t>
  </si>
  <si>
    <t>CLEVO</t>
  </si>
  <si>
    <t>CLEVO  W355ST GTX 765M Windows 10 15.6" Laptop Intel i7 4910MQ 8GB 120GB SSD</t>
  </si>
  <si>
    <t>HP x360 14-EK0501NA 14" FHD IPS Touch 12th Gen i7-1255U 16GB, 512GB SSD Iris Xe</t>
  </si>
  <si>
    <t>Lenovo ThinkPad L460 Windows 10 14" Laptop Intel i5 6200U 2.3GHz 12GB 256GB SSD</t>
  </si>
  <si>
    <t>Dell Latitude E5570 15.6" | i5 6th Gen | 8GB RAM, 480GB SSD</t>
  </si>
  <si>
    <t>Dell Latitude NVIDIA Laptop Gaming GFX Windows10 SSD DVD HDMI WiFi 5GHz 14" HD</t>
  </si>
  <si>
    <t>Lenovo ThinkPad X240 Windows 10 12.5" Laptop Intel i5 4300U 1.9GHz 8GB 120GB SSD</t>
  </si>
  <si>
    <t>HP Pavilion 15-eh1502sa 15.6" FHD Laptop AMD Ryzen 3 5300U 8GB 256GB SSD</t>
  </si>
  <si>
    <t>Laptop Lenovo ThinkPad X390 13.3in i5-8265U 8GB RAM 256GB SSD FHD W11P, VG</t>
  </si>
  <si>
    <t>Dell 14 5490 Laptop Intel® i7-10510U 20GB 512GB M.2 14.0-inch FHD GeForce® MX230</t>
  </si>
  <si>
    <t>LENOVO IdeaPad 3i 17.3" Laptop - Intel® Celeron®, 128 GB SSD, Blue - REFURB A</t>
  </si>
  <si>
    <t>Dell 7250 Fast Gaming Laptop 12.5" Core i5 2.30Ghz, SSD, 8GB, Webcam, Windows 10</t>
  </si>
  <si>
    <t>Dell Latitude 15 5520 i3-1125G4 4 Core 8Gb 256Gb SSD FHD Windows 10 Pro</t>
  </si>
  <si>
    <t>HP ProBook 640 G1 Windows 10 14" Laptop Intel i5 4200M 2.5GHz 8GB 240GB SSD</t>
  </si>
  <si>
    <t>Lenovo ThinkPad T460s Windows 10 14" Laptop Intel i7 6600U @2.6GHz 8GB 256GB SSD</t>
  </si>
  <si>
    <t>REFURBISHED DELL LATITUDE 7290 ULTRA BOOK CORE I5 8th GEN 8350U 8GB 250GB SSD HD</t>
  </si>
  <si>
    <t>Acer Aspire Laptop A514-54 Black 14" IPS Intel Core i5-1135G7 8GB RAM 256GB SSD</t>
  </si>
  <si>
    <t>Acer Aspire 5 Laptop 14" Full HD Intel Core i5-10210U 8GB RAM 256GB SSD A514-53</t>
  </si>
  <si>
    <t>Dell Latitude E6540 Windows 10 15.6" Laptop Intel i5 4310M 2.7GHz 8GB 240GB SSD</t>
  </si>
  <si>
    <t>Panasonic Toughbook Cf-31 Mk 3  i5 Military Grade Fully Rugged Diagnostics</t>
  </si>
  <si>
    <t>Dell Latitude 7490  14" Laptop 8th Gen i5 8 GB DDR4 512 GB M.2 Windows 11</t>
  </si>
  <si>
    <t>Inspiron 15 3505 AMD Ryzen 3 3250U 8GB RAM 256GB SSD 15.6” FHD W10 1YR WARNTY SD</t>
  </si>
  <si>
    <t>Fujitsu Lifebook P728 Laptop, 12.5" Core i3, 8GB RAM, 256GB SSD, Windows 10</t>
  </si>
  <si>
    <t>HP Pavilion 14-dv2500sa 14" FHD Laptop Intel Core i3 1215U 8GB 256GB SSD</t>
  </si>
  <si>
    <t>Windows 11 Lenovo ThinkPad T460 Intel Core i5 6300U 8GB 500GB SSD Laptop</t>
  </si>
  <si>
    <t>LENOVO IdeaPad 3i 17.3" Laptop - Intel® Pentium® Gold, 128 GB SSD, Blue</t>
  </si>
  <si>
    <t>LENOVO IdeaPad 3i 17.3" Laptop - Intel® Pentium® Gold, 128 GB  Refurb - A</t>
  </si>
  <si>
    <t>Lenovo IdeaPad 5i 14" Laptop Chromebook Core i5 8GB RAM 256GB SSD Touchscreen</t>
  </si>
  <si>
    <t>DELL Inspiron 16 5620 i7 1255U 4.7ghz, 16GB, 512GB, 16" FHD, Win 11, 1YR WRNTY</t>
  </si>
  <si>
    <t>Lenovo Thinkpad X1 Extreme Gen3, 15.6" OLED TOUCH, Core i7, 64GB RAM, 1TB SSD,</t>
  </si>
  <si>
    <t>Dell Alienware M15 R7 4.7 i7 12700H ,16GB,1TB SSD, 15.6 QHD, 8GB nVidia RTX 3060</t>
  </si>
  <si>
    <t>HP 14" Laptop 14-cf2504sa Full HD Intel Quad Core i5-10210U 8GB RAM 256GB SSD</t>
  </si>
  <si>
    <t>Microsoft Surface Pro 5th gen, 12.3" Touch, i5-7300U, 8GB RAM, 256GB SSD, 4G +KB</t>
  </si>
  <si>
    <t>HP EliteBook 840 G6 Laptop i5-8365U 14" Full HD Screen 8GB RAM 256GB SSD Win10 B</t>
  </si>
  <si>
    <t>Lenovo Yoga 500-14IBD 14" HD Touch Intel Pentium 3825u 1.9Ghz 500gb 8GB Win 10</t>
  </si>
  <si>
    <t>Dell Latitude 5580 Laptop i5-7200U,8GB,2&lt;wbr/&gt;56GB SSD,Bio,Backli&lt;wbr/&gt;t,15.6” FHD Screen*B*</t>
  </si>
  <si>
    <t>Lenovo Thinkbook 13s IML 13inch Core i5 10th Gen 1.6GHz 256GB SSD 8GB RAM Win 10</t>
  </si>
  <si>
    <t>Laptop Dell Latitude 5410 14in i5-10310U 8GB 16GB RAM 250GB SSD FHD, VG</t>
  </si>
  <si>
    <t>Dell Latitude E5470 Very Good Laptop 14" - I5/I7 CPU / 8GB / 4GB RAM / 256GB SSD</t>
  </si>
  <si>
    <t>Dell Latitude E5570 Windows 10 15.6" Laptop Intel i5 6200U 2.3GHz 8GB 240GB SSD</t>
  </si>
  <si>
    <t>MSI Raider GE66 15.6" Gaming Laptop, Intel Core i7, 16GB RAM, 1TB SSD (9S7-15431</t>
  </si>
  <si>
    <t>Dell Vostro 5468 Windows 10 14" Laptop Intel i5 7200U 2.5GHz 8GB 256GB SSD</t>
  </si>
  <si>
    <t>Huawei MateBook X Pro EVO 14.2" 3.1K Laptop Intel Core i7 1260P 16GB RAM 1TB SSD</t>
  </si>
  <si>
    <t>HP ProBook 640 G1 Windows 10 14" Laptop Intel i5 4200M 2.4GHz 8GB 240GB SSD</t>
  </si>
  <si>
    <t>Dell Vostro 15 3568 Core i3-7100U 2.40GHz 4GB Ram 128GB SSD Windows 11 Laptop</t>
  </si>
  <si>
    <t>LENOVO IdeaPad Flex 3i 11.6" 2 in 1 Chromebook - Intel® Celeron® REFURBISHED</t>
  </si>
  <si>
    <t>Dell Latitude 3490 i3-6006U 8GB 240GB  SSD 14'' Screen  Win 11 Pro</t>
  </si>
  <si>
    <t>Dell Vostro 3550 Core i5 2430m 4gb Memory 250gb SSD 15.6" HD Screen (1000)</t>
  </si>
  <si>
    <t>CHEAP Lenovo ThinkPad X260 Core I5-6200U 4GB RAM 128GB SSD Windows 10 Laptop</t>
  </si>
  <si>
    <t>LENOVO IdeaPad Duet 10.1" 2 in 1 Chromebook - Blue &amp; Grey REFURB-A</t>
  </si>
  <si>
    <t>Lenovo Yoga 7 14" 2 in 1 Laptop, AMD Ryzen 7, 16GB RAM, 512GB SSD, Grey</t>
  </si>
  <si>
    <t>Dell Precision 7730 i9 8950KH 2.90Ghz 32GB RAM 512GB SSD Quadro 17.3 Win 11</t>
  </si>
  <si>
    <t>LENOVO IdeaPad 3i 14" Laptop - Intel® Core™ i3, 128 GB SSD, Blue</t>
  </si>
  <si>
    <t>ASUS NOTEBOOK X555LAB Intel Core i3-4005U 1TB HDD 4GB RAM 15.6" Windows10 Laptop</t>
  </si>
  <si>
    <t>Dell XPS 9305 11th Gen i7-1165G7 512GB HD 8GB RAM 13.3" FHD Iris Xe WIFI W/HOME</t>
  </si>
  <si>
    <t>HP Pavilion Gaming 15-ec1000na AMD Ryzen 5 4600H 8GB 256GB SSD GeForce GTX 1050</t>
  </si>
  <si>
    <t>Lenovo ThinkPad T460S Windows 10 14" Laptop Intel i7 6600U 2.3GHz 12GB 256GB SSD</t>
  </si>
  <si>
    <t>Fast Cheap Gaming Laptop HP Intel i5 8th Gen 256GB SSD 14" 8GB DDR4 Win11</t>
  </si>
  <si>
    <t>Lenovo ThinkPad E15 Laptop, 15.6" FullHD, i7-10510U, 16GB RAM, 512GB SSD, Radeon</t>
  </si>
  <si>
    <t>DELL LATITUDE E6440 LAPTOP CORE i5-4300M 8GB 240GB SSD HDMI - FREE WEBCAM</t>
  </si>
  <si>
    <t>Lenovo Yoga Slim 7 ProX, Intel Core i7, 16GB RAM, 512GB SSD, 14.5" - Dark Teal</t>
  </si>
  <si>
    <t>Lenovo 100e 3015Ce Chromebook 11.6" HD AMD 3000 4Gb 32Gb eMMC Grey ChromeOS</t>
  </si>
  <si>
    <t>Dell Latitude E5550 i5-5300U 8GB Ram 128GB SSD FHD Windows 11 Webcam Laptop</t>
  </si>
  <si>
    <t>Acer TravelMate P256 Windows 10 15.6" Laptop Intel i5 4210U 1.7GHz 4GB 500GB HDD</t>
  </si>
  <si>
    <t>Lenovo T450 Windows 10 Pro 14" Laptop Intel i5 5200 @2.2GHz 4GB 128GB SSD</t>
  </si>
  <si>
    <t>Lenovo ThinkPad E15 15.6" i5-10210U 256GB 8GB Windows 11 Pro Business Laptop C2</t>
  </si>
  <si>
    <t>Dell Inspiron 15-3542 Laptop Core-i3 4005U,4GB,500G&lt;wbr/&gt;B HD,DVD-RW,15.6&lt;wbr/&gt;" HD *BLACK*</t>
  </si>
  <si>
    <t>Lenovo ThinkPad X1 Nano Gen2 Laptop Core i5-1240P Evo 16GB  256GB SSD 13" 2K IPS</t>
  </si>
  <si>
    <t>Dell Latitude 9420 Laptop, 14" Full HD Screen, i7-1185G7, 16GB RAM, 512GB SSD</t>
  </si>
  <si>
    <t>Microsoft Surface Laptop2 13" 8th Gen i5 1.7GB 8GB 256GB One Year Warranty Cheap</t>
  </si>
  <si>
    <t>Dell Latitude 7390 I5 8250U 8GB RAM 256GB SSD Windows 10 13.3 Inch 2 In 1 Laptop</t>
  </si>
  <si>
    <t>Dell XPS 13 9380 Laptop, 13.3" 4K Touch, Intel i7-8565U, 16GB RAM, 512GB SSD</t>
  </si>
  <si>
    <t>Dell Latitude Ultrabook 14 E7440 i7-4600U 8Gb 256b SSD FHD Windows 10 Pro</t>
  </si>
  <si>
    <t>ASUS VivoBook X1500EA-EJ2365&lt;wbr/&gt;W Laptop i3-1115G4 8Gb 256Gb SSD 15.6" FHD W11S</t>
  </si>
  <si>
    <t>Dell Latitude 5430 Laptop, 14" FHD Screen, Intel i5-1245U, 512GB SSD, 16GB RAM</t>
  </si>
  <si>
    <t>HP 14S-FQ0022NA Athlon 3020e 4Gb 64Gb SSD 14" W10S 1L6S3EA</t>
  </si>
  <si>
    <t>Samsung Galaxy Book S Laptop, Intel i5, 8GB RAM, 512GB SSD, 13.3", Grey</t>
  </si>
  <si>
    <t>Toshiba Portege Z30-A-12N 13.3" i5-4210U 128GB 4GB HD Windows 10 Grey Laptop C2</t>
  </si>
  <si>
    <t>Dell Inspiron 7620 2-in-1 i7-1260P,16GB RAM,1TB SSD,MX550,16" OLED 4K/UHD+ Touch</t>
  </si>
  <si>
    <t>ASUS VivoBook 14" Laptop Full HD Pentium® Gold 7505 4GB 128GB X415EA-EB741TS</t>
  </si>
  <si>
    <t>HP Laptop 15s-fq i7-1165G7 4.7GHz 15.6" FULL HD 16GB RAM 512GB SSD LINUX UBUNTU</t>
  </si>
  <si>
    <t>Dell Latitude 5520 Laptop, 15.6 Full HD Screen, i5-1135G7, 16GB RAM, 512GB SSD</t>
  </si>
  <si>
    <t>Fast Lenovo Gaming Laptop 14" Intel Processor 256GB SSD 8GB RAM Win11 Computer P</t>
  </si>
  <si>
    <t>HP Pavilion 14" Laptop Intel i7 8GB 1TB+128GB SSD GeForce MX250 4GB Backlit Gold</t>
  </si>
  <si>
    <t>HP Pavilion x360 14-dy0523na 14" Laptop Intel Pentium Gold 7505 4GB 128GB Silver</t>
  </si>
  <si>
    <t>Lenovo Thinkpad T480s 14" Intel Core i5 8th Gen 8GB RAM 256GB NVMe Windows 10</t>
  </si>
  <si>
    <t>Dell Latitude E7270 12.5" i7-6600U 256GB 8GB FHD Windows 11 Business Laptop C2</t>
  </si>
  <si>
    <t>Alienware m17 R3 Laptop i7-10750H,16GB&lt;wbr/&gt;,1TB NVME,RTX 2060,US,17.3"F&lt;wbr/&gt;HD 144Hz GSYNC</t>
  </si>
  <si>
    <t>Lenovo ThinkPad T440P Laptop, 14" Intel Core i5, 8GB RAM, 256GB SSD, Windows 10</t>
  </si>
  <si>
    <t>HP Notebook 250 G6 Core i3 7020U 8GB 500GB HDD 15.6" Windows 10 Pro Laptop</t>
  </si>
  <si>
    <t>Lenovo ThinkPad T470s Touch Screen Laptop i7-7600U 8GB 240 SSD Windows 10 Pro</t>
  </si>
  <si>
    <t xml:space="preserve">Cheap Lenovo ThinkPad X250 Laptop Intel Core I5 8GB RAM 128GB SSD Windows 10 </t>
  </si>
  <si>
    <t>HP Probook 430 G1 Core i5-4200U 4GB DDR3 500GB HDD Webcam HDMI Windows 10 Laptop</t>
  </si>
  <si>
    <t xml:space="preserve">Lenovo Ideapad 3i Laptop Intel Celeron N4020 4GB RAM 64GB eMMC 11.6" Chrome OS </t>
  </si>
  <si>
    <t>HP ProBook 6470b Laptop 14" intel core i5-3230M 4GB RAM 256/500GB SSD Windows 10</t>
  </si>
  <si>
    <t>HP EliteBook 850 G3 15.6" Large Screen HD Display i5 6th Gen 8GB 128GB</t>
  </si>
  <si>
    <t>Toshiba Gaming Laptop C50 15.6" 4th Gen Core i3 2.40Ghz, Webcam, Windows 10</t>
  </si>
  <si>
    <t>Lenovo Thinkpad Helix 2 2-in-1 Tablet Core M-5Y71 8gb 180gb SSD 11.6 Touch (939)</t>
  </si>
  <si>
    <t>LENOVO IdeaPad Flex 5i 14" 2 in 1 Laptop - Intel Core i7 512GB Blue - REFURB-A</t>
  </si>
  <si>
    <t>DELL PRECISION 3520 MOBILE WORKSTATION CORE I7 7820H 512GB SSD 16GB TOUCHSCREEN</t>
  </si>
  <si>
    <t>Fujitsu LifeBook S752 Windows 10 14" Laptop Intel i5 3230M 2.2GHz 6GB 500GB HDD</t>
  </si>
  <si>
    <t>Dell Latitude Laptop Core i3 Intel Fast HD 4400 Graphics 8Gb Ram SSD Windows10</t>
  </si>
  <si>
    <t>Lenovo Ideapad S340 Core i5  1035G1 1.0Ghz 8gb Memory 240gb SSD 14.2" FHD (1192)</t>
  </si>
  <si>
    <t>HP 14s-dq4001ni Laptop Intel i5-1155G7 8GB RAM 512GB SSD 14" FHD Win 11 Silver</t>
  </si>
  <si>
    <t>Samsung Galaxy Book2 Pro Laptop Evo i7-1260P 16GGB 512GB SSD 15.6" AMOLED Win 11</t>
  </si>
  <si>
    <t>ASUS ZenBook 14 UX435 14in i7 16GB RAM 512GB SSD 32GB MX450 Laptop - Black C+</t>
  </si>
  <si>
    <t>Acer 314 NX.HKEEK.004 Chromebook 14" Touch Laptop Celeron 4GB RAM 64GB eMMC</t>
  </si>
  <si>
    <t>Laptop HP ZBook Studio G3 15.6in E3-1505M V5 32GB RAM 512GB SSD M1000, VG</t>
  </si>
  <si>
    <t>HP Pavilion x360 14" Convertible Laptop Core i3 8GB RAM 256GB SSD Silver</t>
  </si>
  <si>
    <t>HP Pavilion Laptop 14" Full HD IPS Intel Quad Core i5 16GB RAM 512GB SSD Windows</t>
  </si>
  <si>
    <t>Asus Chromebook C423NA-BV0158 14" Laptop Intel Celeron 64GB eMMC 4GB RAM</t>
  </si>
  <si>
    <t>ASUS VivoBook X543U 15.6" Pentium 4417U 2.3GHz 8GB DDR4 120GB SSD Laptop</t>
  </si>
  <si>
    <t>Microsoft Surface Pro X SQ1 128GB 8GB Touchscreen Slim Windows Wi-Fi Tablet B</t>
  </si>
  <si>
    <t>Dell 3480 Gaming Laptop 14" Core i3 2.00Ghz, Webcam, Fast SSD, 8GB, Windows 10</t>
  </si>
  <si>
    <t>Lenovo ThinkPad T460s Windows 10 14" Laptop Intel i5 6300u 2.4GHz 12GB 256GB SSD</t>
  </si>
  <si>
    <t>HP Pavilion 14-DW0021NA, Intel i5, 8GB RAM, 512GB SSD, 14", Silver - Pristine</t>
  </si>
  <si>
    <t>Lenovo E540 Intel Core i3-4000 2.40GHz 4GB RAM 500GB HDD 15.6" Win10 - Very Good</t>
  </si>
  <si>
    <t>HP Laptop 15s-eq QUAD CORE RYZEN 3 5300U 8GB 256GB SSD 15.6" FHD LINUX UBUNTU</t>
  </si>
  <si>
    <t>Lenovo IdeaPad 3 15IGL05 15.6" Laptop Pentium Silver N5030 4GB 128GB Win 11 #A</t>
  </si>
  <si>
    <t>HP Pavilion 14-dv0595sa Laptop i3-1115G4 8Gb 256Gb SSD 14" FHD touch W10 2S3C1EA</t>
  </si>
  <si>
    <t>Toshiba Windows11 15.6" HD Laptop WiFi DVD HDMI 500Gb 8Gb Ram Office AntiVirus</t>
  </si>
  <si>
    <t>Samsung Galaxy Book 15.6" Laptop, Intel Core i5, 8GB RAM, 256GB SSD, Silver</t>
  </si>
  <si>
    <t>Dell Latitude E6540 Windows 10 15.6" Laptop Intel i5 4310M 2.7GHz 8GB 128GB SSD</t>
  </si>
  <si>
    <t>Toshiba Gaming Laptop R50 15.6" Intel Core i5 1.70Ghz, Webcam, 8GB, Windows 10</t>
  </si>
  <si>
    <t>Panasonic Toughbook CF-19 i5 Win 7 Or 10 Rugged  5 Year Warranty  16 Gb Ram</t>
  </si>
  <si>
    <t>Lenovo ThinkPad T460S Windows 10 14" Laptop Intel i5 6200U 2.3GHz 8GB 128GB SSD</t>
  </si>
  <si>
    <t>Lenovo Legion 5 15.6" 120Hz Gaming Laptop AMD Ryzen 7 5800H 8GB 512GB RTX 3060</t>
  </si>
  <si>
    <t>Inspiron 14 3481 i3-7020U 8GB 1TB SATA HD Intel UHD 14-inch FHD W10 PRO WIFI CAM</t>
  </si>
  <si>
    <t>Surface Pro 7 i5-1035G4 8GB Ram 128GB SSD Windows 11 Pro 12.5inch SSD</t>
  </si>
  <si>
    <t>Lenovo IdeaPad 1 11IGL05 11.6" (64GB eMMC, Intel Celeron N4020, 1.10GHz, 4GB</t>
  </si>
  <si>
    <t>Dell Latitude E5450 Intel Core i5 5200u 8GB 128GB SSD Windows 10 Notebook Laptop</t>
  </si>
  <si>
    <t>Acer Swift 5 SF514-55T 14" Touchscreen Laptop Core i5 16GB RAM 512GB SSD Gold</t>
  </si>
  <si>
    <t>HP 250 G6 Notebook - 4GB Ram - I5-7200U - 240GB SSD - Win 11 - Refurbished  CL83</t>
  </si>
  <si>
    <t>Dell Inspiron 15 3000 3542 Laptop i3-4005U 4Gb 1Tb HDD 7200 RPM DVD-RW Win 10</t>
  </si>
  <si>
    <t>Panasonic Toughpad FZ-G1 MK2 i5 4310u 2.0Ghz 8GB 128GB 10.1 Touch Win 10 Pro</t>
  </si>
  <si>
    <t>Lenovo ThinkPad X1 3rd Gen Tablet i7-8650U 8GB 512GB SSD 13" QHD+ IPS Win 10 Pro</t>
  </si>
  <si>
    <t>Cheap dell laptop e5430 Intel I5 3rd 4GB 320Gb Webcam 14.1" Windows 10 HDMI</t>
  </si>
  <si>
    <t>HP Pavilion 13-AN1007NA , Intel Core i7, 8GB, 512GB, 13.3", Mineral Silver - Goo</t>
  </si>
  <si>
    <t>Lenovo Chromebook S345 Laptop AMD A6-9220C 4GB RAM 64GB eMMC 14" FHD Chrome OS</t>
  </si>
  <si>
    <t>Asus X543ua 15.6"FHD Core i5-8250u upot 1.8Ghz 500GB 8GB Win11 laptop 1YR RTB (2</t>
  </si>
  <si>
    <t>Lenovo Ideapad 1 Cloudbook Laptop Pentium N5030 4GB 64GB 14" 1 Yr MS Office 365</t>
  </si>
  <si>
    <t>Dell Latitude 7280 12.5" HD i5-6300U 8GB 128GB SSD HDMI WiFi Cam</t>
  </si>
  <si>
    <t>Dynabook Satellite Pro E10-S-101 11.6" Laptop Celeron N4020 4GB 128GB 7687694</t>
  </si>
  <si>
    <t>Dell Latitude 5520 Laptop, 15.6 FullHD Screen, i7-1185G7, 16GB RAM, 512GB SSD</t>
  </si>
  <si>
    <t>Entity HW289 Rove 14" Full HD Laptop Gemini Lake N4020 64GB eMMC 4GB RAM Navy</t>
  </si>
  <si>
    <t>Lenovo ThinkPad X260 Intel Core I5 6th Gen 8GB RAM 256GB SSD Windows 10 Laptop</t>
  </si>
  <si>
    <t>Dell Precision 15 7550 W-10885M 8 Core 32Gb 1Tb SSD FHD Win10 Pro</t>
  </si>
  <si>
    <t>Lenovo ThinkPad T460S Windows 10 14" Laptop Intel i7 6600U 2.3GHz 8GB 256GB SSD</t>
  </si>
  <si>
    <t>FAST HP EliteBook 840 G6 Intel I5 8th Gen 16GB RAM 512GB SSD Windows 11 Laptop</t>
  </si>
  <si>
    <t>Dell 3480 Gaming Laptop 14" 7th Gen Core i5 2.50Ghz, Webcam, SSD, 8GB, Win 10</t>
  </si>
  <si>
    <t>Lenovo ThinkPad L470 i5-6200U 2.30GHz 8GB Ram 500GB HDD Windows 11 Webcam Laptop</t>
  </si>
  <si>
    <t>Dell Latitude 7400 Intel i5 8365u 1.60Ghz 8GB RAM 256GB SSD 14" Win 11</t>
  </si>
  <si>
    <t>DELL XPS 13 9380 Rose Gold i7-8565U QUAD 16Gb 1Tb SSD UHD 3840x2160 Touch Win10</t>
  </si>
  <si>
    <t>Acer 314 Chromebook 14" Touchscreen Laptop Celeron 4GB RAM 64GB eMMC Silver C</t>
  </si>
  <si>
    <t>Dell Latitude 5490 14" Core i5-8250U 8GB 256GB SSD HDMI WiFi WebCam W11 Pro</t>
  </si>
  <si>
    <t>LENOVO IdeaPad 3i 14" Laptop - Intel® Celeron®, 128 GB SSD, Blue</t>
  </si>
  <si>
    <t>Geo GeoFlex 230 13.3" Touchscreen Windows Laptop Pentium N4200 128GB SSD</t>
  </si>
  <si>
    <t>Lenovo IdeaPad 1 Intel Celeron N4020 4Gb 64Gb eMMC 11.6" HD W11S 81VT009NUK</t>
  </si>
  <si>
    <t>Lenovo ThinkPad T490s Laptop i7 8665U-vPro 16GB 512GB SSD 14" FHD Touch W10 Pro</t>
  </si>
  <si>
    <t>HP EliteBook 820 G1 12.5" i5-4200U 8GB 256GB SSD WiFi Cam W10 Pro Laptop PC</t>
  </si>
  <si>
    <t>Dell Latitude 5414 Intel i7 6600u 2.60Ghz 8GB 256GB SSD Rugged 14" FHD Win 10</t>
  </si>
  <si>
    <t>Dell 7270 Gaming Laptop 12.5" i5 6th Gen 2.40Ghz, 8GB, Webcam, Fast SSD, Win 10</t>
  </si>
  <si>
    <t>Lenovo ThinkPad T450 14" 1600x900 8GB 128GB SSD WiFi Webcam Windows 10 Pro</t>
  </si>
  <si>
    <t>HP Victus 16-d0031na i5-11400H Gaming 16.1" FHD 16Gb 512Gb SSD RTX 3050 Ti W11</t>
  </si>
  <si>
    <t>HP Stream 11-ak0516sa 11" Laptop Intel Celeron N4020 4GB 64GB eMMC</t>
  </si>
  <si>
    <t>Lenovo ThinkPad X260 Core i5-6300U 8GB 128GB SSD WebCam WiFi HDMI W10 Pro</t>
  </si>
  <si>
    <t xml:space="preserve">ULTRA FAST DELL Latitude e6440 LAPTOP Core i5 240GB SSD HDMI Notebook Win 10 </t>
  </si>
  <si>
    <t>Lenovo IdeaPad 3 Laptop 15.6" FHD Pentium Gold 7505 4GB RAM 128GB SSD Windows 11</t>
  </si>
  <si>
    <t>Lenovo IdeaPad 3i Laptop 15.6" HD Intel Celeron N4020 4GB RAM 128GB SSD Win 11</t>
  </si>
  <si>
    <t>Dell Inspiron 14 7490 Laptop i7-10510U 4 Core 16Gb 512Gb SSD Full HD Win 10</t>
  </si>
  <si>
    <t>Lenovo IdeaPad 5  14" Windows 10 Laptop AMD Ryzen 5 4500U 8GB RAM 256GB SSD</t>
  </si>
  <si>
    <t>ASUS ZenBook Flip UX363 13.3" OLED Touch Laptop i7-1165G7 16GB 1TB SSD Grey B</t>
  </si>
  <si>
    <t>Asus VivoBook X409FA-EK034T 14" Laptop Intel Core i5-8265U 8GB RAM 256GB SSD #B</t>
  </si>
  <si>
    <t>Apple MacBook Air 13" Intel i7 5650u 2.20Ghz 8GB RAM 128GB SSD Big Sur 2017</t>
  </si>
  <si>
    <t>Lenovo ThinkPad L13 Yoga G2 Laptop i5-1135G7 16GB 256GB SSD 13.3" FHD IPS Touch</t>
  </si>
  <si>
    <t>Aspire R5 14" 2-in-1 Laptop, i7-6500U 256GB SSD Full HD Touchscreen Windows 10</t>
  </si>
  <si>
    <t>HP EliteBook 840 G3 i5 (2.4GHz) 4GB RAM 256GB SSD Windows 10 Pro 14" UK Laptop</t>
  </si>
  <si>
    <t>Lenovo ThinkPad X260 Core i5-6300U 16GB 256GB SSD WebCam WiFi HDMI W10 Pro</t>
  </si>
  <si>
    <t>Refurbished Dell Latitude 5290 i5 Dual Core 8250U 256 SSD 8Gb Ram 1 Yr Warranty</t>
  </si>
  <si>
    <t>HP 14s-dq2502na 14" Laptop - Intel Pentium Gold, Silver - REFURB- A</t>
  </si>
  <si>
    <t>Dell Inspiron 13-7306 2-in-1 i7-1165G7,16GB&lt;wbr/&gt;,512GB SSD,13" FHD Touch BLACK *US*</t>
  </si>
  <si>
    <t>DELL Inspiron 14 7425 Ryzen 7 5825U 2-in-1 4.5ghz, 16GB, 1TB ,Touch 14", Win 11</t>
  </si>
  <si>
    <t>Lenovo ThinkPad L460 Windows 10 14" Laptop Intel i5 6200U 2.3GHz 8GB 240GB SSD</t>
  </si>
  <si>
    <t>Dell Latitude 7480 | i5 7th Gen | 16GB RAM | 240GB SSD | 14" | Grade B</t>
  </si>
  <si>
    <t>HP ZBook 17 G5 17.3" Laptop i7 8850H 500GB SSD 32GB RAM NVIDIA Quadro P3200 GPU</t>
  </si>
  <si>
    <t>Microsoft Surface Pro 8 13" Laptop Tablet i5 -1145G7 8GB RAM 128GB SSD Silver</t>
  </si>
  <si>
    <t>DELL Latitude 3460 Intel Core i3-5005U 500GB HDD 4GB RAM 14" Windows 10 Laptop</t>
  </si>
  <si>
    <t>Dell Inspiron 13-7306 2-in-1 Laptop,i7-1165&lt;wbr/&gt;G7,16GB,512GB SSD,13"FHD Touch SILVER</t>
  </si>
  <si>
    <t xml:space="preserve">Dell Windows 7 Laptop Core 2 Duo 1.8Ghz 2GB 2.0GB DVD Win WIFI + Office </t>
  </si>
  <si>
    <t>Lenovo Yoga 730 81JR0067UK 13" 2-in-1 Laptop, Intel Core i5, 8GB RAM, 256GB SSD</t>
  </si>
  <si>
    <t>Lenovo ThinkPad W550s 15.5" 3K i7-5600U 16GB 256GB SSD WebCam WiFi Laptop PC</t>
  </si>
  <si>
    <t>Lenovo ThinkPad L470 Windows 10 14" Laptop Intel i5 6200U 2.3GHz 8GB 120GB SSD</t>
  </si>
  <si>
    <t>Lenovo IdeaPad 110S 11.6-Inch Notebook -( 2 GB RAM, 32 GB eMMC, Windows 10)</t>
  </si>
  <si>
    <t>HP Pavilion Gaming 15-ec0000na AMD Ryzen 5 3550H 8Gb 15.6" FHD GTX 1050 W10</t>
  </si>
  <si>
    <t>HP 15.6" Laptop 15s-eq1510sa AMD Ryzen 5 4500U 4GHz 8GB RAM 256GB SSD Silver W10</t>
  </si>
  <si>
    <t>Asus VivoBook 15 X512DA-EJ533T 15.6" Laptop, AMD R5 Processor, 8GB RAM, 256GB SS</t>
  </si>
  <si>
    <t>ASUS VivoBook 15 X512FA 15.6" | i5 8265U | 8GB RAM, 256GB SSD | *1x FAULTY USB*</t>
  </si>
  <si>
    <t>HP 15-bw519au 15.6" Amd A9-9420 2 cores 3.00Ghz 4GB 1TB R4 3 Cores win10 LAPTOP</t>
  </si>
  <si>
    <t>HP Pavilion 15-eh0009na Touchscreen RYZEN 5-4500U 8/256GB SSD 15.6" FHD WIN10/11</t>
  </si>
  <si>
    <t>Dell Latitude 5420 laptop 14 Full HD Screen, i5-1145G7, 256GB SSD, 16GB RAM</t>
  </si>
  <si>
    <t>HP NOTEBOOK 14-bp061sa Intel Core i3-6006U 4GB 500GB HDD 14" Windows10 Laptop</t>
  </si>
  <si>
    <t>LENOVO IdeaPad 3i 15.6" Laptop - Intel® Core™ i3, 128 GB SSD, Blue</t>
  </si>
  <si>
    <t>Lenovo Ideapad 530S 14" 1080P Laptop - i7, 8GB RAM, 256GB SSD, Win 10 - Grey</t>
  </si>
  <si>
    <t>HP Pavilion 15-eh1503sa 15.6" FHD Laptop AMD Ryzen 5 5500U 8GB 512GB</t>
  </si>
  <si>
    <t>Panasonic Toughbook CF 54 Rugged Laptop 16GB RAM 512 Gb Ssd Win 11 Pro Fhd Touch</t>
  </si>
  <si>
    <t>Fujitsu Gaming Cheap Laptop UH552 13.3" Intel Core i3, 8GB, Webcam, Windows 10</t>
  </si>
  <si>
    <t>HP Pavilion 14-dv0521sa 14" Touch Laptop Core i5 1135G7 11th Gen 8GB RAM 512GB</t>
  </si>
  <si>
    <t>Lenovo ThinkPad X270 Laptop, 12.5" HD Screen, i5-6300U, 16GB RAM, 256GB SSD</t>
  </si>
  <si>
    <t>Asus E410MA-BV003TS Laptop 14" HD Celeron N4020 4GB RAM 64GB eMMC Blue</t>
  </si>
  <si>
    <t>Samsung Galaxy Book Pro Intel Core i5 1135G7 8GB 512GB SSD 15.6" AMOLED Laptop</t>
  </si>
  <si>
    <t>HP Spectre x360 16-F1500NA 16" 3K+ Touch 12th Gen 14-Core i7 16GB, 512GB SSD</t>
  </si>
  <si>
    <t>HP Elite Dragonfly G3 Laptop Core i7-1255U 16GB RAM 512GB SSD 13.5" WUXGA Touch</t>
  </si>
  <si>
    <t>Lenovo Thinkpad T440 Core i5-4300U 4GB DDR3 128GB SSD Webcam Windows 10 Laptop</t>
  </si>
  <si>
    <t>Computer Specialists</t>
  </si>
  <si>
    <t>Custom Gaming Laptop  Core i7 10750H 16gb Mem 500gb SSD 4gb GTX 1650 CIYL-193</t>
  </si>
  <si>
    <t>HP Probook 430 G8 Laptop Core i5 1135G7 8gb Memory 240gb SSD 13.3" FHD CIYL-997</t>
  </si>
  <si>
    <t>ASUS ROG Strix SCAR 15 Gaming Laptop Ryzen 9 5900HX 32GB 2TB SSD 15.6" RTX 3080</t>
  </si>
  <si>
    <t>REFURBISHED HP Zbook 15 G3 Core i7-6820HQ 16GB 256 SSD WIN 10 1 YR WARRANTY</t>
  </si>
  <si>
    <t>HP Stream 14s-fq0508sa 14" Laptop AMD Athlon 3020e 64GB Windows 10</t>
  </si>
  <si>
    <t>LENOVO IdeaPad 3i 15.6" Chromebook - Intel® Pentium®, 64GB REFURBISHED</t>
  </si>
  <si>
    <t>GEO GeoBook 120 12.5" Laptop Intel Celeron 4GB RAM 64GB eMMC Black C Grade</t>
  </si>
  <si>
    <t>Windows 11 Laptop i7-6500U 8GB 512GB SSD Lenovo Thinkpad X260 12.5 in Webcam</t>
  </si>
  <si>
    <t>Lenovo IdeaPad 3 15.6" Laptop Intel Pentium 4GB RAM 128GB SSD Windows 11 | #A</t>
  </si>
  <si>
    <t>Dell Precision 5530, i7-8850H, 32GB RAM, 512GB SSD, Win 10 Pro (E) - Charity</t>
  </si>
  <si>
    <t>CHEAP Lenovo ThinkPad X250 Core I5 8GB RAM 256GB SSD Windows 10 Pro 12.5" Laptop</t>
  </si>
  <si>
    <t>Large screen Lenovo ThinkPad E555 8GB 500GB HDD webcam Very good condition</t>
  </si>
  <si>
    <t>Cheap Windows 11 6th gen i5 laptop Lenovo x260 12.5" 8GB RAM 500GB HDD WARRANTY</t>
  </si>
  <si>
    <t>HP Spectre x360 Laptop 13.3" Touch Intel Core i5 1035G4 10th Gen 8GB 256GB SSD</t>
  </si>
  <si>
    <t>Acer TravelMate P215-53-3439 i3-1115G4 8Gb 256Gb SSD 15.6" HD W10P</t>
  </si>
  <si>
    <t>Samsung Galaxy Book Laptop 15.6" FHD i7-1165G7 8GB RAM 512GB SSD NP750XDA-KDBUK</t>
  </si>
  <si>
    <t>Panasonic Toughbook Cf 19 Core I5 Rugged Laptop Win 10  Or 11 16 Gb New 1 Tb Ssd</t>
  </si>
  <si>
    <t>Cheap HP MT43 noteBook Mobile Thin Client Laptop AMD A8 8GB 128GB</t>
  </si>
  <si>
    <t>Cheap Windows 11 5th gen i5 laptop Lenovo x250 12.5" 8GB RAM 128GB SSD WARRANTY</t>
  </si>
  <si>
    <t>Lenovo Yoga Slim 7 Pro Laptop i7-11370H 16Gb 512Gb SSD 14" 2K UHD W10 82NC009GUK</t>
  </si>
  <si>
    <t>Huawei Touchscreen Laptop Matebook X Pro 13.9" 3K i7-8550U 8GB RAM 512GB SSD #B</t>
  </si>
  <si>
    <t>Geo Computers GAME CLOUD 130 Intel Celeron N4020 128Gb SSD 14.1" Black W11S</t>
  </si>
  <si>
    <t>Dell Precision 5520 Laptop i7-7820HQ,16GB&lt;wbr/&gt;,512GB SSD,Quadro M1200,15.6" FHD *B*</t>
  </si>
  <si>
    <t>Dell Inspiron 13-5390 Laptop i7-865U,8GB,51&lt;wbr/&gt;2GB NVMe,MX250,13.&lt;wbr/&gt;3" FHD,US/KB*LILA&lt;wbr/&gt;C*</t>
  </si>
  <si>
    <t>Panasonic Toughbook Cf 19  Rugged i5 Win 10 Pro 16 GB 1TB SSD 3G</t>
  </si>
  <si>
    <t>Fujitsu LifeBook S752 Windows 10 14" Laptop Intel i5 3230M 2.6GHz 6GB 500GB HDD</t>
  </si>
  <si>
    <t>Dell Windows 10 laptop E6320 Core i5 2.1Ghz 8GB 300GB HDMI DVDRW 64Bit HD</t>
  </si>
  <si>
    <t>HP Pavilion x360 14-dy0002na 2-in-1 LAPTOP 14" FHD Pentium Gold 128GB SSD TOUCH</t>
  </si>
  <si>
    <t>Dell Precision 7510 i7-6920HQ 4 core 16Gb 128Gb SSD 500Gb HDD M1000M 2Gb Touch</t>
  </si>
  <si>
    <t>Dell G3 15 3500 i5-10300H 4 Core 8Gb 512Gb SSD GTX 1650 Ti 4Gb Full HD Win10 Pro</t>
  </si>
  <si>
    <t>Dell 14 5490 Intel® i5-10210U 12GB 512GB M.2 NVMe 14.0-inch FHD WIFI WEB CAMERA</t>
  </si>
  <si>
    <t>Dell Latitude 5420 laptop, 14" Full HD Screen, i7-1185G7, 512GB SSD, 16GB RAM</t>
  </si>
  <si>
    <t>Dell Latitude 5285 Tablet + UK Keyboard i7-7600u,16GB,&lt;wbr/&gt;256GB SSD,12.5" FHD+ *B*</t>
  </si>
  <si>
    <t>Compaq</t>
  </si>
  <si>
    <t>COMPAQ CQ58-278SA Intel Core i3-2348M 4GB RAM 500GB HDD 15.6" Windows 10 Laptop</t>
  </si>
  <si>
    <t>HP EliteBook 840 G6 Laptop i5-8365U 14" Full HD 8GB RAM 256GB SSD 2019 Win10 B</t>
  </si>
  <si>
    <t>HP Spectre x360 13.3" 2in1 Laptop i7, 512GB SSD, 16GB RAM, Nightfall - VERY GOOD</t>
  </si>
  <si>
    <t>Dell latitude 7480 14" i5-6300u 16GB Ram 128GB SSD WIN 10 PRO</t>
  </si>
  <si>
    <t>Lenovo ThinkPad X395 Laptop Ryzen 7 Pro 3700U 16GB 512GB SSD 13.3" Touch W10 Pro</t>
  </si>
  <si>
    <t>Dell Inspiron 7391 2-1 Intel® i5-1021U 512Gb NVMe 8Gb 13.3" Touch FHD W/10 S&amp;D2</t>
  </si>
  <si>
    <t>Acer Chromebook 314 CB314-HT Intel Celeron N4000 4GB 64GB eMMC 14" FHD Touch</t>
  </si>
  <si>
    <t>HP Pavilion x360 14" Convertible Laptop Core i5 8GB RAM 512GB SSD Silver C Grade</t>
  </si>
  <si>
    <t>Lenovo ThinkPad P1 Gen 4 CAD Laptop: 11th Gen i7, 32GB, 512GB, NVIDIA Warranty</t>
  </si>
  <si>
    <t>Lenovo G50-30 (15.6 inch) Notebook Pentium (N3540) 2.16GHz 1TB HD 8GB</t>
  </si>
  <si>
    <t>Asus E510 15.6" Full HD Laptop Intel Celeron 4GB RAM 64GB eMMC Blue C Grade</t>
  </si>
  <si>
    <t>HP Pavilion Intel Core i7-1165G7 512GB SSD 16GB RAM 14" FHD Touchscreen - Silver</t>
  </si>
  <si>
    <t>Entity Rove 14" Laptop Gemini Lake N4020 64GB eMMC 4GB RAM Champagne Gold</t>
  </si>
  <si>
    <t>Asus A541U Laptop Intel Core i5 7200u 8gb Mem 240gb SSD 15.6" FHD CIYL-734</t>
  </si>
  <si>
    <t>HP Pavilion 15-cw1511sa 15.6" Laptop AMD Ryzen 3 3300U 4GB RAM 256GB SSD</t>
  </si>
  <si>
    <t>Lenovo IdeaPad 720S 81BV006JUK 13.3" Laptop Core i5 8GB 256GB Grey C Grade</t>
  </si>
  <si>
    <t>Dell Latitude 5500 laptop, 15.6" FHD Screen, Intel i5-8265U, 16GB RAM, 256GB SSD</t>
  </si>
  <si>
    <t>Lenovo X250 Windows10 12.5" Laptop Intel I5 5300U 2.3GHz 4GB 120GB SSD</t>
  </si>
  <si>
    <t>ASUS C223 11.6" Chromebook Intel Celeron N3350 4GB RAM 32GB eMMC Chrome OS Red A</t>
  </si>
  <si>
    <t>Lenovo IdeaPad 5i Pro 16" Laptop- AMD Ryzen 5, 16GB RAM, 512GB SSD, Grey</t>
  </si>
  <si>
    <t>AVITA</t>
  </si>
  <si>
    <t>AVITA PURA 14 Notebook 35.6 cm (14") 1920 x 1080 pixels AMD Ryzen 3. Grey</t>
  </si>
  <si>
    <t>Lenovo ThinkPad P72, Intel Xeon, 16GB RAM, 512GB SSD, 15.6", Black</t>
  </si>
  <si>
    <t>Lenovo IdeaPad 5i Pro 16" Laptop- Intel Core i5, 16GB RAM, 512GB SSD, Grey</t>
  </si>
  <si>
    <t>HP Laptop 15s-eq SIX CORE RYZEN 5 5500U 8GB RAM 512GB SSD 15.6" Full HD W10/11</t>
  </si>
  <si>
    <t>Dell XPS 9305 11th Gen i5-1135G7 512GB HD 8GB RAM 13.3" FHD Iris Xe WIFI W/HOME</t>
  </si>
  <si>
    <t>Lenovo IdeaPad 5 Laptop i3-1115G4 4Gb 256Gb SSD 14" FHD touch Chrome 82M8001CUK</t>
  </si>
  <si>
    <t>DELL Inspiron 14 Plus 7420 4.7 i7, 16GB, 1TB SSD,  14" 2.2K 2240x1400 1YR WRNTY</t>
  </si>
  <si>
    <t>HP ProBook 470 G4 17" Laptop i7-7500U 8GB 256GB SSD + 1TB HDD Win10 Pro</t>
  </si>
  <si>
    <t>Dell Latitude 3480 Windows 11 14" Laptop Intel i5 6200U 2.3GHz 8GB 120GB SSD</t>
  </si>
  <si>
    <t>Lenovo ThinkPad X260 12.5" i5-6300U 256GB 8GB FHD Windows 10 Business Laptop B</t>
  </si>
  <si>
    <t>Dell Latitude E7440 Windows 10 14" Laptop Intel i5 4310U @2.0 Ghz 8GB 128GB SSD</t>
  </si>
  <si>
    <t>Lenovo Think Pad T480 14", I5 Gen 8, 16GB, 480GB SSD, 3 Years Warranty</t>
  </si>
  <si>
    <t>HP Elitebook 840 G5 Laptop i5-8250U 1.60GHz 16GB RAM 256GB SSD 2019 Win10 B</t>
  </si>
  <si>
    <t>Lenovo Yoga 720 13.3" Full HD Convertible Laptop Intel Core i5-8250U, 8GB, 256GB</t>
  </si>
  <si>
    <t>Toshiba L830 Gaming Laptop 13.3" Intel Core i3 1.90Ghz, 8GB, Webcam, Windows 10</t>
  </si>
  <si>
    <t>Dell Inspiron 14-5459 Laptop - i7-6500U,8GB,1&lt;wbr/&gt;TB HDD.ATI Radeon R5 M335,14" HD</t>
  </si>
  <si>
    <t>HP ENVY x360 13-ay1012na Convert Laptop SIX CORE RYZEN 5 8/256GB SSD 13.3" TOUCH</t>
  </si>
  <si>
    <t>HP Envy 13-ba0002na 13.3" Laptop, Intel Core i5, 8GB, 512GB, Silver - Excellent</t>
  </si>
  <si>
    <t>HP Gaming Laptop 820 G1 12.5" Intel Core i5 1.60Ghz, Webcam, 8GB, Windows 10</t>
  </si>
  <si>
    <t>Microsoft Surface Go 12.5" Windows 10 Laptop Core i5 1035G1 10th Gen 8GB 128GB</t>
  </si>
  <si>
    <t>PNY</t>
  </si>
  <si>
    <t>PNY Prevail Pro P3000 15.6 Inch Pro Laptop, Core i7, 32GB, 2TB + 512GB SSD</t>
  </si>
  <si>
    <t>Microsoft Surface Pro 3 i7 4650u 8GB 256GB Tablet 12in + Keyboard Win 10 Pro</t>
  </si>
  <si>
    <t>Dell Latitude E7440 Windows 10 14" Laptop Intel i5 4310U 2.0 Ghz 8GB 120GB SSD</t>
  </si>
  <si>
    <t>Lenovo ThinkPad T460s Windows 10 14" Laptop Intel i5 6200U 2.3GHz 4GB 128GB SSD</t>
  </si>
  <si>
    <t>HP Elitebook 840 G5 Laptop i5-7300U 2.50GHz 8GB RAM 256GB NVME SSD Win10 B</t>
  </si>
  <si>
    <t>HP Pavilion Gaming 15-ec1000na AMD Ryzen 5 4600H 8GB 256GB GeForce GTX 1050</t>
  </si>
  <si>
    <t>Lenovo IdeaPad Duet 3i Celeron N4020 2-in-1 10.3" Touch 4Gb 64Gb eMMC W10S Grey</t>
  </si>
  <si>
    <t>Panasonic Toughbook CF-33, MK1, Intel Core i5, 2 in 1, Very Low Hours, Ex-Demo</t>
  </si>
  <si>
    <t>Microsoft Surface Laptop 3 13.5" Laptop, Intel Core i5, 8GB RAM, 256GB SSD, Blue</t>
  </si>
  <si>
    <t>ASUS TUF Dash F15 Laptop 15.6" FHD  i5-11300H 8GB 512GB RTX3060 FX516PM-HN015T</t>
  </si>
  <si>
    <t>Hp Envy X360 13-ay0504 13" Fhd Touch Ryzen 7 4700u 2.00Ghz 256gb 16GB Win11 (1)</t>
  </si>
  <si>
    <t>Dell Latitude E5440 Core i5 4310 2.0 GHz 8GB 500GB Windows 10 Notebook Laptop</t>
  </si>
  <si>
    <t>HP Pavilion x360 14 dh0500sa Pentium Gold 5405U 4GB 128GB SSD 14'' 2 in 1 Laptop</t>
  </si>
  <si>
    <t>Asus Chromebook 11.6" Laptop Intel Celeron 4GB RAM 64GB eMMC CX1100CNA-GJ00&lt;wbr/&gt;38 #B</t>
  </si>
  <si>
    <t>Dell Inspiron 15 3501 15.6" Full HD Laptop Core i3 4GB RAM 128GB SSD Black</t>
  </si>
  <si>
    <t>HP ENVY 14-eb0505na Intel i5-11300H 16Gb 512Gb SSD 14" WUXGA Windows 10 3Y0L5EA-</t>
  </si>
  <si>
    <t xml:space="preserve">Lenovo ThinkPad 11e Laptop Core m3 7Y30 4GB 128GB HDD 11.6" NO WINDOWS INCLUDED </t>
  </si>
  <si>
    <t>HP Spectre x360 13-ap0000na13.&lt;wbr/&gt;3 Inch Convertible Laptop Core i5 8GB RAM 256GB</t>
  </si>
  <si>
    <t>Panasonic Toughbook Cf 31 Mk3 i5 Military Grade Up to16 Gb Ram Diagnostic Rugged</t>
  </si>
  <si>
    <t>Dell XPS 13 9300 Laptop i7-1065G7 8GB 512GB M.2 NVMe 13.4 inch FHD+ WiFi W10 HM</t>
  </si>
  <si>
    <t>HP Pavilion x360 Laptop 14-dy i5-1155G7 4.5GHz 8GB/512GB SSD FULL HD TOUCHSCREEN</t>
  </si>
  <si>
    <t>HP ENVY 13-ba1559na Laptop Evo i5-1135G7 8GB RAM 512GB SSD 13.3" FHD Touch Win11</t>
  </si>
  <si>
    <t>DELL Latitude 13 3390 2-in-1 i5-8350U QUAD 16Gb 256Gb SSD FHD Windows 10 Pro 64</t>
  </si>
  <si>
    <t>Lenovo IdeaPad 3 14ITL05 14" (128GB SSD, Intel Pentium Gold 7505, 2.0GHz, 4GB.</t>
  </si>
  <si>
    <t>Dell Latitude 3380 i5-7200U 8GB 256GB  SSD 13.3'' Touch Screen  Win 11 Pro</t>
  </si>
  <si>
    <t>CHEAP Lenovo ThinkPad X250 Core I5 8GB RAM 128GB SSD Windows 10 Pro 12.5" Laptop</t>
  </si>
  <si>
    <t>Asus VivoBook 14 14" Laptop Ryzen 3 3200U 4GB 128GB SSD Grey F412DA-EK080T #A</t>
  </si>
  <si>
    <t>DELL Inspiron 14 7425 Ryzen 7 5825U 2-in-1 4.5ghz, 16GB, 512GB,Touch 14", Win 11</t>
  </si>
  <si>
    <t>HP 14-db0500sa AMD A4-9120 4GB RAM 32GB eMMC 14" Chromebook//</t>
  </si>
  <si>
    <t>HP Spectre x360 2in1 Laptop, 13.5'', 512GB SSD, 16GB RAM, Intel Core i7 - Black</t>
  </si>
  <si>
    <t>Dell Latitude 3380 Laptop Pentium 4415U,4GB,500G&lt;wbr/&gt;B HDD,13.3” HD *B*</t>
  </si>
  <si>
    <t>Dell / HP / IBM</t>
  </si>
  <si>
    <t>refurbished laptop 2GB 12.1" WIFI Windows 7 Pro 60GB Office 1yr Warranty refurb</t>
  </si>
  <si>
    <t>Lenovo IdeaPad Flex 5i 13.3" 2 in 1 Chromebook - Intel Core i5, 8GB RAM, 256GB</t>
  </si>
  <si>
    <t>Panasonic Toughbook Cf-19  Rugged Laptop 16 Gb 512 Gb Ssd i5 Win 10 Pro 3G</t>
  </si>
  <si>
    <t>Laptop Dell Latitude 7410 14in i7-10610U 16GB RAM 256GB SSD Warranty FHD W11P VG</t>
  </si>
  <si>
    <t>HP Pavilion 15-EG0040NA Laptop, Intel Core i5, 8GB RAM, 512GB SSD, 15.6”, Silver</t>
  </si>
  <si>
    <t>Dell Latitude 5490  14" Laptop 8th Gen i5 8 GB DDR4 256 GB M.2 Windows 11</t>
  </si>
  <si>
    <t>Lenovo IdeaPad 3i 17.3" Laptop Pentium Gold 4GB RAM 128GB SSD Arctic Grey</t>
  </si>
  <si>
    <t>Lenovo Thinkpad laptop T430 Win 7 Core i3 4GB 2.4GHz 500GB Webcam Warranty</t>
  </si>
  <si>
    <t>Cheap Windows 11 6th gen i5 laptop Lenovo x260 12.5" 8GB RAM 128GB SSD WARRANTY</t>
  </si>
  <si>
    <t>Lenovo IdeaPad L340 81LK010TUK 15.6" Laptop, Intel Core i5, 8GB, 256GB, Black</t>
  </si>
  <si>
    <t xml:space="preserve">Lenovo Yoga 6 13ALC6 13.3" Touchscreen AMD Ryzen 5 5500U 256GB SSD Laptop </t>
  </si>
  <si>
    <t>HP Pavilion Gaming 15-dk1007na i5-10300H 15.6" FHD 8Gb 512Gb SSD GTX 1650 Ti W10</t>
  </si>
  <si>
    <t>HP Pavilion 14-dv0598sa 14" Laptop Core i3 1115G4 11th Gen 8GB RAM 256GB SSD</t>
  </si>
  <si>
    <t>Dell XPS 15-9500 Laptop i7-10750H/16GB&lt;wbr/&gt;/1TB SSD/4GB GTX 1650Ti/15.6" FHD+ WHITE</t>
  </si>
  <si>
    <t>Dell Inspiron 15 3515 15.6" Full HD Laptop AMD Ryzen 5 8GB RAM 256GB SSD Black</t>
  </si>
  <si>
    <t>Lenovo IdeaPad 5 i5-1135G7 Notebook 15.6" FHD 8Gb 256Gb SSD W11S Blue 82FG01MHUK</t>
  </si>
  <si>
    <t>Dell Latitude 3580 Laptop, 15.6" Intel Core i3, 8GB RAM, 256GB SSD, Windows 10</t>
  </si>
  <si>
    <t>Microsoft Surface Laptop 13.5" Touchscreen- 256GB SSD Intel Core i7-8650U 8GB</t>
  </si>
  <si>
    <t>Dell G5 Gaming 5500 i7-10750H 6 Core 16Gb 1Tb SSD RTX 2070 Max-Q 8Gb 300Hz</t>
  </si>
  <si>
    <t>HP ENVY x360 15-ey0000na 15.6" Laptop Ryzen 5 8GB RAM 512GB SSD Full HD Black</t>
  </si>
  <si>
    <t>Dell Inspiron 5379 2-in-1 Core i5 8250u 1.60Ghz 8gb 250gb SSD 13.3 Touch (1189)</t>
  </si>
  <si>
    <t>Dell Latitude E7440 Windows 10 14" Laptop Intel i5 4310U 2.0 Ghz 8GB 128GB SSD</t>
  </si>
  <si>
    <t>ASUS VivoBook 15 X512FA 15.6" | i5 8265U | 8GB RAM, 256GB SSD | *Grade B*</t>
  </si>
  <si>
    <t>HP EliteBook 820 G2 12.5" i7-5600U 8GB 256GB SSD WiFi Cam W10 Pro Laptop PC</t>
  </si>
  <si>
    <t>Lenovo IdeaPad 3i 11.6" HD Chromebook Celeron N4020 4GB 64GB Chrome OS | #A</t>
  </si>
  <si>
    <t>HP Chromebook 14A-ND0001NA, AMD 3015ce, 4GB RAM, 64GB eMMC, 14", White - Pristin</t>
  </si>
  <si>
    <t>Lenovo ThinkPad T14s Laptop: Ryzen 7 4750U, 512GB SSD, 16GB RAM, (Similar to i7)</t>
  </si>
  <si>
    <t>Lenovo ThinkPad P14s Gen 2 Laptop: Ryzen 7 5850U 512GB SSD 16GB (like T14 Gen 2)</t>
  </si>
  <si>
    <t>HP EliteBook 845 G8 Laptop: Ryzen 7 5850U 512GB SSD 16GB, Warranty (Like 840 G8)</t>
  </si>
  <si>
    <t>Fujitsu 2 in 1 Convertible Laptop Tablet Intel i5 256GB SSD 12.5" Touch 8GB RAM</t>
  </si>
  <si>
    <t>Dell Latitude 9420 2-in-1 i7-1185G7 QUAD Core 16Gb 512Gb SSD QHD+ Windows 11</t>
  </si>
  <si>
    <t>Dell 5410 Touchscreen i7-10180U 16GB 256GB Windows 11 Dell PRO+ Warranty OCT 23</t>
  </si>
  <si>
    <t>Lenovo Thinkpad X250 FHD i7-5600U 8GB RAM 500GB SSD Win10 Pro (VG) - Charity</t>
  </si>
  <si>
    <t>Lenovo ThinkPad X250 Windows 10 12.5" Laptop Intel i5 5300U 2.3GHz 4GB 120GB SSD</t>
  </si>
  <si>
    <t>Lenovo ThinkPad X1 Carbon G6 Core I5 16GB RAM 2TB SSD Windows 10 Pro HD Laptop</t>
  </si>
  <si>
    <t>Lenovo IdeaPad 5i Laptop Intel Core i7-1065G7 8GB 512GB SSD 14" FHD Windows 10 S</t>
  </si>
  <si>
    <t>MacBook Pro 13" Mid 2012 -  Intel Core i5-3210M 8GB 120GB Grade B</t>
  </si>
  <si>
    <t>Lenovo ThinkPad T470 14" HD i5-6300U 8GB 256GB SSD WiFi Webcam Windows 10 Pro</t>
  </si>
  <si>
    <t>ASUS X415EA-EK1342W&lt;wbr/&gt;S 14" Full HD Laptop Core i3 4GB RAM 128GB SSD Silver</t>
  </si>
  <si>
    <t xml:space="preserve">Dell Latitude 12 5285 2-in-1 Core i5-7300U 8GB 256GB Touchscreen Tablet Laptop </t>
  </si>
  <si>
    <t>Dell Precision 15 7550 i9-10885H 8 Core 64Gb 512Gb SSD FHD T2000 4Gb Win10 Pro</t>
  </si>
  <si>
    <t>HP Laptop 15-dw3757nz i7-1165G7 15.6" 4.7GHZ FULL HD 16GB RAM 512GB SSD</t>
  </si>
  <si>
    <t>HP Pavilion 13-an1007na Laptop, Intel Core i7, 8GB, 512GB, 13.3", Mineral Silver</t>
  </si>
  <si>
    <t>Lenovo ThinkPad E465 Windows 10 14" Laptop AMD A10 8700P 1.8GHz 8GB 80GB SSD</t>
  </si>
  <si>
    <t>Cheap Windows 11 6th gen i5 laptop Lenovo x270 12.5" 8GB RAM 256GB SSD WARRANTY</t>
  </si>
  <si>
    <t>Lenovo Duet 7i 13" Convertible Laptop Corei5 8GB RAM 256GB SSD Grey</t>
  </si>
  <si>
    <t>Lenovo Yoga 6 13ALC6 13.3" Touchscreen AMD Ryzen 5 5500U, 8GB RAM, 256GB.</t>
  </si>
  <si>
    <t>HP 14 cf-2503sa Core i5 10210 1.6Ghz Laptop 8gb Mem 240gb SSD 14" FHD CIYL-649</t>
  </si>
  <si>
    <t>Lenovo Yoga S940-14IIL, Intel Core i7, 8GB RAM, 512GB SSD, 14", Grey - Excellent</t>
  </si>
  <si>
    <t xml:space="preserve">DELL Latitude 9430 Laptop Core i7-1265U Evo vPro 16GB 512GB SSD 14" QHD+ Touch </t>
  </si>
  <si>
    <t>HP EliteBook 840 G8 Laptop 14" Full HD Screen, i5-1145G7, 256GB SSD, 16GB RAM</t>
  </si>
  <si>
    <t>ASUS VivoBook X415 Laptop  Intel Core i7 8GB RAM 512GB SSD Silver Windows 10/11</t>
  </si>
  <si>
    <t>HP Pavilion 14-dv2504sa 14" Laptop Intel Core i5 1235U 8GB RAM 512GB SSD</t>
  </si>
  <si>
    <t>Lenovo ThinkPad T460 14" HD i5-6300U 8GB 256GB SSD WiFi Webcam Windows 10 Pro</t>
  </si>
  <si>
    <t>Dell XPS 13 Plus 9320 4.7 i7 1260P,512,16GB Ram,13.4" 3.5K OLED 3YR WRNTY S&amp;D</t>
  </si>
  <si>
    <t>HP 17-cn0500sa 17.3" Laptop Intel Core i3 1125G4 8GB RAM 512GB SSD</t>
  </si>
  <si>
    <t>Dell G3 Gaming Laptop 3590 i5-9300H 4 Core 8Gb 512Gb SSD GTX 1650 4Gb 144Hz</t>
  </si>
  <si>
    <t>Lenovo Gaming Laptop M30-70 13.3" Intel Core i3 1.90Ghz, 8GB, Webcam, Windows 10</t>
  </si>
  <si>
    <t>HP 15s-fq2015na i3-1115G4 8Gb 256Gb SSD 15.6" Full HD W10</t>
  </si>
  <si>
    <t>Lenovo IdeaPad 3 14M836 14" Laptop FHD MediaTek MT8183 4GB 64GB 82KN002AUK | OB</t>
  </si>
  <si>
    <t>Gaming laptop Dell Latitude E6320 13.3" 500GB Intel i5 2.5GHz 8GB Win 7 10 SSD</t>
  </si>
  <si>
    <t>Dell XPS 17 9720 5.0 i9 12900HK,32GB ,1TB SSD,17" UHD 4K  6GB RTX 3060 3YR WRNTY</t>
  </si>
  <si>
    <t>Lenovo ThinkPad X250 Windows 10 12.5" Laptop Intel i5 5300U 2.9GHz 8GB 120GB SSD</t>
  </si>
  <si>
    <t>HP Stream 14s-dq0504sa 14" Laptop Intel Celeron N4020 4GB 64GB Windows 10</t>
  </si>
  <si>
    <t>ASUS VivoBook 15 X1500 15.6" Laptop Core i7 16GB RAM 512GB SSD Silver</t>
  </si>
  <si>
    <t>Dell XPS 13 Plus 9320 4.7 i7 1260P, 512,16GB Ram,13.4" 3.5K OLED TOUCH 3YR WRNTY</t>
  </si>
  <si>
    <t>Dell Inspiron 13-7306 2-in-1 i5-1135G7,8GB,&lt;wbr/&gt;512GB SSD,13" FHD Touch BLACK *US*</t>
  </si>
  <si>
    <t>Gaming laptop Lenovo ThinkPad X230 12.5" 500GB Intel i5 2.6GHz 8GB Win 7 10 SSD</t>
  </si>
  <si>
    <t>Lenovo ThinkPad X13 Yoga Gen 3 2-in-1 Laptop: 12th Gen i5, 16GB, 256GB, Warranty</t>
  </si>
  <si>
    <t xml:space="preserve">WINDOWS 11 LAPTOP LENOVO 4TH GEN CORE I5 T440P 14" 4GB RAM 320GB HDD WEBCAM </t>
  </si>
  <si>
    <t>Lenovo IdeaPad 3 15.6" Laptop Intel Core i7 8GB RAM 512GB SSD Windows 11 | #B</t>
  </si>
  <si>
    <t>ASUS VivoBook E203 11.6" Laptop Celeron N3550 4GB 64GB Grey E203NA-FD084TS #A</t>
  </si>
  <si>
    <t>ASUS VivoBook Laptop 14" Full HD Intel Core i3-10110U 4GB RAM 128GB SSD Black</t>
  </si>
  <si>
    <t>HP ProBook 640 G8 Core i5-1135G7 16GB 256GB SSD 14" FHD Windows 11 Pro Laptop</t>
  </si>
  <si>
    <t>HP ENVY x360 15-ew0504sa Laptop i5-1240P 8Gb 512Gb SSD 15.6" Full HD touch W11</t>
  </si>
  <si>
    <t>Samsung Galaxy Book 15.6" Laptop Core i5 8GB RAM 256GB SSD Blue</t>
  </si>
  <si>
    <t>Lenovo IdeaPad Gaming Laptop 3 15.6" 120Hz Core i5-10300H 8GB 256GB GTX 1650Ti B</t>
  </si>
  <si>
    <t>HP Stream AMD 3020e 64GB 4GB RAM 14" LCD Win 10 HD Laptop</t>
  </si>
  <si>
    <t>HP Gaming Laptop 640 G1 14" Intel Core i3 2.40Ghz, Webcam, 8GB, Windows 10</t>
  </si>
  <si>
    <t>Lenovo IdeaPad 3i Laptop Intel Celeron N4020 4GB RAM 64GB eMMC 14" FHD Chrome OS</t>
  </si>
  <si>
    <t>LENOVO Legion 7i 16" Gaming Laptop - Intel® Core™ i7, RTX 3070 Ti, 512 GB SSD</t>
  </si>
  <si>
    <t>Dell Alienware M15 R2 i7-9750H 6 Core 16Gb 512Gb SSD RTX 2060 6Gb 240Hz Win10</t>
  </si>
  <si>
    <t>Dell Precision 17 7740 E-2276M 6 Core 32Gb 512Gb SSD FHD RTX 4000 8Gb Win11 Pro</t>
  </si>
  <si>
    <t>LENOVO IdeaPad Duet 3i 10.3" 2 in 1 Laptop - Intel® Celeron®, 64 GB eMMC, Grey</t>
  </si>
  <si>
    <t>HP EliteBook 840 G3 i5 (2.4GHz) 8GB RAM 256GB SSD Windows 10 Pro 14" UK Laptop</t>
  </si>
  <si>
    <t>Asus X509JA / A509JA-EJ077T 15.6"FHD Core i5 10th gen 256gb ssd 8GB Win 11 (6</t>
  </si>
  <si>
    <t>HP Elitebook Folio 1040 G3 i5 6300u 2.40Ghz 8GB RAM 512GB SSD 14" HD Win 10</t>
  </si>
  <si>
    <t>HP 14s Core i7-1165G7 8GB RAM 512GB SSD 14-Inch IPS Display FHD USB-C Windows 11</t>
  </si>
  <si>
    <t>Lenovo ThinkBook 15 G2 ITL 15.6" Intel Core i5 1135G7 11th Gen 8GB 256GB SSD</t>
  </si>
  <si>
    <t>Lenovo Yoga 720 13.3" Full HD Convertible Laptop Intel Core i7-7500U, 8GB, 256GB</t>
  </si>
  <si>
    <t>HP Pavilion 14-dv0511na Laptop i3-1115G4 8Gb 256Gb SSD 14" FHD touch W11 286Z5EA</t>
  </si>
  <si>
    <t>Cheap Windows 11 6th gen i5 laptop Lenovo x260 12.5" 8GB RAM 256GB SSD WARRANTY</t>
  </si>
  <si>
    <t>Lenovo ThinkPad P14s AMD Ryzen 7 Pro 4750U 8Gb 512Gb SSD 14" FHD W10P 20Y1000JUK</t>
  </si>
  <si>
    <t>Dell Inspiron 15 7586 2-in-1 UHD 4k Touch i7, 8GB, 256GB SSD, Win11, MX150, 15.6</t>
  </si>
  <si>
    <t>Dell Latitude 13 3380 Intel i3-6006U 16Gb 360Gb SSD TOUCH Screen Windows 10 Pro</t>
  </si>
  <si>
    <t>HP EliteBook x360 830 G7 2-in-1, 13.3" FHD Touch, i7-10810U, 16GB RAM, 512GB SSD</t>
  </si>
  <si>
    <t>Lenovo ThinkPad L13 Laptop i5-10310U vPro 16GB 256GB SSD 13.3" FHD IPS Win10 Pro</t>
  </si>
  <si>
    <t xml:space="preserve">Dell laptop netbook 10.1" 160GB Intel Atom 1.66GHz 1GB Webcam Windows 10 </t>
  </si>
  <si>
    <t>Lenovo Yoga 6 13ALC6 AMD Ryzen 5 5500U 256GB SSD 13.3" Touchscreen Laptop</t>
  </si>
  <si>
    <t>LENOVO IdeaPad 3i 14" Chromebook - Intel Celeron 4GB RAM 64 GB eMMC Grey</t>
  </si>
  <si>
    <t>HP ProBook 430 G2 Windows 10 13.3" Laptop Intel i5 5200U 2.2GHz 8GB 180GB SSD</t>
  </si>
  <si>
    <t>Lenovo Yoga 530 Laptop i7-8550U 8GB 256GB SSD 14" FHD IPS Touchscreen Win 10 HM</t>
  </si>
  <si>
    <t>ASUS ROG Gaming Laptop i9-9980HK 32GB RAM 1TB SSD+1TB HDD 17.3" FHD RTX 2080 8GB</t>
  </si>
  <si>
    <t>HP Omen 15 Gaming Laptop Intel Core i7 9750H 8GB RAM 512GB SSD GTX 1660 Ti 15.6"</t>
  </si>
  <si>
    <t>Dell Precision 17 7750 W-10855M 6 Core 32Gb 512Gb SSD UHD RTX 3000 6Gb Win10 Pro</t>
  </si>
  <si>
    <t>Samsung Galaxy Book S: SM-W767 256GB Laptop - Mercury Grey. German Keyboard.</t>
  </si>
  <si>
    <t>HP EliteBook 840 G3 i5 (2.4GHz) 8GB RAM 128GB SSD Windows 10 Pro 14" UK Laptop</t>
  </si>
  <si>
    <t>Lenovo Thinkpad X270 12.5" Laptop Core I5 8GB RAM 256GB SSD Windows 10 - A Grade</t>
  </si>
  <si>
    <t xml:space="preserve">LENOVO YOGA TABLET LAPTOP 11E 8GB 500GB SSD Touchscreen Windows 10 webcam </t>
  </si>
  <si>
    <t>ASUS FX506LU-HN003T&lt;wbr/&gt;, Intel Core i5, 8GB RAM, 512GB, 15.6" - Black</t>
  </si>
  <si>
    <t>Lenovo ThinkPad T14s 14" Touch Laptop: 16GB RAM, 10th Gen i5, 256GB SSD Warranty</t>
  </si>
  <si>
    <t>Lenovo ThinkPad L13 Gen 3 Laptop i7-1255U 16GB 512GB SSD 13.3" WUXGA IPS W11 Pro</t>
  </si>
  <si>
    <t>Dynabook Toshiba Portégé X30-F-15V, 13.3" Laptop, i7, 16GB RAM, 512GB SSD, Black</t>
  </si>
  <si>
    <t>Acer Aspire 1 A114-61 14" Laptop 4GB RAM 64GB eMMC Full HD White</t>
  </si>
  <si>
    <t>Dell Chromebook Laptop 3180 11.6 HD Intel 2.2 GHz 4GB 16GB HDMI WIFI Play Store</t>
  </si>
  <si>
    <t>Lenovo IdeaPad 5 Laptop i3-1115G4 4Gb 256Gb SSD 14" FHD touch 82M8001CUK</t>
  </si>
  <si>
    <t>Acer Swift 5 SF514-55T Laptop 14 Touchscreen i7-1165G7 8GB 512GB ‎NX.A34EK.001 A</t>
  </si>
  <si>
    <t>ASUS CX15 Chromebook Laptop Celeron N4500 4GB RAM 64GB eMMC 15.6" FHD Chrome OS</t>
  </si>
  <si>
    <t>HP 15-gw0502sa AMD Athlon Silver 3050U 4GB RAM 1TB HDD 15.6" Laptop...</t>
  </si>
  <si>
    <t>Lenovo Thinkpad X1 Yoga G4 Laptop i5-8365U 8GB 256GB SSD 14" FHD Touch 4G LTE</t>
  </si>
  <si>
    <t>Windows 10 Dell Lenovo laptop Cheap i5 480gb SSD 8GB 16GB ThinkPad latitude DVD</t>
  </si>
  <si>
    <t>Lenovo Thinkpad X1 Yoga G4 Laptop i5-8365U 8GB 256GB SSD 14" FHD IPS Touch 4GLTE</t>
  </si>
  <si>
    <t>Fast Cheap Gaming Laptop Dell Intel 8th Gen 256GB SSD 15.6" 8GB RAM Win11 PC</t>
  </si>
  <si>
    <t>CHEAP Lenovo ThinkPad X250 Core I5 8GB RAM 512GB SSD Windows 10 Pro 12.5" Laptop</t>
  </si>
  <si>
    <t>ASUS VivoBook W202NA-GJ0022R&lt;wbr/&gt;A 11.6", Intel Celeron,4GB RAM, 64GB eMMC, Blue</t>
  </si>
  <si>
    <t>Dell Alienware M15 R7 Ryzen 4.7ghz, 1TB SSD, 32GB RAM, 6GB nVidia RTX 3060</t>
  </si>
  <si>
    <t xml:space="preserve">Asus ROG Strix G15 Gaming Laptop i7-10870H 16GB 1TB SSD 15.6" FHD RTX 2060 6GB </t>
  </si>
  <si>
    <t>Dell Latitude 5411 Laptop: 10th Gen i5-10400H, 16GB, 512GB, MX250, Warranty</t>
  </si>
  <si>
    <t>Dell Latitude 14" FHD Laptop, Intel i7-4600U 8GB RAM 256GB SSD Touchscreen E7440</t>
  </si>
  <si>
    <t>HP Pavilion 15-eg0033na 15.6" Touchscreen Laptop i3 8GB RAM 256GB SSD</t>
  </si>
  <si>
    <t>Dell Alienware M15 R7 4.7ghz i7 ,64GB,1TB SSD,360hz 15.6",8GB nVidia RTX 3070 Ti</t>
  </si>
  <si>
    <t>ASUS VivoBook 14 K3400PA-KM017T&lt;wbr/&gt;, Intel Core i5, 8GB RAM, 512GB SSD, 14", Blue</t>
  </si>
  <si>
    <t>Lenovo ThinkPad T470 14" HD i5-6200U 8GB 256GB SSD WiFi Webcam Windows 10 Pro</t>
  </si>
  <si>
    <t>ASUS VivoBook S14 S433FA Laptop Intel Core i7 10510U 8GB RAM 512GB SSD 14"</t>
  </si>
  <si>
    <t>HP ZBook Studio G8 Laptop: 11th Gen i9 RTX A2000 GPU 32GB RAM 512GB SSD Warranty</t>
  </si>
  <si>
    <t>Acer Swift 5 SF514-55T Laptop i5-1135G7 8Gb 512Gb SSD 14" touch W10 NX.A34EK.002</t>
  </si>
  <si>
    <t>Acer ChromeBook 13 Laptop  CB713-1W-536E Core i5 8250U 8GB RAM 64GB eMMC 13.5"</t>
  </si>
  <si>
    <t>HP 14-CE3600SA Core i3 10th 1005G1 1.20Ghz 8gb Memory 240gb SSD 14.2" FHD (1220)</t>
  </si>
  <si>
    <t>Microsoft Surface Pro 4 i5 6300U 4GB Ram 128GB SSD 12.3inch Tablet with keyboard</t>
  </si>
  <si>
    <t>HP ZBook 15u G2 Intel Core i5 - 5200U 2.70Ghz 16GB Ram 240GB SSD -  CL48</t>
  </si>
  <si>
    <t>ASUS Laptop VivoBook M409DA 14" FHD AMD Ryzen 3 3200U 4GB RAM 256GB SSD #A</t>
  </si>
  <si>
    <t>Lenovo ThinkPad T470 14" HD i5-6300U 8GB 512GB SSD WiFi Webcam Windows 10 Pro</t>
  </si>
  <si>
    <t>Apple MacBook Pro 13” A1502 2014 8gb 256gb SSD FULL WORKING TATTY SCREEN (912)</t>
  </si>
  <si>
    <t>HP Gaming Laptop 15-P085sa 15.6" 4th Gen Core i3 1.90Ghz, Webcam, Windows 10</t>
  </si>
  <si>
    <t>Lenovo ThinkPad L14 Gen 3 Laptop: 12th Gen i5, 16GB RAM, 256GB, LTE, Warranty</t>
  </si>
  <si>
    <t>Dell Latitude Gaming Laptop Black 15.6" BIG 512Gb SSD Backlit Keyboard HDMI WiFi</t>
  </si>
  <si>
    <t>HP Pavilion 15-cs0511sa 15.6" Laptop Core i7-8550U 16GB 256GB  GeForce MX150</t>
  </si>
  <si>
    <t>Touchscreen lenovo thinkpad t460s 500gb ssd 12gb Ram I5 vpro processor.</t>
  </si>
  <si>
    <t>MSI GF63 Thin 11UC-241UK Gaming Laptop i5-11400H 8GB RAM 512GB SSD 15.6" Full HD</t>
  </si>
  <si>
    <t>ASUS ZenBook 14 UX425EA Laptop i7-1165G7 8GB RAM 512GB SSD 14" FHD IPS Win 10 HM</t>
  </si>
  <si>
    <t>HP Spectre x360 15-eb0003na 15.6" 4K Convertible Laptop i7 16GB 512GB GTX1650</t>
  </si>
  <si>
    <t>HP 14" Inch Laptop AMD A4-9125/4GB RAM/64GB eMMC/Windows 10 14-cm0506sa</t>
  </si>
  <si>
    <t>Lenovo IdeaPad 5 CB 14ITL6 Laptop 14" Touch Pentium Gold 7505 4G 128G 82M8000MUK</t>
  </si>
  <si>
    <t>Dell Precision 3560 Laptop: 11th Gen i7 32GB RAM, 512GB, T500 15.6" Warranty</t>
  </si>
  <si>
    <t>Dell XPS 13 9370 13.3" Laptop, Intel Core i7-8550U, 8GB RAM, 256GB SSD - Silver</t>
  </si>
  <si>
    <t>HP ELITE X2 TABLET 1012 G1 CONVERTIBILE TOUCHSCREEN 2 IN 1 WIN 10 8GB 480GB M.2-</t>
  </si>
  <si>
    <t>HP ELITE X2 TABLET 1012 G1 CONVERTIBILE TOUCHSCREEN 2 IN 1 WIN 11 8GB 480GB M.2-</t>
  </si>
  <si>
    <t>COMPUTER NOTEBOOK DELL E6510 I5 15,6" RAM 8GB SSD 120GB BATTERIA NUOVA-</t>
  </si>
  <si>
    <t>PC COMPUTER PORTATILE NOTEBOOK DELL 7280 12,5" I5 6300U 8GB 256GB ULTRABOOK-</t>
  </si>
  <si>
    <t>Panasonic Toughpad FZ-G1 10.1" Core i5 3437U 1.9GHz 8GB RAM 128GB SSD Win 10</t>
  </si>
  <si>
    <t>Panasonic Toughbook CF-19 Core 2 Duo U7500 1.06GHz 4GB RAM 128GB SSD Win 10 Pro</t>
  </si>
  <si>
    <t>DELL RUGGED 7202 TABLET 4G 12” WINDOWS 11 8GB 2TB SSD TOUCHSCREEN NOTEBOOK-</t>
  </si>
  <si>
    <t>HP PAVILION 16” CORE i5 GTX 1650Ti 4GB PC 64GB 2TB WIN 11 PRO GAMING NOTEBOOK-</t>
  </si>
  <si>
    <t>LENOVO THINKPAD X260 i5 12,5” 8GB 240GB SSD WINDOWS 11 PC PORTATILE COMPUTER.</t>
  </si>
  <si>
    <t>Panasonic Toughbook CF-53 14" Core i5 4310U 16GB RAM 512GB SSD -Win 10 Pro</t>
  </si>
  <si>
    <t>LENOVO YOGA 2 PRO CORE i5 QHD+ 4GB RAM 120GB SSD WIN11 CONVERTIBILE TOUCHSCREEN-</t>
  </si>
  <si>
    <t>Lenovo ThinkPad X260 12.5" Core i5 6300U 2.40GHz 8GB RAM 256GB SSD Win 10 Pro</t>
  </si>
  <si>
    <t>Dell Precision M4800 Windows 10 15.6 Laptop Intel i7 4800MQ 2.8GHz 8GB 120GB SSD</t>
  </si>
  <si>
    <t>Dell Latitude 3400 Windows 10 14" Laptop Intel i3 8145U 8GB 256GB SSD 500GB HDD</t>
  </si>
  <si>
    <t>Dell Latitude E7270 12.5" Core i5 6300U 2.4GHz 8GB RAM 256GB SSD Win 10 Pro</t>
  </si>
  <si>
    <t>Microsoft Surface Pro 7, Intel Core i5-1035G4, 8GB RAM, 256GB SSD, 12.3", Good</t>
  </si>
  <si>
    <t>NOTEBOOK HP ENVY 17 I5 6200U 17,3" FHD 16GB 512GB SSD NVIDIA WINDOWS 11-</t>
  </si>
  <si>
    <t>LENOVO X260 I3 12,5" WINDOWS 10 4 GB 240 GB SSD PC COMPUTER PORTATILE NOTEBOOK-</t>
  </si>
  <si>
    <t>Panasonic Toughbook CF54 i5 5300U 16GB RAM 512GB SSD Win 10 Pro Touchscreen</t>
  </si>
  <si>
    <t>LENOVO THINKPAD T400 WIN 10 PRO 8GB 2TB NOTEBOOK 14" TASTIERA ITA DVD-RW WiFi-</t>
  </si>
  <si>
    <t>PC COMPUTER NOTEBOOK PORTATILE LENOVO I3 13,3" 8GB 128GB WINDOWS 10 AZIENDALE-</t>
  </si>
  <si>
    <t>LENOVO X260 I3 12,5" WINDOWS 11 8 GB 240 GB SSD PC COMPUTER PORTATILE NOTEBOOK-</t>
  </si>
  <si>
    <t>Dell Latitude 5480 14" Core i5 6440HQ 2.60GHz 8GB RAM 256GB SSD Win 10 Pro</t>
  </si>
  <si>
    <t>COMPUTER PORTATILE NOTEBOOK FUJITSU A573 I5 15,6" 4GB 240GB TAST ITA WIN 10-</t>
  </si>
  <si>
    <t>NOTEBOOK HP PROBOOK 645 G1 14" AMD A6 WINDOWS 10 8GB SSD 240GB TASTIERA ITA-</t>
  </si>
  <si>
    <t>Acer Chromebook CP513-1H-S8FH Convertible Laptop, 64GB eMMC, Refurbished</t>
  </si>
  <si>
    <t>Lenovo Yoga 260 Windows 11 12.5" Laptop Intel i5 6200U 2.3GHz 8GB 120GB SSD</t>
  </si>
  <si>
    <t>HP PAVILION 16” CORE i5 GTX 1650Ti 4GB PC 8GB 120GB WIN 11 PRO GAMING NOTEBOOK.</t>
  </si>
  <si>
    <t>DELL RUGGED 7202 TABLET 4G 12” WINDOWS 10 8GB 240GB SSD TOUCHSCREEN NOTEBOOK-</t>
  </si>
  <si>
    <t>HP ELITE X2 TABLET 1012 G1 CONVERTIBILE TOUCHSCREEN 2 IN 1 WIN 10 8 GB 2 TB M.2.</t>
  </si>
  <si>
    <t>HP ELITE X2 TABLET 1012 G1 CONVERTIBILE TOUCHSCREEN 2 IN 1 WIN 11 8GB 960GB M.2-</t>
  </si>
  <si>
    <t>LENOVO THINKPAD T400 WIN 11 PRO 8GB 240GB NOTEBOOK 14" TASTIERA ITA DVD-RW WiFi.</t>
  </si>
  <si>
    <t>PC COMPUTER PORTATILE LENOVO T430 i5 14" WIN 10 TASTIERA ITA 32 GB 2 TB SSD.</t>
  </si>
  <si>
    <t>PC COMPUTER PORTATILE LENOVO T430 i5 14" WIN 11 TASTIERA ITA 16 GB 960 GB SSD.</t>
  </si>
  <si>
    <t>PC COMPUTER NOTEBOOK PORTATILE DELL E6420 I5 2520M 14" 4GB SSD 180GB BATT NUOVA.</t>
  </si>
  <si>
    <t>Lenovo ThinkPad X240 Windows 10 13.3" Laptop Intel i5 4210U 1.7GHz 4GB 120GB SSD</t>
  </si>
  <si>
    <t>Lenovo Thinkpad T470S Laptop i7 6th Gen 8GB 128GB SSD USB-C HD Webcam 4G WiFi</t>
  </si>
  <si>
    <t>HP Probook Laptop, 15.6" Up to i7 6th gen or i5 10th Gen Win 10  / 11 Pro</t>
  </si>
  <si>
    <t>Lenovo Think Pad T480 14", I5 Gen 8, 8GB, 256GB SSD, 3 Years RTB Warranty</t>
  </si>
  <si>
    <t>Acer Aspire 5 A514-56-50LK 15.6" Laptop, Intel Core i5-1135G7, 8GB RAM, 512GB SS</t>
  </si>
  <si>
    <t>Dell Latitude 7400 2-in1 i7-8665U 16GB RAM 500GB SSD Win10 Pro (VG) - Charity</t>
  </si>
  <si>
    <t xml:space="preserve">WINDOWS 11 LAPTOP LENOVO 4TH GEN CORE I5 T440P 14" 8GB RAM 500GB HDD WEBCAM </t>
  </si>
  <si>
    <t>Gigabyte AERO 5 XE4 Core i7 16GB 1TB Nvidia RTX 3070Ti 15.6" OLED Refurb Laptop</t>
  </si>
  <si>
    <t>HP Stream 11-ak0516sa 11" Laptop Intel Celeron N4020 4GB 64GB eMMC Blue</t>
  </si>
  <si>
    <t>HP ProBook 650 G2 Laptop, 15.6" Intel Core i5, 8GB RAM, 256GB SSD, Windows 10</t>
  </si>
  <si>
    <t>Dell Latitude 5420 14" Touch Laptop: 11th Gen i7, 16GB, 500GB, Xe, LTE, Warranty</t>
  </si>
  <si>
    <t xml:space="preserve">HP ProBook 640 G1 Intel i5@2.6GHz 8GB 256GB SSD Windows 10 Cheap Laptop WebCam </t>
  </si>
  <si>
    <t>Honor MagicBook 14 inch NBL-WAQ9AHNR Ryzen 5 8GB 256GB Laptop - Grey - Good</t>
  </si>
  <si>
    <t>HP EliteBook 840 G6 Laptop i5-8265U 1.60GHz 14" HD 8GB RAM 256GB SSD Win10 C</t>
  </si>
  <si>
    <t>HP EliteBook 840 G3 i5 (2.4GHz) 4GB RAM 512GB SSD Windows 10 Pro 14" UK Laptop</t>
  </si>
  <si>
    <t>Huawei MateBook D 15.6" Laptop, Intel Core i5, 8GB RAM, 512GB SSD - Black</t>
  </si>
  <si>
    <t>ASUS ZenBook 3 Deluxe Laptop Intel Core i5-8250U 8GB RAM 256GB SSD 14" FHD Win10</t>
  </si>
  <si>
    <t>Touch screen HP EliteBook 1030 G1 m7-6Y75 16GB RAM 512GB SSD - QHD + Display</t>
  </si>
  <si>
    <t>Dell Precision 7510 i7-6820HQ 4 core 16Gb 512Gb SSD Quadro M1000M 2Gb FHD</t>
  </si>
  <si>
    <t>HP Pavilion 14-dv0598sa Laptop i3-1115G4 8Gb 256Gb SSD 14" FHD touch W11 2S3C8EA</t>
  </si>
  <si>
    <t>ASUS F515EA-BQ570T Laptop i3-1115G4 8Gb 256Gb SSD 15.6" FHD W10 F515E</t>
  </si>
  <si>
    <t>Lenovo ThinkPad X250 Windows 10 12.5" Laptop Intel i5 5200U 2.2GHz 4GB 275GB SSD</t>
  </si>
  <si>
    <t>LENOVO Yoga 6 13.3" 2 in 1 Laptop - AMD Ryzen 7, 512GB SSD, Blue - REFURB A</t>
  </si>
  <si>
    <t>Dell Latitude 5590 - Intel Core i7-8650U 16GB 512GB SSD Win11 Pro Grade B</t>
  </si>
  <si>
    <t>Dell Precision 15 7530 i7-8850H 6-Core 32Gb 512Gb SSD FHD P2000 4Gb Win10 Pro</t>
  </si>
  <si>
    <t>Lenovo Laptop Windows11 Light Gaming Full HD 1920x1080 Res Office WiFi 5GHz SSD</t>
  </si>
  <si>
    <t>HP Pavilion 15-eg0033na 15.6" Touchscreen Laptop i3 8GB RAM 256GB SSD C Grade</t>
  </si>
  <si>
    <t>HP ZBook Fury 15 G8 Laptop: Core i7 11th Gen 512GB SSD RAM Quadro T1200 Warranty</t>
  </si>
  <si>
    <t>Dell G3 15 3500 i5-10300H Quad Core 8Gb 512Gb SSD GeForce GTX 1650 Ti 4Gb 144Hz</t>
  </si>
  <si>
    <t>Lenovo Ideapad 5 15ITL05 Laptop, Intel Core i7, 8GB RAM, 512GB SSD, 15.6", Grey</t>
  </si>
  <si>
    <t xml:space="preserve">Lenovo ThinkPad E14 Gen 4 Laptop i5-1235U 8GB 256GB SSD 14" FHD IPS Win 11 Pro </t>
  </si>
  <si>
    <t>Dell Latitude 14 7420 i5-1135G7 QUAD core 16Gb 256Gb SSD Touch Win 10</t>
  </si>
  <si>
    <t>LENOVO IdeaPad 3i 11.6" Chromebook - Intel Celeron - Black REFURB-A</t>
  </si>
  <si>
    <t>Dell Precision 7560 15.6" CAD Laptop: RTX A2000, 11th Gen i7, 16GB RAM Warranty</t>
  </si>
  <si>
    <t>Dell Latitude 15 5500 i5-8365U QUAD Core 8Gb 256Gb SSD WWAN Windows 10 Pro 64</t>
  </si>
  <si>
    <t>Dell Inspiron 14 7490 Laptop i7-10510U 4 Core 16Gb 512Gb SSD MX250 2Gb Full HD</t>
  </si>
  <si>
    <t>HP Victus 16-e0036na 16.1" IPS 144Hz 6-Core Ryzen-7 16GB, 512GB SSD RTX 3060 6GB</t>
  </si>
  <si>
    <t>Dell Precision 7520 i7-7820HQ QUAD 16Gb 512Gb SSD Quadro M2200 4Gb Win10 Pro</t>
  </si>
  <si>
    <t xml:space="preserve">HP 15s-eq2036na RYZEN7-5700U Laptop 15.6" FHD 8 CORES 8/512GB SSD WINDOWS 10/11 </t>
  </si>
  <si>
    <t>Panasonic Toughbook CF 54 Rugged Laptop 16 GB RAM 1 Tb Ssd Win 11 Pro Fhd Touch</t>
  </si>
  <si>
    <t>HP Envy 17-CR0503NA 17" FHD Touchscreen Laptop Intel i7-1260P 16GB/512GB SSD</t>
  </si>
  <si>
    <t>Asus Zenbook UX305C Intel M3 6Y30 0.90Ghz  8gb mem 128gb SSD 13.3" QHD CIYL-691</t>
  </si>
  <si>
    <t>Dell XPS 13 9310 13.4" UHD+ Touchscreen Laptop Intel Core i7 1185G7 16GB 1TB SSD</t>
  </si>
  <si>
    <t>Microsoft Surface Pro 1796, Intel M3-7Y30, 2GB RAM, 128GB HDD, 12.3", Silver</t>
  </si>
  <si>
    <t>Fujitsu Gaming Cheap Laptop A512 15.6" Core i3 2.40Ghz, 8GB, Webcam, HDMI, Win10</t>
  </si>
  <si>
    <t>Lenovo IdeaPad 5 14IIL05 14" i7-1065G7 512GB 8GB Full HD Windows 11 Grey Laptop</t>
  </si>
  <si>
    <t>Cheap HP Gaming Laptop 4540s 15.6" Intel Core i3 2.70Ghz, Webcam, Windows 10</t>
  </si>
  <si>
    <t xml:space="preserve">WINDOWS 11 LAPTOP LENOVO 4TH GEN CORE I5 T440P 14" 16GB RAM 480GB SSD WEBCAM </t>
  </si>
  <si>
    <t xml:space="preserve">ASUS Vivobook Laptop Intel Pentium Silver N5030 4GB RAM 128GB SSD 14" W10 Home </t>
  </si>
  <si>
    <t>Huawei MateBook 13 Laptop 13" UHD AMD Ryzen 7 3700U 16GB RAM 512GB SSD 53012CUQ</t>
  </si>
  <si>
    <t>Asus 14" Laptop VivoBook X412FA FHD Intel Core i5-10201U 8GB RAM 256GB SSD</t>
  </si>
  <si>
    <t>Dell G5 Gaming 5500 i7-10750H Six Core 16Gb 1Tb SSD RTX 2060 6Gb 144Hz</t>
  </si>
  <si>
    <t>HP 14-DA0000NA Chromebook 14", Intel Core i3, 8GB, 64GB, 5GS70EA#ABU, White</t>
  </si>
  <si>
    <t>Lenovo IdeaPad Flex 3 11IGL05 Laptop 11" Touch Celeron N4020 4GB 64GB ChromeOS A</t>
  </si>
  <si>
    <t>HP 840 G2 - EliteBook - i5 (5TH) @2.70GHZ  - 8GB Ram  - 240GB SSD -- CL13</t>
  </si>
  <si>
    <t>Asus VivoBook Laptop 15" Full HD i5-1135G7 8GB RAM 512GB SSD X1500EA-BQ2182&lt;wbr/&gt;W #A</t>
  </si>
  <si>
    <t>Asus X515 15.6" Laptop Core i5 8GB RAM 256GB SSD Full HD Silver C Grade</t>
  </si>
  <si>
    <t>HP Spectre x360 i7 GeForce GTX 1050 Ti 15.6" Touch Laptop 8750H 8GB 512GB</t>
  </si>
  <si>
    <t>Dell Latitude 15 5500 i5-8265U QUAD Core 8Gb 256Gb SSD Windows 10 Pro 64</t>
  </si>
  <si>
    <t>ASUS VivoBook 15 X1500 15.6" Laptop Core i3 8GB RAM 256GB SSD Full HD Silver</t>
  </si>
  <si>
    <t>Dell Precision 5510 E3-1505M v5 QUAD core 16Gb 512Gb SSD M1000M 2Gb UHD Touch</t>
  </si>
  <si>
    <t>Lenovo IdeaPad 5i Chromebook 14" Laptop 4GB RAM 128GB SSD Touchscreen Grey</t>
  </si>
  <si>
    <t>Lenovo IdeaPad 5 Laptop Pentium 7505 4Gb 128Gb SSD 14" FHD touch 82M8000MUK</t>
  </si>
  <si>
    <t>HP Stream 11-ak0515sa 11" Laptop Intel Celeron N4020 4GB 64GB eMMC White</t>
  </si>
  <si>
    <t>Fujitsu LifeBook S752 Windows 10 14" Laptop Intel i5 3210M 2.5GHz 4GB 500GB HDD</t>
  </si>
  <si>
    <t>Acer Aspire 3 15.6" Laptop A315-56 Intel Core i5-1035G1 8GB RAM RAM 256GB SSD</t>
  </si>
  <si>
    <t>Microsoft Surface Go 12.5" Laptop Windows 10 Core i5 1035G1 10th Gen 8GB 128GB</t>
  </si>
  <si>
    <t>HP Pavilion Gaming Laptop 15-dk1039na 8/512GB SSD GeForce GTX1660 Backlit Kbd</t>
  </si>
  <si>
    <t>HP 250 G7 Notebook 15.6" Laptop, Intel i5-8265U 8GB RAM 1TB UHD 620 Windows 11</t>
  </si>
  <si>
    <t>Lenovo IdeaPad Flex 5 15IIL05 15.6" 2-in-1 Laptop Core i5 256GB SSD 8GB RAM Grey</t>
  </si>
  <si>
    <t xml:space="preserve">Microsoft Surface Laptop 3 Core i5-1035G7 8GB 128GB SDD 13.5" Touch Win 10 Pro </t>
  </si>
  <si>
    <t>Dynabook Satellite Pro C50-H-103 i3 1005G1 10th Gen 8GB RAM 256GB SSD W10P</t>
  </si>
  <si>
    <t>HP Envy 17 Touch Laptop: Intel Core i7-1260P, 16GB RAM, 512GB SSD, Warranty VAT</t>
  </si>
  <si>
    <t>HP 15s-fq4553sa 15.6" Full HD Laptop i5-1155G7 4GB RAM 256GB Windows 11 53A19EA</t>
  </si>
  <si>
    <t>Lenovo IdeaPad S340 81N8009CUK 15.6" Laptop Pentium 5405U 4GB 128GB SSD C Grade</t>
  </si>
  <si>
    <t>Microsoft Surface Go 2 12.4" Laptop Core i5 8GB RAM 128GB SSD Sandstone</t>
  </si>
  <si>
    <t>Dell Inspiron 15 3000 3542 Laptop Pentium 3558U 4Gb 1Tb HDD DVD-RW</t>
  </si>
  <si>
    <t>ASUS E406MAA-BV284T Laptop Pentium Silver N5000 4GB RAM 128GB eMMC 14" Win 10 S</t>
  </si>
  <si>
    <t xml:space="preserve">HP SIX CORE Laptop 15s-fq5006ne i3-1215U 4.4GHz 15.6 HD 4GB/256GB SSD LINUX </t>
  </si>
  <si>
    <t>Hp 240 G8 14"FHD Core i5-1035G1 1.19Ghz 256GB SSD 8GB Windows 11 (1)</t>
  </si>
  <si>
    <t>HP ProBook 640 G2 Windows 10 14" Laptop Intel i5 6200U 2.3GHz 4GB 500GB HDD</t>
  </si>
  <si>
    <t>Lenovo V15 15.6" Laptop AMD Ryzen 3 3250U 8GB RAM 256GB SSD 82C70004UK Grey | #A</t>
  </si>
  <si>
    <t>Dell XPS 13 9315 4.4 i5 1230U, 256GB SSD,8GB Ram, 13.4" FHD 1920x1200, 3YR WRNTY</t>
  </si>
  <si>
    <t>Lenovo V15 Laptop Intel Core i5-10210U 8GB RAM 256GB SSD 15.6" FHD IPS Win10 Pro</t>
  </si>
  <si>
    <t>Lenovo IdeaPad 5 15ITL05 15.6" Laptop Full HD i5-1135G7 8GB 256GB 82FG00VXUK A</t>
  </si>
  <si>
    <t>Dell Latitude 7390 Touchscreen Laptop 8th Gen i5 8 GB DDR4 512 GB M.2 Windows 11</t>
  </si>
  <si>
    <t>HP Elite Dragonfly G3 Laptop: 12th Gen i7, 512GB SSD, 16GB RAM Iris Xe, Warranty</t>
  </si>
  <si>
    <t>Lenovo IdeaPad 3i 15.6" Laptop Core i3 4GB RAM 128GB SSD Arctic Grey C Grade</t>
  </si>
  <si>
    <t>Dell Latitude 7285 Tablet i5-7Y54,8GB,12&lt;wbr/&gt;8GB,Biometric,&lt;wbr/&gt;12.3” 3K Touch Screen</t>
  </si>
  <si>
    <t>Lenovo IdeaPad 1 15.6" LAptop AMD Ryzen 5 8GB RAM 256GB SSD Cloud Grey</t>
  </si>
  <si>
    <t>Dell Gaming Cheap Laptop 2520 15.6" Intel Core i3 2.30Ghz, Webcam, Win10, HDMI</t>
  </si>
  <si>
    <t>WINDOWS 11 2-in-1 TABLET LAPTOP MICROSOFT SURFACE PRO 5 INTEL i5-7300U 4GB 128GB</t>
  </si>
  <si>
    <t>Toshiba Satellite C855-1GQ 750GB 6GB DDR3-SDRAM Laptop - Clamshell Grey R</t>
  </si>
  <si>
    <t>HP ZBook Studio G8 Laptop: 11th Gen i9, 32GB RAM, RTX A2000, 1TB SSD, Warranty</t>
  </si>
  <si>
    <t>Lenovo IdeaPad Flex 5 14" 2 in 1 Laptop AMD Ryzen 7-4700U 8GB / 512GB SSD</t>
  </si>
  <si>
    <t>HP 14s-dq2510sa Laptop 14" FHD intel Core i3-1115G4 4GB RAM 256GB SSD 3Z7U2EA</t>
  </si>
  <si>
    <t>Dell Inspiron 15-3552 Laptop Celeron N3060,4GB RAM,500GB HDD,DVDRW,15.6&lt;wbr/&gt;" *B*</t>
  </si>
  <si>
    <t>HP ProBook 440 G7 14" Laptop Intel Core i5 10210U 8GB 512GB SSD W10 Pro</t>
  </si>
  <si>
    <t>Lenovo V15 Laptop AMD Athlon Silver 3050U 4GB RAM 128GB SSD 15.6" FHD Win 10 HM</t>
  </si>
  <si>
    <t>Dell Inspiron 16 Plus 7610 - i7 11th Gen, 16GB, 1TB SSD, RTX 3060, 16" Mist Blue</t>
  </si>
  <si>
    <t>Dell G5-5500 Gaming Laptop i5-10300H,8GB,&lt;wbr/&gt;512GB SSD,4GB GTX 1650,15.6" FHD *B*</t>
  </si>
  <si>
    <t>HP Pavilion x360 14-dy0505na Laptop i3-1125G4 4Gb 256Gb SSD 14" FHD touch W10S</t>
  </si>
  <si>
    <t>HP ProBook 440 G7 Laptop Core i5 10210u 1.6Ghz 8gb Memory 512gb 14.2" FHD Screen</t>
  </si>
  <si>
    <t>Lenovo IdeaPad 3 14ITL05 14" i7-1165G7 512GB 8GB Full HD Windows 11 Blue Laptop</t>
  </si>
  <si>
    <t>HP EliteBook 840 G7 Laptop: Core i7 10th Gen, 16GB RAM 256GB 1.3Kg 14", Warranty</t>
  </si>
  <si>
    <t>HP Touch screen i7 Laptop 512gb SSD 16GB RAM</t>
  </si>
  <si>
    <t>Dell G3 15 3579 i5-8300H 4 Core 8Gb 128Gb SSD 1Tb HDD GTX 1050 4Gb Win10 Pro</t>
  </si>
  <si>
    <t>Microsoft Surface Laptop 4 15" Display Ryzen 7 8GB 512GB Black C Grade</t>
  </si>
  <si>
    <t>Lenovo IdeaPad 5 Intel i3-1115G4 4Gb 256Gb SSD 14" Full HD Chrome OS 82M8001BUK</t>
  </si>
  <si>
    <t>HP Pro X2 612 G2 i5-7th Gen 8GB RAM 256GB SSD Windows 10 Pro (X4C22AV)  A🔥</t>
  </si>
  <si>
    <t>HP Pavilion 14-dv0521sa 14" Touchscreen Laptop i5-1135G7 8GB 512GB 285F0EA #B</t>
  </si>
  <si>
    <t>Dell Latitude 5300 i7 8th gen, 16GB Ram 256GB SSD, 13.3" Touch Screen Win 10 Pro</t>
  </si>
  <si>
    <t>DELL XPS 13 9370 i5-8250U Quad Core 8Gb 1Tb SSD UHD Touchscreen Win 10 pro</t>
  </si>
  <si>
    <t>Dell Inspiron 3585 Ryzen 5 2500u White Laptop 8gb Mem 240gb SSD 15.6"  CIYL-748</t>
  </si>
  <si>
    <t>DELL Inspiron 14 5425 Ryzen 5 5625U 4.3ghz, 16GB Ram, 512GB SSD, 14" FHD, Win 11</t>
  </si>
  <si>
    <t>Dell Latitude 15 5500 i5-8365U 4 Core 8Gb 256Gb SSD WWAN Windows 10 Pro 64</t>
  </si>
  <si>
    <t xml:space="preserve">ASUS ZenBook UX325 Laptop Core i7-1165G7 16GB RAM 1TB SSD 13.3" OLED FHD Win 10 </t>
  </si>
  <si>
    <t>Dell XPS 12-9250 Tablet/Laptop m5-6Y57,8GB,25&lt;wbr/&gt;6GB SSD,12/5" 4K Touch Screen,UK KB</t>
  </si>
  <si>
    <t>Lenovo ThinkPad W530 15.6" Laptop Intel Core i7-3630QM 16GB 512GB SSD Win10 Pro</t>
  </si>
  <si>
    <t>Lenovo ThinkBook 15 Laptop Core i3-1005G1 8GB 256GB SSD 15.6" FHD IPS Win 10 Pro</t>
  </si>
  <si>
    <t>Lenovo IdeaPad S145-14IWL 14" Laptop Core i5 8th Gen 512GB SSD 8GB RAM C Grade</t>
  </si>
  <si>
    <t>Acer Swift 3 SF314-43 14" FHD Laptop AMD Ryzen 7 5700U 8GB RAM 1TB SSD</t>
  </si>
  <si>
    <t>Lenovo IdeaPad 5 Laptop Ryzen 3 4300U 8Gb 128Gb SSD 14" Full HD W10 S 81YM0011UK</t>
  </si>
  <si>
    <t xml:space="preserve">WINDOWS11 LAPTOP LENOVO 4TH GEN CORE I5 T440P 14" 8GB RAM 120GB SSD WEBCAM </t>
  </si>
  <si>
    <t>Lenovo ThinkPad X1 Carbon G6 Core I5 8GB RAM 2TB SSD Windows 10 Pro HD Laptop</t>
  </si>
  <si>
    <t>Lenovo Yoga 6 13.3" Laptop, AMD Ryzen 5, 8GB RAM, 256GB SSD, Blue (82ND00B1UK)</t>
  </si>
  <si>
    <t>Dell Precision 3510 i7-6820HQ 4-core 16Gb 500Gb SSD Radeon R9 M360 2Gb</t>
  </si>
  <si>
    <t>Dell Vostro 15 3515 15.6" Full HD Laptop AMD Ryzen 3 3250U 8GB 256GB SSD 81JDD</t>
  </si>
  <si>
    <t>Dell Precision 5510 Good Laptop i7 6820HQ 32GB RAM 512GB SSD Windows 10 UK</t>
  </si>
  <si>
    <t>HP ProBook 430 G8 Laptop i5-1135G7 8GB RAM 256GB SSD 13.3" FHD IPS Window 10 Pro</t>
  </si>
  <si>
    <t>Dell Latitude 5501 Intel i5 9400H 2.50Ghz 16GB RAM 256GB SSD 15.6" Win 11</t>
  </si>
  <si>
    <t>HP 14S-DQ2514NA 14" FHD Laptop Intel i7-1165G7 8GB / 512GB SSD Windows 10</t>
  </si>
  <si>
    <t>Samsung Galaxy Book Pro 15.6" Laptop, Intel Core i7, 16GB RAM, 512GB SSD, Mystic</t>
  </si>
  <si>
    <t>Dell Latitude 5320 Laptop Core i5-1135G7 8GB 256GB SSD 13.3" FHD IPS Win 10 Pro</t>
  </si>
  <si>
    <t>Dell Precision 7510 i5-6300HQ 4 core 16Gb 256Gb SSD and 500Gb HDD R9 M375X 2GB</t>
  </si>
  <si>
    <t>HP EliteBook 840 G6 Laptop i5-8265U 14" Full HD Screen 8GB RAM 256GB SSD Win10 C</t>
  </si>
  <si>
    <t>Dell XPS 13 Plus 9320 4.7 i7 1260P, 2TB, 32GB Ram, 13.4" 3.5K OLED , Win 11 PRO</t>
  </si>
  <si>
    <t>Asus X415JA-EK006T 14" Laptop Intel Core I5 8GB RAM 256GB SSD Silver</t>
  </si>
  <si>
    <t>Dell Latitude 5420 Laptop 14" Full HD 11th Gen i5 512GB SSD 16GB DDR4 Warranty</t>
  </si>
  <si>
    <t xml:space="preserve">HP Pavilion 15-cw1500sa AMD Ryzen 3 3300U 4GB RAM 256GB SSD Touch 15.6'' Laptop </t>
  </si>
  <si>
    <t>HP 14s-dq2507na Laptop 14" FHD Intel i3-1115G4 4GB RAM 128GB SSD W11 3Z7U1EA #A</t>
  </si>
  <si>
    <t>Lenovo ThinkPad P1 Gen 4 Laptop: RTX A3000, i7 11th Gen, 32GB RAM, 1TB, Warranty</t>
  </si>
  <si>
    <t>Dell Inspiron 13 5310 13.3" Full HD+ Laptop Core i5 8GB RAM 256GB SSD C Grade</t>
  </si>
  <si>
    <t>HP 15-dw3026ni Laptop Intel Core i7-1165G7 8GB RAM 1TB HDD 15.6" Full HD Win 11</t>
  </si>
  <si>
    <t>Asus ZenBook UM425IA-AM005T FHD Laptop AMD Ryzen 5 4500U 8GB 512GB Windows 11 B</t>
  </si>
  <si>
    <t>HP 840 G2 - EliteBook - i5 (5TH) 2.90GHZ  - 8GB Ram  - 240GB SSD -- CL44</t>
  </si>
  <si>
    <t>Dell Latitude 15.6" Laptop 3580 i5 7th Gen 8GB 128GB Windows 10 1 Year Warranty*</t>
  </si>
  <si>
    <t>HP ProBook 650 G4 Laptop, 15.6" Intel Core i5, 8GB RAM, 256GB SSD, Windows 10</t>
  </si>
  <si>
    <t>Dell Latitude 3520 15" Laptop Full HD i7-1165G7 8GB 256GB Win 10 Pro 0DGMH #B</t>
  </si>
  <si>
    <t>DELL G5 15 5500 15.6" Gaming Laptop Intel i5 8GB RAM 512GB SSD GTX 1660Ti Black</t>
  </si>
  <si>
    <t>Dell XPS 17 9720 5.0 i9 12900HK,64GB ,1TB SSD,17" UHD 4K ,6GB RTX 3060 3YR WRNTY</t>
  </si>
  <si>
    <t>HP EliteBook 840 G3 i5 (2.4GHz) 8GB RAM 512GB SSD Windows 10 Pro 14" UK Laptop</t>
  </si>
  <si>
    <t>Dell Latitude E7270 12.5" Core i5 16GB 512GB SSD Cam HDMI WiFi W10 Pro Laptop</t>
  </si>
  <si>
    <t>Lenovo ThinkPad Yoga 260 Windows 10 12.5" Laptop Intel i5 6200U 4GB 120GB SSD</t>
  </si>
  <si>
    <t>Asus X415JA-EK080T 14" Laptop Core i7 8GB RAM 521GB SSD Silver</t>
  </si>
  <si>
    <t>Lenovo IdeaPad 3 17ITL6 17" Laptop Full HD i5-1135G7 8GB 256GB SSD 82H9008HUK #A</t>
  </si>
  <si>
    <t>Dell 14 5490 Intel® i5-10210U 12GB 256GB M.2 NVMe 14.0-inch FHD WIFI WEB CAMERA</t>
  </si>
  <si>
    <t>Dell Latitude 5285 2in1 Intel i7 7600u 2.80Ghz 16GB 512GB 12.3" FHD Touch Win 11</t>
  </si>
  <si>
    <t>HP 15-db0521sa  AMD A6-9225 4GB RAM 1TB HDD 15.6" Laptop/# (Excellent )</t>
  </si>
  <si>
    <t>Lenovo Flex 5 14" Touch FHD Intel i7-1065G7 512GB SSD 8GB RAM Laptop - Win 10</t>
  </si>
  <si>
    <t>ASUS x360 2 in 1 Convertible Laptop Tablet Intel i5 256GB SSD 13.3" Touch</t>
  </si>
  <si>
    <t>Dell Latitude E5530 Windows 10 15.6" Laptop Intel i5 3340M 2.7GHz 4GB 500GB HDD</t>
  </si>
  <si>
    <t>HP Pro Book 430 G3, 13.3", i5 Gen 6, 8GB, 128GB SSD, Win 10 Pro, 1 Year Warranty</t>
  </si>
  <si>
    <t>Lenovo Thinkpad X240 12.5" FHD Touch i5 8GB RAM 256GB Laptop Office 12M Warranty</t>
  </si>
  <si>
    <t>Lenovo ThinkPad T460S Windows 10 14" Laptop Intel i5 6300U 2.4GHz 8GB 256GB SSD</t>
  </si>
  <si>
    <t>HP Pro X2 612 G2 i5-7th Gen 4GB RAM 256GB SSD Windows 10 Pro (L5H57EA#ABU)  A 🔥</t>
  </si>
  <si>
    <t>Lenovo Yoga 730 Laptop i5-8250U 8GB RAM 256GB SSD 13.3" FHD IPS Touch Win 10 HM</t>
  </si>
  <si>
    <t>Microsoft Surface Pro 7 12.3" i5-1035G4 256GB 8GB Touchscreen Laptop Tablet B</t>
  </si>
  <si>
    <t>FAST Lenovo ThinkPad T430 Core i5 8GB 240GB SSD Win 10 Laptop Notebook Webcam</t>
  </si>
  <si>
    <t>Dell Latitude Laptop E5480 i5 7th Gen 8GB 256GBWindows 10 Pro 1 Year Warranty</t>
  </si>
  <si>
    <t>HP Envy x360 15-ee0503na 15.6" Touchscreen Laptop AMD Ryzen 5 4500U 8GB 512GB</t>
  </si>
  <si>
    <t>Lenovo ThinkPad X280 Intel Core I5-8250U 8GB RAM 2TB SSD Windows 11 Laptop</t>
  </si>
  <si>
    <t>Lenovo Slim 7i 13" Laptop Core i5 8GB RAM 256GB SSD QHD Moon White C Grade</t>
  </si>
  <si>
    <t>Dell Latitude 3380 Windows 11 13.3" Laptop Intel i3 6006U 2GHz 4GB 128GB SSD</t>
  </si>
  <si>
    <t>Lenovo ThinkPad Yoga 11E 2-in-1 touch Laptop Celeron N4120 4GB 128GB SSD W10{P</t>
  </si>
  <si>
    <t>HP ZBook Studio G8 Laptop: 11th Gen Core i9 32GB RAM, 512GB, RTX A2000, Warranty</t>
  </si>
  <si>
    <t>HP Elite Dragonfly G2 2in1 Touch Laptop: 11th Gen i7, 16GB RAM, 512GB, Warranty</t>
  </si>
  <si>
    <t>Dell Inspiron 14 7490 Laptop i7-10510U QUAD Core 16Gb 512Gb SSD MX250 2Gb FHD</t>
  </si>
  <si>
    <t>Huawei Laptop MateBook D 15.6" FHD AMD Ryzen 5 3500U 8GB RAM 256GB SSD W11 #B</t>
  </si>
  <si>
    <t>ASUS VivoBook E210MA-GJ001T 11.6" Laptop Celeron N4020 4GB RAM 64GB Blue #A</t>
  </si>
  <si>
    <t>HP 250 G6 Notebook - 8GB Ram - I5-7200U - 240GB m.2 SSD - Win 11 - CL80</t>
  </si>
  <si>
    <t>HP 14" Chromebook - Intel Pentium Silver 4GB RAM  64GB eMMC 14a-na0509sa</t>
  </si>
  <si>
    <t xml:space="preserve">Dell Inspiron 13 5301 11th Gen i5-1135G7 Quad Core 8Gb 256Gb SSD FHD Win10 Pro </t>
  </si>
  <si>
    <t>Acer Swift 5 SF514-55GT 14" Laptop Core i5 8GB RAM 512GB SSD Mist Green</t>
  </si>
  <si>
    <t>Dell Latitude 15 5500 i5-8365U QUAD Core 8Gb 256Gb SSD Windows 10 Pro 64</t>
  </si>
  <si>
    <t>GeoBook 140 Intel Celeron N3450 4Gb 64Gb 14.1" Blue W10S GE138</t>
  </si>
  <si>
    <t>Panasonic Toughbook CF-53 MK2,14", Core i5 3320M, 8GB, 256 SSD- 1 Year Warrantee</t>
  </si>
  <si>
    <t>LENOVO Legion 5 15.6" Gaming Laptop - AMD Ryzen 7 Refurbished Grade A</t>
  </si>
  <si>
    <t>HP 15s-fq4553na 15.6" Full HD Laptop i5-1155G7 4GB 256GB Windows 11 54C84EA #A</t>
  </si>
  <si>
    <t>Lenovo IdeaPAd 3i 15.6" Laptop Core i3 4GB RAM 128GB SSD Full HD Abyss Blue</t>
  </si>
  <si>
    <t>Dell Latitude 7300 Intel i5 8365u 1.60Ghz 8GB RAM 256GB SSD 13.3" Win 11</t>
  </si>
  <si>
    <t>Asus ROG Strix SCAR III G731GV 17.3" i7 RTX 2060 1TB 16GB Windows Gaming Laptop</t>
  </si>
  <si>
    <t>Dell Inspiron 15-5570 Laptop i7-8550U,16GB,&lt;wbr/&gt;1TB SSD,ATI GFX,15.6" FHD SILVER *B*</t>
  </si>
  <si>
    <t>Panasonic Toughbook Cf 19  i5 Win 10  Pro Rugged Laptop 16 Gb Ram 256 Gb Ssd 3G</t>
  </si>
  <si>
    <t>HP PROBOOK 450 G6 8TH GEN CORE I5-8265U 8GB RAM 256GB 15.6" WINDOWS 11 LAPTOP.</t>
  </si>
  <si>
    <t>DELL LATITUDE 3400 Core i5 8365U 8GB 256GB SSD 14" Windows 10 Pro Laptop</t>
  </si>
  <si>
    <t>ASUS Multi-Touch Windows10 Laptop Fast SSD WiFi HDMI Light Powerful &amp; Portable</t>
  </si>
  <si>
    <t>Lenovo ThinkPad Windows10 Laptop i5 Gaming / Office Use 8Gb Ram 256Gb SSD 12.5"</t>
  </si>
  <si>
    <t>Microsoft Surface Pro 7 12.3" PixelSense Core i7 16GB RAM 256GB SSD Platinum</t>
  </si>
  <si>
    <t>HP Envy x360 Convert 13.3" 2 in 1 Laptop Intel Core i5 1135G7 8GB 256GB SSD</t>
  </si>
  <si>
    <t>HP Envy 13-ba1565sa 13.3" Laptop Intel Core i7 1165G7 16GB 1TB SSD GeForce MX450</t>
  </si>
  <si>
    <t>HP Pavilion x360 14-dw0520sa i7-1065G7 16GB RAM 512GB SSD 14'' Touch F.P Laptop#</t>
  </si>
  <si>
    <t>Dell Precision 7560 Mobile Workstation Xeon W 11855M 4GB Nvidia T1200 256GB SSD</t>
  </si>
  <si>
    <t>Cheap Windows 11 Laptop Dell Latitude 15.6" 3580 i5 7th Gen 8GB 1 Year Warranty*</t>
  </si>
  <si>
    <t>HP Pavilion 14-dv0009na 14" Laptop Core i5 Touch Full HD 256GB SSD Win 10 11</t>
  </si>
  <si>
    <t>HP Pro X2 612 G2 i5-7th Gen 4GB RAM 256GB SSD Windows 10 Pro (4BW80US#ABA) A+🔥</t>
  </si>
  <si>
    <t>HP EliteBook 850 G3 15.6” Touchscreen Intel Core i5 Gen 6, 8gb, 256 SSD</t>
  </si>
  <si>
    <t>Microsoft Surface Book 2 13.5" i7 1.9GHz, 1TB SSD, 16GB RAM - Silver (Français)</t>
  </si>
  <si>
    <t>Toshiba Gaming Laptop R50 15.6" Intel Core i3 1.70Ghz, Webcam, 8GB, Windows 10</t>
  </si>
  <si>
    <t>Dell Alienware X15 R1 i9-11900H 8 Core 32Gb 512Gb SSD RTX 3070 8Gb FHD 165Hz</t>
  </si>
  <si>
    <t>Dell Latitude 5420 14" Laptop: Core 11th Gen i5, 16GB RAM, Intel Xe, Warranty</t>
  </si>
  <si>
    <t>Microsoft 12.3" Surface Pro 7 QWV-00003 - Intel Core i5, 16GB, 256GB - Platinum</t>
  </si>
  <si>
    <t xml:space="preserve">WINDOWS 11 LAPTOP LENOVO 4TH GEN CORE I5 T440P 14" 8GB RAM 240GB SSD WEBCAM </t>
  </si>
  <si>
    <t>ASUS E510 15.6" Laptop Intel Celeron 8GB RAM 64GB eMMC Blue</t>
  </si>
  <si>
    <t>HP Stream Notebook PC 13 - Blue - Intel Celeron - 2GB Ram - 30GB eMMC - CL81</t>
  </si>
  <si>
    <t>Asus X415EA-EB384T 14" Laptop Intel Core i7 8GB RAM 512GB SSD Silver</t>
  </si>
  <si>
    <t>Lenovo Yoga 6 13 AMD Ryzen 5 5500U 8Gb 256Gb SSD 13.3" FHD Windows 11 82UD005SUK</t>
  </si>
  <si>
    <t xml:space="preserve">Panasonic Toughbook CF-19,i5 Rugged Laptop &amp; Tablet Windows 7 Pro Diagnostics </t>
  </si>
  <si>
    <t>HP ZBook Studio G8 15.6" Laptop: 11th Gen i9 Quadro, 32GB RAM 512GB SSD Warranty</t>
  </si>
  <si>
    <t>HP EliteBook 845 G8 Laptop: 1TB SSD, Ryzen 7 5850U, 16GB RAM, 14" FHD Warranty</t>
  </si>
  <si>
    <t>Lenovo ThinkPad T14 Intel i7-1165G7 16Gb 512Gb SSD 14" Full HD W10P 20W000BAUK</t>
  </si>
  <si>
    <t>DELL Inspiron 14 5425 Ryzen 5 5625U 4.3ghz, 32GB Ram, 1TB SSD, 14" FHD, Win 11</t>
  </si>
  <si>
    <t>HP Laptop 15-dw i5-1135G7 8/512GB SSD 15.6" FHD FINGERPRINT MX350 2GB Win 10/11</t>
  </si>
  <si>
    <t>HP Pavilion Laptop 14" Full HD IPS Intel Quad Core i5 8GB RAM 512GB SSD Windows</t>
  </si>
  <si>
    <t>Dell Latitude E7450 Intel i5 5300u 2.3G 8GB RAM 256GB SSD HD 14" Win 10</t>
  </si>
  <si>
    <t>Acer TravelMate X5 TMX514-51-7411 Core i7 8565U 8GB RAM 512GB 14" W10 Pro Laptop</t>
  </si>
  <si>
    <t>Microsoft Surface Go2 Tablet Pentium Gold 4425Y 4GB 64GB SSD 10.5" FHD+ W10 Pro</t>
  </si>
  <si>
    <t>Lenovo ThinkPad X1 Yoga 20SA000FUS, Intel Core i5, 8GB RAM, 256GB SSD, Black</t>
  </si>
  <si>
    <t>Acer Swift 1 SF114-34 14" Laptop Intel Pentium Silver N6000 4GB 128GB SSD Pink</t>
  </si>
  <si>
    <t>Lenovo IdeaPad 5 Laptop Ryzen 5 4500U 8Gb 256Gb SSD 14" Full HD W10 S 81YM000YUK</t>
  </si>
  <si>
    <t>Lenovo 82FG00X3UK IdeaPad 5 15.6" Laptop i5 256GB SSD 8GB RAM Graphite C Grade</t>
  </si>
  <si>
    <t>HP Elitebook 850 G2 15.6" Powerful Notebook i5 5th Gen 8GB 128GB SSD</t>
  </si>
  <si>
    <t>Dell Precision 3510 i7-6820HQ QUAD 16Gb 256Gb SSD Radeon R9 M360 2Gb Win10 Pro</t>
  </si>
  <si>
    <t>HP ProBook 250 G8 Laptop 15.6" FHD Intel i5-1035G1 8GB RAM 256GB SSD 2E9H9EA #D</t>
  </si>
  <si>
    <t>DELL Inspiron 15 3593 Laptop 15.6" FHD Intel i5-1035G1 8GB RAM 256GB SSD 2CT9M D</t>
  </si>
  <si>
    <t>Dell Precision 7510 i7-6920HQ 4 core 16Gb 256Gb SSD and 500Gb HDD M1000M 2GB</t>
  </si>
  <si>
    <t>HP 14s-dq2510na 14" Laptop Intel Core i3  1115G4 11th Gen 4GB RAM 256GB SSD</t>
  </si>
  <si>
    <t>Lenovo ThinkPad L570 Laptop, 15.6" Intel Core i5, 8GB RAM, 256GB SSD, Windows 10</t>
  </si>
  <si>
    <t>Dell Latitude 3350 Windows 10 13.3" Laptop Intel i3 5005U 2GHz 4GB 60GB SSD</t>
  </si>
  <si>
    <t>Dell Latitude 3520 15.6" Laptop Intel Core i5 1135G7 11th Gen 8GB 1TB HDD W10P</t>
  </si>
  <si>
    <t>Microsoft Surface Laptop Go 12.4" Intel Core i5-1035G1 8GB 128GB SSD - THH-00004</t>
  </si>
  <si>
    <t>Lenovo ThinkPad E15 Gen 2 Laptop, 15.6" FHD Screen, i5-1135G7,16GB RAM,256GB SSD</t>
  </si>
  <si>
    <t>Lenovo B50-70 Laptop Core i3 4005u 1.70Ghz 8gb Memory 240gb SSD 15.6"  CIYL-708</t>
  </si>
  <si>
    <t>Microsoft Surface Pro 6 1796 | i5-8350U | 256GB SSD | 8GB RAM | Good Condition</t>
  </si>
  <si>
    <t>DELL Inspiron 14 7425 Ryzen 7 5825U 2-in-1 4.5ghz, 32GB, 1TB ,Touch 14", Win 11</t>
  </si>
  <si>
    <t>Lenovo IdeaPad 3i 15.6" Laptop Intel Celeron N4020 4GB 128GB SSD Blue</t>
  </si>
  <si>
    <t>Asus ROG Zephyrus Duo GX550LWS-HF055&lt;wbr/&gt;T 15.6" Laptop Core i7 32GB RAM 1TB SSD</t>
  </si>
  <si>
    <t>Dell Inspiron 15.6" FHD Laptop Ryzen 5 8GB DDR4 256GB SSD Radeon Vega 8 Graphics</t>
  </si>
  <si>
    <t>HP Pro X2 612 Tablet G2 i5-7th Gen 8GB RAM 256GB SSD Win 11 Pro 1DT66AW#ABU  A</t>
  </si>
  <si>
    <t>HP 14-DV0632SA 14" FHD Touchscreen Laptop Intel Pentium 4Gb /128Gb Windows 11 S</t>
  </si>
  <si>
    <t>Dell Inspiron 15 3511 Laptop, Intel Core i5, 8GB RAM, 512GB SSD, 15.6", Platinum</t>
  </si>
  <si>
    <t>Fast Cheap Gaming Laptop hp Intel i5 7th Gen 256GB SSD 14" 8GB DDR4 Win11 PC</t>
  </si>
  <si>
    <t>Refurbished Acer Aspire 3 A315-56 Core i7-1065G7 8GB 512GB 15.6  A1/NX.HS5EK.00&lt;wbr/&gt;Q</t>
  </si>
  <si>
    <t>Refurbished Acer Aspire 1 A114-33 Intel Celeron N4500 4GB 128GB  A2/NX.A9JEK.00&lt;wbr/&gt;4</t>
  </si>
  <si>
    <t>Surface Pro 2017 (5th Gen) 256gb i7 8GB RAM - Wi-Fi Only - Excellent Condition</t>
  </si>
  <si>
    <t>Fujitsu LIFEBOOK U7411 14 Business Laptop i5-1135G7 8GB 256GB VFY:U7411M15AM&lt;wbr/&gt;GB A</t>
  </si>
  <si>
    <t>HP ProBook 650 G1 -15.6" Laptop Intel Dual  i5 4210M 3.2GHz 8GB 240GB SSD CL46</t>
  </si>
  <si>
    <t>HP Pavilion 14-dv1629sa 14" Laptop i5-1155G7 8GB RAM 512GB Windows 11 519L4EA</t>
  </si>
  <si>
    <t>Dell Precision 5540 Laptop: 9th Gen Core i9, T2000, 16GB RAM 512GB SSD, Warranty</t>
  </si>
  <si>
    <t>Hp Envy X360 13-ay0504 13" Fhd Touch Ryzen 5 4500u 2.38Ghz 256gb 8GB Win11 (3)</t>
  </si>
  <si>
    <t>Dell Inspiron 11-3168 2-in-1 Pentium N3710,4GB,500G&lt;wbr/&gt;B,US,11.6"HD Touch WHITE*B*</t>
  </si>
  <si>
    <t>HP ProBook 430 G3 Notebook 13.3", Intel i5-6200U 8GB 256GB SSD HD Graphics 520</t>
  </si>
  <si>
    <t>DELL XPS 13 9310 Laptop Intel Core i7-1185G7 16GB 1TB SSD 13.4" 4K UHD Touch W11</t>
  </si>
  <si>
    <t>HP Pro X2 612 G2 i5-7th Gen 4GB RAM 256GB SSD Windows 10 Pro (L5H57EA#ABU) A+🔥</t>
  </si>
  <si>
    <t>HP Elitebook 840 G1 14" i5 8GB RAM 256GB SSD Laptop Office 12M Warranty</t>
  </si>
  <si>
    <t>HP PROBOOK 450 G6 8TH GEN CORE I5-8265U 16GB RAM 512GB 15.6" WINDOWS 11 LAPTOP.</t>
  </si>
  <si>
    <t>Acer Nitro 5 AN515-55 15" Gaming Laptop i7-10750H 8GB 1TB RTX 2060 NH.Q7QEK.002</t>
  </si>
  <si>
    <t>HP Laptop EliteBook 845 G8 14" FHD Ryzen™ 5 PRO 16GB RAM 256GB SSD</t>
  </si>
  <si>
    <t>HP Laptop EliteBook 840 G7 14": 16GB RAM, 10th Gen Core i5, 256GB, Warranty</t>
  </si>
  <si>
    <t>60 x Coloured Dell Latitude 12" Laptop Intel Core i3 4th Gen 8GB 128GB Win 10</t>
  </si>
  <si>
    <t>Dell Precision 15 7540 i7-9850H 6 Core 32Gb 512Gb SSD FHD T1000 4Gb Win10 Pro</t>
  </si>
  <si>
    <t>Cheap Hp Chromebook 11.6 " N3450 G6 EE 4GB RAM, 32GB SSD Black &amp; Yellow B Grade</t>
  </si>
  <si>
    <t>Dell Alienware X17 R1 i7-11800H 8 Core 32Gb 1Tb SSD RTX 3070 8Gb FHD 165Hz</t>
  </si>
  <si>
    <t>HP Envy x360 15-eu0501sa 15.6" Laptop AMD Ryzen 7 5700U Windows 10 16GB 512GB</t>
  </si>
  <si>
    <t>ACER Predator Triton 300 SE PT314-51s 14" FHD i7-11370H 16GB RAM 1TB SSD RTX3060</t>
  </si>
  <si>
    <t>Dell Precision 5510 i7 6820HQ 2.70Ghz 16GB RAM 512GB SSD FHD Quadro 2GB Win 10</t>
  </si>
  <si>
    <t>HP Stream 13-C100NA 13.3" Laptop, Intel Celeron ,2GB RAM, 32GB, Blue - Excellent</t>
  </si>
  <si>
    <t>Asus ZenBook Flip 13 13.3" Touchscreen Laptop Core i7 16GB RAM 1TB SSD</t>
  </si>
  <si>
    <t>Dell Latitude E6430 14" Core i5 8GB RAM 256GB SSD Win 10 Office</t>
  </si>
  <si>
    <t>ASUS ZenBook 3 Deluxe UX490UAR-BE087&lt;wbr/&gt;T 14" Laptop i7 16GB RAM 512GB SSD Blue</t>
  </si>
  <si>
    <t>Fast Lenovo T430 14" i5-3230M 2.6Ghz 8GB 256GB SSD Office 2019 Windows 10 Laptop</t>
  </si>
  <si>
    <t xml:space="preserve">HP Pavilion 14-dv0603na 14" Touchscreen Laptop Pentium Gold 7505 128GB SSD </t>
  </si>
  <si>
    <t>Alienware m17 R3 Laptop i9-10980HK,32G&lt;wbr/&gt;B,2 x 1TB SSD ,RTX 2080,17"FHD 300Hz-Light</t>
  </si>
  <si>
    <t>Asus VivoBook 15.6" Full HD Laptop i5-1035G1 8GB RAM 256GB SSD X512JA-EJ568T</t>
  </si>
  <si>
    <t>HP EliteBook 840 G8 Business Laptop i5-1145G7 16GB RAM 256GB SSD 3yr Warranty</t>
  </si>
  <si>
    <t>Dell Alienware X15 R1 i9-11900H 8 Core 32Gb 1Tb SSD RTX 3070 8Gb FHD 360Hz</t>
  </si>
  <si>
    <t>Dynabook Satellite Pro C40-H-109 14" Laptop i3-1006G1 8GB RAM 256GB SSD 7626238</t>
  </si>
  <si>
    <t>ASUS Laptop Vivobook S14 14" FHD Intel Core i5-10210U 8GB RAM 256GB SSD #A</t>
  </si>
  <si>
    <t>HP 17-cn0504sa 17.3" Laptop Intel Core i5 1135G7 8GB RAM 512GB SSD Black</t>
  </si>
  <si>
    <t>ASUS ROG Strix G15 15.6" FHD Gaming Laptop 15.6" i7-10870H 16GB 512GB RTX 2060 A</t>
  </si>
  <si>
    <t>Dell Inspiron 5559 i7-6500U 8GB 256GB SSD AMD Graphics POWERFUL BUSINESS LAPTOP</t>
  </si>
  <si>
    <t>HP Stream 11-ak0014na Intel Celeron N4030 2GB RAM 32GB eMMC 11.6" Laptop Blue</t>
  </si>
  <si>
    <t>HP Chromebook x360 14c-cc0003na i3-1115G4 8Gb 128Gb SSD 14" FHD touch Chrome</t>
  </si>
  <si>
    <t>Dell XPS 13 Plus 9320 4.7 i7 1260P, 1TB, 32GB Ram,13.4" 3.5K OLED ,PRO,3YR WRNTY</t>
  </si>
  <si>
    <t>Asus Cloudbook E210MA-GJ002TS Celeron N4020  64GB eMMC 11.6 ('"7'' Key missing)</t>
  </si>
  <si>
    <t>Dell Latitude 15 5500 i7-8665U QUAD Core 16Gb 256Gb SSD WWAN Windows 10 Pro 64</t>
  </si>
  <si>
    <t>Dell Precision 5530 Laptop i7-8850H,8GB,5&lt;wbr/&gt;12GB SSD,Quadro P1000,US,15.6"&lt;wbr/&gt;FHD US*B*</t>
  </si>
  <si>
    <t>HP Envy 13-BA0512NA 13.3" Touch Intel i7-10510U 1TB SSD 16GB RAM B&amp;O - Win 10</t>
  </si>
  <si>
    <t>Dell Precision 5530 Laptop i7-8850H,16GB,&lt;wbr/&gt;512GB SSD,Quadro P2000,15.6" FHD *B*</t>
  </si>
  <si>
    <t>Microsoft Surface Pro 8 Windows 10 13" Laptop Intel i5 1135G7 8GB 128GB SSD</t>
  </si>
  <si>
    <t>Dell Latitude E5450 14" i5-5200U 8GB 256GB SSD WiFi HDMI WebCam Windows 10</t>
  </si>
  <si>
    <t>Lenovo ThinkPad P1 Gen 4 Laptop: RTX A3000, 11th Gen i7, 32GB, 1TB SSD, Warranty</t>
  </si>
  <si>
    <t>Lenovo ThinkPad X280 12.5 FHD i5-8350U 8GB 256GB SSD HDMI WiFi WebCam W11 Pro</t>
  </si>
  <si>
    <t>Dell Alienware m15 R6 i7-11800H Eight Core 16Gb 1Tb SSD RTX 3070 8Gb FHD 165Hz</t>
  </si>
  <si>
    <t>Microsoft Surface Laptop Go 12.45" Core i5 8GB RAM 128GB SSD Ice Blue</t>
  </si>
  <si>
    <t>HP 14s-dq1508sa  Core i3-1005G1 8GB Ram 256GB SSD 14" Laptop Silver</t>
  </si>
  <si>
    <t>HP EliteBook 840 G5 14" | i5 8th Gen | 16GB RAM | 240GB SSD | Touchscreen</t>
  </si>
  <si>
    <t>DELL Inspiron 7306 13" Touchscreen Laptop i5-1135G7 8GB RAM 512GB SSD 09M5F #B</t>
  </si>
  <si>
    <t>Dynabook Satellite Pro L50-G-13F 15.6" Laptop i5 8GB 256GB Windows10 Pro 7687630</t>
  </si>
  <si>
    <t>HP Elitebook X360 1030 G2 i5 7300u 2.60Ghz 8GB RAM 128GB SSD FHD Touch Win 11</t>
  </si>
  <si>
    <t>Dell Latitude E7270 12.5" Core i5 8GB 256GB SSD Cam HDMI WiFi W10 Pro Laptop</t>
  </si>
  <si>
    <t>GEO Book3X intel Pentium® N4200 64GB eMMC 13.3" Laptop silver/ (Excellent)</t>
  </si>
  <si>
    <t>Lenovo IdeaPad 3 15.6" Laptop Intel Core i7 8GB RAM 512GB SSD Windows 11 | #A</t>
  </si>
  <si>
    <t>HP Envy x360 15-eu0501sa 15.6" Laptop AMD Ryzen 7 5700U 16GB 512GB Windows 10</t>
  </si>
  <si>
    <t>Lenovo ThinkPad X260 Core i7-6500U 8GB 256GB SSD HDMI W10 Pro</t>
  </si>
  <si>
    <t xml:space="preserve">Lenovo ThinkPad X240 Laptop Core i5 4th Gen 8GB 240GB SSD Webcam Win 10 </t>
  </si>
  <si>
    <t>HP ENVY x360 15-eu0500na Ryzen 5 5500U 8Gb 512Gb SSD 15.6" Full HD Windows 10</t>
  </si>
  <si>
    <t>DELL Inspiron 15 3511 15.6" FHD Laptop i5-1035G1 8GB 256GB SSD Silver T7FR6 | #A</t>
  </si>
  <si>
    <t>Dell Windows11 NVIDIA Laptop Gaming GFX FAST SSD DVD HDMI WiFi 14" HD Display</t>
  </si>
  <si>
    <t>Lenovo ThinkPad T14 Laptop 14" Full HD Screen, i5-10210U, 16B RAM, 256GB SSD</t>
  </si>
  <si>
    <t>HP Pav Gaming Laptop 15-dk2046nt i7-11370H 3.3GHz GeForce GTX 1650 8/512GB SSD</t>
  </si>
  <si>
    <t>HP Notebook FHD 15.6" Laptop, Intel i3-7020U 8GB 1TB HDD HD Graphics 620 Win 10</t>
  </si>
  <si>
    <t>Dell Precision 5520 E3-1505M v5 Quad core 16Gb 500Gb SSD M1200 4Gb UHD Touch</t>
  </si>
  <si>
    <t>LENOVO IdeaPad 3i 14" Chromebook - Intel Celeron 4GB RAM 64 GB eMMC Blue</t>
  </si>
  <si>
    <t>Dell Latitude 5480 Intel i5 6300u 2.40Ghz 8GB RAM 256GB SSD 14" HD Win 10</t>
  </si>
  <si>
    <t>Asus ZenBook 13 UX325EA OLED 13.3-inch Laptop Intel Core i7 16GB 1TB Windows 11</t>
  </si>
  <si>
    <t>HP 15s 15s-eq1079na 15.6" Laptop AMD 3020e 4GB RAM 128GB SSD Indigo Blue C Grade</t>
  </si>
  <si>
    <t>Dell Latitude E7270 12.5" Core i5 16GB 256GB SSD Cam HDMI WiFi W10 Pro Laptop</t>
  </si>
  <si>
    <t>HP Envy x360 15-es0008na 2-in-1 i5 8Gb 512Gb SSD 15.6" Touchscreen FHD W10</t>
  </si>
  <si>
    <t>Refurbished DELL LATITUDE 15 3580 INTEL i5 6200U 6TH GEN 8GB 256GB SSD 15.6"</t>
  </si>
  <si>
    <t>HP 14" Laptop Full HD Quad Core Intel i5-10210U 8GB RAM 256GB SSD 14-cf2502sa</t>
  </si>
  <si>
    <t>HP Laptop 14s-dq0068nl 2.6GHz 14.0" HD ANTI-GLARE 4GB RAM 128GB SSD 128GB</t>
  </si>
  <si>
    <t>Dell Latitude E7270 13" Laptop, Intel i5-4310U 8GB RAM 128GB SSD HD Graphics 520</t>
  </si>
  <si>
    <t>HP ZBook FireFly 14" G8 Laptop: 11th Gen Core i5, 16GB RAM, 256GB SSD, Warranty</t>
  </si>
  <si>
    <t>Acer TravelMate Black Laptop Windows11 500Gb HDD HD  15.6" Widescreen DVDRW</t>
  </si>
  <si>
    <t>Asus Chromebook C523NA Laptop Celeron N3350 4GB RAM 64GB eMMC 15.6" FHD ChromeOS</t>
  </si>
  <si>
    <t>Samsung Galaxy Book Go 14" Laptop 4GB RAM 128GB SSD LTE Cellular Full HD Silver</t>
  </si>
  <si>
    <t xml:space="preserve">Microsoft Surface Pro 5 Tablet, Core i5, 4GB RAM, 128GB eMMC, 1796, Windows 10 </t>
  </si>
  <si>
    <t>Dell inspiron 3501 Laptop  Core i3 1115G4 8gb Memory 128gb SSD 15.6" FHD (1099)</t>
  </si>
  <si>
    <t>HP 11a-na0502sa 11.6" Chromebook MediaTek MT8183 4GB RAM 32 GB eMMC</t>
  </si>
  <si>
    <t>Dell Vostro 15.6" Laptop, Intel i5-5200U 8GB 500GB HD Graphics 5500 Win 10 3549</t>
  </si>
  <si>
    <t>Lenovo IdeaPad Flex 5 15IIL05 15.6" FHD Laptop i5-1035G1 8GB 256GB 81X3004MUK</t>
  </si>
  <si>
    <t>HP ProBook 440 G6 14" Business Laptop Intel Core i5-8265U, 8GB RAM, 256GB SSD</t>
  </si>
  <si>
    <t>ASUS Chromebook Flip C434TA-AI0108 14" Laptop, M3-8100Y 8GB 64GB ChromeOS</t>
  </si>
  <si>
    <t>Huawei Matebook D15 2020 15" Laptop i5-10210U 8GB 256GB SSD Grey Windows 11 #A</t>
  </si>
  <si>
    <t>Lenovo Laptop V130-14IKB 14" FHD Intel Core i5-8250U 8GB RAM 256GB SSD W10P #A</t>
  </si>
  <si>
    <t>Lenovo ThinkPad X13 Yoga Gen 2 Laptop i7-1185G7 16Gb 256Gb SSD 13.3" touch W10P</t>
  </si>
  <si>
    <t>LG gram Laptop 17Z90P  17 Inch, Intel Core i7, 16 GB RAM, 512 GB SSD, Windows 11</t>
  </si>
  <si>
    <t>Dell Vostro 15 3515 Laptop 15.6" FHD AMD Ryzen 5 3450U 8GB 256GB Radeon 2V448 #A</t>
  </si>
  <si>
    <t>Lenovo IdeaPad 1 Laptop Ryzen 7 3700U 8Gb 512Gb SSD 15.6" FHD W11S 82R1005HUK</t>
  </si>
  <si>
    <t>HP EliteBook 840 G2 i5 (2.3GHz) 8GB RAM 512GB SSD Windows 10 Pro 14" Laptop</t>
  </si>
  <si>
    <t>Dell Precision 17 5750 i7-10875H 8 Core 32Gb 1Tb SSD FHD+ RTX 3000 Max-Q 6Gb</t>
  </si>
  <si>
    <t>HP EliteBook 840 G2 i5 (2.3GHz) 8GB RAM 256GB SSD Windows 10 Pro 14" Laptop</t>
  </si>
  <si>
    <t>HP Laptop 14s-dq2007na Laptop 14" Full HD GD7505 2GHz 128GB SSD Fingerprint Win</t>
  </si>
  <si>
    <t>HP Stream 11-ak0507sa Intel Celeron N4020 2GB RAM 32GB eMMC 11.6" Laptop Blue</t>
  </si>
  <si>
    <t>Acer Aspire 5 A514-54 Laptop 14" FHD Intel i5-1135G7 8GB 256GB SSD NX.A68EK.004</t>
  </si>
  <si>
    <t>ASUS VivoBook M513UA-L1350T Laptop Ryzen 7 5700U 8Gb 512Gb SSD 15.6" FHD W10</t>
  </si>
  <si>
    <t>MSI Katana GF66 15.6" Gaming Laptop i7-11800H 8GB RAM 512GB SSD RTX 3050 Ti GPU</t>
  </si>
  <si>
    <t>HP ProBook 430 G3 Intel i5 6200u 2.30Ghz 8GB RAM 256GB SSD 13.3" Win 10</t>
  </si>
  <si>
    <t>Dell XPS 17 9720 5.0 i9 12900HK,64GB ,2TB SSD,17" UHD 4K 3840x2400 ,6GB RTX 3060</t>
  </si>
  <si>
    <t>Dell G5 Gaming 5500 i7-10750H 6 Core 16Gb 1Tb SSD RTX 2060 6Gb 144Hz</t>
  </si>
  <si>
    <t>DELL XPS 13 9310 Laptop Intel Core i7-1185G7 16GB RAM 512GB SSD 13.3" FHD Win10</t>
  </si>
  <si>
    <t>Asus VivoBook S435EA 14" i7-1165G7 512GB 8GB Full HD Windows 11 Green Laptop A</t>
  </si>
  <si>
    <t>HP Pro X2 612 G2 Intel i5 7Y54 1.20Ghz 8GB RAM 256GB SSD 12.5" Tablet Win 11</t>
  </si>
  <si>
    <t>Alienware m17 R3 Laptop i7-10750H,16GB&lt;wbr/&gt;,1TB NVME,AMD RX5500M,US,17.&lt;wbr/&gt;3" FHD 144Hz</t>
  </si>
  <si>
    <t>DELL Latitude 5530 Laptop i5-1245U 16GB RAM 256GB SSD 15.6" FHD Windows 10 Pro</t>
  </si>
  <si>
    <t>Dell Precision 5530 i7-8850H 6 Core 32Gb 1Tb SSD FHD Quadro P1000 4Gb</t>
  </si>
  <si>
    <t>MacBook Air 13 A2337 Apple M1 2020 Processor 8gb 256gb SSD 13.3 Retina (1317)</t>
  </si>
  <si>
    <t>Dell G3-3590 Gaming Laptop i7-9750H,16GB,&lt;wbr/&gt;512GB SSD,6GB GTX 1660Ti,15.6" FHD*B*</t>
  </si>
  <si>
    <t>Dell Precision 7520 E3-1545M v5 QUAD 16Gb 128Gb SSD 1Tb HDD M1200 4Gb Win10 Pro</t>
  </si>
  <si>
    <t>Lenovo T480s Core i7-8650U 24GB 512GB SSD 14" FHD Win10 Pro Laptop</t>
  </si>
  <si>
    <t>HP Pavilion x360 14-dw0027na Laptop 14" FHD Touch I5-1035G1 8GB RAM 256GB SSD #B</t>
  </si>
  <si>
    <t>Dell Latitude 7290 Intel i5 7300u 2.60Ghz 8GB RAM 128GB SSD 12.5" HD Win 11</t>
  </si>
  <si>
    <t>HP Omen 15-EK0502NA 15.6" Intel i7-10750H 16GB RAM 1TB SSD RTX 2070 - Win 10/11</t>
  </si>
  <si>
    <t>HP Pro Book 430 G3, 13.3", i5 Gen 6, 8GB, 240GB SSD, Win 10 Pro, 1 Year Warranty</t>
  </si>
  <si>
    <t>Acer TravelMate P449-G3-M-50F3 Laptop 14" FHD i5-8250U 8GB 256GB NX.VH0EK.001 #A</t>
  </si>
  <si>
    <t>DynaBook</t>
  </si>
  <si>
    <t>Dynabook Satellite Pro C50-G-108 Intel Core i3 10110u 8GB 256GB Windows 10 Pro</t>
  </si>
  <si>
    <t>HP Notebook EliteBook Folio 1040 G3 lte i5-Gen6 512GB 8GB Full HD Win 10 Pro</t>
  </si>
  <si>
    <t xml:space="preserve">HP ProBook 430 G4 Laptop, 13.2" Intel Core i5, 8GB RAM, 256GB SSD, Windows 10 </t>
  </si>
  <si>
    <t>HP Elite X2 1012 G2 Tablet und Notebook 2 in 1 Touch refurbished B Ware</t>
  </si>
  <si>
    <t>HP Elitebook 2570P</t>
  </si>
  <si>
    <t>Pc Computer Notebook ricondizionato 14" Lenovo T440S core i5 8gb ram 256gb ssd</t>
  </si>
  <si>
    <t>Dell Refurbished Laptop Latitude 13 5310 13" Intel i3 4GB 128GB SSD 1Y-WTY</t>
  </si>
  <si>
    <t>Smartbook A-8375M AMD Athlon 2000+ 1,60GHz 256MB RAM Notebook 15 Zoll</t>
  </si>
  <si>
    <t>Dell Latitude 5590 Notebook 15,6" FHD IPS i5-8350U (4x1,7GHz) 8GB DDR4 256GB M.2</t>
  </si>
  <si>
    <t>Lenovo T470S WWAN - i5-7300/ 16 GB/ 512 GB SSD/ 14" FHD/ Win10-11 PRO</t>
  </si>
  <si>
    <t>Dell Latitude 5490 14" (256GB SSD, Intel Core i5-8350U, 1.70GHz, 8GB) Laptop...</t>
  </si>
  <si>
    <t>Getac S410 G1 Rugged Laptop 13,3" FullHD i5-6300U 8GB RAM 500GB SSD</t>
  </si>
  <si>
    <t>HP EliteBook 830 G7 13 FHD LCD Intel i7-10610U 8GB 512GB WIFI/BT W10P</t>
  </si>
  <si>
    <t>HP Elitebook 840 G5 Notebook i5-8350U 16GB, 1TB NVMe M.2 SSD  win 10 pro full hd</t>
  </si>
  <si>
    <t>HP EliteBook x360 1030 G3 Convertible 13,3" IPS FHD-Touch i5-8350U 16GB 512GB</t>
  </si>
  <si>
    <t>Dell Latitude 5470 14-Inch (Intel 6th Gen i5-6300U, 8GB DDR4, 256GB SSD, Webcam</t>
  </si>
  <si>
    <t>HP Elitebook 840 G5 Notebook i5-8350U 256gb full hd windows 10 pro refurbished</t>
  </si>
  <si>
    <t>PC Laptop Dell Latitude 7280 SSD 256GB 8 GB Intel Intel i7-6600U Win10 PORTATILE</t>
  </si>
  <si>
    <t>Dell Latitude 15.6"  5530, Intel 12th Gen i5, 256GB NVMe, 16GB DDR4, Win 11 Pro</t>
  </si>
  <si>
    <t>FAST CHEAP DELL/HP/LENOVO CORE i3/i5 LAPTOP 8GB RAM 500GB HDD Wi-Fi WINDOWS 10</t>
  </si>
  <si>
    <t>Dell Latitude 7480 14" AG Intel Core i7 6600, Customize and Save on Bundle Offer</t>
  </si>
  <si>
    <t>Pc Computer Portatile Notebook 13" Dell 3380 core i3 4gb ram 256gb ssd</t>
  </si>
  <si>
    <t>Dell Pc Notebook , Display 14", Intel i5,Ram 8Gb, SSD 256Gb - Ricondizionato</t>
  </si>
  <si>
    <t>Lenovo ThinkPad T460s, 14" (Intel i7 6600U, 256GB SSD, 12GB DDR4, BT, HDMI, MDP)</t>
  </si>
  <si>
    <t>Dell Latitude 7290 12.5" AG Display (Intel Core i5 8350U, 256GB SSD, 16GB PC4)</t>
  </si>
  <si>
    <t>HP PROBOOK X360 440 G1 14" TOUCH FULL HD I3-8130U 8GB 250GB SSD WIN 11</t>
  </si>
  <si>
    <t>PC RICONDIZIONATO USATO NOTEBOOK PORTATILE ECONOMICO OTTIMO WINDOWS 10</t>
  </si>
  <si>
    <t>Dell Latitude 14 RUGGED 5430 i7-1185G7 512GB 16GB TOUCH CMRA W11P BT 3YR WTY</t>
  </si>
  <si>
    <t>Computer Portatile Usato Notebook Rigenerato Ricondizionato GENERICO 320GB 4GB</t>
  </si>
  <si>
    <t>NOTEBOOK PC PORTATILE HP 830 G5 I5 8350U 1.70GHZ RAM 8GB SSD 256GB WIN 10 PROF</t>
  </si>
  <si>
    <t>Dell Latitude E5470 i7 2.70GHz 16GB 512GB SSD 10P - Excellent</t>
  </si>
  <si>
    <t>Pc Computer portatile Notebook 14" Lenovo T440S core i5 8gb ram 256gb ssd</t>
  </si>
  <si>
    <t>HP Elitebook 840 G5 Notebook i5-8350U 16GB 512gb full hd win 10 pro refurbished</t>
  </si>
  <si>
    <t>Dell Vostro 5320 // 13,3", 12th Gen Intel Core i7-1260P, 16 GB RAM, 512 GB SSD</t>
  </si>
  <si>
    <t>HP Elitebook 850 G5 Notebook i5-8350U 16GB 256gb full hd win 10 pro B Ware</t>
  </si>
  <si>
    <t>Dell Latitude 5290 Schwarz Laptop Windows 10 Professional Notebook 12.5 Zoll ...</t>
  </si>
  <si>
    <t>Dell Latitude 7270 UltraBook 12.5" (Intel i7 6600U, 256GB SSD, 16GB DDR4, Win11P</t>
  </si>
  <si>
    <t>Pc Portatile Notebook 13" Ricondizionato Dell 3340 core i5 8gb ram 500gb HDD</t>
  </si>
  <si>
    <t>PC NOTEBOOK RICONDIZIONATO DELL Latitude E7270 12'': I5-6300U RAM8GB SSD256GB</t>
  </si>
  <si>
    <t>Dell 11" Touch Latitude Edu, 256GB SSD, 8GB DDR4, Intel Quad Core N6000, Win11Pr</t>
  </si>
  <si>
    <t xml:space="preserve">PORTATIL ACER EX2540-56BF INTEL CORE I5 7 GENERACIÓN/ 16 GB / 256 SSD </t>
  </si>
  <si>
    <t>HP EliteBook 840 G4 14-inch AG LED  (Intel Core i5-7300U, 256 SSD, 16GB, Webcam)</t>
  </si>
  <si>
    <t>Pc Portatile Notebook Ricondizionato 14" Lenovo T480 Core i5 8gb ram 256gb SSD</t>
  </si>
  <si>
    <t>Pc Computer Portatile Notebook 15" Hp 850 g4 core i5 8gb Ram 256gb Ssd +500hdd</t>
  </si>
  <si>
    <t>Dell Latitude 7490 (14" AG, Intel i7 8650u, 512GB SSD, 16GB PC4, Windows 11 Pro)</t>
  </si>
  <si>
    <t>LENOVO IdeaPad Flex 5i 13.3" 2 in 1 Chromebook - Intel® Core™ i5, 256 GB SSD.</t>
  </si>
  <si>
    <t>RUGGED PANASONIC CF-53 TOUGHBOOK Intel Core i5 / 16GB / 1TB HDD NON-TOUCH - GOOD</t>
  </si>
  <si>
    <t>Pc Portatile Ricondizionato 14" Lenovo ThinkPad L430 Core i3 Ram 8GB SSD 256GB</t>
  </si>
  <si>
    <t>Dell Latitude 14 Rugged (5404) i5-4310U 16GB RAM 1TB SSD Windows 10 Pro - Good</t>
  </si>
  <si>
    <t>Dell XPS 15-9570 Notebook 15,6" FHD i7-8750H 6x 2,2GHz 16GB 512GB SSD WEBCAM</t>
  </si>
  <si>
    <t>Samsung Galaxy A5 2017 (SM-A520F), schwarz, 32GB</t>
  </si>
  <si>
    <t>HP Elite X2 1012 Intel Core i5-7300U 2.6 Ghz 8 Gb 512 Gb SSD</t>
  </si>
  <si>
    <t>Lenovo ThinkPad X1 Nano Gen 2 i7-1270P✓32GB RAM✓512GB SSD✓2K✓5G WWAN✓WARNTY✓RE&lt;wbr/&gt;AD</t>
  </si>
  <si>
    <t>Dell Latitude 5580 Schwarz Laptop Windows 10 Professional Notebook 15.6 Zoll ...</t>
  </si>
  <si>
    <t>Dell Latitude 14 RUGGED 5420 i5-8350U 256GB PCIe 16GB FHD ODV CMRA W10P BKLT WTY</t>
  </si>
  <si>
    <t>POSTAZIONE PC COMPLETA WIFI RICONDIZIONATO USATO ECONOMICO WIN 10</t>
  </si>
  <si>
    <t xml:space="preserve">12" DELL ULTRABOOK, INTEL I5, 16GB RAM w 256GB SSD. WIN 11. 2 YEAR WARRANTY!  </t>
  </si>
  <si>
    <t>HP EliteBook 840 G8 14" Laptop: 11th Gen i7, Xe Graphics 16GB RAM 256GB Warranty</t>
  </si>
  <si>
    <t>ASUS Zephyrus S 15.6" 240Hz Gaming Laptop i7 16GB 1TB RTX 2080 GX531GXR-AZ044&lt;wbr/&gt;T</t>
  </si>
  <si>
    <t>Acer Swift SF313-53 13.5" QHD Intel i5-1135G7 8GB RAM 512GB SSD Laptop - Win 11</t>
  </si>
  <si>
    <t>Dell Latitude E7240 12.5" Core i5 8GB 256GB SSD HDMI WiFi CAM W10 Laptop</t>
  </si>
  <si>
    <t>Lenovo Laptop Yoga S740-14IIL 14" FHD Intel Core i7-1065G7 8GB RAM 512GB SSD #B</t>
  </si>
  <si>
    <t>Dell G15 15.6" Gaming Laptop Core i7-10870H 16GB RAM 512GB SSD RTX 3060 39K0X #B</t>
  </si>
  <si>
    <t>Lenovo ThinkPad X240 Cheap Core i5 4th Gen 8GB Ram 480GB SSD Laptop Win 11 Pro</t>
  </si>
  <si>
    <t>HP EliteBook 840 G2 i5 (2.3GHz) 8GB RAM 128GB SSD Windows 10 Pro 14" Laptop</t>
  </si>
  <si>
    <t>HP EliteBook 840 G2 i5 (2.3GHz) 8GB RAM 240GB SSD Windows 10 Pro 14" Laptop</t>
  </si>
  <si>
    <t>Samsung Galaxy Book Pro 15.6" AMOLED Laptop Intel Core i5 1135G7 8GB 512GB SSD</t>
  </si>
  <si>
    <t>Asus X415EA-EB741TS 14" Full HD Laptop Pentium Gold 4GB RAM 128GB SSD Silver</t>
  </si>
  <si>
    <t>Asus ROG Strix G512LW-HN037T 15.6" Gaming Laptop i7-10750H 16GB 512GB RTX 2070</t>
  </si>
  <si>
    <t>Lenovo Yoga S940-14IWL 14" UHD Laptop i7-8565U 16GB 1TB SSD Grey 81Q7001CUK #A</t>
  </si>
  <si>
    <t>ASUS VivoBook 15 Laptop 15.6" Full HD i5-1135G7 8GB 256GB A513EA-BQ1358T #A</t>
  </si>
  <si>
    <t>Lenovo IdeaPad 3i Laptop Pentium Gold 6405U 4GB RAM 128GB SSD 14" FHD Win 10 S</t>
  </si>
  <si>
    <t>Dell Latitude 14 7420 i5-1145G7 QUAD core 8Gb 512Gb SSD Win 10 Pro</t>
  </si>
  <si>
    <t>HP Chromebook 14b-na005na 14" Laptop AMD 4GB RAM 64GB eMMC C Grade</t>
  </si>
  <si>
    <t>AORUS</t>
  </si>
  <si>
    <t>15.6" AORUS 15G-YC, FHD, 240Hz, IPS-Level, i7 10870H, 32GB DDR4, 1TB SSD, 3080</t>
  </si>
  <si>
    <t xml:space="preserve">HP EliteBook x360 1030 G2 Core i5-7300U 16GB DDR4 512GB Windows 10 Touch Screen </t>
  </si>
  <si>
    <t>HP ZBook 15u G2 Intel Core i5 - 5200U 2.20Ghz 16GB Ram 240GB SSD Radeon R7 CL47</t>
  </si>
  <si>
    <t>Dell G5-5500 Gaming Laptop i7-10750H,16GB&lt;wbr/&gt;,512GB SSD, RTX 2070,15.6" FHD 300Hz*B*</t>
  </si>
  <si>
    <t>Lenovo Thinkpad X250 12.5" i7 8GB RAM 256GB SSD Laptop Office 12M Warranty</t>
  </si>
  <si>
    <t>Asus E410 14" Laptop Intel Celeron 4GB RAM 64GB eMMC Full HD Blue C Grade</t>
  </si>
  <si>
    <t>HP ChromeBook x360, Pentium Silver N5000, 4GB, 64GB eMMC, 14" Touchscreen Laptop</t>
  </si>
  <si>
    <t>ASUS TUF F15 FX506HM-HN014T Gaming Laptop 15" FHD i7-11800H 16GB 1TB RTX 3060 A</t>
  </si>
  <si>
    <t>Fujitsu LifeBook S752 Windows 10 14" Laptop Intel i5 3210M 2.6GHz 6GB 500GB HDD</t>
  </si>
  <si>
    <t>DELL Inspiron 13 7391 Core i7-10510U 8GB RAM 512GB SSD 13.3" 2 in 1 Laptop</t>
  </si>
  <si>
    <t>GEO Book 3 INTEL Celeron® N4000 4GB RAM 64GB eMMC 13.3" FHD Laptop -(Excellent)</t>
  </si>
  <si>
    <t>HP Laptop 15-dw Intel Quad Core i3-1125G4 8GB RAM 1TB HDD 15.6" HD Windows 11</t>
  </si>
  <si>
    <t>HP 15s-eq Laptop AMD RYZEN 7 8GB RAM 512GB SSD 15.6" FHD Fingerprint Win 10/11</t>
  </si>
  <si>
    <t>Microsoft Surface Go 12.5" Laptop Core i5 1035G1 10th Gen 8GB RAM 128GB SSD</t>
  </si>
  <si>
    <t>Acer Aspire 5 A51556G 15" FHD Laptop i5-1135G7 8GB 512GB MX450 NX.AT1EK.002 | #A</t>
  </si>
  <si>
    <t>Lenovo ThinkPad 13 Core i5-7300U 8GB 128GB SSD 13.3" Windows 10 Laptop</t>
  </si>
  <si>
    <t>Dell Latitude 7280 12.5" Full HD i5-7300U 8GB 256GB SSD HDMI WiFi Cam</t>
  </si>
  <si>
    <t>ASUS ROG Convertible Laptop Ryzen 9 5980HS 32GB 1TB SSD 13.4" Touch GTX 1650 4GB</t>
  </si>
  <si>
    <t>Dell Alienware m15 R6 15.6" Gaming Laptop i7-11800H 16GB 512GB RTX 3060 2XN2P</t>
  </si>
  <si>
    <t>ASUS VivoBook 15 M513 15.6" Laptop AMD Ryzen 7 8GB RAM 512GB SSD</t>
  </si>
  <si>
    <t>HP Pavilion 14-ce1513sa Core i3-8145U 8GB RAM 256GB SSD 14" Laptop</t>
  </si>
  <si>
    <t>Dell Inspiron 13-7306 2-in-1 i5-1135G7,8GB,&lt;wbr/&gt;512GB SSD,13" FHD Touch SILVER *US*</t>
  </si>
  <si>
    <t>Acer Laptop Aspire 5 14" IPS Full HD Intel Quad Core i5-10210U 8GB RAM 256GB SSD</t>
  </si>
  <si>
    <t>Dell Inspiron 14 5480 14" Full HD Laptop Core i5 8GB RAM 256GB SSD Win10 Silver</t>
  </si>
  <si>
    <t>HP Laptop 15-dw i7-1165G7 4.7GHz 15.6" FULL HD 12GB RAM 512GB SSD WINDOWS 11</t>
  </si>
  <si>
    <t>Dynabook Tecra A50-J-11X 15.6" Laptop i5 8GB 256GB SSD Windows 10 Pro 7687713</t>
  </si>
  <si>
    <t>Dell Precision 15 5550 i9-10885H 8 Core 32Gb 1Tb SSD FHD+ T2000 Max-Q 4Gb</t>
  </si>
  <si>
    <t>HP ProBook 430 G4 - 13.3" - Core i5 7200U - Windows 11 Pro 250GB SSD 8GB Memory</t>
  </si>
  <si>
    <t>Dell Inspiron 7306 2-in-1  i7-1165G7,16GB&lt;wbr/&gt;,1TB NVMe,13.3" 4K/UHD Touch BLACK *B*</t>
  </si>
  <si>
    <t>Dynabook Portégé X40-J-119 14" Laptop Core i5-1135G7 8GB RAM 256GB SSD 7626679</t>
  </si>
  <si>
    <t>Dell Alienware M15 R7 Ryzen 4.7ghz, 64GB Ram, 1TB SSD, 6GB nVidia RTX 3060</t>
  </si>
  <si>
    <t xml:space="preserve">HP 22-c1006na AMD Ryzen 3 3200U 4GB RAM 1TB HDD &amp; 256 GB SSD 21.5'' AIO PC </t>
  </si>
  <si>
    <t>Asus X415JA-EK056T 14" Full HD Laptop Intel Core i3 4GB RAM 128GB SSD C Grade</t>
  </si>
  <si>
    <t>Acer Aspire 5 A514-54 Laptop 14 FHD Intel i5-1135G7 8GB 512GB SSD NX.A4YEK.002 A</t>
  </si>
  <si>
    <t>HP Elite X2 1012 G1 Intel M5-6Y57 8GB RAM 256GB SSD Win 10 12" Touch Win 10</t>
  </si>
  <si>
    <t>ASUS Zenbook 13" Laptop FHD i5-1135G7 8GB 512GB+32GB Intel Octane UX325EA-EG062T</t>
  </si>
  <si>
    <t>HP EliteBook 1040 G3 i5 with a FREE HP docking station</t>
  </si>
  <si>
    <t>‎Acer Aspire 5 A515-56 Laptop 15.6" FHD Intel Core i5-1135G7 8GB RAM 1TB SSD</t>
  </si>
  <si>
    <t>ASUS E203MA  Intel Celeron N4000 4GB RAM 64GB eMMC 11.6'' Laptop (damaged bezel)</t>
  </si>
  <si>
    <t>Dell Latitude 5290 Intel i5 8250u 1.60Ghz 8GB RAM 128GB SSD 12.3" Win 11</t>
  </si>
  <si>
    <t>Dell XPS 13 Plus 9320 13.4" Laptop Core i7 16GB RAM 512GB SSD OLED Touchscreen</t>
  </si>
  <si>
    <t>Lenovo IdeaPad 1-11ADA05 11.6" Windows Laptop AMD 3020e 4GB RAM 64GB eMMC Blue</t>
  </si>
  <si>
    <t>Dell G3-3500 Laptop i5-10300H,8GB RAM,512GB SSD,GTX 1650Ti,15.6" FHD 120Hz *B*</t>
  </si>
  <si>
    <t>HP Elite Book 1040 G4, 14", i5 Gen 7, 8GB, 256GB SSD, Win 10 Pro - Grade A</t>
  </si>
  <si>
    <t>ASUS ROG Strix G15 15.6" Laptop Ryzen 7 6800H 16GB 1TB RTX 3060 G513RM-HQ071W A</t>
  </si>
  <si>
    <t>HP Envy x360 13-ay0008na 13.3" Convertible Laptop Ryzen 5 8GB RAM 256GB</t>
  </si>
  <si>
    <t>DELL Inspiron 14 5400 2-in-1 i5-1035G1 QUAD Core 8Gb 256Gb SSD FHD Finger Print</t>
  </si>
  <si>
    <t>Dell Latitude 5410 laptop 14" Full HD Screen, i5-10310U, 256GB SSD, 16GB RAM</t>
  </si>
  <si>
    <t>Dell G5 Gaming 5500 i7-10750H 6 Core 16Gb 1Tb SSD RTX 2070 Max-Q 8Gb 120Hz</t>
  </si>
  <si>
    <t xml:space="preserve">Acer Spin 3 SP313-51N 13.3" WQXGA Laptop Core i7 1165G7 11th Gen 8GB 512GB SSD </t>
  </si>
  <si>
    <t>Asus ROG Zephyrus M16 Gaming Laptop 16" i7-11800H 16G 1TB RTX3060 GU603HM-KR007T</t>
  </si>
  <si>
    <t>Dell Precision 7510 i7-6820HQ 4 core 16Gb 512Gb SSD Quadro M1000M 2Gb Win10 Pro</t>
  </si>
  <si>
    <t>HP Envy 13-BA0558NA 13.3" Intel i5-10210U 512GB SSD Optane 8GB RAM B&amp;O Win10/11</t>
  </si>
  <si>
    <t>Dell Inspiron 15 3501 15.6" Laptop Core i3 4GB RAM 128GB SSD Full HD Black</t>
  </si>
  <si>
    <t>HP Elite X2 1012 G2 Tablet, 12.3" Intel® Core i5, 8GB RAM, 256GB SSD,Windows 10</t>
  </si>
  <si>
    <t>HP ZBook 14u G5 14" Full HD, Intel i7-8550U, 16GB RAM, 500GB SSD, Radeon</t>
  </si>
  <si>
    <t>Lenovo Flex 3 Chromebook 11.6" Laptop Intel Celeron 4GB RAM 32GB eMMC Almond</t>
  </si>
  <si>
    <t>HP Elite X2 1012 G2 i5 7300u 2.6Ghz 8GB RAM 256GB SSD Win 11 12" Touch</t>
  </si>
  <si>
    <t>Dell XPS 13 Plus 9320 4.7 i7 1260P, 512GB,32GB ,13.4" FHD  PRO 11, 3YR WRNTY</t>
  </si>
  <si>
    <t>Dell Latitude E7240 Intel i5 4310u 2.0Ghz 8GB RAM 128GB SSD 12.5" USB 3.0 Win 10</t>
  </si>
  <si>
    <t>Toshiba Dynabook Tecra A40-E Core i7 10510u 8gb Mem 250gb SSD 14.2" FHD CIYL-720</t>
  </si>
  <si>
    <t>HP Pavilion x360 14" Convertible Laptop Core i5 8GB RAM 512GB SSD Silver</t>
  </si>
  <si>
    <t>Lenovo ThinkPad L14 Gen 3 Intel Core i7 1255U 12th Gen 16GB 512GB Windows 10 Pro</t>
  </si>
  <si>
    <t>Samsung Galaxy Book Go 14" Laptop 4GB RAM 128GB SSD 4G Cellular C Grade</t>
  </si>
  <si>
    <t>Avita Admiror 14 14" Laptop AMD Ryzen 7 8GB RAM 512GB SSD Brown</t>
  </si>
  <si>
    <t>HP Pavilion 15-eh0024na Laptop Ryzen7 PRO 4700U 15.6" FHD 8/512GB SSD Backlit</t>
  </si>
  <si>
    <t>Dell Latitude 7320 13.3" Laptop Core i7-1185G7 16GB RAM 512GB Win 10 Pro 1TCRK</t>
  </si>
  <si>
    <t>Dell Vostro 15 3510 15.6" Laptop i5 1135G7 11th Gen 8GB 256GB Windows 10 Pro</t>
  </si>
  <si>
    <t>Asus ZenBook Duo UX481FL-BM044T 14" Laptop Core i7 MX250 16GB RAM 512GB SSD Blue</t>
  </si>
  <si>
    <t>Dell OptiPlex 7490 All In One - Core i5 10505 3.2 GHz vPro - 16 GB 256 GB SSD -B</t>
  </si>
  <si>
    <t>Asus E210 11.6" Laptop Intel Celeron 4GB RAM 64GB eMMC Blue</t>
  </si>
  <si>
    <t>Lenovo IdeaPad Duet 3 Laptop Celeron N4020 4GB 64GB eMMC 14" FHD Touch Win10 Pro</t>
  </si>
  <si>
    <t>HP EliteBook x360 Core i5-7300U 16GB Ram 512GB  Windows 11 Touchscreen Laptop.</t>
  </si>
  <si>
    <t>ASUS VivoBook 15 M513IA-BQ549T Laptop 15" FHD Ryzen 7 4700U 8GB RAM 512GB SSD A</t>
  </si>
  <si>
    <t xml:space="preserve">HP 250 Business Laptop Core i5-1135G7 4.2GHz 8/256GB SSD 15.6" FHD LINUX Ubuntu </t>
  </si>
  <si>
    <t>Toshiba Dynabook Tecra A30 Core i7 10510u 8gb Mem 250gb SSD 13.3" FHD CIYL-717</t>
  </si>
  <si>
    <t>Acer Aspire 5 A515-56 Laptop 15" FHD i7-1165G7 8GB 512GB NX.A1FEK.008 | Grade A</t>
  </si>
  <si>
    <t>Fujitsu PINK Laptop i5 3.2GHz Windows11 15.6" Fast SSD Gaming WiFi 5Ghz DVD HDMI</t>
  </si>
  <si>
    <t>HP Elite Book 840 G5, i5 Gen 7, 14", 16GB Ram, 256GB SSD, Win 10 Pro</t>
  </si>
  <si>
    <t>Lenovo IdeaPad 1 Laptop 14' Intel Celeron N4020 4GB RAM 64GB eMMC Blue</t>
  </si>
  <si>
    <t>Toshiba Dynabook Tecra A30 Core i7 10510u 8gb Mem 250gb SSD 13.3" FHD CIYL-716</t>
  </si>
  <si>
    <t>Lenovo ThinkPad T14 Gen 2 Laptop i5-1135G7 8GB RAM 256GB SSD 14" FHD Win 10 Pro</t>
  </si>
  <si>
    <t>Lenovo ThinkPad X1 Nano i7-1160G7 13" WQHD 16Gb 512Gb SSD W11P 20UN00DXUK</t>
  </si>
  <si>
    <t>Lenovo ThinkPad T14 G3 Laptop Core i7-1255U 16GB RAM 5GB SSD 14" FHD IPS W10 Pro</t>
  </si>
  <si>
    <t>ASUS ROG Strix 15" Gaming Laptop i7-10870H 8GB 512GB RTX 2060 G512LV-HN230T | #A</t>
  </si>
  <si>
    <t>Asus ROG Zephyrus GA401QE-HZ055T 14" Gaming Laptop Ryzen 7 16GB 1TB GTX 3050 Ti</t>
  </si>
  <si>
    <t>HP EliteBook 820 G3 12.5" i5-6200U 8GB 256GB SSD WiFi Cam W10 Pro Laptop</t>
  </si>
  <si>
    <t>Apple Macbook Air 13" i5 5250u 1.60Ghz 4GB RAM 128GB SSD macOS Monterey</t>
  </si>
  <si>
    <t>Dell Vostro 3510 Intel Core i5-11th Gen, 8GB RAM, 256GB SSD, Win 11 Pro - Black</t>
  </si>
  <si>
    <t>HP 14S 14" Full HD Laptop AMD Ryzen 5 8GB RAM 256GB SSD Silver</t>
  </si>
  <si>
    <t>ACER Aspire 5 A514-54 -Core i5-1135G7, 8GB RAM 256GB SSD,14" Laptop Silver</t>
  </si>
  <si>
    <t>HP Spectre x360 Laptop Core i7-1165G7 16GB RAM 512GB SSD 13.3" FHD Touch Win 10</t>
  </si>
  <si>
    <t>Asus Chromebook Flip C434TA-AI0403 14" Laptop Core M3 8GB RAM 128GB eMMC C Grade</t>
  </si>
  <si>
    <t>Dell Latitude 9420 2-in-1 i7-1185G7 QUAD Core 16Gb 512Gb SSD QHD+ Windows 11 Pro</t>
  </si>
  <si>
    <t>Dell Latitude 5290 2-in-1 i5 8350u 1.70Ghz 8GB RAM 256GB SSD 12.3 FHD Win 11</t>
  </si>
  <si>
    <t>Aten</t>
  </si>
  <si>
    <t>Aten CL3800NW 18.5in Short Depth USB HDMI DVI VGA LCD Console</t>
  </si>
  <si>
    <t xml:space="preserve">HP ZBook Power G8 Workstation i7-11800H 16GB 512GB SSD 15.6" FHD IPS Win 11 Pro </t>
  </si>
  <si>
    <t>HP Pavilion x360 14-dy Convert Laptop i5-1155G7 8/512GB SSD 14" TOUCHSCREEN</t>
  </si>
  <si>
    <t>Lenovo Thinkpad X250 12.5"  i5 8GB RAM 256GB SSD Laptop Office 12M Warranty</t>
  </si>
  <si>
    <t>HP OMEN 15-en Gaming Laptop RYZEN 7 16GB RAM 1TB SSD 15.6" Quad HD GeForce 3070</t>
  </si>
  <si>
    <t>HP Chromebook x360 12b-ca0006na 2-in-1 LAPTOP 4/64GB 12" HD+ TOUCH WHITE</t>
  </si>
  <si>
    <t>Microsoft Surface Pro 6 i5-8350U 8GB Ram 256GB SSD Windows 10 Pro Tablet</t>
  </si>
  <si>
    <t>HP Pavilion x360 Conevertible 14-dw Laptop i5-1135G7 8/256GB SSD Touchscreen WIN</t>
  </si>
  <si>
    <t>Dell XPS 13-9310 Laptop 13" FHD+ Intel Core i7-1185G7 16GB RAM 512GB SSD 186M1 A</t>
  </si>
  <si>
    <t>Lenovo ThinkPad X280 Intel i5 8350u 1.70Ghz 8GB RAM 128GB SSD 12.5" HD Win 11</t>
  </si>
  <si>
    <t>Fujitsu Lifebook U727 Intel i5 6300u 2.40Ghz 8GB RAM 512GB SSD 12.5" Win 10</t>
  </si>
  <si>
    <t>Dell Latitude E5470 14" FHD i5 8GB RAM 256GB SSD Laptop Office 12M Warranty</t>
  </si>
  <si>
    <t xml:space="preserve">HP ENVY x360 13-bd0002ne Laptop i5-1135G7 512GB SSD 13.3" FHD TOUCHSCREEN </t>
  </si>
  <si>
    <t>Dell Latitude 15 3510 i5-10210U 8Gb 512Gb SSD HD Win10 Pro 64bit</t>
  </si>
  <si>
    <t>HP Elite Book 840 G5, i5 Gen 7, 14", 8GB Ram, 256GB SSD, Win 10 Pro</t>
  </si>
  <si>
    <t>Dell Latitude E7250 12.5" Core i5 8GB 128GB SSD Cam HDMI WiFi W10 Pro Laptop</t>
  </si>
  <si>
    <t>Dell Inspiron 14 5405 AMD Ryzen 7 4700U 8 Core 8Gb 512Gb SSD FHD FingerPrint</t>
  </si>
  <si>
    <t>Dell Inspirion 16 Pluis 7620 16" Laptop Core i7 16GB RAM 1TB SSD RTX 3060</t>
  </si>
  <si>
    <t>Dell Latitude 5480 Intel i5 6200u 2.30Ghz 4GB RAM 128GB SSD 14" HD Win 10</t>
  </si>
  <si>
    <t>Dell Inspiron 5406 2-in-1 Laptop i3-1115G4, 4GB, 256GB SSD, 14" FHD Touch US *B*</t>
  </si>
  <si>
    <t>Dell Latitude 5520 Business Laptop 15.6" Full HD, i5-1145G7, 16GB RAM, 512GB SSD</t>
  </si>
  <si>
    <t>HP ProBook 650 G1 Core i5-4310M 2.7GHz 8GB 256GB SSD 15.6" Windows 10 Laptop</t>
  </si>
  <si>
    <t>Dell XPS 13 9300 Laptop Core i7 1065G7 32gb Mem 500gb SSD 13.4" 4k Touch (1366)</t>
  </si>
  <si>
    <t>Dell Precision 15 3550 i7-10510U 4 Core 16Gb 512Gb SSD FHD Quadro P520 Win10 Pro</t>
  </si>
  <si>
    <t>Dell Latitude 5480 Intel i5 7300u 2.60Ghz 8GB RAM 256GB SSD 14" HD Win 11</t>
  </si>
  <si>
    <t>Dell Latitude E7270 12.5" Core i5 8GB 128GB SSD Cam HDMI WiFi W10 Pro Laptop</t>
  </si>
  <si>
    <t>Lenovo IdeaPad Flex 5 14ALC05 14" Laptop Ryzen 3 5300U 4GB 128GB Grey 82HU005UUK</t>
  </si>
  <si>
    <t>HP MT43 EliteBook Mobile Thin Client 14" FHD A8 8GB 128GB SSD Win10 - GRADE A</t>
  </si>
  <si>
    <t>Dell Latitude E7440 14" 8GB 256GB SSD HDMI WiFi Windows 10 Pro Laptop</t>
  </si>
  <si>
    <t>HP Spectre x360 13-AW2500NA Laptop 13.3" FHD Touch i7-1065G7 16GB 512GB 9MN93EA</t>
  </si>
  <si>
    <t>Lenovo ThinkPad E15 i5-1135G7 8Gb 256Gb SSD 15.6" FHD W10P 20TD0004UK</t>
  </si>
  <si>
    <t>Dell XPS 9315 13.4" Laptop Core i5 8GB RAM 256GB SSD Sky Blue</t>
  </si>
  <si>
    <t>HP EliteBook 820 G2 Intel i5 5300U 2.30GHz 4GB RAM 500GB HDD 12.5" Win 10</t>
  </si>
  <si>
    <t>Samsung Galaxy Book 15.6" Laptop 4G LTE Intel Core i5 1135G7 11th Gen 8GB 256GB</t>
  </si>
  <si>
    <t>Lenovo ThinkPad T440p 14" i5-4210M 8GB 256GB SSD WiFi WebCam Laptop PC</t>
  </si>
  <si>
    <t>Lenovo Thinkpad T460 14" i5 8GB RAM 256GB SSD Laptop Office 12M Warranty</t>
  </si>
  <si>
    <t>HP Pro Book 430 G3, 13.3", i5 Gen 6, 8GB, 480GB SSD, Win 10 Pro, 1 Year Warranty</t>
  </si>
  <si>
    <t>Dell Latitude E5250 i5 5300u 2.30Ghz 8GB RAM 128GB SSD 12.5" FullHD Touch Win 10</t>
  </si>
  <si>
    <t>HP Laptop 15-dw i5-1135G7 4.2GHz 15.6 HD 8GB RAM 512GB SSD Nvidia MX450 2GB</t>
  </si>
  <si>
    <t>HP Pavilion x360 14-dw0520sa i7-1065G7 16GB RAM 512GB SSD 14'' Laptop silver[</t>
  </si>
  <si>
    <t xml:space="preserve">HP Chromebook 14a-na0005na 14" Full HD 8/128GB SSD WhiteChrome OS Play Store </t>
  </si>
  <si>
    <t>Dell Inspiron 13 7306 13.3" Touch Intel i5-1135G7 512GB SSD 8GB RAM 2 in 1 Win10</t>
  </si>
  <si>
    <t>HP ZBook 14u G6 Laptop, 14" FullHD, Intel i7-8565U, 16GB RAM, 512GB SSD, Radeon</t>
  </si>
  <si>
    <t>Dell Inspiron 13-7391 2-in-1 i7-10510U,8GB,&lt;wbr/&gt;512GB SSD,13.3" FHD Touch BLACK *B*</t>
  </si>
  <si>
    <t>Lenovo IdeaPad 1 Pentium N5030 4Gb 128Gb SSD 14" Full HD W11</t>
  </si>
  <si>
    <t>Dell Alienware M15 R7 Ryzen 9, 64GB, 4TB,8GB nVidia RTX 3070 Ti ,1YR WRNTY</t>
  </si>
  <si>
    <t>ACER R13 CB5 MediaTek M8173C 64GB eMMC 13.3" Touchscreen Chromebook[]</t>
  </si>
  <si>
    <t>HP Spectre x360 14-EF0500SA 13.5" 3K OLED 12th Gen 10-Core i7 16GB RAM 1TB SSD</t>
  </si>
  <si>
    <t>Toshiba Satellite Pro L830-17T i3 8GB Ram 256GB SSD Win 10 Office</t>
  </si>
  <si>
    <t>Dell Alienware M15 R7 Ryzen 9, 16GB, 512GB ,8GB nVidia RTX 3070 Ti ,1YR WRNTY</t>
  </si>
  <si>
    <t>Dell Inspiron 12 3511 15.6" Laptop Core i5 8GB RAM 512GB SSD Silver</t>
  </si>
  <si>
    <t>ASUS ROG Strix G15 15.6" Gaming Laptop i7-10750H 16GB RAM 512GB SSD RTX 2060 A</t>
  </si>
  <si>
    <t>HP EliteBook 840 G6 Laptop i5-8265U 1.60GHz 14" HD 8GB RAM 256GB SSD Win10 A</t>
  </si>
  <si>
    <t xml:space="preserve">Lenovo ThinkPad X1 Carbon Gen 8 Laptop Core i5-10210U 16GB 512G SSD 14" FHD 4G </t>
  </si>
  <si>
    <t>Asus Vivobook F412D Ryzen 5 3500u 2.1Ghz Laptop 8gb Mem 500gb SSD 14.2"  (952)</t>
  </si>
  <si>
    <t xml:space="preserve">15.6" MSI Modern 15 A11ML-457UK, FHD, Intel Core i5-1135G7, 8GB DDR4, 512GB M.2 </t>
  </si>
  <si>
    <t>HP EliteBook Revolve 810 G3 Intel i5 G5 5300U 2.30GHz 4GB RAM 128GB SSD 11.6 Win</t>
  </si>
  <si>
    <t>APPLE MacBook Air Core i5 (2017) 8GB 128GB SSD 13.3" MacBook Silver (Excellent)</t>
  </si>
  <si>
    <t>Dell Alienware M15 R7 Ryzen 4.7ghz, 16GB, 1TB ,8GB nVidia RTX 3070 Ti ,1YR WRNTY</t>
  </si>
  <si>
    <t>Lenovo ThinkPad L13 13.3 AMD Ryzen 7 PRO 16 GB RAM 512 GB SSD</t>
  </si>
  <si>
    <t>Lenovo ThinkPad L470 Intel i5 6200u 2.30Ghz 8GB RAM 256GB SSD 14" Win 10</t>
  </si>
  <si>
    <t>HP Pavilion Laptop 15-eg0002nj i7-1165G7 15.6" 16/512GB SSD GeForce MX450 Win 10</t>
  </si>
  <si>
    <t>HP Stream 11-ak0506sa Celeron® N4020, Ram 2GB 32GB eMMC,11.6" White (Excellent )</t>
  </si>
  <si>
    <t>HP Probook 640 G2 14" FHD i5 8GB RAM 256GB SSD Laptop Office 12M Warranty</t>
  </si>
  <si>
    <t>HP Envy 13-ba1561sa 13.3" Laptop Intel Core i5 1135G7 8GB 512GB GeForce MX450</t>
  </si>
  <si>
    <t>HP EliteBook 840 G8 Laptop 14" FHD, i5-1135G7, 512GB SSD, 16GB RAM, Warranty,</t>
  </si>
  <si>
    <t>Dell Latitude 14 7420 Core i5-1145G7 8GB 256GB Full HD Win10 Pro 3 Year Warranty</t>
  </si>
  <si>
    <t>Dell Precision 15 3551 i7-10750H 6-Core 16Gb 512Gb SSD FHD Quadro P620 Win10 Pro</t>
  </si>
  <si>
    <t>HP 245 G8 AMD Ryzen 5 5500U 8Gb 512Gb SSD 14" FHD W10 4P3C4ES</t>
  </si>
  <si>
    <t>Lenovo ThinkPad T470 14" FHD i5-6300U 8GB 256GB SSD WiFi Webcam Windows 10 Pro</t>
  </si>
  <si>
    <t>LG gram 16" Laptop WQXGA Intel i5-1240P 8GB RAM 512GB SSD 16Z90Q-K.AR56A&lt;wbr/&gt;1 A</t>
  </si>
  <si>
    <t>Lenovo IdeaPad Slim 1 81VU0002UK 14" Laptop Intel Celeron 4GB 64GB eMMC C Grade</t>
  </si>
  <si>
    <t>HP Laptop 15-dw Core i3-1115G4 3.0GHz 4GB RAM 1TB HDD 15.6" FHD Webcam Win 11</t>
  </si>
  <si>
    <t>HP 250 G7 Laptop 15.6" Full HD AG Intel Core i3-1005G1 256GB SSD Ubuntu Dark Ash</t>
  </si>
  <si>
    <t>HP ZBook Firefly 14 G8 Business Laptop i7-1165G7 16GB 512GB SSD 14" TOUCHSCREEN</t>
  </si>
  <si>
    <t>Lenovo ThinkBook 15 Laptop Core i5-1035G1 8GB 256GB SSD 15.6" FHD IPS Win 10 HM</t>
  </si>
  <si>
    <t>HP Spectre x2 Pro 14" FHD 4GB RAM 256GB SSD Laptop Office 12M Warranty</t>
  </si>
  <si>
    <t>Lenovo ThinkPad T440 14" 8GB 256GB SSD WiFi Webcam Windows 10 Pro</t>
  </si>
  <si>
    <t>Dynabook Portégé X30L-J-13P 13.3" Laptop i7-1165G7 8GB RAM 256GB SSD 7687616</t>
  </si>
  <si>
    <t>HP Pavilion 14-dv0564sa Laptop i7-1165G7 16Gb 512Gb SSD 14" FHD touch W11</t>
  </si>
  <si>
    <t>Dell Inspirion 15 3525 15.6" Laptop AMD Ryzen 5 8GB RAM 256GB SSD Carbon Black</t>
  </si>
  <si>
    <t>Dell Precision 15 3551 i7-10750H 6-Core 32Gb 2Tb SSD FHD Quadro P620 TouchScreen</t>
  </si>
  <si>
    <t>Dell Latitude 14 7420 i7-1165G7 QUAD core 16Gb 1Tb SSD Win 10 Pro</t>
  </si>
  <si>
    <t>Aspire 3 A315-56 , Core™ i3-1005G1, 4GB 128GB SSD 15.6" Laptop Black-(Excelle&lt;wbr/&gt;nt)</t>
  </si>
  <si>
    <t>Dell Inspiron 7490 i7-1051U 512GB NVMe SSD HD 8Gb RAM 14.0" FHD FP WIFI W/PRO UK</t>
  </si>
  <si>
    <t>ASUS Expertbook P2451F I5-10210U 8GB Ram 256GB SSD 14 inch Laptop</t>
  </si>
  <si>
    <t>MSI Stealth GS75 Gaming Laptop i7-9750H 32GB 512GB SSD 17.3" FHD RTX 2070 Max Q</t>
  </si>
  <si>
    <t>LENOVO IdeaPad 3 14" Chromebook -MediaTekMT818&lt;wbr/&gt;3 - 64GB - REFURB-B</t>
  </si>
  <si>
    <t>Dell Latitude 5280 Intel i5 7300u 2.60Ghz 8GB RAM 128GB SSD 12.5" Win 11</t>
  </si>
  <si>
    <t>Acer Laptop Aspire 3 A315 AMD Ryzen 5 3500U 8GB RAM 512GB SSD 15.6" Windows 10</t>
  </si>
  <si>
    <t>Dell G5 Gaming 5500 i7-10750H 6 Core 16Gb 1Tb SSD RTX 2060 6Gb 300Hz Win 10 Pro</t>
  </si>
  <si>
    <t>DELL Latitude 7420 14" FHD Laptop i7-1185G7 16GB 512GB SSD Win 10Pro Black 341D1</t>
  </si>
  <si>
    <t>Dell Alienware X17 R1 i7-11800H 8 Core 16Gb 2Tb SSD RTX 3070 8Gb UHD 120Hz</t>
  </si>
  <si>
    <t>Lenovo ThinkPad L380 Yoga 13.3" Convertible Laptop Core i5-8250U, 8GB, 256GB SSD</t>
  </si>
  <si>
    <t>Lenovo Yoga 6 Laptop Ryzen 7 5700U 8Gb 512Gb SSD 13.3" FHD touch W10 82ND005GUK</t>
  </si>
  <si>
    <t>HP EliteBook X360 1040 G5 Intel Core i7 16GB 1TB SSD 14" Touchscreen Laptop</t>
  </si>
  <si>
    <t>Alienware m17 R3 Laptop i9-10980HK,32G&lt;wbr/&gt;B,2x1TB SSD,RTX 2080 Super,US,17.3" 4K/UHD</t>
  </si>
  <si>
    <t>HP Stream 11-ak0500 Celeron® N4000 2GB RAM 32GB eMMC 11.6" Laptop -(Excellent)</t>
  </si>
  <si>
    <t>GEO Book3X intel Pentium N4200 4GB RAM 64GB eMMC 13.3"Laptop (N key not working)</t>
  </si>
  <si>
    <t xml:space="preserve">Lenovo Slim 7i 13" Laptop Core i5 8GB RAM 256GB SSD QHD Moon White </t>
  </si>
  <si>
    <t>Dell XPS 13 Plus 9320 4.7 i7 1260P, 1TB, 16GB Ram, 13.4" 3.5K OLED TOUCH Win 11</t>
  </si>
  <si>
    <t>ACER Aspire 5 A514-52, Core™ i3-10110U, 4GB RAM, 256GB SSD 14" Laptop Silver</t>
  </si>
  <si>
    <t>ASUS ZenBook 3 Deluxe 14" Light Weight Laptop Core i5-8250U, 8GB RAM, 256GB SSD</t>
  </si>
  <si>
    <t>Microsoft Surface Pro X Tablet SQ1 Adreno685 8GB 256GB SSD 13" PixelSense 4G LTE</t>
  </si>
  <si>
    <t>Hp Envy X360 13-ay0504 13" Fhd Touch Ryzen 7 4700u 2.00Ghz 512gb 16GB Win11 (2)</t>
  </si>
  <si>
    <t>HP EliteBook 850 G5, Intel Core i5-Gen 8, 8GB Ram, 256GB SSD, 15.6”,  Win 10 Pro</t>
  </si>
  <si>
    <t xml:space="preserve">HP Chromebook 14s-fq0508na 14" Laptop Black AMD 3020e 4GB 64GB eMMC </t>
  </si>
  <si>
    <t>HP Pavilion G6-2399sa AMD A10-4600M 8GB 1TB HDD 15.6'' (small patches on screen)</t>
  </si>
  <si>
    <t>HP 15s-eq2504sa 15.6" Laptop AMD Ryzen 5 5500U 8GB RAM 256GB</t>
  </si>
  <si>
    <t>HP Elite C1030 Chromebook G1 i7-10610U 13.5" 16Gb 128Gb SSD Chrome 369Z5UC</t>
  </si>
  <si>
    <t>HP Probook 4530s 15.6" i3 8GB RAM 256GB SSD Office 12MWarranty Laptop</t>
  </si>
  <si>
    <t>HP EliteBook x360 Core i5-7300U 16GB, 512GB SSD Win 10 Pro Touchscreen Laptop</t>
  </si>
  <si>
    <t>Lenovo Thinkpad X270 12.5" FHD i5 8GB RAM 256GB SSD Laptop Office 12M Warranty</t>
  </si>
  <si>
    <t>MSI Modern 15 B12M-026UK 15.6" FHD Laptop Intel Core i7-1255U8GB RAM 512GB SSD</t>
  </si>
  <si>
    <t>Dynabook Satellite Pro L50-G-13F 15.6" Laptop i5 8GB 256GB Windows10 Pro 7687625</t>
  </si>
  <si>
    <t>Dell XPS 13 Plus 9320 4.7 i7 1260P, 2TB,16GB Ram,13.4" 3.5K OLED TOUCH 3YR WRNTY</t>
  </si>
  <si>
    <t>HP Laptop 15-dw Quad Core i5-1135G7 256GB SSD 15.6 Linux Ubuntu NVIDIA MX350 2GB</t>
  </si>
  <si>
    <t xml:space="preserve">HP Spectre x360 14-ea0009na Laptop i7-1165G7 16/512GB SSD WUXGA+ Touchscreen </t>
  </si>
  <si>
    <t>Dell Latitude 7390 Touchscreen Laptop 8th Gen i5 16 GB DDR4 256GB M.2 Windows 11</t>
  </si>
  <si>
    <t>HP Spectre x360 Core i7-1065G7 8GB 512GB SSD 13.3" Touchscreen (missing 7 key)</t>
  </si>
  <si>
    <t xml:space="preserve">GEO Book 4 AMD A9-9420 4GB RAM 64GB eMMC+128GB SSD 14.1" Laptop </t>
  </si>
  <si>
    <t>Dell Precision 5520 i7-6820HQ 4 core 16Gb 512Gb SSD UHD Touchscreen Win10 Pro</t>
  </si>
  <si>
    <t>HP 15s-eq1510sa 15.6" FHD Laptop AMD Ryzen 5 4500U 8GB 256GB Windows 10</t>
  </si>
  <si>
    <t>Dell Inspiron 7490 Laptop,i5-1021&lt;wbr/&gt;0U,8GB RAM,512GB SSD,NVIDIA MX250,14" FHD *B*</t>
  </si>
  <si>
    <t>HP Pavilion 14-DV0511SA 14" FHD Touchscreen Laptop Intel i3-1115G4 8Gb/256Gb SSD</t>
  </si>
  <si>
    <t>Dell Latitude 7280 Ultrabook i5 7200u 2.50Ghz 8GB RAM 256GB SSD Windows 11 12.5"</t>
  </si>
  <si>
    <t>Dell Latitude E7470 14" FHD i5 8GB RAM 256GB SSD Laptop Office 12M Warranty</t>
  </si>
  <si>
    <t>Dell Latitude E7240 Windows 10 12.5" Laptop Intel i7 4600U 2.1GHz 8GB 128GB SSD</t>
  </si>
  <si>
    <t>Dell Latitude E6530 15.6” Core i5 3320M 2.6GHz 8GB RAM 128GB SSD Win 10 Pro</t>
  </si>
  <si>
    <t>Dell Latitude 5480 14" Laptop, Intel Core i5, 8GB RAM, 256GB SSD, Black - Good</t>
  </si>
  <si>
    <t>HP 14S-DQ2021NA Laptop, Intel Core i5, 8GB RAM, 512GB SSD, 14", Natural Silver -</t>
  </si>
  <si>
    <t>Dell Latitude E7270 12.5" Core i7 6600U 2.6GHz 16GB RAM 256GB SSD Win 10 Pro</t>
  </si>
  <si>
    <t>LENOVO THINKPAD T400 WIN 11 PRO 8GB 480GB NOTEBOOK 14" TASTIERA ITA DVD-RW WiFi.</t>
  </si>
  <si>
    <t>Dell Latitude E5550 15.6" Core i7 5600U 2.60GHz 8GB RAM 256GB SSD Win 10 Pro</t>
  </si>
  <si>
    <t>NOTEBOOK DELL E5570 i5 15,6” FHD TOUCHSCREEN 8GB 240GB WIN11 4G PC PORTATILE-</t>
  </si>
  <si>
    <t>LENOVO X260 I3 12,5" WINDOWS 11 16 GB 480 GB SSD PC COMPUTER PORTATILE NOTEBOOK-</t>
  </si>
  <si>
    <t>NOTEBOOK HP 820 G1 i5 12” WIN 10 TASTIERA ITA PC COMPUTER PORTATILE AZIENDALE.</t>
  </si>
  <si>
    <t>COMPUTER PORTATILE NOTEBOOK GAMING CLEVO XMG 15,6" I7 8750H 64GB 2TB 1050 4GB-</t>
  </si>
  <si>
    <t>Lenovo ThinkPad T440s 14" Core i5 4200U 8GB RAM 256GB SSD Win 10 Pro</t>
  </si>
  <si>
    <t>Lenovo ThinkPad Twist S230u 12.5" Core i7 3537U 8GB RAM 256GB SSD Win 10 Pro</t>
  </si>
  <si>
    <t>HP PAVILION 16” CORE i5 GTX 1650Ti 4GB PC 8GB 240GB WIN 10 PRO GAMING NOTEBOOK-</t>
  </si>
  <si>
    <t>Lenovo ThinkPad T14 i7 10610U 1.8GHz 16GB 512GB SSD 14" FHD Lenovo Wty. to 04/24</t>
  </si>
  <si>
    <t>DELL RUGGED 7202 TABLET 4G 12” 8GB 2TB M.2 WINDOWS 11 TOUCH SCREEN NOTEBOOK HD-</t>
  </si>
  <si>
    <t>LENOVO X260 I3 12,5" WINDOWS 11 8 GB 240 GB SSD PC COMPUTER PORTATILE NOTEBOOK.</t>
  </si>
  <si>
    <t>HP Chromebook x360 Laptop i5-10210U 8GB RAM 128GB eMMC 14" FHD IPS Touchscreen</t>
  </si>
  <si>
    <t>Microsoft Surface Pro 5 Core i5 2.60GHz 8GB Ram 128GB SSD Windows 11 Tablet</t>
  </si>
  <si>
    <t>Microsoft Surface Pro 4 Tablet Core i5 2.4GHz 8GB RAM 256GB SSD UK Keyb - NO PEN</t>
  </si>
  <si>
    <t>Venturer RCA Challenger Tablet Pro 10.1" IPS HD 16Gb Android 10 WiFi BT Black</t>
  </si>
  <si>
    <t>Apple iPad Mini 1 and 2, iPad 2nd 3rd 4th Gen 16GB ,Wi-Fi, 4G COLOURS Very Good</t>
  </si>
  <si>
    <t>Huawei MediaPad M5 lite 8" Google Android 9.0 Tablet 4G LTE (Sim Free Unlocked)</t>
  </si>
  <si>
    <t>Apple iPad Air 2 16/32/64/128GB WiFi/4G 9.7" All Colours - GOOD CONDITION</t>
  </si>
  <si>
    <t>Apple iPad 6th gen 2018/2019 9.7" 32GB 128GB Wi-Fi or Wi-Fi + 4G GOOD USED</t>
  </si>
  <si>
    <t>Apple iPad 6th Generation (2018) 32GB 128GB WiFi / 4G EXCELLENT CONDITION A++</t>
  </si>
  <si>
    <t>Apple iPad Air 2 16/32/64/128GB&lt;wbr/&gt;, Wi-Fi or 4G, 9.7in, All Colours, GOOD USED</t>
  </si>
  <si>
    <t>Samsung Galaxy Tab S Tablet 16GB 10.5" Wi-Fi Dazzling White Grade A</t>
  </si>
  <si>
    <t>Apple iPad 6 Space Grey 32GB WiFi 9.7" 6th Generation 2018 Retina Warranty</t>
  </si>
  <si>
    <t>Apple iPad Air 2 16/32/64/128GB WiFi/4G 9.7" All Colours - EXCELLENT CONDITION</t>
  </si>
  <si>
    <t>SAMSUNG GALAXY TAB A8 10.5" TABLET 32GB UFS 3GB ANDROID GRAPHITE SM-X200NZAAEUA</t>
  </si>
  <si>
    <t>iPad Air 2nd Generation – Apple – 9.7" Display – Wifi – 2014 – 64GB - Space Grey</t>
  </si>
  <si>
    <t>Apple iPad Pro 9.7in (2016) 32/128/256GB WiFi/4G All Colours GOOD CONDITION</t>
  </si>
  <si>
    <t>Samsung Galaxy Tab S SM-T800 10.5 In Tablet WI-FI 16GB 3GB Ram Android - White</t>
  </si>
  <si>
    <t>Apple iPad Air 16/32/64/128GB WiFi/4G 9.7" Black/White - GOOD CONDITION</t>
  </si>
  <si>
    <t>Apple iPad mini 5 (2019) 7.9 Inch Wi-Fi 64GB IOS - Grey</t>
  </si>
  <si>
    <t>Apple iPad 6th Gen 32/128GB Wi-Fi/4G Unlocked All Colours Very Good Condition</t>
  </si>
  <si>
    <t>Apple iPad 4th Gen. 32GB, Wi-Fi (Unlocked), 9.7in - Black Excellent</t>
  </si>
  <si>
    <t>HUAWEI</t>
  </si>
  <si>
    <t>HUAWEI MatePad 10.4" Tablet, 64GB. WiFi, Midnight Grey, BAH3-W09</t>
  </si>
  <si>
    <t>Apple iPad 7th Gen (2019) 32GB 128GB WiFi/4G All Colours EXCELLENT CONDITION A++</t>
  </si>
  <si>
    <t>Samsung Galaxy Tab A Tablet, 9.7" 16GB, WiFi+Cellular, Vodafone, Black, SM-T555</t>
  </si>
  <si>
    <t>Apple iPad mini 4 Wi-Fi 7.9in 16GB/32GB/64GB&lt;wbr/&gt;/128GB IOS 15 (Latest) Fast Dispatch</t>
  </si>
  <si>
    <t>Acer Aspire Switch 10V SW5-014P 64GB 1.44GHz Quad-core WIN 10 Pro TABLET ONLY(B)</t>
  </si>
  <si>
    <t>HUAWEI JDNL01 MEDIA PAD T2 8in PRO 16GB WiFi + 4G TABLET (2017) WHITE🔥</t>
  </si>
  <si>
    <t>Apple iPad (9th Gen, 2021) 10.2" Tablet - 64GB, Wi-Fi - Silver - EXCELLENT</t>
  </si>
  <si>
    <t>Samsung Galaxy Tab 4 SM-T530 Tablet 10.1-Inch WIFI 16GB Android - Black</t>
  </si>
  <si>
    <t>Tablet Apple iPad 6th Gen 128GB Space Grey WiFi +4G Touch ID iPadOS Warranty, VG</t>
  </si>
  <si>
    <t>Apple iPad 5 2017 5th Gen 32/128GB WiFi/4G 9.7" All Colours EXCELLENT CONDITION</t>
  </si>
  <si>
    <t>Apple iPad 1st Gen 32GB Cellular Version Model A1219 Black MD293B Rare Very Good</t>
  </si>
  <si>
    <t>Apple iPad 4th Generation Black 16GB Wi-Fi Excellent Device Very Good Condition</t>
  </si>
  <si>
    <t>Samsung Galaxy Tab A (2016) SM-T580 10.1 Inch Wi-Fi 16GB Android Tablet - Grey</t>
  </si>
  <si>
    <t>Huawei MatePad T10 9.7" IPS LCD 2GB / 32GB Android WiFi Tablet Blue</t>
  </si>
  <si>
    <t>Samsung Galaxy Tab A (2019) SM-T290 32GB, Wi-Fi, 8in - Black VERY GOOD CONDITION</t>
  </si>
  <si>
    <t>Samsung Galaxy Tab Active SM-T365 Tablet 16GB WiFi+4G 8" Unlock Android  - Black</t>
  </si>
  <si>
    <t>Apple iPad Pro 10.5 (2017) Space Grey 64GB Space Grey WiFi Tablet iPadOS, G</t>
  </si>
  <si>
    <t>Samsung Galaxy Tab A 2016 Tablet, 10.1", 32GB, WiFi, Black, SM-T580</t>
  </si>
  <si>
    <t xml:space="preserve">Apple iPad Air 2nd Generation 16GB Wi-Fi  Various Colours Very Good Condition </t>
  </si>
  <si>
    <t>Apple iPad Mini 1st Gen 16GB / 32GB / 64GB Wi-Fi Black &amp; Silver PRISTINE</t>
  </si>
  <si>
    <t>HP ElitePad 1000 G2 Tablet Atom Z3795 4GB 64GB SSD Windows 10 Pro Grade B</t>
  </si>
  <si>
    <t>Samsung Galaxy Tab A SM-T295 (2019) Tablet 8" 2GB Ram 32GB Android - Black</t>
  </si>
  <si>
    <t>Apple iPad Air 1st Generation  32GB Wi-Fi Silver Grey - Excellent Condition</t>
  </si>
  <si>
    <t>Huawei MediaPad T3 8" HD Google Android 7.0 Tablet 4G LTE (Sim Free Unlocked)</t>
  </si>
  <si>
    <t>Microsoft Surface Pro 6 Core i7-8650U 8GB Ram 256GB SSD Windows 11 Pro Tablet</t>
  </si>
  <si>
    <t>Samsung Galaxy Tab S 10.5" inch Tablet Octa-Core 1.9GHz 3GB RAM 16GB Grade A</t>
  </si>
  <si>
    <t>Samsung Galaxy Tab A SM-T555 9.7" Wi-Fi+LTE 16GB 2GB Android Tablet- Black/White</t>
  </si>
  <si>
    <t>Apple iPad Pro 10.5" Space Grey 2nd Gen 256GB WiFi Cellular 4G Unlocked iPadOS</t>
  </si>
  <si>
    <t>Apple iPad Air 16/32/64/128GB WiFi/4G 9.7" Black/White - EXCELLENT CONDITION</t>
  </si>
  <si>
    <t>Apple iPad 5th Gen 32/128GB WiFi + 4G Unlocked 9.7" Very Good Condition</t>
  </si>
  <si>
    <t>Apple iPad Air 2 16/32/64/128GB&lt;wbr/&gt;, Wi-Fi or 4G, 9.7in, All Colours, Excellent</t>
  </si>
  <si>
    <t>Apple iPad mini 5th Gen Retina 64GB Wi-Fi+4G 7.9" S.Grey A Grade Latest iOS 16</t>
  </si>
  <si>
    <t>Apple iPad Mini 4 16GB 32GB 64GB 128GB Space Grey Gold Silver WiFi Very Good</t>
  </si>
  <si>
    <t>Apple iPad 6th Gen (2018) - 32GB/128GB, Wi-Fi, 9.7in - Silver/Grey/Go&lt;wbr/&gt;ld</t>
  </si>
  <si>
    <t>Apple iPad 5th Generation 32/128GB, Wi-Fi, 9.7in, ALL COLOURS GOOD USED</t>
  </si>
  <si>
    <t>Lenovo Tab P10 Tablet, 10.1" 32GB, WiFi, Black, TB-X705F</t>
  </si>
  <si>
    <t>Samsung Galaxy Tab S 10.5" inch Tablet Octa-Core 3GB RAM 16GB Grey Grade A</t>
  </si>
  <si>
    <t xml:space="preserve">HP Steam 7 32GB 7.0 Black Tablet - Good Used </t>
  </si>
  <si>
    <t>Apple iPad Air 1st Gen. 16GB, Wi-Fi + 4G - Space Grey (Very Good Condition)</t>
  </si>
  <si>
    <t>iPad 7th Generation – Apple – 10.2" Display – Wifi – 2019 - 32GB - Space Grey</t>
  </si>
  <si>
    <t>Apple iPad Mini 2 16/32/64/128GB WiFi/4G 7.9in Black/White - GOOD CONDITION</t>
  </si>
  <si>
    <t xml:space="preserve">Apple iPad Air 1st Generation 16GB 32GB Wi-Fi Silver Grey Excellent Condition </t>
  </si>
  <si>
    <t>Apple iPad Pro 10.5 (2017) Space Grey 64GB Space Grey WiFi/4G iPadOS Excellent</t>
  </si>
  <si>
    <t>Microsoft Surface Pro 3 - Core i5 128GB SSD 4GB RAM Wi-Fi 12" - Silver - Good</t>
  </si>
  <si>
    <t>Apple iPad 4th Gen – Apple – 9.7" Display – WIFI – 2012– 64GB - Space Grey</t>
  </si>
  <si>
    <t xml:space="preserve">Apple iPad Pro 32/128/256GB, Wi-Fi or 4G - 9.7in-VARIOUS COLOURS, </t>
  </si>
  <si>
    <t>SEALED Apple iPad 5th Gen. 32GB, 128GB WiFi or Cellular 2017</t>
  </si>
  <si>
    <t>Apple iPad Mini 4 16GB 32GB 64GB 128GB Space Grey Gold Silver WiFi Excellent</t>
  </si>
  <si>
    <t>Microsoft Surface Pro 4 Intel Core M3-6Y30 4GB RAM 128GB SSD</t>
  </si>
  <si>
    <t>Apple iPad Air 2, Wi-Fi /4G, Space Grey/Silver/Go&lt;wbr/&gt;ld, 9.7", 16/32/64/128gb</t>
  </si>
  <si>
    <t>iPad Air 2nd Generation – Apple – 9.7" Display – WIFI – 2014 – 64GB - Space Grey</t>
  </si>
  <si>
    <t>Apple iPad Air 4 (2020) - All Sizes &amp; Colours - Wi-Fi &amp; Cellular 5G - Excellent</t>
  </si>
  <si>
    <t>Samsung Galaxy Tab 2 7.0 8GB GT-P3100 Wi-Fi +3G- Grey - Very Good</t>
  </si>
  <si>
    <t>Microsoft Surface Pro 4 Tablet Intel Cr m3-6Y30 12.3" 4GB 128GB SSD W10P -Silver</t>
  </si>
  <si>
    <t>Huawei MediaPad M1 8.0 Mixed Colours Very Good Condition</t>
  </si>
  <si>
    <t>Apple iPad Pro 9.7 - Wi-Fi/Wi-Fi + 4G - 32GB/128GB/256&lt;wbr/&gt;GB - Grey/Gold/Silv&lt;wbr/&gt;er</t>
  </si>
  <si>
    <t>Apple iPad Air 3rd Generation 10.2 64GB/256GB Grey/Silver/Ro&lt;wbr/&gt;se Gold A Grade</t>
  </si>
  <si>
    <t>Apple iPad 6th Gen 32GB WiFi ONLY Retina Display 9.7" Grey A Grade Apple Box</t>
  </si>
  <si>
    <t>Samsung Galaxy Tab A (2016) 32GB 10.1 Inch Tablet Black - Wi-Fi and 4G Available</t>
  </si>
  <si>
    <t>Samsung Galaxy Tab S4 SM-T830 Tablet 10.5" WiFi 4GB Ram 64GB 13MP Android -Black</t>
  </si>
  <si>
    <t>Apple iPad Pro 2nd Gen - 12.9 inch - All Colours, 4G  - Grade C - (STD)</t>
  </si>
  <si>
    <t>Samsung Galaxy Tab A 9.7, SM-T550, 16GB, Smoky Titanium - Excellent</t>
  </si>
  <si>
    <t>Samsung Galaxy Tab A 7-Inch 8GB Android, 2xCamera ,SM-T280 / SM-T285 - Black</t>
  </si>
  <si>
    <t>Lenovo Tab M7 Mixed Colours Good Condition</t>
  </si>
  <si>
    <t>Black</t>
  </si>
  <si>
    <t>Apple iPad 2 (2011) - Black - 16GB- WiFi (Unlocked) Mobile Tablet iOS 9</t>
  </si>
  <si>
    <t xml:space="preserve">Apple iPad Air 1st Generation 16GB 32GB 64GB Wi-Fi  Very Good Condition </t>
  </si>
  <si>
    <t>Samsung Galaxy Tab A SM-T585 10.1" WI-FI+4G (Unlock) 32GB Android Tablet - Black</t>
  </si>
  <si>
    <t>Apple iPad 10th Gen 10.9" 2022 - 64GB Wi-Fi &amp; Cellular 5G - Unlocked - Blue</t>
  </si>
  <si>
    <t>HP ElitePad 1000 G2 Atom Z3795 4G SIM SLOT 4GB 64GB SSD Windows 10 Pro (Grade A)</t>
  </si>
  <si>
    <t xml:space="preserve">Samsung GalaxyNote SM-P600 10.1" WiFI 16GB 3GB Android Black Tablet with Stylus </t>
  </si>
  <si>
    <t>NEW SEALED Apple iPad 6th Gen (2018) 32GB 128GB WiFi/4G 9.7" All Colours Boxed</t>
  </si>
  <si>
    <t>iPad 5th Generation – Apple – 9.7" Display – Wifi – 2017 - 32GB - Space Grey</t>
  </si>
  <si>
    <t>Apple iPad Mini 2 - All Colours - WiFi + 4G - Grade A -(STD)</t>
  </si>
  <si>
    <t>NEW SEALED Apple iPad 7th Gen (2019) 32GB 128GB WiFi/4G 10.2" All Colours Boxed</t>
  </si>
  <si>
    <t>Apple iPad 6th gen 2018/2019 9.7" 32GB 128GB Wi-Fi or Wi-Fi + 4G EXCELLENT</t>
  </si>
  <si>
    <t>Apple iPad Mini 1st Gen, 16GB, Wi-Fi - 7.9" Screen, Very Good, Silver</t>
  </si>
  <si>
    <t>Samsung Galaxy TAB S (2014) SM-T807T 10.1 in 16GB Wi-Fi (BRONZE) TABLET (A+)🔥</t>
  </si>
  <si>
    <t>Samsung Galaxy Tab A 8" (2019) Tablet - 32GB, WiFi - Black</t>
  </si>
  <si>
    <t>Acer Aspire Switch 10V 64GB + Tecknet Keyboard + Universal Stylus BUNDLE (A)🔥</t>
  </si>
  <si>
    <t>Apple iPad Air 1 128GB,32GB,64G&lt;wbr/&gt;B,16GB Unlocked,WiFi Gray,Silver-Go&lt;wbr/&gt;od</t>
  </si>
  <si>
    <t>Samsung Galaxy Tab S6 SM-T860 128GB, Wi-Fi, 10.5in - Mountain Grey EXC</t>
  </si>
  <si>
    <t>Microsoft Surface Pro 8 13" Tablet Core i5 8GB RAM 128GB SSD Platinum C Grade</t>
  </si>
  <si>
    <t>Samsung Galaxy TAB E SM-T560 9.6  WI-FI 8GB 1.5GB MB Android Tablet - White</t>
  </si>
  <si>
    <t>Samsung Galaxy Tab 2 7.0 (2012) Mixed Colours Good Condition</t>
  </si>
  <si>
    <t>Samsung Galaxy Tab S2 SM-T813 (2015) 32GB WIFI 9.7 - VERY GOOD CONDITION</t>
  </si>
  <si>
    <t>Apple iPad Mini 2nd Generation 16GB 32GB 64GB WIFI + 4G - Grade A Condition</t>
  </si>
  <si>
    <t>blackview</t>
  </si>
  <si>
    <t>Blackview Tab 9 10.1" 2 in1 Laptop Android Tablet PC 4+64GB GPS 5G WiFi Dual SIM</t>
  </si>
  <si>
    <t>Apple iPad Pro 1st Gen 12.9 32GB 128GB 256GB WiFi Cellular 4G iOS 15 GOOD USED</t>
  </si>
  <si>
    <t>Apple iPad Pro 9.7in (2016) 32/128/256GB WiFi/4G All Colours EXCELLENT CONDITION</t>
  </si>
  <si>
    <t>Apple iPad 8th Gen. 32GB, Wi-Fi, 10.2 in - Space Grey</t>
  </si>
  <si>
    <t>Apple iPad Air 2, (16GB /32GB /64GB /128GB) Wi-Fi, 9.7inch Model IOS 15 Latest</t>
  </si>
  <si>
    <t>Apple iPad 6th Generation Tablet, 32GB, WiFi + GSM, Space Gray, A1954</t>
  </si>
  <si>
    <t>Apple iPad Pro 11" 2nd Gen 2020 128/256/512GB/&lt;wbr/&gt;1TB WiFi + 4G Unlocked Very Good</t>
  </si>
  <si>
    <t>Apple iPad Air 2 - All Colours - Wi-Fi + 4G -Grade A - (STD)</t>
  </si>
  <si>
    <t>Lenovo Tab M10 Mediatek Helio P22T 4Gb 64Gb eMCP 10.1" HD Android 10 ZA6W0137GB</t>
  </si>
  <si>
    <t>Apple iPad mini 5 (2019) 7.9 Inch Cellular 64GB IOS - Space  Grey</t>
  </si>
  <si>
    <t>Lenovo Tab M7 7" HD Ready 2GB RAM 32GB Android WiFi Tablet Grey</t>
  </si>
  <si>
    <t>Apple iPad 6 2018 6th Gen 32/128GB WiFi/4G 9.7" All Colours GOOD CONDITION</t>
  </si>
  <si>
    <t>Asus ZenPad 3S P001 64GB,  WiFi 9.7 inch, Silver - Very Good</t>
  </si>
  <si>
    <t>Asus Google Nexus 7 ME370T - Black, Good Used</t>
  </si>
  <si>
    <t>Apple iPad Air 4 (2020) - All Sizes &amp; Colours - Wi-Fi &amp; Cellular 5G - Very Good</t>
  </si>
  <si>
    <t>Samsung Galaxy Note 10.1 (2012) Mixed Colours Very Good Condition</t>
  </si>
  <si>
    <t>Apple iPad Mini 4 16GB Wi-Fi Cellular 4G Space Grey Retina Slim Tablet A1550 C1</t>
  </si>
  <si>
    <t>Samsung Galaxy Tab 2 7.0 8GB GT-P3110 Wi-Fi - Grey , Very Good</t>
  </si>
  <si>
    <t>Samsung Galaxy Tab A6 SM-T580 (2016) 16GB/32GB 10.1 BLACK - GOOD CONDITION</t>
  </si>
  <si>
    <t>Samsung Galaxy Note 10.1 (2014) Mixed Colours Very Good Condition</t>
  </si>
  <si>
    <t>Acer Aspire Switch 10 Laptop SW5-012 10.1" 64GB Quad-Core 1.33GHz WIN 10 PRO! A+</t>
  </si>
  <si>
    <t xml:space="preserve">Apple iPad 6th Generation 32GB 128GB Wi-Fi  Various Colours Very Good Condition </t>
  </si>
  <si>
    <t>Apple iPad 7th Gen (2019) - 32GB/128GB, Wi-Fi, 10.2 in - Space Grey/Silver/Go&lt;wbr/&gt;ld</t>
  </si>
  <si>
    <t>Apple iPad 5th Generation 32/128GB, Wi-Fi, 9.7in, ALL COLOURS EXCELLENT</t>
  </si>
  <si>
    <t>Apple iPad 9th Gen 10.2" 2021 - 64GB Wi-Fi &amp; Cellular 5G - Unlocked - Space Grey</t>
  </si>
  <si>
    <t>Amazon</t>
  </si>
  <si>
    <t>Amazon Fire HD 8 Tablet, 32GB Kids Edition, 8-Inch - Blue</t>
  </si>
  <si>
    <t>Apple iPad 8th Generation 32GB WiFi ONLY 10.2" 2020 Silver A+ Grade Apple Box</t>
  </si>
  <si>
    <t>Apple iPad 6th Gen 32GB Wi-Fi + 4G Cellular Unlocked 9.7" Good Condition</t>
  </si>
  <si>
    <t>Apple iPad Mini 4 16/32/64/128GB WiFi/4G 7.9" All Colours - EXCELLENT CONDITION</t>
  </si>
  <si>
    <t>Lenovo TAB M10 HD Tablet (TB-X505F), 10.1", 16GB, Wi-Fi, Black - Excellent</t>
  </si>
  <si>
    <t>Samsung Galaxy Note pro SM-P900 12.2" 32GB 3GB Ram Android Tablet - Black</t>
  </si>
  <si>
    <t>Samsung Galaxy Tab 4 SM-T230 8GB, Wi-Fi, 7in, 2x Camera, Android Tablet - Black</t>
  </si>
  <si>
    <t>Apple iPad 10th Gen 10.9" 2022 - 64GB Wi-Fi &amp; Cellular 5G - Unlocked - Silver</t>
  </si>
  <si>
    <t>Apple iPad Mini 2 2nd Gen 16GB 32GB 64GB 128GB Space Grey Silver | Very Good</t>
  </si>
  <si>
    <t>Apple iPad 4th Gen (2012) Mixed Colours Very Good Condition</t>
  </si>
  <si>
    <t>Apple iPad Pro 32/128/256GB, Wi-Fi or 4G - 9.7in-VARIOUS COLOURS, Good Used</t>
  </si>
  <si>
    <t>Amazon Fire HD 10 5th Gen 16 GB, Wi-Fi, 10.1 in White Tablet -Good Used</t>
  </si>
  <si>
    <t>Lenovo Tab M7 17.8 cm (7") 32 GB Android Grey Tablet</t>
  </si>
  <si>
    <t>Lenovo Tab M10 64 GB 10.1" Android 10 - Grey Tablet</t>
  </si>
  <si>
    <t>Apple iPad Mini 4 16GB 32GB 64GB 128GB Space Grey Gold Silver WiFi Good</t>
  </si>
  <si>
    <t>Apple iPad Air 2 - 16GB/128GB - Silver/Grey - WiFi/Cellular - iPadOS 15 - Tablet</t>
  </si>
  <si>
    <t>Apple iPad 5th Generation 32GB 128GB Wi-Fi  Various Colours Excellent Condition</t>
  </si>
  <si>
    <t>Samsung Galaxy Tab A 10.1" (2016) SM-T580 Various Colours+GB - Good Used</t>
  </si>
  <si>
    <t>Lenovo Tab M10 Plus (3rd Gen) 10.6" - 128 GB Android Grey Tablet</t>
  </si>
  <si>
    <t>Apple iPad Air 1st  Generation 16 GB Wifi 9.7”Space Grey Original Apple Box</t>
  </si>
  <si>
    <t>iPad Air 2nd Generation – Apple – 9.7" Display – Wifi – 2014 – 16GB - Space Grey</t>
  </si>
  <si>
    <t>Lenovo Tab P11 Plus 27.9 cm (11") 128 GB Android Grey Tablet</t>
  </si>
  <si>
    <t>Apple iPad 6th Gen 9.7" 32GB Wi-Fi Space Grey Very Good Reconditioned Condition</t>
  </si>
  <si>
    <t>Lenovo Tab M7 Mixed Colours Very Good Condition</t>
  </si>
  <si>
    <t>Microsoft Surface Pro 4 - Intel Core M3-6Y30- 4GB RAM - 128GB SSD</t>
  </si>
  <si>
    <t xml:space="preserve">Apple iPad Air 2 (16GB /32GB /64GB /128GB) Wi-Fi + Cellular , 9.7inch </t>
  </si>
  <si>
    <t xml:space="preserve">Apple iPad 9th Gen (2021) - All Sizes &amp; Colours - Wi-Fi Only - Very Good </t>
  </si>
  <si>
    <t>Apple iPad Pro 32/128/256GB, Wi-Fi or 4G - 9.7in-VARIOUS COLOURS, Excellent</t>
  </si>
  <si>
    <t>Apple iPad Pro 12.9 (1st Gen) - All Sizes &amp; Colours - 4G - Unlocked - Good</t>
  </si>
  <si>
    <t>Lenovo Tab M10 Tablet 10.1" HD 2Gb Black 16Gb Android ZA4G0109GB</t>
  </si>
  <si>
    <t>Apple iPad 4, 9.7", Wi-Fi + 3G, Space Grey, 16GB, A1460</t>
  </si>
  <si>
    <t>ALCATEL ONETOUCH PIXI 7 I213 2GB Tablet</t>
  </si>
  <si>
    <t>Apple iPad Pro 10.5 (2017) - All Sizes - All Colours - 4G - Unlocked - Good</t>
  </si>
  <si>
    <t>Lenovo Tab M10 Tablet 32Gb 10.1" HD 4G Black Android ZA5A0010GB</t>
  </si>
  <si>
    <t>Apple iPad 5 2017 5th Gen 32 WiFi/4G 9.7" Silver  EXCELLENT CONDITION ios</t>
  </si>
  <si>
    <t>Lenovo Tab M10 Tablet 32Gb 10.3" FHD+ Mediatek P22 2Gb Wi-Fi 5 Grey</t>
  </si>
  <si>
    <t>Apple iPad Air 5 (2022) - All Sizes - All Colours - Wi-Fi - Excellent Condition</t>
  </si>
  <si>
    <t>Samsung Galaxy Note SM-P600 10.1" WiFI 16GB 3GB Android with Stylus- White/Black</t>
  </si>
  <si>
    <t>Lenovo Tab M7 Tablet Mediatek MT8166 2Gb 32Gb eMCP 7" Android 11 ZA8C0075GB Grey</t>
  </si>
  <si>
    <t>Microsoft Surface Pro - Core i5, 128GB 4GB RAM, Wi-Fi, 10.6in, Dark - Good</t>
  </si>
  <si>
    <t>Apple iPad Pro 9.7" (2016), Wi-Fi + 4G, Space Grey, 32GB, A1674</t>
  </si>
  <si>
    <t>Apple iPad Pro 11in 3rd Gen 2021 - All Colours All Sizes 5G Unlocked - Good</t>
  </si>
  <si>
    <t>Apple iPad Pro 5 (2021) - All sizes - 12.9in - Silver/Grey - Wi-fi - Very Good</t>
  </si>
  <si>
    <t>Samsung Galaxy Tab 4 Nook Edition Tablet 7" 8GB WiFi  Black SM-T230NU Grade B</t>
  </si>
  <si>
    <t>Apple iPad 6 2018 6th Gen 32/128GB WiFi/4G 9.7" All Colours EXCELLENT CONDITION</t>
  </si>
  <si>
    <t>TCL TAB 10 10.1" Dark Grey 32GB 4G Tablet 9160G1-2CLCGB1&lt;wbr/&gt;1</t>
  </si>
  <si>
    <t>Apple iPad Mini 6 (2021) - All Sizes - All Colours - WiFi + 5G - Unlocked - Good</t>
  </si>
  <si>
    <t>Bundle - Microsoft Surface Pro 3 1631 i5-4300U 8GB 256GB Win10P Grade A + Case</t>
  </si>
  <si>
    <t>Apple iPad Pro 6 12.9 (2022) - All Sizes - All Colours - Wi-Fi Only - Excellent</t>
  </si>
  <si>
    <t>Samsung Galaxy Tab S6 SM-T860 128GB, Wi-Fi, 10.5in - Rose Blush</t>
  </si>
  <si>
    <t>Apple iPad Mini 6 (2021) - All Sizes - All Colours - Wi-Fi Only - Very Good</t>
  </si>
  <si>
    <t>Apple iPad 8 2020 - 32GB/128GB - 10.2in - 4G Unlocked - All Colours - Good</t>
  </si>
  <si>
    <t>Samsung Galaxy Tab S6 SM-T860 256GB, Wi-Fi, 10.5in - Mountain Grey</t>
  </si>
  <si>
    <t>Amazon Fire HD 10 Tablet (11th Generation) 32GB with 3GB RAM 2021 release</t>
  </si>
  <si>
    <t>Samsung Galaxy Tab S7 FE SM-T733N 64GB, Wi-Fi, 12.4" - Mystic Green</t>
  </si>
  <si>
    <t>Apple iPad Mini 6 (2021) - All Sizes - All Colours - Wi-Fi Only - Excellent</t>
  </si>
  <si>
    <t>iPad Air 2nd Generation – Apple – 9.7" Display – Wifi – 2014 – 32GB - Space Grey</t>
  </si>
  <si>
    <t>Amazon Fire HD 8 Tablet 10th Generation Full HD Display 32GB (2020 Release)</t>
  </si>
  <si>
    <t>Apple iPad Air 4 (2020) - All Sizes &amp; Colours - Wi-Fi &amp; Cellular 5G</t>
  </si>
  <si>
    <t>Samsung Galaxy Tab S3 SM-T820 / T825 9.7" Tablet - Silver /Black</t>
  </si>
  <si>
    <t>Apple iPad 6 Silver 32GB WiFi 9.7" 6th Gen 2018 Retina Warranty iPadOS 15</t>
  </si>
  <si>
    <t>Microsoft Surface Pro7 Windows11 12" Tablet Intel i3 1005G1 1.2Ghz 4GB 128GB SSD</t>
  </si>
  <si>
    <t>Huawei Matepad 11 10.95" QHD 6GB/128GB Tablet Grey M-pencil &amp; Keyboard</t>
  </si>
  <si>
    <t>⚡⚡Microsoft Surface Pro 3 Intel Core i5-4300U 8GB 256GB Win 10 Pro Grade A+⚡⚡</t>
  </si>
  <si>
    <t>iPad 6th Generation – Apple – 9.7" Display – Wifi – 2018 - 32GB - Space Grey</t>
  </si>
  <si>
    <t>Alcatel 1T10 WI-FI Tablet 10.1" HD 1Gb Black 16Gb Android 8092-2AALG</t>
  </si>
  <si>
    <t>Apple iPad 6th Generation 2018 9.7" 32GB WiFi + 4G - Very Good Condition</t>
  </si>
  <si>
    <t>Lenovo Tab M10 Tablet 32Gb 10.1" HD Black Android 2Gb ram ZA4G0034GB</t>
  </si>
  <si>
    <t>Apple iPad Pro 11in 2nd Gen 2020 All Sizes/Colours Wi-fi Only - Good Condition</t>
  </si>
  <si>
    <t>Apple iPad Air, Wi-Fi /4G, Space Grey/Silver, 9.7", 16/32/64/128gb</t>
  </si>
  <si>
    <t>Apple iPad Air 3rd Gen (2019) - All Sizes - All Colours - Wi-Fi Only - Good</t>
  </si>
  <si>
    <t>Samsung Galaxy Tab S6 SM-T865 10.5" 256GB, 4G, Unlocked - Mountain Grey vg</t>
  </si>
  <si>
    <t>Microsoft Surface Pro 5 (2017) - Core i5 128GB (4GB RAM) 12.3in, Silver - Good</t>
  </si>
  <si>
    <t>Apple iPad Pro 1 2018 - 11in - All sizes - All Colours - 4G Unlocked - Good</t>
  </si>
  <si>
    <t>Apple iPad Pro 1 2018 - 11in - All sizes - All Colours - 4G Unlocked - Excellent</t>
  </si>
  <si>
    <t>Apple iPad Pro 11" 2nd Gen 2020 128/256/512/1T&lt;wbr/&gt;B WiFi/4G Unlocked Good Condition</t>
  </si>
  <si>
    <t xml:space="preserve">Microsoft Surface Pro 7- Core i3 - 4GB RAM 128GB - Platinum - Wi-Fi Only - Good </t>
  </si>
  <si>
    <t>Apple iPad Pro 11in 2nd Gen 2020 128GB  Cellular - A2228 Excellent, With box</t>
  </si>
  <si>
    <t>Entity Verso Pro 10.1" Tablet 4G LTE Android 32GB Keyboard Silver C Grade</t>
  </si>
  <si>
    <t>Samsung Galaxy Tab 4 SM-T530 10.1" WIFI 16GB 1.5GB Ram 2x Camera Android - White</t>
  </si>
  <si>
    <t>Nokia T20 10.4" Tablet Android 4GB RAM 64GB Storage 2K HD Deep Ocean Blue</t>
  </si>
  <si>
    <t>🔥🔥 Microsoft Surface Pro 4 i5-6300U 8GB RAM 256GB W10Pro 1724 With Case Bundle</t>
  </si>
  <si>
    <t>Samsung Galaxy Tab A7 Lite 8.0"  32GB  WiFi + 4G  Black SM-T225 Warranty Grade A</t>
  </si>
  <si>
    <t>@Tab</t>
  </si>
  <si>
    <t>Panasonic Toughbook CF-D1,i5 Mk3, 6Th Gen 16GB 1TB SSD, Win 11 Pro Engineers Tab</t>
  </si>
  <si>
    <t>Apple iPad Mini 2 2nd Gen 16GB 32GB 64GB 128GB Space Grey Silver Tablet | Good</t>
  </si>
  <si>
    <t>Lenovo Tab M8 Tablet HD Mediatek Helio A22 2Gb 32Gb 8" Android 9.0 ZA5G0064GB</t>
  </si>
  <si>
    <t>Padgene</t>
  </si>
  <si>
    <t>Padgene 10" Google Android Tablet, 32GB Ram,16GB, Dual Sim Card 6000mAh Battery</t>
  </si>
  <si>
    <t>Microsoft Surface Pro 7 - Core i5 8GB RAM 128GB - Platinum - Wi-Fi Only - Good</t>
  </si>
  <si>
    <t>Microsoft Surface Pro 3 Intel Core i7-4th Gen 256GB SSD 8GB Ram 12.3" Tablet</t>
  </si>
  <si>
    <t>Samsung Galaxy Tab A7 10.4" Tablet 3GB RAM 32GB WI-Fi Grey C Grade</t>
  </si>
  <si>
    <t>HP ElitePad 1000 G2 Atom® Z3795 4G SIM SLOT 4GB 64GB SSD Windows 10 Pro (A+)</t>
  </si>
  <si>
    <t>Apple iPad 2nd Generation 32GB Cellular 3G Pristine Excellent condition</t>
  </si>
  <si>
    <t>Samsung Galaxy Tab S SM-T700 (2014) 16GB WIFI 8.0 - GOOD CONDITION</t>
  </si>
  <si>
    <t>Sony Xperia Z3 Tablet Compact 8.0 (2014) Mixed Colours Very Good Condition</t>
  </si>
  <si>
    <t>Apple iPad Air 3rd Gen (2019) - All Sizes - All Colours - Wi-Fi Only</t>
  </si>
  <si>
    <t>ASUS ZenPad P01Y 7.0 WiFi + 3G 16GB Black - Good Used</t>
  </si>
  <si>
    <t>Apple iPad 5th Gen (2017) - 32GB/128GB, Wi-Fi, 9.7in - Silver/Grey/Go&lt;wbr/&gt;ld</t>
  </si>
  <si>
    <t>Samsung Galaxy Tab S5e SM-T720 64GB 10.5" Tablet : Black</t>
  </si>
  <si>
    <t>Samsung Galaxy Tab A, SM-T510, 10.1", 32GB Tablet - Gold - Excellent</t>
  </si>
  <si>
    <t>Apple iPad Air 3 64GB 256GB Space Grey Silver Gold WiFi Tablet Excellent</t>
  </si>
  <si>
    <t>Samsung Galaxy Tab A SM-T515 Tablet  10.1" 32GB 4G LTE Unlock Android Black UK</t>
  </si>
  <si>
    <t>Apple iPad 3rd Gen (2012) Mixed Colours Good Condition</t>
  </si>
  <si>
    <t>Apple iPad (2012) 3rd Generation 9.7", Wi-Fi, 16GB, Black - Excellent</t>
  </si>
  <si>
    <t>Apple iPad Pro 2nd Gen 10.5" 64GB 256GB 512GB WiFi Cellular 4G iOS 15 CHEAP</t>
  </si>
  <si>
    <t>Samsung Galaxy Tab A 10.5" SM-T595 32GB Wifi/4G LTE Unlocked Good Condition</t>
  </si>
  <si>
    <t>Apple iPad Mini 6 2021 - All Sizes -All Colours - WiFi + 5G Unlocked - Excellent</t>
  </si>
  <si>
    <t>🔥Samsung Galaxy TAB S (2014) SM-T807V 10.5in 16GB Wi-Fi (GREY) TABLET (B)🔥</t>
  </si>
  <si>
    <t>Apple iPad 7th Generation 32GB - WiFi + Cellular Unlocked 4G - Very Good!</t>
  </si>
  <si>
    <t>Getac</t>
  </si>
  <si>
    <t>Getac Z710 Android 4.1.1 7" Rugged Tablet TI OMAP 4430 1.0GHz 1GB 16GB SSD</t>
  </si>
  <si>
    <t>Apple iPad 5th Generation Tablet, 32GB, WiFi + GSM, Space Grey, A1823</t>
  </si>
  <si>
    <t>TCL 10 Tab Max Tablet 10.36" Space Grey 64GB 9296G-2DLCGB11</t>
  </si>
  <si>
    <t>LENOVO TAB M10 PLUS 64GB SILVER FHD 2nd Gen 10.3" WiFi 4G LTE GOOD CONDITIONS</t>
  </si>
  <si>
    <t>Apple iPad Pro 11 2020 128GB 256GB 512GB Silver Space Grey Unlocked Excellent</t>
  </si>
  <si>
    <t>Apple iPad 7th Gen 32GB 128GB WiFi Cell 4G Unlocked Silver Gold Grey GOOD USED</t>
  </si>
  <si>
    <t>Apple iPad Mini 4 16GB 32GB 64GB 128GB Space Grey Gold Silver Unlocked Excellent</t>
  </si>
  <si>
    <t>Apple iPad 7th Gen  10.2" 32GB/128GB  Wi-Fi, iPadOS  - Grey / Silver / Gold</t>
  </si>
  <si>
    <t>Apple iPad Air 3rdGen 64GB WiFi ONLY 10.5" Space Grey 2019  A Grade Apple Box</t>
  </si>
  <si>
    <t>Apple iPad Air 2 64GB Retina Wi-Fi Only  9.7in Space Grey C Grade 12 M Warranty</t>
  </si>
  <si>
    <t>Apple iPad 8th Gen. 32GB/64GB/128G&lt;wbr/&gt;B, Wi-Fi, 10.2 in - Space Grey/Silver/Go&lt;wbr/&gt;ld</t>
  </si>
  <si>
    <t>Apple iPad Pro (1st Gen) 128GB Wi-Fi Cellular Unlocked 12.9" (2015) - Very Good</t>
  </si>
  <si>
    <t>Apple iPad Pro 11" (A1980) 1st Gen 256GB WIFI Only  smart Keyboard&amp;Box included</t>
  </si>
  <si>
    <t xml:space="preserve">Apple iPad Air 2nd Generation 16GB 64GB Wi-Fi  Various Colours Good Condition </t>
  </si>
  <si>
    <t>Lenovo Tablet PC Tab M10 Gen 3 10" FHD+ 8 Core CPU 4GB RAM 64GB eMMC Android #A</t>
  </si>
  <si>
    <t>Panasonic Toughbook CF-D1,Mk3 i5 6th Gen,16GB 512 Gb Ssd Win 10 Pro EngineerTab</t>
  </si>
  <si>
    <t>Apple iPad Air 2nd Generation 16GB Wi-Fi  Excellent Device Various Colours</t>
  </si>
  <si>
    <t>Apple ipad pro 12.9" 3rd Generation (2018) 256GB WIFI ONLY A/B Grade Apple Box</t>
  </si>
  <si>
    <t>Samsung Galaxy Tab A6 2016 8GB Black SM-T285 Wi-Fi 4G Unlocked 10.1"</t>
  </si>
  <si>
    <t>Lenovo MIIX 720 Tablet 12IKB 12" Intel i5 7th Gen 8GB RAM 256GB NVMe Windows 10</t>
  </si>
  <si>
    <t>Apple iPad Air 1 - All Colours - Wi-Fi + 4G -Grade A - (STD)</t>
  </si>
  <si>
    <t>Apple iPad Air-Wi-Fi/Wi-F&lt;wbr/&gt;i + 4G-16/32/64/12&lt;wbr/&gt;8GB-IOS-ALL COLOURS-Good Condition</t>
  </si>
  <si>
    <t>Apple iPad Pro 9.7 (2016) Space Grey 32GB WiFi Tablet iPadOS, G</t>
  </si>
  <si>
    <t>Apple iPad 8 (8th Gen) - (2020 Model) - 32GB - 128GB - Wi-Fi - Cellular - Good</t>
  </si>
  <si>
    <t>⚡⚡Microsoft Surface Pro 3 1631 Core i5-4300U 8GB 256GB Win 10 Pro Grade B⚡⚡</t>
  </si>
  <si>
    <t>Apple iPad Mini 4 (2015) - 16GB - All Colors - Wi-fi Only - Good Condition</t>
  </si>
  <si>
    <t>Samsung Galaxy Tab S2 SM-T813N Tablet  (9.7") 3GB Ram 32GB Wi-Fi Android - Gold</t>
  </si>
  <si>
    <t>Apple iPad Air 2 Tablet, 64GB, WiFi, Gold, A1566</t>
  </si>
  <si>
    <t>Apple iPad Mini 5 64/256GB WiFi/4G 7.9" All Colours - GOOD CONDITION</t>
  </si>
  <si>
    <t>Lenovo Tab M10 FHD Plus Tablet 10.3" FHD LTE Grey 64Gb Android ZA5V0367GB</t>
  </si>
  <si>
    <t>Apple iPad Mini 4 - Wi-Fi - Wi-Fi + Cellular - 16GB - 32GB - 64GB - 128GB - Good</t>
  </si>
  <si>
    <t>Samsung Galaxy TAB S2 9.7" SM-T813 WiFi 32GB Grade A+ Excellent Condition</t>
  </si>
  <si>
    <t>Samsung Galaxy Tab S5e SM-T720 128GB 10.5" Tablet : Black</t>
  </si>
  <si>
    <t>Apple iPad 6 (2018) - Silver - 128GB - Wi-Fi - 1-Year Warranty - Excellent</t>
  </si>
  <si>
    <t>Samsung Galaxy Tab 4 SM-T535 Tablet 10.1" 16GB WiFi+4G Unlocked Android  - Black</t>
  </si>
  <si>
    <t>Apple iPad Pro 12.9-inch (5th Gen.) 128GB Silver WiFi Excellent Condition</t>
  </si>
  <si>
    <t>Apple iPad Pro 6 12.9 (2022) Wi-fi + 5G - All Sizes - All Colours - Excellent</t>
  </si>
  <si>
    <t>TCL 10 Tab Max 10.36" Space Grey 64GB 4G Tablet 9295G-2DLCGB11</t>
  </si>
  <si>
    <t>Samsung Galaxy Tab S2 SM-T819 9.7" 32GB (WiFi+4G) 3GB Tablet- White /Black /Gold</t>
  </si>
  <si>
    <t>Apple iPad 5th Gen A1822 32GB 128GB Silver Gold Space Grey WiFi Tablet Excellent</t>
  </si>
  <si>
    <t>Acer Aspire Switch 10V SW5-014 10.1" 64GB Windows 10 Pro TABLET ONLY (A)</t>
  </si>
  <si>
    <t>Apple iPad 10th Gen 10.9" 2022 - 64GB Wi-Fi &amp; Cellular 5G - Unlocked - Yellow</t>
  </si>
  <si>
    <t>Apple iPad 7th Gen (2019)  10.2" 32GB  Wi-Fi + Cellular Unlocked iPadOS  - Gold</t>
  </si>
  <si>
    <t>Panasonic Toughpad Toughbook FZ-G1 Mk 3  i5,8 GB RAM, 256 GB SSD, Win 10  Tablet</t>
  </si>
  <si>
    <t>Apple iPad Air 2 (WiFi) 32GB Silver (Very Good Condition) W/ Case Bundle</t>
  </si>
  <si>
    <t>Panasonic Toughbook CF-D1,i5 6th Gen,16GB RAM, 2 Tb SSD, Win 10 Pro Diagnostics</t>
  </si>
  <si>
    <t>Samsung Galaxy Tab A SM-T285 Tablet 7inch 8GB 4G LTE WhatsApp, Voice Calling UK</t>
  </si>
  <si>
    <t>Apple iPad Pro 9.7" A1673 32GB 12MP Camera Tablet WiFi Only Silver VERY GOOD^</t>
  </si>
  <si>
    <t>Samsung Galaxy Tab S T807T 10.5" WIFI 16GB 1.2Ghz 2x Camera Android - Grey</t>
  </si>
  <si>
    <t>Samsung Galaxy Tab A 8.0 2019 - 32GB - All Colours - Wi-Fi Only - Good Condition</t>
  </si>
  <si>
    <t>iPad Pro 32GB Wi-Fi Gold A1673 Grade A Super Nice</t>
  </si>
  <si>
    <t>Samsung Galaxy Tab 3 7.0" (2013) Very Good Condition</t>
  </si>
  <si>
    <t>Apple iPad Pro 11in 3rd Gen 2021 - All Colors All Sizes - Wi-Fi Only - Good</t>
  </si>
  <si>
    <t>Apple iPad Mini 4 128GB Silver WiFi Excellent Condition</t>
  </si>
  <si>
    <t>Apple iPad Mini 3 3rd Gen 16GB 64GB 128GB Space Grey Silver Gold Tablet | Good</t>
  </si>
  <si>
    <t>Samsung Galaxy Tab S2 SM-T813N Tablet 9.7Inch 3GB Ram 32GB Wi-Fi Android - White</t>
  </si>
  <si>
    <t>SAMSUNG GALAXY TAB A  SM-T580 10.1 (2016) - BLACK - 16GB -VG</t>
  </si>
  <si>
    <t>SAMSUNG GALAXY TAB S7 12.4" TABLET 64GB UFS 4GB ANDROID SILVER SM-T733NZSAEUA</t>
  </si>
  <si>
    <t>Apple iPad Pro 6th Gen 12.9" 2022 M2 - 128GB WiFi &amp; Cellular 5G - Space Grey</t>
  </si>
  <si>
    <t>Samsung Galaxy Tab A 10.1 (2019) - All Colours - 32GB - Wi-Fi Only - Very Good</t>
  </si>
  <si>
    <t>Samsung Galaxy Tab A (2019) Tablet, 10.1", 32GB, WiFi, Silver, SM-T510</t>
  </si>
  <si>
    <t>Apple iPad Mini 3-Wi-Fi/Wi-Fi+&lt;wbr/&gt;4G-16/64/128GB&lt;wbr/&gt;-IOS-ALL COLOURS-Excell&lt;wbr/&gt;ent Condition</t>
  </si>
  <si>
    <t>Apple iPad 6th Gen 128GB 9.7" WIFI ONLY Grey B Grade keyboard ONE Year Warranty</t>
  </si>
  <si>
    <t>SAMSUNG Galaxy Tab S7 SM-T870 11" Tablet - 128 GB  Mystic Bronze</t>
  </si>
  <si>
    <t>EE</t>
  </si>
  <si>
    <t>EE Jay 8" (E8QP) Tablet 16GB, WiFi + 4G Radio - Silver - Good Used</t>
  </si>
  <si>
    <t>Apple iPad Pro 12.9 5th Gen (A2461) 1TB Silver Unlocked Pristine Condition CPR®</t>
  </si>
  <si>
    <t>Samsung Galaxy Tab A SM-T510 (2019) 32GB 2GB WiFi 10.1" Android Tablet - Black</t>
  </si>
  <si>
    <t>Apple iPad 9th Gen 64GB 256GB WiFi Cell 4G Unlocked Silver Gold Grey GOOD USED</t>
  </si>
  <si>
    <t>Apple iPad Air 1st Gen 16GB 32GB 64GB 128GB Space Grey Silver WiFi Excellent</t>
  </si>
  <si>
    <t>Apple iPad 7th Generation 32GB Wi-Fi + 4G Various Colour Very Good Condition</t>
  </si>
  <si>
    <t>Samsung Galaxy Tab 4 SM-T530 10.1" WIFI 16GB 1.2Ghz 2x Camera Android - Grey</t>
  </si>
  <si>
    <t>Lenovo Tab 4 10 Plus TB-X704F 16GB 10.1" Tablet, Grey</t>
  </si>
  <si>
    <t>Apple iPad 6th Gen A1893 (WiFi) 32GB Space Gray (Good)</t>
  </si>
  <si>
    <t>Apple iPad Pro 5th Gen 12.9" 2021 M1 - 1TB WiFi &amp; Cellular 5G Unlocked - Silver</t>
  </si>
  <si>
    <t>Apple iPad Pro 11" 2nd Gen (2020) 128/256/512GB/&lt;wbr/&gt;1TB WiFi/4G Unlocked Grade A+</t>
  </si>
  <si>
    <t>Panasonic Toughbook CF-D1,i5 6th Gen, 16GB RAM, 2 Tb SSD, Win 11 Pro Diagnostics</t>
  </si>
  <si>
    <t>Apple iPad mini 4, 4th Gen 16GB 32GB 64GB 128GB Wi-Fi + 4G Cellular - Good</t>
  </si>
  <si>
    <t>Samsung Galaxy Tab A7 SM-T500 WiFi 10.4inch 3GB Android Tablet- Grey/Silver/Go&lt;wbr/&gt;ld</t>
  </si>
  <si>
    <t>Apple ipad Air 2nd Gen. 64gb Wifi + LTE Unlocked IOS Tablet Grey</t>
  </si>
  <si>
    <t>Samsung Galaxy Tab S  Tablet SM-T807V 16GB Wi-Fi 10.5in - Dazzling White Grade A</t>
  </si>
  <si>
    <t>Apple iPad 8th Gen 32GB 128GB WiFi Cell 4G Unlocked Silver Gold Grey GOOD USED</t>
  </si>
  <si>
    <t>Apple iPad 7th Gen - 32GB/128GB - 10.2in - 4G Unlocked - All Colours - Very Good</t>
  </si>
  <si>
    <t>Samsung SM-T510 Galaxy Tab A 10.1-Inch 32 GB Wi-Fi Tablet - Black - Refurbished</t>
  </si>
  <si>
    <t>Apple iPad Mini 5 64GB 256GB Space Grey Gold Silver WiFi Tablet Very Good</t>
  </si>
  <si>
    <t>Apple iPad mini 4 2015 - Wi-Fi/Wi-Fi + 4G - 32GB/128GB/256&lt;wbr/&gt;GB - Grey/Gold/Silv&lt;wbr/&gt;er</t>
  </si>
  <si>
    <t>Apple iPad Mini 3-Wi-Fi/Wi-Fi+&lt;wbr/&gt;4G-16/64/128GB&lt;wbr/&gt;-IOS-ALL COLOURS-Very Good Condition</t>
  </si>
  <si>
    <t>Apple iPad 7 10.2" 32GB 128GB Space Gray Gold Silver WiFi or Cellular - Good</t>
  </si>
  <si>
    <t>Samsung Galaxy Tab S7 FE 5G T738U 12.4" 64GB Mystic Black Verizon Unlocked Good</t>
  </si>
  <si>
    <t>Panasonic Toughbook CF-D1,Mk 3 i5 6th Gen,16GB  1 Tb Win 11 Pro Engineers Tablet</t>
  </si>
  <si>
    <t>iPad 5th Generation – Apple - 9.7" Display - Wifi - 2017 - 32GB Various Colours</t>
  </si>
  <si>
    <t>Samsung Galaxy Tab S6 SM-T860 128GB, Wi-Fi, 10.5in - Mountain Grey</t>
  </si>
  <si>
    <t>Apple iPad Air 1 (2013), 9.7", MD788LL/A, Wi-Fi, 16GB, Silver - Good</t>
  </si>
  <si>
    <t>Apple iPad Mini 4-Wi-Fi/Wi-Fi + 4G-16/64/128GB&lt;wbr/&gt;-IOS-ALL COLOURS-Good Condition</t>
  </si>
  <si>
    <t>Samsung Galaxy Tab S6 Lite SM-P610N Tablet 64Gb 10.4" WUXGA+ Grey Android</t>
  </si>
  <si>
    <t>Samsung Galaxy Tab A SM-T580 10.1" (WiFi, 32GB, 8MP) Tablet -BLACK</t>
  </si>
  <si>
    <t>Apple iPad Mini 1st Generation 32GB | Black | WiFi | Refurbished (Good) | 12M...</t>
  </si>
  <si>
    <t>Microsoft Surface Pro 3 - Core i5, 256GB SSD 8GB RAM, Wi-Fi, 12in, Silver - Good</t>
  </si>
  <si>
    <t>Apple iPad Mini 4 128GB Silver Unlocked Good Condition</t>
  </si>
  <si>
    <t>Apple iPad Air 2-Wi-Fi/Wi-Fi + 4G-16/32/64/12&lt;wbr/&gt;8GB-IOS-ALL COLOURS-Good Condition</t>
  </si>
  <si>
    <t>Apple iPad 4th Gen. 16GB, Wi-Fi (Unlocked), 9.7in - Black Very Good</t>
  </si>
  <si>
    <t>KOCASO</t>
  </si>
  <si>
    <t>kocaso MX1082 8GB Android Tablet, Black - Good Used</t>
  </si>
  <si>
    <t>Apple iPad (2018) 6th Generation 9.7", Wi-Fi, 32GB, Silver - Excellent</t>
  </si>
  <si>
    <t>Samsung Galaxy Tab S7+ Wi-Fi Tablet, Android, 256GB, 12.4" Mystic Black - Good</t>
  </si>
  <si>
    <t>Apple iPad mini 4, 32GB, Wi-Fi, 7.9inch, IOS 14.2 ,RD - Gold</t>
  </si>
  <si>
    <t>Lenovo M10 HD 4/64gb 10.1 Inch Android Tablet Wifi Only Iron Grey</t>
  </si>
  <si>
    <t xml:space="preserve">Apple iPad Air 4 (2020) - All Sizes &amp; Colours - Wi-Fi Only - Very Good </t>
  </si>
  <si>
    <t>Apple iPad Pro 10.5" 2017-Wi-Fi/Wi-&lt;wbr/&gt;Fi+4G-64/256/5&lt;wbr/&gt;12GB-ALL COLOURS-Excell&lt;wbr/&gt;ent</t>
  </si>
  <si>
    <t>LENOVO TAB M10 PLUS 3rd Gen 64GB GREY 10.61" WI-FI + 4G LTE GREAT CONDITIONS</t>
  </si>
  <si>
    <t>Samsung Galaxy Tab S8 Ultra 128GB Graphite WiFi Excellent Condition</t>
  </si>
  <si>
    <t>Samsung Galaxy Tab S (SM-T800) 16GB Wi-Fi  10.5" Tablet - Gold - Good used</t>
  </si>
  <si>
    <t>Samsung Galaxy Tab A 10.5" SM-T595 32GB WiFi + 4G LTE Unlocked Good Condition</t>
  </si>
  <si>
    <t>Apple iPad Mini 4-Wi-Fi/Wi-Fi+&lt;wbr/&gt;4G-16/64/128GB&lt;wbr/&gt;-IOS-ALL COLOURS-Very Good Condition</t>
  </si>
  <si>
    <t>Entity Verso Pro 10.1" 2-in-1 Tablet 4G LTE Android 32GB Storage Keyboard Silver</t>
  </si>
  <si>
    <t>Apple iPad Air 1st WiFi + Cellular Unlocked 16GB 32GB 64GB 128GB - Good</t>
  </si>
  <si>
    <t>Samsung Galaxy Tab S3 9.7in 2017 32GB 128GB White Black Wifi Tablet Good</t>
  </si>
  <si>
    <t>Apple iPad 10 2022 - 64GB/256GB - 10.9in - Wi-Fi + 5G - All Colours - Very Good</t>
  </si>
  <si>
    <t>Apple iPad Pro 11" 4th Gen (2022) - Wi-fi + 5G - All Sizes &amp; Colours - Very Good</t>
  </si>
  <si>
    <t>Samsung Galaxy Tab A (2019) 32GB, Wi-Fi +4G, 10.1in - Various Colours, Excellent</t>
  </si>
  <si>
    <t>Apple iPad Pro 9.7" 32GB Rose Gold  | Wi-Fi &amp; 4G Unlocked | Refurbished (Good...</t>
  </si>
  <si>
    <t>Huawei MatePad 10.4" IPS 4GB / 64GB WiFi Tablet - Midnight Grey</t>
  </si>
  <si>
    <t>Apple iPad Mini 2-Wi-Fi/Wi-Fi + 4G-16/32/64/12&lt;wbr/&gt;8GB-IOS-ALL COLOURS-Very Good</t>
  </si>
  <si>
    <t>NEW! Microsoft Surface Pro 3 Intel Core i5-4300U 8GB 256GB Win 10 Pro ⚡⚡</t>
  </si>
  <si>
    <t>Apple iPad Pro (1st Gen) 128GB Wi-Fi 12.9" Gray Silver Gold (2015) - Excellent</t>
  </si>
  <si>
    <t>Apple iPad 5th Gen , WiFi, 9.7-inch, IOS 15  with Latest IOS (Fast Dispatch 🚚)</t>
  </si>
  <si>
    <t>Apple iPad 10th Gen 10.9" 2022 - 256GB Wi-Fi &amp; Cellular 5G - Unlocked - Silver</t>
  </si>
  <si>
    <t>Apple MGYE2B/A iPad Mini 3 7.9" Tablet Wi-Fi 16GB Storage Gold (No Accs) C</t>
  </si>
  <si>
    <t>Apple iPad Pro 2nd Gen 10.5" 64GB 256GB 512GB WiFi Cellular 4G iOS 15 GOOD USED</t>
  </si>
  <si>
    <t>Samsung Galaxy Tab A (2019)Tablet 10.1"  32GB  WiFi + 4G  Black SM-T515 Grade A</t>
  </si>
  <si>
    <t>Samsung Galaxy Tab S4 SM-T830 10.5" Tablet WiFi 4GB Ram 64GB 13MP Android - Grey</t>
  </si>
  <si>
    <t>Apple iPad Pro 3 (2018) - 12.9in - All sizes &amp; Colours - 4G Unlocked - Good</t>
  </si>
  <si>
    <t>Apple iPad 5th Gen 32GB, WiFi, 9.7-inch, IOS 15 - Space Grey</t>
  </si>
  <si>
    <t>Apple iPad Pro (1st Gen) 32GB Wi-Fi 12.9" Gray Silver Gold (2015) - Very Good</t>
  </si>
  <si>
    <t>HUAWEI MediaPad T5 (AGS2-W09) 10.1" WiFi Tablet 32GB 3GB Ram Android 8.0 - Black</t>
  </si>
  <si>
    <t>SAMSUNG Galaxy Tab A SM-T280 Tablet 7" Ram 1.5GB WiFi 2xCamera 8GB Android Black</t>
  </si>
  <si>
    <t>Apple iPad 6 (2018) - 32GB 128GB - Wi-Fi Only - Various Colours - Good</t>
  </si>
  <si>
    <t>Apple iPad Pro 3rd Gen 11" 2021 M1 128GB Space Grey WiFi &amp; Cellular 5G Unlocked</t>
  </si>
  <si>
    <t>Apple iPad mini 4, 7.9in Wi-Fi + 4G RD, 64GB Unlocked  IOS14.2 - Space Grey UK</t>
  </si>
  <si>
    <t>Apple iPad 8 (8th Gen) 32GB Wi-Fi 10.2" Gold Silver Gray (2020) - Very Good</t>
  </si>
  <si>
    <t>Apple iPad Mini 1st Gen 7.9" 16GB Small Portable Silver Tablet A1432 B</t>
  </si>
  <si>
    <t>Apple iPad Pro 9.7" 2016 32GB Gold Slim Portable Wi-Fi Tablet A1673 B</t>
  </si>
  <si>
    <t>Apple iPad Mini 2 2nd Gen 16GB 32GB 64GB 128GB Space Grey Silver | Excellent</t>
  </si>
  <si>
    <t>Amazon Fire Kids Edition 7" Tablet 1GB RAM 16 GB Storage Pink</t>
  </si>
  <si>
    <t>Apple iPad mini 3 (3rd Gen) 16GB 64GB 128GB Wi-Fi 7.9" - Excellent</t>
  </si>
  <si>
    <t>Microsoft Surface Pro 8 13" Tablet Core i7 16GB RAM 512GB SSD Graphite</t>
  </si>
  <si>
    <t xml:space="preserve">Acer Aspire Switch 10V TABLET ONLY SW5-014P 64GB 1.44GHz WIN 10 Pro(A+)🔥 </t>
  </si>
  <si>
    <t>Apple iPad Air 4th Gen 256GB WiFi ONLY 10.9in 4K S.Gray 2020 One Year Warranty</t>
  </si>
  <si>
    <t>Apple iPad Pro 11-inch (3rd Gen.) 256GB Space Gray Unlocked Very Good Condition</t>
  </si>
  <si>
    <t>Apple iPad Air 2-Wi-Fi/Wi-Fi+&lt;wbr/&gt;4G-16/32/64/12&lt;wbr/&gt;8GB-IOS-ALL COLOURS-Good Condition</t>
  </si>
  <si>
    <t>Apple iPad 7th Gen 10.2" 32GB WiFi+4G Gold 2019 A Grade Apple Box 12M Warranty</t>
  </si>
  <si>
    <t>Apple iPad 10th Gen 10.9" 2022 - 256GB Wi-Fi &amp; Cellular 5G - Unlocked - Blue</t>
  </si>
  <si>
    <t>Samsung Galaxy Tab A 10.1, SM-T510, 32GB, Metallic Black - Refurbished Excellent</t>
  </si>
  <si>
    <t>Samsung Galaxy Tab A SM-T510 (2019) 32GB 2GB WiFi 10.1" Android Tablet  - Gold</t>
  </si>
  <si>
    <t>Lenovo Yoga Tablet 2 - 1050F 10.1, 16GB - Silver, Good Used</t>
  </si>
  <si>
    <t>iPad Pro 10.5 Inch 512GB WiFi - Grade B</t>
  </si>
  <si>
    <t>Apple iPad Pro 11in 3rd Gen 2021 - All Colors-All Sizes - Wi-Fi Only - Very Good</t>
  </si>
  <si>
    <t>Apple iPad Air 2 2nd WiFi + Cellular Unlocked 16GB 32GB 64GB 128GB - Good</t>
  </si>
  <si>
    <t>Apple iPad Air 5 2022 - All Sizes - All Colours -Wi-Fi + 5G- Very Good Condition</t>
  </si>
  <si>
    <t>Samsung Galaxy Tab S5e SM-T720 Tablet WiFi, Android, 64GB, Wi-Fi, 10.5in - Black</t>
  </si>
  <si>
    <t>Samsung Galaxy Tab 4 10.1" 16GB Black | Wi-Fi | Refurbished (Very Good) | 12M...</t>
  </si>
  <si>
    <t>Samsung Galaxy Tab S5e 10.5in 2019 64GB 128GB Black Gold Silver WiFi Very Good</t>
  </si>
  <si>
    <t>Samsung Galaxy Tab S3 SM-T820  9.7" Tablet WiFi 32GB 4GB 13MP Android- Silver</t>
  </si>
  <si>
    <t>Samsung Galaxy Tab S4 SM-T830 64/256GB 13MP Tablet WiFi Black/Grey GOOD</t>
  </si>
  <si>
    <t>Apple iPad 8th Generation 32GB Space Gray Unlocked Good Condition</t>
  </si>
  <si>
    <t>Apple iPad 6th Gen A1893 32GB 128GB Silver Gold Space Grey WiFi Tablet Excellent</t>
  </si>
  <si>
    <t>Samsung Galaxy Tab A 8" (2019) - Wi-Fi, 32GB - Silver</t>
  </si>
  <si>
    <t xml:space="preserve">Microsoft Surface Go 2 10.5" - Core M3 8GB RAM - 128GB LTE (Unlocked) - Good </t>
  </si>
  <si>
    <t>Huawei MediaPad T1 8.0 T1-821L Tablet -8GB Silver WiFi+3G - Good Used</t>
  </si>
  <si>
    <t>Apple iPad Pro Tablet, 9.7", 32GB, WiFi, Rose Gold, A1673</t>
  </si>
  <si>
    <t>Apple iPad Mini 4 128GB  Wi-Fi  +Cellular Unlocked 7.9in Space Grey MK8D2LL/A</t>
  </si>
  <si>
    <t>Samsung Galaxy Tab S7+ Tablet, Android, 256GB, 12.4" Mystic Black - Pristine</t>
  </si>
  <si>
    <t>Apple iPad mini 4, 128GB, Wi-Fi,  Dual-core A8 chip, 7.9inch - Silver</t>
  </si>
  <si>
    <t>Asus Google Nexus 7 K008 - Black, Good Used</t>
  </si>
  <si>
    <t>Panasonic Toughbook CF-D1,i5 Mk3 ,16GB RAM, 1TB SSD, Win 10 Pro Engineers Tab</t>
  </si>
  <si>
    <t>Apple iPad Air 2 (2014), 9.7", MH182LL/A, Wi-Fi, 64GB, Gold - Refurbished Good</t>
  </si>
  <si>
    <t>Samsung Galaxy Tab S8 Ultra 256GB Graphite WiFi Excellent Condition</t>
  </si>
  <si>
    <t>Refurbished Samsung Galaxy Tab S6 Lite 64GB 10.4 Inch Tablet A1/SM-P610NZAA&lt;wbr/&gt;BTU</t>
  </si>
  <si>
    <t>HUAWEI MEDIA PAD T2 PRO 16GB 8" TABLET WiFi + 4G JDNL01 (2017) UNLOCKED WHITE</t>
  </si>
  <si>
    <t>Lenovo Tab 2 A7-30 (2015) Mixed Colours Good Condition</t>
  </si>
  <si>
    <t>Apple iPad Air 2 9.7" 64GB Grey Slim Portable Wi-Fi Cellular Retina Tablet A1567</t>
  </si>
  <si>
    <t>Apple iPad 9th Gen 2021 - All Sizes &amp; Colours - Wi-Fi + 4G, Unlocked - Excellent</t>
  </si>
  <si>
    <t>Apple iPad Mini 4 16GB 32GB 64GB 128GB Gray Silver Gold WiFi or Cellular - Good</t>
  </si>
  <si>
    <t>Samsung Galaxy Tab S2 SM-T813N Tablet 9.7" 3GB 32GB Wi-Fi - White / Black / Gold</t>
  </si>
  <si>
    <t>Microsoft Surface Pro 7 12.3" Core i5 16GB RAM 256GB SSD WiFi - Platinum - Good</t>
  </si>
  <si>
    <t>Apple iPad Mini 2 - 16GB 32GB 64GB 128GB - Grey/Silver - WiFi - 7.9" - Excellent</t>
  </si>
  <si>
    <t>Lenovo Tab M10 32GB 10.1" TB-X505F Wi-Fi Tablet Black - Excellent</t>
  </si>
  <si>
    <t>Apple iPad Pro 9.7" 32GB 128GB 256GB Gray Silver Gold WiFi / Cellular- Very Good</t>
  </si>
  <si>
    <t>Apple iPad Pro 9.7" 2015-Wi-Fi/Wi-&lt;wbr/&gt;Fi + 4G-32/128/256G&lt;wbr/&gt;B-IOS-ALL COLOURS-Good</t>
  </si>
  <si>
    <t>Samsung Galaxy Tab 4 SM-T530 8.1" WIFI 16GB 1.2Ghz 2x Camera Android - Black</t>
  </si>
  <si>
    <t>Alcatel 3T 2GB 16GB 10 Inch Android Tablet with Bluetooth Speaker 8088X-3AALGB1</t>
  </si>
  <si>
    <t>Samsung Galaxy Tab S5e T727A 10.5" 64GB Black WiFi AT&amp;T Unlocked - Excellent</t>
  </si>
  <si>
    <t>Microsoft Surface Pro X  - 8GB RAM 128GB SSD 13in Black - Good</t>
  </si>
  <si>
    <t>Microsoft Surface Pro 7 12.3" - Core i5 128GB (8GB RAM) Platinum - Very Good</t>
  </si>
  <si>
    <t>Lenovo M8 Smart Tab 8" 32GB Tablet with Google Assistant - Grey</t>
  </si>
  <si>
    <t>Panasonic Toughpad Toughbook FZ-G1 MK4, i5, 8GB RAM, 256GB SSD, Win 10 A Grade</t>
  </si>
  <si>
    <t>Apple iPad Air (1st Gen) 9.7" 2013 16GB Cellular Space Grey</t>
  </si>
  <si>
    <t>Samsung Galaxy Tab S  Tablet SM-T807V 16GB Wi-Fi 10.5in - Dazzling White Grade B</t>
  </si>
  <si>
    <t>Huawei Matepad T10 Kids Edition 2GB / 32GB Android 9.7" HD Tablet Blue</t>
  </si>
  <si>
    <t>Apple iPad Pro 9.7" 2016 32GB Space Grey Slim Portable Wi-Fi Tablet A1673 C1</t>
  </si>
  <si>
    <t>Lenovo Tab 3 TB3-730F 16GB 7" HD Android Wi-Fi White Tablet A</t>
  </si>
  <si>
    <t>Vankyo</t>
  </si>
  <si>
    <t>Vankyo MatrixPad Z1 7" Tablet, 32GB Storage, Black</t>
  </si>
  <si>
    <t>Samsung Galaxy Tab 2 7.0 (2012) Mixed Colours Very Good Condition</t>
  </si>
  <si>
    <t>Lenovo TAB M10 (TB-X306F), 10.1", 64GB, Wi-Fi, Black - Pristine</t>
  </si>
  <si>
    <t>Microsoft Surface Pro 3, Intel Core i5, 4GB RAM, 128GB, Wi-Fi, 12", Silver</t>
  </si>
  <si>
    <t>Apple iPad 8 2020 8th Gen 32/128GB WiFi/4G 10.2" All Colours GOOD CONDITION</t>
  </si>
  <si>
    <t>Samsung Galaxy Tab S4 SM-T830 64GB 13MP Camera Tablet WiFi Only Black GOOD</t>
  </si>
  <si>
    <t>Microsoft Surface Pro 4 12.3" Windows 11 Tablet Intel M3 6Y30 4GB 128GB SSD</t>
  </si>
  <si>
    <t>Apple iPad mini 4, IOS 14.2 ,128GB, Wi-Fi, 7.9in  - Gold</t>
  </si>
  <si>
    <t>Microsoft Surface Pro 8 - Core i5 8GB RAM 256GB SSD Wi-Fi Platinum - Good</t>
  </si>
  <si>
    <t xml:space="preserve">Apple iPad 7th Generation 32GB Wi-Fi + 4G Various Colour Excellent Device </t>
  </si>
  <si>
    <t>Microsoft Surface Pro 8 - Core i5 8GB RAM 256GB SSD Wi-Fi Graphite - Good</t>
  </si>
  <si>
    <t>Apple iPad Pro 12.9-inch 5th Gen. 256GB, Wi-Fi, Space Gray - Good</t>
  </si>
  <si>
    <t>Apple iPad Pro M1 (5th Gen) (12.9 inch) (2021)  Wi-Fi + Cellular - Excellent</t>
  </si>
  <si>
    <t>Apple iPad Pro (2016) 9.7" 32GB 128GB 256GB All Colors (WiFi or Cellular)</t>
  </si>
  <si>
    <t>SAMSUNG GALAXY TAB A 10.1" TABLET 32GB eMMC 2GB ANDROID GOLD SM-T510NZDDBTU</t>
  </si>
  <si>
    <t>Huawei MatePad T10 9.7" HD IPS 3GB / 64GB Android WiFi Tablet Blue</t>
  </si>
  <si>
    <t>Lenovo Tab P11 Plus Tablet 11" 2000x1200 Touch Helio G90T 4GB 128GB Android 11 R</t>
  </si>
  <si>
    <t>Apple iPad (5th Gen.) 32GB 128GB Unlocked WiFi Excellent</t>
  </si>
  <si>
    <t>Apple iPad Mini 4 16GB 32GB 64GB 128GB Unlocked WiFi Excellent</t>
  </si>
  <si>
    <t>Apple iPad Pro 1st Generation 32GB 128GB Wi-Fi Excellent Device Various Colours</t>
  </si>
  <si>
    <t>Apple iPad Air 4 (2020) - 64GB - All Colors - Wi-fi Only - Excellent Condition</t>
  </si>
  <si>
    <t>Apple iPad 5th Gen -  iPad iOS 15, 32GB, WiFi 9.7-inch - Space Grey</t>
  </si>
  <si>
    <t>Apple iPad Air 2 A1567 (WiFi + Cellular Unlocked) 32GB Space Gray (Excellent)</t>
  </si>
  <si>
    <t>Apple iPad Air 2 A1567 (WiFi + Cellular Unlocked) 32GB Space Gray (Very Good)</t>
  </si>
  <si>
    <t>Apple iPad Air 5 (2022) 10.9" 64GB 256GB All Colors WiFi or Cellular - Excellent</t>
  </si>
  <si>
    <t>Apple iPad 8 2020 - 32GB/128GB - 10.2in - Wi-Fi Only - All Colours - Very Good</t>
  </si>
  <si>
    <t>Samsung Galaxy Tab S5e SM-T720 64GB 10.5 Inch Tablet : Gold</t>
  </si>
  <si>
    <t>Apple iPad Air 4 (2020) - 64GB - All Colors - Wi-fi + 4G - Excellent Condition</t>
  </si>
  <si>
    <t>ZTE</t>
  </si>
  <si>
    <t>ZTE Grand X View 2 8GB 8" K81 Wi-Fi 4G (Bell Canada) Unlocked Tablet - Excellent</t>
  </si>
  <si>
    <t>Microsoft Surface Pro 4 i5-6300U 8GB RAM 256GB WINDOWS 10 PRO 1724 (Grade B)</t>
  </si>
  <si>
    <t>Apple iPad Air 4th Gen 64GB Wi-Fi + 4G CELLULAR UNLOCKED - Rose Gold - MYJ02LL/A</t>
  </si>
  <si>
    <t>Apple iPad Pro 10.5" 64GB 256GB 512GB Gray Gold Silver WiFi or Cellular - Good</t>
  </si>
  <si>
    <t>Apple iPad Air 2nd Gen 9.7" 64GB Space Gray (WiFi) - Good - 1 Year Warranty</t>
  </si>
  <si>
    <t>Apple iPad Air 1st Gen - 16GB - Silver/Gray - Wi-Fi Only - Very Good Condition</t>
  </si>
  <si>
    <t>ASUS Google Nexus 7 Android 7" 2GB RAM 16GB eMMC Tablet - Black B</t>
  </si>
  <si>
    <t>Apple iPad 7th Gen 32GB Wi-Fi, 10.2 in - SILVER (2019 MODEL) MW752LL/A EXCELLENT</t>
  </si>
  <si>
    <t>Apple iPad Mini 4 Wi-Fi + Cellular, 64GB, 7.9", Space Grey</t>
  </si>
  <si>
    <t>Apple iPad Air 2 128GB,32GB,64G&lt;wbr/&gt;B,16GB Unlocked,WiFi Gold,Silver,Gr&lt;wbr/&gt;ay-Good</t>
  </si>
  <si>
    <t>Samsung Galaxy Tab 4 10.1 T530 16GB White Black Unlocked Tablet Excellent</t>
  </si>
  <si>
    <t>Apple iPad Pro 10.5 64GB 256GB 512GB Space Grey Rose Gold Silver WiFi Very Good</t>
  </si>
  <si>
    <t>DELL Venue 7 - 3740 Tablet, Intel Atom Z3460 - 1.6 GHz, 1GB, 8GB, WiFi *SCHWARZ*</t>
  </si>
  <si>
    <t>Apple iPad mini 4,  Wi-Fi, 7.9inch,128GB, IOS 14.2,  - Silver</t>
  </si>
  <si>
    <t>Samsung Galaxy Tab 4 16GB Tablet 8"  Snap Dragon 410 Quad-Core 1.2GHZ GRADE A</t>
  </si>
  <si>
    <t>Apple iPad 5th Gen A1823 32GB 128GB Silver Gold Space Grey WiFi + 4G Very Good</t>
  </si>
  <si>
    <t>Samsung Galaxy Tab S7 SM-T875 2020 11" 128GB 13MP Android Phantom Navy Unlocked</t>
  </si>
  <si>
    <t>Apple iPad 5th Gen 32GB, Retina Wi-Fi ONLY  9.7" Space Grey B Grade Warranty</t>
  </si>
  <si>
    <t>Samsung Galaxy Tab A7 Lite SM-T220N 32Gb 8.7" 3Gb Wi-Fi 5 Grey</t>
  </si>
  <si>
    <t>Samsung Galaxy Tab S6 SM-T865 10.5" 128GB, 4G, Unlocked - Mountain Grey</t>
  </si>
  <si>
    <t>Apple iPad Mini 5 5th Generation 64GB, Wi-Fi, 7.9in - Space Grey - Excellent! A*</t>
  </si>
  <si>
    <t>Apple iPad Pro 5 (2021) - All sizes, 12.9in Silver/Grey, 5G Unlocked - Very Good</t>
  </si>
  <si>
    <t>Samsung Galaxy Tab S7+ Plus - All Sizes All Colours - WiFi + 5G - Good Condition</t>
  </si>
  <si>
    <t>Apple iPad Pro 9.7" A1673 32/128GB Tablet Grey/Silver/Ro&lt;wbr/&gt;se WiFi Only VERY GOOD</t>
  </si>
  <si>
    <t>Apple iPad 7th Gen - 32GB/128GB - 10.2in - Wi-Fi Only - All Colours - Very Good</t>
  </si>
  <si>
    <t>Samsung Galaxy Tab E 9.6 | 8GB | Black | WiFi | Refurbished (Excellent) | 12M...</t>
  </si>
  <si>
    <t>Apple iPad A1893 9.7" - 128GB - Wi-Fi supports Apple Pencil IOS 16 Apple box</t>
  </si>
  <si>
    <t>Apple iPad Pro 9.7 (1st Gen) - All sizes All Colours Wi-Fi + 4G - Very Good</t>
  </si>
  <si>
    <t>Lenovo Yoga Tab 13 Tablet 13" 2160x1350 Snapdragon 870 8GB 128GB Android 11 R</t>
  </si>
  <si>
    <t>Samsung Galaxy Tab A7 Lite SM-T220N 32Gb  8.7" 3Gb Silver</t>
  </si>
  <si>
    <t>Apple iPad 8th Gen 32GB, Wi-Fi ONLY 10.2inch Space Grey Mint Condition Apple Box</t>
  </si>
  <si>
    <t>Apple iPad Mini 4 128GB 4G Wifi+Cellular - Unlocked - Gold - Very Good Condition</t>
  </si>
  <si>
    <t>Lenovo Tab 4 - (ZA2J0011GB ) 10.1" Tablet, 2GB Ram, 16GB, Android - White</t>
  </si>
  <si>
    <t>Apple iPad Pro 12.9-inch 5th Gen. 256GB, Wi-Fi, Silver - Excellent</t>
  </si>
  <si>
    <t>Samsung Galaxy Tab S4 SM-T830 Tablet 10.5" WiFi 4GB Ram 64GB 13MP Android- Black</t>
  </si>
  <si>
    <t>Lenovo Tablet TAB 4 Plus (TB-X704F) 16GB WiFi - Aurora Black  - Good Used</t>
  </si>
  <si>
    <t>Samsung Galaxy Tab S5e SM-T725 10.5" WiFi+4G 64GB 4GB  Android Tablet - Black</t>
  </si>
  <si>
    <t>Apple iPad 5 9.7" 2017 - All Sizes &amp; Colours - Wi-Fi Only - Very Good Condition</t>
  </si>
  <si>
    <t xml:space="preserve">Apple iPad 7th Gen (2019) - 32GB - All Colors - Wi-Fi Only - Very Good </t>
  </si>
  <si>
    <t>SAMSUNG Galaxy Tab A SM-T280 Tablet 7" Ram 1.5GB WiFi 2xCam 8GB Android - White</t>
  </si>
  <si>
    <t xml:space="preserve">Apple iPad 5th Gen (2017) - 128GB - All Colors - Wi-Fi Only - Very Good </t>
  </si>
  <si>
    <t>Apple iPad Air 4 (2020) - 64GB - All Colors - Wi-fi Only - Very Good Condition</t>
  </si>
  <si>
    <t>Samsung Galaxy Tab S4 SM-T830 64GB 13MP Camera Tablet WiFi Only Black GOOD^^</t>
  </si>
  <si>
    <t>Lenovo Tab P11 Plus Tablet 11" 2000x1200 Touch Helio G90T 6GB 128GB Android 11 R</t>
  </si>
  <si>
    <t>Tianyida</t>
  </si>
  <si>
    <t>Tianyida 10 Inch Tablet 3G Phablet Android 7.0 Quad Core 32GB ROM</t>
  </si>
  <si>
    <t xml:space="preserve">Samsung Galaxy Tab S5e - All Sizes - All Colours - Wi-Fi Only - Excellent </t>
  </si>
  <si>
    <t>Apple iPad Pro 10.5 64GB Space Gray WiFi Good Condition</t>
  </si>
  <si>
    <t>Apple iPad 6th Gen (2018) - 32GB - All Colors - Wi-Fi Only - Excellent</t>
  </si>
  <si>
    <t>Apple iPad Mini 2, Wi-Fi, 16GB, Silver (ME279LL/A) - Excellent</t>
  </si>
  <si>
    <t>iPad 5th Generation – Apple – 9.7" Display – Wifi – 2017 - 128GB - Space Grey</t>
  </si>
  <si>
    <t>Panasonic Toughbook CF-D1, i5 Mk 3 6th Gen, Diagnostic Engineers Tab Win 11 Pro</t>
  </si>
  <si>
    <t>ASUS Memo Pad HD 7 ME173X 7" Tablet 16GB Android White - Good Used</t>
  </si>
  <si>
    <t>Apple iPad Pro 5th Gen 12.9" 2021 M1 256GB Silver WiFi &amp; Cellular 5G - Unlocked</t>
  </si>
  <si>
    <t>Apple iPad Air 1st Gen 16GB 64GB 32GB 128GB Space Grey Silver 4G 9.7 in | Good</t>
  </si>
  <si>
    <t>Lenovo Tab M7 Tablet Mediatek MT8166 2Gb 32Gb eMCP 7" Android 11 ZA8C0075GB</t>
  </si>
  <si>
    <t>Apple iPad Air 2 (2nd Gen) 16GB Wi-Fi Cellular Unlocked 9.7" (2014) - Good</t>
  </si>
  <si>
    <t>Samsung Galaxy Tab A7 SM-T500 32GB, Wi-Fi, 10.4" - Silver</t>
  </si>
  <si>
    <t>Apple iPad Pro (2015) 12.9" 32GB 128GB 256GB Gray Silver Gold WiFi or Cellular</t>
  </si>
  <si>
    <t>Microsoft Surface Pro 4 - Core i5 128GB SSD 4GB RAM Wi-Fi 12.3" Silver - Good</t>
  </si>
  <si>
    <t>Apple iPad Pro (1st Gen) 256GB Wi-Fi Cellular Unlocked 12.9" (2015) - Good</t>
  </si>
  <si>
    <t>Apple iPad 4 (2012) Black 16GB WiFi iPadOS 10 1 Year Warranty</t>
  </si>
  <si>
    <t>Apple iPad 6th Gen 32GB Wi-Fi 9.7in 8MP Cam  IOS 15 Space Grey - Fast Dispatch</t>
  </si>
  <si>
    <t>Apple iPad Air 2 A1566 (WiFi) 16GB Space Gray (Excellent)</t>
  </si>
  <si>
    <t>Apple iPad Air 2 32 GB Space Gray Excellent Condition</t>
  </si>
  <si>
    <t>Samsung Galaxy Tab S6 Lite SM-P615 64GB S PEN, 4G Unlocked, 10.4" - Oxford Grey</t>
  </si>
  <si>
    <t>Apple iPad 6th Gen 9.7''32GB A1954 WiFi 4G LTE Factory Unlocked Tablet Excellent</t>
  </si>
  <si>
    <t>Geo Computers GEO TAB 110 Starberry Red 10.1" Intel Celeron 4Gb W11HS</t>
  </si>
  <si>
    <t>Apple iPad Air 5th Gen 10.9" 2022 M1 - 64GB WiFi &amp; Cellular 5G Unlocked - Pink</t>
  </si>
  <si>
    <t>Acer Aspire Switch 10V SW5-014P 64GB 1.44GHz Quad-core WIN 10 Pro (A)</t>
  </si>
  <si>
    <t>Apple iPad Pro (3rd Gen) (12.9 inch) (2018) - 1TB - Wi-Fi + Cellular - Good</t>
  </si>
  <si>
    <t>Apple iPad Pro 12 9 6th Gen 512GB Grey WiFi Excellent Condition</t>
  </si>
  <si>
    <t>Apple iPad 6th Gen (2018) - 128GB - All Colors - Wi-Fi + 4G Unlocked - Very Good</t>
  </si>
  <si>
    <t>Apple iPad Air 5 2022 - All Sizes - All Colours -Wi-Fi + 5G - Good Condition</t>
  </si>
  <si>
    <t>Amazon Fire HD 10 - M2V3R5 - 10.1", 32GB - Pink - Pristine</t>
  </si>
  <si>
    <t>Apple iPad Air 2 9.7" 16GB 32GB 64GB 128GB All Colors WiFi + Cellular -Excellent</t>
  </si>
  <si>
    <t>Apple iPad 2022 10th Gen 10.9'' Wi-Fi + Cellular 256GB - *Blue* B</t>
  </si>
  <si>
    <t>Apple iPad Pro (1st Gen) 128GB Wi-Fi 12.9" Gray Silver Gold (2015) - Very Good</t>
  </si>
  <si>
    <t>Lenovo Tab P10 Tablet Snapdragon 450 3GB RAM 32GB Storage 10.1" FHD IPS Android9</t>
  </si>
  <si>
    <t>Apple iPad 4 A1458 (WiFi) 16GB Black iOS 10.3.4 (Very Good)</t>
  </si>
  <si>
    <t>Samsung Galaxy Tab (2019) 10.1in SM-T517P 32GB Silver (Sprint Unlocked) Good</t>
  </si>
  <si>
    <t xml:space="preserve">Samsung Galaxy Tab A8 10.5in - 32GB - Graphite - Wi-Fi Only - Good Condition </t>
  </si>
  <si>
    <t>Apple iPad Pro (1st Gen) 128GB Wi-Fi Cellular Unlocked 12.9" (2015) - Good</t>
  </si>
  <si>
    <t>Apple iPad Pro 1st Gen 12.9" 128GB Space Gray Tablet (WiFi + Cellular) - Good</t>
  </si>
  <si>
    <t>Apple iPad Pro 2 (2nd Gen) 64GB Wi-Fi Cellular Unlocked 12.9" (2017) - Excellent</t>
  </si>
  <si>
    <t>Apple iPad Pro 3 (2021) 11" 128GB 256GB 512GB All Colors (WiFi or Cellular)</t>
  </si>
  <si>
    <t>Apple iPad Pro 12 9 6th Gen 256GB Grey Unlocked Excellent Condition</t>
  </si>
  <si>
    <t>Apple iPad 6th Gen 9.7''32GB A1954 WiFi 4G LTE Factory Unlocked Tablet Very Good</t>
  </si>
  <si>
    <t>Apple iPad Pro 12.9-inch 5th Gen. 128GB, Wi-Fi, Silver - Excellent</t>
  </si>
  <si>
    <t>Apple iPad 8 (8th Gen) 32GB Wi-Fi 10.2" Gold Silver Gray (2020) - Excellent</t>
  </si>
  <si>
    <t>Samsung Galaxy Tab S4 10.5" T837V (WiFi/Verizon) 64GB Black (Very Good)</t>
  </si>
  <si>
    <t>Apple iPad Pro 12.9 Inch 5th 128GB 256GB 512GB 1TB 2TB - All Colors - Excellent</t>
  </si>
  <si>
    <t>Apple iPad Pro 12.9-inch (5th Gen.) 128GB Space Gray WiFi Excellent Condition</t>
  </si>
  <si>
    <t>Huawei MediaPad T5 10.1" WiFi  Tablet 16GB, 2GB Ram Android - Black</t>
  </si>
  <si>
    <t>Apple iPad 6th Generation 32GB WiFi Space Grey Refurbished 12 Months Warranty</t>
  </si>
  <si>
    <t>Samsung Galaxy Tab A6 8GB SM-T280 7.0" Wi-Fi Tablet Black - Excellent</t>
  </si>
  <si>
    <t>Samsung Galaxy Tab S2 9.7in 32GB 64GB White Black Gold Unlocked Tablet Excellent</t>
  </si>
  <si>
    <t>Samsung Galaxy Tab Active 2 8"  16GB  WiFi + 4G  Black SM-T395 Warranty Grade A</t>
  </si>
  <si>
    <t>Nexus</t>
  </si>
  <si>
    <t>Google/HTC Nexus 9 WiFi 32GB - Slate Black/Brown - Very Good</t>
  </si>
  <si>
    <t>Apple iPad Pro 12.9-inch (5th Gen.) 256GB Silver Unlocked Excellent Condition</t>
  </si>
  <si>
    <t>HP Elite X2 1012 G1 Enterprise Tablet Intel m7-6Y75 -  4GB 256 GB SSD Windows 10</t>
  </si>
  <si>
    <t>Apple iPad 7th Gen - 32GB/128GB - 10.2in - 4G Unlocked - All Colours - Good</t>
  </si>
  <si>
    <t>SAMSUNG GALAXY TAB A  SM-T580 10.1 (2016) - BLACK - 16GB -EXC</t>
  </si>
  <si>
    <t>Samsung Galaxy Tab A 10.1 (2019) - All Colours - 32GB - Wi-Fi Only - Good</t>
  </si>
  <si>
    <t>Samsung Galaxy Tab S2 SM-T810N Tablet 9.7Inch 3GB Ram 32GB Wi-Fi Android - Black</t>
  </si>
  <si>
    <t>Apple iPad 6th Generation 32GB Silver Unlocked Excellent Condition</t>
  </si>
  <si>
    <t>Apple iPad Pro 12.9" Tablet 5th Gen 2021 128GB 256GB 512GB WiFi Cellular</t>
  </si>
  <si>
    <t>Apple iPad mini 4 - (64GB, Wi-Fi, 7.9in, IOS 14.2)  - Gold</t>
  </si>
  <si>
    <t>Apple iPad Pro 2 (2nd Gen) 256GB WiFi Cellular Unlocked 12.9" (2017) - Excellent</t>
  </si>
  <si>
    <t>Lenovo Yoga Smart Tab YT-X705F 4/64GB Android 10.1 Inch Tablet Wifi Only Black</t>
  </si>
  <si>
    <t>Apple iPad 5th Gen A1823 32GB 128GB Silver Gold Space Grey WiFi + 4G Excellent</t>
  </si>
  <si>
    <t>Apple iPad Pro 9.7" A1673 32GB 12MP Camera Tablet WiFi Only Silver VERY GOOD~</t>
  </si>
  <si>
    <t>Samsung Galaxy Tab A 16GB 9.7"  SM-T550 Black | WiFi | Refurbished (Good) | 1...</t>
  </si>
  <si>
    <t>Apple iPad 8th Gen 2020 32GB Silver Slim Portable Wi-Fi iOS Tablet A2270 B</t>
  </si>
  <si>
    <t>Apple iPad Mini 1st Gen Tablet A1432 (Wi-Fi Only) 16GB Black Very Good</t>
  </si>
  <si>
    <t>Microsoft Surface Pro 7 12.3" Tablet Core i5 8GB RAM 128GB SSD Platinum C Grade</t>
  </si>
  <si>
    <t>Apple iPad 6th Gen A1893 32GB 128GB Silver Gold Space Grey WiFi Tablet Very Good</t>
  </si>
  <si>
    <t>Lenovo TAB M7 TB-7305F 16GB - Platinum Grey</t>
  </si>
  <si>
    <t>Apple iPad 5 9.7" 2017 - All Sizes &amp; Colours - Wi-Fi Only - Good Condition</t>
  </si>
  <si>
    <t>Apple iPad Air 1 9.7" 128GB Silver Wi-Fi Cellular LTE Tablet A1475 B</t>
  </si>
  <si>
    <t>Apple iPad 6th Gen | 32GB | Gold | Wi-Fi + 4G | Refurbished (Very Good) | 12M...</t>
  </si>
  <si>
    <t>Royole</t>
  </si>
  <si>
    <t>ROYOLE RoWrite 2 RY0202 Digital Notepad - Beige</t>
  </si>
  <si>
    <t>Samsung Galaxy Tab A 16GB 9.7" SM-P550 Wi-Fi Tablet - Excellent</t>
  </si>
  <si>
    <t>Apple iPad 7th Gen. 32GB, Wi-Fi + 4G Cellular Unlocked, 10.2" - Gray - GOOD!</t>
  </si>
  <si>
    <t>Samsung Galaxy Tab S6 Lite SM-P610 64GB, Wi-Fi, 10.4" - Oxford Grey</t>
  </si>
  <si>
    <t>Apple iPad Pro 3rd Gen 11" 2021 M1 - 512GB WiFi &amp; Cellular 5G Unlocked - Silver</t>
  </si>
  <si>
    <t xml:space="preserve">Apple iPad Pro 1st Generation Wi-Fi  32GB 128GB 256GB Very Good Condition </t>
  </si>
  <si>
    <t>Apple iPad mini 4, Wi-Fi, 7.9inch, IOS 14.2,128GB - Space Grey</t>
  </si>
  <si>
    <t>Microsoft Surface Pro X - 16GB RAM 512GB - Wi-Fi + LTE (Unlocked) - Very Good</t>
  </si>
  <si>
    <t>Samsung Galaxy Tab A7 SM-T500 32GB WiFi 10.4" Android Tablet - Silver</t>
  </si>
  <si>
    <t>Apple iPad Pro 10.5" 2017 256GB Silver Slim Wifi Retina Tablet A1701 C1</t>
  </si>
  <si>
    <t>Samsung Galaxy Tab A7 2020 - 32GB - All Colours - WiFi + 4G Unlocked - Excellent</t>
  </si>
  <si>
    <t>Samsung Galaxy Tab A 10.1, SM-T515, 32GB Unlocked - Black - Excellent</t>
  </si>
  <si>
    <t>Apple iPad 4th Generation 9.7", Wi-Fi, 16GB, Black - Refurbished Good</t>
  </si>
  <si>
    <t>Apple iPad Air 1st Gen, 32GB Wi-Fi + Cellular (Unlocked) 9.7-In  RD- Space Grey</t>
  </si>
  <si>
    <t>Apple iPad Air 3 2019  10.5" 64GB WiFi Only, Space Grey</t>
  </si>
  <si>
    <t>Samsung Galaxy Tab A, SM-T510, 10.1", 32GB Tablet - Gold - Refurbished Pristine</t>
  </si>
  <si>
    <t>Apple iPad Pro 6th Gen 12.9" 2022 M2 - 512GB WiFi &amp; Cellular 5G - Space Grey</t>
  </si>
  <si>
    <t>Apple iPad 7th Generation 2019 10.2" 32GB Gold - Good</t>
  </si>
  <si>
    <t>Samsung Galaxy Tab S6 SM-T860 128GB +Samsung Keyboard Wi-Fi 10.5in Mountain Grey</t>
  </si>
  <si>
    <t xml:space="preserve">Apple iPad (2021) 10.2" IPS Retina Display Tablet A13 Bionic Chip 256GB Storage </t>
  </si>
  <si>
    <t>SAMSUNG Galaxy Tab A (SM-T290) 32GB 8'' (hairline crack on screen) (Excellent)</t>
  </si>
  <si>
    <t>Apple iPad Air -16/32/64GB - WiFi or 4G -9.7in -Black or White - EXCELLENT</t>
  </si>
  <si>
    <t>Apple iPad (1st Generation), Wi-Fi, 16GB, Silver/Black (MB292LL/A) -Good</t>
  </si>
  <si>
    <t>Apple iPad 6 (2018) - 32GB 128GB - Wi-Fi Only - Various Colours - Very Good</t>
  </si>
  <si>
    <t>Samsung Galaxy Tab A 10.5" SM-T595 32GB Wifi/4G LTE Unlocked Very Good Condition</t>
  </si>
  <si>
    <t>Apple iPad Pro (9.7 inch)- Wi-Fi - Cellular - All Colors -  Good</t>
  </si>
  <si>
    <t>Apple iPad mini 8.3" Tablet Wi-Fi iOS A15 64GB Space Grey</t>
  </si>
  <si>
    <t>Apple iPad mini 4, 128GB, Wi-Fi, 7.9inch, Dual-core, A8 chip, RD - Gold</t>
  </si>
  <si>
    <t>ZTE Grand X View 16GB 8" K85 Wi-Fi 4G (Bell Canada) Tablet - Excellent</t>
  </si>
  <si>
    <t>Apple iPad Pro 10.5 (2017) A1701 512GB 12MP Tablet WiFi Only Space Grey GOOD</t>
  </si>
  <si>
    <t>Apple iPad 10 2022 - 64GB/256GB - 10.9in - Wi-Fi + 5G - All Colours - Excellent</t>
  </si>
  <si>
    <t>Samsung Galaxy Tab S6 SM-T865 10.5" 256GB, 4G, Unlocked - Mountain Grey</t>
  </si>
  <si>
    <t>Apple iPad Air 2, 32GB, Wi-Fi, 9.7inch ,RD  - Gold</t>
  </si>
  <si>
    <t>Apple iPad Air-Wi-Fi/Wi-F&lt;wbr/&gt;i+4G-16/32/64/&lt;wbr/&gt;128GB-IOS-ALL COLOURS-Very Good Condition</t>
  </si>
  <si>
    <t>Apple iPad Mini 5 7.9" 64GB 256GB Gray Silver Gold WIFi or Cellular - Very Good</t>
  </si>
  <si>
    <t>Samsung Galaxy Tab S4 10.5" T837V (WiFi/Verizon) 64GB Black (Good)</t>
  </si>
  <si>
    <t xml:space="preserve"> Samsung Galaxy Tab 4 SM-T330 16GB, Wi-Fi, 8in - White - Very Good Condition </t>
  </si>
  <si>
    <t>Microsoft Surface Pro 8 - Core i7 16GB RAM 512GB SSD Wi-Fi Platinum - Good</t>
  </si>
  <si>
    <t>Samsung Galaxy Tab S3 SM-T825 Tablet  9.7" 32GB 4G, LTE (Unlocked) Android Black</t>
  </si>
  <si>
    <t>Apple iPad Pro 9.7" A1673 32GB 12MP Camera Tablet WiFi Only Silver VERY GOOD</t>
  </si>
  <si>
    <t>Apple iPad Pro 11 2021 128GB 256GB 512GB Silver Space Grey Unlocked Very Good</t>
  </si>
  <si>
    <t>Apple iPad 7th gen 2019, 32GB WiFi + Cellular Unlocked 10.2" GOLD</t>
  </si>
  <si>
    <t>Samsung Galaxy Tab A7 Lite 8.7" T227U 32GB WiFi T-Mobile GSM  Unlocked Excellent</t>
  </si>
  <si>
    <t>Apple iPad Pro 11 2021 128GB 256GB 512GB Silver Space Grey WiFi Excellent</t>
  </si>
  <si>
    <t>HP Elite X2 G4 13" i5 Quad Core 8th Gen 1.6GHz 256GB SSD 8GB RAM Win 10</t>
  </si>
  <si>
    <t>Alcatel 3T 16GB 8" 9027W Wi-Fi 4G LTE (T-Mobile) Tablet - Excellent</t>
  </si>
  <si>
    <t>Samsung Galaxy Tab E  Verizon SM-T377V, 16GB WIFI+4G Black- Good Used</t>
  </si>
  <si>
    <t>Samsung Galaxy Tab A 10.1 (2019) - All Colours - 32GB - 4G Unlocked - Good</t>
  </si>
  <si>
    <t>Apple iPad 7th Gen. (2019) - 32GB Wi-Fi, 10.2in, Space Gray</t>
  </si>
  <si>
    <t>Samsung Galaxy Tab A8 10.5in - 32GB -  Silver - Wi-Fi Only - Excellent Condition</t>
  </si>
  <si>
    <t>Apple iPad Air 2 Tablet, 9.7in, 16GB, WiFi, Space Gray, A1566</t>
  </si>
  <si>
    <t xml:space="preserve">Apple Ipad ricondizionato 9,7" 2018 128gb grey </t>
  </si>
  <si>
    <t>VANKYO</t>
  </si>
  <si>
    <t>Vankyo MatrixPad S7 32GB 7" Android Tablet - Black, Good Used</t>
  </si>
  <si>
    <t>Huawei MediaPad T3 16GB 9.6" Wi-Fi GSM Unlocked Android Tablet - Very Good</t>
  </si>
  <si>
    <t>Microsoft Surface Pro 8 i5 - 16GB RAM 256GB - Graphite - Very Good Condition</t>
  </si>
  <si>
    <t>Apple iPad 7th Gen - 32GB/128GB - 10.2in - 4G Unlocked - All Colours - Excellent</t>
  </si>
  <si>
    <t>Samsung Galaxy Tab S5e SM-T720 64GB 10.5 Inch Tablet - Silver</t>
  </si>
  <si>
    <t>Samsung Galaxy Tab S2 SM-T813 9.7" 32GB 3GB Ram Android Tablet- Black</t>
  </si>
  <si>
    <t>Refurbished Samsung Galaxy Tab E 8.0" T377A (WiFi/AT&amp;T) 16GB Black (Grade B)</t>
  </si>
  <si>
    <t>Samsung Galaxy Tab S7+ Plus - All Sizes &amp; Colours - WiFi - Excellent Condition</t>
  </si>
  <si>
    <t>Samsung Galaxy Tab A 10.1 (2019) - All Colours - 32GB - Wi-Fi Only - Excellent</t>
  </si>
  <si>
    <t>Apple iPad Air 2 A1567 (WiFi + Cellular Unlocked) 16GB Space Gray (Excellent)</t>
  </si>
  <si>
    <t>Apple iPad Mini 2 16/32/64/128GB WiFi + 4G Unlocked 7.9" Very Good Condition</t>
  </si>
  <si>
    <t>DELL Venue 7 - 3740 Tablet, Intel Atom Z3460 - 1.6 GHz, 1GB, 16GB, WiFi*4G-LTE*</t>
  </si>
  <si>
    <t>Apple iPad 7th Gen - 32GB/128GB - 10.2in - Wi-Fi Only - All Colours - Excellent</t>
  </si>
  <si>
    <t>Apple iPad Pro 10.5 (2017) A1701 512GB 12MP Tablet WiFi Only Space Grey GOOD^</t>
  </si>
  <si>
    <t>Samsung Galaxy Tab A SM-T550 2015 16GB 32GB Titanium Blue White WiFi Very Good</t>
  </si>
  <si>
    <t>Lenovo Miix 700 Tablet Core m5-6Y54 4GB 128GB SSD 4G LTE 12" FHD+ IPS Win 10 Pro</t>
  </si>
  <si>
    <t>Samsung Galaxy Tab S2 SM-T719 WiFi+Cellular Unlock 8" 32GB Android Tablet - G36</t>
  </si>
  <si>
    <t>Samsung Galaxy Tab 3 16GB 10.1 GT-P5220 White - Good Used</t>
  </si>
  <si>
    <t>Acer Iconia One 7 B1-780HD 8GB, Wi-Fi, 7in - White, Very Good</t>
  </si>
  <si>
    <t>Microsoft Surface Pro 8 - Core i5 8GB RAM 256GB SSD Wi-Fi Platinum - Very Good</t>
  </si>
  <si>
    <t>Apple iPad 6th Gen 32GB Wi-Fi Only 9.7in Gold B Grade One Year Warranty</t>
  </si>
  <si>
    <t>Microsoft Surface Pro 8 - Core i7 16GB RAM 256GB SSD Wi-Fi Graphite - Excellent</t>
  </si>
  <si>
    <t>Apple iPad Pro 9.7 2016 32GB 128GB 256GB Silver Gold Grey WiFi Excellent</t>
  </si>
  <si>
    <t>Apple iPad 5th Gen A1822 32GB 128GB Silver Gold Space Grey WiFi Tablet Very Good</t>
  </si>
  <si>
    <t>Microsoft Surface Pro 7+ Tablet 12.3" Core i5-1135G7 8GB RAM 128GB SSD W10 Pro</t>
  </si>
  <si>
    <t>Samsung Galaxy Tab S5e 64GB, Wi-Fi + 4G (Unlocked), 10.5in - Silver GD</t>
  </si>
  <si>
    <t>Samsung Galaxy Tab A 10.1 (2019) - All Colours - 32GB - 4G, Unlocked - Very Good</t>
  </si>
  <si>
    <t>Apple iPad A1954 6th Generation 2018 9.7" 32GB WiFi + 4G Great condition A1954</t>
  </si>
  <si>
    <t>SAMSUNG GALAXY TAB A  SM-T580 10.1 (2016) - BLACK - 16GB -UD</t>
  </si>
  <si>
    <t>ZTE Grand X View 3 K83 16GB 8.0" WI-FI 4G LTE GSM Unlocked Tablet - Excellent</t>
  </si>
  <si>
    <t>2020 Apple iPad Air 10.9" A14 Bionic Processor iOS Wi-Fi 256GB Silver C Grade</t>
  </si>
  <si>
    <t>Microsoft Surface Pro 3 Tablet, Core i5-4300U - 1.9GHz, 4GB, 128GB SSD*2xWebCam*</t>
  </si>
  <si>
    <t>Apple iPad 8th Generation 32GB Space Gray WiFi Very Good Condition</t>
  </si>
  <si>
    <t>Microsoft Surface Pro 8 - Core i7 16GB RAM 256GB, Wi-Fi, Platinum - Good</t>
  </si>
  <si>
    <t>Apple iPad Pro 2022 4th Gen 11" Wi-Fi + Cellular  2TB - *Space Grey* B</t>
  </si>
  <si>
    <t>Apple iPad 6-Wi-Fi Only/Wi-Fi + 4G-32/128GB-IO&lt;wbr/&gt;S-ALL COLOURS-Excell&lt;wbr/&gt;ent Condition</t>
  </si>
  <si>
    <t xml:space="preserve">Microsoft Surface Pro 8 13" Tablet Core i5 8GB RAM 128GB SSD Platinum </t>
  </si>
  <si>
    <t>Samsung Galaxy Tab E 16GB 9.6" SM-T567V Wi-Fi LTE Verizon Tablet - Excellent</t>
  </si>
  <si>
    <t>Apple iPad 8 10.2" 32GB 128GB Gray SIlver Gold WiFi or Cellular - Very Good</t>
  </si>
  <si>
    <t>Apple iPad Pro 6th Gen 12.9" 2022 M2 - 256GB WiFi &amp; Cellular 5G - Space Grey</t>
  </si>
  <si>
    <t>Apple iPad Pro 11 1st Gen 2018 - 256GB, Two Colors - Wi-Fi - Very Good Condition</t>
  </si>
  <si>
    <t>Apple iPad 6th Generation 32GB Gold Unlocked Good Condition</t>
  </si>
  <si>
    <t>Apple iPad mini 4, 64GB, Wi-Fi, 7.9inch - Space Grey</t>
  </si>
  <si>
    <t>Apple iPad Pro 9.7" A1673 32GB 12MP Camera Tablet WiFi Only Silver VERY GOOD.</t>
  </si>
  <si>
    <t>Apple iPad Pro 9.7 2016 32GB 128GB 256GB Silver Gold Grey WiFi Very Good</t>
  </si>
  <si>
    <t>Apple iPad Air 4 (4th Gen) (10.9 inch) - 64GB - 256GB Wi-Fi + Cellular - Good</t>
  </si>
  <si>
    <t>Microsoft Surface Pro 3 - Core i5 128GB SSD 4GB RAM Wi-Fi 12"-Silver - Excellent</t>
  </si>
  <si>
    <t>Apple iPad Air 1st Gen 16GB 32GB 64GB 128GB Space Grey Silver Unlocked Very Good</t>
  </si>
  <si>
    <t>Samsung Galaxy Tab S7 FE 12.4" Tablet Bluetooth S Pen Android 128GB Mystic Black</t>
  </si>
  <si>
    <t>Apple iPad Air 2 64 GB Wi-Fi 9.7in Space Gray IOS 15 Factory reset</t>
  </si>
  <si>
    <t>Samsung Galaxy Tab A SM-T550 2015 16GB 32GB Titanium Blue White WiFi Excellent</t>
  </si>
  <si>
    <t>Apple iPad Air 2 (2nd Gen) 128GB Wi-Fi Cellular Unlocked 9.7" (2014) - Very Good</t>
  </si>
  <si>
    <t>Apple iPad Air 3 64GB 256GB Space Grey Silver Gold WiFi + 4G Tablet Excellent</t>
  </si>
  <si>
    <t>Apple iPad 7 (7th Gen) - (2019 Model) - 32GB - 128GB - Wi-Fi - Cellular - Good</t>
  </si>
  <si>
    <t>Samsung Galaxy Tab A8 10.5in - 32GB - Graphite- Wi-Fi Only - Excellent Condition</t>
  </si>
  <si>
    <t>Apple iPad 5 9.7" 2017 - All Sizes &amp; Colours - Wi-Fi Only - Excellent Condition</t>
  </si>
  <si>
    <t>Disney</t>
  </si>
  <si>
    <t>Disney Pixar Cars KidsTablet 7" 500+ Games Apps 16GB Wi-Fi Shockproof Bumper</t>
  </si>
  <si>
    <t xml:space="preserve">Apple iPad 6 (2018) - 32GB 128GB - 4G - Unlocked - Various Colours - Good </t>
  </si>
  <si>
    <t>Lenovo Tab M10 HD 2GB RAM 32GB Speicher Android 10 (10,1 Zoll) Tablet-PC in OVP</t>
  </si>
  <si>
    <t>Apple iPad Pro 11 2021 128GB 256GB 512GB Silver Space Grey Unlocked Excellent</t>
  </si>
  <si>
    <t>Apple iPad 10th Gen 10.9" 2022 - 256GB Wi-Fi &amp; Cellular 5G - Unlocked - Pink</t>
  </si>
  <si>
    <t>Samsung Galaxy Tab S6 SM-T867U 128GB - Gray- (Sprint T-Mobile) - Good</t>
  </si>
  <si>
    <t>Microsoft Surface 3 - Intel Atom x7 128GB 4GB RAM Wi-Fi Only 10.8 Silver - Good</t>
  </si>
  <si>
    <t>Samsung Galaxy Tab S2 - 8in - 32 GB - Wi-Fi Only - White - Excellent</t>
  </si>
  <si>
    <t>Microsoft Surface Pro 3 - Core i5 512GB SSD 8GB RAM Wi-Fi 12" - Silver - Good</t>
  </si>
  <si>
    <t>Apple iPad 4 A1458 A6X 1GB 16GB WiFi 2048x1536 Weiß A-Ware iOS</t>
  </si>
  <si>
    <t>Samsung Galaxy Tab A 8.4 (2020) T307U (WiFi/T-Mobile&lt;wbr/&gt;) 32GB Mocha (Excellent)</t>
  </si>
  <si>
    <t>Microsoft Surface Pro 3 12" - Core i5 4GB 128GB RAM WiFi Silver - Very Good</t>
  </si>
  <si>
    <t>Apple iPad Pro 6 12.9 (2022) - All Sizes - All Colours - Wi-Fi Only - Very Good</t>
  </si>
  <si>
    <t>Samsung Galaxy Tab S8 11" Tablet Bluetooth S Pen Android 8GB RAM 256GB Silver</t>
  </si>
  <si>
    <t>Apple iPad Pro 12.9 2021 M1 128 256 512GB 1TB Wi-Fi Cellular Very Good</t>
  </si>
  <si>
    <t>Microsoft Surface Pro 4 - Core i5, 256GB SSD 4GB, Wi-Fi, 12.3in, Silver - Good</t>
  </si>
  <si>
    <t>Lenovo Yoga Tab 11 Tablet 11" 2000x1200 Touch Helio 4GB 128GB Android 11 -No Pen</t>
  </si>
  <si>
    <t>Samsung Galaxy Tab A 10.1 SM-T580 (2016) 16GB 32GB White Black WiFi Excellent</t>
  </si>
  <si>
    <t>Samsung Galaxy Tab A 10.1 (2019) - All Colours - 32GB - 4G Unlocked - Excellent</t>
  </si>
  <si>
    <t>Apple iPad mini 2 32GB, Wi-Fi + Cellular (Unlocked), 7.9in - Space Gray (CA)</t>
  </si>
  <si>
    <t>Apple iPad 5-Wi-Fi Only/Wi-Fi + 4G-32/128GB-IO&lt;wbr/&gt;S-ALL COLOURS-Very Good Condition</t>
  </si>
  <si>
    <t>Apple iPad mini 2 16GB, Wi-Fi 7.9in, RD, iOS 12.4 - Space Grey</t>
  </si>
  <si>
    <t xml:space="preserve"> Apple iPad Pro (2018) A1876 12.9" Liquid Retina 64GB WIFI Space </t>
  </si>
  <si>
    <t>Apple iPad Pro 12.9 Inch 5th Gen - WiFi + Cellular - 2TB - Gray - Excellent</t>
  </si>
  <si>
    <t>Samsung Galaxy Tab S5e 10.5in 2019 64GB 128GB Black Gold Silver WiFi Excellent</t>
  </si>
  <si>
    <t>Microsoft Surface Pro 7 - Core i5, 128GB (8GB RAM) Wi-Fi - Platinum - Very Good</t>
  </si>
  <si>
    <t>Microsoft Surface Pro 8 13" Black 2021 3.0GHz i7-1185G7 16GB 512GB - Very Good</t>
  </si>
  <si>
    <t>Apple iPad 5 (2017) 9.7" 32GB Space Gray Tablet WiFi + Cellular Unlocked - Good</t>
  </si>
  <si>
    <t xml:space="preserve">Apple iPad 6 (2018) - 32GB 128GB - 4G - Unlocked - Various Colours - Very Good </t>
  </si>
  <si>
    <t>Apple iPad Pro 11 4th Gen 128GB Space Gray Unlocked Good Condition</t>
  </si>
  <si>
    <t>Apple iPad Air 5 (2022) 10.9" 64GB 256GB All Colors WiFi or Cellular - Very Good</t>
  </si>
  <si>
    <t>Apple iPad Mini 5 - 64/256GB - WiFi or 4G - 7.9in-Black White- Good Used</t>
  </si>
  <si>
    <t>FUJITSU Stylistic Q704 Waterproof Tablet, Core i5-4300U - 1.9GHz, 4GB, 128GB SSD</t>
  </si>
  <si>
    <t>Apple iPad Mini 2 A1489 32GB - Space Grey Tablet - Refurbished - Working - A189</t>
  </si>
  <si>
    <t>Samsung Galaxy Tab A 9.7-Inch Tablet 2GB RAM 16GB Wi-Fi + Cellular - Black B</t>
  </si>
  <si>
    <t>Samsung Galaxy Tab A SM-T580 10.1" (WiFi, 32GB, 8MP) Tablet -BLACK VG</t>
  </si>
  <si>
    <t>Apple iPad Pro 1st Gen. 128GB Grey Wi-Fi + 4G 9.7 inch  Excellent Condition</t>
  </si>
  <si>
    <t>Apple iPad Air 2 Tablet, 64GB, WiFi + GSM, Space Gray, A1567</t>
  </si>
  <si>
    <t>Microsoft Surface Go 2 10.5" M3-8100Y 4GB 64GB SSD WIN 10 Pro UJB-00001</t>
  </si>
  <si>
    <t>Samsung Galaxy Tab Active 2 LTE T395 16GB WiFi + 4G Unlocked Black Good</t>
  </si>
  <si>
    <t>Apple iPad Air 2, 9.7 inch, 64GB, Wi-Fi, Multi-touch - Space Grey</t>
  </si>
  <si>
    <t>Apple iPad Pro 12.9 (1st Gen) - All Sizes &amp; Colours - Wi-Fi Only - Very Good</t>
  </si>
  <si>
    <t>Apple iPad Air 3 -Wi-Fi/Wi-Fi + 4G-64/256GB-IO&lt;wbr/&gt;S-ALL COLOURS-Excell&lt;wbr/&gt;ent Condition</t>
  </si>
  <si>
    <t xml:space="preserve">Apple iPad mini 2 ,32GB, Wi-Fi  7.9in, iOS 12.5 - Silver </t>
  </si>
  <si>
    <t>Apple iPad Air 16GB WiFi Space Grey Unlocked to All Networks Excellent</t>
  </si>
  <si>
    <t>Apple iPad Pro 11 2020 128GB 256GB 512GB Silver Space Grey WiFi Excellent</t>
  </si>
  <si>
    <t>Microsoft Surface Pro 7 12.3" Tablet Core i5 8GB RAM 128GB SSD Platinum B Grade</t>
  </si>
  <si>
    <t>Apple iPad Pro 6th Gen 12.9" 2022 M2 - 256GB WiFi &amp; Cellular 5G Unlocked -Silver</t>
  </si>
  <si>
    <t>Apple iPad Pro (4th Gen) (12.9 inch) (2020) - Wi-Fi - Wi-Fi + Cellular Good</t>
  </si>
  <si>
    <t>VERY GOOD Samsung Galaxy Tab S6 T860 128GB Wi-Fi 10.5 in Gray WIFI</t>
  </si>
  <si>
    <t>Apple iPad 5th Gen. Wi-Fi, 9.7in - Silver with original box</t>
  </si>
  <si>
    <t>Apple iPad Air 2 A1567 (WiFi + Cellular Unlocked) 16GB Space Gray (Good)</t>
  </si>
  <si>
    <t>Microsoft Surface Pro 8 i5 - 8GB RAM 512GB - Platinum - Very Good Condition</t>
  </si>
  <si>
    <t>🔥 Samsung Galaxy Tab E 9,6" 8GB Weiß White WiFi + 3G Android Tablet ✅</t>
  </si>
  <si>
    <t>Samsung Galaxy Tab S5e T727A 10.5" 64GB Black Android WiFi + AT&amp;T Unlocked- Good</t>
  </si>
  <si>
    <t>Apple iPad Air 4 (2020) 10.9" 64GB 256GB All Colors (WiFi or Cellular) - Good</t>
  </si>
  <si>
    <t>Apple iPad Pro (2016) 9.7" 32GB Silver (WiFi + Cellular Unlocked) - Excellent</t>
  </si>
  <si>
    <t>Apple iPad 4 A1458 (WiFi) 128GB Black (Good)</t>
  </si>
  <si>
    <t>Apple iPad 5th Gen. 128GB, Wi-Fi, 9.7in - Silver</t>
  </si>
  <si>
    <t xml:space="preserve">Samsung Galaxy Tab A7 2020 - 32GB - All Colours - WiFi + 4G - Unlocked - Good </t>
  </si>
  <si>
    <t>Apple iPad Air 2 9.7 Space Gray 16GB A1567 WiFi+Cellular CleanESN Very Good (JF)</t>
  </si>
  <si>
    <t>Apple iPad Pro 2 (2nd Gen) 256GB Wi-Fi 12.9" Gold Gray Silver (2017) - Excellent</t>
  </si>
  <si>
    <t>Apple iPad Pro 64GB, Wi-Fi, 10.5 in - Rose Gold Warranty!!</t>
  </si>
  <si>
    <t>Apple iPad Air 2 9.7" 32GB Gold Slim Portable Wi-Fi Retina Tablet A1566 B</t>
  </si>
  <si>
    <t>Samsung Galaxy Tab 3 (2013) SM-T210 8GB, WiFi - White</t>
  </si>
  <si>
    <t>Microsoft Surface Pro 4 / 4GB RAM, M Core, 128GB WINDOWS 10 PRO!! SU3-00001</t>
  </si>
  <si>
    <t>Apple iPad 6th Gen 9.7" 32GB 128GB Silver Gold Gray WiFi or Cellular - Very Good</t>
  </si>
  <si>
    <t>Samsung Galaxy Tab A SM-T555 9.7" Wi-Fi+LTE 16GB 2GB Ram Android Tablet - Black</t>
  </si>
  <si>
    <t>Apple iPad 8 (2020) - 32GB - All Colors - Wi-Fi Only - Very Good Condition</t>
  </si>
  <si>
    <t>Samsung Galaxy Tab S7 SM-T875 128GB, Wi-Fi + 4G Unlocked 11 in - Mystic Black</t>
  </si>
  <si>
    <t>Microsoft Surface Pro 4 Tablet i7 8GB 256GB 12.3" Windows 10 Pro No Keyboard</t>
  </si>
  <si>
    <t>Asus Google Nexus 7 ME370T - Black, Very Good</t>
  </si>
  <si>
    <t>Apple iPad 2 A1395 (WiFi) 64GB White (Very Good)</t>
  </si>
  <si>
    <t>Apple iPad 6th Gen A1893 (WiFi) 32GB Space Gray (Very Good)</t>
  </si>
  <si>
    <t>Apple iPad 2 A1396 (WiFi + Cellular GSM Unlocked) 32GB White (Very Good)</t>
  </si>
  <si>
    <t>Apple iPad Air 2 9.7 Space Gray 16GB A1567 WiFi+Cellular CleanESN Excellent (JF)</t>
  </si>
  <si>
    <t>Apple iPad Mini 2 16GB | Silver | WiFi | Refurbished (Good) | 12M Warranty</t>
  </si>
  <si>
    <t>Samsung Galaxy Tab A 8.4" SM-T307U 32GB Mocha Tablet T-Mobile Unlocked Excellent</t>
  </si>
  <si>
    <t>APPLE  iPad Pro (2018) - 256 GB, Space Grey 11"</t>
  </si>
  <si>
    <t>Microsoft Surface Pro 6 - Core i5 8GB RAM 256GB SSD - Black - Excellent</t>
  </si>
  <si>
    <t>Apple iPad 3 A1416 (WiFi) 32GB Black iOS 9.3.6 (Very Good)</t>
  </si>
  <si>
    <t>Apple iPad 7 10.2" 32GB 128GB Gray Gold Silver WiFi or Cellular - Excellent</t>
  </si>
  <si>
    <t>Amazon Kindle Oasis eReader 7" Waterproof Built-In Audible 8GB Wi-Fi Gold</t>
  </si>
  <si>
    <t>Lenovo Miix 510-12IKB Tablet 80XE, Intel Core i5-7200U - 2.5 GHz, 4GB, 128GB SSD</t>
  </si>
  <si>
    <t>Apple iPad Mini 4 32GB,128GB,16G&lt;wbr/&gt;B,64GB Unlocked,WiFi Gray,Silver,Go&lt;wbr/&gt;ld-Good</t>
  </si>
  <si>
    <t>Apple iPad Mini 6 256GB Gold WiFi Very Good Condition</t>
  </si>
  <si>
    <t>Samsung Galaxy Tab Active 2 LTE T395 16GB WiFi + 4G LTE Unlocked Black Good</t>
  </si>
  <si>
    <t xml:space="preserve">Samsung Galaxy Tab A7 2020 - 10.4in - 32GB - All Colours - Wi-Fi Only - Good </t>
  </si>
  <si>
    <t>Apple iPad Mini 3 - 64GB - All Colors - Wi-Fi Only - Very Good Condition</t>
  </si>
  <si>
    <t>iPad pro 12.9 2nd gen model A1670 256Gb Good Condition IOS 15 1 year warranty</t>
  </si>
  <si>
    <t>Apple iPad 6, 32GB, Gray, 9.7-inch Retina, Wi-Fi +4G Unlocked Cellular Enabled</t>
  </si>
  <si>
    <t>Apple iPad Air 2 64GB, Wi-Fi + 4G (Unlocked), 9.7" (MH2M2LL/A) Grade B</t>
  </si>
  <si>
    <t>Apple iPad 9.7 2017 128gb Wifi rigenerato buono ricondizionato grado AB</t>
  </si>
  <si>
    <t>2020 Apple iPAd Air 10.9" A14 Bionic Processor iOS Wi-Fi Cellular 64GB Sky Blue</t>
  </si>
  <si>
    <t>Apple iPad Air 2, 9.7-inch, Gray, 128GB, and Wi-Fi +4G Unlocked Cellular Enabled</t>
  </si>
  <si>
    <t>Apple iPad 6 (2018) - 32GB 128GB - Wi-Fi Only - Various Colours - Excellent</t>
  </si>
  <si>
    <t>Microsoft Surface Pro 7 - Core i5 - 8GB RAM - 256GB - 12.3" Platinum - Very Good</t>
  </si>
  <si>
    <t>Zebra</t>
  </si>
  <si>
    <t xml:space="preserve">Zebra 10.1" Full HD 64GB Quad Core GPS WiFi Windows 10 Enterprise Tablet </t>
  </si>
  <si>
    <t>Apple iPad Air 3 64/256GB WiFi/4G 10.5" All Colours - GOOD CONDITION</t>
  </si>
  <si>
    <t>Apple iPad Pro 10.5" (2017) Wi-Fi + Cellular, 256GB Storage, Silver (MPHH2B/A)</t>
  </si>
  <si>
    <t>Apple iPad 8 (8th Gen) 128GB Wi-Fi 10.2" Gold Silver Gray (2020) - Very Good</t>
  </si>
  <si>
    <t>Apple iPad Air 3 2019  10.5" 64GB WiFi Only - Space Grey</t>
  </si>
  <si>
    <t>Apple iPad Air 2 128GB, Wi-Fi, 9.7in - Silver</t>
  </si>
  <si>
    <t>Microsoft Surface Pro 7 12.3" Silver 2019 1.1GHz i5-1035G4 8GB 256GB - Good Cond</t>
  </si>
  <si>
    <t>Refurbished Samsung Galaxy Tab S5e 10.5 T727A (WiFi/AT&amp;T) 64GB Black (Grade A+)</t>
  </si>
  <si>
    <t>Apple iPad Air 3rd - 256GB, WiFi, Cellular Unlocked, Gray 7 cycle counts</t>
  </si>
  <si>
    <t>Apple iPad Air 3 64/256GB WiFi/4G 10.5" All Colours - EXCELLENT CONDITION</t>
  </si>
  <si>
    <t>Microsoft Surface Pro 8 i7 - 16GB RAM 256GB - Platinum - Very Good Condition</t>
  </si>
  <si>
    <t>Pebble Gear Disney Cars Kids 7 Inch Tablet Kids Tablet - 16 GB - Bundle Red Case</t>
  </si>
  <si>
    <t>Apple iPad 5th Gen Space Gray 9.7" 128GB WiFi Tablet MP2H2LL/A A1823 - Grade A</t>
  </si>
  <si>
    <t>Apple iPad 6th Gen (2018) - 128GB - All Colors - Wi-Fi + 4G Unlocked - Excellent</t>
  </si>
  <si>
    <t>Apple iPad 5th Generation 128GB Space Gray WiFi Excellent Condition</t>
  </si>
  <si>
    <t>Apple iPad Pro 10.5 2017 512GB,256GB,64&lt;wbr/&gt;GB Unlocked,WiFi Gray,Gold,etc-&lt;wbr/&gt;Good</t>
  </si>
  <si>
    <t>Apple iPad Air 2 (2nd Gen) 64GB Wi-Fi Cellular Unlocked 9.7" (2014) - Very Good</t>
  </si>
  <si>
    <t>Apple iPad 9 64GB Grey WiFi Very Good Condition</t>
  </si>
  <si>
    <t>Lenovo Tab M10 2GB 32GB 10.3 Inch Android 9 Grey 8LENZA5W0163GB</t>
  </si>
  <si>
    <t>Apple iPad Mini 4 (2015) - 128GB - All Colors - Wi-fi Only - Very Good Condition</t>
  </si>
  <si>
    <t>Apple iPad Air 2 32GB, Wi-Fi + Cellular (Unlocked), 9.7in - Space Gray</t>
  </si>
  <si>
    <t xml:space="preserve">Apple iPad 6th Gen (2018) - 32GB - All Colors - Wi-Fi Only - Very Good </t>
  </si>
  <si>
    <t>Apple iPad Air 2 128GB Space Grey | WiFi + 4G | Refurbished (Good) | 12M Warr...</t>
  </si>
  <si>
    <t>Apple iPad Mini 4 16GB 32GB 64GB 128GB Space Grey Gold Silver Unlocked Very Good</t>
  </si>
  <si>
    <t>Microsoft Surface Pro X 13" - 256GB 16GB RAM - LTE Unlocked - Black - Excellent</t>
  </si>
  <si>
    <t>Apple iPad 3 A1416 (WiFi) 32GB Black (Excellent)</t>
  </si>
  <si>
    <t>Microsoft Surface Pro X LTE 13" Black 2019 3.0GHz SQ1 Processor 16GB 512GB SSD</t>
  </si>
  <si>
    <t>Microsoft Surface Pro 7 Plus 12.3" Silver 2.4GHz i5-1135G7 8GB 128GB - Excellent</t>
  </si>
  <si>
    <t>Samsung Galaxy Tab 4 SM-T530 16GB, Wi-Fi &amp; 4G (EE Only)  10.1 inch White - i5</t>
  </si>
  <si>
    <t>Apple iPad Mini 5th Gen 2019 - 64GB - All Colors Wi-fi Only - Good Condition</t>
  </si>
  <si>
    <t>Apple iPad Air 2 A1567 (WiFi + Cellular Unlocked) 128GB Silver (Excellent)</t>
  </si>
  <si>
    <t>Apple iPad Pro 2 (2nd Gen) 256GB Wi-Fi 12.9" Gold Gray Silver (2017) - Very Good</t>
  </si>
  <si>
    <t>Apple iPad Air 5th Gen. 10.9 in, 64GB, Wi-Fi Blue A2588 - Excellent</t>
  </si>
  <si>
    <t>Apple iPad Pro 9.7 (2016) - 128GB - All Colors - Wi-Fi Only - Very Good</t>
  </si>
  <si>
    <t>Samsung Galaxy Tab S7+ 256GB, Wi-Fi + 5G, Unlocked, 12.4 - Black - Very Good</t>
  </si>
  <si>
    <t>Apple iPad Air 1st Gen 16GB - Wi-Fi - 9.7 in Tablet Space Gray - Good</t>
  </si>
  <si>
    <t>Apple iPad 2 A1395 (WiFi) 32GB Black (Excellent)</t>
  </si>
  <si>
    <t>HP Elite x2 1012 G2 Tablet PC, Intel Core i5-7200U - 2.5GHz, 8GB, 256GB SSD</t>
  </si>
  <si>
    <t>Microsoft Surface Pro 6 12" Black 2018 1.9GHz i7-8650U 8GB 256GB - Good + Bundle</t>
  </si>
  <si>
    <t>Apple iPad 6th Generation 32GB Space Gray Unlocked Very Good Condition</t>
  </si>
  <si>
    <t>Samsung Galaxy Tab A (2020) 8.4" - 32GB - Mocha - (T-Mobile) - Very Good</t>
  </si>
  <si>
    <t>Apple iPad Air 3rd Gen (2019) - 256GB - Wi-Fi - All Colors - Very Good</t>
  </si>
  <si>
    <t>Microsoft Surface Pro 5th 12.3" Touch i5-7300U 4GB 128GB SSD LTE Enabled</t>
  </si>
  <si>
    <t>Apple iPad mini 4, 64GB, Wi-Fi, 7.9in IOS 14.2 RD - Silver</t>
  </si>
  <si>
    <t>Apple iPad Mini 4 (2015) - 128GB - All Colors - Wi-fi Only - Good Condition</t>
  </si>
  <si>
    <t>Lenovo Tab P11 Pro 11.5" 2560x1600 Touch 730G 4GB 128GB Android 10 No KB No Pen</t>
  </si>
  <si>
    <t>Microsoft Surface Pro 6 - Intel Core i5 256GB (8GB RAM) WiFi - Black - Excellent</t>
  </si>
  <si>
    <t>Microsoft Surface Pro 6 12.3" Silver 2018 1.9GHz i7-8650U 8GB 256GB - Excellent</t>
  </si>
  <si>
    <t>Microsoft Surface Pro 7 12.3" Tablet Core i3 4GB RAM 128GB SSD Windows 10</t>
  </si>
  <si>
    <t>Microsoft Surface Go 2 - Pentium Gold, 8GB, 128GB SSD, WiFi, Platinum, Very Good</t>
  </si>
  <si>
    <t>Lenovo Yoga Tab 11 Tablet 11" 2000x1200 Touch Helio G90T 4GB 128GB Android 11 Rb</t>
  </si>
  <si>
    <t>Microsoft Surface Pro 7 Plus i5 - 8GB RAM 128GB - Platinum - Very Good Condition</t>
  </si>
  <si>
    <t>Acer Enduro T5 Tablet Intel Core M3-7Y30 4GB RAM 128G SSD 10.1" FHD+ IPS W10 Pro</t>
  </si>
  <si>
    <t>Apple iPad Pro 2 (2nd Gen) 256GB WiFi Cellular Unlocked 12.9" (2017) - Very Good</t>
  </si>
  <si>
    <t>Lenovo Tab P12 Pro Tablet 12.6" AMOLED 2560x1600 Snap 870 6GB 128GB Android 11 R</t>
  </si>
  <si>
    <t xml:space="preserve">Samsung Galaxy Tab A (2018) 10.5in - All Colours - 32GB - Wi-Fi Only - Good </t>
  </si>
  <si>
    <t>Apple iPad Air 3rd Gen. 10.5" - 64GB WiFi Only GRAY - Excellent + 1 YR Warranty!</t>
  </si>
  <si>
    <t>Microsoft Surface Pro 8 - Core i5 8B RAM 512GB SSD Wi-Fi, Platinum - Excellent</t>
  </si>
  <si>
    <t>Apple iPad Air 2 Wi-Fi, 9.7in - Gold IOS 15</t>
  </si>
  <si>
    <t xml:space="preserve">SAMSUNG Galaxy Tab A7 (SM-T505) 3GB RAM 32GB eMMC ROM 10.4"Tablet  </t>
  </si>
  <si>
    <t>iPad 5th Gen 32GB Wi-Fi Gold Grade A</t>
  </si>
  <si>
    <t>AT&amp;T</t>
  </si>
  <si>
    <t>Apple iPad Mini 2nd Generation 7.9" - 32GB All Colors (Unlocked) Stock</t>
  </si>
  <si>
    <t>Samsung Galaxy Tab E 8.0" T377V (WiFi/Verizon) 16GB Black (Very Good)</t>
  </si>
  <si>
    <t>Apple iPad Air (3rd Gen.) 64GB Silver Unlocked Excellent Condition</t>
  </si>
  <si>
    <t>Apple iPad Air 2 Wi-Fi, 9.7in - Silver  Newest IOS 15</t>
  </si>
  <si>
    <t>HP Elite x2 1012 G2 Tablet PC, Intel Core i5-7300U - 2.6GHz, 8GB, 256GB SSD</t>
  </si>
  <si>
    <t>Apple iPad 7 10.2" 32GB 128GB Gray Gold Silver WiFi or Cellular - Very Good</t>
  </si>
  <si>
    <t>Samsung Galaxy Tab A8 32GB, Wi-Fi, 10.5" - Silver - Very Good Condition</t>
  </si>
  <si>
    <t>Apple iPad Air 4-Wi-Fi/Wi-Fi + 4G-64/256GB-IO&lt;wbr/&gt;S-ALL COLOURS-Excell&lt;wbr/&gt;ent Condition</t>
  </si>
  <si>
    <t>Microsoft Surface Pro 5 - Core i5 - 128GB (8GB RAM) - 12.3in - Silver -Very Good</t>
  </si>
  <si>
    <t>Apple iPad Air 2 9.7" 16GB 32GB 64GB 128GB All Colors WiFi + Cellular- Very Good</t>
  </si>
  <si>
    <t>Samsung Galaxy Tab E 8.0" T377A (WiFi/AT&amp;T) 16GB Black (Excellent)</t>
  </si>
  <si>
    <t>Samsung Galaxy Tab S5e 64GB, Wi-Fi, 10.5in - Black - Good Used</t>
  </si>
  <si>
    <t>Samsung Galaxy Tab A 8.4" SM-T307U 32GB Mocha Tablet T-Mobile Unlocked Very Good</t>
  </si>
  <si>
    <t>Apple iPad 6 32GB 128GB Unlocked WiFi Excellent</t>
  </si>
  <si>
    <t>Samsung Galaxy Tab S8 Plus 128GB Graphite Unlocked Excellent Condition</t>
  </si>
  <si>
    <t>Apple iPad 7th Generation 128GB Space Gray Unlocked Good Condition</t>
  </si>
  <si>
    <t>Apple iPad Pro 9.7 (2016) - 32GB - All Colors - Wi-Fi Only - Very Good</t>
  </si>
  <si>
    <t>2019 Microsoft Surface Pro 7 Intel i7-1065G7 16GB 256GB SSD WIN10 Black Tablet</t>
  </si>
  <si>
    <t>Apple iPad Pro (1st Gen) 32GB Wi-Fi 12.9" Gray Silver Gold (2015) - Excellent</t>
  </si>
  <si>
    <t>Apple iPad (6th Generation) 32GB - Wi-Fi 9.7in Space Gray Supports Apple Pencil</t>
  </si>
  <si>
    <t>Apple iPad Mini 6 64GB Purple WiFi Very Good Condition</t>
  </si>
  <si>
    <t>Apple iPad 3 A1416 (WiFi) 32GB White (Very Good)</t>
  </si>
  <si>
    <t>Apple iPad Air 5 10.9" 2022 Apple M1 256GB All Colors WiFi + 5G Good Refurbished</t>
  </si>
  <si>
    <t>DELL Venue 7 - 3740 Tablet, Intel Atom Z3460 - 1.6 GHz, 1GB, 16GB, WiFi*SCHWARZ*</t>
  </si>
  <si>
    <t>Apple iPad 9 10.2" 64GB 256GB Space Gray Silver WiFi or Cellular - Very Good</t>
  </si>
  <si>
    <t>Apple iPad Pro 12.9-inch (4th Gen.) 512GB Space Gray WiFi Excellent Condition</t>
  </si>
  <si>
    <t>Panasonic ToughPad FZ-G1 MK3, Core i5-5300U, 2.3GHz, 4GB, 128GB SSD</t>
  </si>
  <si>
    <t>Microsoft Surface Book 13.5" - Core i5 8GB RAM - 256GB Aluminium - Very Good</t>
  </si>
  <si>
    <t>Apple iPad 5th Gen 9.7" 32GB 128GB Gray Gold Silver WiFi or Cellular - Excellent</t>
  </si>
  <si>
    <t>Samsung Galaxy Tab A  8.0" 2019 SM-T290 32GB Black WiFi Tablet Very Good</t>
  </si>
  <si>
    <t>Smartab</t>
  </si>
  <si>
    <t>SmarTab 7" HD Tablet Disney Kids Ready Bumper &amp; Headphone (ST7680DPK) ™¥</t>
  </si>
  <si>
    <t>Samsung Galaxy Tab A T387V 32GB 8" 4G Verizon+GSM Unlocked Tablet Very Good</t>
  </si>
  <si>
    <t>Apple iPad Pro 11-inch (2nd Gen.) 128GB Silver WiFi Excellent Condition</t>
  </si>
  <si>
    <t xml:space="preserve">Samsung Galaxy Tab S5e 10.5in - 64GB, All Colors, WiFi + Cellular, AT&amp;T, Good </t>
  </si>
  <si>
    <t>Apple iPad Air 3rd Gen 10.5" 64GB 256GB Gray Silver WiFi or Cellular - Very Good</t>
  </si>
  <si>
    <t>Apple iPad Pro 2 (2nd Gen) 64GB Wi-Fi 12.9" Gold Gray Silver (2017) - Very Good</t>
  </si>
  <si>
    <t>Apple iPad Pro (1st Gen) 128GB Wi-Fi Cellular Unlocked 12.9" (2015) - Excellent</t>
  </si>
  <si>
    <t>Apple iPad Pro 2nd Gen 512GB Rose Gold Wi-Fi + 4G 10.5in Excellent Condition</t>
  </si>
  <si>
    <t>Samsung Galaxy Tab E 8" SM-T377T 32GB 4G LTE T-Mobile Locked Tablet Very Good</t>
  </si>
  <si>
    <t>Apple iPad Pro (1st Gen.) 9.7in. 32GB Wi-Fi Tablet</t>
  </si>
  <si>
    <t>Apple iPad Pro 12.9 (2015) - 256GB - All Colors - WiFi + 4G Unlocked - Good</t>
  </si>
  <si>
    <t>Microsoft Surface Pro 7 Plus i5 - 8GB RAM 256GB - Platinum - Excellent</t>
  </si>
  <si>
    <t>Apple iPad Air 1st Gen. 32GB, Wi-Fi + Cellular (Unlocked), 9.7in - Silver (CA)</t>
  </si>
  <si>
    <t>Samsung Galaxy Tab S7+ 12.4" Tablet (2020) - 128GB, 6GB RAM, Wi-Fi - Mystic Navy</t>
  </si>
  <si>
    <t>Surface Pro 7 Plus  12.3" - i5 8GB RAM 128GB - Platinum - Excellent Condition</t>
  </si>
  <si>
    <t>Microsoft Surface Pro 4 Tablet Intel i7-6th Gen 256GB 8GB 12.3" With Keyboard</t>
  </si>
  <si>
    <t>Microsoft Surface Pro 4 12" - Core i5 8GB 256GB  WiFi Silver - Very Good</t>
  </si>
  <si>
    <t>Panasonic Toughbook CF-D1 MK1 Tablet, Core i5-2520M - 2.5GHz, 4GB, 128GB SSD</t>
  </si>
  <si>
    <t>Samsung Galaxy Tab E 8.0" T377V (WiFi/Verizon) 16GB Black (Good)</t>
  </si>
  <si>
    <t>Samsung Galaxy Tab S5e 10.5in - 64GB- All Colors- WiFi+Cellular  AT&amp;T- Very Good</t>
  </si>
  <si>
    <t>Apple iPad Pro 11-inch (3rd Gen.) 128GB Silver Unlocked Excellent Condition</t>
  </si>
  <si>
    <t xml:space="preserve">Apple iPad Air 2 16GB, Wi-Fi + Cellular (Bell), 9.7in - Space Gray </t>
  </si>
  <si>
    <t>Apple iPad Pro 2 - 256GB - 10.5in - All Colors - Wi-Fi Only - Good Condition</t>
  </si>
  <si>
    <t>Apple iPad 5th Gen 128GB Wi-Fi 9.7in Space Gray IOS 15 2 day shipping</t>
  </si>
  <si>
    <t>Apple iPad Air 2 32GB, Wi-Fi, 9.7in - Space Gray  Good Condition</t>
  </si>
  <si>
    <t>Apple iPad Pro 12.9 (1st Gen.) 128GB Gold Unlocked Good Condition</t>
  </si>
  <si>
    <t>Samsung Galaxy Tab S5e T727V 10.5" 64GB Silver Android (WiFi + Verizon) - Good</t>
  </si>
  <si>
    <t>Apple iPad Air 2 64GB Wi-Fi + 4G (Unlocked) Cellular (MH2M2LL/A) IOS 15</t>
  </si>
  <si>
    <t>Apple iPad Mini 4 (2015) - 32GB - All Colors - Wi-fi Only - Good Condition</t>
  </si>
  <si>
    <t>Apple iPad 8 (8th Gen) 128GB Wi-Fi 10.2" Gold Silver Gray (2020) - Excellent</t>
  </si>
  <si>
    <t>SAMSUNG Galaxy Tab A6 32Gb 10.1 Zoll SM-T585 Wifi+LTE Android Tablet Mit Sim</t>
  </si>
  <si>
    <t>Apple iPad Mini 4 16GB 32GB 64GB 128GB All Colors WiFi or Cellular - Very Good</t>
  </si>
  <si>
    <t>Apple iPad 9th Gen. 64GB, Wi-Fi + 5G (Unlocked), 10.2 in - Very Good Refurbished</t>
  </si>
  <si>
    <t>Apple iPad 5th Gen. Wi-Fi, 9.7in - Silver</t>
  </si>
  <si>
    <t>🔥 Samsung Galaxy Tab Pro 10.1 16GB Schwarz T520 WiFi Android Tablet ✅</t>
  </si>
  <si>
    <t>Apple iPad 5th Gen 9.7" 32GB 128GB Gray Gold Silver WiFi OR Cellular - Very Good</t>
  </si>
  <si>
    <t>Microsoft Surface Pro 8 - Core i5 16GB RAM 256GB SSD Wi-Fi Platinum - Good</t>
  </si>
  <si>
    <t>Apple iPad Pro 4th Gen 11" 2022 M2 - 256GB WiFi &amp; Cellular 5G Unlocked - Silver</t>
  </si>
  <si>
    <t>Apple iPad 7 A2197 10,2'' 3GB 32GB WiFi Silver iOS</t>
  </si>
  <si>
    <t>Samsung galaxy tab 4 ricondizionato T535 10.1" LTE 16gb black</t>
  </si>
  <si>
    <t>Apple iPad Mini 6th Gen. 8.3 in, 64GB, Wi-Fi Space Gray - Excellent</t>
  </si>
  <si>
    <t>Apple iPad Air 1st Gen A1474 32GB Wi-Fi 9.7in Tablet Space Gray iOS 12 - Good</t>
  </si>
  <si>
    <t>Lenovo Tab 2 A10-70 2GB SDRAM 16GB SSD Wi-Fi 10.1" Android 4.4 ZA00 - Good</t>
  </si>
  <si>
    <t>Apple iPad 8th Generation 32GB Gold WiFi Excellent Condition</t>
  </si>
  <si>
    <t>Apple iPad Air A1474 A7 1GB 32GB 2048x1536 WiFi Space Gray A-Ware iOS</t>
  </si>
  <si>
    <t>Apple iPad Air 2 64GB, Wi-Fi, 9.7in  Silver Factory reset (no locks of any kind)</t>
  </si>
  <si>
    <t>Apple iPad Pro 2 (2nd Gen) 64GB Wi-Fi Cellular Unlocked 12.9" (2017) - Very Good</t>
  </si>
  <si>
    <t>Microsoft Surface Go 2 - Intel Core M3 - 256 GB SSD - Excellent Condition</t>
  </si>
  <si>
    <t>Apple iPad 9 64GB Grey Unlocked Good Condition</t>
  </si>
  <si>
    <t>Samsung Galaxy Tab E 8" HD Display 16GB Tablet WiFi Verizon SM-T377V - Good</t>
  </si>
  <si>
    <t>Samsung Galaxy Tab S3 32GB Wi-Fi + 4G Cellular (Verizon) 9.7Inch - Very Good</t>
  </si>
  <si>
    <t>Samsung Galaxy Tab S5e 10.5 T727V (WiFi/Verizon) 64GB Silver (Very Good)</t>
  </si>
  <si>
    <t>Apple iPad Air 1st Gen 16GB - Wi-Fi - 9.7 in Tablet Space Gray - EXCELLENT</t>
  </si>
  <si>
    <t>Microsoft Surface Pro 4 i5 8GB 256GB Tablet 12in + Keyboard Cover Win 10 Pro</t>
  </si>
  <si>
    <t>Apple iPad Pro 2 - 256GB- 10.5in - All Colors - Wi-Fi Only - Very Good Condition</t>
  </si>
  <si>
    <t>Lenovo Miix 510-12IKB Tablet 80XE, Intel Core i5-7200U - 2.5 GHz, 8GB, 256GB SSD</t>
  </si>
  <si>
    <t>Apple iPad 6th Gen A1954 (WiFi + Cellular Unlocked) 128GB Space Gray (Very Good)</t>
  </si>
  <si>
    <t>Apple iPad Air 4th Gen 64GB Green WiFi Very Good Condition</t>
  </si>
  <si>
    <t>Microsoft Surface Pro 8 - Core i5 16GB RAM 256GB SSD Wi-Fi Platinum - Excellent</t>
  </si>
  <si>
    <t>Apple iPad Air 2 (2nd Gen) 16GB Wi-Fi Cellular Unlocked 9.7" (2014) - Very Good</t>
  </si>
  <si>
    <t>Apple iPad Air A1474 (WiFi) 32GB Space Gray (Good)</t>
  </si>
  <si>
    <t>Apple iPad 8 (2020) - 128GB - All Colors - 4G (Unlocked) - Very Good Condition</t>
  </si>
  <si>
    <t>Apple iPad 2 A1395 (WiFi) 16GB Black iOS 9.3.6 (Very Good)</t>
  </si>
  <si>
    <t>Apple iPad Mini 3 16GB 32GB 64GB 128GB All Colors WiFi + Cellular - Excellent</t>
  </si>
  <si>
    <t>Samsung Galaxy Tab S2 SM-T819 9,7" 3GB 32GB LTE Black Android</t>
  </si>
  <si>
    <t>Apple iPad 5th Gen A1823 (WiFi + Cellular Unlocked) 128GB Space Gray (Excellent)</t>
  </si>
  <si>
    <t xml:space="preserve">Apple iPad Pro 9.7 (2016) - 32GB - All Colors - Wi-Fi Only - Excellent </t>
  </si>
  <si>
    <t>Apple iPad Pro 12.9-inch 5th Gen. 512GB, Wi-Fi, Silver - Excellent</t>
  </si>
  <si>
    <t>Microsoft Surface Pro 6 / i5-8350U, 8 GB RAM, 256 GB SSD</t>
  </si>
  <si>
    <t>Samsung Galaxy Tab E 8" SM-T377T 16GB 4G LTE T-Mobile Locked Tablet Very Good</t>
  </si>
  <si>
    <t>Samsung Galaxy Tab S8 Ultra 256GB Graphite WiFi Very Good Condition</t>
  </si>
  <si>
    <t>Apple iPad Pro 2 (2nd Gen) 256GB Wi-Fi 12.9" Gold Gray Silver (2017) - Good</t>
  </si>
  <si>
    <t>Apple iPad 9th Gen 2021 | 64GB Space Gray | Wifi + Cellular Unlocked | Excellent</t>
  </si>
  <si>
    <t>Apple iPad Mini 4 - 16GB 32GB 64GB 128GB - All Colors - Very Good Condition</t>
  </si>
  <si>
    <t>Apple iPad Pro 2 (2nd Gen) 512GB WiFi Cellular Unlocked 12.9" (2017) - Very Good</t>
  </si>
  <si>
    <t>Apple iPad Pro 10.5-inch 64GB Space Gray Wi-Fi Only excellent Apple Box</t>
  </si>
  <si>
    <t>Samsung Galaxy Tab S8 Ultra 128GB Graphite WiFi Very Good Condition</t>
  </si>
  <si>
    <t>Apple iPad 6th Gen A1954 (WiFi + Cellular Unlocked) 128GB Silver (Very Good)</t>
  </si>
  <si>
    <t>Apple iPad Air 2 Cellular A1567 A8 9,7" 2GB 64GB Space Gray A-Ware iOS</t>
  </si>
  <si>
    <t>Microsoft Surface Pro 12.3" M3-7Y30 4GB RAM 128GB SSD Window 10</t>
  </si>
  <si>
    <t>Samsung Galaxy Tab A (2020) - 32GB - 8.4" - Mocha - Wi-Fi + 4G (AT&amp;T) -Very Good</t>
  </si>
  <si>
    <t>Apple iPad Pro 11-inch (3rd Gen.) 256GB Silver WiFi Excellent Condition</t>
  </si>
  <si>
    <t>Apple iPad 2.Generation 32GB Wi-Fi Schwarz-Silber&lt;wbr/&gt;! TOP ZUSTAND! Einwandfrei! OVP</t>
  </si>
  <si>
    <t>Samsung Galaxy Tab E T378V 32GB 8" 4G LTE Verizon + Unlocked GSM Tablet Good</t>
  </si>
  <si>
    <t>Apple iPad Mini 6 64GB Grey WiFi Excellent Condition</t>
  </si>
  <si>
    <t>Microsoft Surface Pro 6 - Core i5 - 256GB (8GB RAM) - Wi-Fi - Black - Good</t>
  </si>
  <si>
    <t>Samsung Galaxy Tab A 10.5" SM-T597P 32GB WiFi + Sprint Blue Good (BHR)</t>
  </si>
  <si>
    <t>Apple iPad 7 Cellular A2198 A10 3GB 32GB 1620x2160 LTE Space Gray iOS</t>
  </si>
  <si>
    <t>Apple iPad 6th Gen A1954 (WiFi + Cellular Unlocked) 128GB Space Gray (Excellent)</t>
  </si>
  <si>
    <t>Apple iPad 6th Gen Wi-Fi, 9.7 Space Gray Supports apple pencil Cellular unlocked</t>
  </si>
  <si>
    <t>Apple iPad Air 2 9.7" 16GB Space Gray A1566 MGL12LL/A Wi-Fi Only Excellent (BHR)</t>
  </si>
  <si>
    <t>Apple iPad Air 2, 64GB, Space Gray, Wi-Fi +4G Unlocked, 9.7-inch Retina</t>
  </si>
  <si>
    <t>Apple iPad Air 2 9.7 Space Gray 16GB A1567 WiFi + Cellular Clean ESN Good (JF)</t>
  </si>
  <si>
    <t>Apple iPad Air 2, 64GB, Space Gray, Wi-Fi Only, 9.7-inch Retina</t>
  </si>
  <si>
    <t>Microsoft Surface Pro (5th Gen) 1796 - 2017 DEVICE ONLY Good</t>
  </si>
  <si>
    <t>Apple iPad 9 256GB Grey Unlocked Excellent Condition</t>
  </si>
  <si>
    <t>Apple iPad 5th Generation 32GB Silver Unlocked Very Good Condition</t>
  </si>
  <si>
    <t>Samsung Galaxy Tab A 10.5" SM-T597P 32GB WiFi + Sprint Blue Excellent (BHR)</t>
  </si>
  <si>
    <t>Apple iPad Air 2 A1567 (WiFi + Cellular Unlocked) 128GB Space Gray (Very Good)</t>
  </si>
  <si>
    <t>Samsung Galaxy Tab A7 Lite 8.7" (32GB, 3GB, Wi-Fi + 4G LTE) GSM Unlocked T227U</t>
  </si>
  <si>
    <t>Apple iPad Air 2 9.7" Space Gray 64GB A1567 WiFi + Cellular Verizon Good (AMX)</t>
  </si>
  <si>
    <t>Apple iPad Air 2 64GB, Wi-Fi + 4G (Unlocked), 9.7" - Space Gray (MH2M2LL/A)</t>
  </si>
  <si>
    <t>Samsung Galaxy Tab S5e 10.5 T727V (WiFi/Verizon) 64GB Silver (Excellent)</t>
  </si>
  <si>
    <t>Apple iPad Air 4th Gen 64GB Sky Blue WiFi Excellent Condition</t>
  </si>
  <si>
    <t>Apple iPad Mini 5 64GB Gold WiFi Excellent Condition</t>
  </si>
  <si>
    <t xml:space="preserve">Apple iPad Mini 32GB Wi-Fi Weiß/Silber! TOP ZUSTAND! Einwandfrei! OVP! </t>
  </si>
  <si>
    <t>Apple iPad Air 2 (2nd Gen) 32GB Wi-Fi 9.7" Gold Silver Gray (2014) - Very Good</t>
  </si>
  <si>
    <t>Samsung Galaxy Note 10.1 2014 16GB SM-P600 Schwarz! Neuwertig! Einwandfrei!</t>
  </si>
  <si>
    <t>Apple iPad 7th Generation 32GB Space Gray WiFi Very Good Condition</t>
  </si>
  <si>
    <t>Apple iPad 5th Generation 32GB Space Gray Unlocked Good Condition</t>
  </si>
  <si>
    <t>Apple iPad Mini 5th Gen 2019 - 256GB - All Colors Wi-fi Only - Very Good</t>
  </si>
  <si>
    <t>Apple iPad 10.2-inch Retina, Space Gray, 32GB, Wi-Fi Only</t>
  </si>
  <si>
    <t>Apple iPad Air 2 A1566 (WiFi) 128GB Space Gray (Very Good)</t>
  </si>
  <si>
    <t>Apple iPad 6th Gen 32GB Space Gray 9.7" A1893 MR7F2LL/A WiFi Only Good (PT)</t>
  </si>
  <si>
    <t>Samsung Galaxy Tab S5e T727V 10.5" 64GB Silver Android (Verizon) - Excellent</t>
  </si>
  <si>
    <t>Apple iPad Pro 9.7" 32GB Space Gray Tablet (WiFi + Cellular) - Excellent</t>
  </si>
  <si>
    <t>Apple iPad Air (3rd Gen.) 256GB Gold Unlocked Very Good Condition</t>
  </si>
  <si>
    <t>Samsung Galaxy Tab E T377A 16GB 8" 4G LTE WiFi  AT&amp;T+GSM Unlocked Tablet Good</t>
  </si>
  <si>
    <t>Apple iPad Pro 2 (2nd Gen) 64GB Wi-Fi 12.9" Gold Space Gray Silver (2017) - Good</t>
  </si>
  <si>
    <t>Apple iPad Pro 12.9-inch (4th Gen.) 128GB Space Gray WiFi Excellent Condition</t>
  </si>
  <si>
    <t>Lenovo Smart Tab M10 10.1" 1920x1200 Octa-Core CPU 4GB 64GB Android 9 Pie</t>
  </si>
  <si>
    <t>Apple iPad Pro 10.5" 2nd Gen 64GB 256GB 512GB WiFi + Cellular - Good</t>
  </si>
  <si>
    <t>Apple iPad Pro 1st Gen. 128GB Wi-Fi 9.7in - Space Gray</t>
  </si>
  <si>
    <t>Samsung Galaxy Tab A 8.4" 32G SM-T307U Mocha  Tablet AT&amp;T GSM Unlocked Very Good</t>
  </si>
  <si>
    <t>Samsung Galaxy Tab S4 10.5" T837V (WiFi/Verizon) 64GB Black (Excellent)</t>
  </si>
  <si>
    <t>Apple iPad Air 2 - 2014 |  16GB | 9.7" | White Gold | Wi-Fi | A1566 | Very Good</t>
  </si>
  <si>
    <t>Apple iPad Mini 6 64GB Gold WiFi Very Good Condition</t>
  </si>
  <si>
    <t>Apple iPad Air A1475 (WiFi + Cellular Unlocked) 16GB Space Gray (Good)</t>
  </si>
  <si>
    <t>Microsoft Surface Pro 7 12.3 - Core i7 - 256GB 16GB RAM - Platinum - Excellent</t>
  </si>
  <si>
    <t>Microsoft Surface Pro 7 12.3" TOUCH i3-1005G1 4 128GB SSD VDH-00001</t>
  </si>
  <si>
    <t>Apple iPad Pro 12.9-inch (4th Gen.) 128GB Space Gray Unlocked Good Condition</t>
  </si>
  <si>
    <t>Apple iPad 9th Gen. 64GB, Wi-Fi + 5G (Unlocked), 10.2 in - Excellent Refurbished</t>
  </si>
  <si>
    <t>Microsoft Surface Pro 3 Tablet, Intel Core i5-4300U - 1.9GHz, 4GB, 128GB SSD</t>
  </si>
  <si>
    <t>Samsung Galaxy Tab SM-T307U 32GB - Wi-Fi +4G (Sprint Unlocked) - Gray - Good</t>
  </si>
  <si>
    <t>Apple iPad 8 (2020) - 32GB - All Colors - 4G (Unlocked) - Good Condition</t>
  </si>
  <si>
    <t>Apple iPad Air 4 (2020) - 64GB - All Colors - Wi-fi + 4G - Very Good Condition</t>
  </si>
  <si>
    <t>Samsung Galaxy Tab SM-T307U 32GB - Wi-Fi +4G (T-Mobile Unlocked) Gray - Good</t>
  </si>
  <si>
    <t>Samsung Galaxy Tab S5e SM-T727P-64GB-&lt;wbr/&gt;Wi-Fi+4G(Sprin&lt;wbr/&gt;t Unlocked) - Silver - Good</t>
  </si>
  <si>
    <t>Apple Ipad Pro 12.9 3rd Gen - 1TB - Silver(Unlocke&lt;wbr/&gt;d) - Very Good Condition</t>
  </si>
  <si>
    <t>Apple iPad Pro 11 Inch 2nd - 128GB 256GB 512GB 1TB - All Colors - Excellent</t>
  </si>
  <si>
    <t>Samsung Galaxy Tab SM-T307U 32GB 8.4" Wi-Fi+4G (Sprint Unlocked) - Excellent</t>
  </si>
  <si>
    <t>Apple iPad Pro 12.9-inch (3rd Gen) 256GB Space Gray Unlocked Very Good Condition</t>
  </si>
  <si>
    <t>Apple iPad Pro 12.9 (1st Gen.) 256GB Gold Unlocked Excellent Condition</t>
  </si>
  <si>
    <t xml:space="preserve">Apple iPad 6th Gen. 128GB, Wi-Fi, 9.7in - Space Gray Supports apple pencil </t>
  </si>
  <si>
    <t>Microsoft Surface Pro 7 12.3" Tablet Core i5 8GB RAM 256GB SSD Black</t>
  </si>
  <si>
    <t>DELL Venue 7 - 3740 Tablet, Intel Atom Z3460 - 1.6 GHz, 1GB, 16GB, WiFi *4G-LTE*</t>
  </si>
  <si>
    <t>Apple iPad Air 2 (2nd Gen) 64GB Wi-Fi 9.7" Gold Silver Gray (2014) - Very Good</t>
  </si>
  <si>
    <t>Apple iPad 8th Generation 128GB Silver WiFi Excellent Condition</t>
  </si>
  <si>
    <t>HP Pro X2 612 G1 Tablet PC, Intel Core i3-4012Y, 1.5GHz, 4GB RAM, 128GB SSD</t>
  </si>
  <si>
    <t>Apple iPad Pro 9.7 (1st Gen) A1673 (WiFi + Cellular Unlocked) 32GB (Very Good)</t>
  </si>
  <si>
    <t>🔥 Lenovo Tab E7 8GB WiFi mit OVP Android 8.1.0 HD  Tablet Schwarz TB-710f ✅</t>
  </si>
  <si>
    <t>Apple iPad 5th Gen 32GB, Wi-Fi, 9.7" - Space Gray lot of 10 grade b</t>
  </si>
  <si>
    <t>Apple iPad Pro 12.9 (1st Gen.) 32GB 128GB 256GB Unlocked WiFi Excellent</t>
  </si>
  <si>
    <t>Apple ipad pro 2017 ricondizionato 256gb 10,5" wifi + cell space grey</t>
  </si>
  <si>
    <t>Samsung Galaxy Tab S5e T727V 10.5" 64GB Silver Android WiFi +Verizon - Very Good</t>
  </si>
  <si>
    <t>Samsung Galaxy Tab - T387P - 32GB 8" - Black - (Sprint Unlocked) - Excellent</t>
  </si>
  <si>
    <t>Samsung Galaxy Tab E T377V 16GB 8" 4G LTE Verizon+Unlock&lt;wbr/&gt;ed GSM Tablet Excellent</t>
  </si>
  <si>
    <t>Lenovo Yoga Tab 11 Tablet 11" 2000x1200 Touch Helio 4GB 128GB Android 11 + Pen</t>
  </si>
  <si>
    <t>Apple iPad Pro (1st Gen) 256GB Wi-Fi Cellular Unlocked 12.9" (2015) - Excellent</t>
  </si>
  <si>
    <t>Apple iPad 6th Gen (2018) - 32GB - All Colors - Wi-Fi + 4G Unlocked - Very Good</t>
  </si>
  <si>
    <t>PANASONIC TOUGHPAD FZ-G1 Tablet Intel i5-7300U 2.60GHZ 8GB 256GB WIFI/BT W10P</t>
  </si>
  <si>
    <t>Apple iPad Pro 12.9-inch 5th Gen. 256GB, Wi-Fi, Space Gray - Very Good</t>
  </si>
  <si>
    <t>Apple iPad Pro 2 (2nd Gen) 64GB Wi-Fi 12.9" Gold Gray Silver (2017) - Excellent</t>
  </si>
  <si>
    <t>Apple iPad 8 - 32GB 128GB - All Colors - Good Condition</t>
  </si>
  <si>
    <t>Apple iPad Pro 12.9-inch 5th Gen. 128GB (Wi-Fi + 5G Cellular) Gray - Excellent</t>
  </si>
  <si>
    <t>Apple iPad Air 2 64 GB, Wi-Fi, 9.7in - Space Gray  lot of 2</t>
  </si>
  <si>
    <t>MICROSOFT SURFACE GO 2 10.5 FHD TOUCH PENTIUM 4425Y 8GB 128GB SSD STQ-00001</t>
  </si>
  <si>
    <t>Apple iPad 3 A1416 (WiFi) 16GB Black (Excellent)</t>
  </si>
  <si>
    <t>Apple iPad Pro 3rd Gen 1TB 12.9" - Unlocked - Wi-Fi + 4G - Silver (2018)</t>
  </si>
  <si>
    <t>Apple iPad Air 2 9.7 Space Gray 16GB A1567 WiFi + AT&amp;T Clean ESN Very Good (AMX)</t>
  </si>
  <si>
    <t>Apple iPad Air A1475 (WiFi + Cellular Unlocked) 16GB Space Gray (Very Good)</t>
  </si>
  <si>
    <t>Apple iPad Mini 4 128GB Space Gray WiFi Very Good Condition</t>
  </si>
  <si>
    <t>Microsoft Surface Go 3 - 6500Y - 4GB, 64GB EMMC, Wi-Fi, Platinum - Very Good</t>
  </si>
  <si>
    <t>Apple iPad Pro 12.9-inch (5th Gen.) 128GB Space Gray Unlocked Good Condition</t>
  </si>
  <si>
    <t>Samsung Galaxy Tab SM-T307U 32GB 8.4" Wi-Fi+4G(Sprin&lt;wbr/&gt;t Unlocked)- Very Good</t>
  </si>
  <si>
    <t>Samsung Galaxy Tab - T387P - 32GB 8" - Black - (Sprint Unlocked) Good</t>
  </si>
  <si>
    <t>Samsung Galaxy Tab E T377A 16GB 8"4G LTE WiFi AT&amp;T+GSM Unlocked Tablet Very Good</t>
  </si>
  <si>
    <t>Microsoft Surface Pro 6 12.3 2736x1824 Touch i5-8250U 8 128GB SSD LGP-00001</t>
  </si>
  <si>
    <t>Fujitsu STYLISTC R726 Tablet PC, Intel Core i5-6300U - 2.4GHz, 8GB, 256GB SSD</t>
  </si>
  <si>
    <t>Apple iPad Pro 11 Inch 1st - 64GB 256GB 512GB 1TB - All Colors - Good Condition</t>
  </si>
  <si>
    <t>Apple iPad Air 3 10.5" 64GB 256GB Gray Silver Gold WiFi or Cellular - Excellent</t>
  </si>
  <si>
    <t>Apple iPad Pro (1st Gen) 256GB Wi-Fi 12.9" Gray Silver Gold (2015) - Excellent</t>
  </si>
  <si>
    <t>Apple iPad 7th Generation 128GB Space Gray WiFi Very Good Condition</t>
  </si>
  <si>
    <t>Apple iPad 3 A1416 (WiFi) 16GB Black (Very Good)</t>
  </si>
  <si>
    <t>Samsung Galaxy Tab A T387V 32GB 8"4G Verizon+GSM Unlocked Black Tablet Excellent</t>
  </si>
  <si>
    <t>Lenovo ThinkPad X1 Tablet, Core m5-6Y54, 1.1 GHz, 8GB, 256GB SSD *LTE-4G &amp; GPS*</t>
  </si>
  <si>
    <t>Apple iPad Air 2 9.7" Silver 16GB A1566 MGLW2LL/A Wi-Fi Only Very Good (BHR)</t>
  </si>
  <si>
    <t>Apple iPad Air 2 64GB Wi-Fi + 4G (Unlocked) Cellular (MH2M2LL/A) IOS 15 lot of 5</t>
  </si>
  <si>
    <t>Apple iPad Pro 9.7 (2016) - 32GB - All Colors - Wi-Fi + 4G Unlocked - Excellent</t>
  </si>
  <si>
    <t>Apple iPad Air 2 (2nd Gen) 64GB Wi-Fi 9.7" Gold Silver Gray (2014) - Excellent</t>
  </si>
  <si>
    <t>Apple iPad Pro (1st Gen.) 9.7in. 32GB Wi-Fi + Cellular Unlocked - Very Good</t>
  </si>
  <si>
    <t>Apple iPad Pro 11-inch (2nd Gen.) 128GB Silver WiFi Very Good Condition</t>
  </si>
  <si>
    <t>Apple iPad Pro 11-inch (3rd Gen.) 128GB Silver Unlocked Very Good Condition</t>
  </si>
  <si>
    <t>Apple iPad Pro 11 2020 2nd Gen.128 256 512 1TB Gray Silver Very Good</t>
  </si>
  <si>
    <t>Apple iPad Pro (1st Gen) 128GB Wi-Fi 12.9" Space Gray Silver Gold (2015) - Good</t>
  </si>
  <si>
    <t>Apple iPad Pro 12.9-inch (5th Gen.) 512GB Silver Unlocked Excellent Condition</t>
  </si>
  <si>
    <t>Apple iPad Pro 1st Gen - 32GB 128GB 256GB - All Colors - Good Condition</t>
  </si>
  <si>
    <t>Samsung Galaxy Tab S8 Ultra 256GB Graphite WiFi Good Condition</t>
  </si>
  <si>
    <t>Apple iPad Pro 11-inch (3rd Gen.) 256GB Space Gray WiFi Very Good Condition</t>
  </si>
  <si>
    <t>Microsoft Surface Pro 5 - Core i5 - 4GB 128GB - Wi-fi - Silver - Excellent</t>
  </si>
  <si>
    <t>Apple iPad Pro 11 4th Gen 512GB Space Gray Unlocked Excellent Condition</t>
  </si>
  <si>
    <t>Samsung Galaxy Tab  10.1 SM-T517P 32GB (Sprint T-mobile Unlocked)  Excellent</t>
  </si>
  <si>
    <t>Apple iPad Mini 4 - 16GB 32GB 64GB 128GB - All Colors - Good Condition</t>
  </si>
  <si>
    <t>Samsung Galaxy Tab S2 SM-T710 32GB, Wi-Fi, 8in - Black - Good</t>
  </si>
  <si>
    <t>Galaxy Tab S7 11.0" - 512GB - Wi-Fi - Mystic Bronze - Unlocked - Very Good</t>
  </si>
  <si>
    <t>Apple iPad Air A1474 (WiFi) 32GB Silver (Good)</t>
  </si>
  <si>
    <t>Panasonic ToughPad FZ-G1 MK3, Intel Core i5-5300U, 2.3GHz,4GB,128&lt;wbr/&gt;GB SSD</t>
  </si>
  <si>
    <t>HP Pro X2 612 G2 Tablet, Intel Core i5-7Y57 - 1.2GHz, 8GB, 256GB SSD*FINGERPRIN&lt;wbr/&gt;T</t>
  </si>
  <si>
    <t xml:space="preserve">Apple iPad Pro 9.7 (2016) - 128GB - All Colors - Wi-Fi Only - Good Condition </t>
  </si>
  <si>
    <t>Apple iPad 6th Gen A1954 (WiFi + Cellular Unlocked) 32GB Space Gray (Very Good)</t>
  </si>
  <si>
    <t>Samsung Galaxy Tab SM-T307U 32GB 8.4" Wi-Fi+4G(T-Mob&lt;wbr/&gt;ile Unlocked)- Very Good</t>
  </si>
  <si>
    <t>Robustes Zebra ET55RT (ME936) Tablet, Intel Atom Z3795 - 1.6GHz, 4GB, 64GB SSD</t>
  </si>
  <si>
    <t>Samsung Galaxy Tab E 8" T377W 16GB Rogers + GSM Unlocked Tablet Excellent</t>
  </si>
  <si>
    <t>Apple iPad Air 5 (2022) 10.9" 64GB Blue (WiFi + Cellular Unlocked) - Very Good</t>
  </si>
  <si>
    <t>Apple iPad Air 4th Gen 64GB Silver Unlocked Very Good Condition</t>
  </si>
  <si>
    <t>Apple iPad Mini 5 64GB Gold WiFi Good Condition</t>
  </si>
  <si>
    <t>Apple iPad 7 - 32GB 128GB - All Colors - Good Condition</t>
  </si>
  <si>
    <t>Samsung Galaxy Tab SM-T597P 32GB - Blue Wi-Fi+Cellular&lt;wbr/&gt;(Sprint Unlocked)- Good</t>
  </si>
  <si>
    <t>Apple iPad Pro 2 (2nd Gen) 512GB Wi-Fi 12.9" Gold Gray Silver (2017) - Very Good</t>
  </si>
  <si>
    <t>Apple iPad 8 (2020) - 32GB - All Colors - Wi-Fi Only - Excellent Condition</t>
  </si>
  <si>
    <t>HP Elite x2 1012 G1 Tablet PC, Intel Core m5-6Y57 - 1.1GHz, 8GB, 256GB SSD</t>
  </si>
  <si>
    <t>Apple iPad Air 2 (2nd Gen) 64GB Wi-Fi 9.7" Gold Silver Space Gray (2014) - Good</t>
  </si>
  <si>
    <t>Apple iPad Air 4th Gen 64GB Rose Gold Unlocked Good Condition</t>
  </si>
  <si>
    <t>Apple iPad Pro 11-inch 512GB Space Gray Unlocked Excellent Condition</t>
  </si>
  <si>
    <t>Apple iPad Pro 12.9-inch (4th Gen.) 256GB Space Gray WiFi Excellent Condition</t>
  </si>
  <si>
    <t>Samsung Galaxy Tab 8.0 32GB-T387V - Black - (Sprint Unlocked) - Very Good</t>
  </si>
  <si>
    <t>Apple iPad 1.Generation 16GB Wi-Fi Schwarz/Silber&lt;wbr/&gt;! Gebraucht! TOP ZUSTAND! #45</t>
  </si>
  <si>
    <t>Apple iPad Pro 6th Gen 12.9" 2022 M2 - 512GB WiFi &amp; Cellular 5G Unlocked -Silver</t>
  </si>
  <si>
    <t>Apple iPad Pro 11-inch (2nd Gen.) 128GB Space Gray Unlocked Very Good Condition</t>
  </si>
  <si>
    <t>Lenovo YOGA Tablet 10 B8000 16GB WLAN Silber! TOP ZUSTAND! Einwandfrei!</t>
  </si>
  <si>
    <t>DELL Latitude 13 7350 2-in-1-System, Intel Core M-5Y71 - 1.2 GHz, 8GB, 256GB SSD</t>
  </si>
  <si>
    <t>Apple iPad 4 A1458 (WiFi) 32GB Black (Excellent)</t>
  </si>
  <si>
    <t>Apple iPad Pro 1st Gen - 32GB 128GB 256GB - All Colors - Very Good Condition</t>
  </si>
  <si>
    <t>Microsoft Surface Pro 7 12.3" Black 2019 1.3GHz i7-1065G7 16GB 256GB SSD - Good</t>
  </si>
  <si>
    <t>Apple iPad Pro 12.9 3rd Gen Tablet Wifi 64GB 256GB 512GB 1TB Very Good</t>
  </si>
  <si>
    <t>Samsung Galaxy Tab A 8.4" SM-T307U 32GB Mocha Tablet T-Mobile Locked Very Good</t>
  </si>
  <si>
    <t>Samsung Galaxy Tab A  8.0" 2019 SM-T290 32GB Black WiFi Tablet Excellent</t>
  </si>
  <si>
    <t>Apple iPad Air 5 (2021) 10.9" 64GB Silver Tablet (WiFi + Cellular) - Very Good</t>
  </si>
  <si>
    <t>Apple iPad Pro 12.9-inch (4th Gen.) 256GB Space Gray Unlocked Good Condition</t>
  </si>
  <si>
    <t>Apple iPad 6 6th Gen - 2018 Model - 32GB - 128GB - Wi-Fi - Cellular - Good</t>
  </si>
  <si>
    <t>Apple iPad Pro 11 4th Gen 256GB Space Gray Unlocked Excellent Condition</t>
  </si>
  <si>
    <t>Microsoft Surface Pro 6 - Core i5 8GB RAM 128GB SSD 12.3" Silver - Excellent</t>
  </si>
  <si>
    <t>Apple iPad 7th Gen. 32GB, Wi-Fi + 4G (Unlocked), 10.2 in - Space Gray Good</t>
  </si>
  <si>
    <t>Apple iPad Pro (1st Gen.) 9.7in. 128GB WiFi Tablet - Very Good</t>
  </si>
  <si>
    <t>Apple iPad Pro 12 9 6th Gen 128GB Silver Unlocked Excellent Condition</t>
  </si>
  <si>
    <t>Apple iPad Air 5th Gen 64GB Pink WiFi - Excellent Condition</t>
  </si>
  <si>
    <t>Nextbook</t>
  </si>
  <si>
    <t>Nextbook Ares 8L 8" Intel Quad-Core Android Tablet (NXA8LTE116) - Verizon™¥</t>
  </si>
  <si>
    <t>Apple iPad Mini 3 - 128GB - All Colors - Wi-Fi Only - Good Condition</t>
  </si>
  <si>
    <t>Samsung Galaxy Tab E T377A 16GB 8" 4G LTE WiFi Locked to AT&amp;T Tablet Excellent</t>
  </si>
  <si>
    <t>Apple iPad Pro 2 11" 128GB 256GB 512GB Gray Silver WiFi or Cellular - Very Good</t>
  </si>
  <si>
    <t>Microsoft Surface Pro 3 - Core i7, 1.7GHz, 256GB 8GB, Wi-Fi, Silver - Very Good</t>
  </si>
  <si>
    <t>Microsoft Surface Pro 5 - Intel Core M3 - 4GB RAM 128GB - Wi-Fi - Silver - Good</t>
  </si>
  <si>
    <t>Microsoft Surface Pro 3 (2014) i3-4020Y 4GB RAM 64GB SSD Silver (Excellent)</t>
  </si>
  <si>
    <t>Apple iPad Mini 4 (2015) - 64GB - All Colors - Wi-fi + 4G Unlocked - Excellent</t>
  </si>
  <si>
    <t>Apple iPad Mini 1st Generation 7.9" - 16GB All Colors (Unlocked) Stock</t>
  </si>
  <si>
    <t>Apple iPad Air 2 9.7" 16GB Space Gray A1566 MGL12LL/A Wi-Fi Only Very Good (BHR)</t>
  </si>
  <si>
    <t>Apple iPad 6th Gen A1954 (WiFi + Cellular Unlocked) 32GB Space Gray (Excellent)</t>
  </si>
  <si>
    <t>Apple iPad 7th Gen. 32GB, Wi-Fi + 4G (Unlocked), 10.2 in - Space Gray Excellent</t>
  </si>
  <si>
    <t>Apple iPad 2 A1395 (WiFi) 16GB Black (Excellent)</t>
  </si>
  <si>
    <t>DELL Latitude 7210 Tablet, Intel Quad Core i5-10210U - 1.6GHz, 8GB, 256GB SSD</t>
  </si>
  <si>
    <t>HP Pro X2 612 G2 Tablet, Intel Core i5-7Y75 - 1.3GHz, 8GB, 256GB SSD*FINGERPRIN&lt;wbr/&gt;T</t>
  </si>
  <si>
    <t>Samsung Galaxy Tab A T387P 32GB 8" 4G LTE Sprint GSM Unlocked Tablet Excellent</t>
  </si>
  <si>
    <t>Apple iPad 32GB 9.7" WiFi Tablet 6th Generation A1893 MR7G2LL/A iOS SPACE GRAY</t>
  </si>
  <si>
    <t>Samsung Galaxy Tab A7 Lite 8.7" SMT227U 32GB Tablet Locked to T-Mobile Excellent</t>
  </si>
  <si>
    <t>Apple iPad Air 2 9.7" Silver 32GB A1566 MNV62LL/A Wi-Fi Only Very Good (BHR)</t>
  </si>
  <si>
    <t>DELL Latitude 12 7275 Tablet, Core m5-6Y57 - 1.1 GHz,4GB,128GB*&lt;wbr/&gt;LTE &amp; 4K DISPLAY*</t>
  </si>
  <si>
    <t>HP Pro X2 612 G2 Tablet, Intel Core i5-7Y54 - 1.2GHz, 8GB, 128GB SSD*FINGERPRIN&lt;wbr/&gt;T</t>
  </si>
  <si>
    <t>Apple iPad 4 A1458 (WiFi) 16GB Black (Excellent)</t>
  </si>
  <si>
    <t>Apple iPad Pro 11-inch (3rd Gen.) 512GB Space Gray WiFi Very Good Condition</t>
  </si>
  <si>
    <t>Apple iPad Air 1st Gen - 64GB - Silver/Gray - Wi-Fi Only - Very Good Condition</t>
  </si>
  <si>
    <t>Samsung Galaxy Tab - T587P 10.1" 16GB -Black - (Sprint Unlocked) - Very Good</t>
  </si>
  <si>
    <t>NuVision</t>
  </si>
  <si>
    <t>NuVision Split 11 11.6" 2-in-1 Tablet w/ Detachable Keyboard 32GB 4GB Ram Win10¥</t>
  </si>
  <si>
    <t>Apple iPad Air 4th Gen. 10.9 in, 64GB, Wi-Fi Sky Blue A2316 - Good</t>
  </si>
  <si>
    <t>DELL Latitude 12 7275 Tablet, Intel Core m5-6Y57 - 1.1 GHz, 4GB, 128GB *Full HD*</t>
  </si>
  <si>
    <t xml:space="preserve">Apple iPad Air 2 - 128GB - All Colors - Wi-Fi + 4G, Unlocked - Good Condition </t>
  </si>
  <si>
    <t>Apple iPad Pro 11-inch (2nd Gen.) 256GB Silver Unlocked Very Good Condition</t>
  </si>
  <si>
    <t>Samsung Galaxy Tab A 8.4" SM-T307U Mocha  Tablet AT&amp;T GSM Unlocked Excellent</t>
  </si>
  <si>
    <t>Apple iPad Pro 2 - 512GB- 10.5in - All Colors - Wi-Fi Only - Very Good Condition</t>
  </si>
  <si>
    <t>Apple iPad Pro 11-inch 256GB Space Gray Unlocked Good Condition</t>
  </si>
  <si>
    <t>GOOD Samsung Galaxy Tab S5e T720 64GB, Wi-Fi, 10.5in Black</t>
  </si>
  <si>
    <t>2018 - Apple iPad 6th Gen 9.7" MR7K2LL/A 128GB &amp; WiFi Only (Silver) - Excellent</t>
  </si>
  <si>
    <t>Microsoft Surface Pro 4 Tablet, Core i5-6300U - 2.4GHz, 4GB, 128GB SSD *WebCam*</t>
  </si>
  <si>
    <t>Apple iPad 3.Generation 16GB Wi-Fi+Cellular&lt;wbr/&gt;(3G) Weiß! Ohne Simlock! TOP ZUSTAND!</t>
  </si>
  <si>
    <t>Microsoft Surface Go 128GB WLAN Silber! Gebraucht! TOP ZUSTAND! OVP! Win 10!</t>
  </si>
  <si>
    <t>RCA</t>
  </si>
  <si>
    <t>RCA Cambio 12.2" 2-in-1 Windows 10 Tablet w/ Keyboard 64GB HHD 2GB (W122SC24T2)™</t>
  </si>
  <si>
    <t>Apple iPad 4 Gen. 16GB Wi-Fi Weiß/Silber! Gebraucht! TOP! Einwandfrei! OVP!</t>
  </si>
  <si>
    <t>Apple iPad Pro 2 (2nd Gen) 256GB Wi-Fi Cellular Unlocked 12.9" (2017) - Good</t>
  </si>
  <si>
    <t>Apple iPad Mini 16GB Wi-Fi Spacegrau! TOP ZUSTAND! Einwandfrei! #75-</t>
  </si>
  <si>
    <t>DELL Latitude 12 7275 Tablet, Intel Core m5-6Y57 - 1.1 GHz, 4GB, 128GB *LTE-4G*</t>
  </si>
  <si>
    <t>Apple iPad Air 2 (2nd Gen) 128GB Wi-Fi Cellular Unlocked 9.7" (2014) - Good</t>
  </si>
  <si>
    <t>Samsung Galaxy Tab - T587P 10.1" - 16GB - Black - (Sprint Unlocked) - Good</t>
  </si>
  <si>
    <t>Apple iPad Air 2 64GB, Wi-Fi, 9.7in - Space Gray - Good</t>
  </si>
  <si>
    <t>Apple iPad 2.Generation 16GB Wi-Fi+3G Schwarz! Gebraucht! Ohne Simlock!TOP! OVP!</t>
  </si>
  <si>
    <t>Microsoft Surface 3 128GB WLAN + 4G Silber! Gebraucht! +Type Station! TOP! OVP!</t>
  </si>
  <si>
    <t>Samsung Galaxy Tab A 2016 SM-T280 8GB WLAN Schwarz! TOP! ZUSTAND! OVP!</t>
  </si>
  <si>
    <t>Apple iPad 5th Gen Space Gray 9.7" 128GB WiFi Tablet MP2H2LL/A A1823 - Grade B</t>
  </si>
  <si>
    <t>Apple iPad Air 2 9.7 Space Gray 16GB A1567 WiFi + AT&amp;T Clean ESN Good (AMX)</t>
  </si>
  <si>
    <t>Apple ipad ricondizionato 10,2" 2020 128gb wifi space grey</t>
  </si>
  <si>
    <t>Refurbished Apple iPad Air 2 A1566 (WiFi) 16GB Silver (Grade A+)</t>
  </si>
  <si>
    <t>Apple iPad 6th Gen 32GB Space Gray 9.7" A1893 MR7F2LL/A WiFi Only Good (CF)</t>
  </si>
  <si>
    <t>DELL Latitude 7210 Tablet, Intel Quad Core i5-10310U - 1.7GHz, 16GB, 256GB SSD</t>
  </si>
  <si>
    <t>Apple iPad Pro 12.9" (1st Gen) A1652 (WiFi + Cellular) 128GB Silver (Very Good)</t>
  </si>
  <si>
    <t>Apple iPad Pro 12.9(2nd Gen) A1671 (WiFi + Cellular)256GB Space Gray (Excellent)</t>
  </si>
  <si>
    <t>HP 600G2 PC Pentium G4400 3.3GHz 8GB 2TB+120SSD New 20"LCD Win10Pro SFF Computer</t>
  </si>
  <si>
    <t>TABLET SAMSUNG GALAXY TAB 2 7" 3G ANDROID 4 1GB 8GB PER BAMBINI DA COLLEZIONE.</t>
  </si>
  <si>
    <t>DELL Latitude 7285 Tablet, Core i5-7Y57 - 1.2 GHz, 8GB, 256GB SSD</t>
  </si>
  <si>
    <t>DELL Latitude 7285 Tablet, Core i5-7Y57 - 1.2 GHz, 8GB, 256GB SSD *WQHD+*</t>
  </si>
  <si>
    <t>Apple iPad Pro 12.9-inch (5th Gen.) 256GB Space Gray WiFi Very Good Condition</t>
  </si>
  <si>
    <t>Apple iPad Mini 3 - 7.9'' 16GB/64/128GB WiFi + 4G LTE GSM Unlocked - Good</t>
  </si>
  <si>
    <t>Apple iPad Pro 9.7"(1st Gen) A1673 (WiFi + Cellular)128GB Space Gray (Excellent)</t>
  </si>
  <si>
    <t>DELL Latitude 5290 Tablet, Core i5-8250U - 1.6GHz, 8GB, 256GB SSD *8 Gen. CPU*</t>
  </si>
  <si>
    <t>Lenovo Tab M10 2 Gen 10.3" FHD+ Octa-Core CPU 4GB 128GB Android 9.0 Pie Tablet</t>
  </si>
  <si>
    <t>Microsoft Surface Pro 3 WIFI 64GB 128GB 256GB 12" Intel Core M3 i5 i7 - Good</t>
  </si>
  <si>
    <t>Apple iPad Pro 10.5" A1709 (WiFi + Cellular Unlocked) 256GB Gray (Very Good)</t>
  </si>
  <si>
    <t>Getac F110 G4 Fully Rugged Tablet, Core i5-7200U, 2.5GHz,8GB,256&lt;wbr/&gt;GB SSD</t>
  </si>
  <si>
    <t xml:space="preserve">Apple iPad Air 2 - 16GB - All Colors - Wi-Fi + 4G, Unlocked - Very Good </t>
  </si>
  <si>
    <t>Apple iPad Air 2 9.7-inch 16GB 32GB 64GB 128GB Wi-Fi or Cellular All Colors</t>
  </si>
  <si>
    <t>Apple iPad Air 4 - 64GB 256GB - All Colors - Very Good Condition</t>
  </si>
  <si>
    <t>Apple iPad Air 5th Gen 64GB Blue WiFi Excellent Condition</t>
  </si>
  <si>
    <t>Apple iPad Air 2 9.7 Space Gray 64GB A1567 WiFi Cellular Verizon Very Good (AMX)</t>
  </si>
  <si>
    <t>Samsung Galaxy Tab S4 - 64GB - All Colors - Wi-Fi Only - Very Good Condition</t>
  </si>
  <si>
    <t>Microsoft Surface Pro 5 - 256 GB - i5 - 8GB RAM - Silver - Tablet- Excellent</t>
  </si>
  <si>
    <t>Apple iPad Mini 3 - 64GB - Gold - Wi-Fi Only - Good Condition</t>
  </si>
  <si>
    <t>Microsoft Surface Pro 5 Tablet 1796, Core i5-7300U 2.6GHz,8GB,256&lt;wbr/&gt;GB SSD *WebCam*</t>
  </si>
  <si>
    <t>Microsoft Surface Pro 6 - Core i5 - 256GB (8GB RAM) -Silver Tablet - Good</t>
  </si>
  <si>
    <t>Samsung Galaxy Tab E 8" T377W 16GB Rogers + GSM Unlocked Tablet Open Box</t>
  </si>
  <si>
    <t>Samsung Galaxy Tab E T377A 16GB 8" 4G LTE WiFi Locked to AT&amp;T Tablet Very Good</t>
  </si>
  <si>
    <t>Apple iPad Air 4 A2324 (WiFi + Cellular Unlocked) 64GB Space Gray (Very Good)</t>
  </si>
  <si>
    <t>Apple iPad Pro 10.5" A1709 (WiFi + Cellular Unlocked) 256GB Space Gray (Good)</t>
  </si>
  <si>
    <t>Apple iPad Pro (1st Gen) 256GB Wi-Fi 12.9" Space Gray Silver Gold (2015) - Good</t>
  </si>
  <si>
    <t>Apple iPad 2.Generation 16GB Wi-Fi Weiß-Silber! TOP ZUSTAND! Einwandfrei!</t>
  </si>
  <si>
    <t>Apple iPad Pro 12.9  3rd Gen 64 256 512 GB 1TB Wifi 4G Tablet Very Good</t>
  </si>
  <si>
    <t>Apple iPad Pro 12.9 (5th Gen.) 512GB Space Gray Unlocked Excellent Condition</t>
  </si>
  <si>
    <t>Samsung Galaxy Tab SM-T597P - 32GB - Blue - (Sprint Unlocked) - Very Good</t>
  </si>
  <si>
    <t>DELL Latitude 5290 Tablet, Core i5-8350U - 1.7GHz, 8GB, 256GB SSD *8 Gen. CPU*</t>
  </si>
  <si>
    <t>Apple iPad Pro 1st Gen 12.9" - A1584 - 128GB - Space Gray - WiFi - Very Good</t>
  </si>
  <si>
    <t>Apple iPad Pro 12.9-inch (3rd Gen.) 1TB Space Gray Unlocked Excellent Condition</t>
  </si>
  <si>
    <t>Apple iPad Pro 10.5 64GB Space Gray WiFi Very Good Condition</t>
  </si>
  <si>
    <t>Dell Latitude 7220 Rugged Extreme 12" FHD TOUCH 1.6GHz i5-8365U 16GB 256GB SSD</t>
  </si>
  <si>
    <t>Apple iPad Pro 12.9-inch (3rd Gen.) 256GB Silver WiFi Excellent Condition</t>
  </si>
  <si>
    <t>Microsoft Surface Pro 4 - 256 GB - i7 - 8GB RAM - Silver - Tablet - Excellent</t>
  </si>
  <si>
    <t>Apple iPad Air 3rd Gen (2019) - 64GB - Wi-Fi + 4G - All Colors - Very Good</t>
  </si>
  <si>
    <t>Apple iPad Pro 11-inch 256GB Space Gray Unlocked Very Good Condition</t>
  </si>
  <si>
    <t>Apple iPad Pro 2 (2nd Gen) 512GB Wi-Fi Cellular Unlocked 12.9" (2017) - Good</t>
  </si>
  <si>
    <t>Apple iPad Pro 12.9" 2018 3rd Gen 64GB 256GB 512GB 1TB Wifi or Cell  Good</t>
  </si>
  <si>
    <t>Apple iPad Pro 11-inch (3rd Gen.) 1TB Space Gray Unlocked Very Good Condition</t>
  </si>
  <si>
    <t>DELL Latitude 13 7350 2-in-1, Core M-5Y10c - 2x800 MHz bis 2GHz, 4GB, 256GB SSD</t>
  </si>
  <si>
    <t>DELL Latitude 13 7350 2-in-1, Intel Core M-5Y71 - 1.2 GHz, 4 GB, 128 GB SSD</t>
  </si>
  <si>
    <t>Apple iPad Pro 12.9-inch 5th Gen. 2TB, Wi-Fi, Space Gray - Excellent</t>
  </si>
  <si>
    <t>Apple iPad Pro 1.Gen 256GB, Wi-Fi + 4G 9,7 Zoll Space Grau! TOP ZUSTAND!</t>
  </si>
  <si>
    <t>Apple iPad Pro A1674 9.7-inch 32GB Wi-Fi + Cellular Unlocked MLYJ2LL/A Grade B</t>
  </si>
  <si>
    <t>Microsoft Surface Pro 7 - Core i5 256GB (8GB RAM) Wi-Fi - Platinum - Very Good</t>
  </si>
  <si>
    <t>Apple iPad Air A1474 9.7-inch 16GB Wi-Fi MD788LL/B Grade B</t>
  </si>
  <si>
    <t>Apple iPad Mini 16GB Wi-Fi Schwarz! TOP ZUSTAND! Einwandfrei! OVP! #57-</t>
  </si>
  <si>
    <t>Apple iPad Pro 2 - 512GB, 10.5in, All Colors, 4G (Unlocked)- Very Good Condition</t>
  </si>
  <si>
    <t>IPAD AIR 2 MODELLO A1567 ANNO 2014 16 GB</t>
  </si>
  <si>
    <t>Samsung Galaxy Tab A (2020) 32GB, 8.4" - Mocha, Wi-Fi + 4G (AT&amp;T) - Excellent</t>
  </si>
  <si>
    <t>Dell Latitude 5285 Tablet Intel Core i5, 8 GB Ram, 128 GB SSD, WebCam Windows 10</t>
  </si>
  <si>
    <t>TABLET SAMSUNG GALAXY TAB 2 7" 3G ANDROID 4 1GB 8GB PER BAMBINI DA COLLEZIONE-</t>
  </si>
  <si>
    <t>Apple iPad Pro 11 2018 1st Gen 64GB 256GB 512GB 1TB Wifi / Cell Very Good</t>
  </si>
  <si>
    <t>Panasonic ToughPad FZ-G1 MK4, Core i5-6300U, 2.4GHz, 8GB, 256GB SSD *Win10 Pro*</t>
  </si>
  <si>
    <t>Panasonic Toughpad FZ-G1 - MK5, Intel Core i5-7300U, 2.6GHz, 8GB, 256GB SSD</t>
  </si>
  <si>
    <t>Apple iPad Pro 12.9-inch (3rd Gen.) 64GB Space Gray Unlocked Excellent Condition</t>
  </si>
  <si>
    <t>Panasonic ToughPad FZ-G1 MK3, Core i5-5300U, 2.3GHz,8GB,256&lt;wbr/&gt;GB SSD *LTE-4G*</t>
  </si>
  <si>
    <t>Apple iPad Air 2 9.7 Space Gray 16GB A1567 WiFi + AT&amp;T Clean ESN Good (NS)</t>
  </si>
  <si>
    <t>Apple iPad Pro A1674 9.7-inch 128GB Wi-Fi + Cellular Unlocked MLQ32LL/A Grade B</t>
  </si>
  <si>
    <t>Microsoft Surface Go 3 - 8GB, 128GB SSD, Wi-Fi, Platinum - Excellent Condition</t>
  </si>
  <si>
    <t>Apple iPad A1823 5th Gen 32GB Wi-Fi + Cellular Unlocked MP242LL/A Grade B</t>
  </si>
  <si>
    <t>LG G Pad F2 LK460 16GB, Wi-Fi + 4G, (Sprint) , 8 inch - Black stock unlocked</t>
  </si>
  <si>
    <t>Microsoft Surface Pro 4 WIFI i5 i7 128GB 256GB 512GB 12" Windows 10 - Good</t>
  </si>
  <si>
    <t>Apple iPad Pro 12.9 2018 3rd Generation 64GB 256GB 512GB 1TB Very Good</t>
  </si>
  <si>
    <t>Apple iPad Pro (1st Gen) 256GB Wi-Fi 12.9" Gray Silver Gold (2015) - Very Good</t>
  </si>
  <si>
    <t>Apple iPad Pro 2 - 64GB, 10.5in, All Colors, 4G (Unlocked) - Very Good Condition</t>
  </si>
  <si>
    <t>Apple iPad Mini 6th Gen. 8.3 in, 64GB, Wi-Fi Pink - Excellent</t>
  </si>
  <si>
    <t>Apple iPad Pro 2 - 64GB - 10.5in - All Colors - Wi-Fi Only - Excellent Condition</t>
  </si>
  <si>
    <t xml:space="preserve">Apple iPad Air 2 - 32GB - All Colors - Wi-Fi Only - Excellent Condition </t>
  </si>
  <si>
    <t>Samsung Galaxy Tab S6 - 128GB - Mountain Gray - Wi-Fi + LTE (Verizon) -Very Good</t>
  </si>
  <si>
    <t>Samsung Galaxy Tab S6 - 128GB - All Colors - 4G - T-Mobile - 10.5in - Excellent</t>
  </si>
  <si>
    <t>Apple iPad Air 3rd Gen (2019) - 256GB - Wi-Fi - All Colors - Good Condition</t>
  </si>
  <si>
    <t>Apple iPad Pro 12.9 3rd Gen 2018 Model  256GB WiFi Only Cellular Very Good</t>
  </si>
  <si>
    <t>Apple iPad 8 (2020) - 128GB - All Colors - 4G (Unlocked) - Good Condition</t>
  </si>
  <si>
    <t>RCA Atlas 10 Tablet Quad-Core 2GB RAM 32GB Storage - Black (RCTB06 P23)™</t>
  </si>
  <si>
    <t>Apple iPad Pro 12.9 (2015) - 128GB - All Colors - Wi-Fi Only - Excellent</t>
  </si>
  <si>
    <t>Apple iPad Air 3rd Gen (2019) - 256GB - Wi-Fi + 4G - All Colors - Good Condition</t>
  </si>
  <si>
    <t>Samsung Galaxy Tab S7 FE - Wi-Fi + 5G - 64GB - Mystic Black - Excellent</t>
  </si>
  <si>
    <t>Apple iPad Pro 12.9(1st Gen) A1652 (WiFi + Cellular)128GB Space Gray (Excellent)</t>
  </si>
  <si>
    <t xml:space="preserve">Apple iPad Pro 12.9 (2017) - 256GB - All Colors - Wi-Fi Only - Good Condition </t>
  </si>
  <si>
    <t>Galaxy Tab S7 11.0" - 128GB - Wi-Fi + 5G - Mystic Black - AT&amp;T - Good</t>
  </si>
  <si>
    <t>DELL Latitude 5290 Tablet, Core i7-8650U - 1.9GHz, 16GB, 256GB SSD *8 Gen. CPU*</t>
  </si>
  <si>
    <t>Apple iPad Pro 2 (2nd Gen) 512GB Wi-Fi 12.9" Gold Gray Silver (2017) - Good</t>
  </si>
  <si>
    <t>Apple iPad 3.Generation 16GB Wi-Fi+Cellular&lt;wbr/&gt;(3G) Weiß! Ohne Simlock! TOP! OVP!</t>
  </si>
  <si>
    <t>DELL Latitude 7210 Tablet, Intel Quad Core i5-10310U - 1.7GHz, 8GB, 256GB SSD</t>
  </si>
  <si>
    <t>Apple iPad Pro 11-inch (2nd Gen.) 256GB Space Gray Unlocked Very Good Condition</t>
  </si>
  <si>
    <t>Apple iPad Pro 10.5" A1709 (WiFi + Cellular) 256GB Space Gray (Excellent)</t>
  </si>
  <si>
    <t>Apple iPad Pro 12.9" (2nd Gen) A1671 (WiFi + Cellular) 256GB Space Gray (Good)</t>
  </si>
  <si>
    <t>Microsoft Surface Go 2 - M3 - 8GB, 128 GB SSD - Wi-Fi - Very Good Condition</t>
  </si>
  <si>
    <t>Lenovo TB-8504F Tab 4, 8" HD Touchscreen, Snapdragon 425, 2GB RAM™</t>
  </si>
  <si>
    <t>Smartab 7" Android Tablet Quad Core 1.2Ghz 1GB RAM 16GB Wi-Fi Red (ST7160RD)™</t>
  </si>
  <si>
    <t>Apple iPad Pro 12.9 (2017) - 256GB - All Colors - WiFi + 4G Unlocked - Very Good</t>
  </si>
  <si>
    <t>LINSAY</t>
  </si>
  <si>
    <t>LINSAY F-7HD4CORE 7" 1024X600 IPS Quad Core Dual Camera Tablet Android 6 8GB™</t>
  </si>
  <si>
    <t>Microsoft Surface Go 2 64GB WLAN Silber! TOP ZUSTAND! Einwandfrei! OVP!</t>
  </si>
  <si>
    <t>Microsoft Surface Pro 4 12.3 i5-6300U 4GB 128SSD Windows 10 Pro</t>
  </si>
  <si>
    <t>Microsoft Surface Pro 3 256GB, Wi-Fi, 12 inch - Silver - Excellent</t>
  </si>
  <si>
    <t>Apple iPad Pro 12.9  3rd Gen 2018 512GB WiFi + 4G Cellular LTE Very Good</t>
  </si>
  <si>
    <t>Galaxy Tab S7 11.0" - 128GB - Wi-Fi + 5G - Mystic Black - T-Mobile - Very Good</t>
  </si>
  <si>
    <t>Lenovo Tab M10 26.2 cm (10.3") 32 GB Android Grey Tablet</t>
  </si>
  <si>
    <t>Samsung Galaxy Tab S7 - 128GB - Wi-Fi - 11" - Mystic Navy - Good Condition</t>
  </si>
  <si>
    <t>Microsoft Surface Pro 7 - Core i5 - 256GB - 8GB RAM - 12.3" - Black - Excellent</t>
  </si>
  <si>
    <t>Apple iPad A1954 6th Gen 32GB Wi-Fi + Cellular Unlocked MR6Y2LL/A Grade B</t>
  </si>
  <si>
    <t>Apple iPad Air 2 A1567 9.7-inch 32GB Wi-Fi + Cellular Unlocked MNW22LL/A Grade B</t>
  </si>
  <si>
    <t>Apple iPad Air 2 A1566 9.7-inch 64GB Wi-Fi MGKL2LL/A Grade B</t>
  </si>
  <si>
    <t>Apple iPad Air 3rd Gen (2019) - 256GB - Wi-Fi - All Colors - Excellent Condition</t>
  </si>
  <si>
    <t>Apple iPad Air 2 A1567 9.7-inch 16GB Wi-Fi + Cellular Unlocked MH2V2LL/A Grade B</t>
  </si>
  <si>
    <t>MICROSOFT SURFACE PRO 4 12.3" TOUCH i7-6650U16GB 256GB SSD - SILVER</t>
  </si>
  <si>
    <t>Refurbished Samsung Galaxy Tab S8+ 128GB 12.4" WiFi Tablet - G A1/SM-X800NZAA&lt;wbr/&gt;EUB</t>
  </si>
  <si>
    <t>Refurbished Samsung Galaxy S8 Ultra 256GB 14.6" WiFi Tablet -  A1/SM-X900NZAE&lt;wbr/&gt;EUB</t>
  </si>
  <si>
    <t>Lenovo Tab M10 25.6 cm (10.1") 16 GB Android Black Tablet</t>
  </si>
  <si>
    <t>Lenovo Tab M10 Plus (3rd Gen) 10.6" 128 GB Android Grey Tablet</t>
  </si>
  <si>
    <t>Samsung Galaxy Tab S7 FE 12.4" 128 GB - Pink Tablet</t>
  </si>
  <si>
    <t>Apple iPad 2 Generation 9,7 Zoll 16GB Tablet WiFi Wlan Retina Display Weiß</t>
  </si>
  <si>
    <t>Refurbished Samsung Galaxy Tab A8 10.5" 32GB WiFi Tablet - Pin A1/SM-X200NIDA&lt;wbr/&gt;EUA</t>
  </si>
  <si>
    <t>Lenovo Smart Tab M8 20.3 cm (8") 32 GB Android Grey Tablet</t>
  </si>
  <si>
    <t>Lenovo Tab M10 FHD Plus 26.2 cm (10.3") 64 GB 4G Grey Tablet</t>
  </si>
  <si>
    <t>Lenovo Tab M10 32 GB 25.6 cm (10.1") Android 10 - Grey</t>
  </si>
  <si>
    <t>Apple iPad Pro 9,7 Zoll (2016) 256GB Tablet WiFi Retina LCD Display RoseGold</t>
  </si>
  <si>
    <t>Lenovo Tab M10 25.6 cm (10.1") 32 GB Android Black Tablet</t>
  </si>
  <si>
    <t>Refurbished Samsung Galaxy Tab S8+ 256GB 12.4" 5G Cellular Tab A1/SM-X806BZSB&lt;wbr/&gt;EUB</t>
  </si>
  <si>
    <t>Lenovo Tab P11 64 GB Android Grey  - 11" Tablet</t>
  </si>
  <si>
    <t>Refurbished Samsung Galaxy Tab A8 10.5" 64GB WiFi Tablet - Gre A1/SM-X200NZAE&lt;wbr/&gt;EUA</t>
  </si>
  <si>
    <t>Lenovo Yoga Smart Tab 25.6 cm (10.1") 32 GB Android Grey Tablet</t>
  </si>
  <si>
    <t>Refurbished Samsung Galaxy Tab S8+ 256GB 12.4" WiFi Tablet - P A1/SM-X800NIDB&lt;wbr/&gt;EUB</t>
  </si>
  <si>
    <t>Lenovo Tab M10 26.2 cm (10.3") 128 GB Android Grey Tablet</t>
  </si>
  <si>
    <t>Refurbished Samsung Galaxy Tab S7 FE 128GB 12.4" WiFi Tablet A2/SM-T733NZKE&lt;wbr/&gt;EUA</t>
  </si>
  <si>
    <t>Lenovo Yoga Tab 11 - 128 GB Android Grey Tablet 11"</t>
  </si>
  <si>
    <t>Refurbished Samsung Galaxy A7 Lite 8.7" 32GB LTE Tablet- Grey A1/SM-T225NZAA&lt;wbr/&gt;EUA</t>
  </si>
  <si>
    <t>Lenovo TabletM10 FHD Plus (2nd Gen - Wifi) Iron Grey, 10.3', Android Refurbished</t>
  </si>
  <si>
    <t>Refurbished Microsoft Surface Pro 7 Core i5-1035G4 8GB 256GB 12.3"  A2/PWL-00002</t>
  </si>
  <si>
    <t>Apple iPad Mini 4 Tablet 16GB 7,9 WiFi + Cellular 4G Retina ohne Simlock Gold</t>
  </si>
  <si>
    <t>Refurbished Samsung Galaxy A8 10.5" 32GB WiFi Tablet -Silver A1/SM-X200NZSA&lt;wbr/&gt;EUA</t>
  </si>
  <si>
    <t>Lenovo IdeaPad Duet 3i 10 - Graphite Grey, 10.3'', Windows 10 Home Refurbished</t>
  </si>
  <si>
    <t>Apple iPad Air 2 Gen 9,7 Zoll 24,64 cm 16GB Tablet WiFi Retina Display Gold</t>
  </si>
  <si>
    <t>Apple iPad Air 1 Gen 9,7 Zoll 16GB Tablet WiFi + Cellular 4G Retina Display Grau</t>
  </si>
  <si>
    <t>Apple iPad Mini 3 Tablet 64GB 7,9 WiFi WLAN Retina Display ohne Simlock Grau</t>
  </si>
  <si>
    <t>Apple iPad 5 Generation (2017) Tablet 32GB 9,7 Zoll WLAN WiFi Retina Gold</t>
  </si>
  <si>
    <t>Refurbished Samsung Galaxy Tab S7 FE 64GB 12.4" Tablet - Mysti A1/SM-T733NZKA&lt;wbr/&gt;EUA</t>
  </si>
  <si>
    <t>Lenovo TabletP11 Pro (WiFi) (Keyboard+Pen) - Slate Grey, 11.5'', Refurbished</t>
  </si>
  <si>
    <t>Apple iPad 7th Gen. 32GB Wi-Fi + 4G  Unlocked 10.2 in Space Grey Very Good</t>
  </si>
  <si>
    <t>Apple iPad Air 2 Gen 9,7 Zoll 24,64 cm 32GB Tablet WiFi Retina Display Gold</t>
  </si>
  <si>
    <t>Apple iPad Air 2 Gen 9,7 Zoll 24,64 cm 32GB Tablet WiFi Retina Display Silber</t>
  </si>
  <si>
    <t>Lenovo Tab P11 Pro 29.2 cm (11.5") 128 GB Android Grey Tablet</t>
  </si>
  <si>
    <t>Apple iPad A1954 6th Gen 32GB Wi-Fi + Cellular Unlocked MR6Y2LL/A Grade A</t>
  </si>
  <si>
    <t>Lenovo Smart Tab M10 10.3" 32 GB - Grey Tablet</t>
  </si>
  <si>
    <t>DELL Latitude 5290 Tablet, Core i5-8350U - 1.7GHz, 8GB, 256GB SSD *4G-LTE*</t>
  </si>
  <si>
    <t>Refurbished Samsung Galaxy Tab S7 FE 64GB 12.4" WiFi Tablet -  A1/SM-T733NZSA&lt;wbr/&gt;EUA</t>
  </si>
  <si>
    <t>Lenovo Tab M10 32 GB 10.1" - Mediatek 2 GB Wi-Fi 5 (802.11ac) Android 10 Grey</t>
  </si>
  <si>
    <t>Apple iPad Air 3 10,5 Zoll (2019) 64GB Tablet WiFi Retina Display Gold</t>
  </si>
  <si>
    <t>Refurbished Samsung Galaxy Tab S7 FE 128GB 12.4" WiFi Tablet A1/SM-T733NZKE&lt;wbr/&gt;EUA</t>
  </si>
  <si>
    <t>Refurbished Samsung Galaxy Tab S7 FE 12.4" Black 64GB Wi-Fi Ta A2/SM-T733NZKA&lt;wbr/&gt;EUA</t>
  </si>
  <si>
    <t>Lifespan parameter inputs</t>
  </si>
  <si>
    <t xml:space="preserve">Year from </t>
  </si>
  <si>
    <t>Refurbish</t>
  </si>
  <si>
    <t>Remanufacture</t>
  </si>
  <si>
    <t>Recycling (open loop)</t>
  </si>
  <si>
    <t>Recycling (closed loop)</t>
  </si>
  <si>
    <t>Disposal (incineration)</t>
  </si>
  <si>
    <t>Disposal (landfll)</t>
  </si>
  <si>
    <t>Component</t>
  </si>
  <si>
    <t>Battery</t>
  </si>
  <si>
    <t>Plastic</t>
  </si>
  <si>
    <t>PCB</t>
  </si>
  <si>
    <t>Chasis bottom</t>
  </si>
  <si>
    <t>Chasis top</t>
  </si>
  <si>
    <t>Other metals</t>
  </si>
  <si>
    <t>Heat sink</t>
  </si>
  <si>
    <t>Optical drive</t>
  </si>
  <si>
    <t>ZTE Z992 (2013)</t>
  </si>
  <si>
    <t>Casing</t>
  </si>
  <si>
    <t>Interior parts</t>
  </si>
  <si>
    <t>https://www.researchgate.net/publication/331714941_EWaste_statistics_Guidelines_on_classification_reporting_and_indicators</t>
  </si>
  <si>
    <t>UN</t>
  </si>
  <si>
    <t>Code</t>
  </si>
  <si>
    <t xml:space="preserve">Product </t>
  </si>
  <si>
    <t>Model</t>
  </si>
  <si>
    <t>Outflow</t>
  </si>
  <si>
    <t>Inflow</t>
  </si>
  <si>
    <t>Total outflows</t>
  </si>
  <si>
    <t>Target</t>
  </si>
  <si>
    <t>Value (total, tonnes)</t>
  </si>
  <si>
    <t xml:space="preserve">Manufacturing </t>
  </si>
  <si>
    <t>Standard industrial classification
(revised 2007)
Section
Division
Group
Class</t>
  </si>
  <si>
    <t>Description</t>
  </si>
  <si>
    <t xml:space="preserve">Number of enterprises
</t>
  </si>
  <si>
    <t>Total turnover</t>
  </si>
  <si>
    <t xml:space="preserve">Approximate gross value added at basic prices (aGVA)
</t>
  </si>
  <si>
    <t xml:space="preserve">Total purchases  of goods, materials and services 
</t>
  </si>
  <si>
    <t xml:space="preserve">Total employment costs
</t>
  </si>
  <si>
    <t xml:space="preserve">Total stocks and work in progress value at end of year 
</t>
  </si>
  <si>
    <t xml:space="preserve">Total stocks and work in progress value at beginning of year
</t>
  </si>
  <si>
    <t xml:space="preserve">Total stocks and work in progress increase during year
</t>
  </si>
  <si>
    <t>SIC</t>
  </si>
  <si>
    <t>(number)</t>
  </si>
  <si>
    <t>(£ million)</t>
  </si>
  <si>
    <t xml:space="preserve">C </t>
  </si>
  <si>
    <t>10</t>
  </si>
  <si>
    <t xml:space="preserve">Manufacture of food products </t>
  </si>
  <si>
    <t>10.1</t>
  </si>
  <si>
    <t>Processing and preserving of meat and production of meat products</t>
  </si>
  <si>
    <t>10.11</t>
  </si>
  <si>
    <t xml:space="preserve">Processing and preserving of meat </t>
  </si>
  <si>
    <t>[low]</t>
  </si>
  <si>
    <t>[c]</t>
  </si>
  <si>
    <t>10.12</t>
  </si>
  <si>
    <t>Processing and preserving of poultry meat</t>
  </si>
  <si>
    <t>10.13</t>
  </si>
  <si>
    <t>Production of meat and poultry meat products</t>
  </si>
  <si>
    <t xml:space="preserve">Production of meat and poultry meat products </t>
  </si>
  <si>
    <t>10.2</t>
  </si>
  <si>
    <t>Processing and preserving of fish, crustaceans and molluscs</t>
  </si>
  <si>
    <t>10.3</t>
  </si>
  <si>
    <t>Processing and preserving of fruit and vegetables</t>
  </si>
  <si>
    <t>10.31</t>
  </si>
  <si>
    <t xml:space="preserve">Processing and preserving of potatoes </t>
  </si>
  <si>
    <t>10.32</t>
  </si>
  <si>
    <t xml:space="preserve">Manufacture of fruit and vegetable juice </t>
  </si>
  <si>
    <t>10.39</t>
  </si>
  <si>
    <t>Other processing and preserving of fruit and vegetables</t>
  </si>
  <si>
    <t>10.4</t>
  </si>
  <si>
    <t>Manufacture of vegetable and animal oils and fats</t>
  </si>
  <si>
    <t xml:space="preserve">Manufacture of vegetable and animal oils and fats </t>
  </si>
  <si>
    <t>10.41</t>
  </si>
  <si>
    <t xml:space="preserve">Manufacture of oils and fats </t>
  </si>
  <si>
    <t>10.42</t>
  </si>
  <si>
    <t>Manufacture of margarine and similar edible fats</t>
  </si>
  <si>
    <t>10.5</t>
  </si>
  <si>
    <t xml:space="preserve">Manufacture of dairy products </t>
  </si>
  <si>
    <t>10.51</t>
  </si>
  <si>
    <t xml:space="preserve">Operation of dairies and cheese making </t>
  </si>
  <si>
    <t>10.52</t>
  </si>
  <si>
    <t xml:space="preserve">Manufacture of ice cream </t>
  </si>
  <si>
    <t>10.6</t>
  </si>
  <si>
    <t>Manufacture of grain mill products, starches and starch products</t>
  </si>
  <si>
    <t xml:space="preserve">Manufacture of grain mill products, starches and starch products </t>
  </si>
  <si>
    <t>10.61</t>
  </si>
  <si>
    <t xml:space="preserve">Manufacture of grain mill products </t>
  </si>
  <si>
    <t>10.62</t>
  </si>
  <si>
    <t>Manufacture of starches and starch products</t>
  </si>
  <si>
    <t>10.7</t>
  </si>
  <si>
    <t>Manufacture of bakery and farinaceous products</t>
  </si>
  <si>
    <t xml:space="preserve">Manufacture of bakery and farinaceous products </t>
  </si>
  <si>
    <t>10.71</t>
  </si>
  <si>
    <t>Manufacture of bread; manufacture of fresh pastry goods and cakes</t>
  </si>
  <si>
    <t xml:space="preserve">Manufacture of bread; manufacture of fresh pastry goods and cakes </t>
  </si>
  <si>
    <t>10.72</t>
  </si>
  <si>
    <t>Manufacture of rusks and biscuits; manufacture of preserved pastry goods and cakes</t>
  </si>
  <si>
    <t>10.73</t>
  </si>
  <si>
    <t>Manufacture of macaroni, noodles, couscous and similar farinaceous products</t>
  </si>
  <si>
    <t>10.8</t>
  </si>
  <si>
    <t xml:space="preserve">Manufacture of other food products </t>
  </si>
  <si>
    <t>10.81</t>
  </si>
  <si>
    <t xml:space="preserve">Manufacture of sugar </t>
  </si>
  <si>
    <t>10.82</t>
  </si>
  <si>
    <t>Manufacture of cocoa, chocolate and sugar confectionery</t>
  </si>
  <si>
    <t xml:space="preserve">Manufacture of cocoa, chocolate and sugar confectionery </t>
  </si>
  <si>
    <t>10.83</t>
  </si>
  <si>
    <t>Processing of tea and coffee</t>
  </si>
  <si>
    <t>10.84</t>
  </si>
  <si>
    <t>Manufacture of condiments and seasonings</t>
  </si>
  <si>
    <t>10.85</t>
  </si>
  <si>
    <t>Manufacture of prepared meals and dishes</t>
  </si>
  <si>
    <t>10.86</t>
  </si>
  <si>
    <t>Manufacture of homogenised food preparations and dietetic food</t>
  </si>
  <si>
    <t>10.89</t>
  </si>
  <si>
    <t>Manufacture of other food products not elsewhere classified</t>
  </si>
  <si>
    <t>10.9</t>
  </si>
  <si>
    <t>Manufacture of prepared animal feeds</t>
  </si>
  <si>
    <t>10.91</t>
  </si>
  <si>
    <t>Manufacture of prepared feeds for farm animals</t>
  </si>
  <si>
    <t xml:space="preserve">Manufacture of prepared feeds for farm animals </t>
  </si>
  <si>
    <t>10.92</t>
  </si>
  <si>
    <t xml:space="preserve">Manufacture of prepared pet foods </t>
  </si>
  <si>
    <t>11</t>
  </si>
  <si>
    <t xml:space="preserve">Manufacture of beverages </t>
  </si>
  <si>
    <t>11.01</t>
  </si>
  <si>
    <t xml:space="preserve">Distilling, rectifying and blending of spirits </t>
  </si>
  <si>
    <t>11.02</t>
  </si>
  <si>
    <t xml:space="preserve">Manufacture of wine from grape </t>
  </si>
  <si>
    <t>11.03</t>
  </si>
  <si>
    <t xml:space="preserve">Manufacture of cider and other fruit wines </t>
  </si>
  <si>
    <t>11.04</t>
  </si>
  <si>
    <t>Manufacture of other non-distilled fermented beverages</t>
  </si>
  <si>
    <t>11.05</t>
  </si>
  <si>
    <t xml:space="preserve">Manufacture of beer </t>
  </si>
  <si>
    <t>11.06</t>
  </si>
  <si>
    <t xml:space="preserve">Manufacture of malt </t>
  </si>
  <si>
    <t>11.07</t>
  </si>
  <si>
    <t>Manufacture of soft drinks; production of mineral waters and other bottled waters</t>
  </si>
  <si>
    <t>12</t>
  </si>
  <si>
    <t xml:space="preserve">Manufacture of tobacco products </t>
  </si>
  <si>
    <t>13</t>
  </si>
  <si>
    <t>Manufacture of textiles</t>
  </si>
  <si>
    <t>13.1</t>
  </si>
  <si>
    <t>Preparation and spinning of textile fibres</t>
  </si>
  <si>
    <t>13.2</t>
  </si>
  <si>
    <t xml:space="preserve">Weaving of textiles </t>
  </si>
  <si>
    <t>13.3</t>
  </si>
  <si>
    <t xml:space="preserve">Finishing of textiles </t>
  </si>
  <si>
    <t>13.9</t>
  </si>
  <si>
    <t xml:space="preserve">Manufacture of other textiles </t>
  </si>
  <si>
    <t>13.91</t>
  </si>
  <si>
    <t>Manufacture of knitted and crocheted fabrics</t>
  </si>
  <si>
    <t>13.92</t>
  </si>
  <si>
    <t>Manufacture of made-up textile articles, except apparel</t>
  </si>
  <si>
    <t xml:space="preserve">Manufacture of made-up textile articles, except apparel </t>
  </si>
  <si>
    <t>13.93</t>
  </si>
  <si>
    <t xml:space="preserve">Manufacture of carpets and rugs </t>
  </si>
  <si>
    <t>13.94</t>
  </si>
  <si>
    <t>Manufacture of cordage, rope, twine and netting</t>
  </si>
  <si>
    <t xml:space="preserve">Manufacture of cordage, rope, twine and netting </t>
  </si>
  <si>
    <t>13.95</t>
  </si>
  <si>
    <t>Manufacture of non-wovens and articles made from non-wovens, except apparel</t>
  </si>
  <si>
    <t xml:space="preserve">Manufacture of non-wovens and articles made from non-wovens, except apparel </t>
  </si>
  <si>
    <t>13.96</t>
  </si>
  <si>
    <t>Manufacture of other technical and industrial textiles</t>
  </si>
  <si>
    <t>Manufacture of other technical and  industrial textiles</t>
  </si>
  <si>
    <t>13.99</t>
  </si>
  <si>
    <t>Manufacture of other textiles not elsewhere classified</t>
  </si>
  <si>
    <t>14</t>
  </si>
  <si>
    <t xml:space="preserve">Manufacture of wearing apparel </t>
  </si>
  <si>
    <t>14.1</t>
  </si>
  <si>
    <t>Manufacturing of wearing apparel, except fur apparel</t>
  </si>
  <si>
    <t xml:space="preserve">Manufacturing of wearing apparel, except fur apparel </t>
  </si>
  <si>
    <t>14.11</t>
  </si>
  <si>
    <t xml:space="preserve">Manufacture of leather clothes </t>
  </si>
  <si>
    <t>14.12</t>
  </si>
  <si>
    <t xml:space="preserve">Manufacture of work wear </t>
  </si>
  <si>
    <t>14.13</t>
  </si>
  <si>
    <t xml:space="preserve">Manufacture of other outerwear </t>
  </si>
  <si>
    <t>14.14</t>
  </si>
  <si>
    <t xml:space="preserve">Manufacture of underwear </t>
  </si>
  <si>
    <t>14.19</t>
  </si>
  <si>
    <t>Manufacture of other wearing apparel and accessories</t>
  </si>
  <si>
    <t>14.2</t>
  </si>
  <si>
    <t xml:space="preserve">Manufacture of articles of fur </t>
  </si>
  <si>
    <t>14.3</t>
  </si>
  <si>
    <t>Manufacture of knitted and crocheted apparel</t>
  </si>
  <si>
    <t xml:space="preserve">Manufacture of knitted and crocheted apparel </t>
  </si>
  <si>
    <t>14.31</t>
  </si>
  <si>
    <t>Manufacture of knitted and crocheted hosiery</t>
  </si>
  <si>
    <t>14.39</t>
  </si>
  <si>
    <t>Manufacture of other knitted and crocheted apparel</t>
  </si>
  <si>
    <t>15</t>
  </si>
  <si>
    <t xml:space="preserve">Manufacture of leather and related products </t>
  </si>
  <si>
    <t>15.1</t>
  </si>
  <si>
    <t>Tanning and dressing of leather; manufacture of luggage, handbags, saddlery and harness; dressing and dyeing of fur</t>
  </si>
  <si>
    <t>15.11</t>
  </si>
  <si>
    <t>Tanning and dressing of leather, dressing and dyeing of fur</t>
  </si>
  <si>
    <t xml:space="preserve">Tanning and dressing of leather, dressing and dyeing of fur </t>
  </si>
  <si>
    <t>15.12</t>
  </si>
  <si>
    <t>Manufacture of luggage, handbags and the like, saddlery and harness</t>
  </si>
  <si>
    <t>15.2</t>
  </si>
  <si>
    <t xml:space="preserve">Manufacture of footwear </t>
  </si>
  <si>
    <t>16</t>
  </si>
  <si>
    <t>Manufacture of wood and of products of wood and cork, except furniture; manufacture of articles of straw and plaiting materials</t>
  </si>
  <si>
    <t>16.1</t>
  </si>
  <si>
    <t xml:space="preserve">Sawmilling and planing of wood </t>
  </si>
  <si>
    <t>16.2</t>
  </si>
  <si>
    <t>Manufacture of products of wood, cork, straw and plaiting materials</t>
  </si>
  <si>
    <t>16.21</t>
  </si>
  <si>
    <t>Manufacture of veneer sheets and wood-based panels</t>
  </si>
  <si>
    <t>16.22</t>
  </si>
  <si>
    <t xml:space="preserve">Manufacture of assembled parquet floors </t>
  </si>
  <si>
    <t>16.23</t>
  </si>
  <si>
    <t>Manufacture of other builders carpentry and joinery</t>
  </si>
  <si>
    <t>16.24</t>
  </si>
  <si>
    <t xml:space="preserve">Manufacture of wooden containers </t>
  </si>
  <si>
    <t>16.29</t>
  </si>
  <si>
    <t>Manufacture of other products of wood; manufacture of articles of cork, straw and plaiting materials</t>
  </si>
  <si>
    <t>17</t>
  </si>
  <si>
    <t xml:space="preserve">Manufacture of paper and paper products </t>
  </si>
  <si>
    <t>17.1</t>
  </si>
  <si>
    <t xml:space="preserve">Manufacture of pulp, paper and paperboard </t>
  </si>
  <si>
    <t>17.11</t>
  </si>
  <si>
    <t>Manufacture of pulp</t>
  </si>
  <si>
    <t>17.12</t>
  </si>
  <si>
    <t xml:space="preserve">Manufacture of paper and paperboard </t>
  </si>
  <si>
    <t>17.2</t>
  </si>
  <si>
    <t>Manufacture of articles of paper and paperboard</t>
  </si>
  <si>
    <t>17.21</t>
  </si>
  <si>
    <t>Manufacture of corrugated paper and paperboard and containers of paper and paperboard</t>
  </si>
  <si>
    <t>17.22</t>
  </si>
  <si>
    <t>Manufacture of household and sanitary goods and of toilet requisites</t>
  </si>
  <si>
    <t>17.23</t>
  </si>
  <si>
    <t xml:space="preserve">Manufacture of paper stationery </t>
  </si>
  <si>
    <t>17.24</t>
  </si>
  <si>
    <t>Manufacture of wallpaper</t>
  </si>
  <si>
    <t>17.29</t>
  </si>
  <si>
    <t>Manufacture of other articles of paper and paperboard not elsewhere classified</t>
  </si>
  <si>
    <t>18</t>
  </si>
  <si>
    <t>Printing and reproduction of recorded media</t>
  </si>
  <si>
    <t>18.1</t>
  </si>
  <si>
    <t>Printing and service activities related to printing</t>
  </si>
  <si>
    <t>18.11</t>
  </si>
  <si>
    <t>Printing of newspapers</t>
  </si>
  <si>
    <t>18.12</t>
  </si>
  <si>
    <t xml:space="preserve">Other printing </t>
  </si>
  <si>
    <t>18.13</t>
  </si>
  <si>
    <t xml:space="preserve">Pre-press and pre-media services </t>
  </si>
  <si>
    <t>18.14</t>
  </si>
  <si>
    <t>Binding and related services</t>
  </si>
  <si>
    <t>18.2</t>
  </si>
  <si>
    <t xml:space="preserve">Reproduction of recorded media </t>
  </si>
  <si>
    <t>19</t>
  </si>
  <si>
    <t>Manufacture of coke and refined petroleum products</t>
  </si>
  <si>
    <t>19.1</t>
  </si>
  <si>
    <t xml:space="preserve">Manufacture of coke oven products </t>
  </si>
  <si>
    <t>19.2</t>
  </si>
  <si>
    <t>Manufacture of refined petroleum products</t>
  </si>
  <si>
    <t>20</t>
  </si>
  <si>
    <t>Manufacture of chemicals and chemical products</t>
  </si>
  <si>
    <t>20.1</t>
  </si>
  <si>
    <t>Manufacture of basic chemicals, fertilisers and nitrogen compounds, plastics and synthetic rubber in primary forms</t>
  </si>
  <si>
    <t>20.11</t>
  </si>
  <si>
    <t xml:space="preserve">Manufacture of industrial gases </t>
  </si>
  <si>
    <t>20.12</t>
  </si>
  <si>
    <t xml:space="preserve">Manufacture of dyes and pigments </t>
  </si>
  <si>
    <t>20.13</t>
  </si>
  <si>
    <t>Manufacture of other inorganic basic chemicals</t>
  </si>
  <si>
    <t>20.14</t>
  </si>
  <si>
    <t>Manufacture of other organic basic chemicals</t>
  </si>
  <si>
    <t>20.15</t>
  </si>
  <si>
    <t>Manufacture of fertilisers and nitrogen compounds</t>
  </si>
  <si>
    <t>20.16</t>
  </si>
  <si>
    <t>Manufacture of plastics in primary forms</t>
  </si>
  <si>
    <t>20.17</t>
  </si>
  <si>
    <t>Manufacture of synthetic rubber in primary forms</t>
  </si>
  <si>
    <t>20.2</t>
  </si>
  <si>
    <t>Manufacture of pesticides and other agrochemical products</t>
  </si>
  <si>
    <t>20.3</t>
  </si>
  <si>
    <t>Manufacture of paints, varnishes and similar coatings, printing ink and mastics</t>
  </si>
  <si>
    <t>20.4</t>
  </si>
  <si>
    <t>Manufacture of soap and detergents cleaning and polishing preparations perfumes and toilet preparations</t>
  </si>
  <si>
    <t>20.41</t>
  </si>
  <si>
    <t>Manufacture of soap and detergents, cleaning and polishing preparations</t>
  </si>
  <si>
    <t>20.42</t>
  </si>
  <si>
    <t>Manufacture of perfumes and toilet preparations</t>
  </si>
  <si>
    <t>20.5</t>
  </si>
  <si>
    <t xml:space="preserve">Manufacture of other chemical products </t>
  </si>
  <si>
    <t>20.51</t>
  </si>
  <si>
    <t>Manufacture of explosives</t>
  </si>
  <si>
    <t>20.52</t>
  </si>
  <si>
    <t xml:space="preserve">Manufacture of glues </t>
  </si>
  <si>
    <t>20.53</t>
  </si>
  <si>
    <t xml:space="preserve">Manufacture of essential oils </t>
  </si>
  <si>
    <t>20.59</t>
  </si>
  <si>
    <t>Manufacture of other chemical products not elsewhere classified</t>
  </si>
  <si>
    <t>20.6</t>
  </si>
  <si>
    <t xml:space="preserve">Manufacture of man-made fibres </t>
  </si>
  <si>
    <t>21</t>
  </si>
  <si>
    <t>Manufacture of basic pharmaceutical products and pharmaceutical preparations</t>
  </si>
  <si>
    <t>21.1</t>
  </si>
  <si>
    <t>Manufacture of basic pharmaceutical products</t>
  </si>
  <si>
    <t>21.2</t>
  </si>
  <si>
    <t>Manufacture of pharmaceutical preparations</t>
  </si>
  <si>
    <t>22</t>
  </si>
  <si>
    <t xml:space="preserve">Manufacture of rubber and plastic products </t>
  </si>
  <si>
    <t>22.1</t>
  </si>
  <si>
    <t xml:space="preserve">Manufacture of rubber products </t>
  </si>
  <si>
    <t>22.11</t>
  </si>
  <si>
    <t>Manufacture of rubber tyres and tubes; retreading and rebuilding rubber tyres</t>
  </si>
  <si>
    <t>22.19</t>
  </si>
  <si>
    <t xml:space="preserve">Manufacture of other rubber products </t>
  </si>
  <si>
    <t>22.2</t>
  </si>
  <si>
    <t>Manufacture of plastic products</t>
  </si>
  <si>
    <t>22.21</t>
  </si>
  <si>
    <t>Manufacture of plastic plates, sheets, tubes and profiles</t>
  </si>
  <si>
    <t>22.22</t>
  </si>
  <si>
    <t>Manufacture of plastic packaging goods</t>
  </si>
  <si>
    <t>22.23</t>
  </si>
  <si>
    <t xml:space="preserve">Manufacture of builders' ware of plastic </t>
  </si>
  <si>
    <t>22.29</t>
  </si>
  <si>
    <t xml:space="preserve">Manufacture of other plastic products </t>
  </si>
  <si>
    <t>23</t>
  </si>
  <si>
    <t>Manufacture of other non-metallic mineral products</t>
  </si>
  <si>
    <t>23.1</t>
  </si>
  <si>
    <t>Manufacture of glass and glass products</t>
  </si>
  <si>
    <t>23.11</t>
  </si>
  <si>
    <t xml:space="preserve">Manufacture of flat glass </t>
  </si>
  <si>
    <t>23.12</t>
  </si>
  <si>
    <t xml:space="preserve">Shaping and processing of flat glass </t>
  </si>
  <si>
    <t>23.13</t>
  </si>
  <si>
    <t>Manufacture of hollow glass</t>
  </si>
  <si>
    <t>23.14</t>
  </si>
  <si>
    <t>Manufacture of glass fibres</t>
  </si>
  <si>
    <t>23.19</t>
  </si>
  <si>
    <t>Manufacture and processing of other glass, including technical glassware</t>
  </si>
  <si>
    <t>23.2</t>
  </si>
  <si>
    <t xml:space="preserve">Manufacture of refractory products </t>
  </si>
  <si>
    <t>23.3</t>
  </si>
  <si>
    <t xml:space="preserve">Manufacture of clay building materials </t>
  </si>
  <si>
    <t>23.31</t>
  </si>
  <si>
    <t xml:space="preserve">Manufacture of ceramic tiles and flags </t>
  </si>
  <si>
    <t>23.32</t>
  </si>
  <si>
    <t>Manufacture of bricks, tiles and construction products, in baked clay</t>
  </si>
  <si>
    <t>23.4</t>
  </si>
  <si>
    <t>Manufacture of other porcelain and ceramic products</t>
  </si>
  <si>
    <t>23.41</t>
  </si>
  <si>
    <t>Manufacture of ceramic household and ornamental articles</t>
  </si>
  <si>
    <t>23.42</t>
  </si>
  <si>
    <t xml:space="preserve">Manufacture of ceramic sanitary fixtures </t>
  </si>
  <si>
    <t>23.43</t>
  </si>
  <si>
    <t>Manufacture of ceramic insulators and insulating fittings</t>
  </si>
  <si>
    <t>23.44</t>
  </si>
  <si>
    <t>Manufacture of other technical ceramic products</t>
  </si>
  <si>
    <t>23.49</t>
  </si>
  <si>
    <t xml:space="preserve">Manufacture of other ceramic products </t>
  </si>
  <si>
    <t>23.5</t>
  </si>
  <si>
    <t xml:space="preserve">Manufacture of cement, lime and plaster </t>
  </si>
  <si>
    <t>23.51</t>
  </si>
  <si>
    <t xml:space="preserve">Manufacture of cement </t>
  </si>
  <si>
    <t>23.52</t>
  </si>
  <si>
    <t xml:space="preserve">Manufacture of lime and plaster </t>
  </si>
  <si>
    <t>23.6</t>
  </si>
  <si>
    <t>Manufacture of articles of concrete, cement and plaster</t>
  </si>
  <si>
    <t>23.61</t>
  </si>
  <si>
    <t>Manufacture of concrete products for construction purposes</t>
  </si>
  <si>
    <t>23.62</t>
  </si>
  <si>
    <t>Manufacture of plaster products for construction purposes</t>
  </si>
  <si>
    <t>23.63</t>
  </si>
  <si>
    <t xml:space="preserve">Manufacture of ready-mixed concrete </t>
  </si>
  <si>
    <t>23.64</t>
  </si>
  <si>
    <t>Manufacture of mortars</t>
  </si>
  <si>
    <t>23.65</t>
  </si>
  <si>
    <t xml:space="preserve">Manufacture of fibre cement </t>
  </si>
  <si>
    <t>23.69</t>
  </si>
  <si>
    <t>Manufacture of other articles of concrete, plaster and cement</t>
  </si>
  <si>
    <t>23.7</t>
  </si>
  <si>
    <t xml:space="preserve">Cutting, shaping and finishing of stone </t>
  </si>
  <si>
    <t>23.9</t>
  </si>
  <si>
    <t>Manufacture of abrasive products and non-metallic mineral products not elsewhere classified</t>
  </si>
  <si>
    <t>23.91</t>
  </si>
  <si>
    <t xml:space="preserve">Production of abrasive products </t>
  </si>
  <si>
    <t>23.99</t>
  </si>
  <si>
    <t>Manufacture of other non-metallic mineral products not elsewhere classified</t>
  </si>
  <si>
    <t>24</t>
  </si>
  <si>
    <t xml:space="preserve">Manufacture basic metals </t>
  </si>
  <si>
    <t>24.1</t>
  </si>
  <si>
    <t>Manufacture of basic iron and steel and of ferro-alloys</t>
  </si>
  <si>
    <t>Manufacture of basic iron and steel and of  ferro-alloys</t>
  </si>
  <si>
    <t>24.2</t>
  </si>
  <si>
    <t>Manufacture of tubes, pipes, hollow profiles and related fittings, of steel</t>
  </si>
  <si>
    <t>24.3</t>
  </si>
  <si>
    <t>Manufacture of other products of first processing of steel</t>
  </si>
  <si>
    <t>24.31</t>
  </si>
  <si>
    <t xml:space="preserve">Cold drawing of bars </t>
  </si>
  <si>
    <t>24.32</t>
  </si>
  <si>
    <t xml:space="preserve">Cold rolling of narrow strip </t>
  </si>
  <si>
    <t>24.33</t>
  </si>
  <si>
    <t xml:space="preserve">Cold forming or folding </t>
  </si>
  <si>
    <t>24.34</t>
  </si>
  <si>
    <t xml:space="preserve">Cold drawing of wire </t>
  </si>
  <si>
    <t>24.4</t>
  </si>
  <si>
    <t>Manufacture of basic precious and other non-ferrous metals</t>
  </si>
  <si>
    <t>24.41</t>
  </si>
  <si>
    <t xml:space="preserve">Precious metals production </t>
  </si>
  <si>
    <t>24.42</t>
  </si>
  <si>
    <t xml:space="preserve">Aluminium production </t>
  </si>
  <si>
    <t>24.43</t>
  </si>
  <si>
    <t xml:space="preserve">Lead, zinc, and tin production </t>
  </si>
  <si>
    <t>24.44</t>
  </si>
  <si>
    <t xml:space="preserve">Copper production </t>
  </si>
  <si>
    <t>24.45</t>
  </si>
  <si>
    <t xml:space="preserve">Other non-ferrous metal production </t>
  </si>
  <si>
    <t>24.46</t>
  </si>
  <si>
    <t xml:space="preserve">Processing of nuclear fuel </t>
  </si>
  <si>
    <t>24.5</t>
  </si>
  <si>
    <t xml:space="preserve">Casting of metals </t>
  </si>
  <si>
    <t>24.51</t>
  </si>
  <si>
    <t xml:space="preserve">Casting of iron </t>
  </si>
  <si>
    <t>24.52</t>
  </si>
  <si>
    <t xml:space="preserve">Casting of steel </t>
  </si>
  <si>
    <t>24.53</t>
  </si>
  <si>
    <t xml:space="preserve">Casting of light metals </t>
  </si>
  <si>
    <t>24.54</t>
  </si>
  <si>
    <t xml:space="preserve">Casting of other non-ferrous metals </t>
  </si>
  <si>
    <t>25</t>
  </si>
  <si>
    <t>Manufacture of fabricated metal products, except machinery and equipment</t>
  </si>
  <si>
    <t>25.1</t>
  </si>
  <si>
    <t xml:space="preserve">Manufacture of structural metal products </t>
  </si>
  <si>
    <t>25.11</t>
  </si>
  <si>
    <t>Manufacture of metal structures and parts of structures</t>
  </si>
  <si>
    <t>25.12</t>
  </si>
  <si>
    <t>Manufacture of doors and windows of metal</t>
  </si>
  <si>
    <t>25.2</t>
  </si>
  <si>
    <t>Manufacture of tanks, reservoirs and containers of metal</t>
  </si>
  <si>
    <t>25.21</t>
  </si>
  <si>
    <t>Manufacture of central heating radiators and boilers</t>
  </si>
  <si>
    <t>25.29</t>
  </si>
  <si>
    <t>Manufacture of other tanks, reservoirs and containers of metal</t>
  </si>
  <si>
    <t>25.3</t>
  </si>
  <si>
    <t>Manufacture of steam generators, except central heating hot water boilers</t>
  </si>
  <si>
    <t>25.4</t>
  </si>
  <si>
    <t xml:space="preserve">Manufacture of weapons and ammunition </t>
  </si>
  <si>
    <t>25.5</t>
  </si>
  <si>
    <t>Forging, pressing, stamping and roll-forming of metal; powder metallurgy</t>
  </si>
  <si>
    <t>25.6</t>
  </si>
  <si>
    <t>Treatment and coating of metals; machining</t>
  </si>
  <si>
    <t>25.61</t>
  </si>
  <si>
    <t xml:space="preserve">Treatment and coating of metals </t>
  </si>
  <si>
    <t>25.62</t>
  </si>
  <si>
    <t xml:space="preserve">Machining </t>
  </si>
  <si>
    <t>25.7</t>
  </si>
  <si>
    <t>Manufacture of cutlery, tools and general hardware</t>
  </si>
  <si>
    <t>25.71</t>
  </si>
  <si>
    <t xml:space="preserve">Manufacture of cutlery </t>
  </si>
  <si>
    <t>25.72</t>
  </si>
  <si>
    <t xml:space="preserve">Manufacture of locks and hinges </t>
  </si>
  <si>
    <t>25.73</t>
  </si>
  <si>
    <t>Manufacture of tools</t>
  </si>
  <si>
    <t>25.9</t>
  </si>
  <si>
    <t>Manufacture of other fabricated metal products</t>
  </si>
  <si>
    <t>25.91</t>
  </si>
  <si>
    <t>Manufacture of steel drums and similar containers</t>
  </si>
  <si>
    <t>25.92</t>
  </si>
  <si>
    <t>Manufacture of light metal packaging</t>
  </si>
  <si>
    <t>25.93</t>
  </si>
  <si>
    <t>Manufacture of wire products, chain and springs</t>
  </si>
  <si>
    <t>25.94</t>
  </si>
  <si>
    <t>Manufacture of fasteners and screw machine products</t>
  </si>
  <si>
    <t>25.99</t>
  </si>
  <si>
    <t>Manufacture of other fabricated metal products not elsewhere classified</t>
  </si>
  <si>
    <t>26</t>
  </si>
  <si>
    <t>Manufacture of computer, electronic and optical products</t>
  </si>
  <si>
    <t>26.1</t>
  </si>
  <si>
    <t>Manufacture of electronic components and boards</t>
  </si>
  <si>
    <t>26.11</t>
  </si>
  <si>
    <t xml:space="preserve">Manufacture of electronic components </t>
  </si>
  <si>
    <t>26.12</t>
  </si>
  <si>
    <t xml:space="preserve">Manufacture of loaded electronic boards </t>
  </si>
  <si>
    <t>26.2</t>
  </si>
  <si>
    <t>Manufacture of computers and peripheral equipment</t>
  </si>
  <si>
    <t>26.3</t>
  </si>
  <si>
    <t xml:space="preserve">Manufacture of communication equipment </t>
  </si>
  <si>
    <t>26.4</t>
  </si>
  <si>
    <t>Manufacture of consumer electronics</t>
  </si>
  <si>
    <t>26.5</t>
  </si>
  <si>
    <t>Manufacture of instruments and appliances for measuring, testing and navigation; watches and clocks</t>
  </si>
  <si>
    <t>26.51</t>
  </si>
  <si>
    <t>Manufacture of instruments and appliances for measuring, testing and navigation</t>
  </si>
  <si>
    <t>26.52</t>
  </si>
  <si>
    <t xml:space="preserve">Manufacture of watches and clocks </t>
  </si>
  <si>
    <t>26.6</t>
  </si>
  <si>
    <t>Manufacture of irradiation, electromedical and electrotherapeutic equipment</t>
  </si>
  <si>
    <t>26.7</t>
  </si>
  <si>
    <t>Manufacture of optical instruments and photographic equipment</t>
  </si>
  <si>
    <t>26.8</t>
  </si>
  <si>
    <t xml:space="preserve">Manufacture of magnetic and optical media </t>
  </si>
  <si>
    <t>27</t>
  </si>
  <si>
    <t xml:space="preserve">Manufacture of electrical equipment </t>
  </si>
  <si>
    <t>27.1</t>
  </si>
  <si>
    <t>Manufacture of electric motors, generators, transformers and electricity distribution and control apparatus</t>
  </si>
  <si>
    <t>27.11</t>
  </si>
  <si>
    <t>Manufacture of electric motors, generators and transformers</t>
  </si>
  <si>
    <t>27.12</t>
  </si>
  <si>
    <t>Manufacture of electricity distribution and control apparatus</t>
  </si>
  <si>
    <t>27.2</t>
  </si>
  <si>
    <t xml:space="preserve">Manufacture of batteries and accumulators </t>
  </si>
  <si>
    <t>27.3</t>
  </si>
  <si>
    <t xml:space="preserve">Manufacture of wiring and wiring devices </t>
  </si>
  <si>
    <t>27.31</t>
  </si>
  <si>
    <t xml:space="preserve">Manufacture of fibre optic cables </t>
  </si>
  <si>
    <t>27.32</t>
  </si>
  <si>
    <t>Manufacture of other electronic and electric wires and cables</t>
  </si>
  <si>
    <t>27.33</t>
  </si>
  <si>
    <t xml:space="preserve">Manufacture of wiring devices </t>
  </si>
  <si>
    <t>27.4</t>
  </si>
  <si>
    <t>Manufacture of electric lighting equipment</t>
  </si>
  <si>
    <t>27.5</t>
  </si>
  <si>
    <t xml:space="preserve">Manufacture of domestic appliances </t>
  </si>
  <si>
    <t>27.51</t>
  </si>
  <si>
    <t>Manufacture of electric domestic appliances</t>
  </si>
  <si>
    <t>27.52</t>
  </si>
  <si>
    <t>Manufacture of non-electric domestic appliances</t>
  </si>
  <si>
    <t>27.9</t>
  </si>
  <si>
    <t xml:space="preserve">Manufacture of other electrical equipment </t>
  </si>
  <si>
    <t>28</t>
  </si>
  <si>
    <t>Manufacture of machinery and equipment not elsewhere classified</t>
  </si>
  <si>
    <t>28.1</t>
  </si>
  <si>
    <t xml:space="preserve">Manufacture of general purpose machinery </t>
  </si>
  <si>
    <t>28.11</t>
  </si>
  <si>
    <t>Manufacture of engines and turbines, except aircraft, vehicle and cycle engines</t>
  </si>
  <si>
    <t>28.12</t>
  </si>
  <si>
    <t xml:space="preserve">Manufacture of fluid power equipment </t>
  </si>
  <si>
    <t>28.13</t>
  </si>
  <si>
    <t>Manufacture of other pumps and compressors</t>
  </si>
  <si>
    <t>28.14</t>
  </si>
  <si>
    <t xml:space="preserve">Manufacture of other taps and valves </t>
  </si>
  <si>
    <t>28.15</t>
  </si>
  <si>
    <t>Manufacture of bearings, gears, gearing and diving elements</t>
  </si>
  <si>
    <t>28.2</t>
  </si>
  <si>
    <t>Manufacture of other general-purpose machinery</t>
  </si>
  <si>
    <t xml:space="preserve">Manufacture of other general-purpose machinery </t>
  </si>
  <si>
    <t>28.21</t>
  </si>
  <si>
    <t>Manufacture of ovens, furnaces and furnace burners</t>
  </si>
  <si>
    <t>28.22</t>
  </si>
  <si>
    <t>Manufacture of lifting and handling equipment</t>
  </si>
  <si>
    <t>28.23</t>
  </si>
  <si>
    <t>Manufacture of office machinery and equipment (except computers and peripheral equipment)</t>
  </si>
  <si>
    <t>28.24</t>
  </si>
  <si>
    <t xml:space="preserve">Manufacture of power-driven hand tools </t>
  </si>
  <si>
    <t>28.25</t>
  </si>
  <si>
    <t xml:space="preserve">Manufacture of non-domestic cooling and ventilation equipment </t>
  </si>
  <si>
    <t>Manufacture of non-domestic cooling and ventilation equipment</t>
  </si>
  <si>
    <t>28.29</t>
  </si>
  <si>
    <t>Manufacture of other general-purpose machinery not elsewhere classified</t>
  </si>
  <si>
    <t>28.3</t>
  </si>
  <si>
    <t>Manufacture of agricultural and forestry machinery</t>
  </si>
  <si>
    <t>28.4</t>
  </si>
  <si>
    <t>Manufacture of metal forming machinery and machine tools</t>
  </si>
  <si>
    <t>28.41</t>
  </si>
  <si>
    <t xml:space="preserve">Manufacture of metal forming machinery </t>
  </si>
  <si>
    <t>28.49</t>
  </si>
  <si>
    <t xml:space="preserve">Manufacture of other machine tools </t>
  </si>
  <si>
    <t>28.9</t>
  </si>
  <si>
    <t>Manufacture of other special-purpose machinery</t>
  </si>
  <si>
    <t>28.91</t>
  </si>
  <si>
    <t xml:space="preserve">Manufacture of machinery for metallurgy </t>
  </si>
  <si>
    <t>28.92</t>
  </si>
  <si>
    <t>Manufacture of machinery for mining, quarrying and construction</t>
  </si>
  <si>
    <t>28.93</t>
  </si>
  <si>
    <t>Manufacture of machinery for food, beverage and tobacco processing</t>
  </si>
  <si>
    <t>28.94</t>
  </si>
  <si>
    <t>Manufacture of machinery for textile apparel and leather production</t>
  </si>
  <si>
    <t>28.95</t>
  </si>
  <si>
    <t>Manufacture of machinery for paper and paperboard production</t>
  </si>
  <si>
    <t>28.96</t>
  </si>
  <si>
    <t>Manufacture of plastics and rubber machinery</t>
  </si>
  <si>
    <t>28.99</t>
  </si>
  <si>
    <t>Manufacture of other special-purpose machinery not elsewhere classified</t>
  </si>
  <si>
    <t>29</t>
  </si>
  <si>
    <t>Manufacture of motor vehicles, trailers and semi-trailers</t>
  </si>
  <si>
    <t>29.1</t>
  </si>
  <si>
    <t xml:space="preserve">Manufacture of motor vehicles </t>
  </si>
  <si>
    <t>29.2</t>
  </si>
  <si>
    <t>Manufacture of bodies (coachwork) for motor vehicles; manufacture of trailers and semi-trailers</t>
  </si>
  <si>
    <t>29.3</t>
  </si>
  <si>
    <t>Manufacture of parts and accessories for motor vehicles</t>
  </si>
  <si>
    <t>29.31</t>
  </si>
  <si>
    <t>Manufacture of electrical and electronic equipment for motor vehicles</t>
  </si>
  <si>
    <t>29.32</t>
  </si>
  <si>
    <t>Manufacture of other parts and accessories for motor vehicles</t>
  </si>
  <si>
    <t>30</t>
  </si>
  <si>
    <t xml:space="preserve">Manufacture of other transport equipment </t>
  </si>
  <si>
    <t>30.1</t>
  </si>
  <si>
    <t xml:space="preserve">Building of ships and boats </t>
  </si>
  <si>
    <t>30.11</t>
  </si>
  <si>
    <t xml:space="preserve">Building of ships and floating structures </t>
  </si>
  <si>
    <t>30.12</t>
  </si>
  <si>
    <t>Building of pleasure and sporting boats</t>
  </si>
  <si>
    <t>30.2</t>
  </si>
  <si>
    <t>Manufacture of railway locomotives and rolling stock</t>
  </si>
  <si>
    <t>30.3</t>
  </si>
  <si>
    <t>Manufacture of air and spacecraft and related machinery</t>
  </si>
  <si>
    <t>30.4</t>
  </si>
  <si>
    <t xml:space="preserve">Manufacture of military fighting vehicles </t>
  </si>
  <si>
    <t>30.9</t>
  </si>
  <si>
    <t>Manufacture of transport equipment not elsewhere classified.</t>
  </si>
  <si>
    <t>30.91</t>
  </si>
  <si>
    <t xml:space="preserve">Manufacture of motorcycles </t>
  </si>
  <si>
    <t>30.92</t>
  </si>
  <si>
    <t>Manufacture of bicycles and invalid carriages</t>
  </si>
  <si>
    <t>30.99</t>
  </si>
  <si>
    <t>Manufacture of other transport equipment not elsewhere classified</t>
  </si>
  <si>
    <t>31</t>
  </si>
  <si>
    <t xml:space="preserve">Manufacture of furniture </t>
  </si>
  <si>
    <t>31.01</t>
  </si>
  <si>
    <t>Manufacture of office shop furniture</t>
  </si>
  <si>
    <t>31.02</t>
  </si>
  <si>
    <t xml:space="preserve">Manufacture of kitchen furniture </t>
  </si>
  <si>
    <t>31.03</t>
  </si>
  <si>
    <t>Manufacture of mattresses</t>
  </si>
  <si>
    <t>31.09</t>
  </si>
  <si>
    <t xml:space="preserve">Manufacture of other furniture </t>
  </si>
  <si>
    <t>32</t>
  </si>
  <si>
    <t xml:space="preserve">Other manufacturing </t>
  </si>
  <si>
    <t>32.1</t>
  </si>
  <si>
    <t>Manufacture of jewellery, bijouterie and related articles</t>
  </si>
  <si>
    <t>32.11</t>
  </si>
  <si>
    <t xml:space="preserve">Striking of coins </t>
  </si>
  <si>
    <t>32.12</t>
  </si>
  <si>
    <t>Manufacture of jewellery and related articles</t>
  </si>
  <si>
    <t>32.13</t>
  </si>
  <si>
    <t>Manufacture of imitation jewellery and related articles</t>
  </si>
  <si>
    <t>32.2</t>
  </si>
  <si>
    <t xml:space="preserve">Manufacture of musical instruments </t>
  </si>
  <si>
    <t>32.3</t>
  </si>
  <si>
    <t xml:space="preserve">Manufacture of sports goods </t>
  </si>
  <si>
    <t>32.4</t>
  </si>
  <si>
    <t xml:space="preserve">Manufacture of games and toys </t>
  </si>
  <si>
    <t>32.5</t>
  </si>
  <si>
    <t>Manufacture of medical and dental instruments and supplies</t>
  </si>
  <si>
    <t>32.9</t>
  </si>
  <si>
    <t>32.91</t>
  </si>
  <si>
    <t xml:space="preserve">Manufacture of brooms and brushes </t>
  </si>
  <si>
    <t>32.99</t>
  </si>
  <si>
    <t>Other manufacturing not elsewhere classified.</t>
  </si>
  <si>
    <t>33</t>
  </si>
  <si>
    <t>Repair and installation of machinery and equipment</t>
  </si>
  <si>
    <t>33.1</t>
  </si>
  <si>
    <t>Repair of fabricated metal products, machinery and equipment</t>
  </si>
  <si>
    <t>33.11</t>
  </si>
  <si>
    <t xml:space="preserve">Repair of fabricated metal products </t>
  </si>
  <si>
    <t>33.12</t>
  </si>
  <si>
    <t xml:space="preserve">Repair of machinery </t>
  </si>
  <si>
    <t>33.13</t>
  </si>
  <si>
    <t>Repair of electronic and optical equipment</t>
  </si>
  <si>
    <t>33.14</t>
  </si>
  <si>
    <t xml:space="preserve">Repair of electrical equipment </t>
  </si>
  <si>
    <t>33.15</t>
  </si>
  <si>
    <t>Repair and maintenance of ships and boats</t>
  </si>
  <si>
    <t>33.16</t>
  </si>
  <si>
    <t>Repair and maintenance of aircraft and spacecraft</t>
  </si>
  <si>
    <t>33.17</t>
  </si>
  <si>
    <t>Repair and maintenance of transport equipment not elsewhere classified</t>
  </si>
  <si>
    <t>33.19</t>
  </si>
  <si>
    <t xml:space="preserve">Repair of other equipment </t>
  </si>
  <si>
    <t>33.2</t>
  </si>
  <si>
    <t>Installation of industrial machinery and equipment</t>
  </si>
  <si>
    <t xml:space="preserve">Total net capital expenditure </t>
  </si>
  <si>
    <t xml:space="preserve">Total capital expenditure acquisitions </t>
  </si>
  <si>
    <t>47.79</t>
  </si>
  <si>
    <t xml:space="preserve">Retail sale of second-hand goods in stores </t>
  </si>
  <si>
    <t>95.1</t>
  </si>
  <si>
    <t>Repair of computers and communication equipment</t>
  </si>
  <si>
    <t>95.11</t>
  </si>
  <si>
    <t>Repair of computers and peripheral equipment</t>
  </si>
  <si>
    <t>95.12</t>
  </si>
  <si>
    <t xml:space="preserve">Repair of communication equipment </t>
  </si>
  <si>
    <t>95.2</t>
  </si>
  <si>
    <t>Repair of personal and household goods</t>
  </si>
  <si>
    <t>95.21</t>
  </si>
  <si>
    <t>Repair of consumer electronics</t>
  </si>
  <si>
    <t>95.22</t>
  </si>
  <si>
    <t>Repair of household appliances and home and garden equipment</t>
  </si>
  <si>
    <t>95.23</t>
  </si>
  <si>
    <t xml:space="preserve">Repair of footwear and leather goods </t>
  </si>
  <si>
    <t>95.24</t>
  </si>
  <si>
    <t xml:space="preserve">Repair of furniture and home furnishings </t>
  </si>
  <si>
    <t>95.25</t>
  </si>
  <si>
    <t xml:space="preserve">Repair of watches, clocks and jewellery </t>
  </si>
  <si>
    <t>95.29</t>
  </si>
  <si>
    <t>Repair of other personal and household goods</t>
  </si>
  <si>
    <t>77.1</t>
  </si>
  <si>
    <t xml:space="preserve">Renting and leasing of motor vehicles </t>
  </si>
  <si>
    <t>77.11</t>
  </si>
  <si>
    <t>Renting and leasing of cars and light motor vehicles</t>
  </si>
  <si>
    <t>77.12</t>
  </si>
  <si>
    <t xml:space="preserve">Renting and leasing of trucks </t>
  </si>
  <si>
    <t>77.2</t>
  </si>
  <si>
    <t>Renting and leasing of personal and household goods</t>
  </si>
  <si>
    <t>77.21</t>
  </si>
  <si>
    <t>Renting and leasing of recreational and sports goods</t>
  </si>
  <si>
    <t>77.22</t>
  </si>
  <si>
    <t>Renting of video tapes and disks</t>
  </si>
  <si>
    <t>77.29</t>
  </si>
  <si>
    <t>Renting and leasing of other personal and household goods</t>
  </si>
  <si>
    <t>77.3</t>
  </si>
  <si>
    <t>Renting and leasing of other machinery, equipment and tangible goods</t>
  </si>
  <si>
    <t>77.31</t>
  </si>
  <si>
    <t>Renting and leasing of agricultural machinery and equipment</t>
  </si>
  <si>
    <t>77.32</t>
  </si>
  <si>
    <t>Renting and leasing of construction and civil engineering machinery and equipment</t>
  </si>
  <si>
    <t>77.33</t>
  </si>
  <si>
    <t>Renting and leasing of office machinery and equipment (including computers)</t>
  </si>
  <si>
    <t>77.34</t>
  </si>
  <si>
    <t>Renting and leasing of water transport equipment</t>
  </si>
  <si>
    <t>77.35</t>
  </si>
  <si>
    <t>Renting and leasing of air transport equipment</t>
  </si>
  <si>
    <t>77.39</t>
  </si>
  <si>
    <t>Renting and leasing of other machinery, equipment and tangible goods not elsewhere classified</t>
  </si>
  <si>
    <t>45.2</t>
  </si>
  <si>
    <t xml:space="preserve">Maintenance and repair of motor vehicles </t>
  </si>
  <si>
    <t>Total capital expenditure disposals</t>
  </si>
  <si>
    <t>38</t>
  </si>
  <si>
    <t>Waste collection, treatment and disposal activities; materials recovery</t>
  </si>
  <si>
    <t>38.1</t>
  </si>
  <si>
    <t xml:space="preserve">Waste collection </t>
  </si>
  <si>
    <t>38.11</t>
  </si>
  <si>
    <t xml:space="preserve">Collection of non-hazardous waste </t>
  </si>
  <si>
    <t>38.12</t>
  </si>
  <si>
    <t>Collection of hazardous waste</t>
  </si>
  <si>
    <t>38.2</t>
  </si>
  <si>
    <t xml:space="preserve">Waste and treatment disposal </t>
  </si>
  <si>
    <t>38.21</t>
  </si>
  <si>
    <t>Treatment and disposal of non-hazardous waste</t>
  </si>
  <si>
    <t>38.22</t>
  </si>
  <si>
    <t>Treatment and disposal of hazardous waste</t>
  </si>
  <si>
    <t>38.3</t>
  </si>
  <si>
    <t xml:space="preserve">Materials recovery </t>
  </si>
  <si>
    <t>38.31</t>
  </si>
  <si>
    <t xml:space="preserve">Dismantling of wrecks </t>
  </si>
  <si>
    <t>38.32</t>
  </si>
  <si>
    <t xml:space="preserve">Recovery of sorted materials </t>
  </si>
  <si>
    <t>39</t>
  </si>
  <si>
    <t>Remediation activities and other waste management services</t>
  </si>
  <si>
    <t>45.4</t>
  </si>
  <si>
    <t>Sale, maintenance and repair of motorcycles and related parts and accessories</t>
  </si>
  <si>
    <t>46.77</t>
  </si>
  <si>
    <t xml:space="preserve">Wholesale of waste and scrap </t>
  </si>
  <si>
    <t>Apple Macbook pro 15.4 A1286 (2011)</t>
  </si>
  <si>
    <t>Reverse loops</t>
  </si>
  <si>
    <t>In-use emissions</t>
  </si>
  <si>
    <t>Production emissions</t>
  </si>
  <si>
    <t>End of life emissions</t>
  </si>
  <si>
    <t>Domestic production</t>
  </si>
  <si>
    <t>Net imports</t>
  </si>
  <si>
    <t>Total inflows</t>
  </si>
  <si>
    <t>PDF (Smartphone)</t>
  </si>
  <si>
    <t>PDF (Laptop)</t>
  </si>
  <si>
    <t>PDF (Tablet)</t>
  </si>
  <si>
    <t>2000-40 Total</t>
  </si>
  <si>
    <t>2022-40 Total</t>
  </si>
  <si>
    <t>2000-2021 Total</t>
  </si>
  <si>
    <t>Baseliine</t>
  </si>
  <si>
    <t>Shape (k)</t>
  </si>
  <si>
    <t>Scale (λ)</t>
  </si>
  <si>
    <t>Median</t>
  </si>
  <si>
    <t>S1</t>
  </si>
  <si>
    <t>Baseline</t>
  </si>
  <si>
    <t>S2</t>
  </si>
  <si>
    <t>Mean</t>
  </si>
  <si>
    <t>Standard deviation</t>
  </si>
  <si>
    <t>https://docs.cdn.yougov.com/co1sus362v/YouGov%20-%20Devices%20March.pdf</t>
  </si>
  <si>
    <t>Sample</t>
  </si>
  <si>
    <t>&lt;1</t>
  </si>
  <si>
    <t>1-2</t>
  </si>
  <si>
    <t>3-4</t>
  </si>
  <si>
    <t>5-6</t>
  </si>
  <si>
    <t>7-8</t>
  </si>
  <si>
    <t>9-10</t>
  </si>
  <si>
    <t xml:space="preserve">To estimate mean lifespan from this source, we have taken removed the NA and 'don't know', then used the mid-point estimates </t>
  </si>
  <si>
    <t>&gt;10</t>
  </si>
  <si>
    <t>NA</t>
  </si>
  <si>
    <t>Don’t know</t>
  </si>
  <si>
    <t>Response</t>
  </si>
  <si>
    <t>(%)</t>
  </si>
  <si>
    <t>Number</t>
  </si>
  <si>
    <t>Excluding NA/Don't know</t>
  </si>
  <si>
    <t>% excluding NA/Don't know</t>
  </si>
  <si>
    <t>Weighted average</t>
  </si>
  <si>
    <t>ICF</t>
  </si>
  <si>
    <t>Open Repair (EoL)</t>
  </si>
  <si>
    <t>YouGov</t>
  </si>
  <si>
    <t>Average</t>
  </si>
  <si>
    <t>Sources</t>
  </si>
  <si>
    <t>Mid-point coding</t>
  </si>
  <si>
    <t>ERM (assumed)</t>
  </si>
  <si>
    <t>26201100</t>
  </si>
  <si>
    <t>Hibernation</t>
  </si>
  <si>
    <t>COMPUTERS - Desktop</t>
  </si>
  <si>
    <t>COMPUTERS - Laptops</t>
  </si>
  <si>
    <t>COMPUTERS - Monitors</t>
  </si>
  <si>
    <t>COMPUTERS - Printers</t>
  </si>
  <si>
    <t>COMPUTERS - Multifunction devices</t>
  </si>
  <si>
    <t>COMPUTERS - Total</t>
  </si>
  <si>
    <t>.</t>
  </si>
  <si>
    <t>Last updated</t>
  </si>
  <si>
    <t>Average consumption of appliances 1970 to 2020 (kWh/ year)</t>
  </si>
  <si>
    <t>Electricity consumption by domestic appliances 1970 to 2020 (GWh)</t>
  </si>
  <si>
    <t>Number of appliances owned by households in the UK 1970 to 2020 (thousands)</t>
  </si>
  <si>
    <t>Activity</t>
  </si>
  <si>
    <t>Country</t>
  </si>
  <si>
    <t>Unit</t>
  </si>
  <si>
    <r>
      <t>Total kg CO</t>
    </r>
    <r>
      <rPr>
        <vertAlign val="subscript"/>
        <sz val="11"/>
        <color indexed="56"/>
        <rFont val="Calibri"/>
        <family val="2"/>
      </rPr>
      <t>2</t>
    </r>
    <r>
      <rPr>
        <sz val="11"/>
        <color indexed="56"/>
        <rFont val="Calibri"/>
        <family val="2"/>
      </rPr>
      <t>e per unit</t>
    </r>
  </si>
  <si>
    <t>Electricity generated</t>
  </si>
  <si>
    <t>Electricity: UK</t>
  </si>
  <si>
    <t>kWh</t>
  </si>
  <si>
    <t>T&amp;D- UK electricity</t>
  </si>
  <si>
    <r>
      <t>Total kg CO</t>
    </r>
    <r>
      <rPr>
        <b/>
        <vertAlign val="subscript"/>
        <sz val="11"/>
        <color indexed="56"/>
        <rFont val="Calibri"/>
        <family val="2"/>
      </rPr>
      <t>2</t>
    </r>
    <r>
      <rPr>
        <b/>
        <sz val="11"/>
        <color indexed="56"/>
        <rFont val="Calibri"/>
        <family val="2"/>
      </rPr>
      <t>e per unit</t>
    </r>
  </si>
  <si>
    <r>
      <t>kg CO</t>
    </r>
    <r>
      <rPr>
        <b/>
        <vertAlign val="subscript"/>
        <sz val="11"/>
        <color indexed="56"/>
        <rFont val="Calibri"/>
        <family val="2"/>
      </rPr>
      <t>2</t>
    </r>
    <r>
      <rPr>
        <b/>
        <sz val="11"/>
        <color indexed="56"/>
        <rFont val="Calibri"/>
        <family val="2"/>
      </rPr>
      <t>e of CO</t>
    </r>
    <r>
      <rPr>
        <b/>
        <vertAlign val="subscript"/>
        <sz val="11"/>
        <color indexed="56"/>
        <rFont val="Calibri"/>
        <family val="2"/>
      </rPr>
      <t>2</t>
    </r>
    <r>
      <rPr>
        <b/>
        <sz val="11"/>
        <color indexed="56"/>
        <rFont val="Calibri"/>
        <family val="2"/>
      </rPr>
      <t xml:space="preserve"> per unit</t>
    </r>
  </si>
  <si>
    <r>
      <t>kg CO</t>
    </r>
    <r>
      <rPr>
        <b/>
        <vertAlign val="subscript"/>
        <sz val="11"/>
        <color indexed="56"/>
        <rFont val="Calibri"/>
        <family val="2"/>
      </rPr>
      <t>2</t>
    </r>
    <r>
      <rPr>
        <b/>
        <sz val="11"/>
        <color indexed="56"/>
        <rFont val="Calibri"/>
        <family val="2"/>
      </rPr>
      <t>e of CH</t>
    </r>
    <r>
      <rPr>
        <b/>
        <vertAlign val="subscript"/>
        <sz val="11"/>
        <color indexed="56"/>
        <rFont val="Calibri"/>
        <family val="2"/>
      </rPr>
      <t>4</t>
    </r>
    <r>
      <rPr>
        <b/>
        <sz val="11"/>
        <color indexed="56"/>
        <rFont val="Calibri"/>
        <family val="2"/>
      </rPr>
      <t xml:space="preserve"> per unit</t>
    </r>
  </si>
  <si>
    <r>
      <t>kg CO</t>
    </r>
    <r>
      <rPr>
        <b/>
        <vertAlign val="subscript"/>
        <sz val="11"/>
        <color indexed="56"/>
        <rFont val="Calibri"/>
        <family val="2"/>
      </rPr>
      <t>2</t>
    </r>
    <r>
      <rPr>
        <b/>
        <sz val="11"/>
        <color indexed="56"/>
        <rFont val="Calibri"/>
        <family val="2"/>
      </rPr>
      <t>e of N</t>
    </r>
    <r>
      <rPr>
        <b/>
        <vertAlign val="subscript"/>
        <sz val="11"/>
        <color indexed="56"/>
        <rFont val="Calibri"/>
        <family val="2"/>
      </rPr>
      <t>2</t>
    </r>
    <r>
      <rPr>
        <b/>
        <sz val="11"/>
        <color indexed="56"/>
        <rFont val="Calibri"/>
        <family val="2"/>
      </rPr>
      <t>O per unit</t>
    </r>
  </si>
  <si>
    <t>Primary material production</t>
  </si>
  <si>
    <t>Re-used</t>
  </si>
  <si>
    <t>Open-loop source</t>
  </si>
  <si>
    <t>Closed-loop source</t>
  </si>
  <si>
    <t>Electrical items</t>
  </si>
  <si>
    <t>Electrical items - fridges and freezers</t>
  </si>
  <si>
    <t>tonnes</t>
  </si>
  <si>
    <t>Electrical items - large</t>
  </si>
  <si>
    <t>Electrical items - IT</t>
  </si>
  <si>
    <t>Electrical items - small</t>
  </si>
  <si>
    <t>Batteries - Alkaline</t>
  </si>
  <si>
    <t>Batteries - Li ion</t>
  </si>
  <si>
    <t>Batteries - NiMh</t>
  </si>
  <si>
    <t>Material use conversion factors should be used to report on consumption of procured materials based on their origin (that is, comprised of primary material or recycled materials). For primary materials, these factors cover the extraction, primary processing, manufacturing and transportation materials to the point of sale, not the materials in use. For secondary materials, the factors cover sorting, processing, manufacturing and transportating to the point of sale, not the materials in use. These factors are useful for reporting efficiencies gained through reduced procurement of material or the benefit of procuring items that are the product of a previous recycling process.</t>
  </si>
  <si>
    <t>Total</t>
  </si>
  <si>
    <t>Kwh</t>
  </si>
  <si>
    <t>Re-use</t>
  </si>
  <si>
    <t>Open-loop</t>
  </si>
  <si>
    <t>Closed-loop</t>
  </si>
  <si>
    <t>Combustion</t>
  </si>
  <si>
    <t>Waste type</t>
  </si>
  <si>
    <t>WEEE - fridges and freezers</t>
  </si>
  <si>
    <t>WEEE - large</t>
  </si>
  <si>
    <t>WEEE - mixed</t>
  </si>
  <si>
    <t>WEEE - small</t>
  </si>
  <si>
    <t>Batteries</t>
  </si>
  <si>
    <t>Waste disposal figures should be used for end-of-life disposal of different materials using a variety of different disposal methods.</t>
  </si>
  <si>
    <t>Electricity consumption</t>
  </si>
  <si>
    <t>Flow_type</t>
  </si>
  <si>
    <t xml:space="preserve">Electricity use = Appliances (number) x average electricity consumption of devices (KwH/yr) </t>
  </si>
  <si>
    <t>In-use emissions =Electricity use (KwH) x emissions per unit of electricity (MtCOe)</t>
  </si>
  <si>
    <t xml:space="preserve">Product category </t>
  </si>
  <si>
    <t xml:space="preserve">Average </t>
  </si>
  <si>
    <t xml:space="preserve">Maximum </t>
  </si>
  <si>
    <t xml:space="preserve">Minimum </t>
  </si>
  <si>
    <t>In-use emissions (tonnes CO2e)</t>
  </si>
  <si>
    <t>Survival distribution (Smartphone)</t>
  </si>
  <si>
    <t>Hibernation (non-used stock)</t>
  </si>
  <si>
    <t>Year from</t>
  </si>
  <si>
    <t>Use-phase emissions (tonnes CO2e)</t>
  </si>
  <si>
    <t>S1 - 20% increase in mean/median lifespan</t>
  </si>
  <si>
    <t>S2 - 50% increase in mean/median lifespan</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</si>
  <si>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</si>
  <si>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</si>
  <si>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</si>
  <si>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</si>
  <si>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</si>
  <si>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</si>
  <si>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</si>
  <si>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</si>
  <si>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</si>
  <si>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</si>
  <si>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</si>
  <si>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</si>
  <si>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</si>
  <si>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</si>
  <si>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</si>
  <si>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</si>
  <si>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</si>
  <si>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</si>
  <si>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</si>
  <si>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</si>
  <si>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</si>
  <si>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</si>
  <si>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</si>
  <si>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</si>
  <si>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</si>
  <si>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UNITS</t>
  </si>
  <si>
    <t>EMISSIONS</t>
  </si>
  <si>
    <t>MATERIALS</t>
  </si>
  <si>
    <t>Inflow (tonnes)</t>
  </si>
  <si>
    <t>Stock (tonnes)</t>
  </si>
  <si>
    <t>Outflow (tonnes)</t>
  </si>
  <si>
    <t xml:space="preserve">Total materials (Average) </t>
  </si>
  <si>
    <t xml:space="preserve">Total materials (Maximum) </t>
  </si>
  <si>
    <t xml:space="preserve">Total materials (Minimum) </t>
  </si>
  <si>
    <t>MONETARY</t>
  </si>
  <si>
    <t>Inflow (production) emissions (tonnes CO2e)</t>
  </si>
  <si>
    <t>Outflow (End of life) emissions (tonnes CO2e)</t>
  </si>
  <si>
    <t>Use phase emissions tonnes CO2e</t>
  </si>
  <si>
    <t>Total emissions (tonnes CO2e)</t>
  </si>
  <si>
    <t>Use-phase electricity consumption (Kwh)</t>
  </si>
  <si>
    <t>Relevant variables</t>
  </si>
  <si>
    <t>Assumption</t>
  </si>
  <si>
    <t>References</t>
  </si>
  <si>
    <t>Type</t>
  </si>
  <si>
    <t>Function</t>
  </si>
  <si>
    <t>Consumer savings</t>
  </si>
  <si>
    <t>Reverse loop breakdown</t>
  </si>
  <si>
    <t>Scenario</t>
  </si>
  <si>
    <t>Variable</t>
  </si>
  <si>
    <t>Total emissions</t>
  </si>
  <si>
    <t>Material inflows (lower)</t>
  </si>
  <si>
    <t>Material inflows (upper)</t>
  </si>
  <si>
    <t>Total (2023-32)</t>
  </si>
  <si>
    <t>Commodities</t>
  </si>
  <si>
    <t>HS2</t>
  </si>
  <si>
    <t>HS4</t>
  </si>
  <si>
    <t>HS6</t>
  </si>
  <si>
    <t>CN8</t>
  </si>
  <si>
    <t>Value (£)</t>
  </si>
  <si>
    <t>Net Mass (Kg)</t>
  </si>
  <si>
    <t>🔸 Supp Unit *³</t>
  </si>
  <si>
    <t>Flow Type</t>
  </si>
  <si>
    <t>Month</t>
  </si>
  <si>
    <t>Include in HS2 aggregation</t>
  </si>
  <si>
    <t>All Commodities</t>
  </si>
  <si>
    <t>85 Electrical machinery and equipment and parts thereof; sound recorders and reproducers, television image and sound recorders and reproducers, and parts and accessories of such articles</t>
  </si>
  <si>
    <t>8517 Telephone sets, incl. smartphones and other telephones for cellular networks or for other wireless networks; other apparatus for the transmission or reception of voice, images or other data, incl. apparatus for communication in a wired or wireless ne</t>
  </si>
  <si>
    <t>851712 Telephones for cellular networks "mobile telephones" or for other wireless networks</t>
  </si>
  <si>
    <t>85171200 Telephones for cellular networks "mobile telephones" or for other wireless networks</t>
  </si>
  <si>
    <t>EU - Exports</t>
  </si>
  <si>
    <t>January</t>
  </si>
  <si>
    <t>INCLUDE</t>
  </si>
  <si>
    <t>February</t>
  </si>
  <si>
    <t>March</t>
  </si>
  <si>
    <t>April</t>
  </si>
  <si>
    <t>May</t>
  </si>
  <si>
    <t>June</t>
  </si>
  <si>
    <t>July</t>
  </si>
  <si>
    <t>August</t>
  </si>
  <si>
    <t>September</t>
  </si>
  <si>
    <t>October</t>
  </si>
  <si>
    <t>November</t>
  </si>
  <si>
    <t>December</t>
  </si>
  <si>
    <t>EU - Imports</t>
  </si>
  <si>
    <t>Non EU - Exports</t>
  </si>
  <si>
    <t>Non EU - Imports</t>
  </si>
  <si>
    <t>84 Nuclear reactors, boilers, machinery and mechanical appliances; parts thereof</t>
  </si>
  <si>
    <t>8471 Automatic data-processing machines and units thereof; magnetic or optical readers, machines for transcribing data onto data media in coded form and machines for processing such data, n.e.s.</t>
  </si>
  <si>
    <t>847130 Data-processing machines, automatic, portable, weighing &lt;= 10 kg, consisting of at least a central processing unit, a keyboard and a display (excl. peripheral units)</t>
  </si>
  <si>
    <t>84713000 Data-processing machines, automatic, portable, weighing &lt;= 10 kg, consisting of at least a central processing unit, a keyboard and a display (excl. peripheral units)</t>
  </si>
  <si>
    <t>Exports</t>
  </si>
  <si>
    <t>Items</t>
  </si>
  <si>
    <t>Code_%</t>
  </si>
  <si>
    <t>Value_raw</t>
  </si>
  <si>
    <t>26302200</t>
  </si>
  <si>
    <t>Savings</t>
  </si>
  <si>
    <t>Displaced purchases (units)</t>
  </si>
  <si>
    <t>Value per unit (£)</t>
  </si>
  <si>
    <t>Code share for 26302200 - Telephones for cellular networks and for other wireless networks INCLUDING: - satellite phones</t>
  </si>
  <si>
    <t>Code share for CN 851712 - Telephones for cellular networks "mobile telephones" or for other wireless networks</t>
  </si>
  <si>
    <t>https://www.statista.com/statistics/300398/smartphone-usage-in-the-united-kingdom/</t>
  </si>
  <si>
    <t>See flows tab</t>
  </si>
  <si>
    <t>Code share for 26201100 - Laptop PCs, Notebooks and palm-top organisers</t>
  </si>
  <si>
    <t>Code share for CN 847130 - Data-processing machines, automatic, portable, weighing &lt;= 10 kg, consisting of at least a central processing unit, a keyboard and a display (excl. peripheral units)</t>
  </si>
  <si>
    <t>https://www.statista.com/statistics/272595/global-shipments-forecast-for-tablets-laptops-and-desktop-pcs/</t>
  </si>
  <si>
    <t>Desktop-PC</t>
  </si>
  <si>
    <t>Total (laptop, tablet)</t>
  </si>
  <si>
    <t>Laptop (trade)</t>
  </si>
  <si>
    <t>Tablet (trade)</t>
  </si>
  <si>
    <t>Laptop (domestic)</t>
  </si>
  <si>
    <t>Tablet (domestic)</t>
  </si>
  <si>
    <t>Apparent consumption</t>
  </si>
  <si>
    <t>Annual energy consumption of devices (2023-32)</t>
  </si>
  <si>
    <t>Drop by 50% by 2032 vs. 2023</t>
  </si>
  <si>
    <t>For baseline data, we transferred the scale parameter from UNU but because the scale and shape parameter together imply a higher mean/median than elsewhere in the literature for the UK, we triangulated between UNU, ICF, Open Repair Data and YouGov to estimate a mean and median more applicable to the UK. We then used goal seek to estimate the shape parameter required to satisfy this mean while holding the scale parameter constant</t>
  </si>
  <si>
    <t>Inflow displacement effect from lifespan extension</t>
  </si>
  <si>
    <t>2 kwh/p.a. for electricity for smartphone</t>
  </si>
  <si>
    <t>The avoided sales of unit based on the displacement effect multiplied by an assumed sales value</t>
  </si>
  <si>
    <t>Peagham</t>
  </si>
  <si>
    <t>Unit outflows</t>
  </si>
  <si>
    <t>Price per unit</t>
  </si>
  <si>
    <t>Domestic items</t>
  </si>
  <si>
    <t>Import items</t>
  </si>
  <si>
    <t>Domestic value</t>
  </si>
  <si>
    <t>Import value</t>
  </si>
  <si>
    <t>Price</t>
  </si>
  <si>
    <t>Average smartphone price</t>
  </si>
  <si>
    <t>https://www.uswitch.com/mobiles/news/2020/07/mobile-phone-prices-soar-over-20-years/</t>
  </si>
  <si>
    <t>Laptop/tablet</t>
  </si>
  <si>
    <t>Average laptop price</t>
  </si>
  <si>
    <t>Average tablet price</t>
  </si>
  <si>
    <t>Outflow routing</t>
  </si>
  <si>
    <t>https://eprints.lancs.ac.uk/id/eprint/145741/1/Material_Focus_Electrical_waste_challenges_and_opportunities.pdf</t>
  </si>
  <si>
    <t>Tab  'outflow routing'</t>
  </si>
  <si>
    <t>Tables UNU Description__1</t>
  </si>
  <si>
    <t>Tables Flow "Donation or re-use" (kton/yr)__2</t>
  </si>
  <si>
    <t>Tables Flow "General bin" (kton/yr)__3</t>
  </si>
  <si>
    <t>Tables Flow "Other" (kton/yr)__4</t>
  </si>
  <si>
    <t>Tables Flow "Recycling" (kton/yr)__5</t>
  </si>
  <si>
    <t>Tables Flow "Sold" (kton/yr)__6</t>
  </si>
  <si>
    <t>Tables scheme" (kton/yr) Flow "Take back__7</t>
  </si>
  <si>
    <t>Tables Flow "Unknown" (kton/yr)__8</t>
  </si>
  <si>
    <t>303 Laptops &amp; Tablets</t>
  </si>
  <si>
    <t>306 Mobile Phones</t>
  </si>
  <si>
    <t>% split of 'general bin waste' to landfill vs. incineration</t>
  </si>
  <si>
    <t>https://www.gov.uk/government/statistical-data-sets/env18-local-authority-collected-waste-annual-results-tables</t>
  </si>
  <si>
    <t>2020-21</t>
  </si>
  <si>
    <t>(percentage)</t>
  </si>
  <si>
    <t>Incineration with EfW</t>
  </si>
  <si>
    <r>
      <t xml:space="preserve">Incineration without EfW </t>
    </r>
    <r>
      <rPr>
        <vertAlign val="superscript"/>
        <sz val="6"/>
        <color rgb="FF000000"/>
        <rFont val="Arial"/>
        <family val="2"/>
      </rPr>
      <t>1</t>
    </r>
  </si>
  <si>
    <t>https://assets.publishing.service.gov.uk/government/uploads/system/uploads/attachment_data/file/1047704/LA_and_Regional_Spreadsheet_2021_rev.ods</t>
  </si>
  <si>
    <t>Against baseline waste avoided = inflow displacement based on a 1-fr-1 displacement.</t>
  </si>
  <si>
    <t>Survival distribution (Laptop)</t>
  </si>
  <si>
    <t>Survival distribution (Tablet)</t>
  </si>
  <si>
    <t>The cumulative distribution function F(y) represents the likelihood that an event occurs at or before time y. The survival function is the inverse of the CDF, telling us what percentage of an original figure we have left.</t>
  </si>
  <si>
    <t>Shape</t>
  </si>
  <si>
    <t>Scale</t>
  </si>
  <si>
    <t>Sheet_name</t>
  </si>
  <si>
    <t>UNU</t>
  </si>
  <si>
    <t>https://www.researchgate.net/publication/331714941_E-Waste_statistics_Guidelines_on_classification_reporting_and_indicators?enrichId=rgreq-241525d1fa91c5dd92a4bd34b8ab8fdf-XXX&amp;enrichSource=Y292ZXJQYWdlOzMzMTcxNDk0MTtBUzo3MzU5ODExNDE1MDgwOThAMTU1MjQ4Mjk4NjIxOA%3D%3D&amp;el=1_x_3&amp;_esc=publicationCoverPdf</t>
  </si>
  <si>
    <t>Classification_trade</t>
  </si>
  <si>
    <t>https://i.unu.edu/media/ias.unu.edu-en/project/2238/E-waste-Guidelines_Partnership_2015.pdf</t>
  </si>
  <si>
    <t>Prodcom, UKTradeInfo</t>
  </si>
  <si>
    <t>Open Repair Data</t>
  </si>
  <si>
    <t>BOM</t>
  </si>
  <si>
    <t>https://figshare.com/articles/dataset/Material_composition_of_consumer_electronics/11306792</t>
  </si>
  <si>
    <t>REE content</t>
  </si>
  <si>
    <t>https://www.sciencedirect.com/science/article/pii/S0959652623004109?via%3Dihub#fig5</t>
  </si>
  <si>
    <t>UNU KEY</t>
  </si>
  <si>
    <t>DESCRIPTION</t>
  </si>
  <si>
    <t>EEE CATEGORY UNDER EU-6</t>
  </si>
  <si>
    <t>EEE CATEGORY UNDER EU-10</t>
  </si>
  <si>
    <t>0001</t>
  </si>
  <si>
    <t>Central Heating (household installed)</t>
  </si>
  <si>
    <t>Large equipment</t>
  </si>
  <si>
    <t>Large household appliances</t>
  </si>
  <si>
    <t>0002</t>
  </si>
  <si>
    <t>Photovoltaic Panels (incl. inverters)</t>
  </si>
  <si>
    <t>Consumer equipment</t>
  </si>
  <si>
    <t>0101</t>
  </si>
  <si>
    <t>Professional Heating &amp; Ventilation (excl. cooling equipment)</t>
  </si>
  <si>
    <t>0103</t>
  </si>
  <si>
    <t>Kitchen equipment (e.g. large furnaces, ovens, cooking equipment)</t>
  </si>
  <si>
    <t>Washing Machines (incl. combined dryers)</t>
  </si>
  <si>
    <t>0105</t>
  </si>
  <si>
    <t>Dryers (wash dryers, centrifuges)</t>
  </si>
  <si>
    <t>Household Heating &amp; Ventilation (e.g. hoods, ventilators, space heaters)</t>
  </si>
  <si>
    <t>Fridges (incl. combi-fridges)</t>
  </si>
  <si>
    <t>Temperature exchange equipment</t>
  </si>
  <si>
    <t>0109</t>
  </si>
  <si>
    <t>Air Conditioners (household installed and portable)</t>
  </si>
  <si>
    <t>Other cooling equipment (e.g. dehumidifiers, heat pump dryers)</t>
  </si>
  <si>
    <t xml:space="preserve">Professional cooling equipment (e.g. large air conditioners, cooling displays) </t>
  </si>
  <si>
    <t>0114</t>
  </si>
  <si>
    <t>Microwaves (incl. combined, excl. grills)</t>
  </si>
  <si>
    <t>Small equipment</t>
  </si>
  <si>
    <t xml:space="preserve">Other small household equipment (e.g. small ventilators, irons, clocks, adapters) </t>
  </si>
  <si>
    <t>Small household appliances</t>
  </si>
  <si>
    <t xml:space="preserve">Equipment for food preparation (e.g. toaster, grills, food processing, frying pans) </t>
  </si>
  <si>
    <t>Small household equipment for hot water preparation (e.g. coffee, tea, water cookers)</t>
  </si>
  <si>
    <t>Vacuum Cleaners (exc. professional)</t>
  </si>
  <si>
    <t>Personal Care equipment (e.g. toothbrushes, hairdryers, razors)</t>
  </si>
  <si>
    <t>0301</t>
  </si>
  <si>
    <t>Small IT equipment (e.g. routers, mice, keyboards, external drives &amp; accessories)</t>
  </si>
  <si>
    <t>Small IT</t>
  </si>
  <si>
    <t>IT and telecommunications equipment</t>
  </si>
  <si>
    <t>Desktop PCs (excl. monitors, accessories)</t>
  </si>
  <si>
    <t>Laptops (incl. tablets)</t>
  </si>
  <si>
    <t>Screens and monitors</t>
  </si>
  <si>
    <t>Printers (e.g. scanners, multi-functionals, faxes)</t>
  </si>
  <si>
    <t>0305</t>
  </si>
  <si>
    <t>Telecommunication equipment (e.g. cordless phones, answering machines)</t>
  </si>
  <si>
    <t>Mobile Phones (incl. smartphones, pagers)</t>
  </si>
  <si>
    <t>Professional IT equipment (e.g. servers, routers, data storage, copiers)</t>
  </si>
  <si>
    <t>0308</t>
  </si>
  <si>
    <t>Cathode Ray Tube Monitors</t>
  </si>
  <si>
    <t>Flat Display Panel Monitors (LCD, LED)</t>
  </si>
  <si>
    <t>Small Consumer Electronics (e.g. headphones, remote controls)</t>
  </si>
  <si>
    <t>0402</t>
  </si>
  <si>
    <t>Portable Audio &amp; Video (e.g. MP3, e-readers, car navigation)</t>
  </si>
  <si>
    <t>Music Instruments, Radio, Hi-Fi (incl. audio sets)</t>
  </si>
  <si>
    <t>0404</t>
  </si>
  <si>
    <t>Video (e.g. Video recorders, DVD, Blue Ray, set-top boxes) and projectors</t>
  </si>
  <si>
    <t>0405</t>
  </si>
  <si>
    <t>Cameras (e.g. camcorders, photo &amp; digital still cameras)</t>
  </si>
  <si>
    <t>0407</t>
  </si>
  <si>
    <t>Cathode Ray Tube TVs</t>
  </si>
  <si>
    <t>Flat Display Panel TVs (LCD, LED, Plasma)</t>
  </si>
  <si>
    <t>Small lighting equipment (excl. LED &amp; incandescent)</t>
  </si>
  <si>
    <t>Lighting equipment</t>
  </si>
  <si>
    <t>0502</t>
  </si>
  <si>
    <t>Compact Fluorescent Lamps (incl. retrofit &amp; non-retrofit)</t>
  </si>
  <si>
    <t>Lamps</t>
  </si>
  <si>
    <t>0503</t>
  </si>
  <si>
    <t>Straight Tube Fluorescent Lamps</t>
  </si>
  <si>
    <t>0504</t>
  </si>
  <si>
    <t>Special Lamps (e.g. professional mercury, high &amp; low pressure sodium)</t>
  </si>
  <si>
    <t>LED Lamps (incl. retrofit LED lamps)</t>
  </si>
  <si>
    <t>0506</t>
  </si>
  <si>
    <t>Household Luminaires (incl. household incandescent fittings &amp; household LED luminaires)</t>
  </si>
  <si>
    <t>0507</t>
  </si>
  <si>
    <t>Professional Luminaires (offices, public space, industry)</t>
  </si>
  <si>
    <t>0601</t>
  </si>
  <si>
    <t>Household Tools (e.g. drills, saws, high pressure cleaners, lawn mowers)</t>
  </si>
  <si>
    <t>Electrical and electronic tools</t>
  </si>
  <si>
    <t>0602</t>
  </si>
  <si>
    <t>Professional Tools (e.g. for welding, soldering, milling)</t>
  </si>
  <si>
    <t>0701</t>
  </si>
  <si>
    <t>Toys (e.g. car racing sets, electric trains, music toys, biking computers, drones)</t>
  </si>
  <si>
    <t>Toys</t>
  </si>
  <si>
    <t>Game Consoles</t>
  </si>
  <si>
    <t>0703</t>
  </si>
  <si>
    <t>Leisure equipment (e.g. sports equipment, electric bikes, juke boxes)</t>
  </si>
  <si>
    <t>0801</t>
  </si>
  <si>
    <t>Household medical equipment (e.g. thermometers, blood pressure meters)</t>
  </si>
  <si>
    <t>Medical devices</t>
  </si>
  <si>
    <t>Professional medical equipment (e.g. hospital, dentist, diagnostics)</t>
  </si>
  <si>
    <t>0901</t>
  </si>
  <si>
    <t>Household Monitoring &amp; Control equipment (alarm, heat, smoke, excl. screens)</t>
  </si>
  <si>
    <t>Monitoring and control instruments</t>
  </si>
  <si>
    <t>0902</t>
  </si>
  <si>
    <t>Professional Monitoring &amp; Control equipment (e.g. laboratory, control panels)</t>
  </si>
  <si>
    <t>1001</t>
  </si>
  <si>
    <t>Non-cooled Dispensers (e.g. for vending, hot drinks, tickets, money)</t>
  </si>
  <si>
    <t>Automatic dispensers</t>
  </si>
  <si>
    <t>1002</t>
  </si>
  <si>
    <t>Cooled Dispensers (e.g. for vending, cold drinks)</t>
  </si>
  <si>
    <t>Tables UNU KEY__1</t>
  </si>
  <si>
    <t>Tables UNU Key Description__2</t>
  </si>
  <si>
    <t>Tables HS__3</t>
  </si>
  <si>
    <t>Tables HS Description__4</t>
  </si>
  <si>
    <t>Professional Heating &amp; Ventilation cooling equipment)</t>
  </si>
  <si>
    <t>Dry-cleaning machines</t>
  </si>
  <si>
    <t>Ironing machines and presses including fusing presses</t>
  </si>
  <si>
    <t>842211</t>
  </si>
  <si>
    <t>Dish washing machines (domestic)</t>
  </si>
  <si>
    <t>Kitchen (f.i. large furnaces, ovens, cooking equipment)</t>
  </si>
  <si>
    <t>851660</t>
  </si>
  <si>
    <t>Electric cooking, grilling &amp; roasting equipment nes</t>
  </si>
  <si>
    <t>845011</t>
  </si>
  <si>
    <t>Automatic washing machines, of a dry capacity &lt; 10 kg</t>
  </si>
  <si>
    <t>845012</t>
  </si>
  <si>
    <t>Washing machines nes, capacity &lt;10 kg, built-in drier</t>
  </si>
  <si>
    <t>845019</t>
  </si>
  <si>
    <t>Household/laundry-type washing machines &lt;10 kg, nes</t>
  </si>
  <si>
    <t>845020</t>
  </si>
  <si>
    <t>Household or laundry-type washing machines, cap &gt;10kg</t>
  </si>
  <si>
    <t>842112</t>
  </si>
  <si>
    <t>Clothes-dryers, centrifugal</t>
  </si>
  <si>
    <t>845121</t>
  </si>
  <si>
    <t>Drying machines, capacity &lt;10 kg, except washer-drier</t>
  </si>
  <si>
    <t>845129</t>
  </si>
  <si>
    <t>Drying machines, nes</t>
  </si>
  <si>
    <t>Household Heating &amp; Ventilation hoods, ventilators, space heaters)</t>
  </si>
  <si>
    <t>Ventilating hoods having a maximum width &lt; 120 cm</t>
  </si>
  <si>
    <t>Electric storage heating radiators</t>
  </si>
  <si>
    <t>Electric space heating nes and soil heating apparatus</t>
  </si>
  <si>
    <t>841810</t>
  </si>
  <si>
    <t>Combined refrigerator-freezers, fitted with separate external doors, electric/ other</t>
  </si>
  <si>
    <t>841821</t>
  </si>
  <si>
    <t>Refrigerators, household compression type</t>
  </si>
  <si>
    <t>841822</t>
  </si>
  <si>
    <t>Refrigerators, household absorption type, electric</t>
  </si>
  <si>
    <t>841829</t>
  </si>
  <si>
    <t>Refrigerators, household type, including non-elecctri</t>
  </si>
  <si>
    <t>841830</t>
  </si>
  <si>
    <t>Freezers of the chest type, &lt; 800 litre capacity</t>
  </si>
  <si>
    <t>841840</t>
  </si>
  <si>
    <t>Freezers of the upright type, &lt; 900 litre capacity</t>
  </si>
  <si>
    <t>841510</t>
  </si>
  <si>
    <t>Air conditioners window/wall types, self-contained</t>
  </si>
  <si>
    <t>841581</t>
  </si>
  <si>
    <t>Air conditioners nes with reverse cycle refrigeration</t>
  </si>
  <si>
    <t>841582</t>
  </si>
  <si>
    <t>Air conditioners nes, with refrigerating unit</t>
  </si>
  <si>
    <t>Other Cooling (f.i. dehumidifiers, heat pump dryers)</t>
  </si>
  <si>
    <t>841861</t>
  </si>
  <si>
    <t>Compression refrigeration equipment with heat exchang</t>
  </si>
  <si>
    <t>Professional Cooling (f.i. large airconditioners, cooling displays)</t>
  </si>
  <si>
    <t>841583</t>
  </si>
  <si>
    <t>Air conditioners nes, without refrigerating unit</t>
  </si>
  <si>
    <t>841850</t>
  </si>
  <si>
    <t>Refrigerator/freezer chests/cabinets/ showcases</t>
  </si>
  <si>
    <t>841869</t>
  </si>
  <si>
    <t>Refrigerating or freezing equipment nes</t>
  </si>
  <si>
    <t>851650</t>
  </si>
  <si>
    <t>Microwave ovens</t>
  </si>
  <si>
    <t>Other Small Household (f.i. small ventilators, irons, clocks, adapters)</t>
  </si>
  <si>
    <t>630110</t>
  </si>
  <si>
    <t>Electric blankets of textile material</t>
  </si>
  <si>
    <t>841451</t>
  </si>
  <si>
    <t>Table, window, ceiling fans, electric motor &lt;125 watts</t>
  </si>
  <si>
    <t>842310</t>
  </si>
  <si>
    <t>Personal weighing machines, baby &amp; household scales</t>
  </si>
  <si>
    <t>845210</t>
  </si>
  <si>
    <t>Household type sewing machines</t>
  </si>
  <si>
    <t>850930</t>
  </si>
  <si>
    <t>Domestic kitchen waste disposers</t>
  </si>
  <si>
    <t>850980</t>
  </si>
  <si>
    <t>Domestic appliances, with electric motor, nes</t>
  </si>
  <si>
    <t>851640</t>
  </si>
  <si>
    <t>Electric smoothing irons</t>
  </si>
  <si>
    <t>910111</t>
  </si>
  <si>
    <t>Wrist-watch, precious metal, battery, with hands</t>
  </si>
  <si>
    <t>910112</t>
  </si>
  <si>
    <t>Wrist-watch, precious metal, battery, opto/electric</t>
  </si>
  <si>
    <t>910119</t>
  </si>
  <si>
    <t>Wrist-watch, precious metal, battery, other</t>
  </si>
  <si>
    <t>910191</t>
  </si>
  <si>
    <t>Pocket-watch, precious-metal case, battery</t>
  </si>
  <si>
    <t>910211</t>
  </si>
  <si>
    <t>Wrist-watch, base-metal case, battery, with hands</t>
  </si>
  <si>
    <t>910212</t>
  </si>
  <si>
    <t>Wrist-watch, base-metal case, battery, opto/electric</t>
  </si>
  <si>
    <t>910219</t>
  </si>
  <si>
    <t>Wrist-watch, base-metal case, battery, other</t>
  </si>
  <si>
    <t>910291</t>
  </si>
  <si>
    <t>Pocket-watch, base-metal case, battery</t>
  </si>
  <si>
    <t>910310</t>
  </si>
  <si>
    <t>Clocks with watch movements, battery (except vehicle)</t>
  </si>
  <si>
    <t>910390</t>
  </si>
  <si>
    <t>Clocks with watch movements, nes (except vehicle)</t>
  </si>
  <si>
    <t>910511</t>
  </si>
  <si>
    <t>Alarm clocks, battery or mains powered</t>
  </si>
  <si>
    <t>910521</t>
  </si>
  <si>
    <t>Wall clocks, battery or mains powered</t>
  </si>
  <si>
    <t>910591</t>
  </si>
  <si>
    <t>Clocks, nes, battery or mains powered</t>
  </si>
  <si>
    <t>910700</t>
  </si>
  <si>
    <t>Time switches</t>
  </si>
  <si>
    <t>910811</t>
  </si>
  <si>
    <t>Assembled battery watch movement, mechanical display</t>
  </si>
  <si>
    <t>910812</t>
  </si>
  <si>
    <t>Assembled battery watch movement,opto-electric displa</t>
  </si>
  <si>
    <t>910819</t>
  </si>
  <si>
    <t>Assembled battery watch movement, nes</t>
  </si>
  <si>
    <t>910820</t>
  </si>
  <si>
    <t>Watch movements, complete and assembled, auto-winding</t>
  </si>
  <si>
    <t>910890</t>
  </si>
  <si>
    <t>Watch movements, complete &amp; assembled (excl. electrically operated), other ...</t>
  </si>
  <si>
    <t>910911</t>
  </si>
  <si>
    <t>Clock movements, complete and assembled, battery/alar</t>
  </si>
  <si>
    <t>910919</t>
  </si>
  <si>
    <t>Clock movements, complete and assembled, battery nes</t>
  </si>
  <si>
    <t>Food (f.i. toaster, grills, food processing, frying pans)</t>
  </si>
  <si>
    <t>850940</t>
  </si>
  <si>
    <t>Domestic food grinders, mixers, juice extractors</t>
  </si>
  <si>
    <t>851672</t>
  </si>
  <si>
    <t>Electric toasters, domestic</t>
  </si>
  <si>
    <t>851679</t>
  </si>
  <si>
    <t>Electro-thermic appliances, domestic, nes</t>
  </si>
  <si>
    <t>Hot Water (f.i. coffee, tea, water cookers)</t>
  </si>
  <si>
    <t>851610</t>
  </si>
  <si>
    <t>Electric instant, storage and immersion water heaters</t>
  </si>
  <si>
    <t>851671</t>
  </si>
  <si>
    <t>Electric coffee or tea makers, domestic</t>
  </si>
  <si>
    <t>Vacuum Cleaners (excl. professional)</t>
  </si>
  <si>
    <t>850811</t>
  </si>
  <si>
    <t>Vacuum cleaners, with self-contained electric motor, Of a power not &gt; 1,500 W &amp; having a dust bag/other receptacle capacity not &gt; 201</t>
  </si>
  <si>
    <t>850819</t>
  </si>
  <si>
    <t>Vacuum cleaners, with self-contained electric motor, other than of 8508.11</t>
  </si>
  <si>
    <t>850860</t>
  </si>
  <si>
    <t>Other vacuum cleaners,not with self contained electric motor</t>
  </si>
  <si>
    <t>850910</t>
  </si>
  <si>
    <t>Domestic vacuum cleaners</t>
  </si>
  <si>
    <t>Personal Care (f.i. tooth brushes, hair dryers, razors)</t>
  </si>
  <si>
    <t>851010</t>
  </si>
  <si>
    <t>Shavers, with self-contained electric motor</t>
  </si>
  <si>
    <t>851020</t>
  </si>
  <si>
    <t>Hair clippers, with self-contained electric motor</t>
  </si>
  <si>
    <t>851030</t>
  </si>
  <si>
    <t>Hair-removing appl w/sel</t>
  </si>
  <si>
    <t>851631</t>
  </si>
  <si>
    <t>Electric hair dryers</t>
  </si>
  <si>
    <t>851632</t>
  </si>
  <si>
    <t>Electro-thermic hairdressing apparatus, nes</t>
  </si>
  <si>
    <t>851633</t>
  </si>
  <si>
    <t>Electro-thermic hand drying apparatus</t>
  </si>
  <si>
    <t>Small IT (f.i. routers, mice, keyboards, external drives &amp; accessoires)</t>
  </si>
  <si>
    <t>846900</t>
  </si>
  <si>
    <t>Typewriters other than printers of heading 84.43; word-processing machines.</t>
  </si>
  <si>
    <t>846911</t>
  </si>
  <si>
    <t>Word-processing machines</t>
  </si>
  <si>
    <t>846912</t>
  </si>
  <si>
    <t>Automatic typewriters</t>
  </si>
  <si>
    <t>846920</t>
  </si>
  <si>
    <t>Typewriters, electric,nes</t>
  </si>
  <si>
    <t>846930</t>
  </si>
  <si>
    <t>Typewriters,non-electric</t>
  </si>
  <si>
    <t>847010</t>
  </si>
  <si>
    <t>Electronic calculators operable with internal power</t>
  </si>
  <si>
    <t>847021</t>
  </si>
  <si>
    <t>Electronic calculators, printing, external power</t>
  </si>
  <si>
    <t>847029</t>
  </si>
  <si>
    <t>Electronic calculators, non-printing, external power</t>
  </si>
  <si>
    <t>847110</t>
  </si>
  <si>
    <t>Analogue or hybrid computers</t>
  </si>
  <si>
    <t>847180</t>
  </si>
  <si>
    <t>Units of auto data proce</t>
  </si>
  <si>
    <t>847190</t>
  </si>
  <si>
    <t>Automatic data processin</t>
  </si>
  <si>
    <t>854389</t>
  </si>
  <si>
    <t>Electrical machines and</t>
  </si>
  <si>
    <t>Desktop PCs (excl. monitors, accessoires)</t>
  </si>
  <si>
    <t>847141</t>
  </si>
  <si>
    <t>Dig auto data proc w/cpu</t>
  </si>
  <si>
    <t>847149</t>
  </si>
  <si>
    <t>Dig auto data proc units</t>
  </si>
  <si>
    <t>847150</t>
  </si>
  <si>
    <t>Digital process units wh</t>
  </si>
  <si>
    <t>Portable digital data pr</t>
  </si>
  <si>
    <t>Printers (f.i. scanners, multifunctionals, faxes)</t>
  </si>
  <si>
    <t>844331</t>
  </si>
  <si>
    <t>Machines which perform two/more of the functions of printing, copying/ facsimile transmission, capable of connecting to an automatic data processing machine/to a network</t>
  </si>
  <si>
    <t>844332</t>
  </si>
  <si>
    <t>Other printers, copying machines &amp; facsimile machines, whether/not combined, exclud the ones which perform two/more of the functions of printing, copying/facsimile transmission; capable of connecting to an automatic data processing machine/ to a network</t>
  </si>
  <si>
    <t>851721</t>
  </si>
  <si>
    <t>Facsimiles machines</t>
  </si>
  <si>
    <t>851722</t>
  </si>
  <si>
    <t>Teleprinters</t>
  </si>
  <si>
    <t>Telecom (f.i. (cordless) phones, answering machines)</t>
  </si>
  <si>
    <t>851711</t>
  </si>
  <si>
    <t>Line telephone sets,cord</t>
  </si>
  <si>
    <t>851718</t>
  </si>
  <si>
    <t>Other telephone sets, incl. telephones for cellular networks/for other wireless networks, other than 8517.11 &amp; 8517.12</t>
  </si>
  <si>
    <t>851719</t>
  </si>
  <si>
    <t>Telephone sets, nes</t>
  </si>
  <si>
    <t>851730</t>
  </si>
  <si>
    <t>Telephonic or telegraphic switching apparatus</t>
  </si>
  <si>
    <t>851750</t>
  </si>
  <si>
    <t>Apparatus for carrier-cu</t>
  </si>
  <si>
    <t>851769</t>
  </si>
  <si>
    <t>Other apparatus for transmission/ reception of voice, images/other data, incl. apparatus for communication in a wired/wireless network (such as a local/wide area network), other than 8517.61 &amp; 8517.62</t>
  </si>
  <si>
    <t>851780</t>
  </si>
  <si>
    <t>Elect apparatus for line</t>
  </si>
  <si>
    <t>852020</t>
  </si>
  <si>
    <t>Telephone answering machines</t>
  </si>
  <si>
    <t>852790</t>
  </si>
  <si>
    <t>Radio reception apparatus nes</t>
  </si>
  <si>
    <t>903040</t>
  </si>
  <si>
    <t>Gain, /distortion and crosstalk meters, etc</t>
  </si>
  <si>
    <t>Telephones for cellular networks/for other wireless networks, other than Line telephone sets with cordless handsets</t>
  </si>
  <si>
    <t>851761</t>
  </si>
  <si>
    <t>Base stations for transmission/ reception of voice, images/other data, incl. apparatus for communication in a wired/wireless network (such as a local/wide area network)</t>
  </si>
  <si>
    <t>851950</t>
  </si>
  <si>
    <t>852520</t>
  </si>
  <si>
    <t>Transmit-receive apparatus for radio, TV, etc.</t>
  </si>
  <si>
    <t>Professional IT (f.i. servers, routers, data storage, copiers)</t>
  </si>
  <si>
    <t>844312</t>
  </si>
  <si>
    <t>Sheet fed, office offset printers, sheet &lt; 22x36 cm</t>
  </si>
  <si>
    <t>844339</t>
  </si>
  <si>
    <t>Other printers, copying machines &amp; facsimile machines, whether/not combined, excl. 8443.31 &amp; 8443.32</t>
  </si>
  <si>
    <t>847040</t>
  </si>
  <si>
    <t>Accounting machines</t>
  </si>
  <si>
    <t>847050</t>
  </si>
  <si>
    <t>Cash registers</t>
  </si>
  <si>
    <t>847090</t>
  </si>
  <si>
    <t>Postage franking, ticket-issuing machines, etc</t>
  </si>
  <si>
    <t>900911</t>
  </si>
  <si>
    <t>Electrostatic photo-copyers, direct process</t>
  </si>
  <si>
    <t>900912</t>
  </si>
  <si>
    <t>Electrostatic photo-copyers, indirect process</t>
  </si>
  <si>
    <t>900921</t>
  </si>
  <si>
    <t>Photo-copying equipment with an optical system, nes</t>
  </si>
  <si>
    <t>900922</t>
  </si>
  <si>
    <t>Contact type photo-copying apparatus,nes</t>
  </si>
  <si>
    <t>900930</t>
  </si>
  <si>
    <t>Thermo-copying apparatus</t>
  </si>
  <si>
    <t>852821</t>
  </si>
  <si>
    <t>Color video monitors</t>
  </si>
  <si>
    <t>852822</t>
  </si>
  <si>
    <t>B &amp; w video monitors</t>
  </si>
  <si>
    <t>852841</t>
  </si>
  <si>
    <t>Cathode-ray tube monitors, of a kind solely/principally used in an automatic data processing system of heading 84.71</t>
  </si>
  <si>
    <t>852849</t>
  </si>
  <si>
    <t>Other cathode-ray tube monitors, not of a kind solely/principally used in an automatic data processing system of heading 84.71</t>
  </si>
  <si>
    <t>852851</t>
  </si>
  <si>
    <t>Other monitors, of a kind solely/ principally used in an automatic data processing system of heading 84.71</t>
  </si>
  <si>
    <t>852859</t>
  </si>
  <si>
    <t>Other monitors, not of a kind solely/ principally used in an automatic data processing system of heading 84.71</t>
  </si>
  <si>
    <t>853120</t>
  </si>
  <si>
    <t>Indicator panels incorporating electronic displays</t>
  </si>
  <si>
    <t>Small Consumer Electronics (f.i. headphones, remote controls)</t>
  </si>
  <si>
    <t>851810</t>
  </si>
  <si>
    <t>Microphones and stands thereof</t>
  </si>
  <si>
    <t>851830</t>
  </si>
  <si>
    <t>Headphones, earphones, combinations</t>
  </si>
  <si>
    <t>Portable Audio &amp; Video (f.i. MP3, e-readers, car navigation)</t>
  </si>
  <si>
    <t>852712</t>
  </si>
  <si>
    <t>Pocket-size radio-casset</t>
  </si>
  <si>
    <t>852713</t>
  </si>
  <si>
    <t>Radio apparatus w/sound</t>
  </si>
  <si>
    <t>852719</t>
  </si>
  <si>
    <t>Radio receivers, portable, non recording</t>
  </si>
  <si>
    <t>852731</t>
  </si>
  <si>
    <t>Radio-telephony receiver, with sound reproduce/record</t>
  </si>
  <si>
    <t>852732</t>
  </si>
  <si>
    <t>Radio-telephony etc receivers, nes</t>
  </si>
  <si>
    <t>852739</t>
  </si>
  <si>
    <t>Radio-broadcast receivers nes</t>
  </si>
  <si>
    <t>852791</t>
  </si>
  <si>
    <t>Other reception apparatus for radio broadcasting, combined with sound recording/reproducing apparatus.</t>
  </si>
  <si>
    <t>852792</t>
  </si>
  <si>
    <t>Other reception apparatus for radio broadcasting, not combined with sound recording/reproducing apparatus but combined with a clock.</t>
  </si>
  <si>
    <t>852799</t>
  </si>
  <si>
    <t>Other reception apparatus for radio broadcasting, excl. 8527.91 &amp; 8527.92</t>
  </si>
  <si>
    <t>Music Instruments, Radio, HiFi (incl. audio sets)</t>
  </si>
  <si>
    <t>847210</t>
  </si>
  <si>
    <t>Office duplicating machines</t>
  </si>
  <si>
    <t>847230</t>
  </si>
  <si>
    <t>Machinery for processing mail of all kinds</t>
  </si>
  <si>
    <t>847290</t>
  </si>
  <si>
    <t>Office machines, nes</t>
  </si>
  <si>
    <t>851762</t>
  </si>
  <si>
    <t>Machines for the reception, conversion &amp; transmission/regeneration of voice, images/other data, incl. switching &amp; routing apparatus</t>
  </si>
  <si>
    <t>851840</t>
  </si>
  <si>
    <t>Audio-frequency electric amplifiers</t>
  </si>
  <si>
    <t>851850</t>
  </si>
  <si>
    <t>Electric sound amplifier sets</t>
  </si>
  <si>
    <t>851910</t>
  </si>
  <si>
    <t>Coin or disc-operated record-players</t>
  </si>
  <si>
    <t>851920</t>
  </si>
  <si>
    <t>Apparatus operated by coins, banknotes, bank cards, tokens/by other means of payment</t>
  </si>
  <si>
    <t>851921</t>
  </si>
  <si>
    <t>Record-players without built-in loudspeaker, nes</t>
  </si>
  <si>
    <t>851929</t>
  </si>
  <si>
    <t>Record-players with loudspeakers, nes</t>
  </si>
  <si>
    <t>851930</t>
  </si>
  <si>
    <t>Turntables (record-decks)</t>
  </si>
  <si>
    <t>851931</t>
  </si>
  <si>
    <t>Turntables with automatic record changing mechanism</t>
  </si>
  <si>
    <t>851939</t>
  </si>
  <si>
    <t>Turntables, without record changers</t>
  </si>
  <si>
    <t>851940</t>
  </si>
  <si>
    <t>Transcribing machines</t>
  </si>
  <si>
    <t>851981</t>
  </si>
  <si>
    <t>Other sound recording/reproducing apparatus, using magnetic, optical/ semiconductor media, other than 8519.20, 8519.30, 8519.50</t>
  </si>
  <si>
    <t>851989</t>
  </si>
  <si>
    <t>Other sound recording/reproducing apparatus, other n.e.s. in Ch. 85.19</t>
  </si>
  <si>
    <t>851992</t>
  </si>
  <si>
    <t>Pocket-size cassette-player</t>
  </si>
  <si>
    <t>851993</t>
  </si>
  <si>
    <t>Sound repr app, cassette</t>
  </si>
  <si>
    <t>851999</t>
  </si>
  <si>
    <t>Sound reproducing apparatus, non recording, nes</t>
  </si>
  <si>
    <t>852010</t>
  </si>
  <si>
    <t>Dictating machine requiring external power source</t>
  </si>
  <si>
    <t>852032</t>
  </si>
  <si>
    <t>Magnetic tape rec digita</t>
  </si>
  <si>
    <t>852033</t>
  </si>
  <si>
    <t>Magnetic tape rec casset</t>
  </si>
  <si>
    <t>852039</t>
  </si>
  <si>
    <t>Non-cassette audio tape recorders, sound reproducing</t>
  </si>
  <si>
    <t>852090</t>
  </si>
  <si>
    <t>Audio recording equipment without sound reproduction</t>
  </si>
  <si>
    <t>852721</t>
  </si>
  <si>
    <t>Radio receivers, external power,sound reproduce/recor</t>
  </si>
  <si>
    <t>852729</t>
  </si>
  <si>
    <t>Radio receivers, external power, not sound reproducer</t>
  </si>
  <si>
    <t>Video (f.i. Video recorders, DVD, Blue Ray, set-top boxes)</t>
  </si>
  <si>
    <t>852110</t>
  </si>
  <si>
    <t>Video recording/reproducing apparatus, magnetic tape</t>
  </si>
  <si>
    <t>852190</t>
  </si>
  <si>
    <t>Video record/reproduction apparatus not magnetic tape</t>
  </si>
  <si>
    <t>852530</t>
  </si>
  <si>
    <t>Television cameras</t>
  </si>
  <si>
    <t>852560</t>
  </si>
  <si>
    <t>Transmission apparatus for radio broadcasting/televison incorporating reception apparatus</t>
  </si>
  <si>
    <t>852830</t>
  </si>
  <si>
    <t>Video projectors</t>
  </si>
  <si>
    <t>852861</t>
  </si>
  <si>
    <t>Projectors, Of a kind solely/principally used in an automatic data processing system of heading 84.71</t>
  </si>
  <si>
    <t>852869</t>
  </si>
  <si>
    <t>Projectors, not of a kind solely/ principally used in an automatic data processing system of heading 84.71</t>
  </si>
  <si>
    <t>852871</t>
  </si>
  <si>
    <t>Reception apparatus for televison, Not designed to incorporate a video display/screen</t>
  </si>
  <si>
    <t>900661</t>
  </si>
  <si>
    <t>Photographic discharge lamp flashlight apparatus</t>
  </si>
  <si>
    <t>900669</t>
  </si>
  <si>
    <t>Photographic flashlight apparatus, nes</t>
  </si>
  <si>
    <t>900711</t>
  </si>
  <si>
    <t>Cinematographic cameras for film &lt;16mm wide</t>
  </si>
  <si>
    <t>900719</t>
  </si>
  <si>
    <t>Cinematographic cameras for film &gt;16mm wide</t>
  </si>
  <si>
    <t>900720</t>
  </si>
  <si>
    <t>Cinematographic projecto</t>
  </si>
  <si>
    <t>900810</t>
  </si>
  <si>
    <t>Slide projectors</t>
  </si>
  <si>
    <t>900830</t>
  </si>
  <si>
    <t>Image projectors, except slide/ microform</t>
  </si>
  <si>
    <t>900840</t>
  </si>
  <si>
    <t>Photographic enlargers and reducers, other than cine</t>
  </si>
  <si>
    <t>901010</t>
  </si>
  <si>
    <t>Equipment for automatic development of photo film</t>
  </si>
  <si>
    <t>901050</t>
  </si>
  <si>
    <t>App &amp; equip for ph labor</t>
  </si>
  <si>
    <t>901060</t>
  </si>
  <si>
    <t>Projection screens</t>
  </si>
  <si>
    <t>903130</t>
  </si>
  <si>
    <t>Profile projectors, nes</t>
  </si>
  <si>
    <t>903149</t>
  </si>
  <si>
    <t>Optical instruments and</t>
  </si>
  <si>
    <t>851821</t>
  </si>
  <si>
    <t>Single loudspeakers, mounted in enclosure</t>
  </si>
  <si>
    <t>851822</t>
  </si>
  <si>
    <t>Multiple loudspeakers, mounted in single enclosure</t>
  </si>
  <si>
    <t>Cameras (f.i. camcorders, foto &amp; digital still cameras)</t>
  </si>
  <si>
    <t>852540</t>
  </si>
  <si>
    <t>Still image video camara</t>
  </si>
  <si>
    <t>852580</t>
  </si>
  <si>
    <t>Television cameras, digital cameras &amp; video camera recorders</t>
  </si>
  <si>
    <t>852812</t>
  </si>
  <si>
    <t>Color television receive</t>
  </si>
  <si>
    <t>852813</t>
  </si>
  <si>
    <t>B &amp; W television receive</t>
  </si>
  <si>
    <t>852873</t>
  </si>
  <si>
    <t>Other reception apparatus for television, whether/not incorporating radio-broadcast receivers/sound/video recording/reproducing apparatus, black &amp; white/other monochrome.</t>
  </si>
  <si>
    <t>852872</t>
  </si>
  <si>
    <t>Other colour reception apparatus for television, whether/not incorporating radio-broadcast receivers/sound/video recording/reproducing apparatus,</t>
  </si>
  <si>
    <t>Lamps (f.i. pocket, christmas, excl. LED &amp; incandescent)</t>
  </si>
  <si>
    <t>851310</t>
  </si>
  <si>
    <t>Portable battery and magneto-electric lamps</t>
  </si>
  <si>
    <t>853941</t>
  </si>
  <si>
    <t>Arc-lamps</t>
  </si>
  <si>
    <t>853949</t>
  </si>
  <si>
    <t>Ultra-violet or infra-red</t>
  </si>
  <si>
    <t>Special Lamps (f.i. professional mercury, high &amp; low pressure sodium)</t>
  </si>
  <si>
    <t>853931</t>
  </si>
  <si>
    <t>Fluorescent lamps, hot cathode</t>
  </si>
  <si>
    <t>853932</t>
  </si>
  <si>
    <t>Mercury or sodium vapour</t>
  </si>
  <si>
    <t>853939</t>
  </si>
  <si>
    <t>Discharge lamps, other than ultra-violet lamps, nes</t>
  </si>
  <si>
    <t>Household Luminaires (incl. household incandescent fittings)</t>
  </si>
  <si>
    <t>851210</t>
  </si>
  <si>
    <t>Lighting/signalling equipment as used on bicycles</t>
  </si>
  <si>
    <t>940510</t>
  </si>
  <si>
    <t>Chandeliers, other electric ceiling or wall lights</t>
  </si>
  <si>
    <t>940520</t>
  </si>
  <si>
    <t>Electric table, desk, bedside and floor lamps</t>
  </si>
  <si>
    <t>940530</t>
  </si>
  <si>
    <t>Lighting sets of a kind used for Christmas trees</t>
  </si>
  <si>
    <t>940540</t>
  </si>
  <si>
    <t>Electric lamps, lighting fittings, nes</t>
  </si>
  <si>
    <t>Household Tools (f.i. drills, saws, high pressure cleaners, lawn mowers)</t>
  </si>
  <si>
    <t>846721</t>
  </si>
  <si>
    <t>Drills of all kinds, for working in the hand, with self-contained elec. mot...</t>
  </si>
  <si>
    <t>846722</t>
  </si>
  <si>
    <t>Saws for working in the hand, with self contained elec. motor</t>
  </si>
  <si>
    <t>846729</t>
  </si>
  <si>
    <t>Tools for working in the hand, with self contained elec. motor (excl. drill ...</t>
  </si>
  <si>
    <t>850810</t>
  </si>
  <si>
    <t>Drills, hand-held, with self-contained electric motor</t>
  </si>
  <si>
    <t>850820</t>
  </si>
  <si>
    <t>Saws, hand-held, with self-contained electric motor</t>
  </si>
  <si>
    <t>850880</t>
  </si>
  <si>
    <t>Tools, hand-held, with electric motor, not drills/saw</t>
  </si>
  <si>
    <t>850920</t>
  </si>
  <si>
    <t>Domestic floor polishers</t>
  </si>
  <si>
    <t>851511</t>
  </si>
  <si>
    <t>Electric soldering irons and guns</t>
  </si>
  <si>
    <t>851519</t>
  </si>
  <si>
    <t>Electric brazing, soldering machines and apparatus ne</t>
  </si>
  <si>
    <t>851521</t>
  </si>
  <si>
    <t>Electric resistance welding equipment, automatic</t>
  </si>
  <si>
    <t>851529</t>
  </si>
  <si>
    <t>Electric resistance welding equipment, non-automatic</t>
  </si>
  <si>
    <t>851531</t>
  </si>
  <si>
    <t>Automatic electric plasma, other arc welding equipmen</t>
  </si>
  <si>
    <t>Professional Tools (f.i. for welding, soldering, milling)</t>
  </si>
  <si>
    <t>843311</t>
  </si>
  <si>
    <t>Mowers, powered, lawn, with horizontal cutting device</t>
  </si>
  <si>
    <t>843319</t>
  </si>
  <si>
    <t>Mowers, powered, lawn, nes</t>
  </si>
  <si>
    <t>Toys (f.i. car racing sets, electric trains, music toys, biking computers)</t>
  </si>
  <si>
    <t>950300</t>
  </si>
  <si>
    <t>Tricycles, scooters, pedal cars &amp; similar wheeled toys; dolls' carriages; dolls; other toys; reduced-size (</t>
  </si>
  <si>
    <t>950310</t>
  </si>
  <si>
    <t>Electric trains, train sets, etc</t>
  </si>
  <si>
    <t>950350</t>
  </si>
  <si>
    <t>Toy musical instruments, apparatus</t>
  </si>
  <si>
    <t>950490</t>
  </si>
  <si>
    <t>Articles for funfair, table and parlour games, nes</t>
  </si>
  <si>
    <t>950410</t>
  </si>
  <si>
    <t>Video games used with a television receiver</t>
  </si>
  <si>
    <t>Leisure (f.i. large exercise, sports equipment)</t>
  </si>
  <si>
    <t>920710</t>
  </si>
  <si>
    <t>Keyboard instruments electrical/ requiring amplifier</t>
  </si>
  <si>
    <t>920790</t>
  </si>
  <si>
    <t>Musical instruments nes, electric/ requiring amplifier</t>
  </si>
  <si>
    <t>Household Medical (f.i. thermometers, blood pressure meters)</t>
  </si>
  <si>
    <t>902140</t>
  </si>
  <si>
    <t>Hearing aids, except parts and accessories</t>
  </si>
  <si>
    <t>Professional Medical (f.i. hospital, dentist, diagnostics)</t>
  </si>
  <si>
    <t>901811</t>
  </si>
  <si>
    <t>Electro-cardiographs</t>
  </si>
  <si>
    <t>Professional Medical (f.i.hospital, dentist, diagnostics)</t>
  </si>
  <si>
    <t>901812</t>
  </si>
  <si>
    <t>Ultrasonic scanning appr</t>
  </si>
  <si>
    <t>901813</t>
  </si>
  <si>
    <t>Magnetic resonance imagi</t>
  </si>
  <si>
    <t>901814</t>
  </si>
  <si>
    <t>Scintigraphic apparatus</t>
  </si>
  <si>
    <t>901819</t>
  </si>
  <si>
    <t>Electro-diagnostic apparatus, nes</t>
  </si>
  <si>
    <t>901841</t>
  </si>
  <si>
    <t>Dental drill engines</t>
  </si>
  <si>
    <t>Household Monitoring &amp; Control (alarm, heat, smoke, excl. screens)</t>
  </si>
  <si>
    <t>853110</t>
  </si>
  <si>
    <t>Burglar or fire alarms and similar apparatus</t>
  </si>
  <si>
    <t>853180</t>
  </si>
  <si>
    <t>Electric sound or visual signalling apparatus, nes</t>
  </si>
  <si>
    <t>854340</t>
  </si>
  <si>
    <t>Electric fence energiser</t>
  </si>
  <si>
    <t>854370</t>
  </si>
  <si>
    <t>Other machines &amp; apparatus for electrical machines &amp; apparatus, other than than machines &amp; apparatus for electroplating/ electrolysis/ electrophoresis/signal generators/ particle accelerators.</t>
  </si>
  <si>
    <t>901730</t>
  </si>
  <si>
    <t>Micrometers, callipers and gauges</t>
  </si>
  <si>
    <t>902410</t>
  </si>
  <si>
    <t>Machines for testing mechanical properties of metals</t>
  </si>
  <si>
    <t>902480</t>
  </si>
  <si>
    <t>Machines for testing mechanical properties nes</t>
  </si>
  <si>
    <t>902519</t>
  </si>
  <si>
    <t>Thermometers, except liquid filled</t>
  </si>
  <si>
    <t>902580</t>
  </si>
  <si>
    <t>Hydrometer, pyrometer, hygrometer, alone or combined</t>
  </si>
  <si>
    <t>902610</t>
  </si>
  <si>
    <t>Equipment to measure or check liquid flow or level</t>
  </si>
  <si>
    <t>902620</t>
  </si>
  <si>
    <t>Equipment to measure or check pressure</t>
  </si>
  <si>
    <t>902680</t>
  </si>
  <si>
    <t>Equipment to measure, check gas/ liquid properties nes</t>
  </si>
  <si>
    <t>902710</t>
  </si>
  <si>
    <t>Gas/smoke analysis apparatus</t>
  </si>
  <si>
    <t>902780</t>
  </si>
  <si>
    <t>Equipment for physical or chemical analysis, nes</t>
  </si>
  <si>
    <t>903020</t>
  </si>
  <si>
    <t>Cathode-ray oscilloscopes, oscillographs</t>
  </si>
  <si>
    <t>903033</t>
  </si>
  <si>
    <t>Other instruments &amp; apparatus, for measuring/checking voltage, current, resistance/power, without a recording device, other than 9030.31 &amp; 9030.32,</t>
  </si>
  <si>
    <t>903039</t>
  </si>
  <si>
    <t>Ammeters, voltmeters, ohm meters, etc, non-recording</t>
  </si>
  <si>
    <t>903089</t>
  </si>
  <si>
    <t>Electrical measurement instruments nes</t>
  </si>
  <si>
    <t>903180</t>
  </si>
  <si>
    <t>Measuring or checking equipment, nes</t>
  </si>
  <si>
    <t>903210</t>
  </si>
  <si>
    <t>Thermostats</t>
  </si>
  <si>
    <t>Professional Monitoring &amp; Control (f.i. laboratory, control panels)</t>
  </si>
  <si>
    <t>901510</t>
  </si>
  <si>
    <t>Rangefinders</t>
  </si>
  <si>
    <t>901520</t>
  </si>
  <si>
    <t>Theodolites and tacheometers</t>
  </si>
  <si>
    <t>901530</t>
  </si>
  <si>
    <t>Surveying levels</t>
  </si>
  <si>
    <t>901540</t>
  </si>
  <si>
    <t>Photogrammetrical surveying instruments, appliances</t>
  </si>
  <si>
    <t>901580</t>
  </si>
  <si>
    <t>Surveying, etc instruments nes</t>
  </si>
  <si>
    <t>Non Cooled Dispensers (f.i. for vending, hot drinks, tickets, money)</t>
  </si>
  <si>
    <t>847629</t>
  </si>
  <si>
    <t>Autom bev-vendng mach ne</t>
  </si>
  <si>
    <t>847689</t>
  </si>
  <si>
    <t>Automatic vending mach n</t>
  </si>
  <si>
    <t>Cooled Dispensers (f.i. for vending, cold drinks)</t>
  </si>
  <si>
    <t>847621</t>
  </si>
  <si>
    <t>Aut bev-vend m heat/refr</t>
  </si>
  <si>
    <t>847681</t>
  </si>
  <si>
    <t>Autom vendng mach h/refr</t>
  </si>
  <si>
    <t>SIC_subclass</t>
  </si>
  <si>
    <t>PRODCOM</t>
  </si>
  <si>
    <t>851629</t>
  </si>
  <si>
    <t>28251333; 28251335; 28251360</t>
  </si>
  <si>
    <t xml:space="preserve">Product name </t>
  </si>
  <si>
    <t xml:space="preserve">Others </t>
  </si>
  <si>
    <t>Basic mobile phone</t>
  </si>
  <si>
    <t>Nokia 5165 (1998)</t>
  </si>
  <si>
    <t>Sanyo SCP 4000 (1999)</t>
  </si>
  <si>
    <t>Product name</t>
  </si>
  <si>
    <t>LG VX 3200 (2004)</t>
  </si>
  <si>
    <t>Battery*</t>
  </si>
  <si>
    <t>Mototrola V276 (2004)</t>
  </si>
  <si>
    <t>LG VX5200 (2005)</t>
  </si>
  <si>
    <t>Motorola RAZR V3c (2005)</t>
  </si>
  <si>
    <t>LG enV VX9100 (2008)</t>
  </si>
  <si>
    <t>LG VX 8360 (2009)</t>
  </si>
  <si>
    <t>LG VN 530 Octane (2010)</t>
  </si>
  <si>
    <t>Blue-ray player</t>
  </si>
  <si>
    <t>Samsung BD P1000 (2006)</t>
  </si>
  <si>
    <t xml:space="preserve">Case </t>
  </si>
  <si>
    <t xml:space="preserve">Disk drive </t>
  </si>
  <si>
    <t>Interior modules</t>
  </si>
  <si>
    <t>Samsung BD P1400 (2007)</t>
  </si>
  <si>
    <t>Toshiba BDK33KU (approx. 2012)</t>
  </si>
  <si>
    <t>CRT monitor</t>
  </si>
  <si>
    <t>CRT monitor (unknown model) (1997)</t>
  </si>
  <si>
    <t>Cabinet</t>
  </si>
  <si>
    <t>Electrolytic capacitors</t>
  </si>
  <si>
    <t>Frame</t>
  </si>
  <si>
    <t>ICs</t>
  </si>
  <si>
    <t>Inductor coils</t>
  </si>
  <si>
    <t xml:space="preserve">monitor cable </t>
  </si>
  <si>
    <t xml:space="preserve">Socket </t>
  </si>
  <si>
    <t>Transformers</t>
  </si>
  <si>
    <t>Data have been presented as aggregate mass for the following sources</t>
  </si>
  <si>
    <r>
      <t>Data source - Socolof et al.</t>
    </r>
    <r>
      <rPr>
        <b/>
        <vertAlign val="superscript"/>
        <sz val="10"/>
        <rFont val="Arial"/>
        <family val="2"/>
      </rPr>
      <t>2</t>
    </r>
  </si>
  <si>
    <t>CRT monitor 17" (unknown model and year)</t>
  </si>
  <si>
    <t>-</t>
  </si>
  <si>
    <r>
      <t>Data source - Lee and Hsi</t>
    </r>
    <r>
      <rPr>
        <b/>
        <vertAlign val="superscript"/>
        <sz val="10"/>
        <rFont val="Arial"/>
        <family val="2"/>
      </rPr>
      <t>3</t>
    </r>
  </si>
  <si>
    <t>CRT 14 " Philips Color monitor (unknown model and year)</t>
  </si>
  <si>
    <r>
      <t>Data source - Huisman</t>
    </r>
    <r>
      <rPr>
        <b/>
        <vertAlign val="superscript"/>
        <sz val="10"/>
        <rFont val="Arial"/>
        <family val="2"/>
      </rPr>
      <t>4</t>
    </r>
    <r>
      <rPr>
        <b/>
        <sz val="10"/>
        <rFont val="Arial"/>
        <family val="2"/>
      </rPr>
      <t xml:space="preserve"> via Huisman et al.</t>
    </r>
    <r>
      <rPr>
        <b/>
        <vertAlign val="superscript"/>
        <sz val="10"/>
        <rFont val="Arial"/>
        <family val="2"/>
      </rPr>
      <t>5</t>
    </r>
  </si>
  <si>
    <t>CRT monitor 17 " (unknown model and year)</t>
  </si>
  <si>
    <r>
      <t>Data source - Huisman et al.</t>
    </r>
    <r>
      <rPr>
        <b/>
        <vertAlign val="superscript"/>
        <sz val="10"/>
        <rFont val="Arial"/>
        <family val="2"/>
      </rPr>
      <t>5</t>
    </r>
  </si>
  <si>
    <t>CRT monitor (unknown model and year)</t>
  </si>
  <si>
    <t>Data have been presented as mass percent composition for the following sources</t>
  </si>
  <si>
    <r>
      <t>Data source - Townsend et al.</t>
    </r>
    <r>
      <rPr>
        <b/>
        <vertAlign val="superscript"/>
        <sz val="10"/>
        <rFont val="Arial"/>
        <family val="2"/>
      </rPr>
      <t>6</t>
    </r>
  </si>
  <si>
    <t xml:space="preserve">CRT monitor </t>
  </si>
  <si>
    <t>Average of 9 different samples ranging from 1990- 98</t>
  </si>
  <si>
    <t>Mass %</t>
  </si>
  <si>
    <t>CRT TV</t>
  </si>
  <si>
    <t>CRT TV 29" (unknown model and year)</t>
  </si>
  <si>
    <t xml:space="preserve">Chasis </t>
  </si>
  <si>
    <t xml:space="preserve">Power supply unit </t>
  </si>
  <si>
    <t>Remote</t>
  </si>
  <si>
    <t>Note:</t>
  </si>
  <si>
    <t>*Other components includes cables, antenna plug, connector, solder, and plastic parts</t>
  </si>
  <si>
    <t xml:space="preserve">*Motherboard is further disintegrated into metals for this product by the authors </t>
  </si>
  <si>
    <t>Data have been presented as aggregate mass for the following source</t>
  </si>
  <si>
    <t>CRT TV (unknown model and year)</t>
  </si>
  <si>
    <t>Data have been presented as mass percent composition for the following source</t>
  </si>
  <si>
    <t xml:space="preserve">CRT TV </t>
  </si>
  <si>
    <t>(Average of 6 samples ranging from 1987-2001)</t>
  </si>
  <si>
    <t>DVD Player</t>
  </si>
  <si>
    <t>RCA DVD/CD player (approx. 2004)</t>
  </si>
  <si>
    <t>Case</t>
  </si>
  <si>
    <t>DVD drive</t>
  </si>
  <si>
    <t xml:space="preserve">*Other components include charging cables </t>
  </si>
  <si>
    <t>Sony SLV D360P (2005)</t>
  </si>
  <si>
    <t xml:space="preserve">*Other components include plastic and metal parts, cassette components, cables and small miscellaneous parts </t>
  </si>
  <si>
    <t>Aspire Digital AD N820B (approx. 2005)</t>
  </si>
  <si>
    <t>*Other components include charging cables and small metal parts</t>
  </si>
  <si>
    <t>Data from literature</t>
  </si>
  <si>
    <r>
      <t>Data source - Tohoku Bureau of ETI via Oguchi et al.</t>
    </r>
    <r>
      <rPr>
        <b/>
        <vertAlign val="superscript"/>
        <sz val="10"/>
        <rFont val="Arial"/>
        <family val="2"/>
      </rPr>
      <t>11</t>
    </r>
  </si>
  <si>
    <t>Others*</t>
  </si>
  <si>
    <t>DVD player (unknown model and year)</t>
  </si>
  <si>
    <t>Average of 6 samples</t>
  </si>
  <si>
    <r>
      <t>Data source - JOGMEC via Oguchi et al.</t>
    </r>
    <r>
      <rPr>
        <b/>
        <vertAlign val="superscript"/>
        <sz val="10"/>
        <rFont val="Arial"/>
        <family val="2"/>
      </rPr>
      <t>11</t>
    </r>
  </si>
  <si>
    <t>DVD player (unkown model and year)</t>
  </si>
  <si>
    <r>
      <t>Data source - Oguchi et al.</t>
    </r>
    <r>
      <rPr>
        <b/>
        <vertAlign val="superscript"/>
        <sz val="10"/>
        <rFont val="Arial"/>
        <family val="2"/>
      </rPr>
      <t>11</t>
    </r>
  </si>
  <si>
    <t>Traditional desktop</t>
  </si>
  <si>
    <t>HP Compaq 6000 (2009)</t>
  </si>
  <si>
    <t xml:space="preserve">Access panel </t>
  </si>
  <si>
    <t xml:space="preserve">Bottom casing </t>
  </si>
  <si>
    <t xml:space="preserve">Front bezel </t>
  </si>
  <si>
    <t xml:space="preserve">Hard drive </t>
  </si>
  <si>
    <t>Motherboard fan</t>
  </si>
  <si>
    <t xml:space="preserve">Motherboard Port </t>
  </si>
  <si>
    <t xml:space="preserve">Power supply </t>
  </si>
  <si>
    <t xml:space="preserve">Power switch </t>
  </si>
  <si>
    <t xml:space="preserve">Rear fan </t>
  </si>
  <si>
    <t>Speaker</t>
  </si>
  <si>
    <r>
      <t>Data source - Hikwama</t>
    </r>
    <r>
      <rPr>
        <b/>
        <vertAlign val="superscript"/>
        <sz val="10"/>
        <rFont val="Arial"/>
        <family val="2"/>
      </rPr>
      <t>1</t>
    </r>
  </si>
  <si>
    <t>Desktop (unkown model and year)</t>
  </si>
  <si>
    <t xml:space="preserve">Disk drive/CD ROM </t>
  </si>
  <si>
    <t xml:space="preserve">Floppy drive </t>
  </si>
  <si>
    <t>Hard disk drive</t>
  </si>
  <si>
    <t>*Other components include cables</t>
  </si>
  <si>
    <r>
      <t>Data source - Teehan and Kandlikar</t>
    </r>
    <r>
      <rPr>
        <b/>
        <vertAlign val="superscript"/>
        <sz val="10"/>
        <rFont val="Arial"/>
        <family val="2"/>
      </rPr>
      <t>9</t>
    </r>
  </si>
  <si>
    <t>Dell Optiplex 780 ultra small form factor (2010)</t>
  </si>
  <si>
    <t>RAM</t>
  </si>
  <si>
    <t xml:space="preserve">Data have been presented as aggregate mass for the following source </t>
  </si>
  <si>
    <r>
      <t>Data source - Streicher Porte et al.</t>
    </r>
    <r>
      <rPr>
        <b/>
        <vertAlign val="superscript"/>
        <sz val="10"/>
        <rFont val="Arial"/>
        <family val="2"/>
      </rPr>
      <t>10</t>
    </r>
  </si>
  <si>
    <t>Desktop (unknown model and year)*</t>
  </si>
  <si>
    <t xml:space="preserve">Note : </t>
  </si>
  <si>
    <t xml:space="preserve">In the original paper, PCB is mentioned as ceramics and fibers </t>
  </si>
  <si>
    <r>
      <t>Data source - Oguchi via Oguchi et al.</t>
    </r>
    <r>
      <rPr>
        <b/>
        <vertAlign val="superscript"/>
        <sz val="10"/>
        <rFont val="Arial"/>
        <family val="2"/>
      </rPr>
      <t>11</t>
    </r>
  </si>
  <si>
    <t>Desktop (unknown model) (1985)</t>
  </si>
  <si>
    <t>Desktop (unknown model) (1989)</t>
  </si>
  <si>
    <t>Desktop (unknown model) (1994)</t>
  </si>
  <si>
    <t>Desktop (unknown model) (2000)</t>
  </si>
  <si>
    <t>Desktop (unknown model) (2001)</t>
  </si>
  <si>
    <t>Desktop (unknown model) (2002)</t>
  </si>
  <si>
    <t>Integrated desktop</t>
  </si>
  <si>
    <t>HP Touchsmart 20" 310-1125f (2011)</t>
  </si>
  <si>
    <t xml:space="preserve">Vertical support </t>
  </si>
  <si>
    <t>Digital camcorder</t>
  </si>
  <si>
    <t>Others *</t>
  </si>
  <si>
    <t>Sony Handycam CCD-TR940 (1998)</t>
  </si>
  <si>
    <t>Cassette Side</t>
  </si>
  <si>
    <t>Eyepiece</t>
  </si>
  <si>
    <t>Lens</t>
  </si>
  <si>
    <t>Settings features</t>
  </si>
  <si>
    <t xml:space="preserve">*Others component include screws and small fasteners                             </t>
  </si>
  <si>
    <t xml:space="preserve">Data from literature </t>
  </si>
  <si>
    <t>Data have been represented as mass percent composition for the following sources</t>
  </si>
  <si>
    <r>
      <t>Data source - Tohoku Bureau of ETI via Oguchi et al.</t>
    </r>
    <r>
      <rPr>
        <b/>
        <vertAlign val="superscript"/>
        <sz val="10"/>
        <color rgb="FF000000"/>
        <rFont val="Arial"/>
        <family val="2"/>
      </rPr>
      <t>11</t>
    </r>
  </si>
  <si>
    <t>Digital camcoder (unknown model and year)</t>
  </si>
  <si>
    <t>Average of 2 samples</t>
  </si>
  <si>
    <r>
      <t>Data source - JOGMEC via Oguchi et al.</t>
    </r>
    <r>
      <rPr>
        <b/>
        <vertAlign val="superscript"/>
        <sz val="10"/>
        <color rgb="FF000000"/>
        <rFont val="Arial"/>
        <family val="2"/>
      </rPr>
      <t>11</t>
    </r>
  </si>
  <si>
    <t>Digital camcorder (unknown model and year)</t>
  </si>
  <si>
    <t>UNU-KEY</t>
  </si>
  <si>
    <t>1995</t>
  </si>
  <si>
    <t>2000</t>
  </si>
  <si>
    <t>2005</t>
  </si>
  <si>
    <t>34,7</t>
  </si>
  <si>
    <t>32,3</t>
  </si>
  <si>
    <t>30,9</t>
  </si>
  <si>
    <t>28,1</t>
  </si>
  <si>
    <t>12,0</t>
  </si>
  <si>
    <t>20,0</t>
  </si>
  <si>
    <t>59,9</t>
  </si>
  <si>
    <t>57,0</t>
  </si>
  <si>
    <t>52,7</t>
  </si>
  <si>
    <t>49,5</t>
  </si>
  <si>
    <t>50,0</t>
  </si>
  <si>
    <t>48,9</t>
  </si>
  <si>
    <t>76,8</t>
  </si>
  <si>
    <t>45,5</t>
  </si>
  <si>
    <t>43,3</t>
  </si>
  <si>
    <t>42,7</t>
  </si>
  <si>
    <t>47,3</t>
  </si>
  <si>
    <t>47,8</t>
  </si>
  <si>
    <t>45,4</t>
  </si>
  <si>
    <t>47,7</t>
  </si>
  <si>
    <t>45,9</t>
  </si>
  <si>
    <t>010</t>
  </si>
  <si>
    <t>0107</t>
  </si>
  <si>
    <t>40,2</t>
  </si>
  <si>
    <t>47,0</t>
  </si>
  <si>
    <t>52,3</t>
  </si>
  <si>
    <t>55,0</t>
  </si>
  <si>
    <t>55,2</t>
  </si>
  <si>
    <t>54,1</t>
  </si>
  <si>
    <t>50,6</t>
  </si>
  <si>
    <t>44,1</t>
  </si>
  <si>
    <t>43,9</t>
  </si>
  <si>
    <t>33,4</t>
  </si>
  <si>
    <t>26,6</t>
  </si>
  <si>
    <t>25,2</t>
  </si>
  <si>
    <t>46,2</t>
  </si>
  <si>
    <t>42,5</t>
  </si>
  <si>
    <t>41,2</t>
  </si>
  <si>
    <t>41,0</t>
  </si>
  <si>
    <t>38,8</t>
  </si>
  <si>
    <t>162,3</t>
  </si>
  <si>
    <t>99,0</t>
  </si>
  <si>
    <t>109,0</t>
  </si>
  <si>
    <t>90,2</t>
  </si>
  <si>
    <t>92,8</t>
  </si>
  <si>
    <t>90,5</t>
  </si>
  <si>
    <t>17,6</t>
  </si>
  <si>
    <t>19,2</t>
  </si>
  <si>
    <t>20,6</t>
  </si>
  <si>
    <t>22,9</t>
  </si>
  <si>
    <t>22,2</t>
  </si>
  <si>
    <t>0,8</t>
  </si>
  <si>
    <t>0,9</t>
  </si>
  <si>
    <t>3,1</t>
  </si>
  <si>
    <t>5,0</t>
  </si>
  <si>
    <t>4,5</t>
  </si>
  <si>
    <t>3,0</t>
  </si>
  <si>
    <t>2,7</t>
  </si>
  <si>
    <t>2,6</t>
  </si>
  <si>
    <t>1,8</t>
  </si>
  <si>
    <t>1,3</t>
  </si>
  <si>
    <t>2,8</t>
  </si>
  <si>
    <t>2,9</t>
  </si>
  <si>
    <t>7,8</t>
  </si>
  <si>
    <t>8,3</t>
  </si>
  <si>
    <t>9,1</t>
  </si>
  <si>
    <t>10,3</t>
  </si>
  <si>
    <t>10,0</t>
  </si>
  <si>
    <t>0,6</t>
  </si>
  <si>
    <t>0,5</t>
  </si>
  <si>
    <t>0,4</t>
  </si>
  <si>
    <t>0,2</t>
  </si>
  <si>
    <t>0,1</t>
  </si>
  <si>
    <t>40,0</t>
  </si>
  <si>
    <t>22,8</t>
  </si>
  <si>
    <t>17,9</t>
  </si>
  <si>
    <t>19,4</t>
  </si>
  <si>
    <t>22,0</t>
  </si>
  <si>
    <t>13,0</t>
  </si>
  <si>
    <t>5,6</t>
  </si>
  <si>
    <t>5,3</t>
  </si>
  <si>
    <t>5,5</t>
  </si>
  <si>
    <t>5,4</t>
  </si>
  <si>
    <t>0,3</t>
  </si>
  <si>
    <t>3,3</t>
  </si>
  <si>
    <t>2,3</t>
  </si>
  <si>
    <t>3,4</t>
  </si>
  <si>
    <t>3,5</t>
  </si>
  <si>
    <t>4,9</t>
  </si>
  <si>
    <t>4,2</t>
  </si>
  <si>
    <t>4,0</t>
  </si>
  <si>
    <t>2,4</t>
  </si>
  <si>
    <t>2,1</t>
  </si>
  <si>
    <t>UNU DESCRIPTION</t>
  </si>
  <si>
    <t>104</t>
  </si>
  <si>
    <t>Washing Machines</t>
  </si>
  <si>
    <t>Household Heating</t>
  </si>
  <si>
    <t>Small Household Items</t>
  </si>
  <si>
    <t>Food Preparation</t>
  </si>
  <si>
    <t>Hot Water Preparation</t>
  </si>
  <si>
    <t>Vacuum Cleaners</t>
  </si>
  <si>
    <t>Personal Care</t>
  </si>
  <si>
    <t>IT Equipment</t>
  </si>
  <si>
    <t>Desktop PCs</t>
  </si>
  <si>
    <t>Laptops &amp; Tablets</t>
  </si>
  <si>
    <t>Mobile Phones</t>
  </si>
  <si>
    <t>CRT Monitors</t>
  </si>
  <si>
    <t>Flat Screen Monitors</t>
  </si>
  <si>
    <t>Consumer Electronics</t>
  </si>
  <si>
    <t>Portable Audio</t>
  </si>
  <si>
    <t>Music Instruments</t>
  </si>
  <si>
    <t>Video &amp; DVD</t>
  </si>
  <si>
    <t>CRT TVs</t>
  </si>
  <si>
    <t>Flat Screen TVs</t>
  </si>
  <si>
    <t>Lighting</t>
  </si>
  <si>
    <t>Compact Fluorescent</t>
  </si>
  <si>
    <t>Straight Tube Lamps</t>
  </si>
  <si>
    <t>Special Lamps</t>
  </si>
  <si>
    <t>LED Lamps</t>
  </si>
  <si>
    <t>Household Luminaires</t>
  </si>
  <si>
    <t>Household Monitoring</t>
  </si>
  <si>
    <r>
      <t>Table 8.1: Estimated territorial greenhouse gas emissions, by thousand tonnes carbon dioxide equivalent (ktCO</t>
    </r>
    <r>
      <rPr>
        <b/>
        <vertAlign val="subscript"/>
        <sz val="15"/>
        <rFont val="Arial"/>
        <family val="2"/>
      </rPr>
      <t>2</t>
    </r>
    <r>
      <rPr>
        <b/>
        <sz val="15"/>
        <rFont val="Arial"/>
        <family val="2"/>
      </rPr>
      <t>e), by industry section and group, UK 1990-2020</t>
    </r>
  </si>
  <si>
    <t>This worksheet contains two tables. Some cells in both tables are blank.</t>
  </si>
  <si>
    <t>Freeze panes are active on this sheet. To turn off freeze panes select the 'View' ribbon then 'Freeze Panes' then 'Unfreeze Panes' or use [Alt W, F].</t>
  </si>
  <si>
    <t>Coverage: United Kingdom</t>
  </si>
  <si>
    <t>Section</t>
  </si>
  <si>
    <t>SIC(07) group</t>
  </si>
  <si>
    <t>Section name</t>
  </si>
  <si>
    <t>1990</t>
  </si>
  <si>
    <t>1991</t>
  </si>
  <si>
    <t>1992</t>
  </si>
  <si>
    <t>1993</t>
  </si>
  <si>
    <t>1994</t>
  </si>
  <si>
    <t>1996</t>
  </si>
  <si>
    <t>1997</t>
  </si>
  <si>
    <t>1998</t>
  </si>
  <si>
    <t>1999</t>
  </si>
  <si>
    <t>2001</t>
  </si>
  <si>
    <t>2002</t>
  </si>
  <si>
    <t>2003</t>
  </si>
  <si>
    <t>2004</t>
  </si>
  <si>
    <t>2006</t>
  </si>
  <si>
    <t>2007</t>
  </si>
  <si>
    <t>A</t>
  </si>
  <si>
    <t>1 - 3</t>
  </si>
  <si>
    <t>Agriculture, forestry and fishing</t>
  </si>
  <si>
    <t>B</t>
  </si>
  <si>
    <t>5 - 9</t>
  </si>
  <si>
    <t>Mining and quarrying</t>
  </si>
  <si>
    <t>C</t>
  </si>
  <si>
    <t>10 - 33</t>
  </si>
  <si>
    <t>Manufacturing</t>
  </si>
  <si>
    <t>D</t>
  </si>
  <si>
    <t>35</t>
  </si>
  <si>
    <t>Electricity, gas, steam and air conditioning supply</t>
  </si>
  <si>
    <t>E</t>
  </si>
  <si>
    <t>36 - 39</t>
  </si>
  <si>
    <t>Water supply; sewerage, waste management and remediation activities</t>
  </si>
  <si>
    <t>F</t>
  </si>
  <si>
    <t>41 - 43</t>
  </si>
  <si>
    <t>Construction</t>
  </si>
  <si>
    <t>G</t>
  </si>
  <si>
    <t>45 - 47</t>
  </si>
  <si>
    <t>Wholesale and retail trade; repair of motor vehicles and motorcycles</t>
  </si>
  <si>
    <t>H</t>
  </si>
  <si>
    <t>49 - 53</t>
  </si>
  <si>
    <t>Transport and storage</t>
  </si>
  <si>
    <t>I</t>
  </si>
  <si>
    <t>55 - 56</t>
  </si>
  <si>
    <t>Accommodation and food services</t>
  </si>
  <si>
    <t>J</t>
  </si>
  <si>
    <t>58 - 63</t>
  </si>
  <si>
    <t>Information and communication</t>
  </si>
  <si>
    <t>K</t>
  </si>
  <si>
    <t>64 - 66</t>
  </si>
  <si>
    <t>Financial and insurance activities</t>
  </si>
  <si>
    <t>L</t>
  </si>
  <si>
    <t>68</t>
  </si>
  <si>
    <t>Real estate activities</t>
  </si>
  <si>
    <t>M</t>
  </si>
  <si>
    <t>69 - 75</t>
  </si>
  <si>
    <t>Professional, scientific and technical activities</t>
  </si>
  <si>
    <t>N</t>
  </si>
  <si>
    <t>77 - 82</t>
  </si>
  <si>
    <t>Administrative and support service activities</t>
  </si>
  <si>
    <t>O</t>
  </si>
  <si>
    <t>84</t>
  </si>
  <si>
    <t>Public administration and defence; compulsory social security</t>
  </si>
  <si>
    <t>P</t>
  </si>
  <si>
    <t>85</t>
  </si>
  <si>
    <t>Education</t>
  </si>
  <si>
    <t>Q</t>
  </si>
  <si>
    <t>86 - 88</t>
  </si>
  <si>
    <t>Human health and social work activities</t>
  </si>
  <si>
    <t>R</t>
  </si>
  <si>
    <t>90 - 93</t>
  </si>
  <si>
    <t>Arts, entertainment and recreation</t>
  </si>
  <si>
    <t>S</t>
  </si>
  <si>
    <t>94 - 96</t>
  </si>
  <si>
    <t>Other service activities</t>
  </si>
  <si>
    <t>T</t>
  </si>
  <si>
    <t>97</t>
  </si>
  <si>
    <t>Activities of households as employers; undifferentiated goods and services-producing activities of households for own use</t>
  </si>
  <si>
    <t>100 - 101</t>
  </si>
  <si>
    <t>Consumer expenditure</t>
  </si>
  <si>
    <t>Land use, land use change and forestry (LULUCF)</t>
  </si>
  <si>
    <t>Total greenhouse gas emissions</t>
  </si>
  <si>
    <t>Group name</t>
  </si>
  <si>
    <t>Products of agriculture, hunting and related services</t>
  </si>
  <si>
    <t>Products of forestry, logging and related services</t>
  </si>
  <si>
    <t>Fish and other fishing products; aquaculture products; support services to fishing</t>
  </si>
  <si>
    <t>Mining of coal and lignite</t>
  </si>
  <si>
    <t>Crude petroleum and natural gas</t>
  </si>
  <si>
    <t>Mining of metal ores</t>
  </si>
  <si>
    <t>Other mining and quarrying products</t>
  </si>
  <si>
    <t>Mining support services</t>
  </si>
  <si>
    <t>10.2-3</t>
  </si>
  <si>
    <t>Processing and preserving of fish, crustaceans, molluscs, fruit and vegetables</t>
  </si>
  <si>
    <t>Manufacture of dairy products</t>
  </si>
  <si>
    <t>Manufacture of other food products</t>
  </si>
  <si>
    <t>11.01-06</t>
  </si>
  <si>
    <t>Manufacture of alcoholic beverages, including spirits, wine, cider, beer and malt</t>
  </si>
  <si>
    <t>Manufacture of soft drinks: production of mineral waters and other bottled waters</t>
  </si>
  <si>
    <t>Tobacco products</t>
  </si>
  <si>
    <t>Wearing apparel</t>
  </si>
  <si>
    <t>Leather and related products</t>
  </si>
  <si>
    <t>Wood and of products of wood and cork, except furniture; articles of straw and plaiting materials</t>
  </si>
  <si>
    <t>Paper and paper products</t>
  </si>
  <si>
    <t>Printing and recording services</t>
  </si>
  <si>
    <t>Manufacture of coke oven products</t>
  </si>
  <si>
    <t>20.11 + 20.13</t>
  </si>
  <si>
    <t>Manufacture of industrial gases and non-nitrogen-based inorganic chemicals</t>
  </si>
  <si>
    <t>20.15 /1</t>
  </si>
  <si>
    <t>Fertilisers</t>
  </si>
  <si>
    <t>20.15 /2</t>
  </si>
  <si>
    <t>Other nitrogen compounds</t>
  </si>
  <si>
    <t>20.14+20.16+20.17+20.6</t>
  </si>
  <si>
    <t>Manufacture of petrochemicals</t>
  </si>
  <si>
    <t>20.12+20.2</t>
  </si>
  <si>
    <t>Manufacture of dyestuffs, agro-chemicals</t>
  </si>
  <si>
    <t>Manufacture of paints, varnishes &amp; ink</t>
  </si>
  <si>
    <t>Manufacture of cleaning &amp; toilet preparations</t>
  </si>
  <si>
    <t>Manufacture of other chemical products &amp; man-made fibres</t>
  </si>
  <si>
    <t>Basic pharmaceutical products and pharmaceutical preparations</t>
  </si>
  <si>
    <t>Rubber products</t>
  </si>
  <si>
    <t>Plastics products</t>
  </si>
  <si>
    <t>23.1-4 &amp; 23.7-9</t>
  </si>
  <si>
    <t>Manufacture of glass, refractory, clay, other porcelain and ceramic products, Stone, &amp; abrasive products</t>
  </si>
  <si>
    <t>Manufacture of cement</t>
  </si>
  <si>
    <t>23.52 /1</t>
  </si>
  <si>
    <t>Manufacture of lime</t>
  </si>
  <si>
    <t>23.52 /2</t>
  </si>
  <si>
    <t>Manufacture of plaster</t>
  </si>
  <si>
    <t>24.1-3</t>
  </si>
  <si>
    <t>Manufacture of basic Iron &amp; Steel</t>
  </si>
  <si>
    <t>24.4-5 (not 24.42 nor 24.46)</t>
  </si>
  <si>
    <t>Manufacture of other basic metals &amp; casting (excl. Nuclear fuel &amp; Aluminium)</t>
  </si>
  <si>
    <t>Aluminium production</t>
  </si>
  <si>
    <t>Processing of nuclear fuel</t>
  </si>
  <si>
    <t>25.1-3+25.5-9</t>
  </si>
  <si>
    <t>Fabricated metal products, except machinery and equipment, excluding weapons and ammunition</t>
  </si>
  <si>
    <t>Manufacture of weapons and ammunition</t>
  </si>
  <si>
    <t>Computer, electronic, communication and optical products</t>
  </si>
  <si>
    <t>Electrical equipment</t>
  </si>
  <si>
    <t>Machinery and equipment n.e.c.</t>
  </si>
  <si>
    <t>Motor vehicles, trailers and semi-trailers</t>
  </si>
  <si>
    <t>Building of ships and boats</t>
  </si>
  <si>
    <t>30.2+4+9</t>
  </si>
  <si>
    <t>Manufacture of other transport equipment, excluding ships, boats, air and spacecraft</t>
  </si>
  <si>
    <t>Other manufactured goods</t>
  </si>
  <si>
    <t>Repair &amp; maintenance of ships</t>
  </si>
  <si>
    <t>Repair &amp; maintenance of aircraft &amp; spacecraft</t>
  </si>
  <si>
    <t>33 (not 33.15-16)</t>
  </si>
  <si>
    <t>Rest of repair; Installation</t>
  </si>
  <si>
    <t>35.1/1</t>
  </si>
  <si>
    <t>Electricity production - gas</t>
  </si>
  <si>
    <t>35.1/2</t>
  </si>
  <si>
    <t>Electricity production - coal</t>
  </si>
  <si>
    <t>35.1/3</t>
  </si>
  <si>
    <t>Electricity production - nuclear</t>
  </si>
  <si>
    <t>35.1/4</t>
  </si>
  <si>
    <t>Electricity production - oil</t>
  </si>
  <si>
    <t>35.1/5</t>
  </si>
  <si>
    <t>Electricity production - other</t>
  </si>
  <si>
    <t>35.2-3</t>
  </si>
  <si>
    <t>Manufacture of gas; distribution of gaseous fuels through mains and steam and air conditioning supply</t>
  </si>
  <si>
    <t>Natural water; water treatment and supply services</t>
  </si>
  <si>
    <t>Sewerage services; sewage sludge</t>
  </si>
  <si>
    <t>Waste collection, treatment and disposal services; materials recovery services</t>
  </si>
  <si>
    <t>Remediation services and other waste management services</t>
  </si>
  <si>
    <t>Buildings and building construction works</t>
  </si>
  <si>
    <t>Constructions and construction works for civil engineering</t>
  </si>
  <si>
    <t>Specialised construction works</t>
  </si>
  <si>
    <t>Wholesale and retail trade and repair services of motor vehicles and motorcycles</t>
  </si>
  <si>
    <t>Wholesale trade services, except of motor vehicles and motorcycles</t>
  </si>
  <si>
    <t>Retail trade services, except of motor vehicles and motorcycles</t>
  </si>
  <si>
    <t>49.1-2</t>
  </si>
  <si>
    <t>Rail transport</t>
  </si>
  <si>
    <t>49.31/9 + 49.39</t>
  </si>
  <si>
    <t>Buses, coaches, trams and similar public urban transport n.e.c.</t>
  </si>
  <si>
    <t>49.31/1</t>
  </si>
  <si>
    <t>Underground, metro other non interurban rail services</t>
  </si>
  <si>
    <t>Taxis and other renting of private cars with driver</t>
  </si>
  <si>
    <t>Freight transport by road and removal services</t>
  </si>
  <si>
    <t>Transport via pipeline</t>
  </si>
  <si>
    <t>Water transport services</t>
  </si>
  <si>
    <t>Air transport services</t>
  </si>
  <si>
    <t>Warehousing and support services for transportation</t>
  </si>
  <si>
    <t>Postal and courier services</t>
  </si>
  <si>
    <t>Accommodation services</t>
  </si>
  <si>
    <t>Food and beverage serving services</t>
  </si>
  <si>
    <t>Publishing services</t>
  </si>
  <si>
    <t>Motion picture, video and television programme production services, sound recording and music publishing</t>
  </si>
  <si>
    <t>Programming and broadcasting services</t>
  </si>
  <si>
    <t>Telecommunications services</t>
  </si>
  <si>
    <t>Computer programming, consultancy and related services</t>
  </si>
  <si>
    <t>Information services</t>
  </si>
  <si>
    <t>Financial services, except insurance and pension funding</t>
  </si>
  <si>
    <t>65.1-2</t>
  </si>
  <si>
    <t>Insurance &amp; Reinsurance</t>
  </si>
  <si>
    <t>Pension funding</t>
  </si>
  <si>
    <t>Services auxiliary to financial services and insurance services</t>
  </si>
  <si>
    <t>68.1-2</t>
  </si>
  <si>
    <t>Buying and selling of own real estate: renting and operating of own or leased real estate, excluding imputed rent</t>
  </si>
  <si>
    <t>Real estate activities on a fee or contract basis</t>
  </si>
  <si>
    <t>Legal activities</t>
  </si>
  <si>
    <t>Accounting, bookkeeping and auditing activities: tax consultancy</t>
  </si>
  <si>
    <t>Services of head offices; management consulting services</t>
  </si>
  <si>
    <t>Architectural and engineering services; technical testing and analysis services</t>
  </si>
  <si>
    <t>Scientific research and development services</t>
  </si>
  <si>
    <t>Advertising and market research services</t>
  </si>
  <si>
    <t>Other professional, scientific and technical services</t>
  </si>
  <si>
    <t>Veterinary services</t>
  </si>
  <si>
    <t>Rental and leasing services</t>
  </si>
  <si>
    <t>Employment services</t>
  </si>
  <si>
    <t>Travel agency, tour operator and other reservation services and related services</t>
  </si>
  <si>
    <t>Security and investigation services</t>
  </si>
  <si>
    <t>Services to buildings and landscape</t>
  </si>
  <si>
    <t>Office administrative, office support and other business support services</t>
  </si>
  <si>
    <t>84 (not 84.22)</t>
  </si>
  <si>
    <t>Public administration; compulsory social security services</t>
  </si>
  <si>
    <t>Public defence services</t>
  </si>
  <si>
    <t>Education services</t>
  </si>
  <si>
    <t>Human health services</t>
  </si>
  <si>
    <t>Residential care services</t>
  </si>
  <si>
    <t>Social work services without accommodation</t>
  </si>
  <si>
    <t>Creative, arts and entertainment services</t>
  </si>
  <si>
    <t>Library, archive, museum and other cultural services</t>
  </si>
  <si>
    <t>Gambling and betting services</t>
  </si>
  <si>
    <t>Sporting services and amusement and recreation services</t>
  </si>
  <si>
    <t>Services furnished by membership organisations</t>
  </si>
  <si>
    <t>Repair services of computers and personal and household goods</t>
  </si>
  <si>
    <t>Other personal services</t>
  </si>
  <si>
    <t>Services of households as employers of domestic personnel</t>
  </si>
  <si>
    <t>Consumer expenditure - not travel</t>
  </si>
  <si>
    <t>Consumer expenditure - travel</t>
  </si>
  <si>
    <t>0301b (HDDs)</t>
  </si>
  <si>
    <t>0205b (Shavers)</t>
  </si>
  <si>
    <t>0303a (Laptop)</t>
  </si>
  <si>
    <t>0303b (Tablet)</t>
  </si>
  <si>
    <t>0401 (small consumer electronics)</t>
  </si>
  <si>
    <t>0401b (headphones)</t>
  </si>
  <si>
    <t>0802b (MRIs)</t>
  </si>
  <si>
    <t>Snowmobiles, golf cart etc</t>
  </si>
  <si>
    <t>Electric bikes</t>
  </si>
  <si>
    <t>Industrial machines &amp; motors</t>
  </si>
  <si>
    <t>Industrial pumps</t>
  </si>
  <si>
    <t>Lifting and conveying machines</t>
  </si>
  <si>
    <t>Shaping machines</t>
  </si>
  <si>
    <t>Wind turbine, offshore</t>
  </si>
  <si>
    <t>Wind turbine, onshore</t>
  </si>
  <si>
    <t>Industrial robots</t>
  </si>
  <si>
    <t>FCC Catalysts</t>
  </si>
  <si>
    <t>2023 paper</t>
  </si>
  <si>
    <t>Collated</t>
  </si>
  <si>
    <t>UNU_Key_4</t>
  </si>
  <si>
    <t>UNU_Key_Description</t>
  </si>
  <si>
    <t>HS_Description</t>
  </si>
  <si>
    <t>A UNU key is made up of a collection of trade and production codes, in some cases these are also partial codes at a more detailed level e.g. single product. For the most part, the boundaries of trade and production codes are the same but this is not always the case.</t>
  </si>
  <si>
    <t>ID</t>
  </si>
  <si>
    <t>Product category</t>
  </si>
  <si>
    <t>Notes</t>
  </si>
  <si>
    <t>Home/office appliance that adjusts ambient air quality.</t>
  </si>
  <si>
    <t>e.g. mobile phone charger, portable battery.</t>
  </si>
  <si>
    <t>e.g. bike lights, fairy lights, Christmas lights.</t>
  </si>
  <si>
    <t>e.g. tower, mini tower, midi tower, desktop.</t>
  </si>
  <si>
    <t>e.g. smaller electronic cameras.</t>
  </si>
  <si>
    <t>e.g. larger electronic cameras.</t>
  </si>
  <si>
    <t>e.g. cooling fan, fan heater.</t>
  </si>
  <si>
    <t>TVs and monitors.</t>
  </si>
  <si>
    <t>e.g. hair straightener, toothbrush, shaver.</t>
  </si>
  <si>
    <t>e.g. iPod, Walkman, Gameboy.</t>
  </si>
  <si>
    <t>e.g. over-ear, earpods.</t>
  </si>
  <si>
    <t>e.g. “Boombox”, stereo.</t>
  </si>
  <si>
    <t>e.g. amplifier, speaker, turntable.</t>
  </si>
  <si>
    <t>Kitchen appliance for boiling water.</t>
  </si>
  <si>
    <t>e.g. desk lamp, floor lamp.</t>
  </si>
  <si>
    <t>Portable computer.</t>
  </si>
  <si>
    <t>e.g lawnmower, fitness machine.</t>
  </si>
  <si>
    <t>Any electronic device that does not fit in another category.</t>
  </si>
  <si>
    <t>Any hand-held smartphone or other telecommunications device.</t>
  </si>
  <si>
    <t>Any powered instrument e.g. keyboard, guitar.</t>
  </si>
  <si>
    <t>Home/office appliance for shredding documents.</t>
  </si>
  <si>
    <t>e.g. mouse, keyboard, webcam.</t>
  </si>
  <si>
    <t>e.g. radio alarm, transistor radio.</t>
  </si>
  <si>
    <t>Any powered DIY or gardening tool, e.g. leaf blower, drill.</t>
  </si>
  <si>
    <t>Any inkjet, laserjet, scanner, copier or combination appliance.</t>
  </si>
  <si>
    <t>e.g. slide projector, video projector, digital projector.</t>
  </si>
  <si>
    <t>Home appliance for stitching fabric.</t>
  </si>
  <si>
    <t>e.g. baby monitor, doorbell, multimeter.</t>
  </si>
  <si>
    <t>e.g. breadmaker, rice cooker, popcorn machine.</t>
  </si>
  <si>
    <t>e.g. Kindle, Fire, satnav.</t>
  </si>
  <si>
    <t>Kitchen appliance for browning baked goods.</t>
  </si>
  <si>
    <t>Any mains or battery powered toy.</t>
  </si>
  <si>
    <t>e.g. set-top box, DVD player, games controller.</t>
  </si>
  <si>
    <t>Home appliance for sucking dust and dirt.</t>
  </si>
  <si>
    <t>Any electronic time-keeping or fitness monitoring device.</t>
  </si>
  <si>
    <t>e.g. Nespresso, electronic filter or espresso machine.</t>
  </si>
  <si>
    <t>e.g. multi processor, blender, juicer, coffee grinder, stick blender, hand mixer.</t>
  </si>
  <si>
    <t>e.g. Playstation, XBox. Note that a small console may be classified as a “Hand-held entertainment device”.</t>
  </si>
  <si>
    <t>Appliance for hair drying and styling with warm air.</t>
  </si>
  <si>
    <t>e.g. clothes iron, steam iron.</t>
  </si>
  <si>
    <t>Guidelines followed for calculating flows and stocks</t>
  </si>
  <si>
    <t>Method</t>
  </si>
  <si>
    <t>https://www.itu.int/en/ITU-D/Climate-Change/Documents/2018/EWaste_Guidelines_final.pdf</t>
  </si>
  <si>
    <t xml:space="preserve">UNU54-UK14 </t>
  </si>
  <si>
    <t>EEE Category - UK</t>
  </si>
  <si>
    <t>Dry-cleaning machines for made-up textile articles</t>
  </si>
  <si>
    <t>Ironing machines and presses, incl. fusing presses (excl. calenders)</t>
  </si>
  <si>
    <t>HS_Code_8</t>
  </si>
  <si>
    <t>84511000</t>
  </si>
  <si>
    <t>84513000</t>
  </si>
  <si>
    <t>Dishwashing machines of the household type</t>
  </si>
  <si>
    <t>Dishwashing machines (excl. those of the household type)</t>
  </si>
  <si>
    <t>84221100</t>
  </si>
  <si>
    <t>84221900</t>
  </si>
  <si>
    <t>Electric cookers incorporating at least an oven and a hob, for domestic use</t>
  </si>
  <si>
    <t>Electric cooking plates, boiling rings and hobs, for domestic use</t>
  </si>
  <si>
    <t>Electric grillers and roasters, for domestic use</t>
  </si>
  <si>
    <t>Electric ovens for building in, for domestic use</t>
  </si>
  <si>
    <t>Electric ovens, for domestic use (excl. space-heating stoves, electric cookers incorporating at least an oven and a hob, microwave ovens and electric ovens for building in)</t>
  </si>
  <si>
    <t>Fully-automatic household or laundry-type front-loading washing machines, of a dry linen capacity &lt;= 6 kg</t>
  </si>
  <si>
    <t>Fully-automatic household or laundry-type top-loading washing machines, of a dry linen capacity &lt;= 6 kg</t>
  </si>
  <si>
    <t>Fully-automatic household or laundry-type washing machines, of a dry linen capacity &gt; 6 kg but &lt;= 10 kg</t>
  </si>
  <si>
    <t>Household or laundry-type washing machines, with built-in centrifugal drier (excl. fully-automatic machines)</t>
  </si>
  <si>
    <t>Household or laundry-type washing machines, of a dry linen capacity &lt;= 6 kg (excl. fully-automatic machines and washing machines with built-in centrifugal drier)</t>
  </si>
  <si>
    <t>Laundry-type washing machines, of a dry linen capacity &gt; 10 kg</t>
  </si>
  <si>
    <t>Centrifugal clothes-dryers</t>
  </si>
  <si>
    <t>Drying machines, of a dry linen capacity &lt;= 10 kg (excl. centrifugal driers)</t>
  </si>
  <si>
    <t>Drying machines for textile yarns, fabrics or made-up textile articles (excl. machines of a dry linen capacity &lt;= 10 kg and centrifugal driers)</t>
  </si>
  <si>
    <t>Hoods incorporating a fan, whether or not fitted with filters, having a maximum horizontal side &lt;= 120 cm</t>
  </si>
  <si>
    <t>Electric storage heating radiators, for space-heating</t>
  </si>
  <si>
    <t>Liquid filled electric radiators, for space-heating and soil-heating</t>
  </si>
  <si>
    <t>Electric convection heaters, for space-heating and soil-heating</t>
  </si>
  <si>
    <t>Combined refrigerator-freezers, of a capacity &gt; 340 l, fitted with separate external doors or drawers or combinations thereof</t>
  </si>
  <si>
    <t>Combined refrigerator-freezers, of a capacity &lt;= 340 l, fitted with separate external doors or drawers or combinations thereof</t>
  </si>
  <si>
    <t>Household refrigerators, compression-type, of a capacity &gt; 340 l</t>
  </si>
  <si>
    <t>Household refrigerators, compression-type, table model</t>
  </si>
  <si>
    <t>Household refrigerators, compression-type, building-in type</t>
  </si>
  <si>
    <t>Household refrigerators compression-type, of a capacity &lt;= 250 l (excl. table models and building-in types)</t>
  </si>
  <si>
    <t>Household refrigerators, compression-type, of a capacity &gt; 250 l but &lt;= 340 l (excl. table models and building-in types)</t>
  </si>
  <si>
    <t>Household refrigerators, absorption-type</t>
  </si>
  <si>
    <t>Freezers of the chest type, of a capacity &lt;= 400 l</t>
  </si>
  <si>
    <t>Freezers of the chest type, of a capacity &gt; 400 l but &lt;= 800 l</t>
  </si>
  <si>
    <t>Freezers of the upright type, of a capacity &lt;= 250 l</t>
  </si>
  <si>
    <t>Freezers of the upright type, of a capacity &gt; 250 l but &lt;= 900 l</t>
  </si>
  <si>
    <t>Identifier_SIC_Division</t>
  </si>
  <si>
    <t>Identifier_SIC_Group</t>
  </si>
  <si>
    <t>Identifier_NACE_SIC_class</t>
  </si>
  <si>
    <t>Identifier_SIC_(sub)class</t>
  </si>
  <si>
    <t>Identifier_CPA2</t>
  </si>
  <si>
    <t>Identifier_SITC</t>
  </si>
  <si>
    <t>Identifier_HS6</t>
  </si>
  <si>
    <t>Identifier_CN8</t>
  </si>
  <si>
    <t>EWC</t>
  </si>
  <si>
    <t>Uses_per_year</t>
  </si>
  <si>
    <t>Treatment_reuse</t>
  </si>
  <si>
    <t>Treatment_refurbishment</t>
  </si>
  <si>
    <t>Treatment_remanufacture</t>
  </si>
  <si>
    <t>Treatment_recycling</t>
  </si>
  <si>
    <t>Treatment_AD</t>
  </si>
  <si>
    <t>Treatment_Composting</t>
  </si>
  <si>
    <t>Treatment_EfW</t>
  </si>
  <si>
    <t>Treatment_landfill</t>
  </si>
  <si>
    <t>Treatment_export</t>
  </si>
  <si>
    <t>Price_upper</t>
  </si>
  <si>
    <t>Price_lower</t>
  </si>
  <si>
    <t>Price_average</t>
  </si>
  <si>
    <t>Price_repair</t>
  </si>
  <si>
    <t>Price_2nd_hand</t>
  </si>
  <si>
    <t>Source_lifespan</t>
  </si>
  <si>
    <t>Source_lifespan_URL</t>
  </si>
  <si>
    <t>Source_lifespan_yearest</t>
  </si>
  <si>
    <t>852852</t>
  </si>
  <si>
    <t>27511300</t>
  </si>
  <si>
    <t>84501</t>
  </si>
  <si>
    <t>27512430</t>
  </si>
  <si>
    <t>841671</t>
  </si>
  <si>
    <t>2825</t>
  </si>
  <si>
    <t>282513</t>
  </si>
  <si>
    <t>141411; 141413; 141421; 141423</t>
  </si>
  <si>
    <t>14141100; 14141310; 14142100; 14142300</t>
  </si>
  <si>
    <t>6105; 6106; 6205; 6206</t>
  </si>
  <si>
    <t>28251380</t>
  </si>
  <si>
    <t>8471</t>
  </si>
  <si>
    <t>85312020</t>
  </si>
  <si>
    <t>2620</t>
  </si>
  <si>
    <t>262011</t>
  </si>
  <si>
    <t>2751</t>
  </si>
  <si>
    <t>275111</t>
  </si>
  <si>
    <t>27511133</t>
  </si>
  <si>
    <t>2630</t>
  </si>
  <si>
    <t>26301</t>
  </si>
  <si>
    <t>263022</t>
  </si>
  <si>
    <t>262013</t>
  </si>
  <si>
    <t>262016</t>
  </si>
  <si>
    <t>26201610</t>
  </si>
  <si>
    <t>84431</t>
  </si>
  <si>
    <t>264011</t>
  </si>
  <si>
    <t>26401100</t>
  </si>
  <si>
    <t>2640</t>
  </si>
  <si>
    <t>264033</t>
  </si>
  <si>
    <t>26403300</t>
  </si>
  <si>
    <t>85258</t>
  </si>
  <si>
    <t>26201300</t>
  </si>
  <si>
    <t>264042</t>
  </si>
  <si>
    <t>26404270</t>
  </si>
  <si>
    <t>275121</t>
  </si>
  <si>
    <t>27512170</t>
  </si>
  <si>
    <t>2670</t>
  </si>
  <si>
    <t>267013</t>
  </si>
  <si>
    <t>26701300</t>
  </si>
  <si>
    <t>274022</t>
  </si>
  <si>
    <t>27402200</t>
  </si>
  <si>
    <t>94052</t>
  </si>
  <si>
    <t>27512123/25</t>
  </si>
  <si>
    <t>8508</t>
  </si>
  <si>
    <t>275123</t>
  </si>
  <si>
    <t>27512310</t>
  </si>
  <si>
    <t>27512370</t>
  </si>
  <si>
    <t>275124</t>
  </si>
  <si>
    <t>27512450</t>
  </si>
  <si>
    <t>275128</t>
  </si>
  <si>
    <t>27512810</t>
  </si>
  <si>
    <t>282512</t>
  </si>
  <si>
    <t>28251220</t>
  </si>
  <si>
    <t>84151090</t>
  </si>
  <si>
    <t>847960</t>
  </si>
  <si>
    <t>84801590</t>
  </si>
  <si>
    <t>8414</t>
  </si>
  <si>
    <t>2829</t>
  </si>
  <si>
    <t>282950</t>
  </si>
  <si>
    <t>28295000</t>
  </si>
  <si>
    <t>842219</t>
  </si>
  <si>
    <t>Car</t>
  </si>
  <si>
    <t>Oguchi and Fuse (2014)</t>
  </si>
  <si>
    <t>https://pubs.acs.org/doi/abs/10.1021/es505245q</t>
  </si>
  <si>
    <t>Held et al. Lifespans of passenger cars in Europe:
empirical modelling of fleet turnover
dynamics</t>
  </si>
  <si>
    <t>Capital good</t>
  </si>
  <si>
    <t>1,0</t>
  </si>
  <si>
    <t>27,8</t>
  </si>
  <si>
    <t>28,8</t>
  </si>
  <si>
    <t>28,4</t>
  </si>
  <si>
    <t>14,7</t>
  </si>
  <si>
    <t>14,3</t>
  </si>
  <si>
    <t>0,08</t>
  </si>
  <si>
    <t>16,7</t>
  </si>
  <si>
    <t>15,9</t>
  </si>
  <si>
    <t>15,2</t>
  </si>
  <si>
    <t>14,4</t>
  </si>
  <si>
    <t>2,0</t>
  </si>
  <si>
    <t>1,9</t>
  </si>
  <si>
    <t>52,0</t>
  </si>
  <si>
    <t>67,1</t>
  </si>
  <si>
    <t>8,5</t>
  </si>
  <si>
    <t>6,2</t>
  </si>
  <si>
    <t>51,0</t>
  </si>
  <si>
    <t>46,4</t>
  </si>
  <si>
    <t>44,0</t>
  </si>
  <si>
    <t>43,2</t>
  </si>
  <si>
    <t>166,0</t>
  </si>
  <si>
    <t>93,8</t>
  </si>
  <si>
    <t>92,2</t>
  </si>
  <si>
    <t>90,6</t>
  </si>
  <si>
    <t>Donation or re-use (kton/yr)</t>
  </si>
  <si>
    <t>General bin</t>
  </si>
  <si>
    <t>Recycling</t>
  </si>
  <si>
    <t>Sold</t>
  </si>
  <si>
    <t>Take back scheme</t>
  </si>
  <si>
    <t>Unknown</t>
  </si>
  <si>
    <t>Absolute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</si>
</sst>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_(* \(#,##0.00\);_(* &quot;-&quot;??_);_(@_)"/>
    <numFmt numFmtId="164" formatCode="0.00000%"/>
    <numFmt numFmtId="165" formatCode="_(* #,##0_);_(* \(#,##0\);_(* &quot;-&quot;??_);_(@_)"/>
    <numFmt numFmtId="166" formatCode="0.000"/>
    <numFmt numFmtId="167" formatCode="#,##0.0"/>
    <numFmt numFmtId="168" formatCode="0.0"/>
    <numFmt numFmtId="169" formatCode="[&gt;=0.5]#,##0;[=0]0,;&quot;[low]&quot;"/>
    <numFmt numFmtId="170" formatCode="_(* #,##0.0_);_(* \(#,##0.0\);_(* &quot;-&quot;??_);_(@_)"/>
    <numFmt numFmtId="171" formatCode="###,###,##0"/>
    <numFmt numFmtId="172" formatCode="_-* #,##0_-;\-* #,##0_-;_-* &quot;-&quot;??_-;_-@_-"/>
    <numFmt numFmtId="173" formatCode="0.00000"/>
    <numFmt numFmtId="174" formatCode="_-* #,##0.00_-;\-* #,##0.00_-;_-* &quot;-&quot;??_-;_-@_-"/>
    <numFmt numFmtId="175" formatCode="??0.0?????"/>
    <numFmt numFmtId="176" formatCode="#,##0.000"/>
    <numFmt numFmtId="177" formatCode="0.0%"/>
    <numFmt numFmtId="178" formatCode=";;\-\-"/>
    <numFmt numFmtId="179" formatCode="&quot; &quot;#,##0.00&quot; &quot;;&quot;-&quot;#,##0.00&quot; &quot;;&quot; -&quot;00&quot; &quot;;&quot; &quot;@&quot; &quot;"/>
    <numFmt numFmtId="180" formatCode="0.0000"/>
    <numFmt numFmtId="181" formatCode="00000000"/>
  </numFmts>
  <fonts count="70">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u/>
      <sz val="12"/>
      <color theme="10"/>
      <name val="Calibri"/>
      <family val="2"/>
      <scheme val="minor"/>
    </font>
    <font>
      <sz val="12"/>
      <color theme="1"/>
      <name val="Calibri"/>
      <family val="2"/>
      <scheme val="minor"/>
    </font>
    <font>
      <sz val="11"/>
      <color theme="1"/>
      <name val="Calibri"/>
      <family val="2"/>
      <scheme val="minor"/>
    </font>
    <font>
      <sz val="10"/>
      <name val="Arial"/>
      <family val="2"/>
    </font>
    <font>
      <sz val="10"/>
      <color theme="1"/>
      <name val="Arial"/>
      <family val="2"/>
    </font>
    <font>
      <b/>
      <sz val="10"/>
      <name val="Arial"/>
      <family val="2"/>
    </font>
    <font>
      <sz val="10"/>
      <color indexed="8"/>
      <name val="Arial, Helvetica, sans-serif"/>
    </font>
    <font>
      <b/>
      <sz val="11"/>
      <color rgb="FF000000"/>
      <name val="Lucida Grande"/>
      <family val="2"/>
    </font>
    <font>
      <sz val="11"/>
      <color rgb="FF000000"/>
      <name val="Lucida Grande"/>
      <family val="2"/>
    </font>
    <font>
      <sz val="8"/>
      <name val="Calibri"/>
      <family val="2"/>
      <scheme val="minor"/>
    </font>
    <font>
      <sz val="10"/>
      <color rgb="FF000000"/>
      <name val="Tahoma"/>
      <family val="2"/>
    </font>
    <font>
      <b/>
      <sz val="10"/>
      <color rgb="FF000000"/>
      <name val="Tahoma"/>
      <family val="2"/>
    </font>
    <font>
      <sz val="10"/>
      <color rgb="FF000000"/>
      <name val="Arial"/>
      <family val="2"/>
    </font>
    <font>
      <b/>
      <sz val="11"/>
      <color rgb="FF000000"/>
      <name val="Calibri"/>
      <family val="2"/>
      <charset val="1"/>
      <scheme val="minor"/>
    </font>
    <font>
      <sz val="11"/>
      <color rgb="FF000000"/>
      <name val="Calibri"/>
      <family val="2"/>
      <charset val="1"/>
      <scheme val="minor"/>
    </font>
    <font>
      <b/>
      <sz val="10"/>
      <color theme="1"/>
      <name val="Arial"/>
      <family val="2"/>
    </font>
    <font>
      <b/>
      <sz val="16"/>
      <color rgb="FFFF0000"/>
      <name val="Calibri"/>
      <family val="2"/>
      <scheme val="minor"/>
    </font>
    <font>
      <sz val="12"/>
      <color theme="1"/>
      <name val="Helvetica"/>
      <family val="2"/>
    </font>
    <font>
      <b/>
      <sz val="12"/>
      <color theme="1"/>
      <name val="Helvetica"/>
      <family val="2"/>
    </font>
    <font>
      <b/>
      <sz val="10"/>
      <name val="Calibri"/>
      <family val="2"/>
    </font>
    <font>
      <sz val="10"/>
      <name val="Calibri"/>
      <family val="2"/>
    </font>
    <font>
      <b/>
      <sz val="10"/>
      <color rgb="FF000000"/>
      <name val="Helvetica Neue"/>
      <family val="2"/>
    </font>
    <font>
      <sz val="10"/>
      <color rgb="FF000000"/>
      <name val="Helvetica Neue"/>
      <family val="2"/>
    </font>
    <font>
      <sz val="10"/>
      <color rgb="FF000000"/>
      <name val="Apple Color Emoji"/>
    </font>
    <font>
      <i/>
      <sz val="12"/>
      <color theme="1"/>
      <name val="Calibri"/>
      <family val="2"/>
      <scheme val="minor"/>
    </font>
    <font>
      <sz val="10"/>
      <color rgb="FF000000"/>
      <name val="Calibri"/>
      <family val="2"/>
    </font>
    <font>
      <sz val="10"/>
      <color theme="1"/>
      <name val="Arial, Helvetica, sans-serif"/>
    </font>
    <font>
      <b/>
      <sz val="12"/>
      <color rgb="FF000000"/>
      <name val="Arial"/>
      <family val="2"/>
    </font>
    <font>
      <sz val="12"/>
      <color rgb="FF000000"/>
      <name val="Arial"/>
      <family val="2"/>
    </font>
    <font>
      <sz val="12"/>
      <name val="Arial"/>
      <family val="2"/>
    </font>
    <font>
      <sz val="12"/>
      <color theme="1"/>
      <name val="Arial"/>
      <family val="2"/>
    </font>
    <font>
      <b/>
      <sz val="12"/>
      <name val="Arial"/>
      <family val="2"/>
    </font>
    <font>
      <b/>
      <sz val="14"/>
      <color theme="1"/>
      <name val="Calibri"/>
      <family val="2"/>
      <scheme val="minor"/>
    </font>
    <font>
      <sz val="12"/>
      <color rgb="FF232629"/>
      <name val="STIXGeneral-Italic"/>
    </font>
    <font>
      <sz val="12"/>
      <color rgb="FF111111"/>
      <name val="Calibri"/>
      <family val="2"/>
      <scheme val="minor"/>
    </font>
    <font>
      <sz val="11"/>
      <color rgb="FF212529"/>
      <name val="Helvetica Neue"/>
      <family val="2"/>
    </font>
    <font>
      <b/>
      <sz val="10"/>
      <color rgb="FF000000"/>
      <name val="Arial"/>
      <family val="2"/>
    </font>
    <font>
      <sz val="11"/>
      <color rgb="FF002060"/>
      <name val="Calibri"/>
      <family val="2"/>
      <scheme val="minor"/>
    </font>
    <font>
      <vertAlign val="subscript"/>
      <sz val="11"/>
      <color indexed="56"/>
      <name val="Calibri"/>
      <family val="2"/>
    </font>
    <font>
      <sz val="11"/>
      <color indexed="56"/>
      <name val="Calibri"/>
      <family val="2"/>
    </font>
    <font>
      <b/>
      <sz val="8"/>
      <name val="Tahoma"/>
      <family val="2"/>
    </font>
    <font>
      <b/>
      <sz val="8"/>
      <color rgb="FF000000"/>
      <name val="Tahoma"/>
      <family val="2"/>
    </font>
    <font>
      <b/>
      <sz val="11"/>
      <color rgb="FF002060"/>
      <name val="Calibri"/>
      <family val="2"/>
      <scheme val="minor"/>
    </font>
    <font>
      <b/>
      <vertAlign val="subscript"/>
      <sz val="11"/>
      <color indexed="56"/>
      <name val="Calibri"/>
      <family val="2"/>
    </font>
    <font>
      <b/>
      <sz val="11"/>
      <color indexed="56"/>
      <name val="Calibri"/>
      <family val="2"/>
    </font>
    <font>
      <b/>
      <sz val="11"/>
      <color rgb="FF053D5F"/>
      <name val="Calibri"/>
      <family val="2"/>
      <scheme val="minor"/>
    </font>
    <font>
      <b/>
      <sz val="11"/>
      <color rgb="FFFF0000"/>
      <name val="Calibri"/>
      <family val="2"/>
      <charset val="1"/>
      <scheme val="minor"/>
    </font>
    <font>
      <b/>
      <sz val="11"/>
      <color rgb="FFFF0000"/>
      <name val="Calibri"/>
      <family val="2"/>
      <scheme val="minor"/>
    </font>
    <font>
      <sz val="16"/>
      <color rgb="FF212529"/>
      <name val="Arial"/>
      <family val="2"/>
    </font>
    <font>
      <b/>
      <sz val="12"/>
      <color rgb="FFFF0000"/>
      <name val="Calibri"/>
      <family val="2"/>
      <scheme val="minor"/>
    </font>
    <font>
      <b/>
      <sz val="20"/>
      <color theme="9"/>
      <name val="Calibri"/>
      <family val="2"/>
      <scheme val="minor"/>
    </font>
    <font>
      <b/>
      <sz val="16"/>
      <color theme="9"/>
      <name val="Calibri"/>
      <family val="2"/>
      <scheme val="minor"/>
    </font>
    <font>
      <b/>
      <sz val="11"/>
      <color theme="1"/>
      <name val="Calibri"/>
      <family val="2"/>
      <scheme val="minor"/>
    </font>
    <font>
      <sz val="10"/>
      <color rgb="FF000000"/>
      <name val="Times New Roman"/>
      <family val="1"/>
    </font>
    <font>
      <vertAlign val="superscript"/>
      <sz val="6"/>
      <color rgb="FF000000"/>
      <name val="Arial"/>
      <family val="2"/>
    </font>
    <font>
      <b/>
      <sz val="15"/>
      <color theme="3"/>
      <name val="Calibri"/>
      <family val="2"/>
      <scheme val="minor"/>
    </font>
    <font>
      <b/>
      <vertAlign val="superscript"/>
      <sz val="10"/>
      <name val="Arial"/>
      <family val="2"/>
    </font>
    <font>
      <b/>
      <vertAlign val="superscript"/>
      <sz val="10"/>
      <color rgb="FF000000"/>
      <name val="Arial"/>
      <family val="2"/>
    </font>
    <font>
      <b/>
      <sz val="15"/>
      <name val="Arial"/>
      <family val="2"/>
    </font>
    <font>
      <b/>
      <vertAlign val="subscript"/>
      <sz val="15"/>
      <name val="Arial"/>
      <family val="2"/>
    </font>
    <font>
      <sz val="11"/>
      <name val="Arial"/>
      <family val="2"/>
    </font>
    <font>
      <b/>
      <sz val="11"/>
      <name val="Arial"/>
      <family val="2"/>
    </font>
    <font>
      <b/>
      <sz val="11"/>
      <name val="Calibri"/>
      <family val="2"/>
      <scheme val="minor"/>
    </font>
    <font>
      <b/>
      <i/>
      <sz val="14"/>
      <color theme="1"/>
      <name val="Helvetica Neue"/>
      <family val="2"/>
    </font>
    <font>
      <sz val="14"/>
      <color theme="1"/>
      <name val="Helvetica Neue"/>
      <family val="2"/>
    </font>
    <font>
      <sz val="9"/>
      <color theme="1"/>
      <name val="HelveticaNeue"/>
    </font>
  </fonts>
  <fills count="24">
    <fill>
      <patternFill patternType="none"/>
    </fill>
    <fill>
      <patternFill patternType="gray125"/>
    </fill>
    <fill>
      <patternFill patternType="solid">
        <fgColor theme="0" tint="-0.14999847407452621"/>
        <bgColor theme="0" tint="-0.14999847407452621"/>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E6DA"/>
        <bgColor indexed="64"/>
      </patternFill>
    </fill>
    <fill>
      <patternFill patternType="solid">
        <fgColor rgb="FFFFE6DA"/>
        <bgColor theme="0" tint="-0.14999847407452621"/>
      </patternFill>
    </fill>
    <fill>
      <patternFill patternType="solid">
        <fgColor theme="9" tint="0.79998168889431442"/>
        <bgColor theme="0" tint="-0.14999847407452621"/>
      </patternFill>
    </fill>
    <fill>
      <patternFill patternType="solid">
        <fgColor theme="9" tint="0.59999389629810485"/>
        <bgColor indexed="64"/>
      </patternFill>
    </fill>
    <fill>
      <patternFill patternType="solid">
        <fgColor theme="9" tint="0.59999389629810485"/>
        <bgColor theme="0" tint="-0.14999847407452621"/>
      </patternFill>
    </fill>
    <fill>
      <patternFill patternType="solid">
        <fgColor theme="3" tint="0.79998168889431442"/>
        <bgColor indexed="64"/>
      </patternFill>
    </fill>
    <fill>
      <patternFill patternType="solid">
        <fgColor theme="3" tint="0.79998168889431442"/>
        <bgColor theme="0" tint="-0.14999847407452621"/>
      </patternFill>
    </fill>
    <fill>
      <patternFill patternType="solid">
        <fgColor rgb="FFF3F3F3"/>
        <bgColor rgb="FFF3F3F3"/>
      </patternFill>
    </fill>
    <fill>
      <patternFill patternType="solid">
        <fgColor rgb="FFD9D9D9"/>
        <bgColor indexed="64"/>
      </patternFill>
    </fill>
    <fill>
      <patternFill patternType="solid">
        <fgColor theme="0"/>
        <bgColor indexed="64"/>
      </patternFill>
    </fill>
    <fill>
      <patternFill patternType="solid">
        <fgColor theme="2" tint="-9.9978637043366805E-2"/>
        <bgColor indexed="64"/>
      </patternFill>
    </fill>
    <fill>
      <patternFill patternType="lightGray">
        <bgColor theme="0"/>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FFFFFF"/>
        <bgColor rgb="FFFFFFFF"/>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theme="0" tint="-0.14999847407452621"/>
      </patternFill>
    </fill>
    <fill>
      <patternFill patternType="solid">
        <fgColor theme="7" tint="0.79998168889431442"/>
        <bgColor theme="0" tint="-0.14999847407452621"/>
      </patternFill>
    </fill>
  </fills>
  <borders count="69">
    <border>
      <left/>
      <right/>
      <top/>
      <bottom/>
      <diagonal/>
    </border>
    <border>
      <left/>
      <right/>
      <top/>
      <bottom style="thin">
        <color theme="1"/>
      </bottom>
      <diagonal/>
    </border>
    <border>
      <left style="thin">
        <color indexed="64"/>
      </left>
      <right style="thin">
        <color indexed="64"/>
      </right>
      <top style="thin">
        <color indexed="64"/>
      </top>
      <bottom style="thin">
        <color indexed="64"/>
      </bottom>
      <diagonal/>
    </border>
    <border>
      <left/>
      <right/>
      <top style="thin">
        <color theme="1"/>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right/>
      <top/>
      <bottom style="thin">
        <color rgb="FF00000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hair">
        <color indexed="64"/>
      </left>
      <right/>
      <top style="hair">
        <color indexed="64"/>
      </top>
      <bottom style="hair">
        <color indexed="64"/>
      </bottom>
      <diagonal/>
    </border>
    <border>
      <left/>
      <right/>
      <top style="thin">
        <color indexed="64"/>
      </top>
      <bottom style="double">
        <color indexed="64"/>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top/>
      <bottom style="thin">
        <color indexed="64"/>
      </bottom>
      <diagonal/>
    </border>
    <border>
      <left/>
      <right/>
      <top style="thin">
        <color indexed="64"/>
      </top>
      <bottom style="thin">
        <color indexed="64"/>
      </bottom>
      <diagonal/>
    </border>
    <border>
      <left/>
      <right style="thin">
        <color rgb="FF000000"/>
      </right>
      <top/>
      <bottom/>
      <diagonal/>
    </border>
    <border>
      <left/>
      <right style="thin">
        <color indexed="64"/>
      </right>
      <top/>
      <bottom/>
      <diagonal/>
    </border>
    <border>
      <left/>
      <right style="thin">
        <color rgb="FF000000"/>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right/>
      <top/>
      <bottom style="double">
        <color indexed="64"/>
      </bottom>
      <diagonal/>
    </border>
    <border>
      <left/>
      <right style="medium">
        <color indexed="64"/>
      </right>
      <top style="hair">
        <color indexed="64"/>
      </top>
      <bottom style="hair">
        <color indexed="64"/>
      </bottom>
      <diagonal/>
    </border>
    <border>
      <left/>
      <right style="medium">
        <color indexed="64"/>
      </right>
      <top/>
      <bottom/>
      <diagonal/>
    </border>
    <border>
      <left/>
      <right style="medium">
        <color indexed="64"/>
      </right>
      <top style="hair">
        <color indexed="64"/>
      </top>
      <bottom style="medium">
        <color indexed="64"/>
      </bottom>
      <diagonal/>
    </border>
    <border>
      <left style="medium">
        <color indexed="64"/>
      </left>
      <right/>
      <top/>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thin">
        <color indexed="64"/>
      </bottom>
      <diagonal/>
    </border>
    <border>
      <left style="thin">
        <color rgb="FF053D5F"/>
      </left>
      <right style="thin">
        <color rgb="FF053D5F"/>
      </right>
      <top style="thin">
        <color rgb="FF053D5F"/>
      </top>
      <bottom style="thin">
        <color rgb="FF053D5F"/>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thick">
        <color theme="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9847407452621"/>
      </right>
      <top style="thin">
        <color theme="0" tint="-0.14999847407452621"/>
      </top>
      <bottom style="thin">
        <color theme="0" tint="-0.14999847407452621"/>
      </bottom>
      <diagonal/>
    </border>
    <border>
      <left/>
      <right/>
      <top style="thin">
        <color rgb="FF000000"/>
      </top>
      <bottom/>
      <diagonal/>
    </border>
    <border>
      <left/>
      <right/>
      <top style="medium">
        <color rgb="FF000000"/>
      </top>
      <bottom/>
      <diagonal/>
    </border>
    <border>
      <left/>
      <right/>
      <top style="thin">
        <color theme="4" tint="0.39997558519241921"/>
      </top>
      <bottom/>
      <diagonal/>
    </border>
    <border>
      <left style="thin">
        <color indexed="64"/>
      </left>
      <right style="thin">
        <color indexed="64"/>
      </right>
      <top/>
      <bottom/>
      <diagonal/>
    </border>
    <border>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s>
  <cellStyleXfs count="14">
    <xf numFmtId="0" fontId="0" fillId="0" borderId="0"/>
    <xf numFmtId="0" fontId="4" fillId="0" borderId="0" applyNumberForma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6" fillId="0" borderId="0"/>
    <xf numFmtId="0" fontId="16" fillId="0" borderId="0" applyNumberFormat="0" applyFont="0" applyBorder="0" applyProtection="0"/>
    <xf numFmtId="174" fontId="7" fillId="0" borderId="0" applyFont="0" applyFill="0" applyBorder="0" applyAlignment="0" applyProtection="0"/>
    <xf numFmtId="0" fontId="16" fillId="0" borderId="0" applyNumberFormat="0" applyBorder="0" applyProtection="0"/>
    <xf numFmtId="0" fontId="57" fillId="0" borderId="0" applyNumberFormat="0" applyBorder="0" applyProtection="0"/>
    <xf numFmtId="0" fontId="59" fillId="0" borderId="60" applyNumberFormat="0" applyFill="0" applyAlignment="0" applyProtection="0"/>
    <xf numFmtId="0" fontId="6" fillId="0" borderId="0"/>
    <xf numFmtId="0" fontId="8" fillId="0" borderId="0"/>
    <xf numFmtId="0" fontId="32" fillId="0" borderId="0" applyNumberFormat="0" applyBorder="0" applyProtection="0"/>
    <xf numFmtId="0" fontId="16" fillId="0" borderId="0" applyNumberFormat="0" applyFont="0" applyBorder="0" applyProtection="0"/>
  </cellStyleXfs>
  <cellXfs count="631">
    <xf numFmtId="0" fontId="0" fillId="0" borderId="0" xfId="0"/>
    <xf numFmtId="0" fontId="1" fillId="0" borderId="0" xfId="0" applyFont="1"/>
    <xf numFmtId="0" fontId="3" fillId="0" borderId="0" xfId="0" applyFont="1"/>
    <xf numFmtId="0" fontId="3" fillId="2" borderId="0" xfId="0" applyFont="1" applyFill="1"/>
    <xf numFmtId="0" fontId="2" fillId="0" borderId="1" xfId="0" applyFont="1" applyBorder="1"/>
    <xf numFmtId="9" fontId="0" fillId="0" borderId="0" xfId="2" applyFont="1"/>
    <xf numFmtId="9" fontId="0" fillId="0" borderId="0" xfId="0" applyNumberFormat="1"/>
    <xf numFmtId="0" fontId="1" fillId="0" borderId="2" xfId="0" applyFont="1" applyBorder="1"/>
    <xf numFmtId="0" fontId="0" fillId="0" borderId="2" xfId="0" applyBorder="1"/>
    <xf numFmtId="9" fontId="0" fillId="0" borderId="2" xfId="2" applyFont="1" applyBorder="1"/>
    <xf numFmtId="0" fontId="0" fillId="2" borderId="0" xfId="0" applyFill="1"/>
    <xf numFmtId="0" fontId="0" fillId="2" borderId="1" xfId="0" applyFill="1" applyBorder="1"/>
    <xf numFmtId="0" fontId="6" fillId="0" borderId="0" xfId="0" applyFont="1"/>
    <xf numFmtId="10" fontId="0" fillId="0" borderId="0" xfId="0" applyNumberFormat="1"/>
    <xf numFmtId="0" fontId="1" fillId="0" borderId="3" xfId="0" applyFont="1" applyBorder="1"/>
    <xf numFmtId="0" fontId="2" fillId="0" borderId="3" xfId="0" applyFont="1" applyBorder="1"/>
    <xf numFmtId="0" fontId="0" fillId="2" borderId="3" xfId="0" applyFill="1" applyBorder="1"/>
    <xf numFmtId="0" fontId="3" fillId="2" borderId="3" xfId="0" applyFont="1" applyFill="1" applyBorder="1"/>
    <xf numFmtId="0" fontId="4" fillId="2" borderId="3" xfId="1" applyFill="1" applyBorder="1"/>
    <xf numFmtId="0" fontId="4" fillId="0" borderId="0" xfId="1"/>
    <xf numFmtId="0" fontId="4" fillId="2" borderId="0" xfId="1" applyFill="1"/>
    <xf numFmtId="43" fontId="0" fillId="0" borderId="0" xfId="0" applyNumberFormat="1"/>
    <xf numFmtId="164" fontId="0" fillId="0" borderId="0" xfId="2" applyNumberFormat="1" applyFont="1"/>
    <xf numFmtId="0" fontId="3" fillId="6" borderId="6" xfId="0" applyFont="1" applyFill="1" applyBorder="1"/>
    <xf numFmtId="49" fontId="3" fillId="6" borderId="6" xfId="0" applyNumberFormat="1" applyFont="1" applyFill="1" applyBorder="1"/>
    <xf numFmtId="0" fontId="3" fillId="5" borderId="6" xfId="0" applyFont="1" applyFill="1" applyBorder="1"/>
    <xf numFmtId="49" fontId="3" fillId="5" borderId="6" xfId="0" applyNumberFormat="1" applyFont="1" applyFill="1" applyBorder="1"/>
    <xf numFmtId="49" fontId="0" fillId="5" borderId="6" xfId="0" applyNumberFormat="1" applyFill="1" applyBorder="1"/>
    <xf numFmtId="49" fontId="3" fillId="5" borderId="6" xfId="0" applyNumberFormat="1" applyFont="1" applyFill="1" applyBorder="1" applyAlignment="1">
      <alignment horizontal="left"/>
    </xf>
    <xf numFmtId="0" fontId="0" fillId="6" borderId="6" xfId="0" applyFill="1" applyBorder="1"/>
    <xf numFmtId="49" fontId="0" fillId="6" borderId="6" xfId="0" applyNumberFormat="1" applyFill="1" applyBorder="1"/>
    <xf numFmtId="0" fontId="0" fillId="5" borderId="6" xfId="0" applyFill="1" applyBorder="1"/>
    <xf numFmtId="0" fontId="3" fillId="7" borderId="6" xfId="0" applyFont="1" applyFill="1" applyBorder="1"/>
    <xf numFmtId="0" fontId="3" fillId="3" borderId="6" xfId="0" applyFont="1" applyFill="1" applyBorder="1"/>
    <xf numFmtId="0" fontId="0" fillId="7" borderId="6" xfId="0" applyFill="1" applyBorder="1"/>
    <xf numFmtId="0" fontId="0" fillId="3" borderId="6" xfId="0" applyFill="1" applyBorder="1"/>
    <xf numFmtId="0" fontId="3" fillId="9" borderId="6" xfId="0" applyFont="1" applyFill="1" applyBorder="1"/>
    <xf numFmtId="0" fontId="3" fillId="8" borderId="6" xfId="0" applyFont="1" applyFill="1" applyBorder="1"/>
    <xf numFmtId="0" fontId="0" fillId="9" borderId="6" xfId="0" applyFill="1" applyBorder="1"/>
    <xf numFmtId="0" fontId="0" fillId="8" borderId="6" xfId="0" applyFill="1" applyBorder="1"/>
    <xf numFmtId="0" fontId="3" fillId="11" borderId="6" xfId="0" applyFont="1" applyFill="1" applyBorder="1"/>
    <xf numFmtId="0" fontId="3" fillId="10" borderId="6" xfId="0" applyFont="1" applyFill="1" applyBorder="1"/>
    <xf numFmtId="0" fontId="0" fillId="11" borderId="6" xfId="0" applyFill="1" applyBorder="1"/>
    <xf numFmtId="0" fontId="0" fillId="10" borderId="6" xfId="0" applyFill="1" applyBorder="1"/>
    <xf numFmtId="1" fontId="0" fillId="0" borderId="0" xfId="5" applyNumberFormat="1" applyFont="1" applyAlignment="1">
      <alignment horizontal="left"/>
    </xf>
    <xf numFmtId="165" fontId="0" fillId="0" borderId="0" xfId="3" applyNumberFormat="1" applyFont="1"/>
    <xf numFmtId="2" fontId="0" fillId="0" borderId="0" xfId="0" applyNumberFormat="1"/>
    <xf numFmtId="165" fontId="0" fillId="4" borderId="2" xfId="3" applyNumberFormat="1" applyFont="1" applyFill="1" applyBorder="1"/>
    <xf numFmtId="0" fontId="17" fillId="0" borderId="0" xfId="0" applyFont="1"/>
    <xf numFmtId="0" fontId="18" fillId="0" borderId="0" xfId="0" applyFont="1"/>
    <xf numFmtId="165" fontId="0" fillId="0" borderId="2" xfId="0" applyNumberFormat="1" applyBorder="1"/>
    <xf numFmtId="2" fontId="0" fillId="0" borderId="2" xfId="0" applyNumberFormat="1" applyBorder="1"/>
    <xf numFmtId="0" fontId="20" fillId="0" borderId="0" xfId="0" applyFont="1"/>
    <xf numFmtId="0" fontId="21" fillId="0" borderId="0" xfId="0" applyFont="1"/>
    <xf numFmtId="0" fontId="22" fillId="0" borderId="0" xfId="0" applyFont="1"/>
    <xf numFmtId="167" fontId="9" fillId="12" borderId="8" xfId="0" applyNumberFormat="1" applyFont="1" applyFill="1" applyBorder="1" applyAlignment="1">
      <alignment horizontal="left" vertical="center"/>
    </xf>
    <xf numFmtId="0" fontId="9" fillId="12" borderId="8" xfId="0" applyFont="1" applyFill="1" applyBorder="1" applyAlignment="1">
      <alignment horizontal="left" vertical="center"/>
    </xf>
    <xf numFmtId="167" fontId="9" fillId="0" borderId="0" xfId="0" applyNumberFormat="1" applyFont="1" applyAlignment="1">
      <alignment vertical="center"/>
    </xf>
    <xf numFmtId="0" fontId="23" fillId="0" borderId="0" xfId="0" applyFont="1" applyAlignment="1">
      <alignment vertical="center"/>
    </xf>
    <xf numFmtId="0" fontId="23" fillId="0" borderId="0" xfId="0" applyFont="1"/>
    <xf numFmtId="167" fontId="7" fillId="12" borderId="8" xfId="0" applyNumberFormat="1" applyFont="1" applyFill="1" applyBorder="1" applyAlignment="1">
      <alignment horizontal="left" vertical="center"/>
    </xf>
    <xf numFmtId="167" fontId="7" fillId="0" borderId="0" xfId="0" applyNumberFormat="1" applyFont="1" applyAlignment="1">
      <alignment vertical="center"/>
    </xf>
    <xf numFmtId="0" fontId="24" fillId="0" borderId="0" xfId="0" applyFont="1" applyAlignment="1">
      <alignment vertical="center"/>
    </xf>
    <xf numFmtId="0" fontId="24" fillId="0" borderId="0" xfId="0" applyFont="1"/>
    <xf numFmtId="0" fontId="7" fillId="12" borderId="8" xfId="0" applyFont="1" applyFill="1" applyBorder="1" applyAlignment="1">
      <alignment horizontal="left" vertical="center"/>
    </xf>
    <xf numFmtId="0" fontId="0" fillId="0" borderId="0" xfId="0" applyAlignment="1">
      <alignment vertical="center"/>
    </xf>
    <xf numFmtId="0" fontId="0" fillId="12" borderId="8" xfId="0" applyFill="1" applyBorder="1" applyAlignment="1">
      <alignment horizontal="left" vertical="center"/>
    </xf>
    <xf numFmtId="4" fontId="9" fillId="12" borderId="8" xfId="0" applyNumberFormat="1" applyFont="1" applyFill="1" applyBorder="1" applyAlignment="1">
      <alignment horizontal="left" vertical="center"/>
    </xf>
    <xf numFmtId="168" fontId="7" fillId="12" borderId="8" xfId="0" applyNumberFormat="1" applyFont="1" applyFill="1" applyBorder="1" applyAlignment="1">
      <alignment horizontal="left" vertical="center"/>
    </xf>
    <xf numFmtId="0" fontId="7" fillId="12" borderId="8" xfId="0" applyFont="1" applyFill="1" applyBorder="1" applyAlignment="1">
      <alignment vertical="center"/>
    </xf>
    <xf numFmtId="0" fontId="9" fillId="12" borderId="8" xfId="0" applyFont="1" applyFill="1" applyBorder="1" applyAlignment="1">
      <alignment vertical="center"/>
    </xf>
    <xf numFmtId="167" fontId="7" fillId="0" borderId="0" xfId="0" applyNumberFormat="1" applyFont="1" applyAlignment="1">
      <alignment horizontal="left" vertical="center"/>
    </xf>
    <xf numFmtId="43" fontId="0" fillId="0" borderId="0" xfId="3" applyFont="1" applyFill="1" applyBorder="1"/>
    <xf numFmtId="0" fontId="25" fillId="0" borderId="0" xfId="0" applyFont="1"/>
    <xf numFmtId="0" fontId="26" fillId="0" borderId="0" xfId="0" applyFont="1"/>
    <xf numFmtId="0" fontId="27" fillId="0" borderId="0" xfId="0" applyFont="1"/>
    <xf numFmtId="0" fontId="0" fillId="0" borderId="6" xfId="0" applyBorder="1"/>
    <xf numFmtId="9" fontId="0" fillId="0" borderId="2" xfId="0" applyNumberFormat="1" applyBorder="1"/>
    <xf numFmtId="0" fontId="28" fillId="0" borderId="0" xfId="0" applyFont="1"/>
    <xf numFmtId="49" fontId="1" fillId="0" borderId="0" xfId="0" applyNumberFormat="1" applyFont="1"/>
    <xf numFmtId="0" fontId="0" fillId="0" borderId="9" xfId="0" applyBorder="1"/>
    <xf numFmtId="9" fontId="0" fillId="0" borderId="0" xfId="2" applyFont="1" applyFill="1" applyBorder="1"/>
    <xf numFmtId="169" fontId="0" fillId="0" borderId="2" xfId="0" applyNumberFormat="1" applyBorder="1"/>
    <xf numFmtId="165" fontId="0" fillId="0" borderId="2" xfId="3" applyNumberFormat="1" applyFont="1" applyFill="1" applyBorder="1"/>
    <xf numFmtId="169" fontId="0" fillId="0" borderId="0" xfId="0" applyNumberFormat="1"/>
    <xf numFmtId="169" fontId="1" fillId="0" borderId="0" xfId="0" applyNumberFormat="1" applyFont="1"/>
    <xf numFmtId="165" fontId="1" fillId="0" borderId="0" xfId="0" applyNumberFormat="1" applyFont="1"/>
    <xf numFmtId="1" fontId="1" fillId="0" borderId="0" xfId="0" applyNumberFormat="1" applyFont="1"/>
    <xf numFmtId="0" fontId="1" fillId="0" borderId="10" xfId="0" applyFont="1" applyBorder="1"/>
    <xf numFmtId="0" fontId="0" fillId="0" borderId="10" xfId="0" applyBorder="1"/>
    <xf numFmtId="165" fontId="0" fillId="4" borderId="5" xfId="3" applyNumberFormat="1" applyFont="1" applyFill="1" applyBorder="1"/>
    <xf numFmtId="43" fontId="0" fillId="0" borderId="2" xfId="0" applyNumberFormat="1" applyBorder="1"/>
    <xf numFmtId="0" fontId="4" fillId="2" borderId="0" xfId="1" applyFill="1" applyBorder="1"/>
    <xf numFmtId="0" fontId="1" fillId="0" borderId="0" xfId="0" applyFont="1" applyAlignment="1">
      <alignment horizontal="left"/>
    </xf>
    <xf numFmtId="1" fontId="1" fillId="0" borderId="7" xfId="5" applyNumberFormat="1" applyFont="1" applyBorder="1" applyAlignment="1">
      <alignment horizontal="left" wrapText="1"/>
    </xf>
    <xf numFmtId="3" fontId="1" fillId="0" borderId="7" xfId="5" applyNumberFormat="1" applyFont="1" applyBorder="1" applyAlignment="1">
      <alignment horizontal="left" wrapText="1"/>
    </xf>
    <xf numFmtId="170" fontId="0" fillId="0" borderId="0" xfId="0" applyNumberFormat="1"/>
    <xf numFmtId="165" fontId="0" fillId="0" borderId="0" xfId="0" applyNumberFormat="1"/>
    <xf numFmtId="1" fontId="32" fillId="0" borderId="0" xfId="0" applyNumberFormat="1" applyFont="1" applyAlignment="1">
      <alignment horizontal="left" vertical="top"/>
    </xf>
    <xf numFmtId="3" fontId="32" fillId="0" borderId="0" xfId="0" applyNumberFormat="1" applyFont="1" applyAlignment="1">
      <alignment horizontal="right" vertical="top"/>
    </xf>
    <xf numFmtId="0" fontId="33" fillId="0" borderId="0" xfId="0" applyFont="1" applyAlignment="1">
      <alignment vertical="top"/>
    </xf>
    <xf numFmtId="0" fontId="32" fillId="0" borderId="0" xfId="0" applyFont="1" applyAlignment="1">
      <alignment horizontal="left" vertical="top"/>
    </xf>
    <xf numFmtId="0" fontId="32" fillId="0" borderId="13" xfId="0" applyFont="1" applyBorder="1" applyAlignment="1">
      <alignment horizontal="left" vertical="top" wrapText="1"/>
    </xf>
    <xf numFmtId="1" fontId="32" fillId="0" borderId="13" xfId="0" applyNumberFormat="1" applyFont="1" applyBorder="1" applyAlignment="1">
      <alignment horizontal="left" vertical="top" wrapText="1"/>
    </xf>
    <xf numFmtId="3" fontId="33" fillId="0" borderId="13" xfId="0" applyNumberFormat="1" applyFont="1" applyBorder="1" applyAlignment="1">
      <alignment horizontal="right" vertical="top" wrapText="1"/>
    </xf>
    <xf numFmtId="0" fontId="33" fillId="0" borderId="0" xfId="0" applyFont="1" applyAlignment="1">
      <alignment horizontal="left" vertical="top"/>
    </xf>
    <xf numFmtId="49" fontId="33" fillId="0" borderId="14" xfId="0" applyNumberFormat="1" applyFont="1" applyBorder="1" applyAlignment="1">
      <alignment horizontal="left" vertical="top" wrapText="1"/>
    </xf>
    <xf numFmtId="1" fontId="33" fillId="0" borderId="14" xfId="0" applyNumberFormat="1" applyFont="1" applyBorder="1" applyAlignment="1">
      <alignment horizontal="left" vertical="top" wrapText="1"/>
    </xf>
    <xf numFmtId="171" fontId="33" fillId="0" borderId="14" xfId="0" applyNumberFormat="1" applyFont="1" applyBorder="1" applyAlignment="1">
      <alignment horizontal="right" vertical="top" wrapText="1"/>
    </xf>
    <xf numFmtId="49" fontId="32" fillId="0" borderId="0" xfId="0" applyNumberFormat="1" applyFont="1" applyAlignment="1">
      <alignment horizontal="left" vertical="top" wrapText="1"/>
    </xf>
    <xf numFmtId="0" fontId="34" fillId="0" borderId="0" xfId="0" applyFont="1" applyAlignment="1">
      <alignment vertical="top"/>
    </xf>
    <xf numFmtId="1" fontId="32" fillId="0" borderId="0" xfId="0" applyNumberFormat="1" applyFont="1" applyAlignment="1">
      <alignment horizontal="left" vertical="top" wrapText="1"/>
    </xf>
    <xf numFmtId="171" fontId="32" fillId="0" borderId="0" xfId="0" applyNumberFormat="1" applyFont="1" applyAlignment="1">
      <alignment horizontal="right" vertical="top" wrapText="1"/>
    </xf>
    <xf numFmtId="0" fontId="32" fillId="0" borderId="0" xfId="0" applyFont="1" applyAlignment="1">
      <alignment horizontal="left" vertical="top" wrapText="1"/>
    </xf>
    <xf numFmtId="171" fontId="32" fillId="0" borderId="0" xfId="0" applyNumberFormat="1" applyFont="1" applyAlignment="1">
      <alignment horizontal="left" vertical="top" wrapText="1"/>
    </xf>
    <xf numFmtId="0" fontId="33" fillId="0" borderId="0" xfId="0" applyFont="1" applyAlignment="1">
      <alignment vertical="top" wrapText="1"/>
    </xf>
    <xf numFmtId="3" fontId="32" fillId="0" borderId="0" xfId="0" applyNumberFormat="1" applyFont="1" applyAlignment="1">
      <alignment horizontal="right" vertical="top" wrapText="1"/>
    </xf>
    <xf numFmtId="3" fontId="33" fillId="0" borderId="0" xfId="0" applyNumberFormat="1" applyFont="1" applyAlignment="1">
      <alignment vertical="top"/>
    </xf>
    <xf numFmtId="3" fontId="33" fillId="0" borderId="0" xfId="0" applyNumberFormat="1" applyFont="1" applyAlignment="1">
      <alignment vertical="top" wrapText="1"/>
    </xf>
    <xf numFmtId="167" fontId="33" fillId="0" borderId="0" xfId="0" applyNumberFormat="1" applyFont="1" applyAlignment="1">
      <alignment vertical="top"/>
    </xf>
    <xf numFmtId="49" fontId="33" fillId="0" borderId="0" xfId="0" applyNumberFormat="1" applyFont="1" applyAlignment="1">
      <alignment horizontal="left" vertical="top"/>
    </xf>
    <xf numFmtId="1" fontId="33" fillId="0" borderId="0" xfId="0" applyNumberFormat="1" applyFont="1" applyAlignment="1">
      <alignment vertical="top"/>
    </xf>
    <xf numFmtId="1" fontId="33" fillId="0" borderId="0" xfId="0" applyNumberFormat="1" applyFont="1" applyAlignment="1">
      <alignment horizontal="left" vertical="top"/>
    </xf>
    <xf numFmtId="3" fontId="33" fillId="0" borderId="0" xfId="0" applyNumberFormat="1" applyFont="1" applyAlignment="1">
      <alignment horizontal="right" vertical="top"/>
    </xf>
    <xf numFmtId="168" fontId="33" fillId="0" borderId="0" xfId="0" applyNumberFormat="1" applyFont="1" applyAlignment="1">
      <alignment horizontal="right" vertical="top"/>
    </xf>
    <xf numFmtId="1" fontId="33" fillId="0" borderId="0" xfId="0" applyNumberFormat="1" applyFont="1" applyAlignment="1">
      <alignment horizontal="right" vertical="top"/>
    </xf>
    <xf numFmtId="0" fontId="33" fillId="0" borderId="0" xfId="0" applyFont="1" applyAlignment="1">
      <alignment horizontal="right" vertical="top"/>
    </xf>
    <xf numFmtId="172" fontId="32" fillId="0" borderId="0" xfId="3" applyNumberFormat="1" applyFont="1" applyAlignment="1">
      <alignment horizontal="right" vertical="top" wrapText="1"/>
    </xf>
    <xf numFmtId="172" fontId="32" fillId="0" borderId="16" xfId="3" applyNumberFormat="1" applyFont="1" applyBorder="1" applyAlignment="1">
      <alignment horizontal="right" vertical="top" wrapText="1"/>
    </xf>
    <xf numFmtId="49" fontId="33" fillId="0" borderId="0" xfId="0" applyNumberFormat="1" applyFont="1" applyAlignment="1">
      <alignment horizontal="left" vertical="top" wrapText="1"/>
    </xf>
    <xf numFmtId="0" fontId="33" fillId="0" borderId="0" xfId="0" applyFont="1" applyAlignment="1">
      <alignment horizontal="left" vertical="top" wrapText="1"/>
    </xf>
    <xf numFmtId="0" fontId="33" fillId="0" borderId="0" xfId="0" applyFont="1"/>
    <xf numFmtId="3" fontId="33" fillId="0" borderId="0" xfId="0" applyNumberFormat="1" applyFont="1"/>
    <xf numFmtId="0" fontId="34" fillId="0" borderId="0" xfId="0" applyFont="1"/>
    <xf numFmtId="167" fontId="33" fillId="0" borderId="0" xfId="0" applyNumberFormat="1" applyFont="1"/>
    <xf numFmtId="171" fontId="33" fillId="0" borderId="0" xfId="0" applyNumberFormat="1" applyFont="1" applyAlignment="1">
      <alignment horizontal="right" vertical="top" wrapText="1"/>
    </xf>
    <xf numFmtId="1" fontId="33" fillId="0" borderId="0" xfId="0" applyNumberFormat="1" applyFont="1" applyAlignment="1">
      <alignment horizontal="left" vertical="top" wrapText="1"/>
    </xf>
    <xf numFmtId="0" fontId="33" fillId="0" borderId="0" xfId="0" applyFont="1" applyAlignment="1">
      <alignment horizontal="right" vertical="top" wrapText="1"/>
    </xf>
    <xf numFmtId="3" fontId="33" fillId="0" borderId="16" xfId="0" applyNumberFormat="1" applyFont="1" applyBorder="1" applyAlignment="1">
      <alignment horizontal="right" vertical="top"/>
    </xf>
    <xf numFmtId="171" fontId="33" fillId="0" borderId="16" xfId="0" applyNumberFormat="1" applyFont="1" applyBorder="1" applyAlignment="1">
      <alignment horizontal="right" vertical="top" wrapText="1"/>
    </xf>
    <xf numFmtId="3" fontId="32" fillId="0" borderId="16" xfId="0" applyNumberFormat="1" applyFont="1" applyBorder="1" applyAlignment="1">
      <alignment horizontal="right" vertical="top"/>
    </xf>
    <xf numFmtId="171" fontId="32" fillId="0" borderId="16" xfId="0" applyNumberFormat="1" applyFont="1" applyBorder="1" applyAlignment="1">
      <alignment horizontal="right" vertical="top" wrapText="1"/>
    </xf>
    <xf numFmtId="3" fontId="32" fillId="0" borderId="15" xfId="0" applyNumberFormat="1" applyFont="1" applyBorder="1" applyAlignment="1">
      <alignment horizontal="right" vertical="top"/>
    </xf>
    <xf numFmtId="171" fontId="32" fillId="0" borderId="15" xfId="0" applyNumberFormat="1" applyFont="1" applyBorder="1" applyAlignment="1">
      <alignment horizontal="right" vertical="top" wrapText="1"/>
    </xf>
    <xf numFmtId="171" fontId="32" fillId="0" borderId="13" xfId="0" applyNumberFormat="1" applyFont="1" applyBorder="1" applyAlignment="1">
      <alignment horizontal="left" vertical="top" wrapText="1"/>
    </xf>
    <xf numFmtId="0" fontId="32" fillId="0" borderId="13" xfId="0" applyFont="1" applyBorder="1" applyAlignment="1">
      <alignment horizontal="left" vertical="top"/>
    </xf>
    <xf numFmtId="171" fontId="32" fillId="0" borderId="13" xfId="0" applyNumberFormat="1" applyFont="1" applyBorder="1" applyAlignment="1">
      <alignment horizontal="right" vertical="top" wrapText="1"/>
    </xf>
    <xf numFmtId="171" fontId="32" fillId="0" borderId="4" xfId="0" applyNumberFormat="1" applyFont="1" applyBorder="1" applyAlignment="1">
      <alignment horizontal="right" vertical="top" wrapText="1"/>
    </xf>
    <xf numFmtId="0" fontId="31" fillId="0" borderId="13" xfId="0" applyFont="1" applyBorder="1" applyAlignment="1">
      <alignment horizontal="left" vertical="top" wrapText="1"/>
    </xf>
    <xf numFmtId="1" fontId="31" fillId="0" borderId="13" xfId="0" applyNumberFormat="1" applyFont="1" applyBorder="1" applyAlignment="1">
      <alignment horizontal="left" vertical="top" wrapText="1"/>
    </xf>
    <xf numFmtId="3" fontId="35" fillId="0" borderId="13" xfId="0" applyNumberFormat="1" applyFont="1" applyBorder="1" applyAlignment="1">
      <alignment horizontal="right" vertical="top" wrapText="1"/>
    </xf>
    <xf numFmtId="3" fontId="35" fillId="0" borderId="17" xfId="0" applyNumberFormat="1" applyFont="1" applyBorder="1" applyAlignment="1">
      <alignment horizontal="right" vertical="top" wrapText="1"/>
    </xf>
    <xf numFmtId="0" fontId="2" fillId="0" borderId="6" xfId="0" applyFont="1" applyBorder="1"/>
    <xf numFmtId="49" fontId="2" fillId="0" borderId="6" xfId="0" applyNumberFormat="1" applyFont="1" applyBorder="1"/>
    <xf numFmtId="49" fontId="3" fillId="0" borderId="6" xfId="0" applyNumberFormat="1" applyFont="1" applyBorder="1" applyAlignment="1">
      <alignment horizontal="left"/>
    </xf>
    <xf numFmtId="49" fontId="3" fillId="0" borderId="6" xfId="0" applyNumberFormat="1" applyFont="1" applyBorder="1"/>
    <xf numFmtId="0" fontId="3" fillId="0" borderId="6" xfId="0" applyFont="1" applyBorder="1"/>
    <xf numFmtId="0" fontId="0" fillId="0" borderId="11" xfId="0" applyBorder="1"/>
    <xf numFmtId="0" fontId="0" fillId="0" borderId="12" xfId="0" applyBorder="1"/>
    <xf numFmtId="49" fontId="0" fillId="0" borderId="11" xfId="0" applyNumberFormat="1" applyBorder="1"/>
    <xf numFmtId="49" fontId="0" fillId="0" borderId="12" xfId="0" applyNumberFormat="1" applyBorder="1"/>
    <xf numFmtId="49" fontId="0" fillId="0" borderId="6" xfId="0" applyNumberFormat="1" applyBorder="1"/>
    <xf numFmtId="0" fontId="2" fillId="0" borderId="0" xfId="0" applyFont="1"/>
    <xf numFmtId="0" fontId="2" fillId="0" borderId="2" xfId="0" applyFont="1" applyBorder="1"/>
    <xf numFmtId="165" fontId="3" fillId="0" borderId="2" xfId="0" applyNumberFormat="1" applyFont="1" applyBorder="1"/>
    <xf numFmtId="2" fontId="3" fillId="0" borderId="2" xfId="0" applyNumberFormat="1" applyFont="1" applyBorder="1"/>
    <xf numFmtId="0" fontId="36" fillId="0" borderId="2" xfId="0" applyFont="1" applyBorder="1"/>
    <xf numFmtId="165" fontId="1" fillId="0" borderId="2" xfId="3" applyNumberFormat="1" applyFont="1" applyBorder="1"/>
    <xf numFmtId="0" fontId="1" fillId="0" borderId="18" xfId="0" applyFont="1" applyBorder="1"/>
    <xf numFmtId="0" fontId="1" fillId="0" borderId="19" xfId="0" applyFont="1" applyBorder="1"/>
    <xf numFmtId="0" fontId="0" fillId="0" borderId="20" xfId="0" applyBorder="1"/>
    <xf numFmtId="0" fontId="1" fillId="0" borderId="22" xfId="0" applyFont="1" applyBorder="1"/>
    <xf numFmtId="165" fontId="0" fillId="0" borderId="23" xfId="3" applyNumberFormat="1" applyFont="1" applyBorder="1"/>
    <xf numFmtId="165" fontId="0" fillId="0" borderId="20" xfId="0" applyNumberFormat="1" applyBorder="1"/>
    <xf numFmtId="0" fontId="0" fillId="0" borderId="21" xfId="0" applyBorder="1"/>
    <xf numFmtId="165" fontId="0" fillId="0" borderId="21" xfId="0" applyNumberFormat="1" applyBorder="1"/>
    <xf numFmtId="0" fontId="0" fillId="0" borderId="23" xfId="0" applyBorder="1"/>
    <xf numFmtId="0" fontId="1" fillId="0" borderId="25" xfId="0" applyFont="1" applyBorder="1"/>
    <xf numFmtId="0" fontId="1" fillId="0" borderId="26" xfId="0" applyFont="1" applyBorder="1"/>
    <xf numFmtId="0" fontId="0" fillId="0" borderId="24" xfId="0" applyBorder="1"/>
    <xf numFmtId="0" fontId="1" fillId="0" borderId="27" xfId="0" applyFont="1" applyBorder="1"/>
    <xf numFmtId="0" fontId="0" fillId="0" borderId="30" xfId="0" applyBorder="1"/>
    <xf numFmtId="0" fontId="1" fillId="0" borderId="24" xfId="0" applyFont="1" applyBorder="1"/>
    <xf numFmtId="0" fontId="28" fillId="0" borderId="27" xfId="0" applyFont="1" applyBorder="1"/>
    <xf numFmtId="9" fontId="0" fillId="0" borderId="30" xfId="0" applyNumberFormat="1" applyBorder="1"/>
    <xf numFmtId="0" fontId="1" fillId="0" borderId="32" xfId="0" applyFont="1" applyBorder="1"/>
    <xf numFmtId="0" fontId="1" fillId="0" borderId="29" xfId="0" applyFont="1" applyBorder="1"/>
    <xf numFmtId="0" fontId="1" fillId="0" borderId="35" xfId="0" applyFont="1" applyBorder="1"/>
    <xf numFmtId="0" fontId="0" fillId="0" borderId="35" xfId="0" applyBorder="1"/>
    <xf numFmtId="168" fontId="0" fillId="0" borderId="33" xfId="0" applyNumberFormat="1" applyBorder="1"/>
    <xf numFmtId="168" fontId="0" fillId="0" borderId="34" xfId="0" applyNumberFormat="1" applyBorder="1"/>
    <xf numFmtId="0" fontId="37" fillId="0" borderId="0" xfId="0" applyFont="1"/>
    <xf numFmtId="166" fontId="1" fillId="0" borderId="19" xfId="0" applyNumberFormat="1" applyFont="1" applyBorder="1"/>
    <xf numFmtId="168" fontId="0" fillId="0" borderId="36" xfId="0" applyNumberFormat="1" applyBorder="1"/>
    <xf numFmtId="168" fontId="0" fillId="0" borderId="37" xfId="0" applyNumberFormat="1" applyBorder="1"/>
    <xf numFmtId="168" fontId="0" fillId="0" borderId="21" xfId="0" applyNumberFormat="1" applyBorder="1"/>
    <xf numFmtId="168" fontId="0" fillId="0" borderId="0" xfId="0" applyNumberFormat="1"/>
    <xf numFmtId="168" fontId="1" fillId="0" borderId="19" xfId="0" applyNumberFormat="1" applyFont="1" applyBorder="1"/>
    <xf numFmtId="166" fontId="0" fillId="0" borderId="0" xfId="0" applyNumberFormat="1"/>
    <xf numFmtId="168" fontId="0" fillId="0" borderId="38" xfId="0" applyNumberFormat="1" applyBorder="1"/>
    <xf numFmtId="49" fontId="0" fillId="0" borderId="0" xfId="0" applyNumberFormat="1"/>
    <xf numFmtId="1" fontId="0" fillId="0" borderId="0" xfId="0" applyNumberFormat="1"/>
    <xf numFmtId="0" fontId="0" fillId="0" borderId="22" xfId="0" applyBorder="1"/>
    <xf numFmtId="0" fontId="0" fillId="0" borderId="19" xfId="0" applyBorder="1"/>
    <xf numFmtId="0" fontId="0" fillId="0" borderId="39" xfId="0" applyBorder="1"/>
    <xf numFmtId="0" fontId="38" fillId="0" borderId="0" xfId="0" applyFont="1"/>
    <xf numFmtId="2" fontId="0" fillId="0" borderId="37" xfId="0" applyNumberFormat="1" applyBorder="1"/>
    <xf numFmtId="0" fontId="1" fillId="0" borderId="23" xfId="0" applyFont="1" applyBorder="1"/>
    <xf numFmtId="2" fontId="0" fillId="0" borderId="23" xfId="0" applyNumberFormat="1" applyBorder="1"/>
    <xf numFmtId="2" fontId="0" fillId="0" borderId="21" xfId="0" applyNumberFormat="1" applyBorder="1"/>
    <xf numFmtId="168" fontId="0" fillId="0" borderId="28" xfId="0" applyNumberFormat="1" applyBorder="1"/>
    <xf numFmtId="168" fontId="0" fillId="0" borderId="31" xfId="0" applyNumberFormat="1" applyBorder="1"/>
    <xf numFmtId="0" fontId="20" fillId="0" borderId="40" xfId="0" applyFont="1" applyBorder="1"/>
    <xf numFmtId="0" fontId="1" fillId="0" borderId="40" xfId="0" applyFont="1" applyBorder="1"/>
    <xf numFmtId="3" fontId="0" fillId="0" borderId="2" xfId="5" applyNumberFormat="1" applyFont="1" applyBorder="1" applyAlignment="1">
      <alignment horizontal="right" wrapText="1"/>
    </xf>
    <xf numFmtId="3" fontId="7" fillId="0" borderId="2" xfId="6" applyNumberFormat="1" applyFill="1" applyBorder="1" applyAlignment="1">
      <alignment horizontal="right"/>
    </xf>
    <xf numFmtId="172" fontId="0" fillId="0" borderId="2" xfId="3" applyNumberFormat="1" applyFont="1" applyFill="1" applyBorder="1" applyAlignment="1">
      <alignment horizontal="right"/>
    </xf>
    <xf numFmtId="172" fontId="0" fillId="0" borderId="2" xfId="3" applyNumberFormat="1" applyFont="1" applyBorder="1"/>
    <xf numFmtId="0" fontId="0" fillId="0" borderId="41" xfId="0" applyBorder="1"/>
    <xf numFmtId="1" fontId="16" fillId="0" borderId="41" xfId="5" applyNumberFormat="1" applyBorder="1"/>
    <xf numFmtId="0" fontId="0" fillId="0" borderId="25" xfId="0" applyBorder="1"/>
    <xf numFmtId="0" fontId="0" fillId="0" borderId="26" xfId="0" applyBorder="1"/>
    <xf numFmtId="3" fontId="0" fillId="0" borderId="27" xfId="5" applyNumberFormat="1" applyFont="1" applyBorder="1" applyAlignment="1">
      <alignment horizontal="right" wrapText="1"/>
    </xf>
    <xf numFmtId="3" fontId="0" fillId="0" borderId="28" xfId="5" applyNumberFormat="1" applyFont="1" applyBorder="1" applyAlignment="1">
      <alignment horizontal="right" wrapText="1"/>
    </xf>
    <xf numFmtId="3" fontId="7" fillId="0" borderId="27" xfId="6" applyNumberFormat="1" applyFill="1" applyBorder="1" applyAlignment="1">
      <alignment horizontal="right"/>
    </xf>
    <xf numFmtId="3" fontId="7" fillId="0" borderId="28" xfId="6" applyNumberFormat="1" applyFill="1" applyBorder="1" applyAlignment="1">
      <alignment horizontal="right"/>
    </xf>
    <xf numFmtId="172" fontId="0" fillId="0" borderId="27" xfId="3" applyNumberFormat="1" applyFont="1" applyFill="1" applyBorder="1" applyAlignment="1">
      <alignment horizontal="right"/>
    </xf>
    <xf numFmtId="3" fontId="0" fillId="0" borderId="28" xfId="5" applyNumberFormat="1" applyFont="1" applyBorder="1" applyAlignment="1">
      <alignment horizontal="right"/>
    </xf>
    <xf numFmtId="172" fontId="0" fillId="0" borderId="27" xfId="3" applyNumberFormat="1" applyFont="1" applyBorder="1"/>
    <xf numFmtId="1" fontId="40" fillId="0" borderId="41" xfId="5" applyNumberFormat="1" applyFont="1" applyBorder="1" applyAlignment="1">
      <alignment horizontal="left"/>
    </xf>
    <xf numFmtId="0" fontId="41" fillId="0" borderId="42" xfId="0" applyFont="1" applyBorder="1"/>
    <xf numFmtId="0" fontId="41" fillId="13" borderId="42" xfId="0" applyFont="1" applyFill="1" applyBorder="1"/>
    <xf numFmtId="175" fontId="41" fillId="0" borderId="0" xfId="0" applyNumberFormat="1" applyFont="1" applyAlignment="1">
      <alignment horizontal="center"/>
    </xf>
    <xf numFmtId="0" fontId="41" fillId="14" borderId="0" xfId="0" applyFont="1" applyFill="1"/>
    <xf numFmtId="0" fontId="41" fillId="0" borderId="0" xfId="0" applyFont="1" applyAlignment="1">
      <alignment horizontal="left" wrapText="1"/>
    </xf>
    <xf numFmtId="0" fontId="41" fillId="0" borderId="0" xfId="0" applyFont="1"/>
    <xf numFmtId="4" fontId="41" fillId="0" borderId="42" xfId="0" applyNumberFormat="1" applyFont="1" applyBorder="1" applyAlignment="1">
      <alignment horizontal="center"/>
    </xf>
    <xf numFmtId="4" fontId="41" fillId="13" borderId="42" xfId="0" applyNumberFormat="1" applyFont="1" applyFill="1" applyBorder="1"/>
    <xf numFmtId="4" fontId="41" fillId="14" borderId="42" xfId="3" applyNumberFormat="1" applyFont="1" applyFill="1" applyBorder="1" applyAlignment="1">
      <alignment horizontal="center" vertical="center"/>
    </xf>
    <xf numFmtId="4" fontId="41" fillId="16" borderId="42" xfId="3" applyNumberFormat="1" applyFont="1" applyFill="1" applyBorder="1" applyAlignment="1">
      <alignment horizontal="center" vertical="center"/>
    </xf>
    <xf numFmtId="0" fontId="49" fillId="0" borderId="0" xfId="0" applyFont="1" applyAlignment="1">
      <alignment horizontal="left" vertical="top" wrapText="1"/>
    </xf>
    <xf numFmtId="0" fontId="50" fillId="0" borderId="0" xfId="0" applyFont="1"/>
    <xf numFmtId="0" fontId="51" fillId="0" borderId="0" xfId="0" applyFont="1"/>
    <xf numFmtId="0" fontId="46" fillId="15" borderId="2" xfId="0" applyFont="1" applyFill="1" applyBorder="1" applyAlignment="1">
      <alignment horizontal="left" wrapText="1"/>
    </xf>
    <xf numFmtId="0" fontId="46" fillId="15" borderId="2" xfId="0" applyFont="1" applyFill="1" applyBorder="1"/>
    <xf numFmtId="0" fontId="41" fillId="0" borderId="2" xfId="0" applyFont="1" applyBorder="1" applyAlignment="1">
      <alignment horizontal="left" wrapText="1"/>
    </xf>
    <xf numFmtId="0" fontId="41" fillId="0" borderId="2" xfId="0" applyFont="1" applyBorder="1"/>
    <xf numFmtId="175" fontId="41" fillId="0" borderId="2" xfId="0" applyNumberFormat="1" applyFont="1" applyBorder="1" applyAlignment="1">
      <alignment horizontal="center"/>
    </xf>
    <xf numFmtId="173" fontId="41" fillId="0" borderId="2" xfId="0" applyNumberFormat="1" applyFont="1" applyBorder="1" applyAlignment="1">
      <alignment horizontal="center"/>
    </xf>
    <xf numFmtId="176" fontId="41" fillId="0" borderId="42" xfId="3" applyNumberFormat="1" applyFont="1" applyBorder="1" applyAlignment="1">
      <alignment horizontal="center"/>
    </xf>
    <xf numFmtId="176" fontId="41" fillId="0" borderId="42" xfId="0" applyNumberFormat="1" applyFont="1" applyBorder="1" applyAlignment="1">
      <alignment horizontal="center"/>
    </xf>
    <xf numFmtId="176" fontId="41" fillId="13" borderId="42" xfId="3" applyNumberFormat="1" applyFont="1" applyFill="1" applyBorder="1" applyAlignment="1">
      <alignment horizontal="center"/>
    </xf>
    <xf numFmtId="176" fontId="41" fillId="0" borderId="42" xfId="0" applyNumberFormat="1" applyFont="1" applyBorder="1"/>
    <xf numFmtId="176" fontId="41" fillId="0" borderId="42" xfId="0" applyNumberFormat="1" applyFont="1" applyBorder="1" applyAlignment="1">
      <alignment horizontal="center" vertical="center"/>
    </xf>
    <xf numFmtId="0" fontId="0" fillId="4" borderId="2" xfId="0" applyFill="1" applyBorder="1"/>
    <xf numFmtId="0" fontId="0" fillId="0" borderId="0" xfId="2" applyNumberFormat="1" applyFont="1"/>
    <xf numFmtId="165" fontId="8" fillId="2" borderId="0" xfId="3" applyNumberFormat="1" applyFont="1" applyFill="1" applyBorder="1" applyAlignment="1">
      <alignment horizontal="right" wrapText="1"/>
    </xf>
    <xf numFmtId="165" fontId="8" fillId="0" borderId="0" xfId="3" applyNumberFormat="1" applyFont="1" applyBorder="1" applyAlignment="1">
      <alignment horizontal="right" wrapText="1"/>
    </xf>
    <xf numFmtId="0" fontId="0" fillId="3" borderId="2" xfId="0" applyFill="1" applyBorder="1"/>
    <xf numFmtId="172" fontId="0" fillId="3" borderId="2" xfId="3" applyNumberFormat="1" applyFont="1" applyFill="1" applyBorder="1" applyAlignment="1">
      <alignment horizontal="right"/>
    </xf>
    <xf numFmtId="3" fontId="7" fillId="3" borderId="2" xfId="6" applyNumberFormat="1" applyFill="1" applyBorder="1" applyAlignment="1">
      <alignment horizontal="right"/>
    </xf>
    <xf numFmtId="1" fontId="16" fillId="0" borderId="28" xfId="5" applyNumberFormat="1" applyBorder="1"/>
    <xf numFmtId="1" fontId="16" fillId="0" borderId="27" xfId="5" applyNumberFormat="1" applyBorder="1"/>
    <xf numFmtId="1" fontId="16" fillId="0" borderId="2" xfId="5" applyNumberFormat="1" applyBorder="1"/>
    <xf numFmtId="0" fontId="52" fillId="0" borderId="0" xfId="0" applyFont="1"/>
    <xf numFmtId="0" fontId="1" fillId="0" borderId="46" xfId="0" applyFont="1" applyBorder="1"/>
    <xf numFmtId="9" fontId="28" fillId="0" borderId="47" xfId="2" applyFont="1" applyBorder="1"/>
    <xf numFmtId="165" fontId="0" fillId="4" borderId="48" xfId="3" applyNumberFormat="1" applyFont="1" applyFill="1" applyBorder="1"/>
    <xf numFmtId="165" fontId="0" fillId="0" borderId="0" xfId="3" applyNumberFormat="1" applyFont="1" applyBorder="1"/>
    <xf numFmtId="49" fontId="9" fillId="0" borderId="0" xfId="0" applyNumberFormat="1" applyFont="1" applyAlignment="1">
      <alignment vertical="center"/>
    </xf>
    <xf numFmtId="177" fontId="9" fillId="0" borderId="13" xfId="0" applyNumberFormat="1" applyFont="1" applyBorder="1" applyAlignment="1">
      <alignment vertical="center"/>
    </xf>
    <xf numFmtId="177" fontId="9" fillId="0" borderId="49" xfId="0" applyNumberFormat="1" applyFont="1" applyBorder="1" applyAlignment="1">
      <alignment vertical="center"/>
    </xf>
    <xf numFmtId="49" fontId="9" fillId="0" borderId="50" xfId="0" applyNumberFormat="1" applyFont="1" applyBorder="1" applyAlignment="1">
      <alignment vertical="center"/>
    </xf>
    <xf numFmtId="49" fontId="9" fillId="0" borderId="51" xfId="0" applyNumberFormat="1" applyFont="1" applyBorder="1" applyAlignment="1">
      <alignment vertical="center"/>
    </xf>
    <xf numFmtId="177" fontId="9" fillId="0" borderId="52" xfId="0" applyNumberFormat="1" applyFont="1" applyBorder="1" applyAlignment="1">
      <alignment vertical="center"/>
    </xf>
    <xf numFmtId="177" fontId="9" fillId="0" borderId="53" xfId="0" applyNumberFormat="1" applyFont="1" applyBorder="1" applyAlignment="1">
      <alignment horizontal="center" vertical="center"/>
    </xf>
    <xf numFmtId="177" fontId="7" fillId="0" borderId="22" xfId="0" applyNumberFormat="1" applyFont="1" applyBorder="1" applyAlignment="1">
      <alignment horizontal="center" vertical="center"/>
    </xf>
    <xf numFmtId="177" fontId="7" fillId="0" borderId="19" xfId="0" applyNumberFormat="1" applyFont="1" applyBorder="1" applyAlignment="1">
      <alignment horizontal="center" vertical="center"/>
    </xf>
    <xf numFmtId="177" fontId="9" fillId="0" borderId="54" xfId="0" applyNumberFormat="1" applyFont="1" applyBorder="1" applyAlignment="1">
      <alignment horizontal="center" vertical="center"/>
    </xf>
    <xf numFmtId="177" fontId="7" fillId="0" borderId="0" xfId="0" applyNumberFormat="1" applyFont="1" applyAlignment="1">
      <alignment horizontal="center" vertical="center"/>
    </xf>
    <xf numFmtId="177" fontId="7" fillId="0" borderId="37" xfId="0" applyNumberFormat="1" applyFont="1" applyBorder="1" applyAlignment="1">
      <alignment horizontal="center" vertical="center"/>
    </xf>
    <xf numFmtId="178" fontId="7" fillId="0" borderId="0" xfId="0" applyNumberFormat="1" applyFont="1" applyAlignment="1">
      <alignment horizontal="center" vertical="center"/>
    </xf>
    <xf numFmtId="178" fontId="7" fillId="0" borderId="37" xfId="0" applyNumberFormat="1" applyFont="1" applyBorder="1" applyAlignment="1">
      <alignment horizontal="center" vertical="center"/>
    </xf>
    <xf numFmtId="3" fontId="7" fillId="0" borderId="0" xfId="0" applyNumberFormat="1" applyFont="1" applyAlignment="1">
      <alignment horizontal="center" vertical="center"/>
    </xf>
    <xf numFmtId="3" fontId="7" fillId="0" borderId="37" xfId="0" applyNumberFormat="1" applyFont="1" applyBorder="1" applyAlignment="1">
      <alignment horizontal="center" vertical="center"/>
    </xf>
    <xf numFmtId="0" fontId="9" fillId="0" borderId="54" xfId="0" applyFont="1" applyBorder="1" applyAlignment="1">
      <alignment horizontal="center" vertical="center"/>
    </xf>
    <xf numFmtId="0" fontId="9" fillId="0" borderId="55" xfId="0" applyFont="1" applyBorder="1" applyAlignment="1">
      <alignment horizontal="center" vertical="center"/>
    </xf>
    <xf numFmtId="3" fontId="7" fillId="0" borderId="23" xfId="0" applyNumberFormat="1" applyFont="1" applyBorder="1" applyAlignment="1">
      <alignment horizontal="center" vertical="center"/>
    </xf>
    <xf numFmtId="3" fontId="7" fillId="0" borderId="21" xfId="0" applyNumberFormat="1" applyFont="1" applyBorder="1" applyAlignment="1">
      <alignment horizontal="center" vertical="center"/>
    </xf>
    <xf numFmtId="177" fontId="9" fillId="0" borderId="53" xfId="0" applyNumberFormat="1" applyFont="1" applyBorder="1" applyAlignment="1">
      <alignment vertical="center"/>
    </xf>
    <xf numFmtId="177" fontId="9" fillId="0" borderId="22" xfId="0" applyNumberFormat="1" applyFont="1" applyBorder="1" applyAlignment="1">
      <alignment vertical="center"/>
    </xf>
    <xf numFmtId="0" fontId="53" fillId="0" borderId="0" xfId="0" applyFont="1"/>
    <xf numFmtId="0" fontId="54" fillId="0" borderId="0" xfId="0" applyFont="1"/>
    <xf numFmtId="0" fontId="55" fillId="0" borderId="0" xfId="0" applyFont="1"/>
    <xf numFmtId="177" fontId="9" fillId="0" borderId="2" xfId="0" applyNumberFormat="1" applyFont="1" applyBorder="1" applyAlignment="1">
      <alignment horizontal="center" vertical="center"/>
    </xf>
    <xf numFmtId="0" fontId="9" fillId="0" borderId="2" xfId="0" applyFont="1" applyBorder="1" applyAlignment="1">
      <alignment horizontal="center" vertical="center"/>
    </xf>
    <xf numFmtId="177" fontId="9" fillId="0" borderId="5" xfId="0" applyNumberFormat="1" applyFont="1" applyBorder="1" applyAlignment="1">
      <alignment horizontal="center" vertical="center"/>
    </xf>
    <xf numFmtId="177" fontId="9" fillId="0" borderId="30" xfId="0" applyNumberFormat="1" applyFont="1" applyBorder="1" applyAlignment="1">
      <alignment horizontal="center" vertical="center"/>
    </xf>
    <xf numFmtId="165" fontId="1" fillId="0" borderId="2" xfId="0" applyNumberFormat="1" applyFont="1" applyBorder="1"/>
    <xf numFmtId="170" fontId="0" fillId="0" borderId="2" xfId="0" applyNumberFormat="1" applyBorder="1"/>
    <xf numFmtId="170" fontId="0" fillId="0" borderId="30" xfId="0" applyNumberFormat="1" applyBorder="1"/>
    <xf numFmtId="170" fontId="0" fillId="0" borderId="5" xfId="0" applyNumberFormat="1" applyBorder="1"/>
    <xf numFmtId="168" fontId="0" fillId="0" borderId="2" xfId="0" applyNumberFormat="1" applyBorder="1"/>
    <xf numFmtId="168" fontId="0" fillId="0" borderId="30" xfId="0" applyNumberFormat="1" applyBorder="1"/>
    <xf numFmtId="168" fontId="0" fillId="0" borderId="5" xfId="0" applyNumberFormat="1" applyBorder="1"/>
    <xf numFmtId="43" fontId="0" fillId="0" borderId="0" xfId="3" applyFont="1"/>
    <xf numFmtId="165" fontId="0" fillId="0" borderId="2" xfId="3" applyNumberFormat="1" applyFont="1" applyBorder="1"/>
    <xf numFmtId="0" fontId="53" fillId="0" borderId="2" xfId="0" applyFont="1" applyBorder="1"/>
    <xf numFmtId="0" fontId="56" fillId="0" borderId="0" xfId="0" applyFont="1"/>
    <xf numFmtId="3" fontId="0" fillId="0" borderId="2" xfId="5" applyNumberFormat="1" applyFont="1" applyBorder="1" applyAlignment="1">
      <alignment horizontal="right"/>
    </xf>
    <xf numFmtId="3" fontId="0" fillId="3" borderId="2" xfId="5" applyNumberFormat="1" applyFont="1" applyFill="1" applyBorder="1" applyAlignment="1">
      <alignment horizontal="right"/>
    </xf>
    <xf numFmtId="43" fontId="0" fillId="0" borderId="2" xfId="3" applyFont="1" applyBorder="1"/>
    <xf numFmtId="167" fontId="0" fillId="0" borderId="2" xfId="0" applyNumberFormat="1" applyBorder="1"/>
    <xf numFmtId="0" fontId="0" fillId="0" borderId="1" xfId="0" applyBorder="1"/>
    <xf numFmtId="167" fontId="0" fillId="0" borderId="0" xfId="0" applyNumberFormat="1"/>
    <xf numFmtId="3" fontId="0" fillId="17" borderId="2" xfId="0" applyNumberFormat="1" applyFill="1" applyBorder="1"/>
    <xf numFmtId="49" fontId="8" fillId="2" borderId="0" xfId="4" applyNumberFormat="1" applyFont="1" applyFill="1" applyAlignment="1">
      <alignment wrapText="1"/>
    </xf>
    <xf numFmtId="49" fontId="8" fillId="0" borderId="0" xfId="4" applyNumberFormat="1" applyFont="1" applyAlignment="1">
      <alignment wrapText="1"/>
    </xf>
    <xf numFmtId="0" fontId="8" fillId="0" borderId="0" xfId="4" applyFont="1"/>
    <xf numFmtId="43" fontId="1" fillId="0" borderId="0" xfId="0" applyNumberFormat="1" applyFont="1"/>
    <xf numFmtId="0" fontId="7" fillId="0" borderId="0" xfId="4" applyFont="1" applyAlignment="1">
      <alignment horizontal="left"/>
    </xf>
    <xf numFmtId="1" fontId="7" fillId="0" borderId="0" xfId="4" applyNumberFormat="1" applyFont="1" applyAlignment="1">
      <alignment horizontal="right" wrapText="1"/>
    </xf>
    <xf numFmtId="2" fontId="6" fillId="0" borderId="0" xfId="0" applyNumberFormat="1" applyFont="1"/>
    <xf numFmtId="0" fontId="11" fillId="0" borderId="0" xfId="0" applyFont="1"/>
    <xf numFmtId="0" fontId="12" fillId="0" borderId="0" xfId="0" applyFont="1"/>
    <xf numFmtId="1" fontId="10" fillId="0" borderId="0" xfId="0" applyNumberFormat="1" applyFont="1" applyAlignment="1">
      <alignment horizontal="right" wrapText="1"/>
    </xf>
    <xf numFmtId="1" fontId="30" fillId="0" borderId="0" xfId="0" applyNumberFormat="1" applyFont="1" applyAlignment="1">
      <alignment horizontal="right" wrapText="1"/>
    </xf>
    <xf numFmtId="0" fontId="5" fillId="0" borderId="0" xfId="0" applyFont="1"/>
    <xf numFmtId="2" fontId="5" fillId="0" borderId="0" xfId="0" applyNumberFormat="1" applyFont="1"/>
    <xf numFmtId="0" fontId="5" fillId="0" borderId="0" xfId="0" applyFont="1" applyAlignment="1">
      <alignment horizontal="right"/>
    </xf>
    <xf numFmtId="0" fontId="19" fillId="0" borderId="3" xfId="4" applyFont="1" applyBorder="1"/>
    <xf numFmtId="0" fontId="19" fillId="0" borderId="3" xfId="4" applyFont="1" applyBorder="1" applyAlignment="1">
      <alignment horizontal="left"/>
    </xf>
    <xf numFmtId="2" fontId="19" fillId="0" borderId="3" xfId="4" applyNumberFormat="1" applyFont="1" applyBorder="1" applyAlignment="1">
      <alignment horizontal="left"/>
    </xf>
    <xf numFmtId="0" fontId="19" fillId="0" borderId="3" xfId="4" applyFont="1" applyBorder="1" applyAlignment="1">
      <alignment horizontal="right"/>
    </xf>
    <xf numFmtId="0" fontId="8" fillId="2" borderId="3" xfId="4" applyFont="1" applyFill="1" applyBorder="1"/>
    <xf numFmtId="0" fontId="8" fillId="2" borderId="3" xfId="4" applyFont="1" applyFill="1" applyBorder="1" applyAlignment="1">
      <alignment horizontal="left"/>
    </xf>
    <xf numFmtId="0" fontId="9" fillId="2" borderId="3" xfId="4" applyFont="1" applyFill="1" applyBorder="1" applyAlignment="1">
      <alignment horizontal="right" wrapText="1"/>
    </xf>
    <xf numFmtId="0" fontId="1" fillId="2" borderId="3" xfId="0" applyFont="1" applyFill="1" applyBorder="1" applyAlignment="1">
      <alignment horizontal="right"/>
    </xf>
    <xf numFmtId="0" fontId="8" fillId="0" borderId="0" xfId="4" applyFont="1" applyAlignment="1">
      <alignment horizontal="left"/>
    </xf>
    <xf numFmtId="0" fontId="9" fillId="0" borderId="0" xfId="4" applyFont="1" applyAlignment="1">
      <alignment horizontal="right" wrapText="1"/>
    </xf>
    <xf numFmtId="9" fontId="0" fillId="0" borderId="0" xfId="2" applyFont="1" applyBorder="1"/>
    <xf numFmtId="0" fontId="1" fillId="0" borderId="0" xfId="0" applyFont="1" applyAlignment="1">
      <alignment horizontal="right"/>
    </xf>
    <xf numFmtId="0" fontId="8" fillId="2" borderId="0" xfId="4" applyFont="1" applyFill="1"/>
    <xf numFmtId="0" fontId="8" fillId="2" borderId="0" xfId="4" applyFont="1" applyFill="1" applyAlignment="1">
      <alignment horizontal="left"/>
    </xf>
    <xf numFmtId="0" fontId="19" fillId="2" borderId="0" xfId="4" applyFont="1" applyFill="1" applyAlignment="1">
      <alignment horizontal="right" wrapText="1"/>
    </xf>
    <xf numFmtId="9" fontId="0" fillId="2" borderId="0" xfId="2" applyFont="1" applyFill="1" applyBorder="1"/>
    <xf numFmtId="0" fontId="1" fillId="2" borderId="0" xfId="0" applyFont="1" applyFill="1" applyAlignment="1">
      <alignment horizontal="right"/>
    </xf>
    <xf numFmtId="0" fontId="19" fillId="0" borderId="0" xfId="4" applyFont="1" applyAlignment="1">
      <alignment horizontal="right" wrapText="1"/>
    </xf>
    <xf numFmtId="0" fontId="8" fillId="2" borderId="0" xfId="4" applyFont="1" applyFill="1" applyAlignment="1">
      <alignment horizontal="right"/>
    </xf>
    <xf numFmtId="0" fontId="7" fillId="0" borderId="0" xfId="4" applyFont="1" applyAlignment="1">
      <alignment horizontal="right"/>
    </xf>
    <xf numFmtId="1" fontId="7" fillId="2" borderId="0" xfId="4" applyNumberFormat="1" applyFont="1" applyFill="1" applyAlignment="1">
      <alignment horizontal="right" wrapText="1"/>
    </xf>
    <xf numFmtId="0" fontId="7" fillId="2" borderId="0" xfId="4" applyFont="1" applyFill="1" applyAlignment="1">
      <alignment horizontal="right" wrapText="1"/>
    </xf>
    <xf numFmtId="0" fontId="10" fillId="0" borderId="0" xfId="0" applyFont="1" applyAlignment="1">
      <alignment horizontal="right" wrapText="1"/>
    </xf>
    <xf numFmtId="49" fontId="7" fillId="2" borderId="0" xfId="4" applyNumberFormat="1" applyFont="1" applyFill="1" applyAlignment="1">
      <alignment wrapText="1"/>
    </xf>
    <xf numFmtId="0" fontId="10" fillId="2" borderId="0" xfId="0" applyFont="1" applyFill="1" applyAlignment="1">
      <alignment horizontal="right" wrapText="1"/>
    </xf>
    <xf numFmtId="49" fontId="7" fillId="0" borderId="0" xfId="4" applyNumberFormat="1" applyFont="1" applyAlignment="1">
      <alignment wrapText="1"/>
    </xf>
    <xf numFmtId="0" fontId="30" fillId="2" borderId="0" xfId="0" applyFont="1" applyFill="1" applyAlignment="1">
      <alignment horizontal="right" wrapText="1"/>
    </xf>
    <xf numFmtId="0" fontId="30" fillId="0" borderId="0" xfId="0" applyFont="1" applyAlignment="1">
      <alignment horizontal="right" wrapText="1"/>
    </xf>
    <xf numFmtId="0" fontId="0" fillId="2" borderId="0" xfId="0" applyFill="1" applyAlignment="1">
      <alignment horizontal="right"/>
    </xf>
    <xf numFmtId="0" fontId="0" fillId="0" borderId="0" xfId="0" applyAlignment="1">
      <alignment horizontal="right"/>
    </xf>
    <xf numFmtId="0" fontId="0" fillId="0" borderId="0" xfId="3" applyNumberFormat="1" applyFont="1" applyBorder="1" applyAlignment="1">
      <alignment horizontal="right"/>
    </xf>
    <xf numFmtId="0" fontId="0" fillId="2" borderId="0" xfId="3" applyNumberFormat="1" applyFont="1" applyFill="1" applyBorder="1" applyAlignment="1">
      <alignment horizontal="right"/>
    </xf>
    <xf numFmtId="0" fontId="7" fillId="2" borderId="0" xfId="4" applyFont="1" applyFill="1" applyAlignment="1">
      <alignment horizontal="left"/>
    </xf>
    <xf numFmtId="0" fontId="9" fillId="2" borderId="0" xfId="4" applyFont="1" applyFill="1" applyAlignment="1">
      <alignment horizontal="right" wrapText="1"/>
    </xf>
    <xf numFmtId="0" fontId="12" fillId="2" borderId="0" xfId="0" applyFont="1" applyFill="1"/>
    <xf numFmtId="49" fontId="7" fillId="0" borderId="1" xfId="4" applyNumberFormat="1" applyFont="1" applyBorder="1" applyAlignment="1">
      <alignment wrapText="1"/>
    </xf>
    <xf numFmtId="9" fontId="0" fillId="0" borderId="1" xfId="2" applyFont="1" applyBorder="1"/>
    <xf numFmtId="0" fontId="0" fillId="0" borderId="1" xfId="0" applyBorder="1" applyAlignment="1">
      <alignment horizontal="right"/>
    </xf>
    <xf numFmtId="49" fontId="39" fillId="2" borderId="3" xfId="0" applyNumberFormat="1" applyFont="1" applyFill="1" applyBorder="1" applyAlignment="1">
      <alignment horizontal="right"/>
    </xf>
    <xf numFmtId="49" fontId="39" fillId="0" borderId="0" xfId="0" applyNumberFormat="1" applyFont="1" applyAlignment="1">
      <alignment horizontal="right"/>
    </xf>
    <xf numFmtId="49" fontId="39" fillId="2" borderId="0" xfId="0" applyNumberFormat="1" applyFont="1" applyFill="1" applyAlignment="1">
      <alignment horizontal="right"/>
    </xf>
    <xf numFmtId="49" fontId="8" fillId="2" borderId="0" xfId="4" applyNumberFormat="1" applyFont="1" applyFill="1" applyAlignment="1">
      <alignment horizontal="right"/>
    </xf>
    <xf numFmtId="49" fontId="8" fillId="0" borderId="0" xfId="4" applyNumberFormat="1" applyFont="1" applyAlignment="1">
      <alignment horizontal="right"/>
    </xf>
    <xf numFmtId="165" fontId="0" fillId="2" borderId="0" xfId="3" applyNumberFormat="1" applyFont="1" applyFill="1" applyBorder="1" applyAlignment="1">
      <alignment horizontal="right"/>
    </xf>
    <xf numFmtId="165" fontId="0" fillId="3" borderId="2" xfId="0" applyNumberFormat="1" applyFill="1" applyBorder="1"/>
    <xf numFmtId="165" fontId="1" fillId="0" borderId="2" xfId="3" applyNumberFormat="1" applyFont="1" applyFill="1" applyBorder="1"/>
    <xf numFmtId="165" fontId="1" fillId="0" borderId="47" xfId="3" applyNumberFormat="1" applyFont="1" applyBorder="1"/>
    <xf numFmtId="0" fontId="1" fillId="0" borderId="47" xfId="0" applyFont="1" applyBorder="1"/>
    <xf numFmtId="165" fontId="1" fillId="0" borderId="0" xfId="3" applyNumberFormat="1" applyFont="1" applyFill="1" applyBorder="1"/>
    <xf numFmtId="165" fontId="0" fillId="4" borderId="2" xfId="0" applyNumberFormat="1" applyFill="1" applyBorder="1"/>
    <xf numFmtId="165" fontId="0" fillId="4" borderId="47" xfId="0" applyNumberFormat="1" applyFill="1" applyBorder="1"/>
    <xf numFmtId="165" fontId="5" fillId="0" borderId="2" xfId="3" applyNumberFormat="1" applyFont="1" applyBorder="1"/>
    <xf numFmtId="0" fontId="36" fillId="0" borderId="0" xfId="0" applyFont="1"/>
    <xf numFmtId="165" fontId="12" fillId="2" borderId="0" xfId="3" applyNumberFormat="1" applyFont="1" applyFill="1" applyBorder="1" applyAlignment="1">
      <alignment horizontal="right"/>
    </xf>
    <xf numFmtId="9" fontId="5" fillId="0" borderId="0" xfId="2" applyFont="1" applyFill="1" applyBorder="1"/>
    <xf numFmtId="1" fontId="0" fillId="0" borderId="1" xfId="0" applyNumberFormat="1" applyBorder="1" applyAlignment="1">
      <alignment horizontal="right"/>
    </xf>
    <xf numFmtId="1" fontId="1" fillId="0" borderId="2" xfId="0" applyNumberFormat="1" applyFont="1" applyBorder="1"/>
    <xf numFmtId="165" fontId="1" fillId="4" borderId="2" xfId="3" applyNumberFormat="1" applyFont="1" applyFill="1" applyBorder="1"/>
    <xf numFmtId="0" fontId="56" fillId="0" borderId="2" xfId="0" applyFont="1" applyBorder="1"/>
    <xf numFmtId="0" fontId="6" fillId="0" borderId="2" xfId="0" applyFont="1" applyBorder="1"/>
    <xf numFmtId="0" fontId="4" fillId="0" borderId="2" xfId="1" applyBorder="1"/>
    <xf numFmtId="177" fontId="9" fillId="0" borderId="40" xfId="0" applyNumberFormat="1" applyFont="1" applyBorder="1" applyAlignment="1">
      <alignment horizontal="center" vertical="center"/>
    </xf>
    <xf numFmtId="170" fontId="0" fillId="0" borderId="40" xfId="0" applyNumberFormat="1" applyBorder="1"/>
    <xf numFmtId="167" fontId="7" fillId="17" borderId="47" xfId="6" applyNumberFormat="1" applyFill="1" applyBorder="1" applyAlignment="1">
      <alignment horizontal="right"/>
    </xf>
    <xf numFmtId="1" fontId="40" fillId="0" borderId="56" xfId="5" applyNumberFormat="1" applyFont="1" applyBorder="1" applyAlignment="1">
      <alignment horizontal="left"/>
    </xf>
    <xf numFmtId="3" fontId="7" fillId="0" borderId="57" xfId="6" applyNumberFormat="1" applyFill="1" applyBorder="1" applyAlignment="1">
      <alignment horizontal="right"/>
    </xf>
    <xf numFmtId="3" fontId="7" fillId="0" borderId="58" xfId="6" applyNumberFormat="1" applyFill="1" applyBorder="1" applyAlignment="1">
      <alignment horizontal="right"/>
    </xf>
    <xf numFmtId="3" fontId="7" fillId="0" borderId="59" xfId="6" applyNumberFormat="1" applyFill="1" applyBorder="1" applyAlignment="1">
      <alignment horizontal="right"/>
    </xf>
    <xf numFmtId="1" fontId="40" fillId="0" borderId="53" xfId="5" applyNumberFormat="1" applyFont="1" applyBorder="1" applyAlignment="1">
      <alignment horizontal="left"/>
    </xf>
    <xf numFmtId="3" fontId="7" fillId="0" borderId="26" xfId="6" applyNumberFormat="1" applyFill="1" applyBorder="1" applyAlignment="1">
      <alignment horizontal="right"/>
    </xf>
    <xf numFmtId="3" fontId="7" fillId="0" borderId="24" xfId="6" applyNumberFormat="1" applyFill="1" applyBorder="1" applyAlignment="1">
      <alignment horizontal="right"/>
    </xf>
    <xf numFmtId="3" fontId="7" fillId="3" borderId="25" xfId="6" applyNumberFormat="1" applyFill="1" applyBorder="1" applyAlignment="1">
      <alignment horizontal="right"/>
    </xf>
    <xf numFmtId="167" fontId="7" fillId="3" borderId="26" xfId="6" applyNumberFormat="1" applyFill="1" applyBorder="1" applyAlignment="1">
      <alignment horizontal="right"/>
    </xf>
    <xf numFmtId="1" fontId="40" fillId="0" borderId="54" xfId="5" applyNumberFormat="1" applyFont="1" applyBorder="1" applyAlignment="1">
      <alignment horizontal="left"/>
    </xf>
    <xf numFmtId="167" fontId="7" fillId="3" borderId="28" xfId="6" applyNumberFormat="1" applyFill="1" applyBorder="1" applyAlignment="1">
      <alignment horizontal="right"/>
    </xf>
    <xf numFmtId="1" fontId="40" fillId="0" borderId="27" xfId="5" applyNumberFormat="1" applyFont="1" applyBorder="1" applyAlignment="1">
      <alignment horizontal="left"/>
    </xf>
    <xf numFmtId="168" fontId="0" fillId="17" borderId="28" xfId="0" applyNumberFormat="1" applyFill="1" applyBorder="1"/>
    <xf numFmtId="1" fontId="40" fillId="0" borderId="29" xfId="5" applyNumberFormat="1" applyFont="1" applyBorder="1" applyAlignment="1">
      <alignment horizontal="left"/>
    </xf>
    <xf numFmtId="0" fontId="0" fillId="17" borderId="30" xfId="0" applyFill="1" applyBorder="1"/>
    <xf numFmtId="168" fontId="0" fillId="17" borderId="31" xfId="0" applyNumberFormat="1" applyFill="1" applyBorder="1"/>
    <xf numFmtId="43" fontId="0" fillId="2" borderId="0" xfId="3" applyFont="1" applyFill="1"/>
    <xf numFmtId="43" fontId="12" fillId="0" borderId="0" xfId="3" applyFont="1"/>
    <xf numFmtId="165" fontId="0" fillId="0" borderId="47" xfId="0" applyNumberFormat="1" applyBorder="1"/>
    <xf numFmtId="0" fontId="56" fillId="0" borderId="24" xfId="0" applyFont="1" applyBorder="1" applyAlignment="1">
      <alignment horizontal="center" vertical="top"/>
    </xf>
    <xf numFmtId="0" fontId="56" fillId="0" borderId="25" xfId="0" applyFont="1" applyBorder="1" applyAlignment="1">
      <alignment horizontal="center" vertical="top"/>
    </xf>
    <xf numFmtId="0" fontId="56" fillId="0" borderId="26" xfId="0" applyFont="1" applyBorder="1" applyAlignment="1">
      <alignment horizontal="center" vertical="top"/>
    </xf>
    <xf numFmtId="0" fontId="0" fillId="0" borderId="37" xfId="0" applyBorder="1"/>
    <xf numFmtId="9" fontId="0" fillId="0" borderId="37" xfId="2" applyFont="1" applyBorder="1"/>
    <xf numFmtId="9" fontId="0" fillId="0" borderId="23" xfId="0" applyNumberFormat="1" applyBorder="1"/>
    <xf numFmtId="9" fontId="0" fillId="0" borderId="21" xfId="0" applyNumberFormat="1" applyBorder="1"/>
    <xf numFmtId="0" fontId="40" fillId="0" borderId="2" xfId="7" applyFont="1" applyBorder="1" applyAlignment="1">
      <alignment horizontal="right"/>
    </xf>
    <xf numFmtId="3" fontId="16" fillId="0" borderId="2" xfId="8" applyNumberFormat="1" applyFont="1" applyBorder="1" applyAlignment="1">
      <alignment horizontal="left"/>
    </xf>
    <xf numFmtId="3" fontId="16" fillId="0" borderId="2" xfId="7" applyNumberFormat="1" applyBorder="1"/>
    <xf numFmtId="177" fontId="16" fillId="0" borderId="2" xfId="8" applyNumberFormat="1" applyFont="1" applyBorder="1" applyAlignment="1">
      <alignment horizontal="left"/>
    </xf>
    <xf numFmtId="177" fontId="16" fillId="0" borderId="2" xfId="7" applyNumberFormat="1" applyBorder="1"/>
    <xf numFmtId="177" fontId="16" fillId="0" borderId="2" xfId="8" applyNumberFormat="1" applyFont="1" applyBorder="1"/>
    <xf numFmtId="3" fontId="16" fillId="0" borderId="2" xfId="8" applyNumberFormat="1" applyFont="1" applyBorder="1"/>
    <xf numFmtId="3" fontId="40" fillId="0" borderId="2" xfId="7" applyNumberFormat="1" applyFont="1" applyBorder="1"/>
    <xf numFmtId="2" fontId="0" fillId="0" borderId="0" xfId="2" applyNumberFormat="1" applyFont="1"/>
    <xf numFmtId="0" fontId="0" fillId="0" borderId="27" xfId="0" applyBorder="1"/>
    <xf numFmtId="0" fontId="0" fillId="0" borderId="28" xfId="0" applyBorder="1"/>
    <xf numFmtId="0" fontId="0" fillId="0" borderId="29" xfId="0" applyBorder="1"/>
    <xf numFmtId="0" fontId="0" fillId="0" borderId="31" xfId="0" applyBorder="1"/>
    <xf numFmtId="43" fontId="0" fillId="0" borderId="28" xfId="3" applyFont="1" applyBorder="1"/>
    <xf numFmtId="49" fontId="0" fillId="0" borderId="2" xfId="0" applyNumberFormat="1" applyBorder="1"/>
    <xf numFmtId="0" fontId="56" fillId="0" borderId="2" xfId="0" applyFont="1" applyBorder="1" applyAlignment="1">
      <alignment horizontal="center" vertical="top"/>
    </xf>
    <xf numFmtId="168" fontId="9" fillId="12" borderId="8" xfId="0" applyNumberFormat="1" applyFont="1" applyFill="1" applyBorder="1" applyAlignment="1">
      <alignment horizontal="left" vertical="center"/>
    </xf>
    <xf numFmtId="168" fontId="40" fillId="12" borderId="8" xfId="0" applyNumberFormat="1" applyFont="1" applyFill="1" applyBorder="1" applyAlignment="1">
      <alignment horizontal="left" vertical="center"/>
    </xf>
    <xf numFmtId="167" fontId="0" fillId="12" borderId="8" xfId="0" applyNumberFormat="1" applyFill="1" applyBorder="1" applyAlignment="1">
      <alignment horizontal="left" vertical="center"/>
    </xf>
    <xf numFmtId="0" fontId="0" fillId="0" borderId="8" xfId="0" applyBorder="1" applyAlignment="1">
      <alignment vertical="center"/>
    </xf>
    <xf numFmtId="167" fontId="40" fillId="12" borderId="8" xfId="0" applyNumberFormat="1" applyFont="1" applyFill="1" applyBorder="1" applyAlignment="1">
      <alignment horizontal="left" vertical="center"/>
    </xf>
    <xf numFmtId="168" fontId="9" fillId="0" borderId="8" xfId="0" applyNumberFormat="1" applyFont="1" applyBorder="1" applyAlignment="1">
      <alignment horizontal="left" vertical="center"/>
    </xf>
    <xf numFmtId="167" fontId="9" fillId="0" borderId="8" xfId="0" applyNumberFormat="1" applyFont="1" applyBorder="1" applyAlignment="1">
      <alignment horizontal="left" vertical="center"/>
    </xf>
    <xf numFmtId="167" fontId="40" fillId="0" borderId="8" xfId="0" applyNumberFormat="1" applyFont="1" applyBorder="1" applyAlignment="1">
      <alignment horizontal="left" vertical="center"/>
    </xf>
    <xf numFmtId="0" fontId="9" fillId="0" borderId="8" xfId="0" applyFont="1" applyBorder="1" applyAlignment="1">
      <alignment horizontal="left" vertical="center"/>
    </xf>
    <xf numFmtId="168" fontId="0" fillId="12" borderId="8" xfId="0" applyNumberFormat="1" applyFill="1" applyBorder="1" applyAlignment="1">
      <alignment horizontal="left" vertical="center"/>
    </xf>
    <xf numFmtId="168" fontId="7" fillId="0" borderId="8" xfId="0" applyNumberFormat="1" applyFont="1" applyBorder="1" applyAlignment="1">
      <alignment horizontal="left" vertical="center"/>
    </xf>
    <xf numFmtId="167" fontId="7" fillId="0" borderId="8" xfId="0" applyNumberFormat="1" applyFont="1" applyBorder="1" applyAlignment="1">
      <alignment horizontal="left" vertical="center"/>
    </xf>
    <xf numFmtId="0" fontId="0" fillId="18" borderId="8" xfId="0" applyFill="1" applyBorder="1" applyAlignment="1">
      <alignment vertical="center"/>
    </xf>
    <xf numFmtId="0" fontId="7" fillId="0" borderId="8" xfId="0" applyFont="1" applyBorder="1" applyAlignment="1">
      <alignment horizontal="left" vertical="center"/>
    </xf>
    <xf numFmtId="4" fontId="7" fillId="12" borderId="8" xfId="0" applyNumberFormat="1" applyFont="1" applyFill="1" applyBorder="1" applyAlignment="1">
      <alignment horizontal="left" vertical="center"/>
    </xf>
    <xf numFmtId="4" fontId="7" fillId="0" borderId="8" xfId="0" applyNumberFormat="1" applyFont="1" applyBorder="1" applyAlignment="1">
      <alignment horizontal="left" vertical="center"/>
    </xf>
    <xf numFmtId="10" fontId="7" fillId="0" borderId="8" xfId="0" applyNumberFormat="1" applyFont="1" applyBorder="1" applyAlignment="1">
      <alignment horizontal="left" vertical="center"/>
    </xf>
    <xf numFmtId="4" fontId="9" fillId="0" borderId="8" xfId="0" applyNumberFormat="1" applyFont="1" applyBorder="1" applyAlignment="1">
      <alignment horizontal="left" vertical="center"/>
    </xf>
    <xf numFmtId="177" fontId="7" fillId="0" borderId="8" xfId="2" applyNumberFormat="1" applyFont="1" applyBorder="1" applyAlignment="1">
      <alignment horizontal="left" vertical="center"/>
    </xf>
    <xf numFmtId="177" fontId="7" fillId="12" borderId="8" xfId="0" applyNumberFormat="1" applyFont="1" applyFill="1" applyBorder="1" applyAlignment="1">
      <alignment horizontal="left" vertical="center"/>
    </xf>
    <xf numFmtId="3" fontId="9" fillId="12" borderId="8" xfId="0" applyNumberFormat="1" applyFont="1" applyFill="1" applyBorder="1" applyAlignment="1">
      <alignment horizontal="left" vertical="center"/>
    </xf>
    <xf numFmtId="3" fontId="7" fillId="12" borderId="8" xfId="0" applyNumberFormat="1" applyFont="1" applyFill="1" applyBorder="1" applyAlignment="1">
      <alignment horizontal="left" vertical="center"/>
    </xf>
    <xf numFmtId="0" fontId="9" fillId="0" borderId="0" xfId="0" applyFont="1" applyAlignment="1">
      <alignment horizontal="left" vertical="center"/>
    </xf>
    <xf numFmtId="3" fontId="7" fillId="0" borderId="0" xfId="0" applyNumberFormat="1" applyFont="1" applyAlignment="1">
      <alignment horizontal="left" vertical="center"/>
    </xf>
    <xf numFmtId="177" fontId="7" fillId="0" borderId="0" xfId="2" applyNumberFormat="1" applyFont="1" applyAlignment="1">
      <alignment horizontal="left" vertical="center"/>
    </xf>
    <xf numFmtId="0" fontId="7" fillId="0" borderId="0" xfId="0" applyFont="1" applyAlignment="1">
      <alignment horizontal="left" vertical="center"/>
    </xf>
    <xf numFmtId="3" fontId="9" fillId="0" borderId="0" xfId="0" applyNumberFormat="1" applyFont="1" applyAlignment="1">
      <alignment horizontal="left" vertical="center"/>
    </xf>
    <xf numFmtId="167" fontId="9" fillId="0" borderId="0" xfId="0" applyNumberFormat="1" applyFont="1" applyAlignment="1">
      <alignment horizontal="left" vertical="center"/>
    </xf>
    <xf numFmtId="10" fontId="7" fillId="0" borderId="0" xfId="0" applyNumberFormat="1" applyFont="1" applyAlignment="1">
      <alignment horizontal="left" vertical="center"/>
    </xf>
    <xf numFmtId="10" fontId="7" fillId="12" borderId="8" xfId="0" applyNumberFormat="1" applyFont="1" applyFill="1" applyBorder="1" applyAlignment="1">
      <alignment horizontal="left" vertical="center"/>
    </xf>
    <xf numFmtId="9" fontId="7" fillId="12" borderId="8" xfId="0" applyNumberFormat="1" applyFont="1" applyFill="1" applyBorder="1" applyAlignment="1">
      <alignment horizontal="left" vertical="center"/>
    </xf>
    <xf numFmtId="1" fontId="7" fillId="0" borderId="0" xfId="0" applyNumberFormat="1" applyFont="1" applyAlignment="1">
      <alignment horizontal="left" vertical="center"/>
    </xf>
    <xf numFmtId="4" fontId="9" fillId="0" borderId="0" xfId="0" applyNumberFormat="1" applyFont="1" applyAlignment="1">
      <alignment horizontal="left" vertical="center"/>
    </xf>
    <xf numFmtId="0" fontId="9" fillId="18" borderId="61" xfId="0" applyFont="1" applyFill="1" applyBorder="1" applyAlignment="1">
      <alignment horizontal="left" vertical="center"/>
    </xf>
    <xf numFmtId="10" fontId="9" fillId="18" borderId="61" xfId="0" applyNumberFormat="1" applyFont="1" applyFill="1" applyBorder="1" applyAlignment="1">
      <alignment horizontal="left" vertical="center"/>
    </xf>
    <xf numFmtId="0" fontId="7" fillId="18" borderId="61" xfId="0" applyFont="1" applyFill="1" applyBorder="1" applyAlignment="1">
      <alignment horizontal="left" vertical="center"/>
    </xf>
    <xf numFmtId="10" fontId="7" fillId="18" borderId="61" xfId="0" applyNumberFormat="1" applyFont="1" applyFill="1" applyBorder="1" applyAlignment="1">
      <alignment horizontal="left" vertical="center"/>
    </xf>
    <xf numFmtId="2" fontId="7" fillId="18" borderId="61" xfId="0" applyNumberFormat="1" applyFont="1" applyFill="1" applyBorder="1" applyAlignment="1">
      <alignment horizontal="left" vertical="center"/>
    </xf>
    <xf numFmtId="177" fontId="7" fillId="0" borderId="0" xfId="0" applyNumberFormat="1" applyFont="1" applyAlignment="1">
      <alignment horizontal="left" vertical="center"/>
    </xf>
    <xf numFmtId="9" fontId="7" fillId="0" borderId="0" xfId="0" applyNumberFormat="1" applyFont="1" applyAlignment="1">
      <alignment horizontal="left" vertical="center"/>
    </xf>
    <xf numFmtId="177" fontId="9" fillId="12" borderId="8" xfId="0" applyNumberFormat="1" applyFont="1" applyFill="1" applyBorder="1" applyAlignment="1">
      <alignment horizontal="left" vertical="center"/>
    </xf>
    <xf numFmtId="9" fontId="9" fillId="12" borderId="8" xfId="0" applyNumberFormat="1" applyFont="1" applyFill="1" applyBorder="1" applyAlignment="1">
      <alignment horizontal="left" vertical="center"/>
    </xf>
    <xf numFmtId="177" fontId="9" fillId="0" borderId="0" xfId="0" applyNumberFormat="1" applyFont="1" applyAlignment="1">
      <alignment horizontal="left" vertical="center"/>
    </xf>
    <xf numFmtId="9" fontId="9" fillId="0" borderId="0" xfId="0" applyNumberFormat="1" applyFont="1" applyAlignment="1">
      <alignment horizontal="left" vertical="center"/>
    </xf>
    <xf numFmtId="177" fontId="9" fillId="0" borderId="8" xfId="0" applyNumberFormat="1" applyFont="1" applyBorder="1" applyAlignment="1">
      <alignment horizontal="left" vertical="center"/>
    </xf>
    <xf numFmtId="9" fontId="9" fillId="0" borderId="8" xfId="0" applyNumberFormat="1" applyFont="1" applyBorder="1" applyAlignment="1">
      <alignment horizontal="left" vertical="center"/>
    </xf>
    <xf numFmtId="0" fontId="9" fillId="0" borderId="0" xfId="0" applyFont="1" applyAlignment="1">
      <alignment vertical="center"/>
    </xf>
    <xf numFmtId="0" fontId="7" fillId="0" borderId="0" xfId="0" applyFont="1" applyAlignment="1">
      <alignment vertical="center"/>
    </xf>
    <xf numFmtId="0" fontId="9" fillId="0" borderId="8" xfId="0" applyFont="1" applyBorder="1" applyAlignment="1">
      <alignment vertical="center"/>
    </xf>
    <xf numFmtId="0" fontId="7" fillId="0" borderId="8" xfId="0" applyFont="1" applyBorder="1" applyAlignment="1">
      <alignment vertical="center"/>
    </xf>
    <xf numFmtId="0" fontId="7" fillId="19" borderId="8" xfId="0" applyFont="1" applyFill="1" applyBorder="1" applyAlignment="1">
      <alignment vertical="center"/>
    </xf>
    <xf numFmtId="0" fontId="40" fillId="19" borderId="8" xfId="0" applyFont="1" applyFill="1" applyBorder="1" applyAlignment="1">
      <alignment vertical="center"/>
    </xf>
    <xf numFmtId="0" fontId="9" fillId="12" borderId="62" xfId="0" applyFont="1" applyFill="1" applyBorder="1" applyAlignment="1">
      <alignment vertical="center"/>
    </xf>
    <xf numFmtId="0" fontId="16" fillId="12" borderId="8" xfId="0" applyFont="1" applyFill="1" applyBorder="1" applyAlignment="1">
      <alignment vertical="center"/>
    </xf>
    <xf numFmtId="0" fontId="7" fillId="12" borderId="62" xfId="0" applyFont="1" applyFill="1" applyBorder="1" applyAlignment="1">
      <alignment vertical="center"/>
    </xf>
    <xf numFmtId="177" fontId="7" fillId="12" borderId="8" xfId="0" applyNumberFormat="1" applyFont="1" applyFill="1" applyBorder="1" applyAlignment="1">
      <alignment vertical="center"/>
    </xf>
    <xf numFmtId="49" fontId="16" fillId="12" borderId="8" xfId="0" applyNumberFormat="1" applyFont="1" applyFill="1" applyBorder="1" applyAlignment="1">
      <alignment horizontal="left" vertical="center"/>
    </xf>
    <xf numFmtId="49" fontId="9" fillId="12" borderId="8" xfId="0" applyNumberFormat="1" applyFont="1" applyFill="1" applyBorder="1" applyAlignment="1">
      <alignment vertical="center"/>
    </xf>
    <xf numFmtId="49" fontId="7" fillId="12" borderId="8" xfId="0" applyNumberFormat="1" applyFont="1" applyFill="1" applyBorder="1" applyAlignment="1">
      <alignment horizontal="left" vertical="center"/>
    </xf>
    <xf numFmtId="10" fontId="16" fillId="12" borderId="62" xfId="0" applyNumberFormat="1" applyFont="1" applyFill="1" applyBorder="1" applyAlignment="1">
      <alignment horizontal="left" vertical="center"/>
    </xf>
    <xf numFmtId="10" fontId="16" fillId="12" borderId="8" xfId="0" applyNumberFormat="1" applyFont="1" applyFill="1" applyBorder="1" applyAlignment="1">
      <alignment horizontal="left" vertical="center"/>
    </xf>
    <xf numFmtId="49" fontId="7" fillId="12" borderId="8" xfId="0" applyNumberFormat="1" applyFont="1" applyFill="1" applyBorder="1" applyAlignment="1">
      <alignment vertical="center"/>
    </xf>
    <xf numFmtId="168" fontId="7" fillId="0" borderId="0" xfId="0" applyNumberFormat="1" applyFont="1" applyAlignment="1">
      <alignment horizontal="left" vertical="center"/>
    </xf>
    <xf numFmtId="10" fontId="7" fillId="0" borderId="0" xfId="0" applyNumberFormat="1" applyFont="1" applyAlignment="1">
      <alignment vertical="center"/>
    </xf>
    <xf numFmtId="168" fontId="40" fillId="19" borderId="8" xfId="0" applyNumberFormat="1" applyFont="1" applyFill="1" applyBorder="1" applyAlignment="1">
      <alignment horizontal="left" vertical="center"/>
    </xf>
    <xf numFmtId="168" fontId="7" fillId="0" borderId="0" xfId="0" applyNumberFormat="1" applyFont="1" applyAlignment="1">
      <alignment vertical="center"/>
    </xf>
    <xf numFmtId="0" fontId="62" fillId="0" borderId="0" xfId="9" applyFont="1" applyFill="1" applyBorder="1" applyAlignment="1">
      <alignment vertical="center"/>
    </xf>
    <xf numFmtId="0" fontId="64" fillId="0" borderId="0" xfId="5" applyFont="1"/>
    <xf numFmtId="0" fontId="64" fillId="0" borderId="0" xfId="5" applyFont="1" applyBorder="1"/>
    <xf numFmtId="0" fontId="32" fillId="0" borderId="0" xfId="10" applyFont="1" applyAlignment="1">
      <alignment vertical="center"/>
    </xf>
    <xf numFmtId="0" fontId="33" fillId="0" borderId="0" xfId="11" applyFont="1" applyAlignment="1">
      <alignment horizontal="left" vertical="center"/>
    </xf>
    <xf numFmtId="3" fontId="33" fillId="0" borderId="0" xfId="12" applyNumberFormat="1" applyFont="1" applyBorder="1" applyAlignment="1">
      <alignment vertical="center"/>
    </xf>
    <xf numFmtId="0" fontId="65" fillId="0" borderId="0" xfId="13" applyFont="1" applyBorder="1" applyAlignment="1">
      <alignment horizontal="right" vertical="center"/>
    </xf>
    <xf numFmtId="0" fontId="35" fillId="0" borderId="7" xfId="0" applyFont="1" applyBorder="1" applyAlignment="1">
      <alignment horizontal="left"/>
    </xf>
    <xf numFmtId="0" fontId="35" fillId="0" borderId="0" xfId="0" applyFont="1"/>
    <xf numFmtId="0" fontId="35" fillId="0" borderId="7" xfId="0" applyFont="1" applyBorder="1" applyAlignment="1">
      <alignment horizontal="right"/>
    </xf>
    <xf numFmtId="0" fontId="35" fillId="0" borderId="13" xfId="0" applyFont="1" applyBorder="1" applyAlignment="1">
      <alignment horizontal="right"/>
    </xf>
    <xf numFmtId="0" fontId="35" fillId="0" borderId="0" xfId="5" applyFont="1" applyAlignment="1">
      <alignment horizontal="right"/>
    </xf>
    <xf numFmtId="0" fontId="33" fillId="0" borderId="0" xfId="5" applyFont="1"/>
    <xf numFmtId="0" fontId="33" fillId="0" borderId="0" xfId="5" applyFont="1" applyBorder="1" applyAlignment="1">
      <alignment horizontal="left"/>
    </xf>
    <xf numFmtId="49" fontId="33" fillId="0" borderId="0" xfId="5" applyNumberFormat="1" applyFont="1" applyBorder="1" applyAlignment="1">
      <alignment horizontal="left"/>
    </xf>
    <xf numFmtId="0" fontId="33" fillId="0" borderId="0" xfId="5" applyFont="1" applyBorder="1"/>
    <xf numFmtId="167" fontId="33" fillId="0" borderId="63" xfId="0" applyNumberFormat="1" applyFont="1" applyBorder="1"/>
    <xf numFmtId="167" fontId="33" fillId="0" borderId="0" xfId="3" applyNumberFormat="1" applyFont="1" applyFill="1"/>
    <xf numFmtId="167" fontId="33" fillId="0" borderId="0" xfId="3" applyNumberFormat="1" applyFont="1" applyFill="1" applyBorder="1"/>
    <xf numFmtId="167" fontId="33" fillId="0" borderId="23" xfId="3" applyNumberFormat="1" applyFont="1" applyFill="1" applyBorder="1"/>
    <xf numFmtId="0" fontId="33" fillId="0" borderId="64" xfId="5" applyFont="1" applyBorder="1" applyAlignment="1">
      <alignment horizontal="left"/>
    </xf>
    <xf numFmtId="0" fontId="33" fillId="0" borderId="64" xfId="5" applyFont="1" applyBorder="1"/>
    <xf numFmtId="0" fontId="35" fillId="0" borderId="64" xfId="5" applyFont="1" applyBorder="1" applyAlignment="1">
      <alignment horizontal="left"/>
    </xf>
    <xf numFmtId="167" fontId="35" fillId="0" borderId="64" xfId="5" applyNumberFormat="1" applyFont="1" applyBorder="1"/>
    <xf numFmtId="167" fontId="35" fillId="0" borderId="0" xfId="3" applyNumberFormat="1" applyFont="1" applyFill="1"/>
    <xf numFmtId="0" fontId="64" fillId="0" borderId="0" xfId="5" applyFont="1" applyBorder="1" applyAlignment="1">
      <alignment horizontal="left"/>
    </xf>
    <xf numFmtId="43" fontId="64" fillId="0" borderId="0" xfId="3" applyFont="1" applyFill="1" applyBorder="1"/>
    <xf numFmtId="43" fontId="64" fillId="0" borderId="0" xfId="3" applyFont="1" applyFill="1"/>
    <xf numFmtId="179" fontId="64" fillId="0" borderId="0" xfId="5" applyNumberFormat="1" applyFont="1" applyBorder="1"/>
    <xf numFmtId="179" fontId="64" fillId="0" borderId="0" xfId="5" applyNumberFormat="1" applyFont="1"/>
    <xf numFmtId="0" fontId="35" fillId="0" borderId="7" xfId="5" applyFont="1" applyBorder="1" applyAlignment="1">
      <alignment horizontal="left"/>
    </xf>
    <xf numFmtId="0" fontId="35" fillId="0" borderId="7" xfId="5" applyFont="1" applyBorder="1" applyAlignment="1">
      <alignment horizontal="right"/>
    </xf>
    <xf numFmtId="0" fontId="35" fillId="0" borderId="0" xfId="5" applyFont="1" applyAlignment="1">
      <alignment horizontal="left"/>
    </xf>
    <xf numFmtId="0" fontId="33" fillId="0" borderId="0" xfId="5" applyNumberFormat="1" applyFont="1" applyBorder="1" applyAlignment="1">
      <alignment horizontal="left"/>
    </xf>
    <xf numFmtId="0" fontId="35" fillId="0" borderId="64" xfId="5" applyFont="1" applyBorder="1"/>
    <xf numFmtId="0" fontId="35" fillId="0" borderId="0" xfId="5" applyFont="1"/>
    <xf numFmtId="0" fontId="64" fillId="0" borderId="0" xfId="5" applyFont="1" applyAlignment="1">
      <alignment horizontal="left"/>
    </xf>
    <xf numFmtId="168" fontId="64" fillId="0" borderId="0" xfId="5" applyNumberFormat="1" applyFont="1"/>
    <xf numFmtId="180" fontId="66" fillId="0" borderId="65" xfId="0" applyNumberFormat="1" applyFont="1" applyBorder="1"/>
    <xf numFmtId="0" fontId="64" fillId="0" borderId="0" xfId="0" applyFont="1" applyAlignment="1">
      <alignment horizontal="left" vertical="center"/>
    </xf>
    <xf numFmtId="0" fontId="64" fillId="0" borderId="0" xfId="0" applyFont="1" applyAlignment="1">
      <alignment vertical="center"/>
    </xf>
    <xf numFmtId="167" fontId="64" fillId="0" borderId="0" xfId="0" applyNumberFormat="1" applyFont="1" applyAlignment="1">
      <alignment vertical="center"/>
    </xf>
    <xf numFmtId="0" fontId="67" fillId="0" borderId="0" xfId="0" applyFont="1"/>
    <xf numFmtId="0" fontId="68" fillId="0" borderId="0" xfId="0" applyFont="1"/>
    <xf numFmtId="0" fontId="0" fillId="4" borderId="0" xfId="0" applyFill="1"/>
    <xf numFmtId="0" fontId="1" fillId="4" borderId="0" xfId="0" applyFont="1" applyFill="1"/>
    <xf numFmtId="0" fontId="1" fillId="3" borderId="0" xfId="0" applyFont="1" applyFill="1"/>
    <xf numFmtId="0" fontId="1" fillId="20" borderId="0" xfId="0" applyFont="1" applyFill="1"/>
    <xf numFmtId="49" fontId="0" fillId="4" borderId="0" xfId="0" applyNumberFormat="1" applyFill="1"/>
    <xf numFmtId="2" fontId="3" fillId="4" borderId="0" xfId="0" applyNumberFormat="1" applyFont="1" applyFill="1"/>
    <xf numFmtId="0" fontId="3" fillId="3" borderId="0" xfId="0" applyFont="1" applyFill="1"/>
    <xf numFmtId="168" fontId="0" fillId="20" borderId="0" xfId="0" applyNumberFormat="1" applyFill="1"/>
    <xf numFmtId="2" fontId="0" fillId="4" borderId="0" xfId="0" applyNumberFormat="1" applyFill="1"/>
    <xf numFmtId="0" fontId="0" fillId="3" borderId="0" xfId="0" applyFill="1"/>
    <xf numFmtId="1" fontId="3" fillId="3" borderId="0" xfId="0" applyNumberFormat="1" applyFont="1" applyFill="1"/>
    <xf numFmtId="49" fontId="3" fillId="4" borderId="0" xfId="0" applyNumberFormat="1" applyFont="1" applyFill="1"/>
    <xf numFmtId="2" fontId="3" fillId="4" borderId="0" xfId="0" applyNumberFormat="1" applyFont="1" applyFill="1" applyAlignment="1">
      <alignment horizontal="left"/>
    </xf>
    <xf numFmtId="0" fontId="69" fillId="0" borderId="0" xfId="0" applyFont="1"/>
    <xf numFmtId="0" fontId="1" fillId="0" borderId="66" xfId="0" applyFont="1" applyBorder="1"/>
    <xf numFmtId="181" fontId="0" fillId="0" borderId="0" xfId="0" applyNumberFormat="1"/>
    <xf numFmtId="0" fontId="0" fillId="21" borderId="2" xfId="0" applyFill="1" applyBorder="1"/>
    <xf numFmtId="0" fontId="2" fillId="17" borderId="6" xfId="0" applyFont="1" applyFill="1" applyBorder="1"/>
    <xf numFmtId="49" fontId="3" fillId="6" borderId="67" xfId="0" applyNumberFormat="1" applyFont="1" applyFill="1" applyBorder="1"/>
    <xf numFmtId="0" fontId="2" fillId="5" borderId="6" xfId="0" applyFont="1" applyFill="1" applyBorder="1"/>
    <xf numFmtId="49" fontId="2" fillId="5" borderId="6" xfId="0" applyNumberFormat="1" applyFont="1" applyFill="1" applyBorder="1"/>
    <xf numFmtId="0" fontId="2" fillId="3" borderId="6" xfId="0" applyFont="1" applyFill="1" applyBorder="1"/>
    <xf numFmtId="0" fontId="2" fillId="10" borderId="6" xfId="0" applyFont="1" applyFill="1" applyBorder="1"/>
    <xf numFmtId="0" fontId="2" fillId="10" borderId="9" xfId="0" applyFont="1" applyFill="1" applyBorder="1"/>
    <xf numFmtId="0" fontId="2" fillId="4" borderId="6" xfId="0" applyFont="1" applyFill="1" applyBorder="1"/>
    <xf numFmtId="0" fontId="2" fillId="4" borderId="9" xfId="0" applyFont="1" applyFill="1" applyBorder="1"/>
    <xf numFmtId="0" fontId="0" fillId="22" borderId="6" xfId="0" applyFill="1" applyBorder="1"/>
    <xf numFmtId="0" fontId="0" fillId="6" borderId="67" xfId="0" applyFill="1" applyBorder="1"/>
    <xf numFmtId="0" fontId="0" fillId="11" borderId="9" xfId="0" applyFill="1" applyBorder="1"/>
    <xf numFmtId="0" fontId="0" fillId="23" borderId="6" xfId="0" applyFill="1" applyBorder="1"/>
    <xf numFmtId="0" fontId="0" fillId="23" borderId="9" xfId="0" applyFill="1" applyBorder="1"/>
    <xf numFmtId="0" fontId="0" fillId="17" borderId="6" xfId="0" applyFill="1" applyBorder="1" applyAlignment="1">
      <alignment horizontal="right"/>
    </xf>
    <xf numFmtId="0" fontId="0" fillId="17" borderId="6" xfId="0" applyFill="1" applyBorder="1"/>
    <xf numFmtId="0" fontId="0" fillId="5" borderId="67" xfId="0" applyFill="1" applyBorder="1"/>
    <xf numFmtId="0" fontId="0" fillId="10" borderId="9" xfId="0" applyFill="1" applyBorder="1"/>
    <xf numFmtId="0" fontId="0" fillId="4" borderId="6" xfId="0" applyFill="1" applyBorder="1"/>
    <xf numFmtId="0" fontId="0" fillId="4" borderId="9" xfId="0" applyFill="1" applyBorder="1"/>
    <xf numFmtId="0" fontId="0" fillId="22" borderId="6" xfId="0" applyFill="1" applyBorder="1" applyAlignment="1">
      <alignment horizontal="right"/>
    </xf>
    <xf numFmtId="0" fontId="3" fillId="17" borderId="6" xfId="0" applyFont="1" applyFill="1" applyBorder="1" applyAlignment="1">
      <alignment horizontal="right"/>
    </xf>
    <xf numFmtId="0" fontId="3" fillId="17" borderId="6" xfId="0" applyFont="1" applyFill="1" applyBorder="1"/>
    <xf numFmtId="0" fontId="3" fillId="10" borderId="9" xfId="0" applyFont="1" applyFill="1" applyBorder="1"/>
    <xf numFmtId="0" fontId="3" fillId="4" borderId="6" xfId="0" applyFont="1" applyFill="1" applyBorder="1"/>
    <xf numFmtId="0" fontId="3" fillId="4" borderId="9" xfId="0" applyFont="1" applyFill="1" applyBorder="1"/>
    <xf numFmtId="0" fontId="3" fillId="22" borderId="6" xfId="0" applyFont="1" applyFill="1" applyBorder="1" applyAlignment="1">
      <alignment horizontal="right"/>
    </xf>
    <xf numFmtId="0" fontId="3" fillId="22" borderId="6" xfId="0" applyFont="1" applyFill="1" applyBorder="1"/>
    <xf numFmtId="0" fontId="3" fillId="11" borderId="9" xfId="0" applyFont="1" applyFill="1" applyBorder="1"/>
    <xf numFmtId="0" fontId="3" fillId="23" borderId="6" xfId="0" applyFont="1" applyFill="1" applyBorder="1"/>
    <xf numFmtId="0" fontId="3" fillId="23" borderId="9" xfId="0" applyFont="1" applyFill="1" applyBorder="1"/>
    <xf numFmtId="0" fontId="3" fillId="6" borderId="67" xfId="0" applyFont="1" applyFill="1" applyBorder="1"/>
    <xf numFmtId="0" fontId="3" fillId="5" borderId="67" xfId="0" applyFont="1" applyFill="1" applyBorder="1"/>
    <xf numFmtId="0" fontId="3" fillId="10" borderId="0" xfId="0" applyFont="1" applyFill="1"/>
    <xf numFmtId="3" fontId="0" fillId="4" borderId="0" xfId="0" applyNumberFormat="1" applyFill="1"/>
    <xf numFmtId="49" fontId="0" fillId="6" borderId="67" xfId="0" applyNumberFormat="1" applyFill="1" applyBorder="1"/>
    <xf numFmtId="49" fontId="3" fillId="5" borderId="67" xfId="0" applyNumberFormat="1" applyFont="1" applyFill="1" applyBorder="1"/>
    <xf numFmtId="49" fontId="3" fillId="17" borderId="6" xfId="0" applyNumberFormat="1" applyFont="1" applyFill="1" applyBorder="1" applyAlignment="1">
      <alignment horizontal="right"/>
    </xf>
    <xf numFmtId="49" fontId="3" fillId="17" borderId="6" xfId="0" applyNumberFormat="1" applyFont="1" applyFill="1" applyBorder="1"/>
    <xf numFmtId="49" fontId="3" fillId="5" borderId="67" xfId="0" applyNumberFormat="1" applyFont="1" applyFill="1" applyBorder="1" applyAlignment="1">
      <alignment horizontal="left"/>
    </xf>
    <xf numFmtId="49" fontId="0" fillId="22" borderId="6" xfId="0" applyNumberFormat="1" applyFill="1" applyBorder="1" applyAlignment="1">
      <alignment horizontal="right"/>
    </xf>
    <xf numFmtId="49" fontId="0" fillId="22" borderId="6" xfId="0" applyNumberFormat="1" applyFill="1" applyBorder="1"/>
    <xf numFmtId="49" fontId="0" fillId="5" borderId="67" xfId="0" applyNumberFormat="1" applyFill="1" applyBorder="1"/>
    <xf numFmtId="49" fontId="0" fillId="6" borderId="9" xfId="0" applyNumberFormat="1" applyFill="1" applyBorder="1"/>
    <xf numFmtId="0" fontId="0" fillId="7" borderId="9" xfId="0" applyFill="1" applyBorder="1"/>
    <xf numFmtId="0" fontId="0" fillId="10" borderId="68" xfId="0" applyFill="1" applyBorder="1"/>
    <xf numFmtId="0" fontId="0" fillId="10" borderId="0" xfId="0" applyFill="1"/>
    <xf numFmtId="0" fontId="9" fillId="0" borderId="8" xfId="0" applyFont="1" applyBorder="1" applyAlignment="1">
      <alignment horizontal="left" vertical="center"/>
    </xf>
    <xf numFmtId="0" fontId="0" fillId="0" borderId="8" xfId="0" applyBorder="1" applyAlignment="1">
      <alignment vertical="center"/>
    </xf>
    <xf numFmtId="0" fontId="7" fillId="0" borderId="0" xfId="0" applyFont="1" applyAlignment="1">
      <alignment vertical="center"/>
    </xf>
    <xf numFmtId="0" fontId="0" fillId="0" borderId="0" xfId="0" applyAlignment="1">
      <alignment vertical="center"/>
    </xf>
    <xf numFmtId="4" fontId="9" fillId="0" borderId="8" xfId="0" applyNumberFormat="1" applyFont="1" applyBorder="1" applyAlignment="1">
      <alignment horizontal="left" vertical="center"/>
    </xf>
    <xf numFmtId="0" fontId="9" fillId="0" borderId="0" xfId="0" applyFont="1" applyAlignment="1">
      <alignment horizontal="left" vertical="center"/>
    </xf>
    <xf numFmtId="0" fontId="0" fillId="0" borderId="0" xfId="0" applyAlignment="1">
      <alignment horizontal="left" vertical="center"/>
    </xf>
    <xf numFmtId="0" fontId="41" fillId="13" borderId="42" xfId="0" applyFont="1" applyFill="1" applyBorder="1" applyAlignment="1">
      <alignment vertical="center"/>
    </xf>
    <xf numFmtId="0" fontId="49" fillId="0" borderId="43" xfId="0" applyFont="1" applyBorder="1" applyAlignment="1">
      <alignment horizontal="left" vertical="top" wrapText="1"/>
    </xf>
    <xf numFmtId="0" fontId="49" fillId="0" borderId="44" xfId="0" applyFont="1" applyBorder="1" applyAlignment="1">
      <alignment horizontal="left" vertical="top" wrapText="1"/>
    </xf>
    <xf numFmtId="0" fontId="49" fillId="0" borderId="45" xfId="0" applyFont="1" applyBorder="1" applyAlignment="1">
      <alignment horizontal="left" vertical="top" wrapText="1"/>
    </xf>
    <xf numFmtId="0" fontId="1" fillId="4" borderId="2" xfId="0" applyFont="1" applyFill="1" applyBorder="1"/>
    <xf numFmtId="49" fontId="0" fillId="4" borderId="2" xfId="0" applyNumberFormat="1" applyFill="1" applyBorder="1"/>
    <xf numFmtId="0" fontId="0" fillId="0" borderId="0" xfId="0" applyBorder="1"/>
    <xf numFmtId="2" fontId="0" fillId="0" borderId="0" xfId="0" applyNumberFormat="1" applyBorder="1"/>
    <xf numFmtId="43" fontId="0" fillId="0" borderId="0" xfId="0" applyNumberFormat="1" applyBorder="1"/>
    <xf numFmtId="2" fontId="56" fillId="0" borderId="2" xfId="0" applyNumberFormat="1" applyFont="1" applyBorder="1" applyAlignment="1">
      <alignment horizontal="center" vertical="top"/>
    </xf>
    <xf numFmtId="0" fontId="0" fillId="0" borderId="2" xfId="0" applyNumberFormat="1" applyBorder="1"/>
    <xf numFmtId="0" fontId="56" fillId="0" borderId="2" xfId="0" applyFont="1" applyFill="1" applyBorder="1" applyAlignment="1">
      <alignment horizontal="center" vertical="top"/>
    </xf>
    <xf numFmtId="166" fontId="0" fillId="0" borderId="2" xfId="0" applyNumberFormat="1" applyBorder="1"/>
    <xf numFmtId="166" fontId="0" fillId="0" borderId="2" xfId="2" applyNumberFormat="1" applyFont="1" applyBorder="1"/>
  </cellXfs>
  <cellStyles count="14">
    <cellStyle name="Comma" xfId="3" builtinId="3"/>
    <cellStyle name="Comma 3" xfId="6" xr:uid="{3BCD0B46-7DB7-A94F-9126-5B5217ED94BF}"/>
    <cellStyle name="Heading 1" xfId="9" builtinId="16"/>
    <cellStyle name="Hyperlink" xfId="1" builtinId="8"/>
    <cellStyle name="Normal" xfId="0" builtinId="0"/>
    <cellStyle name="Normal 10 2 2 2 2" xfId="10" xr:uid="{843AC431-63AA-914C-A3C5-AEC37653F626}"/>
    <cellStyle name="Normal 11 7" xfId="7" xr:uid="{860CEB9A-1AA3-F449-B148-C612CE723167}"/>
    <cellStyle name="Normal 13 2" xfId="13" xr:uid="{36474258-102B-364D-899B-E2130AE705EE}"/>
    <cellStyle name="Normal 13 2 2" xfId="11" xr:uid="{4F2D5A5A-9174-5A4A-8FB7-7C624907F8F9}"/>
    <cellStyle name="Normal 2 2 2 2 2 3" xfId="4" xr:uid="{4238A24D-620C-334B-8287-183BEDC3169B}"/>
    <cellStyle name="Normal 2 3" xfId="5" xr:uid="{36A1EB13-B83B-AA45-851D-5BEBEE8EC509}"/>
    <cellStyle name="Normal_master_mar18 1998 99 2" xfId="8" xr:uid="{EBC30D0F-AD58-9E43-8F0A-1DE36B3DE081}"/>
    <cellStyle name="Normal_PNAIR06" xfId="12" xr:uid="{E93BA622-31B1-464C-A3B7-69875AB864A7}"/>
    <cellStyle name="Per cent" xfId="2" builtinId="5"/>
  </cellStyles>
  <dxfs count="199">
    <dxf>
      <fill>
        <patternFill patternType="lightGray"/>
      </fill>
    </dxf>
    <dxf>
      <font>
        <b val="0"/>
        <i val="0"/>
        <strike val="0"/>
        <condense val="0"/>
        <extend val="0"/>
        <outline val="0"/>
        <shadow val="0"/>
        <u val="none"/>
        <vertAlign val="baseline"/>
        <sz val="12"/>
        <color rgb="FF000000"/>
        <name val="Calibri"/>
        <family val="2"/>
        <scheme val="minor"/>
      </font>
      <numFmt numFmtId="0" formatCode="General"/>
    </dxf>
    <dxf>
      <font>
        <b val="0"/>
        <i val="0"/>
        <strike val="0"/>
        <condense val="0"/>
        <extend val="0"/>
        <outline val="0"/>
        <shadow val="0"/>
        <u val="none"/>
        <vertAlign val="baseline"/>
        <sz val="12"/>
        <color rgb="FF000000"/>
        <name val="Calibri"/>
        <family val="2"/>
        <scheme val="minor"/>
      </font>
    </dxf>
    <dxf>
      <font>
        <b val="0"/>
        <i val="0"/>
        <strike val="0"/>
        <condense val="0"/>
        <extend val="0"/>
        <outline val="0"/>
        <shadow val="0"/>
        <u val="none"/>
        <vertAlign val="baseline"/>
        <sz val="12"/>
        <color rgb="FF000000"/>
        <name val="Calibri"/>
        <family val="2"/>
        <scheme val="minor"/>
      </font>
    </dxf>
    <dxf>
      <border outline="0">
        <top style="thin">
          <color theme="1"/>
        </top>
      </border>
    </dxf>
    <dxf>
      <font>
        <b val="0"/>
        <i val="0"/>
        <strike val="0"/>
        <condense val="0"/>
        <extend val="0"/>
        <outline val="0"/>
        <shadow val="0"/>
        <u val="none"/>
        <vertAlign val="baseline"/>
        <sz val="12"/>
        <color rgb="FF000000"/>
        <name val="Calibri"/>
        <family val="2"/>
        <scheme val="minor"/>
      </font>
    </dxf>
    <dxf>
      <border outline="0">
        <bottom style="thin">
          <color theme="1"/>
        </bottom>
      </border>
    </dxf>
    <dxf>
      <font>
        <b/>
        <i val="0"/>
        <strike val="0"/>
        <condense val="0"/>
        <extend val="0"/>
        <outline val="0"/>
        <shadow val="0"/>
        <u val="none"/>
        <vertAlign val="baseline"/>
        <sz val="12"/>
        <color rgb="FF000000"/>
        <name val="Calibri"/>
        <family val="2"/>
        <scheme val="minor"/>
      </font>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border diagonalUp="0" diagonalDown="0">
        <left/>
        <right style="thin">
          <color rgb="FF000000"/>
        </right>
        <top/>
        <bottom/>
        <vertical/>
        <horizontal/>
      </border>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30" formatCode="@"/>
      <alignment horizontal="left" vertical="top" textRotation="0" wrapText="1" indent="0" justifyLastLine="0" shrinkToFit="0" readingOrder="0"/>
    </dxf>
    <dxf>
      <border outline="0">
        <top style="thin">
          <color indexed="64"/>
        </top>
      </border>
    </dxf>
    <dxf>
      <font>
        <b val="0"/>
        <i val="0"/>
        <strike val="0"/>
        <condense val="0"/>
        <extend val="0"/>
        <outline val="0"/>
        <shadow val="0"/>
        <u val="none"/>
        <vertAlign val="baseline"/>
        <sz val="12"/>
        <color rgb="FF000000"/>
        <name val="Arial"/>
        <family val="2"/>
        <scheme val="none"/>
      </font>
      <alignment horizontal="right" vertical="top" textRotation="0" wrapText="1"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numFmt numFmtId="3"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171" formatCode="###,###,##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30" formatCode="@"/>
      <alignment horizontal="lef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numFmt numFmtId="30" formatCode="@"/>
      <alignment horizontal="left" vertical="top" textRotation="0" wrapText="1" indent="0" justifyLastLine="0" shrinkToFit="0" readingOrder="0"/>
    </dxf>
    <dxf>
      <border outline="0">
        <right style="thin">
          <color rgb="FF000000"/>
        </right>
        <top style="thin">
          <color indexed="64"/>
        </top>
        <bottom style="thin">
          <color rgb="FF000000"/>
        </bottom>
      </border>
    </dxf>
    <dxf>
      <font>
        <b val="0"/>
        <i val="0"/>
        <strike val="0"/>
        <condense val="0"/>
        <extend val="0"/>
        <outline val="0"/>
        <shadow val="0"/>
        <u val="none"/>
        <vertAlign val="baseline"/>
        <sz val="12"/>
        <color rgb="FF000000"/>
        <name val="Arial"/>
        <family val="2"/>
        <scheme val="none"/>
      </font>
      <numFmt numFmtId="3" formatCode="#,##0"/>
      <alignment horizontal="right" vertical="top" textRotation="0" wrapText="1" indent="0" justifyLastLine="0" shrinkToFit="0" readingOrder="0"/>
    </dxf>
    <dxf>
      <border outline="0">
        <bottom style="thin">
          <color indexed="64"/>
        </bottom>
      </border>
    </dxf>
    <dxf>
      <font>
        <b val="0"/>
        <i val="0"/>
        <strike val="0"/>
        <condense val="0"/>
        <extend val="0"/>
        <outline val="0"/>
        <shadow val="0"/>
        <u val="none"/>
        <vertAlign val="baseline"/>
        <sz val="12"/>
        <color rgb="FF000000"/>
        <name val="Arial"/>
        <family val="2"/>
        <scheme val="none"/>
      </font>
      <numFmt numFmtId="3" formatCode="#,##0"/>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border diagonalUp="0" diagonalDown="0">
        <left/>
        <right/>
        <top/>
        <bottom style="medium">
          <color rgb="FF000000"/>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top/>
        <bottom style="medium">
          <color rgb="FF000000"/>
        </bottom>
        <vertical/>
        <horizontal/>
      </border>
    </dxf>
    <dxf>
      <border outline="0">
        <left style="medium">
          <color rgb="FF000000"/>
        </left>
        <top style="medium">
          <color rgb="FF000000"/>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border outline="0">
        <bottom style="thin">
          <color rgb="FF000000"/>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border diagonalUp="0" diagonalDown="0">
        <left/>
        <right/>
        <top/>
        <bottom style="medium">
          <color rgb="FF000000"/>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border outline="0">
        <left style="medium">
          <color rgb="FF000000"/>
        </left>
        <top style="medium">
          <color theme="0"/>
        </top>
        <bottom style="medium">
          <color rgb="FF000000"/>
        </bottom>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_(* #,##0_);_(* \(#,##0\);_(* &quot;-&quot;??_);_(@_)"/>
    </dxf>
    <dxf>
      <font>
        <b val="0"/>
        <i val="0"/>
        <strike val="0"/>
        <condense val="0"/>
        <extend val="0"/>
        <outline val="0"/>
        <shadow val="0"/>
        <u val="none"/>
        <vertAlign val="baseline"/>
        <sz val="12"/>
        <color theme="1"/>
        <name val="Calibri"/>
        <family val="2"/>
        <scheme val="minor"/>
      </font>
      <numFmt numFmtId="1" formatCode="0"/>
      <alignment horizontal="left" vertical="bottom" textRotation="0" wrapText="0" indent="0" justifyLastLine="0" shrinkToFit="0" readingOrder="0"/>
    </dxf>
    <dxf>
      <alignment horizontal="left" vertical="bottom" textRotation="0" indent="0" justifyLastLine="0" shrinkToFit="0" readingOrder="0"/>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ill>
        <patternFill patternType="solid">
          <fgColor indexed="64"/>
          <bgColor theme="7"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indexed="64"/>
          <bgColor theme="7"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indexed="64"/>
          <bgColor theme="7"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indexed="64"/>
          <bgColor theme="7"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indexed="64"/>
          <bgColor theme="7"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indexed="64"/>
          <bgColor theme="3" tint="0.79998168889431442"/>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theme="3" tint="0.79998168889431442"/>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theme="3" tint="0.79998168889431442"/>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theme="3" tint="0.79998168889431442"/>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theme="3" tint="0.79998168889431442"/>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theme="3" tint="0.79998168889431442"/>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theme="3" tint="0.79998168889431442"/>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theme="3" tint="0.79998168889431442"/>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theme="3" tint="0.79998168889431442"/>
        </patternFill>
      </fill>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3"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3"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3"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indexed="64"/>
          <bgColor theme="9" tint="0.79998168889431442"/>
        </patternFill>
      </fill>
      <border diagonalUp="0" diagonalDown="0">
        <left style="hair">
          <color indexed="64"/>
        </left>
        <right style="hair">
          <color indexed="64"/>
        </right>
        <top style="hair">
          <color indexed="64"/>
        </top>
        <bottom style="hair">
          <color indexed="64"/>
        </bottom>
        <vertical/>
        <horizontal/>
      </border>
    </dxf>
    <dxf>
      <fill>
        <patternFill patternType="solid">
          <fgColor theme="0" tint="-0.14999847407452621"/>
          <bgColor theme="9" tint="0.79998168889431442"/>
        </patternFill>
      </fill>
      <border diagonalUp="0" diagonalDown="0" outline="0">
        <left style="hair">
          <color indexed="64"/>
        </left>
        <right/>
        <top style="hair">
          <color indexed="64"/>
        </top>
        <bottom style="hair">
          <color indexed="64"/>
        </bottom>
      </border>
    </dxf>
    <dxf>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numFmt numFmtId="30" formatCode="@"/>
      <fill>
        <patternFill patternType="solid">
          <fgColor theme="0" tint="-0.14999847407452621"/>
          <bgColor rgb="FFFFE6DA"/>
        </patternFill>
      </fill>
      <border diagonalUp="0" diagonalDown="0" outline="0">
        <left style="hair">
          <color indexed="64"/>
        </left>
        <right/>
        <top style="hair">
          <color indexed="64"/>
        </top>
        <bottom style="hair">
          <color indexed="64"/>
        </bottom>
      </border>
    </dxf>
    <dxf>
      <numFmt numFmtId="30" formatCode="@"/>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indexed="64"/>
          <bgColor rgb="FFFFE6DA"/>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rgb="FFFFE6DA"/>
        </patternFill>
      </fill>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indexed="64"/>
          <bgColor rgb="FFFFE6DA"/>
        </patternFill>
      </fill>
      <border diagonalUp="0" diagonalDown="0">
        <left style="hair">
          <color indexed="64"/>
        </left>
        <right style="hair">
          <color indexed="64"/>
        </right>
        <top style="hair">
          <color indexed="64"/>
        </top>
        <bottom style="hair">
          <color indexed="64"/>
        </bottom>
        <vertical/>
        <horizontal/>
      </border>
    </dxf>
    <dxf>
      <fill>
        <patternFill patternType="solid">
          <fgColor indexed="64"/>
          <bgColor rgb="FFFFE6DA"/>
        </patternFill>
      </fill>
      <border diagonalUp="0" diagonalDown="0">
        <left style="hair">
          <color indexed="64"/>
        </left>
        <right style="hair">
          <color indexed="64"/>
        </right>
        <top style="hair">
          <color indexed="64"/>
        </top>
        <bottom style="hair">
          <color indexed="64"/>
        </bottom>
        <vertical/>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outline="0">
        <left/>
        <right style="hair">
          <color indexed="64"/>
        </right>
        <top style="hair">
          <color indexed="64"/>
        </top>
        <bottom style="hair">
          <color indexed="64"/>
        </bottom>
      </border>
    </dxf>
    <dxf>
      <fill>
        <patternFill>
          <bgColor theme="5"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bgColor theme="5"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i val="0"/>
        <strike val="0"/>
        <condense val="0"/>
        <extend val="0"/>
        <outline val="0"/>
        <shadow val="0"/>
        <u val="none"/>
        <vertAlign val="baseline"/>
        <sz val="12"/>
        <color rgb="FF000000"/>
        <name val="Calibri"/>
        <family val="2"/>
        <scheme val="minor"/>
      </font>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3"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3"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3"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59999389629810485"/>
        </patternFill>
      </fill>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59999389629810485"/>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59999389629810485"/>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ill>
        <patternFill patternType="solid">
          <fgColor theme="0" tint="-0.14999847407452621"/>
          <bgColor theme="9" tint="0.79998168889431442"/>
        </patternFill>
      </fill>
      <border diagonalUp="0" diagonalDown="0" outline="0">
        <left style="hair">
          <color indexed="64"/>
        </left>
        <right/>
        <top style="hair">
          <color indexed="64"/>
        </top>
        <bottom style="hair">
          <color indexed="64"/>
        </bottom>
      </border>
    </dxf>
    <dxf>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9" tint="0.79998168889431442"/>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numFmt numFmtId="30" formatCode="@"/>
      <fill>
        <patternFill patternType="solid">
          <fgColor theme="0" tint="-0.14999847407452621"/>
          <bgColor rgb="FFFFE6DA"/>
        </patternFill>
      </fill>
      <border diagonalUp="0" diagonalDown="0" outline="0">
        <left style="hair">
          <color indexed="64"/>
        </left>
        <right/>
        <top style="hair">
          <color indexed="64"/>
        </top>
        <bottom style="hair">
          <color indexed="64"/>
        </bottom>
      </border>
    </dxf>
    <dxf>
      <numFmt numFmtId="30" formatCode="@"/>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rgb="FFFFE6DA"/>
        </patternFill>
      </fill>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dxf>
    <dxf>
      <font>
        <b/>
        <i val="0"/>
        <strike val="0"/>
        <condense val="0"/>
        <extend val="0"/>
        <outline val="0"/>
        <shadow val="0"/>
        <u val="none"/>
        <vertAlign val="baseline"/>
        <sz val="12"/>
        <color rgb="FF000000"/>
        <name val="Calibri"/>
        <family val="2"/>
        <scheme val="minor"/>
      </font>
    </dxf>
  </dxfs>
  <tableStyles count="0" defaultTableStyle="TableStyleMedium2" defaultPivotStyle="PivotStyleLight16"/>
  <colors>
    <mruColors>
      <color rgb="FFFFE6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Product_lifespan!$A$24</c:f>
              <c:strCache>
                <c:ptCount val="1"/>
                <c:pt idx="0">
                  <c:v>Survival distribution (Smartphone)</c:v>
                </c:pt>
              </c:strCache>
            </c:strRef>
          </c:tx>
          <c:marker>
            <c:symbol val="none"/>
          </c:marker>
          <c:cat>
            <c:numRef>
              <c:f>Product_lifespan!$C$20:$AF$20</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Product_lifespan!$C$24:$AF$24</c:f>
              <c:numCache>
                <c:formatCode>0%</c:formatCode>
                <c:ptCount val="30"/>
                <c:pt idx="0">
                  <c:v>0.88146732732782185</c:v>
                </c:pt>
                <c:pt idx="1">
                  <c:v>0.68934785974872881</c:v>
                </c:pt>
                <c:pt idx="2">
                  <c:v>0.49645877472164579</c:v>
                </c:pt>
                <c:pt idx="3">
                  <c:v>0.33391006173846272</c:v>
                </c:pt>
                <c:pt idx="4">
                  <c:v>0.21148453586881022</c:v>
                </c:pt>
                <c:pt idx="5">
                  <c:v>0.12685275401278795</c:v>
                </c:pt>
                <c:pt idx="6">
                  <c:v>7.2365088264666255E-2</c:v>
                </c:pt>
                <c:pt idx="7">
                  <c:v>3.939156986310377E-2</c:v>
                </c:pt>
                <c:pt idx="8">
                  <c:v>2.0515818561640087E-2</c:v>
                </c:pt>
                <c:pt idx="9">
                  <c:v>1.024608768116575E-2</c:v>
                </c:pt>
                <c:pt idx="10">
                  <c:v>4.9162993565275981E-3</c:v>
                </c:pt>
                <c:pt idx="11">
                  <c:v>2.2701015845314476E-3</c:v>
                </c:pt>
                <c:pt idx="12">
                  <c:v>1.0101977095307024E-3</c:v>
                </c:pt>
                <c:pt idx="13">
                  <c:v>4.3378817246642054E-4</c:v>
                </c:pt>
                <c:pt idx="14">
                  <c:v>1.7995207403576075E-4</c:v>
                </c:pt>
                <c:pt idx="15">
                  <c:v>7.2192588262853796E-5</c:v>
                </c:pt>
                <c:pt idx="16">
                  <c:v>2.8034483325223292E-5</c:v>
                </c:pt>
                <c:pt idx="17">
                  <c:v>1.0547003711613989E-5</c:v>
                </c:pt>
                <c:pt idx="18">
                  <c:v>3.8471961896213713E-6</c:v>
                </c:pt>
                <c:pt idx="19">
                  <c:v>1.3616139752370415E-6</c:v>
                </c:pt>
                <c:pt idx="20">
                  <c:v>4.6789752528031414E-7</c:v>
                </c:pt>
                <c:pt idx="21">
                  <c:v>1.5620929205706346E-7</c:v>
                </c:pt>
                <c:pt idx="22">
                  <c:v>5.0696334685795819E-8</c:v>
                </c:pt>
                <c:pt idx="23">
                  <c:v>1.6002871694453802E-8</c:v>
                </c:pt>
                <c:pt idx="24">
                  <c:v>4.9158040971164496E-9</c:v>
                </c:pt>
                <c:pt idx="25">
                  <c:v>1.4702021822188271E-9</c:v>
                </c:pt>
                <c:pt idx="26">
                  <c:v>4.282961763024673E-10</c:v>
                </c:pt>
                <c:pt idx="27">
                  <c:v>1.2158618556412648E-10</c:v>
                </c:pt>
                <c:pt idx="28">
                  <c:v>3.3649194541851557E-11</c:v>
                </c:pt>
                <c:pt idx="29">
                  <c:v>9.0820684306436306E-12</c:v>
                </c:pt>
              </c:numCache>
            </c:numRef>
          </c:val>
          <c:smooth val="0"/>
          <c:extLst>
            <c:ext xmlns:c16="http://schemas.microsoft.com/office/drawing/2014/chart" uri="{C3380CC4-5D6E-409C-BE32-E72D297353CC}">
              <c16:uniqueId val="{00000006-33CD-1848-984E-828BD06D63C6}"/>
            </c:ext>
          </c:extLst>
        </c:ser>
        <c:ser>
          <c:idx val="4"/>
          <c:order val="1"/>
          <c:tx>
            <c:strRef>
              <c:f>Product_lifespan!$A$25</c:f>
              <c:strCache>
                <c:ptCount val="1"/>
                <c:pt idx="0">
                  <c:v>Survival distribution (Laptop)</c:v>
                </c:pt>
              </c:strCache>
            </c:strRef>
          </c:tx>
          <c:marker>
            <c:symbol val="none"/>
          </c:marker>
          <c:cat>
            <c:numRef>
              <c:f>Product_lifespan!$C$20:$AF$20</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Product_lifespan!$C$25:$AF$25</c:f>
              <c:numCache>
                <c:formatCode>0%</c:formatCode>
                <c:ptCount val="30"/>
                <c:pt idx="0">
                  <c:v>0.94550617213107058</c:v>
                </c:pt>
                <c:pt idx="1">
                  <c:v>0.84377792561978593</c:v>
                </c:pt>
                <c:pt idx="2">
                  <c:v>0.72254413587570232</c:v>
                </c:pt>
                <c:pt idx="3">
                  <c:v>0.5975380951508581</c:v>
                </c:pt>
                <c:pt idx="4">
                  <c:v>0.47908098328075321</c:v>
                </c:pt>
                <c:pt idx="5">
                  <c:v>0.37338494866262173</c:v>
                </c:pt>
                <c:pt idx="6">
                  <c:v>0.28345271939988614</c:v>
                </c:pt>
                <c:pt idx="7">
                  <c:v>0.20992649997385471</c:v>
                </c:pt>
                <c:pt idx="8">
                  <c:v>0.15187191336961858</c:v>
                </c:pt>
                <c:pt idx="9">
                  <c:v>0.10744372291537818</c:v>
                </c:pt>
                <c:pt idx="10">
                  <c:v>7.4401144761009119E-2</c:v>
                </c:pt>
                <c:pt idx="11">
                  <c:v>5.046868279293959E-2</c:v>
                </c:pt>
                <c:pt idx="12">
                  <c:v>3.3559462361711812E-2</c:v>
                </c:pt>
                <c:pt idx="13">
                  <c:v>2.1889287953690939E-2</c:v>
                </c:pt>
                <c:pt idx="14">
                  <c:v>1.4012539772323307E-2</c:v>
                </c:pt>
                <c:pt idx="15">
                  <c:v>8.8083029898876619E-3</c:v>
                </c:pt>
                <c:pt idx="16">
                  <c:v>5.4395073965253227E-3</c:v>
                </c:pt>
                <c:pt idx="17">
                  <c:v>3.3014419522700011E-3</c:v>
                </c:pt>
                <c:pt idx="18">
                  <c:v>1.9701292130143155E-3</c:v>
                </c:pt>
                <c:pt idx="19">
                  <c:v>1.1563521962340007E-3</c:v>
                </c:pt>
                <c:pt idx="20">
                  <c:v>6.6778420387125781E-4</c:v>
                </c:pt>
                <c:pt idx="21">
                  <c:v>3.7955006087508902E-4</c:v>
                </c:pt>
                <c:pt idx="22">
                  <c:v>2.1238136787149475E-4</c:v>
                </c:pt>
                <c:pt idx="23">
                  <c:v>1.1703016763131568E-4</c:v>
                </c:pt>
                <c:pt idx="24">
                  <c:v>6.3522249971859068E-5</c:v>
                </c:pt>
                <c:pt idx="25">
                  <c:v>3.3970874778632698E-5</c:v>
                </c:pt>
                <c:pt idx="26">
                  <c:v>1.7903617582137876E-5</c:v>
                </c:pt>
                <c:pt idx="27">
                  <c:v>9.3008616327550087E-6</c:v>
                </c:pt>
                <c:pt idx="28">
                  <c:v>4.7636979364495957E-6</c:v>
                </c:pt>
                <c:pt idx="29">
                  <c:v>2.4059677001808666E-6</c:v>
                </c:pt>
              </c:numCache>
            </c:numRef>
          </c:val>
          <c:smooth val="0"/>
          <c:extLst>
            <c:ext xmlns:c16="http://schemas.microsoft.com/office/drawing/2014/chart" uri="{C3380CC4-5D6E-409C-BE32-E72D297353CC}">
              <c16:uniqueId val="{00000007-33CD-1848-984E-828BD06D63C6}"/>
            </c:ext>
          </c:extLst>
        </c:ser>
        <c:ser>
          <c:idx val="5"/>
          <c:order val="2"/>
          <c:tx>
            <c:strRef>
              <c:f>Product_lifespan!$A$26</c:f>
              <c:strCache>
                <c:ptCount val="1"/>
                <c:pt idx="0">
                  <c:v>Survival distribution (Tablet)</c:v>
                </c:pt>
              </c:strCache>
            </c:strRef>
          </c:tx>
          <c:marker>
            <c:symbol val="none"/>
          </c:marker>
          <c:cat>
            <c:numRef>
              <c:f>Product_lifespan!$C$20:$AF$20</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Product_lifespan!$C$26:$AF$26</c:f>
              <c:numCache>
                <c:formatCode>0%</c:formatCode>
                <c:ptCount val="30"/>
                <c:pt idx="0">
                  <c:v>0.92506937904025666</c:v>
                </c:pt>
                <c:pt idx="1">
                  <c:v>0.78969551038290109</c:v>
                </c:pt>
                <c:pt idx="2">
                  <c:v>0.63654091519805589</c:v>
                </c:pt>
                <c:pt idx="3">
                  <c:v>0.48882773965658599</c:v>
                </c:pt>
                <c:pt idx="4">
                  <c:v>0.35956661736898909</c:v>
                </c:pt>
                <c:pt idx="5">
                  <c:v>0.25428024393314352</c:v>
                </c:pt>
                <c:pt idx="6">
                  <c:v>0.17336715799793589</c:v>
                </c:pt>
                <c:pt idx="7">
                  <c:v>0.11420805178291926</c:v>
                </c:pt>
                <c:pt idx="8">
                  <c:v>7.2825205166910267E-2</c:v>
                </c:pt>
                <c:pt idx="9">
                  <c:v>4.501682352540437E-2</c:v>
                </c:pt>
                <c:pt idx="10">
                  <c:v>2.7010605909892349E-2</c:v>
                </c:pt>
                <c:pt idx="11">
                  <c:v>1.574870944587814E-2</c:v>
                </c:pt>
                <c:pt idx="12">
                  <c:v>8.9316839203122944E-3</c:v>
                </c:pt>
                <c:pt idx="13">
                  <c:v>4.9314976753478401E-3</c:v>
                </c:pt>
                <c:pt idx="14">
                  <c:v>2.6529064168969718E-3</c:v>
                </c:pt>
                <c:pt idx="15">
                  <c:v>1.391459676527651E-3</c:v>
                </c:pt>
                <c:pt idx="16">
                  <c:v>7.1204162144555827E-4</c:v>
                </c:pt>
                <c:pt idx="17">
                  <c:v>3.5569937355206527E-4</c:v>
                </c:pt>
                <c:pt idx="18">
                  <c:v>1.7355628044091187E-4</c:v>
                </c:pt>
                <c:pt idx="19">
                  <c:v>8.2755314537164004E-5</c:v>
                </c:pt>
                <c:pt idx="20">
                  <c:v>3.8579182419451463E-5</c:v>
                </c:pt>
                <c:pt idx="21">
                  <c:v>1.7591431818453351E-5</c:v>
                </c:pt>
                <c:pt idx="22">
                  <c:v>7.8490598693914393E-6</c:v>
                </c:pt>
                <c:pt idx="23">
                  <c:v>3.4282199126156598E-6</c:v>
                </c:pt>
                <c:pt idx="24">
                  <c:v>1.466259191063024E-6</c:v>
                </c:pt>
                <c:pt idx="25">
                  <c:v>6.1431547004886511E-7</c:v>
                </c:pt>
                <c:pt idx="26">
                  <c:v>2.5220304644690827E-7</c:v>
                </c:pt>
                <c:pt idx="27">
                  <c:v>1.0148914530994091E-7</c:v>
                </c:pt>
                <c:pt idx="28">
                  <c:v>4.0042831939146595E-8</c:v>
                </c:pt>
                <c:pt idx="29">
                  <c:v>1.549477590678805E-8</c:v>
                </c:pt>
              </c:numCache>
            </c:numRef>
          </c:val>
          <c:smooth val="0"/>
          <c:extLst>
            <c:ext xmlns:c16="http://schemas.microsoft.com/office/drawing/2014/chart" uri="{C3380CC4-5D6E-409C-BE32-E72D297353CC}">
              <c16:uniqueId val="{00000008-33CD-1848-984E-828BD06D63C6}"/>
            </c:ext>
          </c:extLst>
        </c:ser>
        <c:ser>
          <c:idx val="1"/>
          <c:order val="3"/>
          <c:tx>
            <c:strRef>
              <c:f>Product_lifespan!$A$24</c:f>
              <c:strCache>
                <c:ptCount val="1"/>
                <c:pt idx="0">
                  <c:v>Survival distribution (Smartphone)</c:v>
                </c:pt>
              </c:strCache>
            </c:strRef>
          </c:tx>
          <c:spPr>
            <a:ln w="28575" cap="rnd">
              <a:solidFill>
                <a:schemeClr val="accent2"/>
              </a:solidFill>
              <a:round/>
            </a:ln>
            <a:effectLst/>
          </c:spPr>
          <c:marker>
            <c:symbol val="none"/>
          </c:marker>
          <c:cat>
            <c:numRef>
              <c:f>Product_lifespan!$C$20:$AF$20</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Product_lifespan!$C$24:$AF$24</c:f>
              <c:numCache>
                <c:formatCode>0%</c:formatCode>
                <c:ptCount val="30"/>
                <c:pt idx="0">
                  <c:v>0.88146732732782185</c:v>
                </c:pt>
                <c:pt idx="1">
                  <c:v>0.68934785974872881</c:v>
                </c:pt>
                <c:pt idx="2">
                  <c:v>0.49645877472164579</c:v>
                </c:pt>
                <c:pt idx="3">
                  <c:v>0.33391006173846272</c:v>
                </c:pt>
                <c:pt idx="4">
                  <c:v>0.21148453586881022</c:v>
                </c:pt>
                <c:pt idx="5">
                  <c:v>0.12685275401278795</c:v>
                </c:pt>
                <c:pt idx="6">
                  <c:v>7.2365088264666255E-2</c:v>
                </c:pt>
                <c:pt idx="7">
                  <c:v>3.939156986310377E-2</c:v>
                </c:pt>
                <c:pt idx="8">
                  <c:v>2.0515818561640087E-2</c:v>
                </c:pt>
                <c:pt idx="9">
                  <c:v>1.024608768116575E-2</c:v>
                </c:pt>
                <c:pt idx="10">
                  <c:v>4.9162993565275981E-3</c:v>
                </c:pt>
                <c:pt idx="11">
                  <c:v>2.2701015845314476E-3</c:v>
                </c:pt>
                <c:pt idx="12">
                  <c:v>1.0101977095307024E-3</c:v>
                </c:pt>
                <c:pt idx="13">
                  <c:v>4.3378817246642054E-4</c:v>
                </c:pt>
                <c:pt idx="14">
                  <c:v>1.7995207403576075E-4</c:v>
                </c:pt>
                <c:pt idx="15">
                  <c:v>7.2192588262853796E-5</c:v>
                </c:pt>
                <c:pt idx="16">
                  <c:v>2.8034483325223292E-5</c:v>
                </c:pt>
                <c:pt idx="17">
                  <c:v>1.0547003711613989E-5</c:v>
                </c:pt>
                <c:pt idx="18">
                  <c:v>3.8471961896213713E-6</c:v>
                </c:pt>
                <c:pt idx="19">
                  <c:v>1.3616139752370415E-6</c:v>
                </c:pt>
                <c:pt idx="20">
                  <c:v>4.6789752528031414E-7</c:v>
                </c:pt>
                <c:pt idx="21">
                  <c:v>1.5620929205706346E-7</c:v>
                </c:pt>
                <c:pt idx="22">
                  <c:v>5.0696334685795819E-8</c:v>
                </c:pt>
                <c:pt idx="23">
                  <c:v>1.6002871694453802E-8</c:v>
                </c:pt>
                <c:pt idx="24">
                  <c:v>4.9158040971164496E-9</c:v>
                </c:pt>
                <c:pt idx="25">
                  <c:v>1.4702021822188271E-9</c:v>
                </c:pt>
                <c:pt idx="26">
                  <c:v>4.282961763024673E-10</c:v>
                </c:pt>
                <c:pt idx="27">
                  <c:v>1.2158618556412648E-10</c:v>
                </c:pt>
                <c:pt idx="28">
                  <c:v>3.3649194541851557E-11</c:v>
                </c:pt>
                <c:pt idx="29">
                  <c:v>9.0820684306436306E-12</c:v>
                </c:pt>
              </c:numCache>
            </c:numRef>
          </c:val>
          <c:smooth val="0"/>
          <c:extLst>
            <c:ext xmlns:c16="http://schemas.microsoft.com/office/drawing/2014/chart" uri="{C3380CC4-5D6E-409C-BE32-E72D297353CC}">
              <c16:uniqueId val="{00000001-33CD-1848-984E-828BD06D63C6}"/>
            </c:ext>
          </c:extLst>
        </c:ser>
        <c:ser>
          <c:idx val="2"/>
          <c:order val="4"/>
          <c:tx>
            <c:strRef>
              <c:f>Product_lifespan!$A$25</c:f>
              <c:strCache>
                <c:ptCount val="1"/>
                <c:pt idx="0">
                  <c:v>Survival distribution (Laptop)</c:v>
                </c:pt>
              </c:strCache>
            </c:strRef>
          </c:tx>
          <c:spPr>
            <a:ln w="28575" cap="rnd">
              <a:solidFill>
                <a:schemeClr val="accent3"/>
              </a:solidFill>
              <a:round/>
            </a:ln>
            <a:effectLst/>
          </c:spPr>
          <c:marker>
            <c:symbol val="none"/>
          </c:marker>
          <c:cat>
            <c:numRef>
              <c:f>Product_lifespan!$C$20:$AF$20</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Product_lifespan!$C$25:$AF$25</c:f>
              <c:numCache>
                <c:formatCode>0%</c:formatCode>
                <c:ptCount val="30"/>
                <c:pt idx="0">
                  <c:v>0.94550617213107058</c:v>
                </c:pt>
                <c:pt idx="1">
                  <c:v>0.84377792561978593</c:v>
                </c:pt>
                <c:pt idx="2">
                  <c:v>0.72254413587570232</c:v>
                </c:pt>
                <c:pt idx="3">
                  <c:v>0.5975380951508581</c:v>
                </c:pt>
                <c:pt idx="4">
                  <c:v>0.47908098328075321</c:v>
                </c:pt>
                <c:pt idx="5">
                  <c:v>0.37338494866262173</c:v>
                </c:pt>
                <c:pt idx="6">
                  <c:v>0.28345271939988614</c:v>
                </c:pt>
                <c:pt idx="7">
                  <c:v>0.20992649997385471</c:v>
                </c:pt>
                <c:pt idx="8">
                  <c:v>0.15187191336961858</c:v>
                </c:pt>
                <c:pt idx="9">
                  <c:v>0.10744372291537818</c:v>
                </c:pt>
                <c:pt idx="10">
                  <c:v>7.4401144761009119E-2</c:v>
                </c:pt>
                <c:pt idx="11">
                  <c:v>5.046868279293959E-2</c:v>
                </c:pt>
                <c:pt idx="12">
                  <c:v>3.3559462361711812E-2</c:v>
                </c:pt>
                <c:pt idx="13">
                  <c:v>2.1889287953690939E-2</c:v>
                </c:pt>
                <c:pt idx="14">
                  <c:v>1.4012539772323307E-2</c:v>
                </c:pt>
                <c:pt idx="15">
                  <c:v>8.8083029898876619E-3</c:v>
                </c:pt>
                <c:pt idx="16">
                  <c:v>5.4395073965253227E-3</c:v>
                </c:pt>
                <c:pt idx="17">
                  <c:v>3.3014419522700011E-3</c:v>
                </c:pt>
                <c:pt idx="18">
                  <c:v>1.9701292130143155E-3</c:v>
                </c:pt>
                <c:pt idx="19">
                  <c:v>1.1563521962340007E-3</c:v>
                </c:pt>
                <c:pt idx="20">
                  <c:v>6.6778420387125781E-4</c:v>
                </c:pt>
                <c:pt idx="21">
                  <c:v>3.7955006087508902E-4</c:v>
                </c:pt>
                <c:pt idx="22">
                  <c:v>2.1238136787149475E-4</c:v>
                </c:pt>
                <c:pt idx="23">
                  <c:v>1.1703016763131568E-4</c:v>
                </c:pt>
                <c:pt idx="24">
                  <c:v>6.3522249971859068E-5</c:v>
                </c:pt>
                <c:pt idx="25">
                  <c:v>3.3970874778632698E-5</c:v>
                </c:pt>
                <c:pt idx="26">
                  <c:v>1.7903617582137876E-5</c:v>
                </c:pt>
                <c:pt idx="27">
                  <c:v>9.3008616327550087E-6</c:v>
                </c:pt>
                <c:pt idx="28">
                  <c:v>4.7636979364495957E-6</c:v>
                </c:pt>
                <c:pt idx="29">
                  <c:v>2.4059677001808666E-6</c:v>
                </c:pt>
              </c:numCache>
            </c:numRef>
          </c:val>
          <c:smooth val="0"/>
          <c:extLst>
            <c:ext xmlns:c16="http://schemas.microsoft.com/office/drawing/2014/chart" uri="{C3380CC4-5D6E-409C-BE32-E72D297353CC}">
              <c16:uniqueId val="{00000003-33CD-1848-984E-828BD06D63C6}"/>
            </c:ext>
          </c:extLst>
        </c:ser>
        <c:ser>
          <c:idx val="0"/>
          <c:order val="5"/>
          <c:tx>
            <c:strRef>
              <c:f>Product_lifespan!$A$26</c:f>
              <c:strCache>
                <c:ptCount val="1"/>
                <c:pt idx="0">
                  <c:v>Survival distribution (Tablet)</c:v>
                </c:pt>
              </c:strCache>
            </c:strRef>
          </c:tx>
          <c:spPr>
            <a:ln w="28575" cap="rnd">
              <a:solidFill>
                <a:schemeClr val="accent1"/>
              </a:solidFill>
              <a:round/>
            </a:ln>
            <a:effectLst/>
          </c:spPr>
          <c:marker>
            <c:symbol val="none"/>
          </c:marker>
          <c:cat>
            <c:numRef>
              <c:f>Product_lifespan!$C$20:$AF$20</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Product_lifespan!$C$26:$AF$26</c:f>
              <c:numCache>
                <c:formatCode>0%</c:formatCode>
                <c:ptCount val="30"/>
                <c:pt idx="0">
                  <c:v>0.92506937904025666</c:v>
                </c:pt>
                <c:pt idx="1">
                  <c:v>0.78969551038290109</c:v>
                </c:pt>
                <c:pt idx="2">
                  <c:v>0.63654091519805589</c:v>
                </c:pt>
                <c:pt idx="3">
                  <c:v>0.48882773965658599</c:v>
                </c:pt>
                <c:pt idx="4">
                  <c:v>0.35956661736898909</c:v>
                </c:pt>
                <c:pt idx="5">
                  <c:v>0.25428024393314352</c:v>
                </c:pt>
                <c:pt idx="6">
                  <c:v>0.17336715799793589</c:v>
                </c:pt>
                <c:pt idx="7">
                  <c:v>0.11420805178291926</c:v>
                </c:pt>
                <c:pt idx="8">
                  <c:v>7.2825205166910267E-2</c:v>
                </c:pt>
                <c:pt idx="9">
                  <c:v>4.501682352540437E-2</c:v>
                </c:pt>
                <c:pt idx="10">
                  <c:v>2.7010605909892349E-2</c:v>
                </c:pt>
                <c:pt idx="11">
                  <c:v>1.574870944587814E-2</c:v>
                </c:pt>
                <c:pt idx="12">
                  <c:v>8.9316839203122944E-3</c:v>
                </c:pt>
                <c:pt idx="13">
                  <c:v>4.9314976753478401E-3</c:v>
                </c:pt>
                <c:pt idx="14">
                  <c:v>2.6529064168969718E-3</c:v>
                </c:pt>
                <c:pt idx="15">
                  <c:v>1.391459676527651E-3</c:v>
                </c:pt>
                <c:pt idx="16">
                  <c:v>7.1204162144555827E-4</c:v>
                </c:pt>
                <c:pt idx="17">
                  <c:v>3.5569937355206527E-4</c:v>
                </c:pt>
                <c:pt idx="18">
                  <c:v>1.7355628044091187E-4</c:v>
                </c:pt>
                <c:pt idx="19">
                  <c:v>8.2755314537164004E-5</c:v>
                </c:pt>
                <c:pt idx="20">
                  <c:v>3.8579182419451463E-5</c:v>
                </c:pt>
                <c:pt idx="21">
                  <c:v>1.7591431818453351E-5</c:v>
                </c:pt>
                <c:pt idx="22">
                  <c:v>7.8490598693914393E-6</c:v>
                </c:pt>
                <c:pt idx="23">
                  <c:v>3.4282199126156598E-6</c:v>
                </c:pt>
                <c:pt idx="24">
                  <c:v>1.466259191063024E-6</c:v>
                </c:pt>
                <c:pt idx="25">
                  <c:v>6.1431547004886511E-7</c:v>
                </c:pt>
                <c:pt idx="26">
                  <c:v>2.5220304644690827E-7</c:v>
                </c:pt>
                <c:pt idx="27">
                  <c:v>1.0148914530994091E-7</c:v>
                </c:pt>
                <c:pt idx="28">
                  <c:v>4.0042831939146595E-8</c:v>
                </c:pt>
                <c:pt idx="29">
                  <c:v>1.549477590678805E-8</c:v>
                </c:pt>
              </c:numCache>
            </c:numRef>
          </c:val>
          <c:smooth val="0"/>
          <c:extLst>
            <c:ext xmlns:c16="http://schemas.microsoft.com/office/drawing/2014/chart" uri="{C3380CC4-5D6E-409C-BE32-E72D297353CC}">
              <c16:uniqueId val="{00000005-33CD-1848-984E-828BD06D63C6}"/>
            </c:ext>
          </c:extLst>
        </c:ser>
        <c:dLbls>
          <c:showLegendKey val="0"/>
          <c:showVal val="0"/>
          <c:showCatName val="0"/>
          <c:showSerName val="0"/>
          <c:showPercent val="0"/>
          <c:showBubbleSize val="0"/>
        </c:dLbls>
        <c:smooth val="0"/>
        <c:axId val="2040801039"/>
        <c:axId val="2052917631"/>
      </c:lineChart>
      <c:catAx>
        <c:axId val="204080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7631"/>
        <c:crosses val="autoZero"/>
        <c:auto val="1"/>
        <c:lblAlgn val="ctr"/>
        <c:lblOffset val="100"/>
        <c:noMultiLvlLbl val="0"/>
      </c:catAx>
      <c:valAx>
        <c:axId val="2052917631"/>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801039"/>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4"/>
          <c:order val="0"/>
          <c:tx>
            <c:strRef>
              <c:f>Product_lifespan!$A$31</c:f>
              <c:strCache>
                <c:ptCount val="1"/>
                <c:pt idx="0">
                  <c:v>Survival distribution (Smartphone)</c:v>
                </c:pt>
              </c:strCache>
            </c:strRef>
          </c:tx>
          <c:marker>
            <c:symbol val="none"/>
          </c:marker>
          <c:val>
            <c:numRef>
              <c:f>Product_lifespan!$B$31:$AF$31</c:f>
              <c:numCache>
                <c:formatCode>0%</c:formatCode>
                <c:ptCount val="31"/>
                <c:pt idx="0">
                  <c:v>1</c:v>
                </c:pt>
                <c:pt idx="1">
                  <c:v>0.90943247154042883</c:v>
                </c:pt>
                <c:pt idx="2">
                  <c:v>0.75584563103050584</c:v>
                </c:pt>
                <c:pt idx="3">
                  <c:v>0.59042877203106281</c:v>
                </c:pt>
                <c:pt idx="4">
                  <c:v>0.43808193415217855</c:v>
                </c:pt>
                <c:pt idx="5">
                  <c:v>0.31067503168941379</c:v>
                </c:pt>
                <c:pt idx="6">
                  <c:v>0.21148453586880933</c:v>
                </c:pt>
                <c:pt idx="7">
                  <c:v>0.13862879228764946</c:v>
                </c:pt>
                <c:pt idx="8">
                  <c:v>8.7722733228758676E-2</c:v>
                </c:pt>
                <c:pt idx="9">
                  <c:v>5.3694820696014833E-2</c:v>
                </c:pt>
                <c:pt idx="10">
                  <c:v>3.184533074617768E-2</c:v>
                </c:pt>
                <c:pt idx="11">
                  <c:v>1.8326300973768195E-2</c:v>
                </c:pt>
                <c:pt idx="12">
                  <c:v>1.0246087681165639E-2</c:v>
                </c:pt>
                <c:pt idx="13">
                  <c:v>5.5714419038410679E-3</c:v>
                </c:pt>
                <c:pt idx="14">
                  <c:v>2.9493199233715517E-3</c:v>
                </c:pt>
                <c:pt idx="15">
                  <c:v>1.5212314989784259E-3</c:v>
                </c:pt>
                <c:pt idx="16">
                  <c:v>7.6511297575088122E-4</c:v>
                </c:pt>
                <c:pt idx="17">
                  <c:v>3.7550812897424457E-4</c:v>
                </c:pt>
                <c:pt idx="18">
                  <c:v>1.7995207403576075E-4</c:v>
                </c:pt>
                <c:pt idx="19">
                  <c:v>8.4254967680053028E-5</c:v>
                </c:pt>
                <c:pt idx="20">
                  <c:v>3.8563185356554897E-5</c:v>
                </c:pt>
                <c:pt idx="21">
                  <c:v>1.726271941482338E-5</c:v>
                </c:pt>
                <c:pt idx="22">
                  <c:v>7.5615239704118764E-6</c:v>
                </c:pt>
                <c:pt idx="23">
                  <c:v>3.242384743806781E-6</c:v>
                </c:pt>
                <c:pt idx="24">
                  <c:v>1.3616139752370415E-6</c:v>
                </c:pt>
                <c:pt idx="25">
                  <c:v>5.6020367378284419E-7</c:v>
                </c:pt>
                <c:pt idx="26">
                  <c:v>2.2589096171365952E-7</c:v>
                </c:pt>
                <c:pt idx="27">
                  <c:v>8.9302224504095307E-8</c:v>
                </c:pt>
                <c:pt idx="28">
                  <c:v>3.4624038858233064E-8</c:v>
                </c:pt>
                <c:pt idx="29">
                  <c:v>1.316980513532684E-8</c:v>
                </c:pt>
                <c:pt idx="30">
                  <c:v>4.9158040971164496E-9</c:v>
                </c:pt>
              </c:numCache>
            </c:numRef>
          </c:val>
          <c:smooth val="0"/>
          <c:extLst>
            <c:ext xmlns:c16="http://schemas.microsoft.com/office/drawing/2014/chart" uri="{C3380CC4-5D6E-409C-BE32-E72D297353CC}">
              <c16:uniqueId val="{00000001-FEA4-0F4E-8CEA-5231C1C5EC74}"/>
            </c:ext>
          </c:extLst>
        </c:ser>
        <c:ser>
          <c:idx val="5"/>
          <c:order val="1"/>
          <c:tx>
            <c:strRef>
              <c:f>Product_lifespan!$A$32</c:f>
              <c:strCache>
                <c:ptCount val="1"/>
                <c:pt idx="0">
                  <c:v>Survival distribution (Laptop)</c:v>
                </c:pt>
              </c:strCache>
            </c:strRef>
          </c:tx>
          <c:marker>
            <c:symbol val="none"/>
          </c:marker>
          <c:val>
            <c:numRef>
              <c:f>Product_lifespan!$B$32:$AF$32</c:f>
              <c:numCache>
                <c:formatCode>0%</c:formatCode>
                <c:ptCount val="31"/>
                <c:pt idx="0">
                  <c:v>1</c:v>
                </c:pt>
                <c:pt idx="1">
                  <c:v>0.95900688817111224</c:v>
                </c:pt>
                <c:pt idx="2">
                  <c:v>0.88083341101347212</c:v>
                </c:pt>
                <c:pt idx="3">
                  <c:v>0.78446625134895032</c:v>
                </c:pt>
                <c:pt idx="4">
                  <c:v>0.68068969762843756</c:v>
                </c:pt>
                <c:pt idx="5">
                  <c:v>0.57712687261625095</c:v>
                </c:pt>
                <c:pt idx="6">
                  <c:v>0.47908098328075266</c:v>
                </c:pt>
                <c:pt idx="7">
                  <c:v>0.38995366570950019</c:v>
                </c:pt>
                <c:pt idx="8">
                  <c:v>0.31159939217759236</c:v>
                </c:pt>
                <c:pt idx="9">
                  <c:v>0.24466879496349681</c:v>
                </c:pt>
                <c:pt idx="10">
                  <c:v>0.18893390420347922</c:v>
                </c:pt>
                <c:pt idx="11">
                  <c:v>0.14357887271643677</c:v>
                </c:pt>
                <c:pt idx="12">
                  <c:v>0.10744372291537785</c:v>
                </c:pt>
                <c:pt idx="13">
                  <c:v>7.9215591066647439E-2</c:v>
                </c:pt>
                <c:pt idx="14">
                  <c:v>5.7568283332890546E-2</c:v>
                </c:pt>
                <c:pt idx="15">
                  <c:v>4.125550158713831E-2</c:v>
                </c:pt>
                <c:pt idx="16">
                  <c:v>2.9165670172417557E-2</c:v>
                </c:pt>
                <c:pt idx="17">
                  <c:v>2.0347181916805068E-2</c:v>
                </c:pt>
                <c:pt idx="18">
                  <c:v>1.4012539772323196E-2</c:v>
                </c:pt>
                <c:pt idx="19">
                  <c:v>9.5287702346962266E-3</c:v>
                </c:pt>
                <c:pt idx="20">
                  <c:v>6.4000276471120054E-3</c:v>
                </c:pt>
                <c:pt idx="21">
                  <c:v>4.2467927461470323E-3</c:v>
                </c:pt>
                <c:pt idx="22">
                  <c:v>2.7846866480054633E-3</c:v>
                </c:pt>
                <c:pt idx="23">
                  <c:v>1.8047742954250268E-3</c:v>
                </c:pt>
                <c:pt idx="24">
                  <c:v>1.1563521962340007E-3</c:v>
                </c:pt>
                <c:pt idx="25">
                  <c:v>7.3259190538454977E-4</c:v>
                </c:pt>
                <c:pt idx="26">
                  <c:v>4.5900579685265175E-4</c:v>
                </c:pt>
                <c:pt idx="27">
                  <c:v>2.8446791152991757E-4</c:v>
                </c:pt>
                <c:pt idx="28">
                  <c:v>1.7441286394792588E-4</c:v>
                </c:pt>
                <c:pt idx="29">
                  <c:v>1.0580868570131408E-4</c:v>
                </c:pt>
                <c:pt idx="30">
                  <c:v>6.3522249971859068E-5</c:v>
                </c:pt>
              </c:numCache>
            </c:numRef>
          </c:val>
          <c:smooth val="0"/>
          <c:extLst>
            <c:ext xmlns:c16="http://schemas.microsoft.com/office/drawing/2014/chart" uri="{C3380CC4-5D6E-409C-BE32-E72D297353CC}">
              <c16:uniqueId val="{00000002-FEA4-0F4E-8CEA-5231C1C5EC74}"/>
            </c:ext>
          </c:extLst>
        </c:ser>
        <c:ser>
          <c:idx val="1"/>
          <c:order val="2"/>
          <c:tx>
            <c:strRef>
              <c:f>Product_lifespan!$A$33</c:f>
              <c:strCache>
                <c:ptCount val="1"/>
                <c:pt idx="0">
                  <c:v>Survival distribution (Tablet)</c:v>
                </c:pt>
              </c:strCache>
            </c:strRef>
          </c:tx>
          <c:marker>
            <c:symbol val="none"/>
          </c:marker>
          <c:val>
            <c:numRef>
              <c:f>Product_lifespan!$B$33:$AF$33</c:f>
              <c:numCache>
                <c:formatCode>0%</c:formatCode>
                <c:ptCount val="31"/>
                <c:pt idx="0">
                  <c:v>1</c:v>
                </c:pt>
                <c:pt idx="1">
                  <c:v>0.9434802700070698</c:v>
                </c:pt>
                <c:pt idx="2">
                  <c:v>0.83830921756064292</c:v>
                </c:pt>
                <c:pt idx="3">
                  <c:v>0.71361149860437112</c:v>
                </c:pt>
                <c:pt idx="4">
                  <c:v>0.58587515258511014</c:v>
                </c:pt>
                <c:pt idx="5">
                  <c:v>0.46577404160916114</c:v>
                </c:pt>
                <c:pt idx="6">
                  <c:v>0.35956661736898987</c:v>
                </c:pt>
                <c:pt idx="7">
                  <c:v>0.27009844957570084</c:v>
                </c:pt>
                <c:pt idx="8">
                  <c:v>0.19775006052286703</c:v>
                </c:pt>
                <c:pt idx="9">
                  <c:v>0.14130098088237275</c:v>
                </c:pt>
                <c:pt idx="10">
                  <c:v>9.8649650769680242E-2</c:v>
                </c:pt>
                <c:pt idx="11">
                  <c:v>6.7357308673357541E-2</c:v>
                </c:pt>
                <c:pt idx="12">
                  <c:v>4.5016823525404703E-2</c:v>
                </c:pt>
                <c:pt idx="13">
                  <c:v>2.9470299674312361E-2</c:v>
                </c:pt>
                <c:pt idx="14">
                  <c:v>1.8910248328706469E-2</c:v>
                </c:pt>
                <c:pt idx="15">
                  <c:v>1.1900555466909823E-2</c:v>
                </c:pt>
                <c:pt idx="16">
                  <c:v>7.3489385428832099E-3</c:v>
                </c:pt>
                <c:pt idx="17">
                  <c:v>4.4553197733474548E-3</c:v>
                </c:pt>
                <c:pt idx="18">
                  <c:v>2.6529064168969718E-3</c:v>
                </c:pt>
                <c:pt idx="19">
                  <c:v>1.5521384705807773E-3</c:v>
                </c:pt>
                <c:pt idx="20">
                  <c:v>8.9262270218359863E-4</c:v>
                </c:pt>
                <c:pt idx="21">
                  <c:v>5.0476140621924515E-4</c:v>
                </c:pt>
                <c:pt idx="22">
                  <c:v>2.8075444429209728E-4</c:v>
                </c:pt>
                <c:pt idx="23">
                  <c:v>1.536461976333614E-4</c:v>
                </c:pt>
                <c:pt idx="24">
                  <c:v>8.2755314537164004E-5</c:v>
                </c:pt>
                <c:pt idx="25">
                  <c:v>4.3879911741373512E-5</c:v>
                </c:pt>
                <c:pt idx="26">
                  <c:v>2.2910871908865538E-5</c:v>
                </c:pt>
                <c:pt idx="27">
                  <c:v>1.1782236721269435E-5</c:v>
                </c:pt>
                <c:pt idx="28">
                  <c:v>5.9692929225141356E-6</c:v>
                </c:pt>
                <c:pt idx="29">
                  <c:v>2.9800313149364044E-6</c:v>
                </c:pt>
                <c:pt idx="30">
                  <c:v>1.466259191063024E-6</c:v>
                </c:pt>
              </c:numCache>
            </c:numRef>
          </c:val>
          <c:smooth val="0"/>
          <c:extLst>
            <c:ext xmlns:c16="http://schemas.microsoft.com/office/drawing/2014/chart" uri="{C3380CC4-5D6E-409C-BE32-E72D297353CC}">
              <c16:uniqueId val="{00000003-FEA4-0F4E-8CEA-5231C1C5EC74}"/>
            </c:ext>
          </c:extLst>
        </c:ser>
        <c:dLbls>
          <c:showLegendKey val="0"/>
          <c:showVal val="0"/>
          <c:showCatName val="0"/>
          <c:showSerName val="0"/>
          <c:showPercent val="0"/>
          <c:showBubbleSize val="0"/>
        </c:dLbls>
        <c:smooth val="0"/>
        <c:axId val="2040801039"/>
        <c:axId val="2052917631"/>
      </c:lineChart>
      <c:catAx>
        <c:axId val="204080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7631"/>
        <c:crosses val="autoZero"/>
        <c:auto val="1"/>
        <c:lblAlgn val="ctr"/>
        <c:lblOffset val="100"/>
        <c:noMultiLvlLbl val="0"/>
      </c:catAx>
      <c:valAx>
        <c:axId val="2052917631"/>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801039"/>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4"/>
          <c:order val="0"/>
          <c:tx>
            <c:strRef>
              <c:f>Product_lifespan!$A$38</c:f>
              <c:strCache>
                <c:ptCount val="1"/>
                <c:pt idx="0">
                  <c:v>Survival distribution (Smartphone)</c:v>
                </c:pt>
              </c:strCache>
            </c:strRef>
          </c:tx>
          <c:marker>
            <c:symbol val="none"/>
          </c:marker>
          <c:val>
            <c:numRef>
              <c:f>Product_lifespan!$B$38:$AG$38</c:f>
              <c:numCache>
                <c:formatCode>0%</c:formatCode>
                <c:ptCount val="32"/>
                <c:pt idx="0">
                  <c:v>1</c:v>
                </c:pt>
                <c:pt idx="1">
                  <c:v>0.9351707003347981</c:v>
                </c:pt>
                <c:pt idx="2">
                  <c:v>0.82067400065016793</c:v>
                </c:pt>
                <c:pt idx="3">
                  <c:v>0.6893478593924478</c:v>
                </c:pt>
                <c:pt idx="4">
                  <c:v>0.55837881970304204</c:v>
                </c:pt>
                <c:pt idx="5">
                  <c:v>0.43808193364984427</c:v>
                </c:pt>
                <c:pt idx="6">
                  <c:v>0.33391006122961175</c:v>
                </c:pt>
                <c:pt idx="7">
                  <c:v>0.24781446639555715</c:v>
                </c:pt>
                <c:pt idx="8">
                  <c:v>0.17939496189282989</c:v>
                </c:pt>
                <c:pt idx="9">
                  <c:v>0.12685275364890369</c:v>
                </c:pt>
                <c:pt idx="10">
                  <c:v>8.7722732932168812E-2</c:v>
                </c:pt>
                <c:pt idx="11">
                  <c:v>5.9386338116475312E-2</c:v>
                </c:pt>
                <c:pt idx="12">
                  <c:v>3.9391569686104688E-2</c:v>
                </c:pt>
                <c:pt idx="13">
                  <c:v>2.5620976426319553E-2</c:v>
                </c:pt>
                <c:pt idx="14">
                  <c:v>1.6351558638216468E-2</c:v>
                </c:pt>
                <c:pt idx="15">
                  <c:v>1.0246087615957133E-2</c:v>
                </c:pt>
                <c:pt idx="16">
                  <c:v>6.3071160155147021E-3</c:v>
                </c:pt>
                <c:pt idx="17">
                  <c:v>3.8158733020676738E-3</c:v>
                </c:pt>
                <c:pt idx="18">
                  <c:v>2.2701015653308065E-3</c:v>
                </c:pt>
                <c:pt idx="19">
                  <c:v>1.3285153655550053E-3</c:v>
                </c:pt>
                <c:pt idx="20">
                  <c:v>7.65112968123427E-4</c:v>
                </c:pt>
                <c:pt idx="21">
                  <c:v>4.3378816780004215E-4</c:v>
                </c:pt>
                <c:pt idx="22">
                  <c:v>2.4219638122247034E-4</c:v>
                </c:pt>
                <c:pt idx="23">
                  <c:v>1.3320804591387958E-4</c:v>
                </c:pt>
                <c:pt idx="24">
                  <c:v>7.2192587306396661E-5</c:v>
                </c:pt>
                <c:pt idx="25">
                  <c:v>3.8563184811990503E-5</c:v>
                </c:pt>
                <c:pt idx="26">
                  <c:v>2.0308749757669275E-5</c:v>
                </c:pt>
                <c:pt idx="27">
                  <c:v>1.0547003543637246E-5</c:v>
                </c:pt>
                <c:pt idx="28">
                  <c:v>5.4026957445607593E-6</c:v>
                </c:pt>
                <c:pt idx="29">
                  <c:v>2.7303741100270784E-6</c:v>
                </c:pt>
                <c:pt idx="30">
                  <c:v>1.361613949701912E-6</c:v>
                </c:pt>
                <c:pt idx="31">
                  <c:v>6.7018023364173729E-7</c:v>
                </c:pt>
              </c:numCache>
            </c:numRef>
          </c:val>
          <c:smooth val="0"/>
          <c:extLst>
            <c:ext xmlns:c16="http://schemas.microsoft.com/office/drawing/2014/chart" uri="{C3380CC4-5D6E-409C-BE32-E72D297353CC}">
              <c16:uniqueId val="{00000000-B651-1942-AAC0-B19DE12A7103}"/>
            </c:ext>
          </c:extLst>
        </c:ser>
        <c:ser>
          <c:idx val="5"/>
          <c:order val="1"/>
          <c:tx>
            <c:strRef>
              <c:f>Product_lifespan!$A$39</c:f>
              <c:strCache>
                <c:ptCount val="1"/>
                <c:pt idx="0">
                  <c:v>Survival distribution (Laptop)</c:v>
                </c:pt>
              </c:strCache>
            </c:strRef>
          </c:tx>
          <c:marker>
            <c:symbol val="none"/>
          </c:marker>
          <c:val>
            <c:numRef>
              <c:f>Product_lifespan!$B$39:$AG$39</c:f>
              <c:numCache>
                <c:formatCode>0%</c:formatCode>
                <c:ptCount val="32"/>
                <c:pt idx="0">
                  <c:v>1</c:v>
                </c:pt>
                <c:pt idx="1">
                  <c:v>0.97113525771045783</c:v>
                </c:pt>
                <c:pt idx="2">
                  <c:v>0.91503841530281094</c:v>
                </c:pt>
                <c:pt idx="3">
                  <c:v>0.84377792567661269</c:v>
                </c:pt>
                <c:pt idx="4">
                  <c:v>0.76402206018169916</c:v>
                </c:pt>
                <c:pt idx="5">
                  <c:v>0.68068969773224608</c:v>
                </c:pt>
                <c:pt idx="6">
                  <c:v>0.59753809527285195</c:v>
                </c:pt>
                <c:pt idx="7">
                  <c:v>0.51738120201415283</c:v>
                </c:pt>
                <c:pt idx="8">
                  <c:v>0.4422250579915612</c:v>
                </c:pt>
                <c:pt idx="9">
                  <c:v>0.37338494880846118</c:v>
                </c:pt>
                <c:pt idx="10">
                  <c:v>0.31159939232164724</c:v>
                </c:pt>
                <c:pt idx="11">
                  <c:v>0.25714178189809411</c:v>
                </c:pt>
                <c:pt idx="12">
                  <c:v>0.20992650010377822</c:v>
                </c:pt>
                <c:pt idx="13">
                  <c:v>0.16960586355477747</c:v>
                </c:pt>
                <c:pt idx="14">
                  <c:v>0.13565509453264546</c:v>
                </c:pt>
                <c:pt idx="15">
                  <c:v>0.10744372301040739</c:v>
                </c:pt>
                <c:pt idx="16">
                  <c:v>8.4292998479376546E-2</c:v>
                </c:pt>
                <c:pt idx="17">
                  <c:v>6.5519856899824647E-2</c:v>
                </c:pt>
                <c:pt idx="18">
                  <c:v>5.0468682852696456E-2</c:v>
                </c:pt>
                <c:pt idx="19">
                  <c:v>3.8532532111262063E-2</c:v>
                </c:pt>
                <c:pt idx="20">
                  <c:v>2.9165670213292083E-2</c:v>
                </c:pt>
                <c:pt idx="21">
                  <c:v>2.1889287986858408E-2</c:v>
                </c:pt>
                <c:pt idx="22">
                  <c:v>1.6292128456633082E-2</c:v>
                </c:pt>
                <c:pt idx="23">
                  <c:v>1.202755035504699E-2</c:v>
                </c:pt>
                <c:pt idx="24">
                  <c:v>8.8083030064133316E-3</c:v>
                </c:pt>
                <c:pt idx="25">
                  <c:v>6.4000276599299744E-3</c:v>
                </c:pt>
                <c:pt idx="26">
                  <c:v>4.6142540226281614E-3</c:v>
                </c:pt>
                <c:pt idx="27">
                  <c:v>3.3014419597485745E-3</c:v>
                </c:pt>
                <c:pt idx="28">
                  <c:v>2.3444343387962752E-3</c:v>
                </c:pt>
                <c:pt idx="29">
                  <c:v>1.6525397993728541E-3</c:v>
                </c:pt>
                <c:pt idx="30">
                  <c:v>1.1563521993344095E-3</c:v>
                </c:pt>
                <c:pt idx="31">
                  <c:v>8.033327405766455E-4</c:v>
                </c:pt>
              </c:numCache>
            </c:numRef>
          </c:val>
          <c:smooth val="0"/>
          <c:extLst>
            <c:ext xmlns:c16="http://schemas.microsoft.com/office/drawing/2014/chart" uri="{C3380CC4-5D6E-409C-BE32-E72D297353CC}">
              <c16:uniqueId val="{00000001-B651-1942-AAC0-B19DE12A7103}"/>
            </c:ext>
          </c:extLst>
        </c:ser>
        <c:ser>
          <c:idx val="1"/>
          <c:order val="2"/>
          <c:tx>
            <c:strRef>
              <c:f>Product_lifespan!$A$40</c:f>
              <c:strCache>
                <c:ptCount val="1"/>
                <c:pt idx="0">
                  <c:v>Survival distribution (Tablet)</c:v>
                </c:pt>
              </c:strCache>
            </c:strRef>
          </c:tx>
          <c:marker>
            <c:symbol val="none"/>
          </c:marker>
          <c:val>
            <c:numRef>
              <c:f>Product_lifespan!$B$40:$AG$40</c:f>
              <c:numCache>
                <c:formatCode>0%</c:formatCode>
                <c:ptCount val="32"/>
                <c:pt idx="0">
                  <c:v>1</c:v>
                </c:pt>
                <c:pt idx="1">
                  <c:v>0.9601063944193885</c:v>
                </c:pt>
                <c:pt idx="2">
                  <c:v>0.8838983610489819</c:v>
                </c:pt>
                <c:pt idx="3">
                  <c:v>0.78969670351943222</c:v>
                </c:pt>
                <c:pt idx="4">
                  <c:v>0.68789514310873878</c:v>
                </c:pt>
                <c:pt idx="5">
                  <c:v>0.58587715702929621</c:v>
                </c:pt>
                <c:pt idx="6">
                  <c:v>0.48882997855803056</c:v>
                </c:pt>
                <c:pt idx="7">
                  <c:v>0.40013740098050865</c:v>
                </c:pt>
                <c:pt idx="8">
                  <c:v>0.32170628415138658</c:v>
                </c:pt>
                <c:pt idx="9">
                  <c:v>0.25428247205364984</c:v>
                </c:pt>
                <c:pt idx="10">
                  <c:v>0.19775211147259608</c:v>
                </c:pt>
                <c:pt idx="11">
                  <c:v>0.15141379150939782</c:v>
                </c:pt>
                <c:pt idx="12">
                  <c:v>0.11420963750060587</c:v>
                </c:pt>
                <c:pt idx="13">
                  <c:v>8.4909454393206074E-2</c:v>
                </c:pt>
                <c:pt idx="14">
                  <c:v>6.2247745685815259E-2</c:v>
                </c:pt>
                <c:pt idx="15">
                  <c:v>4.5017716751306835E-2</c:v>
                </c:pt>
                <c:pt idx="16">
                  <c:v>3.212895080578837E-2</c:v>
                </c:pt>
                <c:pt idx="17">
                  <c:v>2.2636509642094849E-2</c:v>
                </c:pt>
                <c:pt idx="18">
                  <c:v>1.574912777961035E-2</c:v>
                </c:pt>
                <c:pt idx="19">
                  <c:v>1.0823340411470261E-2</c:v>
                </c:pt>
                <c:pt idx="20">
                  <c:v>7.3491695979911453E-3</c:v>
                </c:pt>
                <c:pt idx="21">
                  <c:v>4.9316653136386446E-3</c:v>
                </c:pt>
                <c:pt idx="22">
                  <c:v>3.2713449035083331E-3</c:v>
                </c:pt>
                <c:pt idx="23">
                  <c:v>2.1455030205442815E-3</c:v>
                </c:pt>
                <c:pt idx="24">
                  <c:v>1.3915182436505802E-3</c:v>
                </c:pt>
                <c:pt idx="25">
                  <c:v>8.9266280896738159E-4</c:v>
                </c:pt>
                <c:pt idx="26">
                  <c:v>5.6650256908175045E-4</c:v>
                </c:pt>
                <c:pt idx="27">
                  <c:v>3.5571744996687471E-4</c:v>
                </c:pt>
                <c:pt idx="28">
                  <c:v>2.210377298641486E-4</c:v>
                </c:pt>
                <c:pt idx="29">
                  <c:v>1.3594123863891472E-4</c:v>
                </c:pt>
                <c:pt idx="30">
                  <c:v>8.276029235609883E-5</c:v>
                </c:pt>
                <c:pt idx="31">
                  <c:v>4.9881357096825951E-5</c:v>
                </c:pt>
              </c:numCache>
            </c:numRef>
          </c:val>
          <c:smooth val="0"/>
          <c:extLst>
            <c:ext xmlns:c16="http://schemas.microsoft.com/office/drawing/2014/chart" uri="{C3380CC4-5D6E-409C-BE32-E72D297353CC}">
              <c16:uniqueId val="{00000002-B651-1942-AAC0-B19DE12A7103}"/>
            </c:ext>
          </c:extLst>
        </c:ser>
        <c:dLbls>
          <c:showLegendKey val="0"/>
          <c:showVal val="0"/>
          <c:showCatName val="0"/>
          <c:showSerName val="0"/>
          <c:showPercent val="0"/>
          <c:showBubbleSize val="0"/>
        </c:dLbls>
        <c:smooth val="0"/>
        <c:axId val="2040801039"/>
        <c:axId val="2052917631"/>
      </c:lineChart>
      <c:catAx>
        <c:axId val="204080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7631"/>
        <c:crosses val="autoZero"/>
        <c:auto val="1"/>
        <c:lblAlgn val="ctr"/>
        <c:lblOffset val="100"/>
        <c:noMultiLvlLbl val="0"/>
      </c:catAx>
      <c:valAx>
        <c:axId val="2052917631"/>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801039"/>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10</xdr:col>
      <xdr:colOff>117382</xdr:colOff>
      <xdr:row>1</xdr:row>
      <xdr:rowOff>114300</xdr:rowOff>
    </xdr:from>
    <xdr:to>
      <xdr:col>21</xdr:col>
      <xdr:colOff>29204</xdr:colOff>
      <xdr:row>25</xdr:row>
      <xdr:rowOff>152400</xdr:rowOff>
    </xdr:to>
    <xdr:pic>
      <xdr:nvPicPr>
        <xdr:cNvPr id="2" name="Picture 1">
          <a:extLst>
            <a:ext uri="{FF2B5EF4-FFF2-40B4-BE49-F238E27FC236}">
              <a16:creationId xmlns:a16="http://schemas.microsoft.com/office/drawing/2014/main" id="{375E590B-B68B-E243-F5F4-E1F4D32858F5}"/>
            </a:ext>
          </a:extLst>
        </xdr:cNvPr>
        <xdr:cNvPicPr>
          <a:picLocks noChangeAspect="1"/>
        </xdr:cNvPicPr>
      </xdr:nvPicPr>
      <xdr:blipFill>
        <a:blip xmlns:r="http://schemas.openxmlformats.org/officeDocument/2006/relationships" r:embed="rId1"/>
        <a:stretch>
          <a:fillRect/>
        </a:stretch>
      </xdr:blipFill>
      <xdr:spPr>
        <a:xfrm>
          <a:off x="8372382" y="317500"/>
          <a:ext cx="8992322" cy="4914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114300</xdr:colOff>
      <xdr:row>9</xdr:row>
      <xdr:rowOff>63500</xdr:rowOff>
    </xdr:from>
    <xdr:to>
      <xdr:col>15</xdr:col>
      <xdr:colOff>787400</xdr:colOff>
      <xdr:row>22</xdr:row>
      <xdr:rowOff>38100</xdr:rowOff>
    </xdr:to>
    <xdr:pic>
      <xdr:nvPicPr>
        <xdr:cNvPr id="2" name="Picture 1">
          <a:extLst>
            <a:ext uri="{FF2B5EF4-FFF2-40B4-BE49-F238E27FC236}">
              <a16:creationId xmlns:a16="http://schemas.microsoft.com/office/drawing/2014/main" id="{50BBF569-DD1D-4558-D3C7-00C46556C4E5}"/>
            </a:ext>
          </a:extLst>
        </xdr:cNvPr>
        <xdr:cNvPicPr>
          <a:picLocks noChangeAspect="1"/>
        </xdr:cNvPicPr>
      </xdr:nvPicPr>
      <xdr:blipFill>
        <a:blip xmlns:r="http://schemas.openxmlformats.org/officeDocument/2006/relationships" r:embed="rId1"/>
        <a:stretch>
          <a:fillRect/>
        </a:stretch>
      </xdr:blipFill>
      <xdr:spPr>
        <a:xfrm>
          <a:off x="10210800" y="4737100"/>
          <a:ext cx="3149600" cy="2641600"/>
        </a:xfrm>
        <a:prstGeom prst="rect">
          <a:avLst/>
        </a:prstGeom>
      </xdr:spPr>
    </xdr:pic>
    <xdr:clientData/>
  </xdr:twoCellAnchor>
  <xdr:twoCellAnchor editAs="oneCell">
    <xdr:from>
      <xdr:col>16</xdr:col>
      <xdr:colOff>266700</xdr:colOff>
      <xdr:row>10</xdr:row>
      <xdr:rowOff>38100</xdr:rowOff>
    </xdr:from>
    <xdr:to>
      <xdr:col>19</xdr:col>
      <xdr:colOff>749300</xdr:colOff>
      <xdr:row>22</xdr:row>
      <xdr:rowOff>38100</xdr:rowOff>
    </xdr:to>
    <xdr:pic>
      <xdr:nvPicPr>
        <xdr:cNvPr id="3" name="Picture 2">
          <a:extLst>
            <a:ext uri="{FF2B5EF4-FFF2-40B4-BE49-F238E27FC236}">
              <a16:creationId xmlns:a16="http://schemas.microsoft.com/office/drawing/2014/main" id="{738CFE5E-2F0B-9AFE-F878-903B9CA38304}"/>
            </a:ext>
          </a:extLst>
        </xdr:cNvPr>
        <xdr:cNvPicPr>
          <a:picLocks noChangeAspect="1"/>
        </xdr:cNvPicPr>
      </xdr:nvPicPr>
      <xdr:blipFill>
        <a:blip xmlns:r="http://schemas.openxmlformats.org/officeDocument/2006/relationships" r:embed="rId2"/>
        <a:stretch>
          <a:fillRect/>
        </a:stretch>
      </xdr:blipFill>
      <xdr:spPr>
        <a:xfrm>
          <a:off x="13665200" y="4914900"/>
          <a:ext cx="2959100" cy="2463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876502</xdr:colOff>
      <xdr:row>41</xdr:row>
      <xdr:rowOff>43323</xdr:rowOff>
    </xdr:from>
    <xdr:to>
      <xdr:col>8</xdr:col>
      <xdr:colOff>853282</xdr:colOff>
      <xdr:row>61</xdr:row>
      <xdr:rowOff>0</xdr:rowOff>
    </xdr:to>
    <xdr:graphicFrame macro="">
      <xdr:nvGraphicFramePr>
        <xdr:cNvPr id="3" name="Chart 2">
          <a:extLst>
            <a:ext uri="{FF2B5EF4-FFF2-40B4-BE49-F238E27FC236}">
              <a16:creationId xmlns:a16="http://schemas.microsoft.com/office/drawing/2014/main" id="{E9C7957A-8FC9-F348-BAD6-7F5456A1B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595312</xdr:colOff>
      <xdr:row>41</xdr:row>
      <xdr:rowOff>39687</xdr:rowOff>
    </xdr:from>
    <xdr:to>
      <xdr:col>18</xdr:col>
      <xdr:colOff>552248</xdr:colOff>
      <xdr:row>60</xdr:row>
      <xdr:rowOff>194802</xdr:rowOff>
    </xdr:to>
    <xdr:graphicFrame macro="">
      <xdr:nvGraphicFramePr>
        <xdr:cNvPr id="6" name="Chart 5">
          <a:extLst>
            <a:ext uri="{FF2B5EF4-FFF2-40B4-BE49-F238E27FC236}">
              <a16:creationId xmlns:a16="http://schemas.microsoft.com/office/drawing/2014/main" id="{C117D105-ACD3-5F42-9D3C-F0F8720488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304800</xdr:colOff>
      <xdr:row>41</xdr:row>
      <xdr:rowOff>50800</xdr:rowOff>
    </xdr:from>
    <xdr:to>
      <xdr:col>28</xdr:col>
      <xdr:colOff>431800</xdr:colOff>
      <xdr:row>61</xdr:row>
      <xdr:rowOff>25400</xdr:rowOff>
    </xdr:to>
    <xdr:graphicFrame macro="">
      <xdr:nvGraphicFramePr>
        <xdr:cNvPr id="7" name="Chart 6">
          <a:extLst>
            <a:ext uri="{FF2B5EF4-FFF2-40B4-BE49-F238E27FC236}">
              <a16:creationId xmlns:a16="http://schemas.microsoft.com/office/drawing/2014/main" id="{C3A7AD9D-3781-1746-964E-C87BA6433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erlysaght/Desktop/CE-Hub/6.%20REEs/1.%20Data%20sources/2.%20Data%20requirements%20&amp;%20requests/REEs%20Model%20Esmaeil.nosync/EVs_workboo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T_questions"/>
      <sheetName val="Data sources"/>
      <sheetName val="Additional_sources"/>
      <sheetName val="Totalcars_percapita"/>
      <sheetName val="EV_additions"/>
      <sheetName val="EV_stock"/>
      <sheetName val="EV_motor_models"/>
      <sheetName val="EV_tech_specs"/>
      <sheetName val="UK_EV_Stock&amp;Motors"/>
      <sheetName val="Motor_composition"/>
      <sheetName val="Oxide_content"/>
      <sheetName val="Price_inputs"/>
      <sheetName val="Annual_mileage"/>
      <sheetName val="Assumption_log"/>
      <sheetName val="Model inputs"/>
      <sheetName val="Product_lifespan"/>
      <sheetName val="Sheet1"/>
      <sheetName val="PM_motor_share"/>
      <sheetName val="Motor_REE_content"/>
      <sheetName val="Reverse_loop_split"/>
      <sheetName val="Output"/>
      <sheetName val="BoM"/>
      <sheetName val="Stock-flow"/>
      <sheetName val="Variables_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4">
          <cell r="C4">
            <v>0.14285714285714285</v>
          </cell>
          <cell r="D4">
            <v>0.14285714285714285</v>
          </cell>
          <cell r="E4">
            <v>0.14285714285714285</v>
          </cell>
          <cell r="F4">
            <v>0.14285714285714285</v>
          </cell>
          <cell r="G4">
            <v>0.14285714285714285</v>
          </cell>
          <cell r="H4">
            <v>0.14285714285714285</v>
          </cell>
          <cell r="I4">
            <v>0.14285714285714285</v>
          </cell>
          <cell r="J4">
            <v>0.14285714285714285</v>
          </cell>
          <cell r="K4">
            <v>0.14285714285714285</v>
          </cell>
          <cell r="L4">
            <v>0.14285714285714285</v>
          </cell>
          <cell r="M4">
            <v>0.14285714285714285</v>
          </cell>
          <cell r="N4">
            <v>0.14285714285714285</v>
          </cell>
          <cell r="O4">
            <v>0.14285714285714285</v>
          </cell>
          <cell r="P4">
            <v>0.14285714285714285</v>
          </cell>
          <cell r="Q4">
            <v>0.14285714285714285</v>
          </cell>
          <cell r="R4">
            <v>0.14285714285714285</v>
          </cell>
          <cell r="S4">
            <v>0.14285714285714285</v>
          </cell>
          <cell r="T4">
            <v>0.14285714285714285</v>
          </cell>
          <cell r="U4">
            <v>0.14285714285714285</v>
          </cell>
          <cell r="V4">
            <v>0.14285714285714285</v>
          </cell>
          <cell r="W4">
            <v>0.14285714285714285</v>
          </cell>
          <cell r="X4">
            <v>0.14285714285714285</v>
          </cell>
          <cell r="Y4">
            <v>0.14285714285714285</v>
          </cell>
          <cell r="Z4">
            <v>0.14285714285714285</v>
          </cell>
          <cell r="AA4">
            <v>0.14285714285714285</v>
          </cell>
          <cell r="AB4">
            <v>0.14285714285714285</v>
          </cell>
          <cell r="AC4">
            <v>0.14285714285714285</v>
          </cell>
          <cell r="AD4">
            <v>0.14285714285714285</v>
          </cell>
          <cell r="AE4">
            <v>0.14285714285714285</v>
          </cell>
          <cell r="AF4">
            <v>0.14285714285714285</v>
          </cell>
          <cell r="AG4">
            <v>0.14285714285714285</v>
          </cell>
          <cell r="AH4">
            <v>0.14285714285714285</v>
          </cell>
          <cell r="AI4">
            <v>0.14285714285714285</v>
          </cell>
          <cell r="AJ4">
            <v>0.14285714285714285</v>
          </cell>
          <cell r="AK4">
            <v>0.14285714285714285</v>
          </cell>
          <cell r="AL4">
            <v>0.14285714285714285</v>
          </cell>
        </row>
        <row r="5">
          <cell r="C5">
            <v>0.14285714285714285</v>
          </cell>
          <cell r="D5">
            <v>0.14285714285714285</v>
          </cell>
          <cell r="E5">
            <v>0.14285714285714285</v>
          </cell>
          <cell r="F5">
            <v>0.14285714285714285</v>
          </cell>
          <cell r="G5">
            <v>0.14285714285714285</v>
          </cell>
          <cell r="H5">
            <v>0.14285714285714285</v>
          </cell>
          <cell r="I5">
            <v>0.14285714285714285</v>
          </cell>
          <cell r="J5">
            <v>0.14285714285714285</v>
          </cell>
          <cell r="K5">
            <v>0.14285714285714285</v>
          </cell>
          <cell r="L5">
            <v>0.14285714285714285</v>
          </cell>
          <cell r="M5">
            <v>0.14285714285714285</v>
          </cell>
          <cell r="N5">
            <v>0.14285714285714285</v>
          </cell>
          <cell r="O5">
            <v>0.14285714285714285</v>
          </cell>
          <cell r="P5">
            <v>0.14285714285714285</v>
          </cell>
          <cell r="Q5">
            <v>0.14285714285714285</v>
          </cell>
          <cell r="R5">
            <v>0.14285714285714285</v>
          </cell>
          <cell r="S5">
            <v>0.14285714285714285</v>
          </cell>
          <cell r="T5">
            <v>0.14285714285714285</v>
          </cell>
          <cell r="U5">
            <v>0.14285714285714285</v>
          </cell>
          <cell r="V5">
            <v>0.14285714285714285</v>
          </cell>
          <cell r="W5">
            <v>0.14285714285714285</v>
          </cell>
          <cell r="X5">
            <v>0.14285714285714285</v>
          </cell>
          <cell r="Y5">
            <v>0.14285714285714285</v>
          </cell>
          <cell r="Z5">
            <v>0.14285714285714285</v>
          </cell>
          <cell r="AA5">
            <v>0.14285714285714285</v>
          </cell>
          <cell r="AB5">
            <v>0.14285714285714285</v>
          </cell>
          <cell r="AC5">
            <v>0.14285714285714285</v>
          </cell>
          <cell r="AD5">
            <v>0.14285714285714285</v>
          </cell>
          <cell r="AE5">
            <v>0.14285714285714285</v>
          </cell>
          <cell r="AF5">
            <v>0.14285714285714285</v>
          </cell>
          <cell r="AG5">
            <v>0.14285714285714285</v>
          </cell>
          <cell r="AH5">
            <v>0.14285714285714285</v>
          </cell>
          <cell r="AI5">
            <v>0.14285714285714285</v>
          </cell>
          <cell r="AJ5">
            <v>0.14285714285714285</v>
          </cell>
          <cell r="AK5">
            <v>0.14285714285714285</v>
          </cell>
          <cell r="AL5">
            <v>0.14285714285714285</v>
          </cell>
        </row>
        <row r="6">
          <cell r="C6">
            <v>0.14285714285714285</v>
          </cell>
          <cell r="D6">
            <v>0.14285714285714285</v>
          </cell>
          <cell r="E6">
            <v>0.14285714285714285</v>
          </cell>
          <cell r="F6">
            <v>0.14285714285714285</v>
          </cell>
          <cell r="G6">
            <v>0.14285714285714285</v>
          </cell>
          <cell r="H6">
            <v>0.14285714285714285</v>
          </cell>
          <cell r="I6">
            <v>0.14285714285714285</v>
          </cell>
          <cell r="J6">
            <v>0.14285714285714285</v>
          </cell>
          <cell r="K6">
            <v>0.14285714285714285</v>
          </cell>
          <cell r="L6">
            <v>0.14285714285714285</v>
          </cell>
          <cell r="M6">
            <v>0.14285714285714285</v>
          </cell>
          <cell r="N6">
            <v>0.14285714285714285</v>
          </cell>
          <cell r="O6">
            <v>0.14285714285714285</v>
          </cell>
          <cell r="P6">
            <v>0.14285714285714285</v>
          </cell>
          <cell r="Q6">
            <v>0.14285714285714285</v>
          </cell>
          <cell r="R6">
            <v>0.14285714285714285</v>
          </cell>
          <cell r="S6">
            <v>0.14285714285714285</v>
          </cell>
          <cell r="T6">
            <v>0.14285714285714285</v>
          </cell>
          <cell r="U6">
            <v>0.14285714285714285</v>
          </cell>
          <cell r="V6">
            <v>0.14285714285714285</v>
          </cell>
          <cell r="W6">
            <v>0.14285714285714285</v>
          </cell>
          <cell r="X6">
            <v>0.14285714285714285</v>
          </cell>
          <cell r="Y6">
            <v>0.14285714285714285</v>
          </cell>
          <cell r="Z6">
            <v>0.14285714285714285</v>
          </cell>
          <cell r="AA6">
            <v>0.14285714285714285</v>
          </cell>
          <cell r="AB6">
            <v>0.14285714285714285</v>
          </cell>
          <cell r="AC6">
            <v>0.14285714285714285</v>
          </cell>
          <cell r="AD6">
            <v>0.14285714285714285</v>
          </cell>
          <cell r="AE6">
            <v>0.14285714285714285</v>
          </cell>
          <cell r="AF6">
            <v>0.14285714285714285</v>
          </cell>
          <cell r="AG6">
            <v>0.14285714285714285</v>
          </cell>
          <cell r="AH6">
            <v>0.14285714285714285</v>
          </cell>
          <cell r="AI6">
            <v>0.14285714285714285</v>
          </cell>
          <cell r="AJ6">
            <v>0.14285714285714285</v>
          </cell>
          <cell r="AK6">
            <v>0.14285714285714285</v>
          </cell>
          <cell r="AL6">
            <v>0.14285714285714285</v>
          </cell>
        </row>
        <row r="7">
          <cell r="C7">
            <v>0.14285714285714285</v>
          </cell>
          <cell r="D7">
            <v>0.14285714285714285</v>
          </cell>
          <cell r="E7">
            <v>0.14285714285714285</v>
          </cell>
          <cell r="F7">
            <v>0.14285714285714285</v>
          </cell>
          <cell r="G7">
            <v>0.14285714285714285</v>
          </cell>
          <cell r="H7">
            <v>0.14285714285714285</v>
          </cell>
          <cell r="I7">
            <v>0.14285714285714285</v>
          </cell>
          <cell r="J7">
            <v>0.14285714285714285</v>
          </cell>
          <cell r="K7">
            <v>0.14285714285714285</v>
          </cell>
          <cell r="L7">
            <v>0.14285714285714285</v>
          </cell>
          <cell r="M7">
            <v>0.14285714285714285</v>
          </cell>
          <cell r="N7">
            <v>0.14285714285714285</v>
          </cell>
          <cell r="O7">
            <v>0.14285714285714285</v>
          </cell>
          <cell r="P7">
            <v>0.14285714285714285</v>
          </cell>
          <cell r="Q7">
            <v>0.14285714285714285</v>
          </cell>
          <cell r="R7">
            <v>0.14285714285714285</v>
          </cell>
          <cell r="S7">
            <v>0.14285714285714285</v>
          </cell>
          <cell r="T7">
            <v>0.14285714285714285</v>
          </cell>
          <cell r="U7">
            <v>0.14285714285714285</v>
          </cell>
          <cell r="V7">
            <v>0.14285714285714285</v>
          </cell>
          <cell r="W7">
            <v>0.14285714285714285</v>
          </cell>
          <cell r="X7">
            <v>0.14285714285714285</v>
          </cell>
          <cell r="Y7">
            <v>0.14285714285714285</v>
          </cell>
          <cell r="Z7">
            <v>0.14285714285714285</v>
          </cell>
          <cell r="AA7">
            <v>0.14285714285714285</v>
          </cell>
          <cell r="AB7">
            <v>0.14285714285714285</v>
          </cell>
          <cell r="AC7">
            <v>0.14285714285714285</v>
          </cell>
          <cell r="AD7">
            <v>0.14285714285714285</v>
          </cell>
          <cell r="AE7">
            <v>0.14285714285714285</v>
          </cell>
          <cell r="AF7">
            <v>0.14285714285714285</v>
          </cell>
          <cell r="AG7">
            <v>0.14285714285714285</v>
          </cell>
          <cell r="AH7">
            <v>0.14285714285714285</v>
          </cell>
          <cell r="AI7">
            <v>0.14285714285714285</v>
          </cell>
          <cell r="AJ7">
            <v>0.14285714285714285</v>
          </cell>
          <cell r="AK7">
            <v>0.14285714285714285</v>
          </cell>
          <cell r="AL7">
            <v>0.14285714285714285</v>
          </cell>
        </row>
        <row r="8">
          <cell r="C8">
            <v>0.14285714285714285</v>
          </cell>
          <cell r="D8">
            <v>0.14285714285714285</v>
          </cell>
          <cell r="E8">
            <v>0.14285714285714285</v>
          </cell>
          <cell r="F8">
            <v>0.14285714285714285</v>
          </cell>
          <cell r="G8">
            <v>0.14285714285714285</v>
          </cell>
          <cell r="H8">
            <v>0.14285714285714285</v>
          </cell>
          <cell r="I8">
            <v>0.14285714285714285</v>
          </cell>
          <cell r="J8">
            <v>0.14285714285714285</v>
          </cell>
          <cell r="K8">
            <v>0.14285714285714285</v>
          </cell>
          <cell r="L8">
            <v>0.14285714285714285</v>
          </cell>
          <cell r="M8">
            <v>0.14285714285714285</v>
          </cell>
          <cell r="N8">
            <v>0.14285714285714285</v>
          </cell>
          <cell r="O8">
            <v>0.14285714285714285</v>
          </cell>
          <cell r="P8">
            <v>0.14285714285714285</v>
          </cell>
          <cell r="Q8">
            <v>0.14285714285714285</v>
          </cell>
          <cell r="R8">
            <v>0.14285714285714285</v>
          </cell>
          <cell r="S8">
            <v>0.14285714285714285</v>
          </cell>
          <cell r="T8">
            <v>0.14285714285714285</v>
          </cell>
          <cell r="U8">
            <v>0.14285714285714285</v>
          </cell>
          <cell r="V8">
            <v>0.14285714285714285</v>
          </cell>
          <cell r="W8">
            <v>0.14285714285714285</v>
          </cell>
          <cell r="X8">
            <v>0.14285714285714285</v>
          </cell>
          <cell r="Y8">
            <v>0.14285714285714285</v>
          </cell>
          <cell r="Z8">
            <v>0.14285714285714285</v>
          </cell>
          <cell r="AA8">
            <v>0.14285714285714285</v>
          </cell>
          <cell r="AB8">
            <v>0.14285714285714285</v>
          </cell>
          <cell r="AC8">
            <v>0.14285714285714285</v>
          </cell>
          <cell r="AD8">
            <v>0.14285714285714285</v>
          </cell>
          <cell r="AE8">
            <v>0.14285714285714285</v>
          </cell>
          <cell r="AF8">
            <v>0.14285714285714285</v>
          </cell>
          <cell r="AG8">
            <v>0.14285714285714285</v>
          </cell>
          <cell r="AH8">
            <v>0.14285714285714285</v>
          </cell>
          <cell r="AI8">
            <v>0.14285714285714285</v>
          </cell>
          <cell r="AJ8">
            <v>0.14285714285714285</v>
          </cell>
          <cell r="AK8">
            <v>0.14285714285714285</v>
          </cell>
          <cell r="AL8">
            <v>0.14285714285714285</v>
          </cell>
        </row>
        <row r="9">
          <cell r="C9">
            <v>0.14285714285714285</v>
          </cell>
          <cell r="D9">
            <v>0.14285714285714285</v>
          </cell>
          <cell r="E9">
            <v>0.14285714285714285</v>
          </cell>
          <cell r="F9">
            <v>0.14285714285714285</v>
          </cell>
          <cell r="G9">
            <v>0.14285714285714285</v>
          </cell>
          <cell r="H9">
            <v>0.14285714285714285</v>
          </cell>
          <cell r="I9">
            <v>0.14285714285714285</v>
          </cell>
          <cell r="J9">
            <v>0.14285714285714285</v>
          </cell>
          <cell r="K9">
            <v>0.14285714285714285</v>
          </cell>
          <cell r="L9">
            <v>0.14285714285714285</v>
          </cell>
          <cell r="M9">
            <v>0.14285714285714285</v>
          </cell>
          <cell r="N9">
            <v>0.14285714285714285</v>
          </cell>
          <cell r="O9">
            <v>0.14285714285714285</v>
          </cell>
          <cell r="P9">
            <v>0.14285714285714285</v>
          </cell>
          <cell r="Q9">
            <v>0.14285714285714285</v>
          </cell>
          <cell r="R9">
            <v>0.14285714285714285</v>
          </cell>
          <cell r="S9">
            <v>0.14285714285714285</v>
          </cell>
          <cell r="T9">
            <v>0.14285714285714285</v>
          </cell>
          <cell r="U9">
            <v>0.14285714285714285</v>
          </cell>
          <cell r="V9">
            <v>0.14285714285714285</v>
          </cell>
          <cell r="W9">
            <v>0.14285714285714285</v>
          </cell>
          <cell r="X9">
            <v>0.14285714285714285</v>
          </cell>
          <cell r="Y9">
            <v>0.14285714285714285</v>
          </cell>
          <cell r="Z9">
            <v>0.14285714285714285</v>
          </cell>
          <cell r="AA9">
            <v>0.14285714285714285</v>
          </cell>
          <cell r="AB9">
            <v>0.14285714285714285</v>
          </cell>
          <cell r="AC9">
            <v>0.14285714285714285</v>
          </cell>
          <cell r="AD9">
            <v>0.14285714285714285</v>
          </cell>
          <cell r="AE9">
            <v>0.14285714285714285</v>
          </cell>
          <cell r="AF9">
            <v>0.14285714285714285</v>
          </cell>
          <cell r="AG9">
            <v>0.14285714285714285</v>
          </cell>
          <cell r="AH9">
            <v>0.14285714285714285</v>
          </cell>
          <cell r="AI9">
            <v>0.14285714285714285</v>
          </cell>
          <cell r="AJ9">
            <v>0.14285714285714285</v>
          </cell>
          <cell r="AK9">
            <v>0.14285714285714285</v>
          </cell>
          <cell r="AL9">
            <v>0.14285714285714285</v>
          </cell>
        </row>
        <row r="10">
          <cell r="C10">
            <v>0.14285714285714285</v>
          </cell>
          <cell r="D10">
            <v>0.14285714285714285</v>
          </cell>
          <cell r="E10">
            <v>0.14285714285714285</v>
          </cell>
          <cell r="F10">
            <v>0.14285714285714285</v>
          </cell>
          <cell r="G10">
            <v>0.14285714285714285</v>
          </cell>
          <cell r="H10">
            <v>0.14285714285714285</v>
          </cell>
          <cell r="I10">
            <v>0.14285714285714285</v>
          </cell>
          <cell r="J10">
            <v>0.14285714285714285</v>
          </cell>
          <cell r="K10">
            <v>0.14285714285714285</v>
          </cell>
          <cell r="L10">
            <v>0.14285714285714285</v>
          </cell>
          <cell r="M10">
            <v>0.14285714285714285</v>
          </cell>
          <cell r="N10">
            <v>0.14285714285714285</v>
          </cell>
          <cell r="O10">
            <v>0.14285714285714285</v>
          </cell>
          <cell r="P10">
            <v>0.14285714285714285</v>
          </cell>
          <cell r="Q10">
            <v>0.14285714285714285</v>
          </cell>
          <cell r="R10">
            <v>0.14285714285714285</v>
          </cell>
          <cell r="S10">
            <v>0.14285714285714285</v>
          </cell>
          <cell r="T10">
            <v>0.14285714285714285</v>
          </cell>
          <cell r="U10">
            <v>0.14285714285714285</v>
          </cell>
          <cell r="V10">
            <v>0.14285714285714285</v>
          </cell>
          <cell r="W10">
            <v>0.14285714285714285</v>
          </cell>
          <cell r="X10">
            <v>0.14285714285714285</v>
          </cell>
          <cell r="Y10">
            <v>0.14285714285714285</v>
          </cell>
          <cell r="Z10">
            <v>0.14285714285714285</v>
          </cell>
          <cell r="AA10">
            <v>0.14285714285714285</v>
          </cell>
          <cell r="AB10">
            <v>0.14285714285714285</v>
          </cell>
          <cell r="AC10">
            <v>0.14285714285714285</v>
          </cell>
          <cell r="AD10">
            <v>0.14285714285714285</v>
          </cell>
          <cell r="AE10">
            <v>0.14285714285714285</v>
          </cell>
          <cell r="AF10">
            <v>0.14285714285714285</v>
          </cell>
          <cell r="AG10">
            <v>0.14285714285714285</v>
          </cell>
          <cell r="AH10">
            <v>0.14285714285714285</v>
          </cell>
          <cell r="AI10">
            <v>0.14285714285714285</v>
          </cell>
          <cell r="AJ10">
            <v>0.14285714285714285</v>
          </cell>
          <cell r="AK10">
            <v>0.14285714285714285</v>
          </cell>
          <cell r="AL10">
            <v>0.14285714285714285</v>
          </cell>
        </row>
      </sheetData>
      <sheetData sheetId="20" refreshError="1"/>
      <sheetData sheetId="21" refreshError="1"/>
      <sheetData sheetId="22" refreshError="1"/>
      <sheetData sheetId="23"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00BB4F-6F91-7840-9B26-93A1B2FD1A0D}" name="Table1" displayName="Table1" ref="A1:AC143" totalsRowShown="0" headerRowDxfId="198" dataDxfId="197">
  <autoFilter ref="A1:AC143" xr:uid="{1500BB4F-6F91-7840-9B26-93A1B2FD1A0D}"/>
  <tableColumns count="29">
    <tableColumn id="1" xr3:uid="{F1F1F8D2-14E1-E148-AE49-CBC392CAB43E}" name="Product_type"/>
    <tableColumn id="2" xr3:uid="{4BD94141-D453-A947-8BB5-3E7954EBDF92}" name="product_category(1)" dataDxfId="196"/>
    <tableColumn id="3" xr3:uid="{A20AA6B1-828C-BF4D-B925-113D96D4BEB6}" name="product_category(2)" dataDxfId="195"/>
    <tableColumn id="4" xr3:uid="{664E4E81-5774-AB4B-ADCE-BF32CF229438}" name="product_category(3)" dataDxfId="194"/>
    <tableColumn id="5" xr3:uid="{D9E4A356-8828-A842-AA61-4633216B03AA}" name="Identifier_NACE" dataDxfId="193"/>
    <tableColumn id="6" xr3:uid="{1ACE56F4-EE20-B34E-998D-B5EAA0BE3300}" name="Identifier_SIC09" dataDxfId="192"/>
    <tableColumn id="7" xr3:uid="{34909F8E-FFC2-6649-9B44-7A59F1F8AE60}" name="Identifier_CPA" dataDxfId="191"/>
    <tableColumn id="8" xr3:uid="{AC6970C4-36CF-C945-8E1F-1A1BF89DD44F}" name="Identifier_PRODCOM" dataDxfId="190"/>
    <tableColumn id="9" xr3:uid="{1AC530E3-46C8-E249-B30E-491948FA0782}" name="Identifier_HS6/CN6" dataDxfId="189"/>
    <tableColumn id="28" xr3:uid="{60967391-E4C5-CC47-BBD4-86CF853A6B5A}" name="Identifier_UNU" dataDxfId="188"/>
    <tableColumn id="29" xr3:uid="{2F8E72D4-7CB7-D349-8FE3-726C858198BC}" name="Identifier_WEEE_Cat" dataDxfId="187"/>
    <tableColumn id="10" xr3:uid="{F1B3489D-677D-A648-9F19-1B16D88C3ABD}" name="Lifespan_EoL_lower_yr" dataDxfId="186"/>
    <tableColumn id="11" xr3:uid="{4D79905B-772A-1844-B175-D42CFE1F85FC}" name="Lifespan_EoL_upper_yr" dataDxfId="185"/>
    <tableColumn id="12" xr3:uid="{931E5D36-8B79-2F4A-857E-7AB73095C5A2}" name="Lifespan_EoL_average_yr" dataDxfId="184"/>
    <tableColumn id="13" xr3:uid="{0AF0C6E8-DDBA-1440-9022-0E8A15FBCBA0}" name="Lifespan_EoL_median_yr" dataDxfId="183"/>
    <tableColumn id="14" xr3:uid="{2010A3C0-FEEB-A64F-9226-8E22E0C935E1}" name="Lifespan_EoL_SD" dataDxfId="182"/>
    <tableColumn id="15" xr3:uid="{FCF6A635-76B6-C14C-8178-FB62D14B0712}" name="Lifespan_owned_until_fixed_average_yr" dataDxfId="181"/>
    <tableColumn id="16" xr3:uid="{CE5EE286-7355-D044-A1D3-5BFE9B946B31}" name="Lifespan_owned_until_fixed_median_yr" dataDxfId="180"/>
    <tableColumn id="26" xr3:uid="{21729E52-C31D-9B46-9337-7CF2C72422A3}" name="Lifespan_Weibull_shape" dataDxfId="179"/>
    <tableColumn id="27" xr3:uid="{05D820B6-17E8-8245-A5B9-87D350B39E5B}" name="Lifespan_Weibull_scale" dataDxfId="178"/>
    <tableColumn id="17" xr3:uid="{74EE73D0-6187-A548-B95D-1F7147B32482}" name="Extension_potential_route" dataDxfId="177"/>
    <tableColumn id="18" xr3:uid="{F2E53D70-5A24-E547-8A2A-DA10186B97A7}" name="Extension_potential_lower_yr" dataDxfId="176"/>
    <tableColumn id="19" xr3:uid="{E2BA0F4A-4F1B-ED4D-89EB-F42020181794}" name="Extension_potential_upper_yr" dataDxfId="175"/>
    <tableColumn id="20" xr3:uid="{DDF7A2A0-EDA9-C846-A191-EDC1033DDC50}" name="Mass_lower_kg" dataDxfId="174"/>
    <tableColumn id="21" xr3:uid="{336A5E2C-05DA-614A-BF5A-C07153469B9B}" name="Mass_upper_kg" dataDxfId="173"/>
    <tableColumn id="22" xr3:uid="{F64DE9A3-5456-4141-B5E4-3094F9CFF1DF}" name="Mass_average_kg" dataDxfId="172"/>
    <tableColumn id="23" xr3:uid="{A4AFA1B5-6741-CD46-9A50-0033788FBD7B}" name="Source" dataDxfId="171"/>
    <tableColumn id="24" xr3:uid="{4210EE28-A9F7-4540-80AF-776B5C862485}" name="Source URL" dataDxfId="170"/>
    <tableColumn id="25" xr3:uid="{2059A71A-AD35-D145-806F-6F5BC1BF8FDA}" name="Year of estimate" dataDxfId="169"/>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4BA04CC-3FA4-AC4F-BD71-0AA1A5EE0BCC}" name="Table19" displayName="Table19" ref="A1:L1829" totalsRowShown="0">
  <autoFilter ref="A1:L1829" xr:uid="{84BA04CC-3FA4-AC4F-BD71-0AA1A5EE0BCC}"/>
  <tableColumns count="12">
    <tableColumn id="1" xr3:uid="{509F1727-5005-7047-9DEF-B6315B535C33}" name="Commodities"/>
    <tableColumn id="2" xr3:uid="{D91D6BEF-F88D-E142-9795-7419584C95B2}" name="HS2"/>
    <tableColumn id="3" xr3:uid="{DDB9EAB0-1B58-6F46-A058-8B13C0763D18}" name="HS4"/>
    <tableColumn id="4" xr3:uid="{260B2736-64BF-0345-85C9-8C8488303496}" name="HS6"/>
    <tableColumn id="5" xr3:uid="{A4A12090-3C06-9345-A697-FC75784226AA}" name="CN8"/>
    <tableColumn id="6" xr3:uid="{B17AD325-DCAA-C144-A6CC-1A6B68285B2E}" name="Value (£)"/>
    <tableColumn id="7" xr3:uid="{B19BA534-5F81-164A-A298-B0B68CE92704}" name="Net Mass (Kg)"/>
    <tableColumn id="8" xr3:uid="{2CA1D776-8C32-0D48-830B-E6938CBF0B7F}" name="🔸 Supp Unit *³"/>
    <tableColumn id="9" xr3:uid="{D96F23F6-38B1-144B-A3B4-5F45A165F735}" name="Flow Type"/>
    <tableColumn id="10" xr3:uid="{9681A4A9-24D2-4A47-9499-7C3FB3F1977B}" name="Year"/>
    <tableColumn id="11" xr3:uid="{ACAEC358-78E1-4C45-AE65-0DA9655D9173}" name="Month"/>
    <tableColumn id="12" xr3:uid="{415D868C-412A-194C-BFA3-9970162611F5}" name="Include in HS2 aggregatio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F2F1CBC-B2D6-2641-AEEA-37D58927F179}" name="Table111" displayName="Table111" ref="A1:AU140" totalsRowShown="0" headerRowDxfId="168" dataDxfId="167">
  <autoFilter ref="A1:AU140" xr:uid="{1500BB4F-6F91-7840-9B26-93A1B2FD1A0D}">
    <filterColumn colId="1">
      <filters>
        <filter val="Electronics"/>
      </filters>
    </filterColumn>
  </autoFilter>
  <tableColumns count="47">
    <tableColumn id="1" xr3:uid="{F0FF24FE-3762-FE44-AFBE-EC1A689F28C7}" name="Product_type"/>
    <tableColumn id="2" xr3:uid="{6F83370A-4597-0F4D-998C-C0BF3C2F6DA2}" name="product_category(1)" dataDxfId="166"/>
    <tableColumn id="3" xr3:uid="{0336470F-54A5-514E-92F2-B38307AE1AEC}" name="product_category(2)" dataDxfId="165"/>
    <tableColumn id="4" xr3:uid="{7ABDA335-9845-8143-92E4-CE9A8FB1441A}" name="product_category(3)" dataDxfId="164"/>
    <tableColumn id="39" xr3:uid="{1A58FBA0-24D4-744F-B1DD-3F7F9753FFAC}" name="Identifier_SIC_Division" dataDxfId="163"/>
    <tableColumn id="40" xr3:uid="{3BD10F9B-3FC0-6C4F-8F11-6940F95A3D3D}" name="Identifier_SIC_Group" dataDxfId="162"/>
    <tableColumn id="5" xr3:uid="{5F0BB7D0-E0D4-EC4F-A5C0-668C6914A76C}" name="Identifier_NACE_SIC_class" dataDxfId="161"/>
    <tableColumn id="6" xr3:uid="{FD6D4D0B-0FF8-FE45-A7A5-38E6195A1978}" name="Identifier_SIC_(sub)class" dataDxfId="160"/>
    <tableColumn id="7" xr3:uid="{D533E1B9-1942-B34E-BEBB-0E4B166DACEE}" name="Identifier_CPA2" dataDxfId="159"/>
    <tableColumn id="8" xr3:uid="{61C4624B-DE31-9447-A452-17BB6A48D42D}" name="Identifier_PRODCOM" dataDxfId="158"/>
    <tableColumn id="31" xr3:uid="{E36377CC-2282-3541-BE38-68F2924B7B28}" name="Identifier_SITC" dataDxfId="157"/>
    <tableColumn id="34" xr3:uid="{A7638902-47CF-3246-B6F2-0C301122B516}" name="Identifier_HS6" dataDxfId="156"/>
    <tableColumn id="9" xr3:uid="{1BB86226-45E7-D946-BC41-AE66D8308221}" name="Identifier_HS6/CN6" dataDxfId="155"/>
    <tableColumn id="35" xr3:uid="{8D16DAEB-B00A-5742-BADE-BB0856FDD967}" name="Identifier_CN8" dataDxfId="154"/>
    <tableColumn id="36" xr3:uid="{63EDB144-9C7A-104B-BB07-D2A8007F4934}" name="EWC" dataDxfId="153"/>
    <tableColumn id="28" xr3:uid="{C3FB71AF-0A95-864E-B275-A8A00E3041BA}" name="Identifier_UNU" dataDxfId="152"/>
    <tableColumn id="29" xr3:uid="{91834D05-AB6D-C641-ACDD-37B79F393AD0}" name="Identifier_WEEE_Cat" dataDxfId="151"/>
    <tableColumn id="10" xr3:uid="{AEF91C43-A37E-544D-9B37-3BA781ED6A8E}" name="Lifespan_EoL_lower_yr" dataDxfId="150"/>
    <tableColumn id="11" xr3:uid="{4FDEB594-4409-3743-B970-64863D1924D2}" name="Lifespan_EoL_upper_yr" dataDxfId="149"/>
    <tableColumn id="12" xr3:uid="{FA3502EB-23DC-CF46-920A-CE42ED3F6B26}" name="Lifespan_EoL_average_yr" dataDxfId="148"/>
    <tableColumn id="13" xr3:uid="{B23758CA-419D-8B47-9678-1CCF544DD214}" name="Lifespan_EoL_median_yr" dataDxfId="147"/>
    <tableColumn id="14" xr3:uid="{9937EB60-E869-9840-86D4-FDB9DF0391EA}" name="Lifespan_EoL_SD" dataDxfId="146"/>
    <tableColumn id="15" xr3:uid="{6F020831-8578-FF48-972A-77842E0EB598}" name="Lifespan_owned_until_fixed_average_yr" dataDxfId="145"/>
    <tableColumn id="16" xr3:uid="{C4649526-1A08-DE41-86AD-16C183FA9FF4}" name="Lifespan_owned_until_fixed_median_yr" dataDxfId="144"/>
    <tableColumn id="26" xr3:uid="{6BE5B421-C4CE-B34E-B51A-2945F07DA9A3}" name="Lifespan_Weibull_shape" dataDxfId="143"/>
    <tableColumn id="27" xr3:uid="{F8221C65-B761-4E48-AA7E-3321A14DD717}" name="Lifespan_Weibull_scale" dataDxfId="142"/>
    <tableColumn id="42" xr3:uid="{C6DD5DE4-FC49-764C-A19C-F6662E739FDC}" name="Uses_per_year" dataDxfId="141"/>
    <tableColumn id="20" xr3:uid="{94476950-9A07-F74D-A165-21DDBBFB06F3}" name="Mass_lower_kg" dataDxfId="140"/>
    <tableColumn id="21" xr3:uid="{29722DC3-9800-C34D-AAA6-AB4F00EC11C4}" name="Mass_upper_kg" dataDxfId="139"/>
    <tableColumn id="22" xr3:uid="{11E122D7-A525-9B48-91F8-283943723993}" name="Mass_average_kg" dataDxfId="138"/>
    <tableColumn id="46" xr3:uid="{FD755A43-50BD-5142-9493-DCF7FC00C486}" name="Treatment_reuse" dataDxfId="137"/>
    <tableColumn id="48" xr3:uid="{91675531-09CA-C648-A69A-C7AF446C2EF0}" name="Treatment_refurbishment" dataDxfId="136"/>
    <tableColumn id="49" xr3:uid="{F35B098E-553E-7D48-8B72-A358072C8EBB}" name="Treatment_remanufacture" dataDxfId="135"/>
    <tableColumn id="50" xr3:uid="{8DFDFEEE-57AA-3848-A682-9AABC3D1C460}" name="Treatment_recycling" dataDxfId="134"/>
    <tableColumn id="51" xr3:uid="{F77C128E-5FD2-0E4B-8E77-0D7CB0413DEB}" name="Treatment_AD" dataDxfId="133"/>
    <tableColumn id="52" xr3:uid="{306C5F57-7D6C-DB4E-82FC-B36A0507B942}" name="Treatment_Composting" dataDxfId="132"/>
    <tableColumn id="53" xr3:uid="{B025A842-B45A-C54C-B8F1-CFAA8D44C19C}" name="Treatment_EfW" dataDxfId="131"/>
    <tableColumn id="54" xr3:uid="{9C0DDE9C-EF98-2F4E-AD42-7A7836CAD8DB}" name="Treatment_landfill" dataDxfId="130"/>
    <tableColumn id="55" xr3:uid="{C2BF9AF3-D46D-CF4A-A4C2-53F2B10A5EBE}" name="Treatment_export" dataDxfId="129"/>
    <tableColumn id="32" xr3:uid="{0E7F3DC5-916F-C94B-BF70-31F5C74C8A0A}" name="Price_upper" dataDxfId="128"/>
    <tableColumn id="43" xr3:uid="{13DE9655-9CE1-4748-ABD3-68665AB8ADB2}" name="Price_lower" dataDxfId="127"/>
    <tableColumn id="44" xr3:uid="{12E1A3A0-E82F-2349-B32D-B7E9607BC4D8}" name="Price_average" dataDxfId="126"/>
    <tableColumn id="45" xr3:uid="{85E3E572-3E0B-574C-BB43-7C113AEB7726}" name="Price_repair" dataDxfId="125"/>
    <tableColumn id="47" xr3:uid="{EC8E0F2F-D474-EF4F-B3B3-CDFE2539EDBA}" name="Price_2nd_hand" dataDxfId="124"/>
    <tableColumn id="23" xr3:uid="{423EFF12-4DB1-AB45-A582-DF9320B4AF1A}" name="Source_lifespan" dataDxfId="123"/>
    <tableColumn id="24" xr3:uid="{EBE5EF5C-E840-9448-929C-0B2FBC56F58A}" name="Source_lifespan_URL" dataDxfId="122"/>
    <tableColumn id="25" xr3:uid="{8B977A2A-7AFB-CF47-BBA1-5BC0A201C834}" name="Source_lifespan_yearest" dataDxfId="121"/>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D0B280-F9CF-2641-AA9C-986A698EFE77}" name="Table2" displayName="Table2" ref="A1:C52" totalsRowShown="0" headerRowDxfId="120">
  <autoFilter ref="A1:C52" xr:uid="{90D0B280-F9CF-2641-AA9C-986A698EFE77}"/>
  <tableColumns count="3">
    <tableColumn id="1" xr3:uid="{529F3666-1820-C540-ACC1-B5BB692D359F}" name="Product "/>
    <tableColumn id="2" xr3:uid="{91D0FDAF-16B4-5E42-97EE-AFE1C881EEB7}" name="Year" dataDxfId="119" dataCellStyle="Normal 2 3"/>
    <tableColumn id="3" xr3:uid="{60B91DA6-AD86-B54A-AE63-374B0BF0E875}" name="Value" dataDxfId="118" dataCellStyle="Comma"/>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B7E311-F0FF-9F41-A15D-5A55ABDAA47C}" name="Table6" displayName="Table6" ref="A1:E1533" totalsRowShown="0">
  <autoFilter ref="A1:E1533" xr:uid="{C1B7E311-F0FF-9F41-A15D-5A55ABDAA47C}"/>
  <tableColumns count="5">
    <tableColumn id="1" xr3:uid="{2E144129-3764-684B-878E-3FBB6D81D356}" name="Product"/>
    <tableColumn id="2" xr3:uid="{60343D21-05F6-F84A-AF45-A73196D85828}" name="Model"/>
    <tableColumn id="3" xr3:uid="{8A825AE1-C532-B446-BA36-7DACA8AC320E}" name="Component"/>
    <tableColumn id="4" xr3:uid="{A14D25E1-88F6-EC4C-A305-84C1264F11B6}" name="Material"/>
    <tableColumn id="5" xr3:uid="{074FAD20-66E1-4643-8A6C-D9F9926AE205}" name="Value"/>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68998FF-CC3A-584F-BDE8-1E2E1AFBACD0}" name="Table8.1.1" displayName="Table8.1.1" ref="A5:AH28" totalsRowShown="0" headerRowDxfId="117" dataDxfId="116" tableBorderDxfId="115" dataCellStyle="Comma">
  <autoFilter ref="A5:AH28" xr:uid="{AF26D8C1-4BAF-1343-AE14-878CD8F2D6B6}"/>
  <tableColumns count="34">
    <tableColumn id="1" xr3:uid="{51A253E8-0282-F242-97D3-2C4132CA0728}" name="Section" dataDxfId="114"/>
    <tableColumn id="2" xr3:uid="{82C51DF9-034D-5A44-A823-2FEC4BDAD2A1}" name="SIC(07) group" dataDxfId="113"/>
    <tableColumn id="3" xr3:uid="{99851D61-9A58-8A49-82F4-6CBF3643D965}" name="Section name" dataDxfId="112"/>
    <tableColumn id="4" xr3:uid="{56EC427C-3B13-204E-A8A4-A57FE7EB935D}" name="1990" dataDxfId="111" dataCellStyle="Comma"/>
    <tableColumn id="5" xr3:uid="{69CC7A56-CD5D-2B44-8FBB-C3744C71C3B8}" name="1991" dataDxfId="110" dataCellStyle="Comma"/>
    <tableColumn id="6" xr3:uid="{7D3FFCEA-5CDD-AA4E-80F6-9404AF285902}" name="1992" dataDxfId="109" dataCellStyle="Comma"/>
    <tableColumn id="7" xr3:uid="{8496E2CC-C82B-574A-962C-AAFAA751FD4D}" name="1993" dataDxfId="108" dataCellStyle="Comma"/>
    <tableColumn id="8" xr3:uid="{0D1F0100-F584-854C-AFBE-9AD466FC6310}" name="1994" dataDxfId="107" dataCellStyle="Comma"/>
    <tableColumn id="9" xr3:uid="{76B62830-072C-9B43-8B9A-27633224B970}" name="1995" dataDxfId="106" dataCellStyle="Comma"/>
    <tableColumn id="10" xr3:uid="{DC2C03AB-A08C-AB4C-B1E3-FBB28F41445A}" name="1996" dataDxfId="105" dataCellStyle="Comma"/>
    <tableColumn id="11" xr3:uid="{E8C78DDD-7FB1-E441-9F83-5510833194B0}" name="1997" dataDxfId="104" dataCellStyle="Comma"/>
    <tableColumn id="12" xr3:uid="{053F165A-3696-F94D-9870-629212468533}" name="1998" dataDxfId="103" dataCellStyle="Comma"/>
    <tableColumn id="13" xr3:uid="{F3680322-819E-CE49-8F6C-470C27CC1D46}" name="1999" dataDxfId="102" dataCellStyle="Comma"/>
    <tableColumn id="14" xr3:uid="{B55BCA16-D65F-CF4B-9EB1-C35C262079ED}" name="2000" dataDxfId="101" dataCellStyle="Comma"/>
    <tableColumn id="15" xr3:uid="{DD567594-4D74-7045-A679-568E9E988CF5}" name="2001" dataDxfId="100" dataCellStyle="Comma"/>
    <tableColumn id="16" xr3:uid="{22FCEFB7-D6BD-2049-A4A2-1F035B6DC3FB}" name="2002" dataDxfId="99" dataCellStyle="Comma"/>
    <tableColumn id="17" xr3:uid="{E6A63852-3CF9-014D-85DD-1677288ECB9E}" name="2003" dataDxfId="98" dataCellStyle="Comma"/>
    <tableColumn id="18" xr3:uid="{4FC19EA7-164B-B046-834E-87325FD15CD5}" name="2004" dataDxfId="97" dataCellStyle="Comma"/>
    <tableColumn id="19" xr3:uid="{B12C73E5-8857-3941-9A61-7DB52E43DC16}" name="2005" dataDxfId="96" dataCellStyle="Comma"/>
    <tableColumn id="20" xr3:uid="{D0403E07-E66A-AF41-9E19-0F45BD3EF478}" name="2006" dataDxfId="95" dataCellStyle="Comma"/>
    <tableColumn id="21" xr3:uid="{D25836A4-106B-3045-95DD-3191069DA45F}" name="2007" dataDxfId="94" dataCellStyle="Comma"/>
    <tableColumn id="22" xr3:uid="{38EE70DA-6086-DD4F-8F0C-2CBD3069E47C}" name="2008" dataDxfId="93" dataCellStyle="Comma"/>
    <tableColumn id="23" xr3:uid="{D05CEF4A-EB25-3D4B-8D9D-DFB54BFCAA7A}" name="2009" dataDxfId="92" dataCellStyle="Comma"/>
    <tableColumn id="24" xr3:uid="{E4BBD01C-BE4D-234A-BBF3-F8143331F8EC}" name="2010" dataDxfId="91" dataCellStyle="Comma"/>
    <tableColumn id="25" xr3:uid="{522F468F-28CD-2F4E-8B7B-0B39CF3C2798}" name="2011" dataDxfId="90" dataCellStyle="Comma"/>
    <tableColumn id="26" xr3:uid="{CF594242-C9A9-6F4A-8DFE-4A32DC64FB56}" name="2012" dataDxfId="89" dataCellStyle="Comma"/>
    <tableColumn id="27" xr3:uid="{1D58A57C-5AF1-EF48-B283-AE2799F070AE}" name="2013" dataDxfId="88" dataCellStyle="Comma"/>
    <tableColumn id="28" xr3:uid="{02741351-EC2A-2D46-BA96-6131FDD45114}" name="2014" dataDxfId="87" dataCellStyle="Comma"/>
    <tableColumn id="29" xr3:uid="{138724BF-F3C1-2C47-80BB-C4580CD0CAF2}" name="2015" dataDxfId="86" dataCellStyle="Comma"/>
    <tableColumn id="30" xr3:uid="{9B542167-93B6-8649-B0B8-6CADDF3B54F1}" name="2016" dataDxfId="85" dataCellStyle="Comma"/>
    <tableColumn id="31" xr3:uid="{5F254FC7-9347-FA4A-87E1-02BCEFFD1CE6}" name="2017" dataDxfId="84" dataCellStyle="Comma"/>
    <tableColumn id="32" xr3:uid="{0CB80644-DD5E-8242-AEAC-7CC8D1F8C200}" name="2018" dataDxfId="83" dataCellStyle="Comma"/>
    <tableColumn id="33" xr3:uid="{34621E57-5392-8D46-B5D2-28701E7627F7}" name="2019" dataDxfId="82" dataCellStyle="Comma"/>
    <tableColumn id="34" xr3:uid="{570BAAB8-BE0C-C641-942F-A65BBE8A979A}" name="2020" dataDxfId="81" dataCellStyle="Comma"/>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959B9B6-447F-0A4B-9163-D8F4695AFFDB}" name="Table8.1.2" displayName="Table8.1.2" ref="A31:AH164" totalsRowShown="0" headerRowDxfId="80" dataDxfId="78" headerRowBorderDxfId="79" tableBorderDxfId="77" dataCellStyle="Comma">
  <autoFilter ref="A31:AH164" xr:uid="{8BC256A0-A3E8-F24D-A845-7AD7932CED8A}"/>
  <tableColumns count="34">
    <tableColumn id="1" xr3:uid="{9C3A6F40-7B0C-6544-AB3A-E1336CAD38B1}" name="SIC(07) group"/>
    <tableColumn id="2" xr3:uid="{9F5F4366-59B1-E54B-BD80-FC4F252F0B6C}" name="Section" dataDxfId="76"/>
    <tableColumn id="3" xr3:uid="{5997BA57-B097-C84B-AB71-F53F44126DE8}" name="Group name" dataDxfId="75"/>
    <tableColumn id="4" xr3:uid="{32BE2009-3FAA-914E-BE13-959BCD19A062}" name="1990" dataDxfId="74" dataCellStyle="Comma"/>
    <tableColumn id="5" xr3:uid="{72EE794C-0BE0-3B42-B6C5-63198A01D5F5}" name="1991" dataDxfId="73" dataCellStyle="Comma"/>
    <tableColumn id="6" xr3:uid="{5EB38F94-CC83-9D4C-A326-D5620099EDEF}" name="1992" dataDxfId="72" dataCellStyle="Comma"/>
    <tableColumn id="7" xr3:uid="{782A81AD-5509-BF41-A7BF-2369906C792B}" name="1993" dataDxfId="71" dataCellStyle="Comma"/>
    <tableColumn id="8" xr3:uid="{2708E611-F1F2-674E-B56E-DFF480259497}" name="1994" dataDxfId="70" dataCellStyle="Comma"/>
    <tableColumn id="9" xr3:uid="{9D6D0ACC-1A7A-1548-873C-9A2634A144DA}" name="1995" dataDxfId="69" dataCellStyle="Comma"/>
    <tableColumn id="10" xr3:uid="{BDCE23EB-9581-BF48-B2FD-9AE4CE600EE3}" name="1996" dataDxfId="68" dataCellStyle="Comma"/>
    <tableColumn id="11" xr3:uid="{B9740A45-2A54-B349-803E-2010D7C6CCB6}" name="1997" dataDxfId="67" dataCellStyle="Comma"/>
    <tableColumn id="12" xr3:uid="{AF68A052-9835-F543-B18D-616B8A47CBDD}" name="1998" dataDxfId="66" dataCellStyle="Comma"/>
    <tableColumn id="13" xr3:uid="{E43AD00F-8F56-2347-8848-93E171E57C61}" name="1999" dataDxfId="65" dataCellStyle="Comma"/>
    <tableColumn id="14" xr3:uid="{4DE36371-FCD1-9745-8EBC-6D55A7B77010}" name="2000" dataDxfId="64" dataCellStyle="Comma"/>
    <tableColumn id="15" xr3:uid="{C9F831AB-41C8-E843-AAA2-1B78DC2D82DE}" name="2001" dataDxfId="63" dataCellStyle="Comma"/>
    <tableColumn id="16" xr3:uid="{C7D67C32-9685-8646-958F-C4F1DC56DE2C}" name="2002" dataDxfId="62" dataCellStyle="Comma"/>
    <tableColumn id="17" xr3:uid="{D8D9D403-AC69-1A48-BCD5-A8293286EAA3}" name="2003" dataDxfId="61" dataCellStyle="Comma"/>
    <tableColumn id="18" xr3:uid="{68181EF5-8A45-F64E-8D16-7F18A1E5CFB2}" name="2004" dataDxfId="60" dataCellStyle="Comma"/>
    <tableColumn id="19" xr3:uid="{D6432A93-30BA-A240-86E8-CBBF2054DAAA}" name="2005" dataDxfId="59" dataCellStyle="Comma"/>
    <tableColumn id="20" xr3:uid="{02D6DFA9-6AE2-AF4D-B7E4-711B731176C2}" name="2006" dataDxfId="58" dataCellStyle="Comma"/>
    <tableColumn id="21" xr3:uid="{7FA30895-FDA7-C84F-BF7A-E3F2163C6401}" name="2007" dataDxfId="57" dataCellStyle="Comma"/>
    <tableColumn id="22" xr3:uid="{11B22562-66B3-7F47-BA8C-FF2DBE7FA98B}" name="2008" dataDxfId="56" dataCellStyle="Comma"/>
    <tableColumn id="23" xr3:uid="{C1009061-982C-6E4C-807F-F5516B312FD9}" name="2009" dataDxfId="55" dataCellStyle="Comma"/>
    <tableColumn id="24" xr3:uid="{AD5EB6C6-5C88-7840-858F-40A6A4A3D918}" name="2010" dataDxfId="54" dataCellStyle="Comma"/>
    <tableColumn id="25" xr3:uid="{D6C4BE3F-505E-6444-82E2-B20B40741263}" name="2011" dataDxfId="53" dataCellStyle="Comma"/>
    <tableColumn id="26" xr3:uid="{B1220C9C-2FA1-A44E-AD7D-F1A0331B3C5A}" name="2012" dataDxfId="52" dataCellStyle="Comma"/>
    <tableColumn id="27" xr3:uid="{D1CB2883-7E95-A443-9038-624031200267}" name="2013" dataDxfId="51" dataCellStyle="Comma"/>
    <tableColumn id="28" xr3:uid="{DB2F394D-59A7-5447-A130-11044AA5ED96}" name="2014" dataDxfId="50" dataCellStyle="Comma"/>
    <tableColumn id="29" xr3:uid="{389117A8-5189-DB41-9226-16AF7C3E27D9}" name="2015" dataDxfId="49" dataCellStyle="Comma"/>
    <tableColumn id="30" xr3:uid="{BAF2E641-16FD-4741-8E9E-E069659BB223}" name="2016" dataDxfId="48" dataCellStyle="Comma"/>
    <tableColumn id="31" xr3:uid="{6AED6BB3-1C66-2A4E-8236-B2AA9F20E390}" name="2017" dataDxfId="47" dataCellStyle="Comma"/>
    <tableColumn id="32" xr3:uid="{042AFC4F-53A9-554F-85A1-7F5832995215}" name="2018" dataDxfId="46" dataCellStyle="Comma"/>
    <tableColumn id="33" xr3:uid="{BC15CD1F-9816-1F46-805D-9ABF2785368F}" name="2019" dataDxfId="45" dataCellStyle="Comma"/>
    <tableColumn id="34" xr3:uid="{0E374581-FDEA-E247-9BB8-02D92FAD6499}" name="2020" dataDxfId="44" dataCellStyle="Comma"/>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FF5D737-9DF1-E54E-A9B5-83B6AC98063D}" name="abs_section_c_uk_2019" displayName="abs_section_c_uk_2019" ref="A1:N4097" totalsRowShown="0" headerRowDxfId="43" dataDxfId="41" headerRowBorderDxfId="42" tableBorderDxfId="40">
  <tableColumns count="14">
    <tableColumn id="1" xr3:uid="{F4D8FBFD-5DD7-2C41-927F-D33AB9C0764C}" name="Standard industrial classification_x000a_(revised 2007)_x000a_Section_x000a_Division_x000a_Group_x000a_Class" dataDxfId="39"/>
    <tableColumn id="2" xr3:uid="{EDA0FE97-5EF3-3B4E-A01A-D2201CA762D4}" name="Description" dataDxfId="38"/>
    <tableColumn id="3" xr3:uid="{F6B54171-F3F2-EC44-AEE9-DE1FF68E31BF}" name="Year" dataDxfId="37"/>
    <tableColumn id="4" xr3:uid="{BBAB9305-A4B4-0F48-84EC-948FB0DE77D1}" name="Number of enterprises_x000a_" dataDxfId="36"/>
    <tableColumn id="5" xr3:uid="{800D754E-912A-4642-9E1E-E73E128272EE}" name="Total turnover" dataDxfId="35"/>
    <tableColumn id="6" xr3:uid="{20DB2FE4-2F30-9A44-9321-270B4A539A63}" name="Approximate gross value added at basic prices (aGVA)_x000a_" dataDxfId="34"/>
    <tableColumn id="7" xr3:uid="{BD5EBD6F-3AF1-DA4C-826E-710B8B9FE707}" name="Total purchases  of goods, materials and services _x000a_" dataDxfId="33"/>
    <tableColumn id="10" xr3:uid="{32FD0D0E-8DE3-A64A-BC57-951890EE48B6}" name="Total employment costs_x000a_" dataDxfId="32"/>
    <tableColumn id="11" xr3:uid="{F11CEC22-016E-FE48-82ED-4D77B75C0A2C}" name="Total net capital expenditure " dataDxfId="31"/>
    <tableColumn id="12" xr3:uid="{1E32B6B1-8D9A-1F42-AFFC-A3E720C1C8FA}" name="Total capital expenditure acquisitions " dataDxfId="30"/>
    <tableColumn id="13" xr3:uid="{82AB0C93-04AD-8F42-B324-0D205828C15E}" name="Total capital expenditure disposals" dataDxfId="29"/>
    <tableColumn id="14" xr3:uid="{88BAE802-D935-D74E-895E-376DF6D0BDF0}" name="Total stocks and work in progress value at end of year _x000a_" dataDxfId="28"/>
    <tableColumn id="15" xr3:uid="{AE8B4787-5ABF-8141-9AE0-35E84CCAA021}" name="Total stocks and work in progress value at beginning of year_x000a_" dataDxfId="27"/>
    <tableColumn id="16" xr3:uid="{4B796F9A-CE32-6349-8619-358E04BAB92A}" name="Total stocks and work in progress increase during year_x000a_" dataDxfId="26"/>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F2FDEA-ECE2-8D46-8B5A-D2CBEC0D8447}" name="Table7" displayName="Table7" ref="A1:N495" totalsRowShown="0" headerRowDxfId="25" dataDxfId="23" headerRowBorderDxfId="24" tableBorderDxfId="22">
  <autoFilter ref="A1:N495" xr:uid="{37F2FDEA-ECE2-8D46-8B5A-D2CBEC0D8447}"/>
  <tableColumns count="14">
    <tableColumn id="1" xr3:uid="{646AAB68-C209-2C4C-A8DC-2D9B1A657B27}" name="Standard industrial classification_x000a_(revised 2007)_x000a_Section_x000a_Division_x000a_Group_x000a_Class" dataDxfId="21"/>
    <tableColumn id="2" xr3:uid="{A345CF6A-D1AB-284C-A434-6987027CE0AC}" name="Description" dataDxfId="20"/>
    <tableColumn id="3" xr3:uid="{D5D2DB5C-6172-1C4E-8FFF-525DB7B6C48A}" name="Year" dataDxfId="19"/>
    <tableColumn id="4" xr3:uid="{AB094ECF-882F-F745-B04B-5BE707DCC952}" name="Number of enterprises_x000a_" dataDxfId="18"/>
    <tableColumn id="5" xr3:uid="{9B0ED467-27C7-3949-A7E6-6326BE527A75}" name="Total turnover" dataDxfId="17"/>
    <tableColumn id="6" xr3:uid="{150931EE-6DEC-CB49-AD90-504179762790}" name="Approximate gross value added at basic prices (aGVA)_x000a_" dataDxfId="16"/>
    <tableColumn id="7" xr3:uid="{A2DD0703-A33F-AC4A-910F-FCA2DB049125}" name="Total purchases  of goods, materials and services _x000a_" dataDxfId="15"/>
    <tableColumn id="8" xr3:uid="{397D3119-31D2-7542-92BD-ECC6811C605B}" name="Total employment costs_x000a_" dataDxfId="14"/>
    <tableColumn id="9" xr3:uid="{175778E3-B356-B14B-ADD3-0C9AFB2AA03B}" name="Total net capital expenditure " dataDxfId="13"/>
    <tableColumn id="10" xr3:uid="{97FBACF4-8C73-3745-BB9B-E817B655E8CB}" name="Total capital expenditure acquisitions " dataDxfId="12"/>
    <tableColumn id="11" xr3:uid="{F0B41553-D387-0A49-9C6E-66D548F8EE16}" name="Total capital expenditure disposals" dataDxfId="11"/>
    <tableColumn id="12" xr3:uid="{6CE786F4-9627-E74A-84B3-8FD586985C31}" name="Total stocks and work in progress value at end of year _x000a_" dataDxfId="10"/>
    <tableColumn id="13" xr3:uid="{0CAC1CCF-70BC-3945-A4D0-7164959B8B59}" name="Total stocks and work in progress value at beginning of year_x000a_" dataDxfId="9"/>
    <tableColumn id="14" xr3:uid="{7E57BBB9-FAF9-174C-A9F1-45A3B208D546}" name="Total stocks and work in progress increase during year_x000a_" dataDxfId="8"/>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7265259-3927-C840-A2AD-243BE50F5583}" name="Table3" displayName="Table3" ref="A1:C31" totalsRowShown="0" headerRowDxfId="7" dataDxfId="5" headerRowBorderDxfId="6" tableBorderDxfId="4">
  <autoFilter ref="A1:C31" xr:uid="{57265259-3927-C840-A2AD-243BE50F5583}"/>
  <sortState xmlns:xlrd2="http://schemas.microsoft.com/office/spreadsheetml/2017/richdata2" ref="A2:B31">
    <sortCondition ref="B1:B31"/>
  </sortState>
  <tableColumns count="3">
    <tableColumn id="1" xr3:uid="{1130D212-FF00-5345-98AC-5C2D2FA0CDAF}" name="Product" dataDxfId="3"/>
    <tableColumn id="8" xr3:uid="{95727678-0B59-604B-8F4C-20F0BEF5163B}" name="Lifespan" dataDxfId="2"/>
    <tableColumn id="17" xr3:uid="{6FD46E32-46E5-1747-B394-E2C2A4BA4B8C}" name="Mass"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rints.lancs.ac.uk/id/eprint/145741/1/Material_Focus_Electrical_waste_challenges_and_opportunities.pdf" TargetMode="External"/><Relationship Id="rId2" Type="http://schemas.openxmlformats.org/officeDocument/2006/relationships/hyperlink" Target="https://www.researchgate.net/publication/331714941_E-Waste_statistics_Guidelines_on_classification_reporting_and_indicators?enrichId=rgreq-241525d1fa91c5dd92a4bd34b8ab8fdf-XXX&amp;enrichSource=Y292ZXJQYWdlOzMzMTcxNDk0MTtBUzo3MzU5ODExNDE1MDgwOThAMTU1MjQ4Mjk4NjIxOA%3D%3D&amp;el=1_x_3&amp;_esc=publicationCoverPdf" TargetMode="External"/><Relationship Id="rId1" Type="http://schemas.openxmlformats.org/officeDocument/2006/relationships/hyperlink" Target="https://www.researchgate.net/publication/331714941_E-Waste_statistics_Guidelines_on_classification_reporting_and_indicators?enrichId=rgreq-241525d1fa91c5dd92a4bd34b8ab8fdf-XXX&amp;enrichSource=Y292ZXJQYWdlOzMzMTcxNDk0MTtBUzo3MzU5ODExNDE1MDgwOThAMTU1MjQ4Mjk4NjIxOA%3D%3D&amp;el=1_x_3&amp;_esc=publicationCover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researchgate.net/publication/331714941_EWaste_statistics_Guidelines_on_classification_reporting_and_indicators" TargetMode="External"/><Relationship Id="rId3" Type="http://schemas.openxmlformats.org/officeDocument/2006/relationships/hyperlink" Target="https://wrap.org.uk/resources/report/measuring-active-life-clothing" TargetMode="External"/><Relationship Id="rId7" Type="http://schemas.openxmlformats.org/officeDocument/2006/relationships/hyperlink" Target="https://www.researchgate.net/publication/331714941_EWaste_statistics_Guidelines_on_classification_reporting_and_indicators" TargetMode="External"/><Relationship Id="rId12" Type="http://schemas.openxmlformats.org/officeDocument/2006/relationships/comments" Target="../comments1.xml"/><Relationship Id="rId2" Type="http://schemas.openxmlformats.org/officeDocument/2006/relationships/hyperlink" Target="https://www.mdpi.com/2071-1050/12/21/9151" TargetMode="External"/><Relationship Id="rId1" Type="http://schemas.openxmlformats.org/officeDocument/2006/relationships/hyperlink" Target="https://www.mdpi.com/2071-1050/12/21/9151" TargetMode="External"/><Relationship Id="rId6" Type="http://schemas.openxmlformats.org/officeDocument/2006/relationships/hyperlink" Target="https://etl.beis.gov.uk/shared-files/3316/3713/8281/UK_ErP_Policy_Study_final_v4-stc_2_11_21.pdf" TargetMode="External"/><Relationship Id="rId11" Type="http://schemas.openxmlformats.org/officeDocument/2006/relationships/table" Target="../tables/table1.xml"/><Relationship Id="rId5" Type="http://schemas.openxmlformats.org/officeDocument/2006/relationships/hyperlink" Target="https://etl.beis.gov.uk/shared-files/3316/3713/8281/UK_ErP_Policy_Study_final_v4-stc_2_11_21.pdf" TargetMode="External"/><Relationship Id="rId10" Type="http://schemas.openxmlformats.org/officeDocument/2006/relationships/vmlDrawing" Target="../drawings/vmlDrawing1.vml"/><Relationship Id="rId4" Type="http://schemas.openxmlformats.org/officeDocument/2006/relationships/hyperlink" Target="http://randd.defra.gov.uk/Default.aspx?Menu=Menu&amp;Module=More&amp;Location=None&amp;ProjectID=17047&amp;FromSearch=Y&amp;Publisher=1&amp;SearchText=lifetimes&amp;SortString=ProjectCode&amp;SortOrder=Asc&amp;Paging=10" TargetMode="External"/><Relationship Id="rId9" Type="http://schemas.openxmlformats.org/officeDocument/2006/relationships/hyperlink" Target="https://etl.beis.gov.uk/shared-files/3316/3713/8281/UK_ErP_Policy_Study_final_v4-stc_2_11_21.pdf"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8" Type="http://schemas.openxmlformats.org/officeDocument/2006/relationships/hyperlink" Target="https://etl.beis.gov.uk/shared-files/3316/3713/8281/UK_ErP_Policy_Study_final_v4-stc_2_11_21.pdf" TargetMode="External"/><Relationship Id="rId13" Type="http://schemas.openxmlformats.org/officeDocument/2006/relationships/comments" Target="../comments2.xml"/><Relationship Id="rId3" Type="http://schemas.openxmlformats.org/officeDocument/2006/relationships/hyperlink" Target="https://wrap.org.uk/resources/report/measuring-active-life-clothing" TargetMode="External"/><Relationship Id="rId7" Type="http://schemas.openxmlformats.org/officeDocument/2006/relationships/hyperlink" Target="https://etl.beis.gov.uk/shared-files/3316/3713/8281/UK_ErP_Policy_Study_final_v4-stc_2_11_21.pdf" TargetMode="External"/><Relationship Id="rId12" Type="http://schemas.openxmlformats.org/officeDocument/2006/relationships/table" Target="../tables/table3.xml"/><Relationship Id="rId2" Type="http://schemas.openxmlformats.org/officeDocument/2006/relationships/hyperlink" Target="https://www.mdpi.com/2071-1050/12/21/9151" TargetMode="External"/><Relationship Id="rId1" Type="http://schemas.openxmlformats.org/officeDocument/2006/relationships/hyperlink" Target="https://www.mdpi.com/2071-1050/12/21/9151" TargetMode="External"/><Relationship Id="rId6" Type="http://schemas.openxmlformats.org/officeDocument/2006/relationships/hyperlink" Target="https://etl.beis.gov.uk/shared-files/3316/3713/8281/UK_ErP_Policy_Study_final_v4-stc_2_11_21.pdf" TargetMode="External"/><Relationship Id="rId11" Type="http://schemas.openxmlformats.org/officeDocument/2006/relationships/vmlDrawing" Target="../drawings/vmlDrawing2.vml"/><Relationship Id="rId5" Type="http://schemas.openxmlformats.org/officeDocument/2006/relationships/hyperlink" Target="https://etl.beis.gov.uk/shared-files/3316/3713/8281/UK_ErP_Policy_Study_final_v4-stc_2_11_21.pdf" TargetMode="External"/><Relationship Id="rId10" Type="http://schemas.openxmlformats.org/officeDocument/2006/relationships/hyperlink" Target="https://www.niesr.ac.uk/wp-content/uploads/2021/10/DP474-4.pdf" TargetMode="External"/><Relationship Id="rId4" Type="http://schemas.openxmlformats.org/officeDocument/2006/relationships/hyperlink" Target="http://randd.defra.gov.uk/Default.aspx?Menu=Menu&amp;Module=More&amp;Location=None&amp;ProjectID=17047&amp;FromSearch=Y&amp;Publisher=1&amp;SearchText=lifetimes&amp;SortString=ProjectCode&amp;SortOrder=Asc&amp;Paging=10" TargetMode="External"/><Relationship Id="rId9" Type="http://schemas.openxmlformats.org/officeDocument/2006/relationships/hyperlink" Target="https://www.niesr.ac.uk/wp-content/uploads/2021/10/DP474-4.pdf"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2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2" Type="http://schemas.openxmlformats.org/officeDocument/2006/relationships/hyperlink" Target="http://xsonly.com/" TargetMode="External"/><Relationship Id="rId1" Type="http://schemas.openxmlformats.org/officeDocument/2006/relationships/hyperlink" Target="http://xsonly.com/" TargetMode="External"/></Relationships>
</file>

<file path=xl/worksheets/_rels/sheet3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statista.com/statistics/300398/smartphone-usage-in-the-united-kingdom/" TargetMode="External"/></Relationships>
</file>

<file path=xl/worksheets/_rels/sheet3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4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E9EF-3B12-454B-9E82-BEDDDE7057F2}">
  <dimension ref="A1:C11"/>
  <sheetViews>
    <sheetView workbookViewId="0">
      <selection activeCell="B8" sqref="B8"/>
    </sheetView>
  </sheetViews>
  <sheetFormatPr baseColWidth="10" defaultRowHeight="16"/>
  <sheetData>
    <row r="1" spans="1:3">
      <c r="A1" s="7" t="s">
        <v>7923</v>
      </c>
      <c r="B1" s="7" t="s">
        <v>5</v>
      </c>
    </row>
    <row r="2" spans="1:3">
      <c r="A2" s="7" t="s">
        <v>9133</v>
      </c>
      <c r="B2" s="8" t="s">
        <v>9134</v>
      </c>
    </row>
    <row r="3" spans="1:3">
      <c r="A3" s="8" t="s">
        <v>7924</v>
      </c>
      <c r="B3" s="390" t="s">
        <v>7925</v>
      </c>
      <c r="C3" t="s">
        <v>9132</v>
      </c>
    </row>
    <row r="4" spans="1:3">
      <c r="A4" s="8" t="s">
        <v>7926</v>
      </c>
      <c r="B4" s="8" t="s">
        <v>7927</v>
      </c>
      <c r="C4" s="559" t="s">
        <v>9135</v>
      </c>
    </row>
    <row r="5" spans="1:3">
      <c r="A5" s="8" t="s">
        <v>6927</v>
      </c>
      <c r="B5" s="8" t="s">
        <v>7928</v>
      </c>
    </row>
    <row r="6" spans="1:3">
      <c r="A6" s="8" t="s">
        <v>169</v>
      </c>
      <c r="B6" s="8" t="s">
        <v>7927</v>
      </c>
    </row>
    <row r="7" spans="1:3">
      <c r="A7" s="8" t="s">
        <v>169</v>
      </c>
      <c r="B7" s="8" t="s">
        <v>7929</v>
      </c>
    </row>
    <row r="8" spans="1:3">
      <c r="A8" s="8" t="s">
        <v>170</v>
      </c>
      <c r="B8" s="390" t="s">
        <v>7925</v>
      </c>
    </row>
    <row r="9" spans="1:3">
      <c r="A9" s="8" t="s">
        <v>7930</v>
      </c>
      <c r="B9" s="8" t="s">
        <v>7931</v>
      </c>
    </row>
    <row r="10" spans="1:3">
      <c r="A10" s="8" t="s">
        <v>6926</v>
      </c>
      <c r="B10" s="390" t="s">
        <v>7898</v>
      </c>
    </row>
    <row r="11" spans="1:3">
      <c r="A11" s="8" t="s">
        <v>7932</v>
      </c>
      <c r="B11" s="8" t="s">
        <v>7933</v>
      </c>
    </row>
  </sheetData>
  <hyperlinks>
    <hyperlink ref="B3" r:id="rId1" display="https://www.researchgate.net/publication/331714941_E-Waste_statistics_Guidelines_on_classification_reporting_and_indicators?enrichId=rgreq-241525d1fa91c5dd92a4bd34b8ab8fdf-XXX&amp;enrichSource=Y292ZXJQYWdlOzMzMTcxNDk0MTtBUzo3MzU5ODExNDE1MDgwOThAMTU1MjQ4Mjk4NjIxOA%3D%3D&amp;el=1_x_3&amp;_esc=publicationCoverPdf" xr:uid="{223B8089-F423-E841-9551-BD31B668B468}"/>
    <hyperlink ref="B8" r:id="rId2" display="https://www.researchgate.net/publication/331714941_E-Waste_statistics_Guidelines_on_classification_reporting_and_indicators?enrichId=rgreq-241525d1fa91c5dd92a4bd34b8ab8fdf-XXX&amp;enrichSource=Y292ZXJQYWdlOzMzMTcxNDk0MTtBUzo3MzU5ODExNDE1MDgwOThAMTU1MjQ4Mjk4NjIxOA%3D%3D&amp;el=1_x_3&amp;_esc=publicationCoverPdf" xr:uid="{407B88B6-560C-574B-9742-36FB12363189}"/>
    <hyperlink ref="B10" r:id="rId3" xr:uid="{C6A6CC1D-06DD-3A4F-B50E-3885407DCC8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FFF7C-84AE-0A4B-A730-408F99116A1E}">
  <sheetPr>
    <tabColor theme="9" tint="0.79998168889431442"/>
  </sheetPr>
  <dimension ref="A1"/>
  <sheetViews>
    <sheetView workbookViewId="0">
      <selection activeCell="H20" sqref="H20"/>
    </sheetView>
  </sheetViews>
  <sheetFormatPr baseColWidth="10" defaultRowHeight="16"/>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9E0CF-FD71-974E-8C41-D53FFC41FC0F}">
  <dimension ref="A1:E72"/>
  <sheetViews>
    <sheetView zoomScale="78" zoomScaleNormal="78" workbookViewId="0">
      <selection sqref="A1:D72"/>
    </sheetView>
  </sheetViews>
  <sheetFormatPr baseColWidth="10" defaultRowHeight="16"/>
  <cols>
    <col min="2" max="2" width="67.6640625" customWidth="1"/>
  </cols>
  <sheetData>
    <row r="1" spans="1:5">
      <c r="A1" s="621" t="s">
        <v>7934</v>
      </c>
      <c r="B1" s="621" t="s">
        <v>7935</v>
      </c>
      <c r="C1" s="621" t="s">
        <v>7936</v>
      </c>
      <c r="D1" s="621" t="s">
        <v>7937</v>
      </c>
      <c r="E1" s="560" t="s">
        <v>9136</v>
      </c>
    </row>
    <row r="2" spans="1:5">
      <c r="A2" s="622" t="s">
        <v>7938</v>
      </c>
      <c r="B2" s="254" t="s">
        <v>7939</v>
      </c>
      <c r="C2" s="254" t="s">
        <v>7940</v>
      </c>
      <c r="D2" s="254" t="s">
        <v>7941</v>
      </c>
    </row>
    <row r="3" spans="1:5">
      <c r="A3" s="254" t="s">
        <v>7942</v>
      </c>
      <c r="B3" s="254" t="s">
        <v>7943</v>
      </c>
      <c r="C3" s="254" t="s">
        <v>7940</v>
      </c>
      <c r="D3" s="254" t="s">
        <v>7944</v>
      </c>
    </row>
    <row r="4" spans="1:5">
      <c r="A4" s="254" t="s">
        <v>7945</v>
      </c>
      <c r="B4" s="254" t="s">
        <v>7946</v>
      </c>
      <c r="C4" s="254" t="s">
        <v>7940</v>
      </c>
      <c r="D4" s="254" t="s">
        <v>7941</v>
      </c>
    </row>
    <row r="5" spans="1:5">
      <c r="A5" s="254" t="s">
        <v>277</v>
      </c>
      <c r="B5" s="254" t="s">
        <v>327</v>
      </c>
      <c r="C5" s="254" t="s">
        <v>7940</v>
      </c>
      <c r="D5" s="254" t="s">
        <v>7941</v>
      </c>
    </row>
    <row r="6" spans="1:5">
      <c r="A6" s="254" t="s">
        <v>7947</v>
      </c>
      <c r="B6" s="254" t="s">
        <v>7948</v>
      </c>
      <c r="C6" s="254" t="s">
        <v>7940</v>
      </c>
      <c r="D6" s="254" t="s">
        <v>7941</v>
      </c>
    </row>
    <row r="7" spans="1:5">
      <c r="A7" s="254" t="s">
        <v>279</v>
      </c>
      <c r="B7" s="254" t="s">
        <v>7949</v>
      </c>
      <c r="C7" s="254" t="s">
        <v>7940</v>
      </c>
      <c r="D7" s="254" t="s">
        <v>7941</v>
      </c>
    </row>
    <row r="8" spans="1:5">
      <c r="A8" s="254" t="s">
        <v>7950</v>
      </c>
      <c r="B8" s="254" t="s">
        <v>7951</v>
      </c>
      <c r="C8" s="254" t="s">
        <v>7940</v>
      </c>
      <c r="D8" s="254" t="s">
        <v>7941</v>
      </c>
    </row>
    <row r="9" spans="1:5">
      <c r="A9" s="254" t="s">
        <v>280</v>
      </c>
      <c r="B9" s="254" t="s">
        <v>7952</v>
      </c>
      <c r="C9" s="254" t="s">
        <v>7940</v>
      </c>
      <c r="D9" s="254" t="s">
        <v>7941</v>
      </c>
    </row>
    <row r="10" spans="1:5">
      <c r="A10" s="254" t="s">
        <v>266</v>
      </c>
      <c r="B10" s="254" t="s">
        <v>7953</v>
      </c>
      <c r="C10" s="254" t="s">
        <v>7954</v>
      </c>
      <c r="D10" s="254" t="s">
        <v>7941</v>
      </c>
    </row>
    <row r="11" spans="1:5">
      <c r="A11" s="254" t="s">
        <v>7955</v>
      </c>
      <c r="B11" s="254" t="s">
        <v>338</v>
      </c>
      <c r="C11" s="254" t="s">
        <v>7954</v>
      </c>
      <c r="D11" s="254" t="s">
        <v>7941</v>
      </c>
    </row>
    <row r="12" spans="1:5">
      <c r="A12" s="254" t="s">
        <v>268</v>
      </c>
      <c r="B12" s="254" t="s">
        <v>7956</v>
      </c>
      <c r="C12" s="254" t="s">
        <v>7954</v>
      </c>
      <c r="D12" s="254" t="s">
        <v>7941</v>
      </c>
    </row>
    <row r="13" spans="1:5">
      <c r="A13" s="254" t="s">
        <v>269</v>
      </c>
      <c r="B13" s="254" t="s">
        <v>7957</v>
      </c>
      <c r="C13" s="254" t="s">
        <v>7954</v>
      </c>
      <c r="D13" s="254" t="s">
        <v>7941</v>
      </c>
    </row>
    <row r="14" spans="1:5">
      <c r="A14" s="254" t="s">
        <v>270</v>
      </c>
      <c r="B14" s="254" t="s">
        <v>7958</v>
      </c>
      <c r="C14" s="254" t="s">
        <v>7954</v>
      </c>
      <c r="D14" s="254" t="s">
        <v>7941</v>
      </c>
    </row>
    <row r="15" spans="1:5">
      <c r="A15" s="254" t="s">
        <v>7959</v>
      </c>
      <c r="B15" s="254" t="s">
        <v>7960</v>
      </c>
      <c r="C15" s="254" t="s">
        <v>7961</v>
      </c>
      <c r="D15" s="254" t="s">
        <v>7941</v>
      </c>
    </row>
    <row r="16" spans="1:5">
      <c r="A16" s="254" t="s">
        <v>283</v>
      </c>
      <c r="B16" s="254" t="s">
        <v>7962</v>
      </c>
      <c r="C16" s="254" t="s">
        <v>7961</v>
      </c>
      <c r="D16" s="254" t="s">
        <v>7963</v>
      </c>
    </row>
    <row r="17" spans="1:4">
      <c r="A17" s="254" t="s">
        <v>285</v>
      </c>
      <c r="B17" s="254" t="s">
        <v>7964</v>
      </c>
      <c r="C17" s="254" t="s">
        <v>7961</v>
      </c>
      <c r="D17" s="254" t="s">
        <v>7963</v>
      </c>
    </row>
    <row r="18" spans="1:4">
      <c r="A18" s="254" t="s">
        <v>286</v>
      </c>
      <c r="B18" s="254" t="s">
        <v>7965</v>
      </c>
      <c r="C18" s="254" t="s">
        <v>7961</v>
      </c>
      <c r="D18" s="254" t="s">
        <v>7963</v>
      </c>
    </row>
    <row r="19" spans="1:4">
      <c r="A19" s="254" t="s">
        <v>287</v>
      </c>
      <c r="B19" s="254" t="s">
        <v>7966</v>
      </c>
      <c r="C19" s="254" t="s">
        <v>7961</v>
      </c>
      <c r="D19" s="254" t="s">
        <v>7963</v>
      </c>
    </row>
    <row r="20" spans="1:4">
      <c r="A20" s="254" t="s">
        <v>288</v>
      </c>
      <c r="B20" s="254" t="s">
        <v>7967</v>
      </c>
      <c r="C20" s="254" t="s">
        <v>7961</v>
      </c>
      <c r="D20" s="254" t="s">
        <v>7963</v>
      </c>
    </row>
    <row r="21" spans="1:4">
      <c r="A21" s="254" t="s">
        <v>7968</v>
      </c>
      <c r="B21" s="254" t="s">
        <v>7969</v>
      </c>
      <c r="C21" s="254" t="s">
        <v>7970</v>
      </c>
      <c r="D21" s="254" t="s">
        <v>7971</v>
      </c>
    </row>
    <row r="22" spans="1:4">
      <c r="A22" s="254" t="s">
        <v>295</v>
      </c>
      <c r="B22" s="254" t="s">
        <v>7972</v>
      </c>
      <c r="C22" s="254" t="s">
        <v>7970</v>
      </c>
      <c r="D22" s="254" t="s">
        <v>7971</v>
      </c>
    </row>
    <row r="23" spans="1:4">
      <c r="A23" s="254" t="s">
        <v>271</v>
      </c>
      <c r="B23" s="254" t="s">
        <v>7973</v>
      </c>
      <c r="C23" s="254" t="s">
        <v>7974</v>
      </c>
      <c r="D23" s="254" t="s">
        <v>7971</v>
      </c>
    </row>
    <row r="24" spans="1:4">
      <c r="A24" s="254" t="s">
        <v>296</v>
      </c>
      <c r="B24" s="254" t="s">
        <v>7975</v>
      </c>
      <c r="C24" s="254" t="s">
        <v>7970</v>
      </c>
      <c r="D24" s="254" t="s">
        <v>7971</v>
      </c>
    </row>
    <row r="25" spans="1:4">
      <c r="A25" s="254" t="s">
        <v>7976</v>
      </c>
      <c r="B25" s="254" t="s">
        <v>7977</v>
      </c>
      <c r="C25" s="254" t="s">
        <v>7970</v>
      </c>
      <c r="D25" s="254" t="s">
        <v>7971</v>
      </c>
    </row>
    <row r="26" spans="1:4">
      <c r="A26" s="254" t="s">
        <v>297</v>
      </c>
      <c r="B26" s="254" t="s">
        <v>7978</v>
      </c>
      <c r="C26" s="254" t="s">
        <v>7970</v>
      </c>
      <c r="D26" s="254" t="s">
        <v>7971</v>
      </c>
    </row>
    <row r="27" spans="1:4">
      <c r="A27" s="254" t="s">
        <v>281</v>
      </c>
      <c r="B27" s="254" t="s">
        <v>7979</v>
      </c>
      <c r="C27" s="254" t="s">
        <v>7940</v>
      </c>
      <c r="D27" s="254" t="s">
        <v>7971</v>
      </c>
    </row>
    <row r="28" spans="1:4">
      <c r="A28" s="254" t="s">
        <v>7980</v>
      </c>
      <c r="B28" s="254" t="s">
        <v>7981</v>
      </c>
      <c r="C28" s="254" t="s">
        <v>7974</v>
      </c>
      <c r="D28" s="254" t="s">
        <v>7971</v>
      </c>
    </row>
    <row r="29" spans="1:4">
      <c r="A29" s="254" t="s">
        <v>273</v>
      </c>
      <c r="B29" s="254" t="s">
        <v>7982</v>
      </c>
      <c r="C29" s="254" t="s">
        <v>7974</v>
      </c>
      <c r="D29" s="254" t="s">
        <v>7971</v>
      </c>
    </row>
    <row r="30" spans="1:4">
      <c r="A30" s="254" t="s">
        <v>289</v>
      </c>
      <c r="B30" s="254" t="s">
        <v>7983</v>
      </c>
      <c r="C30" s="254" t="s">
        <v>7961</v>
      </c>
      <c r="D30" s="254" t="s">
        <v>7944</v>
      </c>
    </row>
    <row r="31" spans="1:4">
      <c r="A31" s="254" t="s">
        <v>7984</v>
      </c>
      <c r="B31" s="254" t="s">
        <v>7985</v>
      </c>
      <c r="C31" s="254" t="s">
        <v>7961</v>
      </c>
      <c r="D31" s="254" t="s">
        <v>7944</v>
      </c>
    </row>
    <row r="32" spans="1:4">
      <c r="A32" s="254" t="s">
        <v>290</v>
      </c>
      <c r="B32" s="254" t="s">
        <v>7986</v>
      </c>
      <c r="C32" s="254" t="s">
        <v>7961</v>
      </c>
      <c r="D32" s="254" t="s">
        <v>7944</v>
      </c>
    </row>
    <row r="33" spans="1:4">
      <c r="A33" s="254" t="s">
        <v>7987</v>
      </c>
      <c r="B33" s="254" t="s">
        <v>7988</v>
      </c>
      <c r="C33" s="254" t="s">
        <v>7961</v>
      </c>
      <c r="D33" s="254" t="s">
        <v>7944</v>
      </c>
    </row>
    <row r="34" spans="1:4">
      <c r="A34" s="254" t="s">
        <v>7989</v>
      </c>
      <c r="B34" s="254" t="s">
        <v>382</v>
      </c>
      <c r="C34" s="254" t="s">
        <v>7961</v>
      </c>
      <c r="D34" s="254" t="s">
        <v>7944</v>
      </c>
    </row>
    <row r="35" spans="1:4">
      <c r="A35" s="254" t="s">
        <v>291</v>
      </c>
      <c r="B35" s="254" t="s">
        <v>7990</v>
      </c>
      <c r="C35" s="254" t="s">
        <v>7961</v>
      </c>
      <c r="D35" s="254" t="s">
        <v>7944</v>
      </c>
    </row>
    <row r="36" spans="1:4">
      <c r="A36" s="254" t="s">
        <v>7991</v>
      </c>
      <c r="B36" s="254" t="s">
        <v>7992</v>
      </c>
      <c r="C36" s="254" t="s">
        <v>7974</v>
      </c>
      <c r="D36" s="254" t="s">
        <v>7944</v>
      </c>
    </row>
    <row r="37" spans="1:4">
      <c r="A37" s="254" t="s">
        <v>274</v>
      </c>
      <c r="B37" s="254" t="s">
        <v>7993</v>
      </c>
      <c r="C37" s="254" t="s">
        <v>7974</v>
      </c>
      <c r="D37" s="254" t="s">
        <v>7944</v>
      </c>
    </row>
    <row r="38" spans="1:4">
      <c r="A38" s="254" t="s">
        <v>292</v>
      </c>
      <c r="B38" s="254" t="s">
        <v>7994</v>
      </c>
      <c r="C38" s="254" t="s">
        <v>7961</v>
      </c>
      <c r="D38" s="254" t="s">
        <v>7995</v>
      </c>
    </row>
    <row r="39" spans="1:4">
      <c r="A39" s="254" t="s">
        <v>7996</v>
      </c>
      <c r="B39" s="254" t="s">
        <v>7997</v>
      </c>
      <c r="C39" s="254" t="s">
        <v>7998</v>
      </c>
      <c r="D39" s="254" t="s">
        <v>7995</v>
      </c>
    </row>
    <row r="40" spans="1:4">
      <c r="A40" s="254" t="s">
        <v>7999</v>
      </c>
      <c r="B40" s="254" t="s">
        <v>8000</v>
      </c>
      <c r="C40" s="254" t="s">
        <v>7998</v>
      </c>
      <c r="D40" s="254" t="s">
        <v>7995</v>
      </c>
    </row>
    <row r="41" spans="1:4">
      <c r="A41" s="254" t="s">
        <v>8001</v>
      </c>
      <c r="B41" s="254" t="s">
        <v>8002</v>
      </c>
      <c r="C41" s="254" t="s">
        <v>7998</v>
      </c>
      <c r="D41" s="254" t="s">
        <v>7995</v>
      </c>
    </row>
    <row r="42" spans="1:4">
      <c r="A42" s="254" t="s">
        <v>275</v>
      </c>
      <c r="B42" s="254" t="s">
        <v>8003</v>
      </c>
      <c r="C42" s="254" t="s">
        <v>7998</v>
      </c>
      <c r="D42" s="254" t="s">
        <v>7995</v>
      </c>
    </row>
    <row r="43" spans="1:4">
      <c r="A43" s="254" t="s">
        <v>8004</v>
      </c>
      <c r="B43" s="254" t="s">
        <v>8005</v>
      </c>
      <c r="C43" s="254" t="s">
        <v>7961</v>
      </c>
      <c r="D43" s="254" t="s">
        <v>7995</v>
      </c>
    </row>
    <row r="44" spans="1:4">
      <c r="A44" s="254" t="s">
        <v>8006</v>
      </c>
      <c r="B44" s="254" t="s">
        <v>8007</v>
      </c>
      <c r="C44" s="254" t="s">
        <v>7961</v>
      </c>
      <c r="D44" s="254" t="s">
        <v>7995</v>
      </c>
    </row>
    <row r="45" spans="1:4">
      <c r="A45" s="254" t="s">
        <v>8008</v>
      </c>
      <c r="B45" s="254" t="s">
        <v>8009</v>
      </c>
      <c r="C45" s="254" t="s">
        <v>7961</v>
      </c>
      <c r="D45" s="254" t="s">
        <v>8010</v>
      </c>
    </row>
    <row r="46" spans="1:4">
      <c r="A46" s="254" t="s">
        <v>8011</v>
      </c>
      <c r="B46" s="254" t="s">
        <v>8012</v>
      </c>
      <c r="C46" s="254" t="s">
        <v>7940</v>
      </c>
      <c r="D46" s="254" t="s">
        <v>8010</v>
      </c>
    </row>
    <row r="47" spans="1:4">
      <c r="A47" s="254" t="s">
        <v>8013</v>
      </c>
      <c r="B47" s="254" t="s">
        <v>8014</v>
      </c>
      <c r="C47" s="254" t="s">
        <v>7961</v>
      </c>
      <c r="D47" s="254" t="s">
        <v>8015</v>
      </c>
    </row>
    <row r="48" spans="1:4">
      <c r="A48" s="254" t="s">
        <v>293</v>
      </c>
      <c r="B48" s="254" t="s">
        <v>8016</v>
      </c>
      <c r="C48" s="254" t="s">
        <v>7970</v>
      </c>
      <c r="D48" s="254" t="s">
        <v>8015</v>
      </c>
    </row>
    <row r="49" spans="1:4">
      <c r="A49" s="254" t="s">
        <v>8017</v>
      </c>
      <c r="B49" s="254" t="s">
        <v>8018</v>
      </c>
      <c r="C49" s="254" t="s">
        <v>7940</v>
      </c>
      <c r="D49" s="254" t="s">
        <v>8015</v>
      </c>
    </row>
    <row r="50" spans="1:4">
      <c r="A50" s="254" t="s">
        <v>8019</v>
      </c>
      <c r="B50" s="254" t="s">
        <v>8020</v>
      </c>
      <c r="C50" s="254" t="s">
        <v>7961</v>
      </c>
      <c r="D50" s="254" t="s">
        <v>8021</v>
      </c>
    </row>
    <row r="51" spans="1:4">
      <c r="A51" s="254" t="s">
        <v>282</v>
      </c>
      <c r="B51" s="254" t="s">
        <v>8022</v>
      </c>
      <c r="C51" s="254" t="s">
        <v>7940</v>
      </c>
      <c r="D51" s="254" t="s">
        <v>8021</v>
      </c>
    </row>
    <row r="52" spans="1:4">
      <c r="A52" s="254" t="s">
        <v>8023</v>
      </c>
      <c r="B52" s="254" t="s">
        <v>8024</v>
      </c>
      <c r="C52" s="254" t="s">
        <v>7961</v>
      </c>
      <c r="D52" s="254" t="s">
        <v>8025</v>
      </c>
    </row>
    <row r="53" spans="1:4">
      <c r="A53" s="254" t="s">
        <v>8026</v>
      </c>
      <c r="B53" s="254" t="s">
        <v>8027</v>
      </c>
      <c r="C53" s="254" t="s">
        <v>7940</v>
      </c>
      <c r="D53" s="254" t="s">
        <v>8025</v>
      </c>
    </row>
    <row r="54" spans="1:4">
      <c r="A54" s="254" t="s">
        <v>8028</v>
      </c>
      <c r="B54" s="254" t="s">
        <v>8029</v>
      </c>
      <c r="C54" s="254" t="s">
        <v>7940</v>
      </c>
      <c r="D54" s="254" t="s">
        <v>8030</v>
      </c>
    </row>
    <row r="55" spans="1:4">
      <c r="A55" s="254" t="s">
        <v>8031</v>
      </c>
      <c r="B55" s="254" t="s">
        <v>8032</v>
      </c>
      <c r="C55" s="254" t="s">
        <v>7954</v>
      </c>
      <c r="D55" s="254" t="s">
        <v>8030</v>
      </c>
    </row>
    <row r="56" spans="1:4">
      <c r="A56" s="254">
        <v>1101</v>
      </c>
      <c r="B56" s="254" t="s">
        <v>393</v>
      </c>
      <c r="C56" s="254" t="s">
        <v>7684</v>
      </c>
      <c r="D56" s="254" t="s">
        <v>7684</v>
      </c>
    </row>
    <row r="57" spans="1:4">
      <c r="A57" s="254" t="s">
        <v>396</v>
      </c>
      <c r="B57" s="254" t="s">
        <v>397</v>
      </c>
      <c r="C57" s="254" t="s">
        <v>7684</v>
      </c>
      <c r="D57" s="254" t="s">
        <v>7684</v>
      </c>
    </row>
    <row r="58" spans="1:4">
      <c r="A58" s="254" t="s">
        <v>398</v>
      </c>
      <c r="B58" s="254" t="s">
        <v>399</v>
      </c>
      <c r="C58" s="254" t="s">
        <v>7684</v>
      </c>
      <c r="D58" s="254" t="s">
        <v>7684</v>
      </c>
    </row>
    <row r="59" spans="1:4">
      <c r="A59" s="254">
        <v>1103</v>
      </c>
      <c r="B59" s="254" t="s">
        <v>400</v>
      </c>
      <c r="C59" s="254" t="s">
        <v>7684</v>
      </c>
      <c r="D59" s="254" t="s">
        <v>7684</v>
      </c>
    </row>
    <row r="60" spans="1:4">
      <c r="A60" s="8">
        <v>1104</v>
      </c>
      <c r="B60" s="8" t="s">
        <v>9073</v>
      </c>
      <c r="C60" s="8" t="s">
        <v>7684</v>
      </c>
      <c r="D60" s="8" t="s">
        <v>7684</v>
      </c>
    </row>
    <row r="61" spans="1:4">
      <c r="A61" s="8">
        <v>1105</v>
      </c>
      <c r="B61" s="8" t="s">
        <v>405</v>
      </c>
      <c r="C61" s="8" t="s">
        <v>7684</v>
      </c>
      <c r="D61" s="8" t="s">
        <v>7684</v>
      </c>
    </row>
    <row r="62" spans="1:4">
      <c r="A62" s="8">
        <v>1106</v>
      </c>
      <c r="B62" s="8" t="s">
        <v>406</v>
      </c>
      <c r="C62" s="8" t="s">
        <v>7684</v>
      </c>
      <c r="D62" s="8" t="s">
        <v>7684</v>
      </c>
    </row>
    <row r="63" spans="1:4">
      <c r="A63" s="8">
        <v>1107</v>
      </c>
      <c r="B63" s="8" t="s">
        <v>407</v>
      </c>
      <c r="C63" s="8" t="s">
        <v>7684</v>
      </c>
      <c r="D63" s="8" t="s">
        <v>7684</v>
      </c>
    </row>
    <row r="64" spans="1:4">
      <c r="A64" s="8">
        <v>1109</v>
      </c>
      <c r="B64" s="8" t="s">
        <v>9074</v>
      </c>
      <c r="C64" s="8" t="s">
        <v>7684</v>
      </c>
      <c r="D64" s="8" t="s">
        <v>7684</v>
      </c>
    </row>
    <row r="65" spans="1:4">
      <c r="A65" s="8">
        <v>1201</v>
      </c>
      <c r="B65" s="8" t="s">
        <v>9075</v>
      </c>
      <c r="C65" s="8" t="s">
        <v>7684</v>
      </c>
      <c r="D65" s="8" t="s">
        <v>7684</v>
      </c>
    </row>
    <row r="66" spans="1:4">
      <c r="A66" s="8">
        <v>1202</v>
      </c>
      <c r="B66" s="8" t="s">
        <v>9076</v>
      </c>
      <c r="C66" s="8" t="s">
        <v>7684</v>
      </c>
      <c r="D66" s="8" t="s">
        <v>7684</v>
      </c>
    </row>
    <row r="67" spans="1:4">
      <c r="A67" s="8">
        <v>1203</v>
      </c>
      <c r="B67" s="8" t="s">
        <v>9077</v>
      </c>
      <c r="C67" s="8" t="s">
        <v>7684</v>
      </c>
      <c r="D67" s="8" t="s">
        <v>7684</v>
      </c>
    </row>
    <row r="68" spans="1:4">
      <c r="A68" s="8">
        <v>1204</v>
      </c>
      <c r="B68" s="8" t="s">
        <v>9078</v>
      </c>
      <c r="C68" s="8" t="s">
        <v>7684</v>
      </c>
      <c r="D68" s="8" t="s">
        <v>7684</v>
      </c>
    </row>
    <row r="69" spans="1:4">
      <c r="A69" s="254" t="s">
        <v>420</v>
      </c>
      <c r="B69" s="254" t="s">
        <v>9080</v>
      </c>
      <c r="C69" s="254" t="s">
        <v>7684</v>
      </c>
      <c r="D69" s="254" t="s">
        <v>7684</v>
      </c>
    </row>
    <row r="70" spans="1:4">
      <c r="A70" s="254" t="s">
        <v>426</v>
      </c>
      <c r="B70" s="254" t="s">
        <v>9079</v>
      </c>
      <c r="C70" s="254" t="s">
        <v>7684</v>
      </c>
      <c r="D70" s="254" t="s">
        <v>7684</v>
      </c>
    </row>
    <row r="71" spans="1:4">
      <c r="A71" s="8">
        <v>1206</v>
      </c>
      <c r="B71" s="8" t="s">
        <v>9081</v>
      </c>
      <c r="C71" s="8" t="s">
        <v>7684</v>
      </c>
      <c r="D71" s="8" t="s">
        <v>7684</v>
      </c>
    </row>
    <row r="72" spans="1:4">
      <c r="A72" s="8">
        <v>1301</v>
      </c>
      <c r="B72" s="8" t="s">
        <v>9082</v>
      </c>
      <c r="C72" s="8" t="s">
        <v>7684</v>
      </c>
      <c r="D72" s="8" t="s">
        <v>7684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2F1EC-6EFB-8F4E-B190-0CDE81884D8C}">
  <dimension ref="A1:F281"/>
  <sheetViews>
    <sheetView zoomScale="90" zoomScaleNormal="90" workbookViewId="0">
      <selection activeCell="I39" sqref="I39"/>
    </sheetView>
  </sheetViews>
  <sheetFormatPr baseColWidth="10" defaultRowHeight="16"/>
  <cols>
    <col min="2" max="2" width="31.33203125" customWidth="1"/>
    <col min="3" max="3" width="14" customWidth="1"/>
    <col min="4" max="4" width="48.33203125" customWidth="1"/>
  </cols>
  <sheetData>
    <row r="1" spans="1:5">
      <c r="A1" t="s">
        <v>9088</v>
      </c>
    </row>
    <row r="3" spans="1:5">
      <c r="A3" s="435" t="s">
        <v>9085</v>
      </c>
      <c r="B3" s="435" t="s">
        <v>9086</v>
      </c>
      <c r="C3" s="435" t="s">
        <v>9139</v>
      </c>
      <c r="D3" s="435" t="s">
        <v>9087</v>
      </c>
      <c r="E3" s="1"/>
    </row>
    <row r="4" spans="1:5">
      <c r="A4" s="8" t="s">
        <v>7945</v>
      </c>
      <c r="B4" s="8" t="s">
        <v>8037</v>
      </c>
      <c r="C4" s="434" t="s">
        <v>9140</v>
      </c>
      <c r="D4" s="8" t="s">
        <v>9137</v>
      </c>
    </row>
    <row r="5" spans="1:5">
      <c r="A5" s="8" t="s">
        <v>7945</v>
      </c>
      <c r="B5" s="8" t="s">
        <v>8037</v>
      </c>
      <c r="C5" s="434" t="s">
        <v>9141</v>
      </c>
      <c r="D5" s="8" t="s">
        <v>9138</v>
      </c>
    </row>
    <row r="6" spans="1:5">
      <c r="A6" s="8" t="s">
        <v>277</v>
      </c>
      <c r="B6" s="8" t="s">
        <v>327</v>
      </c>
      <c r="C6" s="434" t="s">
        <v>9144</v>
      </c>
      <c r="D6" s="8" t="s">
        <v>9142</v>
      </c>
    </row>
    <row r="7" spans="1:5">
      <c r="A7" s="8" t="s">
        <v>277</v>
      </c>
      <c r="B7" s="8" t="s">
        <v>327</v>
      </c>
      <c r="C7" s="434" t="s">
        <v>9145</v>
      </c>
      <c r="D7" s="8" t="s">
        <v>9143</v>
      </c>
    </row>
    <row r="8" spans="1:5">
      <c r="A8" s="8" t="s">
        <v>7947</v>
      </c>
      <c r="B8" s="8" t="s">
        <v>8042</v>
      </c>
      <c r="C8" s="561">
        <v>85166010</v>
      </c>
      <c r="D8" t="s">
        <v>9146</v>
      </c>
    </row>
    <row r="9" spans="1:5">
      <c r="A9" s="8" t="s">
        <v>7947</v>
      </c>
      <c r="B9" s="8" t="s">
        <v>8042</v>
      </c>
      <c r="C9" s="561">
        <v>85166050</v>
      </c>
      <c r="D9" t="s">
        <v>9147</v>
      </c>
    </row>
    <row r="10" spans="1:5">
      <c r="A10" s="8" t="s">
        <v>7947</v>
      </c>
      <c r="B10" s="8" t="s">
        <v>8042</v>
      </c>
      <c r="C10" s="561">
        <v>85166070</v>
      </c>
      <c r="D10" t="s">
        <v>9148</v>
      </c>
    </row>
    <row r="11" spans="1:5">
      <c r="A11" s="8" t="s">
        <v>7947</v>
      </c>
      <c r="B11" s="8" t="s">
        <v>8042</v>
      </c>
      <c r="C11" s="561">
        <v>85166080</v>
      </c>
      <c r="D11" t="s">
        <v>9149</v>
      </c>
    </row>
    <row r="12" spans="1:5">
      <c r="A12" s="8" t="s">
        <v>7947</v>
      </c>
      <c r="B12" s="8" t="s">
        <v>8042</v>
      </c>
      <c r="C12" s="561">
        <v>85166090</v>
      </c>
      <c r="D12" t="s">
        <v>9150</v>
      </c>
    </row>
    <row r="13" spans="1:5">
      <c r="A13" s="8" t="s">
        <v>279</v>
      </c>
      <c r="B13" s="8" t="s">
        <v>7949</v>
      </c>
      <c r="C13" s="561">
        <v>84501111</v>
      </c>
      <c r="D13" t="s">
        <v>9151</v>
      </c>
    </row>
    <row r="14" spans="1:5">
      <c r="A14" s="8" t="s">
        <v>7950</v>
      </c>
      <c r="B14" s="8" t="s">
        <v>7949</v>
      </c>
      <c r="C14" s="561">
        <v>84501119</v>
      </c>
      <c r="D14" t="s">
        <v>9152</v>
      </c>
    </row>
    <row r="15" spans="1:5">
      <c r="A15" s="8" t="s">
        <v>280</v>
      </c>
      <c r="B15" s="8" t="s">
        <v>7949</v>
      </c>
      <c r="C15" s="561">
        <v>84501190</v>
      </c>
      <c r="D15" t="s">
        <v>9153</v>
      </c>
    </row>
    <row r="16" spans="1:5">
      <c r="A16" s="8" t="s">
        <v>8732</v>
      </c>
      <c r="B16" s="8" t="s">
        <v>7949</v>
      </c>
      <c r="C16" s="561">
        <v>84501200</v>
      </c>
      <c r="D16" t="s">
        <v>9154</v>
      </c>
    </row>
    <row r="17" spans="1:4">
      <c r="A17" s="8" t="s">
        <v>266</v>
      </c>
      <c r="B17" s="8" t="s">
        <v>7949</v>
      </c>
      <c r="C17" s="561">
        <v>84501900</v>
      </c>
      <c r="D17" t="s">
        <v>9155</v>
      </c>
    </row>
    <row r="18" spans="1:4">
      <c r="A18" s="8" t="s">
        <v>7955</v>
      </c>
      <c r="B18" s="8" t="s">
        <v>7949</v>
      </c>
      <c r="C18" s="561">
        <v>84502000</v>
      </c>
      <c r="D18" t="s">
        <v>9156</v>
      </c>
    </row>
    <row r="19" spans="1:4">
      <c r="A19" s="8" t="s">
        <v>279</v>
      </c>
      <c r="B19" s="8" t="s">
        <v>7949</v>
      </c>
      <c r="C19" s="561">
        <v>84501200</v>
      </c>
      <c r="D19" t="s">
        <v>9154</v>
      </c>
    </row>
    <row r="20" spans="1:4">
      <c r="A20" s="8" t="s">
        <v>279</v>
      </c>
      <c r="B20" s="8" t="s">
        <v>7949</v>
      </c>
      <c r="C20" s="561">
        <v>84501900</v>
      </c>
      <c r="D20" t="s">
        <v>9155</v>
      </c>
    </row>
    <row r="21" spans="1:4">
      <c r="A21" s="8" t="s">
        <v>279</v>
      </c>
      <c r="B21" s="8" t="s">
        <v>7949</v>
      </c>
      <c r="C21" s="561">
        <v>84502000</v>
      </c>
      <c r="D21" t="s">
        <v>9156</v>
      </c>
    </row>
    <row r="22" spans="1:4">
      <c r="A22" s="8" t="s">
        <v>7950</v>
      </c>
      <c r="B22" s="8" t="s">
        <v>7951</v>
      </c>
      <c r="C22" s="561">
        <v>84211200</v>
      </c>
      <c r="D22" t="s">
        <v>9157</v>
      </c>
    </row>
    <row r="23" spans="1:4">
      <c r="A23" s="8" t="s">
        <v>7950</v>
      </c>
      <c r="B23" s="8" t="s">
        <v>7951</v>
      </c>
      <c r="C23" s="561">
        <v>84512100</v>
      </c>
      <c r="D23" t="s">
        <v>9158</v>
      </c>
    </row>
    <row r="24" spans="1:4">
      <c r="A24" s="8" t="s">
        <v>7950</v>
      </c>
      <c r="B24" s="8" t="s">
        <v>7951</v>
      </c>
      <c r="C24" s="561">
        <v>84512900</v>
      </c>
      <c r="D24" t="s">
        <v>9159</v>
      </c>
    </row>
    <row r="25" spans="1:4">
      <c r="A25" s="8" t="s">
        <v>280</v>
      </c>
      <c r="B25" s="8" t="s">
        <v>8059</v>
      </c>
      <c r="C25" s="561">
        <v>84146000</v>
      </c>
      <c r="D25" t="s">
        <v>9160</v>
      </c>
    </row>
    <row r="26" spans="1:4">
      <c r="A26" s="8" t="s">
        <v>280</v>
      </c>
      <c r="B26" s="8" t="s">
        <v>8059</v>
      </c>
      <c r="C26" s="561">
        <v>85162100</v>
      </c>
      <c r="D26" t="s">
        <v>9161</v>
      </c>
    </row>
    <row r="27" spans="1:4">
      <c r="A27" s="8" t="s">
        <v>280</v>
      </c>
      <c r="B27" s="8" t="s">
        <v>8059</v>
      </c>
      <c r="C27" s="561">
        <v>85162910</v>
      </c>
      <c r="D27" t="s">
        <v>9162</v>
      </c>
    </row>
    <row r="28" spans="1:4">
      <c r="A28" s="8" t="s">
        <v>280</v>
      </c>
      <c r="B28" s="8" t="s">
        <v>8059</v>
      </c>
      <c r="C28" s="561">
        <v>85162950</v>
      </c>
      <c r="D28" t="s">
        <v>9163</v>
      </c>
    </row>
    <row r="29" spans="1:4">
      <c r="A29" s="8" t="s">
        <v>266</v>
      </c>
      <c r="B29" s="8" t="s">
        <v>7953</v>
      </c>
      <c r="C29" s="561">
        <v>84181020</v>
      </c>
      <c r="D29" t="s">
        <v>9164</v>
      </c>
    </row>
    <row r="30" spans="1:4">
      <c r="A30" s="8" t="s">
        <v>266</v>
      </c>
      <c r="B30" s="8" t="s">
        <v>7953</v>
      </c>
      <c r="C30" s="561">
        <v>84181080</v>
      </c>
      <c r="D30" t="s">
        <v>9165</v>
      </c>
    </row>
    <row r="31" spans="1:4">
      <c r="A31" s="8" t="s">
        <v>266</v>
      </c>
      <c r="B31" s="8" t="s">
        <v>7953</v>
      </c>
      <c r="C31" s="561">
        <v>84182110</v>
      </c>
      <c r="D31" t="s">
        <v>9166</v>
      </c>
    </row>
    <row r="32" spans="1:4">
      <c r="A32" s="8" t="s">
        <v>266</v>
      </c>
      <c r="B32" s="8" t="s">
        <v>7953</v>
      </c>
      <c r="C32" s="561">
        <v>84182151</v>
      </c>
      <c r="D32" t="s">
        <v>9167</v>
      </c>
    </row>
    <row r="33" spans="1:4">
      <c r="A33" s="8" t="s">
        <v>266</v>
      </c>
      <c r="B33" s="8" t="s">
        <v>7953</v>
      </c>
      <c r="C33" s="561">
        <v>84182159</v>
      </c>
      <c r="D33" t="s">
        <v>9168</v>
      </c>
    </row>
    <row r="34" spans="1:4">
      <c r="A34" s="8" t="s">
        <v>266</v>
      </c>
      <c r="B34" s="8" t="s">
        <v>7953</v>
      </c>
      <c r="C34" s="561">
        <v>84182191</v>
      </c>
      <c r="D34" t="s">
        <v>9169</v>
      </c>
    </row>
    <row r="35" spans="1:4">
      <c r="A35" s="8" t="s">
        <v>266</v>
      </c>
      <c r="B35" s="8" t="s">
        <v>7953</v>
      </c>
      <c r="C35" s="561">
        <v>84182199</v>
      </c>
      <c r="D35" t="s">
        <v>9170</v>
      </c>
    </row>
    <row r="36" spans="1:4">
      <c r="A36" s="562" t="s">
        <v>266</v>
      </c>
      <c r="B36" s="562" t="s">
        <v>7953</v>
      </c>
      <c r="C36" s="562">
        <v>841822</v>
      </c>
      <c r="D36" s="562" t="s">
        <v>8068</v>
      </c>
    </row>
    <row r="37" spans="1:4">
      <c r="A37" s="8" t="s">
        <v>266</v>
      </c>
      <c r="B37" s="8" t="s">
        <v>7953</v>
      </c>
      <c r="C37" s="561">
        <v>84182900</v>
      </c>
      <c r="D37" t="s">
        <v>9171</v>
      </c>
    </row>
    <row r="38" spans="1:4">
      <c r="A38" s="8" t="s">
        <v>7955</v>
      </c>
      <c r="B38" s="8" t="s">
        <v>338</v>
      </c>
      <c r="C38" s="561">
        <v>84183020</v>
      </c>
      <c r="D38" t="s">
        <v>9172</v>
      </c>
    </row>
    <row r="39" spans="1:4">
      <c r="A39" s="8" t="s">
        <v>7955</v>
      </c>
      <c r="B39" s="8" t="s">
        <v>338</v>
      </c>
      <c r="C39" s="561">
        <v>84183080</v>
      </c>
      <c r="D39" t="s">
        <v>9173</v>
      </c>
    </row>
    <row r="40" spans="1:4">
      <c r="A40" s="8" t="s">
        <v>7955</v>
      </c>
      <c r="B40" s="8" t="s">
        <v>338</v>
      </c>
      <c r="C40" s="561">
        <v>84184020</v>
      </c>
      <c r="D40" t="s">
        <v>9174</v>
      </c>
    </row>
    <row r="41" spans="1:4">
      <c r="A41" s="8" t="s">
        <v>7955</v>
      </c>
      <c r="B41" s="8" t="s">
        <v>338</v>
      </c>
      <c r="C41" s="561">
        <v>84184080</v>
      </c>
      <c r="D41" t="s">
        <v>9175</v>
      </c>
    </row>
    <row r="42" spans="1:4">
      <c r="A42" s="8" t="s">
        <v>268</v>
      </c>
      <c r="B42" s="8" t="s">
        <v>7956</v>
      </c>
      <c r="C42" s="8">
        <v>841510</v>
      </c>
      <c r="D42" s="8" t="s">
        <v>8076</v>
      </c>
    </row>
    <row r="43" spans="1:4">
      <c r="A43" s="8"/>
      <c r="B43" s="8"/>
      <c r="C43" s="8"/>
      <c r="D43" s="8"/>
    </row>
    <row r="44" spans="1:4">
      <c r="A44" s="8"/>
      <c r="B44" s="8"/>
      <c r="C44" s="8"/>
      <c r="D44" s="8"/>
    </row>
    <row r="45" spans="1:4">
      <c r="A45" s="8"/>
      <c r="B45" s="8"/>
      <c r="C45" s="8"/>
      <c r="D45" s="8"/>
    </row>
    <row r="46" spans="1:4">
      <c r="A46" s="8"/>
      <c r="B46" s="8"/>
      <c r="C46" s="8"/>
      <c r="D46" s="8"/>
    </row>
    <row r="47" spans="1:4">
      <c r="A47" s="8" t="s">
        <v>268</v>
      </c>
      <c r="B47" s="8" t="s">
        <v>7956</v>
      </c>
      <c r="C47" s="8" t="s">
        <v>8077</v>
      </c>
      <c r="D47" s="8" t="s">
        <v>8078</v>
      </c>
    </row>
    <row r="48" spans="1:4">
      <c r="A48" s="8" t="s">
        <v>268</v>
      </c>
      <c r="B48" s="8" t="s">
        <v>7956</v>
      </c>
      <c r="C48" s="8" t="s">
        <v>8079</v>
      </c>
      <c r="D48" s="8" t="s">
        <v>8080</v>
      </c>
    </row>
    <row r="49" spans="1:6">
      <c r="A49" s="8" t="s">
        <v>269</v>
      </c>
      <c r="B49" s="8" t="s">
        <v>8081</v>
      </c>
      <c r="C49" s="8" t="s">
        <v>8082</v>
      </c>
      <c r="D49" s="8" t="s">
        <v>8083</v>
      </c>
      <c r="E49" s="200"/>
      <c r="F49" s="200"/>
    </row>
    <row r="50" spans="1:6">
      <c r="A50" s="8" t="s">
        <v>270</v>
      </c>
      <c r="B50" s="8" t="s">
        <v>8084</v>
      </c>
      <c r="C50" s="8" t="s">
        <v>8085</v>
      </c>
      <c r="D50" s="8" t="s">
        <v>8086</v>
      </c>
    </row>
    <row r="51" spans="1:6">
      <c r="A51" s="8" t="s">
        <v>270</v>
      </c>
      <c r="B51" s="8" t="s">
        <v>8084</v>
      </c>
      <c r="C51" s="8" t="s">
        <v>8087</v>
      </c>
      <c r="D51" s="8" t="s">
        <v>8088</v>
      </c>
    </row>
    <row r="52" spans="1:6">
      <c r="A52" s="8" t="s">
        <v>270</v>
      </c>
      <c r="B52" s="8" t="s">
        <v>8084</v>
      </c>
      <c r="C52" s="8" t="s">
        <v>8089</v>
      </c>
      <c r="D52" s="8" t="s">
        <v>8090</v>
      </c>
    </row>
    <row r="53" spans="1:6">
      <c r="A53" s="8" t="s">
        <v>7959</v>
      </c>
      <c r="B53" s="8" t="s">
        <v>7960</v>
      </c>
      <c r="C53" s="8" t="s">
        <v>8091</v>
      </c>
      <c r="D53" s="8" t="s">
        <v>8092</v>
      </c>
    </row>
    <row r="54" spans="1:6">
      <c r="A54" s="8" t="s">
        <v>283</v>
      </c>
      <c r="B54" s="8" t="s">
        <v>8093</v>
      </c>
      <c r="C54" s="8" t="s">
        <v>8094</v>
      </c>
      <c r="D54" s="8" t="s">
        <v>8095</v>
      </c>
    </row>
    <row r="55" spans="1:6">
      <c r="A55" s="8" t="s">
        <v>283</v>
      </c>
      <c r="B55" s="8" t="s">
        <v>8093</v>
      </c>
      <c r="C55" s="8" t="s">
        <v>8096</v>
      </c>
      <c r="D55" s="8" t="s">
        <v>8097</v>
      </c>
    </row>
    <row r="56" spans="1:6">
      <c r="A56" s="8" t="s">
        <v>283</v>
      </c>
      <c r="B56" s="8" t="s">
        <v>8093</v>
      </c>
      <c r="C56" s="8" t="s">
        <v>8098</v>
      </c>
      <c r="D56" s="8" t="s">
        <v>8099</v>
      </c>
    </row>
    <row r="57" spans="1:6">
      <c r="A57" s="8" t="s">
        <v>283</v>
      </c>
      <c r="B57" s="8" t="s">
        <v>8093</v>
      </c>
      <c r="C57" s="8" t="s">
        <v>8100</v>
      </c>
      <c r="D57" s="8" t="s">
        <v>8101</v>
      </c>
    </row>
    <row r="58" spans="1:6">
      <c r="A58" s="8" t="s">
        <v>283</v>
      </c>
      <c r="B58" s="8" t="s">
        <v>8093</v>
      </c>
      <c r="C58" s="8" t="s">
        <v>8102</v>
      </c>
      <c r="D58" s="8" t="s">
        <v>8103</v>
      </c>
    </row>
    <row r="59" spans="1:6">
      <c r="A59" s="8" t="s">
        <v>283</v>
      </c>
      <c r="B59" s="8" t="s">
        <v>8093</v>
      </c>
      <c r="C59" s="8" t="s">
        <v>8104</v>
      </c>
      <c r="D59" s="8" t="s">
        <v>8105</v>
      </c>
    </row>
    <row r="60" spans="1:6">
      <c r="A60" s="8" t="s">
        <v>283</v>
      </c>
      <c r="B60" s="8" t="s">
        <v>8093</v>
      </c>
      <c r="C60" s="8" t="s">
        <v>8106</v>
      </c>
      <c r="D60" s="8" t="s">
        <v>8107</v>
      </c>
    </row>
    <row r="61" spans="1:6">
      <c r="A61" s="8" t="s">
        <v>283</v>
      </c>
      <c r="B61" s="8" t="s">
        <v>8093</v>
      </c>
      <c r="C61" s="8" t="s">
        <v>8108</v>
      </c>
      <c r="D61" s="8" t="s">
        <v>8109</v>
      </c>
    </row>
    <row r="62" spans="1:6">
      <c r="A62" s="8" t="s">
        <v>283</v>
      </c>
      <c r="B62" s="8" t="s">
        <v>8093</v>
      </c>
      <c r="C62" s="8" t="s">
        <v>8110</v>
      </c>
      <c r="D62" s="8" t="s">
        <v>8111</v>
      </c>
    </row>
    <row r="63" spans="1:6">
      <c r="A63" s="8" t="s">
        <v>283</v>
      </c>
      <c r="B63" s="8" t="s">
        <v>8093</v>
      </c>
      <c r="C63" s="8" t="s">
        <v>8112</v>
      </c>
      <c r="D63" s="8" t="s">
        <v>8113</v>
      </c>
    </row>
    <row r="64" spans="1:6">
      <c r="A64" s="8" t="s">
        <v>283</v>
      </c>
      <c r="B64" s="8" t="s">
        <v>8093</v>
      </c>
      <c r="C64" s="8" t="s">
        <v>8114</v>
      </c>
      <c r="D64" s="8" t="s">
        <v>8115</v>
      </c>
    </row>
    <row r="65" spans="1:4">
      <c r="A65" s="8" t="s">
        <v>283</v>
      </c>
      <c r="B65" s="8" t="s">
        <v>8093</v>
      </c>
      <c r="C65" s="8" t="s">
        <v>8116</v>
      </c>
      <c r="D65" s="8" t="s">
        <v>8117</v>
      </c>
    </row>
    <row r="66" spans="1:4">
      <c r="A66" s="8" t="s">
        <v>283</v>
      </c>
      <c r="B66" s="8" t="s">
        <v>8093</v>
      </c>
      <c r="C66" s="8" t="s">
        <v>8118</v>
      </c>
      <c r="D66" s="8" t="s">
        <v>8119</v>
      </c>
    </row>
    <row r="67" spans="1:4">
      <c r="A67" s="8" t="s">
        <v>283</v>
      </c>
      <c r="B67" s="8" t="s">
        <v>8093</v>
      </c>
      <c r="C67" s="8" t="s">
        <v>8120</v>
      </c>
      <c r="D67" s="8" t="s">
        <v>8121</v>
      </c>
    </row>
    <row r="68" spans="1:4">
      <c r="A68" s="8" t="s">
        <v>283</v>
      </c>
      <c r="B68" s="8" t="s">
        <v>8093</v>
      </c>
      <c r="C68" s="8" t="s">
        <v>8122</v>
      </c>
      <c r="D68" s="8" t="s">
        <v>8123</v>
      </c>
    </row>
    <row r="69" spans="1:4">
      <c r="A69" s="8" t="s">
        <v>283</v>
      </c>
      <c r="B69" s="8" t="s">
        <v>8093</v>
      </c>
      <c r="C69" s="8" t="s">
        <v>8124</v>
      </c>
      <c r="D69" s="8" t="s">
        <v>8125</v>
      </c>
    </row>
    <row r="70" spans="1:4">
      <c r="A70" s="8" t="s">
        <v>283</v>
      </c>
      <c r="B70" s="8" t="s">
        <v>8093</v>
      </c>
      <c r="C70" s="8" t="s">
        <v>8126</v>
      </c>
      <c r="D70" s="8" t="s">
        <v>8127</v>
      </c>
    </row>
    <row r="71" spans="1:4">
      <c r="A71" s="8" t="s">
        <v>283</v>
      </c>
      <c r="B71" s="8" t="s">
        <v>8093</v>
      </c>
      <c r="C71" s="8" t="s">
        <v>8128</v>
      </c>
      <c r="D71" s="8" t="s">
        <v>8129</v>
      </c>
    </row>
    <row r="72" spans="1:4">
      <c r="A72" s="8" t="s">
        <v>283</v>
      </c>
      <c r="B72" s="8" t="s">
        <v>8093</v>
      </c>
      <c r="C72" s="8" t="s">
        <v>8130</v>
      </c>
      <c r="D72" s="8" t="s">
        <v>8131</v>
      </c>
    </row>
    <row r="73" spans="1:4">
      <c r="A73" s="8" t="s">
        <v>283</v>
      </c>
      <c r="B73" s="8" t="s">
        <v>8093</v>
      </c>
      <c r="C73" s="8" t="s">
        <v>8132</v>
      </c>
      <c r="D73" s="8" t="s">
        <v>8133</v>
      </c>
    </row>
    <row r="74" spans="1:4">
      <c r="A74" s="8" t="s">
        <v>283</v>
      </c>
      <c r="B74" s="8" t="s">
        <v>8093</v>
      </c>
      <c r="C74" s="8" t="s">
        <v>8134</v>
      </c>
      <c r="D74" s="8" t="s">
        <v>8135</v>
      </c>
    </row>
    <row r="75" spans="1:4">
      <c r="A75" s="8" t="s">
        <v>283</v>
      </c>
      <c r="B75" s="8" t="s">
        <v>8093</v>
      </c>
      <c r="C75" s="8" t="s">
        <v>8136</v>
      </c>
      <c r="D75" s="8" t="s">
        <v>8137</v>
      </c>
    </row>
    <row r="76" spans="1:4">
      <c r="A76" s="8" t="s">
        <v>283</v>
      </c>
      <c r="B76" s="8" t="s">
        <v>8093</v>
      </c>
      <c r="C76" s="8" t="s">
        <v>8138</v>
      </c>
      <c r="D76" s="8" t="s">
        <v>8139</v>
      </c>
    </row>
    <row r="77" spans="1:4">
      <c r="A77" s="8" t="s">
        <v>283</v>
      </c>
      <c r="B77" s="8" t="s">
        <v>8093</v>
      </c>
      <c r="C77" s="8" t="s">
        <v>8140</v>
      </c>
      <c r="D77" s="8" t="s">
        <v>8141</v>
      </c>
    </row>
    <row r="78" spans="1:4">
      <c r="A78" s="8" t="s">
        <v>283</v>
      </c>
      <c r="B78" s="8" t="s">
        <v>8093</v>
      </c>
      <c r="C78" s="8" t="s">
        <v>8142</v>
      </c>
      <c r="D78" s="8" t="s">
        <v>8143</v>
      </c>
    </row>
    <row r="79" spans="1:4">
      <c r="A79" s="8" t="s">
        <v>283</v>
      </c>
      <c r="B79" s="8" t="s">
        <v>8093</v>
      </c>
      <c r="C79" s="8" t="s">
        <v>8144</v>
      </c>
      <c r="D79" s="8" t="s">
        <v>8145</v>
      </c>
    </row>
    <row r="80" spans="1:4">
      <c r="A80" s="8" t="s">
        <v>283</v>
      </c>
      <c r="B80" s="8" t="s">
        <v>8093</v>
      </c>
      <c r="C80" s="8" t="s">
        <v>8146</v>
      </c>
      <c r="D80" s="8" t="s">
        <v>8147</v>
      </c>
    </row>
    <row r="81" spans="1:4">
      <c r="A81" s="8" t="s">
        <v>283</v>
      </c>
      <c r="B81" s="8" t="s">
        <v>8093</v>
      </c>
      <c r="C81" s="8" t="s">
        <v>8148</v>
      </c>
      <c r="D81" s="8" t="s">
        <v>8149</v>
      </c>
    </row>
    <row r="82" spans="1:4">
      <c r="A82" s="8" t="s">
        <v>285</v>
      </c>
      <c r="B82" s="8" t="s">
        <v>8150</v>
      </c>
      <c r="C82" s="8" t="s">
        <v>8151</v>
      </c>
      <c r="D82" s="8" t="s">
        <v>8152</v>
      </c>
    </row>
    <row r="83" spans="1:4">
      <c r="A83" s="8" t="s">
        <v>285</v>
      </c>
      <c r="B83" s="8" t="s">
        <v>8150</v>
      </c>
      <c r="C83" s="8" t="s">
        <v>8153</v>
      </c>
      <c r="D83" s="8" t="s">
        <v>8154</v>
      </c>
    </row>
    <row r="84" spans="1:4">
      <c r="A84" s="8" t="s">
        <v>285</v>
      </c>
      <c r="B84" s="8" t="s">
        <v>8150</v>
      </c>
      <c r="C84" s="8" t="s">
        <v>8155</v>
      </c>
      <c r="D84" s="8" t="s">
        <v>8156</v>
      </c>
    </row>
    <row r="85" spans="1:4">
      <c r="A85" s="8" t="s">
        <v>286</v>
      </c>
      <c r="B85" s="8" t="s">
        <v>8157</v>
      </c>
      <c r="C85" s="8" t="s">
        <v>8158</v>
      </c>
      <c r="D85" s="8" t="s">
        <v>8159</v>
      </c>
    </row>
    <row r="86" spans="1:4">
      <c r="A86" s="8" t="s">
        <v>286</v>
      </c>
      <c r="B86" s="8" t="s">
        <v>8157</v>
      </c>
      <c r="C86" s="8" t="s">
        <v>8160</v>
      </c>
      <c r="D86" s="8" t="s">
        <v>8161</v>
      </c>
    </row>
    <row r="87" spans="1:4">
      <c r="A87" s="8" t="s">
        <v>287</v>
      </c>
      <c r="B87" s="8" t="s">
        <v>8162</v>
      </c>
      <c r="C87" s="8" t="s">
        <v>8163</v>
      </c>
      <c r="D87" s="8" t="s">
        <v>8164</v>
      </c>
    </row>
    <row r="88" spans="1:4">
      <c r="A88" s="8" t="s">
        <v>287</v>
      </c>
      <c r="B88" s="8" t="s">
        <v>8162</v>
      </c>
      <c r="C88" s="8" t="s">
        <v>8165</v>
      </c>
      <c r="D88" s="8" t="s">
        <v>8166</v>
      </c>
    </row>
    <row r="89" spans="1:4">
      <c r="A89" s="8" t="s">
        <v>287</v>
      </c>
      <c r="B89" s="8" t="s">
        <v>8162</v>
      </c>
      <c r="C89" s="8" t="s">
        <v>8167</v>
      </c>
      <c r="D89" s="8" t="s">
        <v>8168</v>
      </c>
    </row>
    <row r="90" spans="1:4">
      <c r="A90" s="8" t="s">
        <v>287</v>
      </c>
      <c r="B90" s="8" t="s">
        <v>8162</v>
      </c>
      <c r="C90" s="8" t="s">
        <v>8169</v>
      </c>
      <c r="D90" s="8" t="s">
        <v>8170</v>
      </c>
    </row>
    <row r="91" spans="1:4">
      <c r="A91" s="8" t="s">
        <v>288</v>
      </c>
      <c r="B91" s="8" t="s">
        <v>8171</v>
      </c>
      <c r="C91" s="8" t="s">
        <v>8172</v>
      </c>
      <c r="D91" s="8" t="s">
        <v>8173</v>
      </c>
    </row>
    <row r="92" spans="1:4">
      <c r="A92" s="8" t="s">
        <v>288</v>
      </c>
      <c r="B92" s="8" t="s">
        <v>8171</v>
      </c>
      <c r="C92" s="8" t="s">
        <v>8174</v>
      </c>
      <c r="D92" s="8" t="s">
        <v>8175</v>
      </c>
    </row>
    <row r="93" spans="1:4">
      <c r="A93" s="8" t="s">
        <v>288</v>
      </c>
      <c r="B93" s="8" t="s">
        <v>8171</v>
      </c>
      <c r="C93" s="8" t="s">
        <v>8176</v>
      </c>
      <c r="D93" s="8" t="s">
        <v>8177</v>
      </c>
    </row>
    <row r="94" spans="1:4">
      <c r="A94" s="8" t="s">
        <v>288</v>
      </c>
      <c r="B94" s="8" t="s">
        <v>8171</v>
      </c>
      <c r="C94" s="8" t="s">
        <v>8178</v>
      </c>
      <c r="D94" s="8" t="s">
        <v>8179</v>
      </c>
    </row>
    <row r="95" spans="1:4">
      <c r="A95" s="8" t="s">
        <v>288</v>
      </c>
      <c r="B95" s="8" t="s">
        <v>8171</v>
      </c>
      <c r="C95" s="8" t="s">
        <v>8180</v>
      </c>
      <c r="D95" s="8" t="s">
        <v>8181</v>
      </c>
    </row>
    <row r="96" spans="1:4">
      <c r="A96" s="8" t="s">
        <v>288</v>
      </c>
      <c r="B96" s="8" t="s">
        <v>8171</v>
      </c>
      <c r="C96" s="8" t="s">
        <v>8182</v>
      </c>
      <c r="D96" s="8" t="s">
        <v>8183</v>
      </c>
    </row>
    <row r="97" spans="1:4">
      <c r="A97" s="8" t="s">
        <v>7968</v>
      </c>
      <c r="B97" s="8" t="s">
        <v>8184</v>
      </c>
      <c r="C97" s="8" t="s">
        <v>8185</v>
      </c>
      <c r="D97" s="8" t="s">
        <v>8186</v>
      </c>
    </row>
    <row r="98" spans="1:4">
      <c r="A98" s="8" t="s">
        <v>7968</v>
      </c>
      <c r="B98" s="8" t="s">
        <v>8184</v>
      </c>
      <c r="C98" s="8" t="s">
        <v>8187</v>
      </c>
      <c r="D98" s="8" t="s">
        <v>8188</v>
      </c>
    </row>
    <row r="99" spans="1:4">
      <c r="A99" s="8" t="s">
        <v>7968</v>
      </c>
      <c r="B99" s="8" t="s">
        <v>8184</v>
      </c>
      <c r="C99" s="8" t="s">
        <v>8189</v>
      </c>
      <c r="D99" s="8" t="s">
        <v>8190</v>
      </c>
    </row>
    <row r="100" spans="1:4">
      <c r="A100" s="8" t="s">
        <v>7968</v>
      </c>
      <c r="B100" s="8" t="s">
        <v>8184</v>
      </c>
      <c r="C100" s="8" t="s">
        <v>8191</v>
      </c>
      <c r="D100" s="8" t="s">
        <v>8192</v>
      </c>
    </row>
    <row r="101" spans="1:4">
      <c r="A101" s="8" t="s">
        <v>7968</v>
      </c>
      <c r="B101" s="8" t="s">
        <v>8184</v>
      </c>
      <c r="C101" s="8" t="s">
        <v>8193</v>
      </c>
      <c r="D101" s="8" t="s">
        <v>8194</v>
      </c>
    </row>
    <row r="102" spans="1:4">
      <c r="A102" s="8" t="s">
        <v>7968</v>
      </c>
      <c r="B102" s="8" t="s">
        <v>8184</v>
      </c>
      <c r="C102" s="8" t="s">
        <v>8195</v>
      </c>
      <c r="D102" s="8" t="s">
        <v>8196</v>
      </c>
    </row>
    <row r="103" spans="1:4">
      <c r="A103" s="8" t="s">
        <v>7968</v>
      </c>
      <c r="B103" s="8" t="s">
        <v>8184</v>
      </c>
      <c r="C103" s="8" t="s">
        <v>8197</v>
      </c>
      <c r="D103" s="8" t="s">
        <v>8198</v>
      </c>
    </row>
    <row r="104" spans="1:4">
      <c r="A104" s="8" t="s">
        <v>7968</v>
      </c>
      <c r="B104" s="8" t="s">
        <v>8184</v>
      </c>
      <c r="C104" s="8" t="s">
        <v>8199</v>
      </c>
      <c r="D104" s="8" t="s">
        <v>8200</v>
      </c>
    </row>
    <row r="105" spans="1:4">
      <c r="A105" s="8" t="s">
        <v>7968</v>
      </c>
      <c r="B105" s="8" t="s">
        <v>8184</v>
      </c>
      <c r="C105" s="8" t="s">
        <v>8201</v>
      </c>
      <c r="D105" s="8" t="s">
        <v>8202</v>
      </c>
    </row>
    <row r="106" spans="1:4">
      <c r="A106" s="8" t="s">
        <v>7968</v>
      </c>
      <c r="B106" s="8" t="s">
        <v>8184</v>
      </c>
      <c r="C106" s="8" t="s">
        <v>8203</v>
      </c>
      <c r="D106" s="8" t="s">
        <v>8204</v>
      </c>
    </row>
    <row r="107" spans="1:4">
      <c r="A107" s="8" t="s">
        <v>7968</v>
      </c>
      <c r="B107" s="8" t="s">
        <v>8184</v>
      </c>
      <c r="C107" s="8" t="s">
        <v>8205</v>
      </c>
      <c r="D107" s="8" t="s">
        <v>8206</v>
      </c>
    </row>
    <row r="108" spans="1:4">
      <c r="A108" s="8" t="s">
        <v>7968</v>
      </c>
      <c r="B108" s="8" t="s">
        <v>8184</v>
      </c>
      <c r="C108" s="8" t="s">
        <v>8207</v>
      </c>
      <c r="D108" s="8" t="s">
        <v>8208</v>
      </c>
    </row>
    <row r="109" spans="1:4">
      <c r="A109" s="8" t="s">
        <v>295</v>
      </c>
      <c r="B109" s="8" t="s">
        <v>8209</v>
      </c>
      <c r="C109" s="8" t="s">
        <v>8210</v>
      </c>
      <c r="D109" s="8" t="s">
        <v>8211</v>
      </c>
    </row>
    <row r="110" spans="1:4">
      <c r="A110" s="8" t="s">
        <v>295</v>
      </c>
      <c r="B110" s="8" t="s">
        <v>8209</v>
      </c>
      <c r="C110" s="8" t="s">
        <v>8212</v>
      </c>
      <c r="D110" s="8" t="s">
        <v>8213</v>
      </c>
    </row>
    <row r="111" spans="1:4">
      <c r="A111" s="8" t="s">
        <v>295</v>
      </c>
      <c r="B111" s="8" t="s">
        <v>8209</v>
      </c>
      <c r="C111" s="8" t="s">
        <v>8214</v>
      </c>
      <c r="D111" s="8" t="s">
        <v>8215</v>
      </c>
    </row>
    <row r="112" spans="1:4">
      <c r="A112" s="8" t="s">
        <v>271</v>
      </c>
      <c r="B112" s="8" t="s">
        <v>7973</v>
      </c>
      <c r="C112" s="8" t="s">
        <v>215</v>
      </c>
      <c r="D112" s="8" t="s">
        <v>8216</v>
      </c>
    </row>
    <row r="113" spans="1:4">
      <c r="A113" s="8" t="s">
        <v>296</v>
      </c>
      <c r="B113" s="8" t="s">
        <v>8217</v>
      </c>
      <c r="C113" s="8" t="s">
        <v>8218</v>
      </c>
      <c r="D113" s="8" t="s">
        <v>8219</v>
      </c>
    </row>
    <row r="114" spans="1:4">
      <c r="A114" s="8" t="s">
        <v>296</v>
      </c>
      <c r="B114" s="8" t="s">
        <v>8217</v>
      </c>
      <c r="C114" s="8" t="s">
        <v>8220</v>
      </c>
      <c r="D114" s="8" t="s">
        <v>8221</v>
      </c>
    </row>
    <row r="115" spans="1:4">
      <c r="A115" s="8" t="s">
        <v>296</v>
      </c>
      <c r="B115" s="8" t="s">
        <v>8217</v>
      </c>
      <c r="C115" s="8" t="s">
        <v>8222</v>
      </c>
      <c r="D115" s="8" t="s">
        <v>8223</v>
      </c>
    </row>
    <row r="116" spans="1:4">
      <c r="A116" s="8" t="s">
        <v>296</v>
      </c>
      <c r="B116" s="8" t="s">
        <v>8217</v>
      </c>
      <c r="C116" s="8" t="s">
        <v>8224</v>
      </c>
      <c r="D116" s="8" t="s">
        <v>8225</v>
      </c>
    </row>
    <row r="117" spans="1:4">
      <c r="A117" s="8" t="s">
        <v>7976</v>
      </c>
      <c r="B117" s="8" t="s">
        <v>8226</v>
      </c>
      <c r="C117" s="8" t="s">
        <v>8227</v>
      </c>
      <c r="D117" s="8" t="s">
        <v>8228</v>
      </c>
    </row>
    <row r="118" spans="1:4">
      <c r="A118" s="8" t="s">
        <v>7976</v>
      </c>
      <c r="B118" s="8" t="s">
        <v>8226</v>
      </c>
      <c r="C118" s="8" t="s">
        <v>8229</v>
      </c>
      <c r="D118" s="8" t="s">
        <v>8230</v>
      </c>
    </row>
    <row r="119" spans="1:4">
      <c r="A119" s="8" t="s">
        <v>7976</v>
      </c>
      <c r="B119" s="8" t="s">
        <v>8226</v>
      </c>
      <c r="C119" s="8" t="s">
        <v>8231</v>
      </c>
      <c r="D119" s="8" t="s">
        <v>8232</v>
      </c>
    </row>
    <row r="120" spans="1:4">
      <c r="A120" s="8" t="s">
        <v>7976</v>
      </c>
      <c r="B120" s="8" t="s">
        <v>8226</v>
      </c>
      <c r="C120" s="8" t="s">
        <v>8233</v>
      </c>
      <c r="D120" s="8" t="s">
        <v>8234</v>
      </c>
    </row>
    <row r="121" spans="1:4">
      <c r="A121" s="8" t="s">
        <v>7976</v>
      </c>
      <c r="B121" s="8" t="s">
        <v>8226</v>
      </c>
      <c r="C121" s="8" t="s">
        <v>8235</v>
      </c>
      <c r="D121" s="8" t="s">
        <v>8236</v>
      </c>
    </row>
    <row r="122" spans="1:4">
      <c r="A122" s="8" t="s">
        <v>7976</v>
      </c>
      <c r="B122" s="8" t="s">
        <v>8226</v>
      </c>
      <c r="C122" s="8" t="s">
        <v>8237</v>
      </c>
      <c r="D122" s="8" t="s">
        <v>8238</v>
      </c>
    </row>
    <row r="123" spans="1:4">
      <c r="A123" s="8" t="s">
        <v>7976</v>
      </c>
      <c r="B123" s="8" t="s">
        <v>8226</v>
      </c>
      <c r="C123" s="8" t="s">
        <v>8239</v>
      </c>
      <c r="D123" s="8" t="s">
        <v>8240</v>
      </c>
    </row>
    <row r="124" spans="1:4">
      <c r="A124" s="8" t="s">
        <v>7976</v>
      </c>
      <c r="B124" s="8" t="s">
        <v>8226</v>
      </c>
      <c r="C124" s="8" t="s">
        <v>8241</v>
      </c>
      <c r="D124" s="8" t="s">
        <v>8242</v>
      </c>
    </row>
    <row r="125" spans="1:4">
      <c r="A125" s="8" t="s">
        <v>7976</v>
      </c>
      <c r="B125" s="8" t="s">
        <v>8226</v>
      </c>
      <c r="C125" s="8" t="s">
        <v>8243</v>
      </c>
      <c r="D125" s="8" t="s">
        <v>8244</v>
      </c>
    </row>
    <row r="126" spans="1:4">
      <c r="A126" s="8" t="s">
        <v>7976</v>
      </c>
      <c r="B126" s="8" t="s">
        <v>8226</v>
      </c>
      <c r="C126" s="8" t="s">
        <v>8245</v>
      </c>
      <c r="D126" s="8" t="s">
        <v>8246</v>
      </c>
    </row>
    <row r="127" spans="1:4">
      <c r="A127" s="8" t="s">
        <v>297</v>
      </c>
      <c r="B127" s="8" t="s">
        <v>7978</v>
      </c>
      <c r="C127" s="8" t="s">
        <v>212</v>
      </c>
      <c r="D127" s="8" t="s">
        <v>8247</v>
      </c>
    </row>
    <row r="128" spans="1:4">
      <c r="A128" s="8" t="s">
        <v>297</v>
      </c>
      <c r="B128" s="8" t="s">
        <v>7978</v>
      </c>
      <c r="C128" s="8" t="s">
        <v>8248</v>
      </c>
      <c r="D128" s="8" t="s">
        <v>8249</v>
      </c>
    </row>
    <row r="129" spans="1:4">
      <c r="A129" s="8" t="s">
        <v>297</v>
      </c>
      <c r="B129" s="8" t="s">
        <v>7978</v>
      </c>
      <c r="C129" s="8" t="s">
        <v>8250</v>
      </c>
      <c r="D129" s="8" t="s">
        <v>8242</v>
      </c>
    </row>
    <row r="130" spans="1:4">
      <c r="A130" s="8" t="s">
        <v>297</v>
      </c>
      <c r="B130" s="8" t="s">
        <v>7978</v>
      </c>
      <c r="C130" s="8" t="s">
        <v>8251</v>
      </c>
      <c r="D130" s="8" t="s">
        <v>8252</v>
      </c>
    </row>
    <row r="131" spans="1:4">
      <c r="A131" s="8" t="s">
        <v>281</v>
      </c>
      <c r="B131" s="8" t="s">
        <v>8253</v>
      </c>
      <c r="C131" s="8" t="s">
        <v>8254</v>
      </c>
      <c r="D131" s="8" t="s">
        <v>8255</v>
      </c>
    </row>
    <row r="132" spans="1:4">
      <c r="A132" s="8" t="s">
        <v>281</v>
      </c>
      <c r="B132" s="8" t="s">
        <v>8253</v>
      </c>
      <c r="C132" s="8" t="s">
        <v>8256</v>
      </c>
      <c r="D132" s="8" t="s">
        <v>8257</v>
      </c>
    </row>
    <row r="133" spans="1:4">
      <c r="A133" s="8" t="s">
        <v>281</v>
      </c>
      <c r="B133" s="8" t="s">
        <v>8253</v>
      </c>
      <c r="C133" s="8" t="s">
        <v>8258</v>
      </c>
      <c r="D133" s="8" t="s">
        <v>8259</v>
      </c>
    </row>
    <row r="134" spans="1:4">
      <c r="A134" s="8" t="s">
        <v>281</v>
      </c>
      <c r="B134" s="8" t="s">
        <v>8253</v>
      </c>
      <c r="C134" s="8" t="s">
        <v>8260</v>
      </c>
      <c r="D134" s="8" t="s">
        <v>8261</v>
      </c>
    </row>
    <row r="135" spans="1:4">
      <c r="A135" s="8" t="s">
        <v>281</v>
      </c>
      <c r="B135" s="8" t="s">
        <v>8253</v>
      </c>
      <c r="C135" s="8" t="s">
        <v>8262</v>
      </c>
      <c r="D135" s="8" t="s">
        <v>8263</v>
      </c>
    </row>
    <row r="136" spans="1:4">
      <c r="A136" s="8" t="s">
        <v>281</v>
      </c>
      <c r="B136" s="8" t="s">
        <v>8253</v>
      </c>
      <c r="C136" s="8" t="s">
        <v>8264</v>
      </c>
      <c r="D136" s="8" t="s">
        <v>8265</v>
      </c>
    </row>
    <row r="137" spans="1:4">
      <c r="A137" s="8" t="s">
        <v>281</v>
      </c>
      <c r="B137" s="8" t="s">
        <v>8253</v>
      </c>
      <c r="C137" s="8" t="s">
        <v>8266</v>
      </c>
      <c r="D137" s="8" t="s">
        <v>8267</v>
      </c>
    </row>
    <row r="138" spans="1:4">
      <c r="A138" s="8" t="s">
        <v>281</v>
      </c>
      <c r="B138" s="8" t="s">
        <v>8253</v>
      </c>
      <c r="C138" s="8" t="s">
        <v>8268</v>
      </c>
      <c r="D138" s="8" t="s">
        <v>8269</v>
      </c>
    </row>
    <row r="139" spans="1:4">
      <c r="A139" s="8" t="s">
        <v>281</v>
      </c>
      <c r="B139" s="8" t="s">
        <v>8253</v>
      </c>
      <c r="C139" s="8" t="s">
        <v>8270</v>
      </c>
      <c r="D139" s="8" t="s">
        <v>8271</v>
      </c>
    </row>
    <row r="140" spans="1:4">
      <c r="A140" s="8" t="s">
        <v>281</v>
      </c>
      <c r="B140" s="8" t="s">
        <v>8253</v>
      </c>
      <c r="C140" s="8" t="s">
        <v>8272</v>
      </c>
      <c r="D140" s="8" t="s">
        <v>8273</v>
      </c>
    </row>
    <row r="141" spans="1:4">
      <c r="A141" s="8" t="s">
        <v>7980</v>
      </c>
      <c r="B141" s="8" t="s">
        <v>7981</v>
      </c>
      <c r="C141" s="8" t="s">
        <v>8274</v>
      </c>
      <c r="D141" s="8" t="s">
        <v>8275</v>
      </c>
    </row>
    <row r="142" spans="1:4">
      <c r="A142" s="8" t="s">
        <v>7980</v>
      </c>
      <c r="B142" s="8" t="s">
        <v>7981</v>
      </c>
      <c r="C142" s="8" t="s">
        <v>8276</v>
      </c>
      <c r="D142" s="8" t="s">
        <v>8277</v>
      </c>
    </row>
    <row r="143" spans="1:4">
      <c r="A143" s="8" t="s">
        <v>7980</v>
      </c>
      <c r="B143" s="8" t="s">
        <v>7981</v>
      </c>
      <c r="C143" s="8" t="s">
        <v>8278</v>
      </c>
      <c r="D143" s="8" t="s">
        <v>8279</v>
      </c>
    </row>
    <row r="144" spans="1:4">
      <c r="A144" s="8" t="s">
        <v>7980</v>
      </c>
      <c r="B144" s="8" t="s">
        <v>7981</v>
      </c>
      <c r="C144" s="8" t="s">
        <v>8280</v>
      </c>
      <c r="D144" s="8" t="s">
        <v>8281</v>
      </c>
    </row>
    <row r="145" spans="1:4">
      <c r="A145" s="8" t="s">
        <v>273</v>
      </c>
      <c r="B145" s="8" t="s">
        <v>7982</v>
      </c>
      <c r="C145" s="8" t="s">
        <v>8282</v>
      </c>
      <c r="D145" s="8" t="s">
        <v>8283</v>
      </c>
    </row>
    <row r="146" spans="1:4">
      <c r="A146" s="8" t="s">
        <v>273</v>
      </c>
      <c r="B146" s="8" t="s">
        <v>7982</v>
      </c>
      <c r="C146" s="8" t="s">
        <v>8284</v>
      </c>
      <c r="D146" s="8" t="s">
        <v>8285</v>
      </c>
    </row>
    <row r="147" spans="1:4">
      <c r="A147" s="8" t="s">
        <v>273</v>
      </c>
      <c r="B147" s="8" t="s">
        <v>7982</v>
      </c>
      <c r="C147" s="8" t="s">
        <v>8286</v>
      </c>
      <c r="D147" s="8" t="s">
        <v>8287</v>
      </c>
    </row>
    <row r="148" spans="1:4">
      <c r="A148" s="8" t="s">
        <v>289</v>
      </c>
      <c r="B148" s="8" t="s">
        <v>8288</v>
      </c>
      <c r="C148" s="8" t="s">
        <v>8289</v>
      </c>
      <c r="D148" s="8" t="s">
        <v>8290</v>
      </c>
    </row>
    <row r="149" spans="1:4">
      <c r="A149" s="8" t="s">
        <v>289</v>
      </c>
      <c r="B149" s="8" t="s">
        <v>8288</v>
      </c>
      <c r="C149" s="8" t="s">
        <v>8291</v>
      </c>
      <c r="D149" s="8" t="s">
        <v>8292</v>
      </c>
    </row>
    <row r="150" spans="1:4">
      <c r="A150" s="8" t="s">
        <v>7984</v>
      </c>
      <c r="B150" s="8" t="s">
        <v>8293</v>
      </c>
      <c r="C150" s="8" t="s">
        <v>8294</v>
      </c>
      <c r="D150" s="8" t="s">
        <v>8295</v>
      </c>
    </row>
    <row r="151" spans="1:4">
      <c r="A151" s="8" t="s">
        <v>7984</v>
      </c>
      <c r="B151" s="8" t="s">
        <v>8293</v>
      </c>
      <c r="C151" s="8" t="s">
        <v>8296</v>
      </c>
      <c r="D151" s="8" t="s">
        <v>8297</v>
      </c>
    </row>
    <row r="152" spans="1:4">
      <c r="A152" s="8" t="s">
        <v>7984</v>
      </c>
      <c r="B152" s="8" t="s">
        <v>8293</v>
      </c>
      <c r="C152" s="8" t="s">
        <v>8298</v>
      </c>
      <c r="D152" s="8" t="s">
        <v>8299</v>
      </c>
    </row>
    <row r="153" spans="1:4">
      <c r="A153" s="8" t="s">
        <v>7984</v>
      </c>
      <c r="B153" s="8" t="s">
        <v>8293</v>
      </c>
      <c r="C153" s="8" t="s">
        <v>8300</v>
      </c>
      <c r="D153" s="8" t="s">
        <v>8301</v>
      </c>
    </row>
    <row r="154" spans="1:4">
      <c r="A154" s="8" t="s">
        <v>7984</v>
      </c>
      <c r="B154" s="8" t="s">
        <v>8293</v>
      </c>
      <c r="C154" s="8" t="s">
        <v>8302</v>
      </c>
      <c r="D154" s="8" t="s">
        <v>8303</v>
      </c>
    </row>
    <row r="155" spans="1:4">
      <c r="A155" s="8" t="s">
        <v>7984</v>
      </c>
      <c r="B155" s="8" t="s">
        <v>8293</v>
      </c>
      <c r="C155" s="8" t="s">
        <v>8304</v>
      </c>
      <c r="D155" s="8" t="s">
        <v>8305</v>
      </c>
    </row>
    <row r="156" spans="1:4">
      <c r="A156" s="8" t="s">
        <v>7984</v>
      </c>
      <c r="B156" s="8" t="s">
        <v>8293</v>
      </c>
      <c r="C156" s="8" t="s">
        <v>8306</v>
      </c>
      <c r="D156" s="8" t="s">
        <v>8307</v>
      </c>
    </row>
    <row r="157" spans="1:4">
      <c r="A157" s="8" t="s">
        <v>7984</v>
      </c>
      <c r="B157" s="8" t="s">
        <v>8293</v>
      </c>
      <c r="C157" s="8" t="s">
        <v>8308</v>
      </c>
      <c r="D157" s="8" t="s">
        <v>8309</v>
      </c>
    </row>
    <row r="158" spans="1:4">
      <c r="A158" s="8" t="s">
        <v>7984</v>
      </c>
      <c r="B158" s="8" t="s">
        <v>8293</v>
      </c>
      <c r="C158" s="8" t="s">
        <v>8310</v>
      </c>
      <c r="D158" s="8" t="s">
        <v>8311</v>
      </c>
    </row>
    <row r="159" spans="1:4">
      <c r="A159" s="8" t="s">
        <v>290</v>
      </c>
      <c r="B159" s="8" t="s">
        <v>8312</v>
      </c>
      <c r="C159" s="8" t="s">
        <v>8313</v>
      </c>
      <c r="D159" s="8" t="s">
        <v>8314</v>
      </c>
    </row>
    <row r="160" spans="1:4">
      <c r="A160" s="8" t="s">
        <v>290</v>
      </c>
      <c r="B160" s="8" t="s">
        <v>8312</v>
      </c>
      <c r="C160" s="8" t="s">
        <v>8315</v>
      </c>
      <c r="D160" s="8" t="s">
        <v>8316</v>
      </c>
    </row>
    <row r="161" spans="1:4">
      <c r="A161" s="8" t="s">
        <v>290</v>
      </c>
      <c r="B161" s="8" t="s">
        <v>8312</v>
      </c>
      <c r="C161" s="8" t="s">
        <v>8317</v>
      </c>
      <c r="D161" s="8" t="s">
        <v>8318</v>
      </c>
    </row>
    <row r="162" spans="1:4">
      <c r="A162" s="8" t="s">
        <v>290</v>
      </c>
      <c r="B162" s="8" t="s">
        <v>8312</v>
      </c>
      <c r="C162" s="8" t="s">
        <v>8319</v>
      </c>
      <c r="D162" s="8" t="s">
        <v>8320</v>
      </c>
    </row>
    <row r="163" spans="1:4">
      <c r="A163" s="8" t="s">
        <v>290</v>
      </c>
      <c r="B163" s="8" t="s">
        <v>8312</v>
      </c>
      <c r="C163" s="8" t="s">
        <v>8321</v>
      </c>
      <c r="D163" s="8" t="s">
        <v>8322</v>
      </c>
    </row>
    <row r="164" spans="1:4">
      <c r="A164" s="8" t="s">
        <v>290</v>
      </c>
      <c r="B164" s="8" t="s">
        <v>8312</v>
      </c>
      <c r="C164" s="8" t="s">
        <v>8323</v>
      </c>
      <c r="D164" s="8" t="s">
        <v>8324</v>
      </c>
    </row>
    <row r="165" spans="1:4">
      <c r="A165" s="8" t="s">
        <v>290</v>
      </c>
      <c r="B165" s="8" t="s">
        <v>8312</v>
      </c>
      <c r="C165" s="8" t="s">
        <v>8325</v>
      </c>
      <c r="D165" s="8" t="s">
        <v>8326</v>
      </c>
    </row>
    <row r="166" spans="1:4">
      <c r="A166" s="8" t="s">
        <v>290</v>
      </c>
      <c r="B166" s="8" t="s">
        <v>8312</v>
      </c>
      <c r="C166" s="8" t="s">
        <v>8327</v>
      </c>
      <c r="D166" s="8" t="s">
        <v>8328</v>
      </c>
    </row>
    <row r="167" spans="1:4">
      <c r="A167" s="8" t="s">
        <v>290</v>
      </c>
      <c r="B167" s="8" t="s">
        <v>8312</v>
      </c>
      <c r="C167" s="8" t="s">
        <v>8329</v>
      </c>
      <c r="D167" s="8" t="s">
        <v>8330</v>
      </c>
    </row>
    <row r="168" spans="1:4">
      <c r="A168" s="8" t="s">
        <v>290</v>
      </c>
      <c r="B168" s="8" t="s">
        <v>8312</v>
      </c>
      <c r="C168" s="8" t="s">
        <v>8331</v>
      </c>
      <c r="D168" s="8" t="s">
        <v>8332</v>
      </c>
    </row>
    <row r="169" spans="1:4">
      <c r="A169" s="8" t="s">
        <v>290</v>
      </c>
      <c r="B169" s="8" t="s">
        <v>8312</v>
      </c>
      <c r="C169" s="8" t="s">
        <v>8333</v>
      </c>
      <c r="D169" s="8" t="s">
        <v>8334</v>
      </c>
    </row>
    <row r="170" spans="1:4">
      <c r="A170" s="8" t="s">
        <v>290</v>
      </c>
      <c r="B170" s="8" t="s">
        <v>8312</v>
      </c>
      <c r="C170" s="8" t="s">
        <v>8335</v>
      </c>
      <c r="D170" s="8" t="s">
        <v>8336</v>
      </c>
    </row>
    <row r="171" spans="1:4">
      <c r="A171" s="8" t="s">
        <v>290</v>
      </c>
      <c r="B171" s="8" t="s">
        <v>8312</v>
      </c>
      <c r="C171" s="8" t="s">
        <v>8337</v>
      </c>
      <c r="D171" s="8" t="s">
        <v>8338</v>
      </c>
    </row>
    <row r="172" spans="1:4">
      <c r="A172" s="8" t="s">
        <v>290</v>
      </c>
      <c r="B172" s="8" t="s">
        <v>8312</v>
      </c>
      <c r="C172" s="8" t="s">
        <v>8339</v>
      </c>
      <c r="D172" s="8" t="s">
        <v>8340</v>
      </c>
    </row>
    <row r="173" spans="1:4">
      <c r="A173" s="8" t="s">
        <v>290</v>
      </c>
      <c r="B173" s="8" t="s">
        <v>8312</v>
      </c>
      <c r="C173" s="8" t="s">
        <v>8341</v>
      </c>
      <c r="D173" s="8" t="s">
        <v>8342</v>
      </c>
    </row>
    <row r="174" spans="1:4">
      <c r="A174" s="8" t="s">
        <v>290</v>
      </c>
      <c r="B174" s="8" t="s">
        <v>8312</v>
      </c>
      <c r="C174" s="8" t="s">
        <v>8343</v>
      </c>
      <c r="D174" s="8" t="s">
        <v>8344</v>
      </c>
    </row>
    <row r="175" spans="1:4">
      <c r="A175" s="8" t="s">
        <v>290</v>
      </c>
      <c r="B175" s="8" t="s">
        <v>8312</v>
      </c>
      <c r="C175" s="8" t="s">
        <v>8345</v>
      </c>
      <c r="D175" s="8" t="s">
        <v>8346</v>
      </c>
    </row>
    <row r="176" spans="1:4">
      <c r="A176" s="8" t="s">
        <v>290</v>
      </c>
      <c r="B176" s="8" t="s">
        <v>8312</v>
      </c>
      <c r="C176" s="8" t="s">
        <v>8347</v>
      </c>
      <c r="D176" s="8" t="s">
        <v>8348</v>
      </c>
    </row>
    <row r="177" spans="1:4">
      <c r="A177" s="8" t="s">
        <v>290</v>
      </c>
      <c r="B177" s="8" t="s">
        <v>8312</v>
      </c>
      <c r="C177" s="8" t="s">
        <v>8349</v>
      </c>
      <c r="D177" s="8" t="s">
        <v>8350</v>
      </c>
    </row>
    <row r="178" spans="1:4">
      <c r="A178" s="8" t="s">
        <v>290</v>
      </c>
      <c r="B178" s="8" t="s">
        <v>8312</v>
      </c>
      <c r="C178" s="8" t="s">
        <v>8351</v>
      </c>
      <c r="D178" s="8" t="s">
        <v>8352</v>
      </c>
    </row>
    <row r="179" spans="1:4">
      <c r="A179" s="8" t="s">
        <v>290</v>
      </c>
      <c r="B179" s="8" t="s">
        <v>8312</v>
      </c>
      <c r="C179" s="8" t="s">
        <v>8353</v>
      </c>
      <c r="D179" s="8" t="s">
        <v>8354</v>
      </c>
    </row>
    <row r="180" spans="1:4">
      <c r="A180" s="8" t="s">
        <v>290</v>
      </c>
      <c r="B180" s="8" t="s">
        <v>8312</v>
      </c>
      <c r="C180" s="8" t="s">
        <v>8355</v>
      </c>
      <c r="D180" s="8" t="s">
        <v>8356</v>
      </c>
    </row>
    <row r="181" spans="1:4">
      <c r="A181" s="8" t="s">
        <v>290</v>
      </c>
      <c r="B181" s="8" t="s">
        <v>8312</v>
      </c>
      <c r="C181" s="8" t="s">
        <v>8357</v>
      </c>
      <c r="D181" s="8" t="s">
        <v>8358</v>
      </c>
    </row>
    <row r="182" spans="1:4">
      <c r="A182" s="8" t="s">
        <v>290</v>
      </c>
      <c r="B182" s="8" t="s">
        <v>8312</v>
      </c>
      <c r="C182" s="8" t="s">
        <v>8359</v>
      </c>
      <c r="D182" s="8" t="s">
        <v>8360</v>
      </c>
    </row>
    <row r="183" spans="1:4">
      <c r="A183" s="8" t="s">
        <v>290</v>
      </c>
      <c r="B183" s="8" t="s">
        <v>8312</v>
      </c>
      <c r="C183" s="8" t="s">
        <v>8361</v>
      </c>
      <c r="D183" s="8" t="s">
        <v>8362</v>
      </c>
    </row>
    <row r="184" spans="1:4">
      <c r="A184" s="8" t="s">
        <v>290</v>
      </c>
      <c r="B184" s="8" t="s">
        <v>8312</v>
      </c>
      <c r="C184" s="8" t="s">
        <v>8363</v>
      </c>
      <c r="D184" s="8" t="s">
        <v>8364</v>
      </c>
    </row>
    <row r="185" spans="1:4">
      <c r="A185" s="8" t="s">
        <v>7987</v>
      </c>
      <c r="B185" s="8" t="s">
        <v>8365</v>
      </c>
      <c r="C185" s="8" t="s">
        <v>8366</v>
      </c>
      <c r="D185" s="8" t="s">
        <v>8367</v>
      </c>
    </row>
    <row r="186" spans="1:4">
      <c r="A186" s="8" t="s">
        <v>7987</v>
      </c>
      <c r="B186" s="8" t="s">
        <v>8365</v>
      </c>
      <c r="C186" s="8" t="s">
        <v>8368</v>
      </c>
      <c r="D186" s="8" t="s">
        <v>8369</v>
      </c>
    </row>
    <row r="187" spans="1:4">
      <c r="A187" s="8" t="s">
        <v>7987</v>
      </c>
      <c r="B187" s="8" t="s">
        <v>8365</v>
      </c>
      <c r="C187" s="8" t="s">
        <v>8370</v>
      </c>
      <c r="D187" s="8" t="s">
        <v>8371</v>
      </c>
    </row>
    <row r="188" spans="1:4">
      <c r="A188" s="8" t="s">
        <v>7987</v>
      </c>
      <c r="B188" s="8" t="s">
        <v>8365</v>
      </c>
      <c r="C188" s="8" t="s">
        <v>8372</v>
      </c>
      <c r="D188" s="8" t="s">
        <v>8373</v>
      </c>
    </row>
    <row r="189" spans="1:4">
      <c r="A189" s="8" t="s">
        <v>7987</v>
      </c>
      <c r="B189" s="8" t="s">
        <v>8365</v>
      </c>
      <c r="C189" s="8" t="s">
        <v>8374</v>
      </c>
      <c r="D189" s="8" t="s">
        <v>8375</v>
      </c>
    </row>
    <row r="190" spans="1:4">
      <c r="A190" s="8" t="s">
        <v>7987</v>
      </c>
      <c r="B190" s="8" t="s">
        <v>8365</v>
      </c>
      <c r="C190" s="8" t="s">
        <v>8376</v>
      </c>
      <c r="D190" s="8" t="s">
        <v>8377</v>
      </c>
    </row>
    <row r="191" spans="1:4">
      <c r="A191" s="8" t="s">
        <v>7987</v>
      </c>
      <c r="B191" s="8" t="s">
        <v>8365</v>
      </c>
      <c r="C191" s="8" t="s">
        <v>8378</v>
      </c>
      <c r="D191" s="8" t="s">
        <v>8379</v>
      </c>
    </row>
    <row r="192" spans="1:4">
      <c r="A192" s="8" t="s">
        <v>7987</v>
      </c>
      <c r="B192" s="8" t="s">
        <v>8365</v>
      </c>
      <c r="C192" s="8" t="s">
        <v>8380</v>
      </c>
      <c r="D192" s="8" t="s">
        <v>8381</v>
      </c>
    </row>
    <row r="193" spans="1:4">
      <c r="A193" s="8" t="s">
        <v>7987</v>
      </c>
      <c r="B193" s="8" t="s">
        <v>8365</v>
      </c>
      <c r="C193" s="8" t="s">
        <v>8382</v>
      </c>
      <c r="D193" s="8" t="s">
        <v>8383</v>
      </c>
    </row>
    <row r="194" spans="1:4">
      <c r="A194" s="8" t="s">
        <v>7987</v>
      </c>
      <c r="B194" s="8" t="s">
        <v>8365</v>
      </c>
      <c r="C194" s="8" t="s">
        <v>8384</v>
      </c>
      <c r="D194" s="8" t="s">
        <v>8385</v>
      </c>
    </row>
    <row r="195" spans="1:4">
      <c r="A195" s="8" t="s">
        <v>7987</v>
      </c>
      <c r="B195" s="8" t="s">
        <v>8365</v>
      </c>
      <c r="C195" s="8" t="s">
        <v>8386</v>
      </c>
      <c r="D195" s="8" t="s">
        <v>8387</v>
      </c>
    </row>
    <row r="196" spans="1:4">
      <c r="A196" s="8" t="s">
        <v>7987</v>
      </c>
      <c r="B196" s="8" t="s">
        <v>8365</v>
      </c>
      <c r="C196" s="8" t="s">
        <v>8388</v>
      </c>
      <c r="D196" s="8" t="s">
        <v>8389</v>
      </c>
    </row>
    <row r="197" spans="1:4">
      <c r="A197" s="8" t="s">
        <v>7987</v>
      </c>
      <c r="B197" s="8" t="s">
        <v>8365</v>
      </c>
      <c r="C197" s="8" t="s">
        <v>8390</v>
      </c>
      <c r="D197" s="8" t="s">
        <v>8391</v>
      </c>
    </row>
    <row r="198" spans="1:4">
      <c r="A198" s="8" t="s">
        <v>7987</v>
      </c>
      <c r="B198" s="8" t="s">
        <v>8365</v>
      </c>
      <c r="C198" s="8" t="s">
        <v>8392</v>
      </c>
      <c r="D198" s="8" t="s">
        <v>8393</v>
      </c>
    </row>
    <row r="199" spans="1:4">
      <c r="A199" s="8" t="s">
        <v>7987</v>
      </c>
      <c r="B199" s="8" t="s">
        <v>8365</v>
      </c>
      <c r="C199" s="8" t="s">
        <v>8394</v>
      </c>
      <c r="D199" s="8" t="s">
        <v>8395</v>
      </c>
    </row>
    <row r="200" spans="1:4">
      <c r="A200" s="8" t="s">
        <v>7987</v>
      </c>
      <c r="B200" s="8" t="s">
        <v>8365</v>
      </c>
      <c r="C200" s="8" t="s">
        <v>8396</v>
      </c>
      <c r="D200" s="8" t="s">
        <v>8397</v>
      </c>
    </row>
    <row r="201" spans="1:4">
      <c r="A201" s="8" t="s">
        <v>7987</v>
      </c>
      <c r="B201" s="8" t="s">
        <v>8365</v>
      </c>
      <c r="C201" s="8" t="s">
        <v>8398</v>
      </c>
      <c r="D201" s="8" t="s">
        <v>8399</v>
      </c>
    </row>
    <row r="202" spans="1:4">
      <c r="A202" s="8" t="s">
        <v>7987</v>
      </c>
      <c r="B202" s="8" t="s">
        <v>8365</v>
      </c>
      <c r="C202" s="8" t="s">
        <v>8400</v>
      </c>
      <c r="D202" s="8" t="s">
        <v>8401</v>
      </c>
    </row>
    <row r="203" spans="1:4">
      <c r="A203" s="8" t="s">
        <v>7987</v>
      </c>
      <c r="B203" s="8" t="s">
        <v>8365</v>
      </c>
      <c r="C203" s="8" t="s">
        <v>8402</v>
      </c>
      <c r="D203" s="8" t="s">
        <v>8403</v>
      </c>
    </row>
    <row r="204" spans="1:4">
      <c r="A204" s="8" t="s">
        <v>7987</v>
      </c>
      <c r="B204" s="8" t="s">
        <v>8365</v>
      </c>
      <c r="C204" s="8" t="s">
        <v>8404</v>
      </c>
      <c r="D204" s="8" t="s">
        <v>8405</v>
      </c>
    </row>
    <row r="205" spans="1:4">
      <c r="A205" s="8" t="s">
        <v>7987</v>
      </c>
      <c r="B205" s="8" t="s">
        <v>8365</v>
      </c>
      <c r="C205" s="8" t="s">
        <v>8406</v>
      </c>
      <c r="D205" s="8" t="s">
        <v>8407</v>
      </c>
    </row>
    <row r="206" spans="1:4">
      <c r="A206" s="8" t="s">
        <v>7989</v>
      </c>
      <c r="B206" s="8" t="s">
        <v>382</v>
      </c>
      <c r="C206" s="8" t="s">
        <v>8408</v>
      </c>
      <c r="D206" s="8" t="s">
        <v>8409</v>
      </c>
    </row>
    <row r="207" spans="1:4">
      <c r="A207" s="8" t="s">
        <v>7989</v>
      </c>
      <c r="B207" s="8" t="s">
        <v>382</v>
      </c>
      <c r="C207" s="8" t="s">
        <v>8410</v>
      </c>
      <c r="D207" s="8" t="s">
        <v>8411</v>
      </c>
    </row>
    <row r="208" spans="1:4">
      <c r="A208" s="8" t="s">
        <v>291</v>
      </c>
      <c r="B208" s="8" t="s">
        <v>8412</v>
      </c>
      <c r="C208" s="8" t="s">
        <v>8413</v>
      </c>
      <c r="D208" s="8" t="s">
        <v>8414</v>
      </c>
    </row>
    <row r="209" spans="1:4">
      <c r="A209" s="8" t="s">
        <v>291</v>
      </c>
      <c r="B209" s="8" t="s">
        <v>8412</v>
      </c>
      <c r="C209" s="8" t="s">
        <v>8415</v>
      </c>
      <c r="D209" s="8" t="s">
        <v>8416</v>
      </c>
    </row>
    <row r="210" spans="1:4">
      <c r="A210" s="8" t="s">
        <v>7991</v>
      </c>
      <c r="B210" s="8" t="s">
        <v>7992</v>
      </c>
      <c r="C210" s="8" t="s">
        <v>8417</v>
      </c>
      <c r="D210" s="8" t="s">
        <v>8418</v>
      </c>
    </row>
    <row r="211" spans="1:4">
      <c r="A211" s="8" t="s">
        <v>7991</v>
      </c>
      <c r="B211" s="8" t="s">
        <v>7992</v>
      </c>
      <c r="C211" s="8" t="s">
        <v>8419</v>
      </c>
      <c r="D211" s="8" t="s">
        <v>8420</v>
      </c>
    </row>
    <row r="212" spans="1:4">
      <c r="A212" s="8" t="s">
        <v>7991</v>
      </c>
      <c r="B212" s="8" t="s">
        <v>7992</v>
      </c>
      <c r="C212" s="8" t="s">
        <v>8421</v>
      </c>
      <c r="D212" s="8" t="s">
        <v>8422</v>
      </c>
    </row>
    <row r="213" spans="1:4">
      <c r="A213" s="8" t="s">
        <v>274</v>
      </c>
      <c r="B213" s="8" t="s">
        <v>7993</v>
      </c>
      <c r="C213" s="8" t="s">
        <v>8423</v>
      </c>
      <c r="D213" s="8" t="s">
        <v>8424</v>
      </c>
    </row>
    <row r="214" spans="1:4">
      <c r="A214" s="8" t="s">
        <v>292</v>
      </c>
      <c r="B214" s="8" t="s">
        <v>8425</v>
      </c>
      <c r="C214" s="8" t="s">
        <v>8426</v>
      </c>
      <c r="D214" s="8" t="s">
        <v>8427</v>
      </c>
    </row>
    <row r="215" spans="1:4">
      <c r="A215" s="8" t="s">
        <v>7999</v>
      </c>
      <c r="B215" s="8" t="s">
        <v>8000</v>
      </c>
      <c r="C215" s="8" t="s">
        <v>8428</v>
      </c>
      <c r="D215" s="8" t="s">
        <v>8429</v>
      </c>
    </row>
    <row r="216" spans="1:4">
      <c r="A216" s="8" t="s">
        <v>7999</v>
      </c>
      <c r="B216" s="8" t="s">
        <v>8000</v>
      </c>
      <c r="C216" s="8" t="s">
        <v>8430</v>
      </c>
      <c r="D216" s="8" t="s">
        <v>8431</v>
      </c>
    </row>
    <row r="217" spans="1:4">
      <c r="A217" s="8" t="s">
        <v>8001</v>
      </c>
      <c r="B217" s="8" t="s">
        <v>8432</v>
      </c>
      <c r="C217" s="8" t="s">
        <v>8433</v>
      </c>
      <c r="D217" s="8" t="s">
        <v>8434</v>
      </c>
    </row>
    <row r="218" spans="1:4">
      <c r="A218" s="8" t="s">
        <v>8001</v>
      </c>
      <c r="B218" s="8" t="s">
        <v>8432</v>
      </c>
      <c r="C218" s="8" t="s">
        <v>8435</v>
      </c>
      <c r="D218" s="8" t="s">
        <v>8436</v>
      </c>
    </row>
    <row r="219" spans="1:4">
      <c r="A219" s="8" t="s">
        <v>8001</v>
      </c>
      <c r="B219" s="8" t="s">
        <v>8432</v>
      </c>
      <c r="C219" s="8" t="s">
        <v>8437</v>
      </c>
      <c r="D219" s="8" t="s">
        <v>8438</v>
      </c>
    </row>
    <row r="220" spans="1:4">
      <c r="A220" s="8" t="s">
        <v>8004</v>
      </c>
      <c r="B220" s="8" t="s">
        <v>8439</v>
      </c>
      <c r="C220" s="8" t="s">
        <v>8440</v>
      </c>
      <c r="D220" s="8" t="s">
        <v>8441</v>
      </c>
    </row>
    <row r="221" spans="1:4">
      <c r="A221" s="8" t="s">
        <v>8004</v>
      </c>
      <c r="B221" s="8" t="s">
        <v>8439</v>
      </c>
      <c r="C221" s="8" t="s">
        <v>8442</v>
      </c>
      <c r="D221" s="8" t="s">
        <v>8443</v>
      </c>
    </row>
    <row r="222" spans="1:4">
      <c r="A222" s="8" t="s">
        <v>8004</v>
      </c>
      <c r="B222" s="8" t="s">
        <v>8439</v>
      </c>
      <c r="C222" s="8" t="s">
        <v>8444</v>
      </c>
      <c r="D222" s="8" t="s">
        <v>8445</v>
      </c>
    </row>
    <row r="223" spans="1:4">
      <c r="A223" s="8" t="s">
        <v>8004</v>
      </c>
      <c r="B223" s="8" t="s">
        <v>8439</v>
      </c>
      <c r="C223" s="8" t="s">
        <v>8446</v>
      </c>
      <c r="D223" s="8" t="s">
        <v>8447</v>
      </c>
    </row>
    <row r="224" spans="1:4">
      <c r="A224" s="8" t="s">
        <v>8006</v>
      </c>
      <c r="B224" s="8" t="s">
        <v>8007</v>
      </c>
      <c r="C224" s="8" t="s">
        <v>8448</v>
      </c>
      <c r="D224" s="8" t="s">
        <v>8449</v>
      </c>
    </row>
    <row r="225" spans="1:4">
      <c r="A225" s="8" t="s">
        <v>8008</v>
      </c>
      <c r="B225" s="8" t="s">
        <v>8450</v>
      </c>
      <c r="C225" s="8" t="s">
        <v>8451</v>
      </c>
      <c r="D225" s="8" t="s">
        <v>8452</v>
      </c>
    </row>
    <row r="226" spans="1:4">
      <c r="A226" s="8" t="s">
        <v>8008</v>
      </c>
      <c r="B226" s="8" t="s">
        <v>8450</v>
      </c>
      <c r="C226" s="8" t="s">
        <v>8453</v>
      </c>
      <c r="D226" s="8" t="s">
        <v>8454</v>
      </c>
    </row>
    <row r="227" spans="1:4">
      <c r="A227" s="8" t="s">
        <v>8008</v>
      </c>
      <c r="B227" s="8" t="s">
        <v>8450</v>
      </c>
      <c r="C227" s="8" t="s">
        <v>8455</v>
      </c>
      <c r="D227" s="8" t="s">
        <v>8456</v>
      </c>
    </row>
    <row r="228" spans="1:4">
      <c r="A228" s="8" t="s">
        <v>8008</v>
      </c>
      <c r="B228" s="8" t="s">
        <v>8450</v>
      </c>
      <c r="C228" s="8" t="s">
        <v>8457</v>
      </c>
      <c r="D228" s="8" t="s">
        <v>8458</v>
      </c>
    </row>
    <row r="229" spans="1:4">
      <c r="A229" s="8" t="s">
        <v>8008</v>
      </c>
      <c r="B229" s="8" t="s">
        <v>8450</v>
      </c>
      <c r="C229" s="8" t="s">
        <v>8459</v>
      </c>
      <c r="D229" s="8" t="s">
        <v>8460</v>
      </c>
    </row>
    <row r="230" spans="1:4">
      <c r="A230" s="8" t="s">
        <v>8008</v>
      </c>
      <c r="B230" s="8" t="s">
        <v>8450</v>
      </c>
      <c r="C230" s="8" t="s">
        <v>8461</v>
      </c>
      <c r="D230" s="8" t="s">
        <v>8462</v>
      </c>
    </row>
    <row r="231" spans="1:4">
      <c r="A231" s="8" t="s">
        <v>8008</v>
      </c>
      <c r="B231" s="8" t="s">
        <v>8450</v>
      </c>
      <c r="C231" s="8" t="s">
        <v>8463</v>
      </c>
      <c r="D231" s="8" t="s">
        <v>8464</v>
      </c>
    </row>
    <row r="232" spans="1:4">
      <c r="A232" s="8" t="s">
        <v>8008</v>
      </c>
      <c r="B232" s="8" t="s">
        <v>8450</v>
      </c>
      <c r="C232" s="8" t="s">
        <v>8465</v>
      </c>
      <c r="D232" s="8" t="s">
        <v>8466</v>
      </c>
    </row>
    <row r="233" spans="1:4">
      <c r="A233" s="8" t="s">
        <v>8008</v>
      </c>
      <c r="B233" s="8" t="s">
        <v>8450</v>
      </c>
      <c r="C233" s="8" t="s">
        <v>8467</v>
      </c>
      <c r="D233" s="8" t="s">
        <v>8468</v>
      </c>
    </row>
    <row r="234" spans="1:4">
      <c r="A234" s="8" t="s">
        <v>8008</v>
      </c>
      <c r="B234" s="8" t="s">
        <v>8450</v>
      </c>
      <c r="C234" s="8" t="s">
        <v>8469</v>
      </c>
      <c r="D234" s="8" t="s">
        <v>8470</v>
      </c>
    </row>
    <row r="235" spans="1:4">
      <c r="A235" s="8" t="s">
        <v>8008</v>
      </c>
      <c r="B235" s="8" t="s">
        <v>8450</v>
      </c>
      <c r="C235" s="8" t="s">
        <v>8471</v>
      </c>
      <c r="D235" s="8" t="s">
        <v>8472</v>
      </c>
    </row>
    <row r="236" spans="1:4">
      <c r="A236" s="8" t="s">
        <v>8008</v>
      </c>
      <c r="B236" s="8" t="s">
        <v>8450</v>
      </c>
      <c r="C236" s="8" t="s">
        <v>8473</v>
      </c>
      <c r="D236" s="8" t="s">
        <v>8474</v>
      </c>
    </row>
    <row r="237" spans="1:4">
      <c r="A237" s="8" t="s">
        <v>8011</v>
      </c>
      <c r="B237" s="8" t="s">
        <v>8475</v>
      </c>
      <c r="C237" s="8" t="s">
        <v>8476</v>
      </c>
      <c r="D237" s="8" t="s">
        <v>8477</v>
      </c>
    </row>
    <row r="238" spans="1:4">
      <c r="A238" s="8" t="s">
        <v>8011</v>
      </c>
      <c r="B238" s="8" t="s">
        <v>8475</v>
      </c>
      <c r="C238" s="8" t="s">
        <v>8478</v>
      </c>
      <c r="D238" s="8" t="s">
        <v>8479</v>
      </c>
    </row>
    <row r="239" spans="1:4">
      <c r="A239" s="8" t="s">
        <v>8013</v>
      </c>
      <c r="B239" s="8" t="s">
        <v>8480</v>
      </c>
      <c r="C239" s="8" t="s">
        <v>8481</v>
      </c>
      <c r="D239" s="8" t="s">
        <v>8482</v>
      </c>
    </row>
    <row r="240" spans="1:4">
      <c r="A240" s="8" t="s">
        <v>8013</v>
      </c>
      <c r="B240" s="8" t="s">
        <v>8480</v>
      </c>
      <c r="C240" s="8" t="s">
        <v>8483</v>
      </c>
      <c r="D240" s="8" t="s">
        <v>8484</v>
      </c>
    </row>
    <row r="241" spans="1:4">
      <c r="A241" s="8" t="s">
        <v>8013</v>
      </c>
      <c r="B241" s="8" t="s">
        <v>8480</v>
      </c>
      <c r="C241" s="8" t="s">
        <v>8485</v>
      </c>
      <c r="D241" s="8" t="s">
        <v>8486</v>
      </c>
    </row>
    <row r="242" spans="1:4">
      <c r="A242" s="8" t="s">
        <v>8013</v>
      </c>
      <c r="B242" s="8" t="s">
        <v>8480</v>
      </c>
      <c r="C242" s="8" t="s">
        <v>8487</v>
      </c>
      <c r="D242" s="8" t="s">
        <v>8488</v>
      </c>
    </row>
    <row r="243" spans="1:4">
      <c r="A243" s="8" t="s">
        <v>293</v>
      </c>
      <c r="B243" s="8" t="s">
        <v>8016</v>
      </c>
      <c r="C243" s="8" t="s">
        <v>8489</v>
      </c>
      <c r="D243" s="8" t="s">
        <v>8490</v>
      </c>
    </row>
    <row r="244" spans="1:4">
      <c r="A244" s="8" t="s">
        <v>8017</v>
      </c>
      <c r="B244" s="8" t="s">
        <v>8491</v>
      </c>
      <c r="C244" s="8" t="s">
        <v>8492</v>
      </c>
      <c r="D244" s="8" t="s">
        <v>8493</v>
      </c>
    </row>
    <row r="245" spans="1:4">
      <c r="A245" s="8" t="s">
        <v>8017</v>
      </c>
      <c r="B245" s="8" t="s">
        <v>8491</v>
      </c>
      <c r="C245" s="8" t="s">
        <v>8494</v>
      </c>
      <c r="D245" s="8" t="s">
        <v>8495</v>
      </c>
    </row>
    <row r="246" spans="1:4">
      <c r="A246" s="8" t="s">
        <v>8019</v>
      </c>
      <c r="B246" s="8" t="s">
        <v>8496</v>
      </c>
      <c r="C246" s="8" t="s">
        <v>8497</v>
      </c>
      <c r="D246" s="8" t="s">
        <v>8498</v>
      </c>
    </row>
    <row r="247" spans="1:4">
      <c r="A247" s="8" t="s">
        <v>282</v>
      </c>
      <c r="B247" s="8" t="s">
        <v>8499</v>
      </c>
      <c r="C247" s="8" t="s">
        <v>8500</v>
      </c>
      <c r="D247" s="8" t="s">
        <v>8501</v>
      </c>
    </row>
    <row r="248" spans="1:4">
      <c r="A248" s="8" t="s">
        <v>282</v>
      </c>
      <c r="B248" s="8" t="s">
        <v>8502</v>
      </c>
      <c r="C248" s="8" t="s">
        <v>8503</v>
      </c>
      <c r="D248" s="8" t="s">
        <v>8504</v>
      </c>
    </row>
    <row r="249" spans="1:4">
      <c r="A249" s="8" t="s">
        <v>282</v>
      </c>
      <c r="B249" s="8" t="s">
        <v>8499</v>
      </c>
      <c r="C249" s="8" t="s">
        <v>8505</v>
      </c>
      <c r="D249" s="8" t="s">
        <v>8506</v>
      </c>
    </row>
    <row r="250" spans="1:4">
      <c r="A250" s="8" t="s">
        <v>282</v>
      </c>
      <c r="B250" s="8" t="s">
        <v>8499</v>
      </c>
      <c r="C250" s="8" t="s">
        <v>8507</v>
      </c>
      <c r="D250" s="8" t="s">
        <v>8508</v>
      </c>
    </row>
    <row r="251" spans="1:4">
      <c r="A251" s="8" t="s">
        <v>282</v>
      </c>
      <c r="B251" s="8" t="s">
        <v>8499</v>
      </c>
      <c r="C251" s="8" t="s">
        <v>8509</v>
      </c>
      <c r="D251" s="8" t="s">
        <v>8510</v>
      </c>
    </row>
    <row r="252" spans="1:4">
      <c r="A252" s="8" t="s">
        <v>282</v>
      </c>
      <c r="B252" s="8" t="s">
        <v>8499</v>
      </c>
      <c r="C252" s="8" t="s">
        <v>8511</v>
      </c>
      <c r="D252" s="8" t="s">
        <v>8512</v>
      </c>
    </row>
    <row r="253" spans="1:4">
      <c r="A253" s="8" t="s">
        <v>8023</v>
      </c>
      <c r="B253" s="8" t="s">
        <v>8513</v>
      </c>
      <c r="C253" s="8" t="s">
        <v>8514</v>
      </c>
      <c r="D253" s="8" t="s">
        <v>8515</v>
      </c>
    </row>
    <row r="254" spans="1:4">
      <c r="A254" s="8" t="s">
        <v>8023</v>
      </c>
      <c r="B254" s="8" t="s">
        <v>8513</v>
      </c>
      <c r="C254" s="8" t="s">
        <v>8516</v>
      </c>
      <c r="D254" s="8" t="s">
        <v>8517</v>
      </c>
    </row>
    <row r="255" spans="1:4">
      <c r="A255" s="8" t="s">
        <v>8023</v>
      </c>
      <c r="B255" s="8" t="s">
        <v>8513</v>
      </c>
      <c r="C255" s="8" t="s">
        <v>8518</v>
      </c>
      <c r="D255" s="8" t="s">
        <v>8519</v>
      </c>
    </row>
    <row r="256" spans="1:4">
      <c r="A256" s="8" t="s">
        <v>8023</v>
      </c>
      <c r="B256" s="8" t="s">
        <v>8513</v>
      </c>
      <c r="C256" s="8" t="s">
        <v>8520</v>
      </c>
      <c r="D256" s="8" t="s">
        <v>8521</v>
      </c>
    </row>
    <row r="257" spans="1:4">
      <c r="A257" s="8" t="s">
        <v>8023</v>
      </c>
      <c r="B257" s="8" t="s">
        <v>8513</v>
      </c>
      <c r="C257" s="8" t="s">
        <v>8522</v>
      </c>
      <c r="D257" s="8" t="s">
        <v>8523</v>
      </c>
    </row>
    <row r="258" spans="1:4">
      <c r="A258" s="8" t="s">
        <v>8023</v>
      </c>
      <c r="B258" s="8" t="s">
        <v>8513</v>
      </c>
      <c r="C258" s="8" t="s">
        <v>8524</v>
      </c>
      <c r="D258" s="8" t="s">
        <v>8525</v>
      </c>
    </row>
    <row r="259" spans="1:4">
      <c r="A259" s="8" t="s">
        <v>8023</v>
      </c>
      <c r="B259" s="8" t="s">
        <v>8513</v>
      </c>
      <c r="C259" s="8" t="s">
        <v>8526</v>
      </c>
      <c r="D259" s="8" t="s">
        <v>8527</v>
      </c>
    </row>
    <row r="260" spans="1:4">
      <c r="A260" s="8" t="s">
        <v>8023</v>
      </c>
      <c r="B260" s="8" t="s">
        <v>8513</v>
      </c>
      <c r="C260" s="8" t="s">
        <v>8528</v>
      </c>
      <c r="D260" s="8" t="s">
        <v>8529</v>
      </c>
    </row>
    <row r="261" spans="1:4">
      <c r="A261" s="8" t="s">
        <v>8023</v>
      </c>
      <c r="B261" s="8" t="s">
        <v>8513</v>
      </c>
      <c r="C261" s="8" t="s">
        <v>8530</v>
      </c>
      <c r="D261" s="8" t="s">
        <v>8531</v>
      </c>
    </row>
    <row r="262" spans="1:4">
      <c r="A262" s="8" t="s">
        <v>8023</v>
      </c>
      <c r="B262" s="8" t="s">
        <v>8513</v>
      </c>
      <c r="C262" s="8" t="s">
        <v>8532</v>
      </c>
      <c r="D262" s="8" t="s">
        <v>8533</v>
      </c>
    </row>
    <row r="263" spans="1:4">
      <c r="A263" s="8" t="s">
        <v>8023</v>
      </c>
      <c r="B263" s="8" t="s">
        <v>8513</v>
      </c>
      <c r="C263" s="8" t="s">
        <v>8534</v>
      </c>
      <c r="D263" s="8" t="s">
        <v>8535</v>
      </c>
    </row>
    <row r="264" spans="1:4">
      <c r="A264" s="8" t="s">
        <v>8023</v>
      </c>
      <c r="B264" s="8" t="s">
        <v>8513</v>
      </c>
      <c r="C264" s="8" t="s">
        <v>8536</v>
      </c>
      <c r="D264" s="8" t="s">
        <v>8537</v>
      </c>
    </row>
    <row r="265" spans="1:4">
      <c r="A265" s="8" t="s">
        <v>8023</v>
      </c>
      <c r="B265" s="8" t="s">
        <v>8513</v>
      </c>
      <c r="C265" s="8" t="s">
        <v>8538</v>
      </c>
      <c r="D265" s="8" t="s">
        <v>8539</v>
      </c>
    </row>
    <row r="266" spans="1:4">
      <c r="A266" s="8" t="s">
        <v>8023</v>
      </c>
      <c r="B266" s="8" t="s">
        <v>8513</v>
      </c>
      <c r="C266" s="8" t="s">
        <v>8540</v>
      </c>
      <c r="D266" s="8" t="s">
        <v>8541</v>
      </c>
    </row>
    <row r="267" spans="1:4">
      <c r="A267" s="8" t="s">
        <v>8023</v>
      </c>
      <c r="B267" s="8" t="s">
        <v>8513</v>
      </c>
      <c r="C267" s="8" t="s">
        <v>8542</v>
      </c>
      <c r="D267" s="8" t="s">
        <v>8543</v>
      </c>
    </row>
    <row r="268" spans="1:4">
      <c r="A268" s="8" t="s">
        <v>8023</v>
      </c>
      <c r="B268" s="8" t="s">
        <v>8513</v>
      </c>
      <c r="C268" s="8" t="s">
        <v>8544</v>
      </c>
      <c r="D268" s="8" t="s">
        <v>8545</v>
      </c>
    </row>
    <row r="269" spans="1:4">
      <c r="A269" s="8" t="s">
        <v>8023</v>
      </c>
      <c r="B269" s="8" t="s">
        <v>8513</v>
      </c>
      <c r="C269" s="8" t="s">
        <v>8546</v>
      </c>
      <c r="D269" s="8" t="s">
        <v>8547</v>
      </c>
    </row>
    <row r="270" spans="1:4">
      <c r="A270" s="8" t="s">
        <v>8023</v>
      </c>
      <c r="B270" s="8" t="s">
        <v>8513</v>
      </c>
      <c r="C270" s="8" t="s">
        <v>8548</v>
      </c>
      <c r="D270" s="8" t="s">
        <v>8549</v>
      </c>
    </row>
    <row r="271" spans="1:4">
      <c r="A271" s="8" t="s">
        <v>8023</v>
      </c>
      <c r="B271" s="8" t="s">
        <v>8513</v>
      </c>
      <c r="C271" s="8" t="s">
        <v>8550</v>
      </c>
      <c r="D271" s="8" t="s">
        <v>8551</v>
      </c>
    </row>
    <row r="272" spans="1:4">
      <c r="A272" s="8" t="s">
        <v>8023</v>
      </c>
      <c r="B272" s="8" t="s">
        <v>8513</v>
      </c>
      <c r="C272" s="8" t="s">
        <v>8552</v>
      </c>
      <c r="D272" s="8" t="s">
        <v>8553</v>
      </c>
    </row>
    <row r="273" spans="1:4">
      <c r="A273" s="8" t="s">
        <v>8026</v>
      </c>
      <c r="B273" s="8" t="s">
        <v>8554</v>
      </c>
      <c r="C273" s="8" t="s">
        <v>8555</v>
      </c>
      <c r="D273" s="8" t="s">
        <v>8556</v>
      </c>
    </row>
    <row r="274" spans="1:4">
      <c r="A274" s="8" t="s">
        <v>8026</v>
      </c>
      <c r="B274" s="8" t="s">
        <v>8554</v>
      </c>
      <c r="C274" s="8" t="s">
        <v>8557</v>
      </c>
      <c r="D274" s="8" t="s">
        <v>8558</v>
      </c>
    </row>
    <row r="275" spans="1:4">
      <c r="A275" s="8" t="s">
        <v>8026</v>
      </c>
      <c r="B275" s="8" t="s">
        <v>8554</v>
      </c>
      <c r="C275" s="8" t="s">
        <v>8559</v>
      </c>
      <c r="D275" s="8" t="s">
        <v>8560</v>
      </c>
    </row>
    <row r="276" spans="1:4">
      <c r="A276" s="8" t="s">
        <v>8026</v>
      </c>
      <c r="B276" s="8" t="s">
        <v>8554</v>
      </c>
      <c r="C276" s="8" t="s">
        <v>8561</v>
      </c>
      <c r="D276" s="8" t="s">
        <v>8562</v>
      </c>
    </row>
    <row r="277" spans="1:4">
      <c r="A277" s="8" t="s">
        <v>8026</v>
      </c>
      <c r="B277" s="8" t="s">
        <v>8554</v>
      </c>
      <c r="C277" s="8" t="s">
        <v>8563</v>
      </c>
      <c r="D277" s="8" t="s">
        <v>8564</v>
      </c>
    </row>
    <row r="278" spans="1:4">
      <c r="A278" s="8" t="s">
        <v>8028</v>
      </c>
      <c r="B278" s="8" t="s">
        <v>8565</v>
      </c>
      <c r="C278" s="8" t="s">
        <v>8566</v>
      </c>
      <c r="D278" s="8" t="s">
        <v>8567</v>
      </c>
    </row>
    <row r="279" spans="1:4">
      <c r="A279" s="8" t="s">
        <v>8028</v>
      </c>
      <c r="B279" s="8" t="s">
        <v>8565</v>
      </c>
      <c r="C279" s="8" t="s">
        <v>8568</v>
      </c>
      <c r="D279" s="8" t="s">
        <v>8569</v>
      </c>
    </row>
    <row r="280" spans="1:4">
      <c r="A280" s="8" t="s">
        <v>8031</v>
      </c>
      <c r="B280" s="8" t="s">
        <v>8570</v>
      </c>
      <c r="C280" s="8" t="s">
        <v>8571</v>
      </c>
      <c r="D280" s="8" t="s">
        <v>8572</v>
      </c>
    </row>
    <row r="281" spans="1:4">
      <c r="A281" s="8" t="s">
        <v>8031</v>
      </c>
      <c r="B281" s="8" t="s">
        <v>8570</v>
      </c>
      <c r="C281" s="8" t="s">
        <v>8573</v>
      </c>
      <c r="D281" s="8" t="s">
        <v>8574</v>
      </c>
    </row>
  </sheetData>
  <phoneticPr fontId="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F965E-8478-A143-8023-3D167F473ADF}">
  <dimension ref="A1:F257"/>
  <sheetViews>
    <sheetView zoomScale="90" zoomScaleNormal="90" workbookViewId="0">
      <selection activeCell="F2" sqref="F2"/>
    </sheetView>
  </sheetViews>
  <sheetFormatPr baseColWidth="10" defaultRowHeight="16"/>
  <cols>
    <col min="2" max="2" width="31.33203125" customWidth="1"/>
    <col min="3" max="3" width="15.5" customWidth="1"/>
  </cols>
  <sheetData>
    <row r="1" spans="1:6">
      <c r="A1" s="435" t="s">
        <v>8033</v>
      </c>
      <c r="B1" s="435" t="s">
        <v>8034</v>
      </c>
      <c r="C1" s="435" t="s">
        <v>8035</v>
      </c>
      <c r="D1" s="435" t="s">
        <v>8036</v>
      </c>
      <c r="E1" s="163" t="s">
        <v>8575</v>
      </c>
      <c r="F1" s="163" t="s">
        <v>8576</v>
      </c>
    </row>
    <row r="2" spans="1:6">
      <c r="A2" s="8" t="s">
        <v>7945</v>
      </c>
      <c r="B2" s="8" t="s">
        <v>8037</v>
      </c>
      <c r="C2" s="434">
        <v>845110</v>
      </c>
      <c r="D2" s="8" t="s">
        <v>8038</v>
      </c>
      <c r="E2" s="8"/>
      <c r="F2" s="8">
        <v>28942250</v>
      </c>
    </row>
    <row r="3" spans="1:6">
      <c r="A3" s="8" t="s">
        <v>7945</v>
      </c>
      <c r="B3" s="8" t="s">
        <v>8037</v>
      </c>
      <c r="C3" s="434">
        <v>845130</v>
      </c>
      <c r="D3" s="8" t="s">
        <v>8039</v>
      </c>
      <c r="E3" s="8"/>
      <c r="F3" s="8">
        <v>28942130</v>
      </c>
    </row>
    <row r="4" spans="1:6">
      <c r="A4" s="8" t="s">
        <v>277</v>
      </c>
      <c r="B4" s="8" t="s">
        <v>327</v>
      </c>
      <c r="C4" s="434" t="s">
        <v>8040</v>
      </c>
      <c r="D4" s="8" t="s">
        <v>8041</v>
      </c>
      <c r="E4" s="8"/>
      <c r="F4" s="8">
        <v>28295000</v>
      </c>
    </row>
    <row r="5" spans="1:6">
      <c r="A5" s="8" t="s">
        <v>7947</v>
      </c>
      <c r="B5" s="8" t="s">
        <v>8042</v>
      </c>
      <c r="C5" s="434" t="s">
        <v>8043</v>
      </c>
      <c r="D5" s="8" t="s">
        <v>8044</v>
      </c>
      <c r="E5" s="8"/>
      <c r="F5" s="8">
        <v>27512810</v>
      </c>
    </row>
    <row r="6" spans="1:6">
      <c r="A6" s="8" t="s">
        <v>279</v>
      </c>
      <c r="B6" s="8" t="s">
        <v>7949</v>
      </c>
      <c r="C6" s="434" t="s">
        <v>8045</v>
      </c>
      <c r="D6" s="8" t="s">
        <v>8046</v>
      </c>
      <c r="E6" s="8"/>
      <c r="F6" s="8">
        <v>27511300</v>
      </c>
    </row>
    <row r="7" spans="1:6">
      <c r="A7" s="8" t="s">
        <v>279</v>
      </c>
      <c r="B7" s="8" t="s">
        <v>7949</v>
      </c>
      <c r="C7" s="434" t="s">
        <v>8047</v>
      </c>
      <c r="D7" s="8" t="s">
        <v>8048</v>
      </c>
      <c r="E7" s="8"/>
      <c r="F7" s="8"/>
    </row>
    <row r="8" spans="1:6">
      <c r="A8" s="8" t="s">
        <v>279</v>
      </c>
      <c r="B8" s="8" t="s">
        <v>7949</v>
      </c>
      <c r="C8" s="434" t="s">
        <v>8049</v>
      </c>
      <c r="D8" s="8" t="s">
        <v>8050</v>
      </c>
      <c r="E8" s="8"/>
      <c r="F8" s="8"/>
    </row>
    <row r="9" spans="1:6">
      <c r="A9" s="8" t="s">
        <v>279</v>
      </c>
      <c r="B9" s="8" t="s">
        <v>7949</v>
      </c>
      <c r="C9" s="434" t="s">
        <v>8051</v>
      </c>
      <c r="D9" s="8" t="s">
        <v>8052</v>
      </c>
      <c r="E9" s="8"/>
      <c r="F9" s="8"/>
    </row>
    <row r="10" spans="1:6">
      <c r="A10" s="8" t="s">
        <v>7950</v>
      </c>
      <c r="B10" s="8" t="s">
        <v>7951</v>
      </c>
      <c r="C10" s="434" t="s">
        <v>8053</v>
      </c>
      <c r="D10" s="8" t="s">
        <v>8054</v>
      </c>
      <c r="E10" s="8"/>
      <c r="F10" s="8"/>
    </row>
    <row r="11" spans="1:6">
      <c r="A11" s="8" t="s">
        <v>7950</v>
      </c>
      <c r="B11" s="8" t="s">
        <v>7951</v>
      </c>
      <c r="C11" s="434" t="s">
        <v>8055</v>
      </c>
      <c r="D11" s="8" t="s">
        <v>8056</v>
      </c>
      <c r="E11" s="8"/>
      <c r="F11" s="8">
        <v>27511300</v>
      </c>
    </row>
    <row r="12" spans="1:6">
      <c r="A12" s="8" t="s">
        <v>7950</v>
      </c>
      <c r="B12" s="8" t="s">
        <v>7951</v>
      </c>
      <c r="C12" s="434" t="s">
        <v>8057</v>
      </c>
      <c r="D12" s="8" t="s">
        <v>8058</v>
      </c>
      <c r="E12" s="8"/>
      <c r="F12" s="8"/>
    </row>
    <row r="13" spans="1:6">
      <c r="A13" s="8" t="s">
        <v>280</v>
      </c>
      <c r="B13" s="8" t="s">
        <v>8059</v>
      </c>
      <c r="C13" s="434">
        <v>841460</v>
      </c>
      <c r="D13" s="8" t="s">
        <v>8060</v>
      </c>
      <c r="E13" s="8"/>
      <c r="F13" s="8">
        <v>27511580</v>
      </c>
    </row>
    <row r="14" spans="1:6">
      <c r="A14" s="8" t="s">
        <v>280</v>
      </c>
      <c r="B14" s="8" t="s">
        <v>8059</v>
      </c>
      <c r="C14" s="434">
        <v>851621</v>
      </c>
      <c r="D14" s="8" t="s">
        <v>8061</v>
      </c>
      <c r="E14" s="8"/>
      <c r="F14" s="8">
        <v>27512630</v>
      </c>
    </row>
    <row r="15" spans="1:6">
      <c r="A15" s="8" t="s">
        <v>280</v>
      </c>
      <c r="B15" s="8" t="s">
        <v>8059</v>
      </c>
      <c r="C15" s="434" t="s">
        <v>8577</v>
      </c>
      <c r="D15" s="8" t="s">
        <v>8062</v>
      </c>
      <c r="E15" s="8"/>
      <c r="F15" s="8">
        <v>27512650</v>
      </c>
    </row>
    <row r="16" spans="1:6">
      <c r="A16" s="8" t="s">
        <v>266</v>
      </c>
      <c r="B16" s="8" t="s">
        <v>7953</v>
      </c>
      <c r="C16" s="8" t="s">
        <v>8063</v>
      </c>
      <c r="D16" s="8" t="s">
        <v>8064</v>
      </c>
      <c r="E16" s="8"/>
      <c r="F16" s="8">
        <v>27511110</v>
      </c>
    </row>
    <row r="17" spans="1:6">
      <c r="A17" s="8" t="s">
        <v>266</v>
      </c>
      <c r="B17" s="8" t="s">
        <v>7953</v>
      </c>
      <c r="C17" s="8" t="s">
        <v>8065</v>
      </c>
      <c r="D17" s="8" t="s">
        <v>8066</v>
      </c>
      <c r="E17" s="8"/>
      <c r="F17" s="8">
        <v>27511133</v>
      </c>
    </row>
    <row r="18" spans="1:6">
      <c r="A18" s="8" t="s">
        <v>266</v>
      </c>
      <c r="B18" s="8" t="s">
        <v>7953</v>
      </c>
      <c r="C18" s="8" t="s">
        <v>8067</v>
      </c>
      <c r="D18" s="8" t="s">
        <v>8068</v>
      </c>
      <c r="E18" s="8"/>
      <c r="F18" s="8"/>
    </row>
    <row r="19" spans="1:6">
      <c r="A19" s="8" t="s">
        <v>266</v>
      </c>
      <c r="B19" s="8" t="s">
        <v>7953</v>
      </c>
      <c r="C19" s="8" t="s">
        <v>8069</v>
      </c>
      <c r="D19" s="8" t="s">
        <v>8070</v>
      </c>
      <c r="E19" s="8"/>
      <c r="F19" s="8">
        <v>27511133</v>
      </c>
    </row>
    <row r="20" spans="1:6">
      <c r="A20" s="8" t="s">
        <v>7955</v>
      </c>
      <c r="B20" s="8" t="s">
        <v>338</v>
      </c>
      <c r="C20" s="8" t="s">
        <v>8071</v>
      </c>
      <c r="D20" s="8" t="s">
        <v>8072</v>
      </c>
      <c r="E20" s="8"/>
      <c r="F20" s="8">
        <v>27511150</v>
      </c>
    </row>
    <row r="21" spans="1:6">
      <c r="A21" s="8" t="s">
        <v>7955</v>
      </c>
      <c r="B21" s="8" t="s">
        <v>338</v>
      </c>
      <c r="C21" s="8" t="s">
        <v>8073</v>
      </c>
      <c r="D21" s="8" t="s">
        <v>8074</v>
      </c>
      <c r="E21" s="8"/>
      <c r="F21" s="8">
        <v>27511170</v>
      </c>
    </row>
    <row r="22" spans="1:6">
      <c r="A22" s="8" t="s">
        <v>268</v>
      </c>
      <c r="B22" s="8" t="s">
        <v>7956</v>
      </c>
      <c r="C22" s="8" t="s">
        <v>8075</v>
      </c>
      <c r="D22" s="8" t="s">
        <v>8076</v>
      </c>
      <c r="E22" s="8"/>
      <c r="F22" s="8"/>
    </row>
    <row r="23" spans="1:6">
      <c r="A23" s="8" t="s">
        <v>268</v>
      </c>
      <c r="B23" s="8" t="s">
        <v>7956</v>
      </c>
      <c r="C23" s="8" t="s">
        <v>8077</v>
      </c>
      <c r="D23" s="8" t="s">
        <v>8078</v>
      </c>
      <c r="E23" s="8"/>
      <c r="F23" s="8"/>
    </row>
    <row r="24" spans="1:6">
      <c r="A24" s="8" t="s">
        <v>268</v>
      </c>
      <c r="B24" s="8" t="s">
        <v>7956</v>
      </c>
      <c r="C24" s="8" t="s">
        <v>8079</v>
      </c>
      <c r="D24" s="8" t="s">
        <v>8080</v>
      </c>
      <c r="E24" s="8"/>
      <c r="F24" s="8"/>
    </row>
    <row r="25" spans="1:6">
      <c r="A25" s="8" t="s">
        <v>269</v>
      </c>
      <c r="B25" s="8" t="s">
        <v>8081</v>
      </c>
      <c r="C25" s="8" t="s">
        <v>8082</v>
      </c>
      <c r="D25" s="8" t="s">
        <v>8083</v>
      </c>
      <c r="E25" s="8"/>
      <c r="F25" s="8"/>
    </row>
    <row r="26" spans="1:6">
      <c r="A26" s="8" t="s">
        <v>270</v>
      </c>
      <c r="B26" s="8" t="s">
        <v>8084</v>
      </c>
      <c r="C26" s="8" t="s">
        <v>8085</v>
      </c>
      <c r="D26" s="8" t="s">
        <v>8086</v>
      </c>
      <c r="E26" s="8"/>
      <c r="F26" s="8">
        <v>28251270</v>
      </c>
    </row>
    <row r="27" spans="1:6">
      <c r="A27" s="8" t="s">
        <v>270</v>
      </c>
      <c r="B27" s="8" t="s">
        <v>8084</v>
      </c>
      <c r="C27" s="8" t="s">
        <v>8087</v>
      </c>
      <c r="D27" s="8" t="s">
        <v>8088</v>
      </c>
      <c r="E27" s="8"/>
      <c r="F27" s="8" t="s">
        <v>8578</v>
      </c>
    </row>
    <row r="28" spans="1:6">
      <c r="A28" s="8" t="s">
        <v>270</v>
      </c>
      <c r="B28" s="8" t="s">
        <v>8084</v>
      </c>
      <c r="C28" s="8" t="s">
        <v>8089</v>
      </c>
      <c r="D28" s="8" t="s">
        <v>8090</v>
      </c>
      <c r="E28" s="8"/>
      <c r="F28" s="8">
        <v>28251390</v>
      </c>
    </row>
    <row r="29" spans="1:6">
      <c r="A29" s="8" t="s">
        <v>7959</v>
      </c>
      <c r="B29" s="8" t="s">
        <v>7960</v>
      </c>
      <c r="C29" s="8" t="s">
        <v>8091</v>
      </c>
      <c r="D29" s="8" t="s">
        <v>8092</v>
      </c>
      <c r="E29" s="8"/>
      <c r="F29" s="8"/>
    </row>
    <row r="30" spans="1:6">
      <c r="A30" s="8" t="s">
        <v>283</v>
      </c>
      <c r="B30" s="8" t="s">
        <v>8093</v>
      </c>
      <c r="C30" s="8" t="s">
        <v>8094</v>
      </c>
      <c r="D30" s="8" t="s">
        <v>8095</v>
      </c>
      <c r="E30" s="8"/>
      <c r="F30" s="8"/>
    </row>
    <row r="31" spans="1:6">
      <c r="A31" s="8" t="s">
        <v>283</v>
      </c>
      <c r="B31" s="8" t="s">
        <v>8093</v>
      </c>
      <c r="C31" s="8" t="s">
        <v>8096</v>
      </c>
      <c r="D31" s="8" t="s">
        <v>8097</v>
      </c>
      <c r="E31" s="8"/>
      <c r="F31" s="8"/>
    </row>
    <row r="32" spans="1:6">
      <c r="A32" s="8" t="s">
        <v>283</v>
      </c>
      <c r="B32" s="8" t="s">
        <v>8093</v>
      </c>
      <c r="C32" s="8" t="s">
        <v>8098</v>
      </c>
      <c r="D32" s="8" t="s">
        <v>8099</v>
      </c>
      <c r="E32" s="8"/>
      <c r="F32" s="8">
        <v>28293200</v>
      </c>
    </row>
    <row r="33" spans="1:6">
      <c r="A33" s="8" t="s">
        <v>283</v>
      </c>
      <c r="B33" s="8" t="s">
        <v>8093</v>
      </c>
      <c r="C33" s="8" t="s">
        <v>8100</v>
      </c>
      <c r="D33" s="8" t="s">
        <v>8101</v>
      </c>
      <c r="E33" s="8"/>
      <c r="F33" s="8">
        <v>28944000</v>
      </c>
    </row>
    <row r="34" spans="1:6">
      <c r="A34" s="8" t="s">
        <v>283</v>
      </c>
      <c r="B34" s="8" t="s">
        <v>8093</v>
      </c>
      <c r="C34" s="8" t="s">
        <v>8102</v>
      </c>
      <c r="D34" s="8" t="s">
        <v>8103</v>
      </c>
      <c r="E34" s="8"/>
      <c r="F34" s="8"/>
    </row>
    <row r="35" spans="1:6">
      <c r="A35" s="8" t="s">
        <v>283</v>
      </c>
      <c r="B35" s="8" t="s">
        <v>8093</v>
      </c>
      <c r="C35" s="8" t="s">
        <v>8104</v>
      </c>
      <c r="D35" s="8" t="s">
        <v>8105</v>
      </c>
      <c r="E35" s="8"/>
      <c r="F35" s="8"/>
    </row>
    <row r="36" spans="1:6">
      <c r="A36" s="8" t="s">
        <v>283</v>
      </c>
      <c r="B36" s="8" t="s">
        <v>8093</v>
      </c>
      <c r="C36" s="8" t="s">
        <v>8106</v>
      </c>
      <c r="D36" s="8" t="s">
        <v>8107</v>
      </c>
      <c r="E36" s="8"/>
      <c r="F36" s="8"/>
    </row>
    <row r="37" spans="1:6">
      <c r="A37" s="8" t="s">
        <v>283</v>
      </c>
      <c r="B37" s="8" t="s">
        <v>8093</v>
      </c>
      <c r="C37" s="8" t="s">
        <v>8108</v>
      </c>
      <c r="D37" s="8" t="s">
        <v>8109</v>
      </c>
      <c r="E37" s="8"/>
      <c r="F37" s="8"/>
    </row>
    <row r="38" spans="1:6">
      <c r="A38" s="8" t="s">
        <v>283</v>
      </c>
      <c r="B38" s="8" t="s">
        <v>8093</v>
      </c>
      <c r="C38" s="8" t="s">
        <v>8110</v>
      </c>
      <c r="D38" s="8" t="s">
        <v>8111</v>
      </c>
      <c r="E38" s="8"/>
      <c r="F38" s="8"/>
    </row>
    <row r="39" spans="1:6">
      <c r="A39" s="8" t="s">
        <v>283</v>
      </c>
      <c r="B39" s="8" t="s">
        <v>8093</v>
      </c>
      <c r="C39" s="8" t="s">
        <v>8112</v>
      </c>
      <c r="D39" s="8" t="s">
        <v>8113</v>
      </c>
      <c r="E39" s="8"/>
      <c r="F39" s="8"/>
    </row>
    <row r="40" spans="1:6">
      <c r="A40" s="8" t="s">
        <v>283</v>
      </c>
      <c r="B40" s="8" t="s">
        <v>8093</v>
      </c>
      <c r="C40" s="8" t="s">
        <v>8114</v>
      </c>
      <c r="D40" s="8" t="s">
        <v>8115</v>
      </c>
      <c r="E40" s="8"/>
      <c r="F40" s="8"/>
    </row>
    <row r="41" spans="1:6">
      <c r="A41" s="8" t="s">
        <v>283</v>
      </c>
      <c r="B41" s="8" t="s">
        <v>8093</v>
      </c>
      <c r="C41" s="8" t="s">
        <v>8116</v>
      </c>
      <c r="D41" s="8" t="s">
        <v>8117</v>
      </c>
      <c r="E41" s="8"/>
      <c r="F41" s="8"/>
    </row>
    <row r="42" spans="1:6">
      <c r="A42" s="8" t="s">
        <v>283</v>
      </c>
      <c r="B42" s="8" t="s">
        <v>8093</v>
      </c>
      <c r="C42" s="8" t="s">
        <v>8118</v>
      </c>
      <c r="D42" s="8" t="s">
        <v>8119</v>
      </c>
      <c r="E42" s="8"/>
      <c r="F42" s="8"/>
    </row>
    <row r="43" spans="1:6">
      <c r="A43" s="8" t="s">
        <v>283</v>
      </c>
      <c r="B43" s="8" t="s">
        <v>8093</v>
      </c>
      <c r="C43" s="8" t="s">
        <v>8120</v>
      </c>
      <c r="D43" s="8" t="s">
        <v>8121</v>
      </c>
      <c r="E43" s="8"/>
      <c r="F43" s="8"/>
    </row>
    <row r="44" spans="1:6">
      <c r="A44" s="8" t="s">
        <v>283</v>
      </c>
      <c r="B44" s="8" t="s">
        <v>8093</v>
      </c>
      <c r="C44" s="8" t="s">
        <v>8122</v>
      </c>
      <c r="D44" s="8" t="s">
        <v>8123</v>
      </c>
      <c r="E44" s="8"/>
      <c r="F44" s="8"/>
    </row>
    <row r="45" spans="1:6">
      <c r="A45" s="8" t="s">
        <v>283</v>
      </c>
      <c r="B45" s="8" t="s">
        <v>8093</v>
      </c>
      <c r="C45" s="8" t="s">
        <v>8124</v>
      </c>
      <c r="D45" s="8" t="s">
        <v>8125</v>
      </c>
      <c r="E45" s="8"/>
      <c r="F45" s="8"/>
    </row>
    <row r="46" spans="1:6">
      <c r="A46" s="8" t="s">
        <v>283</v>
      </c>
      <c r="B46" s="8" t="s">
        <v>8093</v>
      </c>
      <c r="C46" s="8" t="s">
        <v>8126</v>
      </c>
      <c r="D46" s="8" t="s">
        <v>8127</v>
      </c>
      <c r="E46" s="8"/>
      <c r="F46" s="8"/>
    </row>
    <row r="47" spans="1:6">
      <c r="A47" s="8" t="s">
        <v>283</v>
      </c>
      <c r="B47" s="8" t="s">
        <v>8093</v>
      </c>
      <c r="C47" s="8" t="s">
        <v>8128</v>
      </c>
      <c r="D47" s="8" t="s">
        <v>8129</v>
      </c>
      <c r="E47" s="8"/>
      <c r="F47" s="8"/>
    </row>
    <row r="48" spans="1:6">
      <c r="A48" s="8" t="s">
        <v>283</v>
      </c>
      <c r="B48" s="8" t="s">
        <v>8093</v>
      </c>
      <c r="C48" s="8" t="s">
        <v>8130</v>
      </c>
      <c r="D48" s="8" t="s">
        <v>8131</v>
      </c>
      <c r="E48" s="8"/>
      <c r="F48" s="8"/>
    </row>
    <row r="49" spans="1:6">
      <c r="A49" s="8" t="s">
        <v>283</v>
      </c>
      <c r="B49" s="8" t="s">
        <v>8093</v>
      </c>
      <c r="C49" s="8" t="s">
        <v>8132</v>
      </c>
      <c r="D49" s="8" t="s">
        <v>8133</v>
      </c>
      <c r="E49" s="8"/>
      <c r="F49" s="8"/>
    </row>
    <row r="50" spans="1:6">
      <c r="A50" s="8" t="s">
        <v>283</v>
      </c>
      <c r="B50" s="8" t="s">
        <v>8093</v>
      </c>
      <c r="C50" s="8" t="s">
        <v>8134</v>
      </c>
      <c r="D50" s="8" t="s">
        <v>8135</v>
      </c>
      <c r="E50" s="8"/>
      <c r="F50" s="8"/>
    </row>
    <row r="51" spans="1:6">
      <c r="A51" s="8" t="s">
        <v>283</v>
      </c>
      <c r="B51" s="8" t="s">
        <v>8093</v>
      </c>
      <c r="C51" s="8" t="s">
        <v>8136</v>
      </c>
      <c r="D51" s="8" t="s">
        <v>8137</v>
      </c>
      <c r="E51" s="8"/>
      <c r="F51" s="8"/>
    </row>
    <row r="52" spans="1:6">
      <c r="A52" s="8" t="s">
        <v>283</v>
      </c>
      <c r="B52" s="8" t="s">
        <v>8093</v>
      </c>
      <c r="C52" s="8" t="s">
        <v>8138</v>
      </c>
      <c r="D52" s="8" t="s">
        <v>8139</v>
      </c>
      <c r="E52" s="8"/>
      <c r="F52" s="8"/>
    </row>
    <row r="53" spans="1:6">
      <c r="A53" s="8" t="s">
        <v>283</v>
      </c>
      <c r="B53" s="8" t="s">
        <v>8093</v>
      </c>
      <c r="C53" s="8" t="s">
        <v>8140</v>
      </c>
      <c r="D53" s="8" t="s">
        <v>8141</v>
      </c>
      <c r="E53" s="8"/>
      <c r="F53" s="8"/>
    </row>
    <row r="54" spans="1:6">
      <c r="A54" s="8" t="s">
        <v>283</v>
      </c>
      <c r="B54" s="8" t="s">
        <v>8093</v>
      </c>
      <c r="C54" s="8" t="s">
        <v>8142</v>
      </c>
      <c r="D54" s="8" t="s">
        <v>8143</v>
      </c>
      <c r="E54" s="8"/>
      <c r="F54" s="8"/>
    </row>
    <row r="55" spans="1:6">
      <c r="A55" s="8" t="s">
        <v>283</v>
      </c>
      <c r="B55" s="8" t="s">
        <v>8093</v>
      </c>
      <c r="C55" s="8" t="s">
        <v>8144</v>
      </c>
      <c r="D55" s="8" t="s">
        <v>8145</v>
      </c>
      <c r="E55" s="8"/>
      <c r="F55" s="8"/>
    </row>
    <row r="56" spans="1:6">
      <c r="A56" s="8" t="s">
        <v>283</v>
      </c>
      <c r="B56" s="8" t="s">
        <v>8093</v>
      </c>
      <c r="C56" s="8" t="s">
        <v>8146</v>
      </c>
      <c r="D56" s="8" t="s">
        <v>8147</v>
      </c>
      <c r="E56" s="8"/>
      <c r="F56" s="8"/>
    </row>
    <row r="57" spans="1:6">
      <c r="A57" s="8" t="s">
        <v>283</v>
      </c>
      <c r="B57" s="8" t="s">
        <v>8093</v>
      </c>
      <c r="C57" s="8" t="s">
        <v>8148</v>
      </c>
      <c r="D57" s="8" t="s">
        <v>8149</v>
      </c>
      <c r="E57" s="8"/>
      <c r="F57" s="8"/>
    </row>
    <row r="58" spans="1:6">
      <c r="A58" s="8" t="s">
        <v>285</v>
      </c>
      <c r="B58" s="8" t="s">
        <v>8150</v>
      </c>
      <c r="C58" s="8" t="s">
        <v>8151</v>
      </c>
      <c r="D58" s="8" t="s">
        <v>8152</v>
      </c>
      <c r="E58" s="8"/>
      <c r="F58" s="8"/>
    </row>
    <row r="59" spans="1:6">
      <c r="A59" s="8" t="s">
        <v>285</v>
      </c>
      <c r="B59" s="8" t="s">
        <v>8150</v>
      </c>
      <c r="C59" s="8" t="s">
        <v>8153</v>
      </c>
      <c r="D59" s="8" t="s">
        <v>8154</v>
      </c>
      <c r="E59" s="8"/>
      <c r="F59" s="8"/>
    </row>
    <row r="60" spans="1:6">
      <c r="A60" s="8" t="s">
        <v>285</v>
      </c>
      <c r="B60" s="8" t="s">
        <v>8150</v>
      </c>
      <c r="C60" s="8" t="s">
        <v>8155</v>
      </c>
      <c r="D60" s="8" t="s">
        <v>8156</v>
      </c>
      <c r="E60" s="8"/>
      <c r="F60" s="8"/>
    </row>
    <row r="61" spans="1:6">
      <c r="A61" s="8" t="s">
        <v>286</v>
      </c>
      <c r="B61" s="8" t="s">
        <v>8157</v>
      </c>
      <c r="C61" s="8" t="s">
        <v>8158</v>
      </c>
      <c r="D61" s="8" t="s">
        <v>8159</v>
      </c>
      <c r="E61" s="8"/>
      <c r="F61" s="8"/>
    </row>
    <row r="62" spans="1:6">
      <c r="A62" s="8" t="s">
        <v>286</v>
      </c>
      <c r="B62" s="8" t="s">
        <v>8157</v>
      </c>
      <c r="C62" s="8" t="s">
        <v>8160</v>
      </c>
      <c r="D62" s="8" t="s">
        <v>8161</v>
      </c>
      <c r="E62" s="8"/>
      <c r="F62" s="8"/>
    </row>
    <row r="63" spans="1:6">
      <c r="A63" s="8" t="s">
        <v>287</v>
      </c>
      <c r="B63" s="8" t="s">
        <v>8162</v>
      </c>
      <c r="C63" s="8" t="s">
        <v>8163</v>
      </c>
      <c r="D63" s="8" t="s">
        <v>8164</v>
      </c>
      <c r="E63" s="8"/>
      <c r="F63" s="8"/>
    </row>
    <row r="64" spans="1:6">
      <c r="A64" s="8" t="s">
        <v>287</v>
      </c>
      <c r="B64" s="8" t="s">
        <v>8162</v>
      </c>
      <c r="C64" s="8" t="s">
        <v>8165</v>
      </c>
      <c r="D64" s="8" t="s">
        <v>8166</v>
      </c>
      <c r="E64" s="8"/>
      <c r="F64" s="8"/>
    </row>
    <row r="65" spans="1:6">
      <c r="A65" s="8" t="s">
        <v>287</v>
      </c>
      <c r="B65" s="8" t="s">
        <v>8162</v>
      </c>
      <c r="C65" s="8" t="s">
        <v>8167</v>
      </c>
      <c r="D65" s="8" t="s">
        <v>8168</v>
      </c>
      <c r="E65" s="8"/>
      <c r="F65" s="8"/>
    </row>
    <row r="66" spans="1:6">
      <c r="A66" s="8" t="s">
        <v>287</v>
      </c>
      <c r="B66" s="8" t="s">
        <v>8162</v>
      </c>
      <c r="C66" s="8" t="s">
        <v>8169</v>
      </c>
      <c r="D66" s="8" t="s">
        <v>8170</v>
      </c>
      <c r="E66" s="8"/>
      <c r="F66" s="8"/>
    </row>
    <row r="67" spans="1:6">
      <c r="A67" s="8" t="s">
        <v>288</v>
      </c>
      <c r="B67" s="8" t="s">
        <v>8171</v>
      </c>
      <c r="C67" s="8" t="s">
        <v>8172</v>
      </c>
      <c r="D67" s="8" t="s">
        <v>8173</v>
      </c>
      <c r="E67" s="8"/>
      <c r="F67" s="8"/>
    </row>
    <row r="68" spans="1:6">
      <c r="A68" s="8" t="s">
        <v>288</v>
      </c>
      <c r="B68" s="8" t="s">
        <v>8171</v>
      </c>
      <c r="C68" s="8" t="s">
        <v>8174</v>
      </c>
      <c r="D68" s="8" t="s">
        <v>8175</v>
      </c>
      <c r="E68" s="8"/>
      <c r="F68" s="8"/>
    </row>
    <row r="69" spans="1:6">
      <c r="A69" s="8" t="s">
        <v>288</v>
      </c>
      <c r="B69" s="8" t="s">
        <v>8171</v>
      </c>
      <c r="C69" s="8" t="s">
        <v>8176</v>
      </c>
      <c r="D69" s="8" t="s">
        <v>8177</v>
      </c>
      <c r="E69" s="8"/>
      <c r="F69" s="8"/>
    </row>
    <row r="70" spans="1:6">
      <c r="A70" s="8" t="s">
        <v>288</v>
      </c>
      <c r="B70" s="8" t="s">
        <v>8171</v>
      </c>
      <c r="C70" s="8" t="s">
        <v>8178</v>
      </c>
      <c r="D70" s="8" t="s">
        <v>8179</v>
      </c>
      <c r="E70" s="8"/>
      <c r="F70" s="8"/>
    </row>
    <row r="71" spans="1:6">
      <c r="A71" s="8" t="s">
        <v>288</v>
      </c>
      <c r="B71" s="8" t="s">
        <v>8171</v>
      </c>
      <c r="C71" s="8" t="s">
        <v>8180</v>
      </c>
      <c r="D71" s="8" t="s">
        <v>8181</v>
      </c>
      <c r="E71" s="8"/>
      <c r="F71" s="8"/>
    </row>
    <row r="72" spans="1:6">
      <c r="A72" s="8" t="s">
        <v>288</v>
      </c>
      <c r="B72" s="8" t="s">
        <v>8171</v>
      </c>
      <c r="C72" s="8" t="s">
        <v>8182</v>
      </c>
      <c r="D72" s="8" t="s">
        <v>8183</v>
      </c>
      <c r="E72" s="8"/>
      <c r="F72" s="8"/>
    </row>
    <row r="73" spans="1:6">
      <c r="A73" s="8" t="s">
        <v>7968</v>
      </c>
      <c r="B73" s="8" t="s">
        <v>8184</v>
      </c>
      <c r="C73" s="8" t="s">
        <v>8185</v>
      </c>
      <c r="D73" s="8" t="s">
        <v>8186</v>
      </c>
      <c r="E73" s="8"/>
      <c r="F73" s="8"/>
    </row>
    <row r="74" spans="1:6">
      <c r="A74" s="8" t="s">
        <v>7968</v>
      </c>
      <c r="B74" s="8" t="s">
        <v>8184</v>
      </c>
      <c r="C74" s="8" t="s">
        <v>8187</v>
      </c>
      <c r="D74" s="8" t="s">
        <v>8188</v>
      </c>
      <c r="E74" s="8"/>
      <c r="F74" s="8"/>
    </row>
    <row r="75" spans="1:6">
      <c r="A75" s="8" t="s">
        <v>7968</v>
      </c>
      <c r="B75" s="8" t="s">
        <v>8184</v>
      </c>
      <c r="C75" s="8" t="s">
        <v>8189</v>
      </c>
      <c r="D75" s="8" t="s">
        <v>8190</v>
      </c>
      <c r="E75" s="8"/>
      <c r="F75" s="8"/>
    </row>
    <row r="76" spans="1:6">
      <c r="A76" s="8" t="s">
        <v>7968</v>
      </c>
      <c r="B76" s="8" t="s">
        <v>8184</v>
      </c>
      <c r="C76" s="8" t="s">
        <v>8191</v>
      </c>
      <c r="D76" s="8" t="s">
        <v>8192</v>
      </c>
      <c r="E76" s="8"/>
      <c r="F76" s="8"/>
    </row>
    <row r="77" spans="1:6">
      <c r="A77" s="8" t="s">
        <v>7968</v>
      </c>
      <c r="B77" s="8" t="s">
        <v>8184</v>
      </c>
      <c r="C77" s="8" t="s">
        <v>8193</v>
      </c>
      <c r="D77" s="8" t="s">
        <v>8194</v>
      </c>
      <c r="E77" s="8"/>
      <c r="F77" s="8"/>
    </row>
    <row r="78" spans="1:6">
      <c r="A78" s="8" t="s">
        <v>7968</v>
      </c>
      <c r="B78" s="8" t="s">
        <v>8184</v>
      </c>
      <c r="C78" s="8" t="s">
        <v>8195</v>
      </c>
      <c r="D78" s="8" t="s">
        <v>8196</v>
      </c>
      <c r="E78" s="8"/>
      <c r="F78" s="8"/>
    </row>
    <row r="79" spans="1:6">
      <c r="A79" s="8" t="s">
        <v>7968</v>
      </c>
      <c r="B79" s="8" t="s">
        <v>8184</v>
      </c>
      <c r="C79" s="8" t="s">
        <v>8197</v>
      </c>
      <c r="D79" s="8" t="s">
        <v>8198</v>
      </c>
      <c r="E79" s="8"/>
      <c r="F79" s="8"/>
    </row>
    <row r="80" spans="1:6">
      <c r="A80" s="8" t="s">
        <v>7968</v>
      </c>
      <c r="B80" s="8" t="s">
        <v>8184</v>
      </c>
      <c r="C80" s="8" t="s">
        <v>8199</v>
      </c>
      <c r="D80" s="8" t="s">
        <v>8200</v>
      </c>
      <c r="E80" s="8"/>
      <c r="F80" s="8"/>
    </row>
    <row r="81" spans="1:6">
      <c r="A81" s="8" t="s">
        <v>7968</v>
      </c>
      <c r="B81" s="8" t="s">
        <v>8184</v>
      </c>
      <c r="C81" s="8" t="s">
        <v>8201</v>
      </c>
      <c r="D81" s="8" t="s">
        <v>8202</v>
      </c>
      <c r="E81" s="8"/>
      <c r="F81" s="8"/>
    </row>
    <row r="82" spans="1:6">
      <c r="A82" s="8" t="s">
        <v>7968</v>
      </c>
      <c r="B82" s="8" t="s">
        <v>8184</v>
      </c>
      <c r="C82" s="8" t="s">
        <v>8203</v>
      </c>
      <c r="D82" s="8" t="s">
        <v>8204</v>
      </c>
      <c r="E82" s="8"/>
      <c r="F82" s="8"/>
    </row>
    <row r="83" spans="1:6">
      <c r="A83" s="8" t="s">
        <v>7968</v>
      </c>
      <c r="B83" s="8" t="s">
        <v>8184</v>
      </c>
      <c r="C83" s="8" t="s">
        <v>8205</v>
      </c>
      <c r="D83" s="8" t="s">
        <v>8206</v>
      </c>
      <c r="E83" s="8"/>
      <c r="F83" s="8"/>
    </row>
    <row r="84" spans="1:6">
      <c r="A84" s="8" t="s">
        <v>7968</v>
      </c>
      <c r="B84" s="8" t="s">
        <v>8184</v>
      </c>
      <c r="C84" s="8" t="s">
        <v>8207</v>
      </c>
      <c r="D84" s="8" t="s">
        <v>8208</v>
      </c>
      <c r="E84" s="8"/>
      <c r="F84" s="8"/>
    </row>
    <row r="85" spans="1:6">
      <c r="A85" s="8" t="s">
        <v>295</v>
      </c>
      <c r="B85" s="8" t="s">
        <v>8209</v>
      </c>
      <c r="C85" s="8" t="s">
        <v>8210</v>
      </c>
      <c r="D85" s="8" t="s">
        <v>8211</v>
      </c>
      <c r="E85" s="8"/>
      <c r="F85" s="8"/>
    </row>
    <row r="86" spans="1:6">
      <c r="A86" s="8" t="s">
        <v>295</v>
      </c>
      <c r="B86" s="8" t="s">
        <v>8209</v>
      </c>
      <c r="C86" s="8" t="s">
        <v>8212</v>
      </c>
      <c r="D86" s="8" t="s">
        <v>8213</v>
      </c>
      <c r="E86" s="8"/>
      <c r="F86" s="8"/>
    </row>
    <row r="87" spans="1:6">
      <c r="A87" s="8" t="s">
        <v>295</v>
      </c>
      <c r="B87" s="8" t="s">
        <v>8209</v>
      </c>
      <c r="C87" s="8" t="s">
        <v>8214</v>
      </c>
      <c r="D87" s="8" t="s">
        <v>8215</v>
      </c>
      <c r="E87" s="8"/>
      <c r="F87" s="8"/>
    </row>
    <row r="88" spans="1:6">
      <c r="A88" s="8" t="s">
        <v>271</v>
      </c>
      <c r="B88" s="8" t="s">
        <v>7973</v>
      </c>
      <c r="C88" s="8" t="s">
        <v>215</v>
      </c>
      <c r="D88" s="8" t="s">
        <v>8216</v>
      </c>
      <c r="E88" s="8"/>
      <c r="F88" s="8"/>
    </row>
    <row r="89" spans="1:6">
      <c r="A89" s="8" t="s">
        <v>296</v>
      </c>
      <c r="B89" s="8" t="s">
        <v>8217</v>
      </c>
      <c r="C89" s="8" t="s">
        <v>8218</v>
      </c>
      <c r="D89" s="8" t="s">
        <v>8219</v>
      </c>
      <c r="E89" s="8"/>
      <c r="F89" s="8"/>
    </row>
    <row r="90" spans="1:6">
      <c r="A90" s="8" t="s">
        <v>296</v>
      </c>
      <c r="B90" s="8" t="s">
        <v>8217</v>
      </c>
      <c r="C90" s="8" t="s">
        <v>8220</v>
      </c>
      <c r="D90" s="8" t="s">
        <v>8221</v>
      </c>
      <c r="E90" s="8"/>
      <c r="F90" s="8"/>
    </row>
    <row r="91" spans="1:6">
      <c r="A91" s="8" t="s">
        <v>296</v>
      </c>
      <c r="B91" s="8" t="s">
        <v>8217</v>
      </c>
      <c r="C91" s="8" t="s">
        <v>8222</v>
      </c>
      <c r="D91" s="8" t="s">
        <v>8223</v>
      </c>
      <c r="E91" s="8"/>
      <c r="F91" s="8"/>
    </row>
    <row r="92" spans="1:6">
      <c r="A92" s="8" t="s">
        <v>296</v>
      </c>
      <c r="B92" s="8" t="s">
        <v>8217</v>
      </c>
      <c r="C92" s="8" t="s">
        <v>8224</v>
      </c>
      <c r="D92" s="8" t="s">
        <v>8225</v>
      </c>
      <c r="E92" s="8"/>
      <c r="F92" s="8"/>
    </row>
    <row r="93" spans="1:6">
      <c r="A93" s="8" t="s">
        <v>7976</v>
      </c>
      <c r="B93" s="8" t="s">
        <v>8226</v>
      </c>
      <c r="C93" s="8" t="s">
        <v>8227</v>
      </c>
      <c r="D93" s="8" t="s">
        <v>8228</v>
      </c>
      <c r="E93" s="8"/>
      <c r="F93" s="8"/>
    </row>
    <row r="94" spans="1:6">
      <c r="A94" s="8" t="s">
        <v>7976</v>
      </c>
      <c r="B94" s="8" t="s">
        <v>8226</v>
      </c>
      <c r="C94" s="8" t="s">
        <v>8229</v>
      </c>
      <c r="D94" s="8" t="s">
        <v>8230</v>
      </c>
      <c r="E94" s="8"/>
      <c r="F94" s="8"/>
    </row>
    <row r="95" spans="1:6">
      <c r="A95" s="8" t="s">
        <v>7976</v>
      </c>
      <c r="B95" s="8" t="s">
        <v>8226</v>
      </c>
      <c r="C95" s="8" t="s">
        <v>8231</v>
      </c>
      <c r="D95" s="8" t="s">
        <v>8232</v>
      </c>
      <c r="E95" s="8"/>
      <c r="F95" s="8"/>
    </row>
    <row r="96" spans="1:6">
      <c r="A96" s="8" t="s">
        <v>7976</v>
      </c>
      <c r="B96" s="8" t="s">
        <v>8226</v>
      </c>
      <c r="C96" s="8" t="s">
        <v>8233</v>
      </c>
      <c r="D96" s="8" t="s">
        <v>8234</v>
      </c>
      <c r="E96" s="8"/>
      <c r="F96" s="8"/>
    </row>
    <row r="97" spans="1:6">
      <c r="A97" s="8" t="s">
        <v>7976</v>
      </c>
      <c r="B97" s="8" t="s">
        <v>8226</v>
      </c>
      <c r="C97" s="8" t="s">
        <v>8235</v>
      </c>
      <c r="D97" s="8" t="s">
        <v>8236</v>
      </c>
      <c r="E97" s="8"/>
      <c r="F97" s="8"/>
    </row>
    <row r="98" spans="1:6">
      <c r="A98" s="8" t="s">
        <v>7976</v>
      </c>
      <c r="B98" s="8" t="s">
        <v>8226</v>
      </c>
      <c r="C98" s="8" t="s">
        <v>8237</v>
      </c>
      <c r="D98" s="8" t="s">
        <v>8238</v>
      </c>
      <c r="E98" s="8"/>
      <c r="F98" s="8"/>
    </row>
    <row r="99" spans="1:6">
      <c r="A99" s="8" t="s">
        <v>7976</v>
      </c>
      <c r="B99" s="8" t="s">
        <v>8226</v>
      </c>
      <c r="C99" s="8" t="s">
        <v>8239</v>
      </c>
      <c r="D99" s="8" t="s">
        <v>8240</v>
      </c>
      <c r="E99" s="8"/>
      <c r="F99" s="8"/>
    </row>
    <row r="100" spans="1:6">
      <c r="A100" s="8" t="s">
        <v>7976</v>
      </c>
      <c r="B100" s="8" t="s">
        <v>8226</v>
      </c>
      <c r="C100" s="8" t="s">
        <v>8241</v>
      </c>
      <c r="D100" s="8" t="s">
        <v>8242</v>
      </c>
      <c r="E100" s="8"/>
      <c r="F100" s="8"/>
    </row>
    <row r="101" spans="1:6">
      <c r="A101" s="8" t="s">
        <v>7976</v>
      </c>
      <c r="B101" s="8" t="s">
        <v>8226</v>
      </c>
      <c r="C101" s="8" t="s">
        <v>8243</v>
      </c>
      <c r="D101" s="8" t="s">
        <v>8244</v>
      </c>
      <c r="E101" s="8"/>
      <c r="F101" s="8"/>
    </row>
    <row r="102" spans="1:6">
      <c r="A102" s="8" t="s">
        <v>7976</v>
      </c>
      <c r="B102" s="8" t="s">
        <v>8226</v>
      </c>
      <c r="C102" s="8" t="s">
        <v>8245</v>
      </c>
      <c r="D102" s="8" t="s">
        <v>8246</v>
      </c>
      <c r="E102" s="8"/>
      <c r="F102" s="8"/>
    </row>
    <row r="103" spans="1:6">
      <c r="A103" s="8" t="s">
        <v>297</v>
      </c>
      <c r="B103" s="8" t="s">
        <v>7978</v>
      </c>
      <c r="C103" s="8" t="s">
        <v>212</v>
      </c>
      <c r="D103" s="8" t="s">
        <v>8247</v>
      </c>
      <c r="E103" s="8"/>
      <c r="F103" s="8"/>
    </row>
    <row r="104" spans="1:6">
      <c r="A104" s="8" t="s">
        <v>297</v>
      </c>
      <c r="B104" s="8" t="s">
        <v>7978</v>
      </c>
      <c r="C104" s="8" t="s">
        <v>8248</v>
      </c>
      <c r="D104" s="8" t="s">
        <v>8249</v>
      </c>
      <c r="E104" s="8"/>
      <c r="F104" s="8"/>
    </row>
    <row r="105" spans="1:6">
      <c r="A105" s="8" t="s">
        <v>297</v>
      </c>
      <c r="B105" s="8" t="s">
        <v>7978</v>
      </c>
      <c r="C105" s="8" t="s">
        <v>8250</v>
      </c>
      <c r="D105" s="8" t="s">
        <v>8242</v>
      </c>
      <c r="E105" s="8"/>
      <c r="F105" s="8"/>
    </row>
    <row r="106" spans="1:6">
      <c r="A106" s="8" t="s">
        <v>297</v>
      </c>
      <c r="B106" s="8" t="s">
        <v>7978</v>
      </c>
      <c r="C106" s="8" t="s">
        <v>8251</v>
      </c>
      <c r="D106" s="8" t="s">
        <v>8252</v>
      </c>
      <c r="E106" s="8"/>
      <c r="F106" s="8"/>
    </row>
    <row r="107" spans="1:6">
      <c r="A107" s="8" t="s">
        <v>281</v>
      </c>
      <c r="B107" s="8" t="s">
        <v>8253</v>
      </c>
      <c r="C107" s="8" t="s">
        <v>8254</v>
      </c>
      <c r="D107" s="8" t="s">
        <v>8255</v>
      </c>
      <c r="E107" s="8"/>
      <c r="F107" s="8"/>
    </row>
    <row r="108" spans="1:6">
      <c r="A108" s="8" t="s">
        <v>281</v>
      </c>
      <c r="B108" s="8" t="s">
        <v>8253</v>
      </c>
      <c r="C108" s="8" t="s">
        <v>8256</v>
      </c>
      <c r="D108" s="8" t="s">
        <v>8257</v>
      </c>
      <c r="E108" s="8"/>
      <c r="F108" s="8"/>
    </row>
    <row r="109" spans="1:6">
      <c r="A109" s="8" t="s">
        <v>281</v>
      </c>
      <c r="B109" s="8" t="s">
        <v>8253</v>
      </c>
      <c r="C109" s="8" t="s">
        <v>8258</v>
      </c>
      <c r="D109" s="8" t="s">
        <v>8259</v>
      </c>
      <c r="E109" s="8"/>
      <c r="F109" s="8"/>
    </row>
    <row r="110" spans="1:6">
      <c r="A110" s="8" t="s">
        <v>281</v>
      </c>
      <c r="B110" s="8" t="s">
        <v>8253</v>
      </c>
      <c r="C110" s="8" t="s">
        <v>8260</v>
      </c>
      <c r="D110" s="8" t="s">
        <v>8261</v>
      </c>
      <c r="E110" s="8"/>
      <c r="F110" s="8"/>
    </row>
    <row r="111" spans="1:6">
      <c r="A111" s="8" t="s">
        <v>281</v>
      </c>
      <c r="B111" s="8" t="s">
        <v>8253</v>
      </c>
      <c r="C111" s="8" t="s">
        <v>8262</v>
      </c>
      <c r="D111" s="8" t="s">
        <v>8263</v>
      </c>
      <c r="E111" s="8"/>
      <c r="F111" s="8"/>
    </row>
    <row r="112" spans="1:6">
      <c r="A112" s="8" t="s">
        <v>281</v>
      </c>
      <c r="B112" s="8" t="s">
        <v>8253</v>
      </c>
      <c r="C112" s="8" t="s">
        <v>8264</v>
      </c>
      <c r="D112" s="8" t="s">
        <v>8265</v>
      </c>
      <c r="E112" s="8"/>
      <c r="F112" s="8"/>
    </row>
    <row r="113" spans="1:6">
      <c r="A113" s="8" t="s">
        <v>281</v>
      </c>
      <c r="B113" s="8" t="s">
        <v>8253</v>
      </c>
      <c r="C113" s="8" t="s">
        <v>8266</v>
      </c>
      <c r="D113" s="8" t="s">
        <v>8267</v>
      </c>
      <c r="E113" s="8"/>
      <c r="F113" s="8"/>
    </row>
    <row r="114" spans="1:6">
      <c r="A114" s="8" t="s">
        <v>281</v>
      </c>
      <c r="B114" s="8" t="s">
        <v>8253</v>
      </c>
      <c r="C114" s="8" t="s">
        <v>8268</v>
      </c>
      <c r="D114" s="8" t="s">
        <v>8269</v>
      </c>
      <c r="E114" s="8"/>
      <c r="F114" s="8"/>
    </row>
    <row r="115" spans="1:6">
      <c r="A115" s="8" t="s">
        <v>281</v>
      </c>
      <c r="B115" s="8" t="s">
        <v>8253</v>
      </c>
      <c r="C115" s="8" t="s">
        <v>8270</v>
      </c>
      <c r="D115" s="8" t="s">
        <v>8271</v>
      </c>
      <c r="E115" s="8"/>
      <c r="F115" s="8"/>
    </row>
    <row r="116" spans="1:6">
      <c r="A116" s="8" t="s">
        <v>281</v>
      </c>
      <c r="B116" s="8" t="s">
        <v>8253</v>
      </c>
      <c r="C116" s="8" t="s">
        <v>8272</v>
      </c>
      <c r="D116" s="8" t="s">
        <v>8273</v>
      </c>
      <c r="E116" s="8"/>
      <c r="F116" s="8"/>
    </row>
    <row r="117" spans="1:6">
      <c r="A117" s="8" t="s">
        <v>7980</v>
      </c>
      <c r="B117" s="8" t="s">
        <v>7981</v>
      </c>
      <c r="C117" s="8" t="s">
        <v>8274</v>
      </c>
      <c r="D117" s="8" t="s">
        <v>8275</v>
      </c>
      <c r="E117" s="8"/>
      <c r="F117" s="8"/>
    </row>
    <row r="118" spans="1:6">
      <c r="A118" s="8" t="s">
        <v>7980</v>
      </c>
      <c r="B118" s="8" t="s">
        <v>7981</v>
      </c>
      <c r="C118" s="8" t="s">
        <v>8276</v>
      </c>
      <c r="D118" s="8" t="s">
        <v>8277</v>
      </c>
      <c r="E118" s="8"/>
      <c r="F118" s="8"/>
    </row>
    <row r="119" spans="1:6">
      <c r="A119" s="8" t="s">
        <v>7980</v>
      </c>
      <c r="B119" s="8" t="s">
        <v>7981</v>
      </c>
      <c r="C119" s="8" t="s">
        <v>8278</v>
      </c>
      <c r="D119" s="8" t="s">
        <v>8279</v>
      </c>
      <c r="E119" s="8"/>
      <c r="F119" s="8"/>
    </row>
    <row r="120" spans="1:6">
      <c r="A120" s="8" t="s">
        <v>7980</v>
      </c>
      <c r="B120" s="8" t="s">
        <v>7981</v>
      </c>
      <c r="C120" s="8" t="s">
        <v>8280</v>
      </c>
      <c r="D120" s="8" t="s">
        <v>8281</v>
      </c>
      <c r="E120" s="8"/>
      <c r="F120" s="8"/>
    </row>
    <row r="121" spans="1:6">
      <c r="A121" s="8" t="s">
        <v>273</v>
      </c>
      <c r="B121" s="8" t="s">
        <v>7982</v>
      </c>
      <c r="C121" s="8" t="s">
        <v>8282</v>
      </c>
      <c r="D121" s="8" t="s">
        <v>8283</v>
      </c>
      <c r="E121" s="8"/>
      <c r="F121" s="8"/>
    </row>
    <row r="122" spans="1:6">
      <c r="A122" s="8" t="s">
        <v>273</v>
      </c>
      <c r="B122" s="8" t="s">
        <v>7982</v>
      </c>
      <c r="C122" s="8" t="s">
        <v>8284</v>
      </c>
      <c r="D122" s="8" t="s">
        <v>8285</v>
      </c>
      <c r="E122" s="8"/>
      <c r="F122" s="8"/>
    </row>
    <row r="123" spans="1:6">
      <c r="A123" s="8" t="s">
        <v>273</v>
      </c>
      <c r="B123" s="8" t="s">
        <v>7982</v>
      </c>
      <c r="C123" s="8" t="s">
        <v>8286</v>
      </c>
      <c r="D123" s="8" t="s">
        <v>8287</v>
      </c>
      <c r="E123" s="8"/>
      <c r="F123" s="8"/>
    </row>
    <row r="124" spans="1:6">
      <c r="A124" s="8" t="s">
        <v>289</v>
      </c>
      <c r="B124" s="8" t="s">
        <v>8288</v>
      </c>
      <c r="C124" s="8" t="s">
        <v>8289</v>
      </c>
      <c r="D124" s="8" t="s">
        <v>8290</v>
      </c>
      <c r="E124" s="8"/>
      <c r="F124" s="8"/>
    </row>
    <row r="125" spans="1:6">
      <c r="A125" s="8" t="s">
        <v>289</v>
      </c>
      <c r="B125" s="8" t="s">
        <v>8288</v>
      </c>
      <c r="C125" s="8" t="s">
        <v>8291</v>
      </c>
      <c r="D125" s="8" t="s">
        <v>8292</v>
      </c>
      <c r="E125" s="8"/>
      <c r="F125" s="8"/>
    </row>
    <row r="126" spans="1:6">
      <c r="A126" s="8" t="s">
        <v>7984</v>
      </c>
      <c r="B126" s="8" t="s">
        <v>8293</v>
      </c>
      <c r="C126" s="8" t="s">
        <v>8294</v>
      </c>
      <c r="D126" s="8" t="s">
        <v>8295</v>
      </c>
      <c r="E126" s="8"/>
      <c r="F126" s="8"/>
    </row>
    <row r="127" spans="1:6">
      <c r="A127" s="8" t="s">
        <v>7984</v>
      </c>
      <c r="B127" s="8" t="s">
        <v>8293</v>
      </c>
      <c r="C127" s="8" t="s">
        <v>8296</v>
      </c>
      <c r="D127" s="8" t="s">
        <v>8297</v>
      </c>
      <c r="E127" s="8"/>
      <c r="F127" s="8"/>
    </row>
    <row r="128" spans="1:6">
      <c r="A128" s="8" t="s">
        <v>7984</v>
      </c>
      <c r="B128" s="8" t="s">
        <v>8293</v>
      </c>
      <c r="C128" s="8" t="s">
        <v>8298</v>
      </c>
      <c r="D128" s="8" t="s">
        <v>8299</v>
      </c>
      <c r="E128" s="8"/>
      <c r="F128" s="8"/>
    </row>
    <row r="129" spans="1:6">
      <c r="A129" s="8" t="s">
        <v>7984</v>
      </c>
      <c r="B129" s="8" t="s">
        <v>8293</v>
      </c>
      <c r="C129" s="8" t="s">
        <v>8300</v>
      </c>
      <c r="D129" s="8" t="s">
        <v>8301</v>
      </c>
      <c r="E129" s="8"/>
      <c r="F129" s="8"/>
    </row>
    <row r="130" spans="1:6">
      <c r="A130" s="8" t="s">
        <v>7984</v>
      </c>
      <c r="B130" s="8" t="s">
        <v>8293</v>
      </c>
      <c r="C130" s="8" t="s">
        <v>8302</v>
      </c>
      <c r="D130" s="8" t="s">
        <v>8303</v>
      </c>
      <c r="E130" s="8"/>
      <c r="F130" s="8"/>
    </row>
    <row r="131" spans="1:6">
      <c r="A131" s="8" t="s">
        <v>7984</v>
      </c>
      <c r="B131" s="8" t="s">
        <v>8293</v>
      </c>
      <c r="C131" s="8" t="s">
        <v>8304</v>
      </c>
      <c r="D131" s="8" t="s">
        <v>8305</v>
      </c>
      <c r="E131" s="8"/>
      <c r="F131" s="8"/>
    </row>
    <row r="132" spans="1:6">
      <c r="A132" s="8" t="s">
        <v>7984</v>
      </c>
      <c r="B132" s="8" t="s">
        <v>8293</v>
      </c>
      <c r="C132" s="8" t="s">
        <v>8306</v>
      </c>
      <c r="D132" s="8" t="s">
        <v>8307</v>
      </c>
      <c r="E132" s="8"/>
      <c r="F132" s="8"/>
    </row>
    <row r="133" spans="1:6">
      <c r="A133" s="8" t="s">
        <v>7984</v>
      </c>
      <c r="B133" s="8" t="s">
        <v>8293</v>
      </c>
      <c r="C133" s="8" t="s">
        <v>8308</v>
      </c>
      <c r="D133" s="8" t="s">
        <v>8309</v>
      </c>
      <c r="E133" s="8"/>
      <c r="F133" s="8"/>
    </row>
    <row r="134" spans="1:6">
      <c r="A134" s="8" t="s">
        <v>7984</v>
      </c>
      <c r="B134" s="8" t="s">
        <v>8293</v>
      </c>
      <c r="C134" s="8" t="s">
        <v>8310</v>
      </c>
      <c r="D134" s="8" t="s">
        <v>8311</v>
      </c>
      <c r="E134" s="8"/>
      <c r="F134" s="8"/>
    </row>
    <row r="135" spans="1:6">
      <c r="A135" s="8" t="s">
        <v>290</v>
      </c>
      <c r="B135" s="8" t="s">
        <v>8312</v>
      </c>
      <c r="C135" s="8" t="s">
        <v>8313</v>
      </c>
      <c r="D135" s="8" t="s">
        <v>8314</v>
      </c>
      <c r="E135" s="8"/>
      <c r="F135" s="8"/>
    </row>
    <row r="136" spans="1:6">
      <c r="A136" s="8" t="s">
        <v>290</v>
      </c>
      <c r="B136" s="8" t="s">
        <v>8312</v>
      </c>
      <c r="C136" s="8" t="s">
        <v>8315</v>
      </c>
      <c r="D136" s="8" t="s">
        <v>8316</v>
      </c>
      <c r="E136" s="8"/>
      <c r="F136" s="8"/>
    </row>
    <row r="137" spans="1:6">
      <c r="A137" s="8" t="s">
        <v>290</v>
      </c>
      <c r="B137" s="8" t="s">
        <v>8312</v>
      </c>
      <c r="C137" s="8" t="s">
        <v>8317</v>
      </c>
      <c r="D137" s="8" t="s">
        <v>8318</v>
      </c>
      <c r="E137" s="8"/>
      <c r="F137" s="8"/>
    </row>
    <row r="138" spans="1:6">
      <c r="A138" s="8" t="s">
        <v>290</v>
      </c>
      <c r="B138" s="8" t="s">
        <v>8312</v>
      </c>
      <c r="C138" s="8" t="s">
        <v>8319</v>
      </c>
      <c r="D138" s="8" t="s">
        <v>8320</v>
      </c>
      <c r="E138" s="8"/>
      <c r="F138" s="8"/>
    </row>
    <row r="139" spans="1:6">
      <c r="A139" s="8" t="s">
        <v>290</v>
      </c>
      <c r="B139" s="8" t="s">
        <v>8312</v>
      </c>
      <c r="C139" s="8" t="s">
        <v>8321</v>
      </c>
      <c r="D139" s="8" t="s">
        <v>8322</v>
      </c>
      <c r="E139" s="8"/>
      <c r="F139" s="8"/>
    </row>
    <row r="140" spans="1:6">
      <c r="A140" s="8" t="s">
        <v>290</v>
      </c>
      <c r="B140" s="8" t="s">
        <v>8312</v>
      </c>
      <c r="C140" s="8" t="s">
        <v>8323</v>
      </c>
      <c r="D140" s="8" t="s">
        <v>8324</v>
      </c>
      <c r="E140" s="8"/>
      <c r="F140" s="8"/>
    </row>
    <row r="141" spans="1:6">
      <c r="A141" s="8" t="s">
        <v>290</v>
      </c>
      <c r="B141" s="8" t="s">
        <v>8312</v>
      </c>
      <c r="C141" s="8" t="s">
        <v>8325</v>
      </c>
      <c r="D141" s="8" t="s">
        <v>8326</v>
      </c>
      <c r="E141" s="8"/>
      <c r="F141" s="8"/>
    </row>
    <row r="142" spans="1:6">
      <c r="A142" s="8" t="s">
        <v>290</v>
      </c>
      <c r="B142" s="8" t="s">
        <v>8312</v>
      </c>
      <c r="C142" s="8" t="s">
        <v>8327</v>
      </c>
      <c r="D142" s="8" t="s">
        <v>8328</v>
      </c>
      <c r="E142" s="8"/>
      <c r="F142" s="8"/>
    </row>
    <row r="143" spans="1:6">
      <c r="A143" s="8" t="s">
        <v>290</v>
      </c>
      <c r="B143" s="8" t="s">
        <v>8312</v>
      </c>
      <c r="C143" s="8" t="s">
        <v>8329</v>
      </c>
      <c r="D143" s="8" t="s">
        <v>8330</v>
      </c>
      <c r="E143" s="8"/>
      <c r="F143" s="8"/>
    </row>
    <row r="144" spans="1:6">
      <c r="A144" s="8" t="s">
        <v>290</v>
      </c>
      <c r="B144" s="8" t="s">
        <v>8312</v>
      </c>
      <c r="C144" s="8" t="s">
        <v>8331</v>
      </c>
      <c r="D144" s="8" t="s">
        <v>8332</v>
      </c>
      <c r="E144" s="8"/>
      <c r="F144" s="8"/>
    </row>
    <row r="145" spans="1:6">
      <c r="A145" s="8" t="s">
        <v>290</v>
      </c>
      <c r="B145" s="8" t="s">
        <v>8312</v>
      </c>
      <c r="C145" s="8" t="s">
        <v>8333</v>
      </c>
      <c r="D145" s="8" t="s">
        <v>8334</v>
      </c>
      <c r="E145" s="8"/>
      <c r="F145" s="8"/>
    </row>
    <row r="146" spans="1:6">
      <c r="A146" s="8" t="s">
        <v>290</v>
      </c>
      <c r="B146" s="8" t="s">
        <v>8312</v>
      </c>
      <c r="C146" s="8" t="s">
        <v>8335</v>
      </c>
      <c r="D146" s="8" t="s">
        <v>8336</v>
      </c>
      <c r="E146" s="8"/>
      <c r="F146" s="8"/>
    </row>
    <row r="147" spans="1:6">
      <c r="A147" s="8" t="s">
        <v>290</v>
      </c>
      <c r="B147" s="8" t="s">
        <v>8312</v>
      </c>
      <c r="C147" s="8" t="s">
        <v>8337</v>
      </c>
      <c r="D147" s="8" t="s">
        <v>8338</v>
      </c>
      <c r="E147" s="8"/>
      <c r="F147" s="8"/>
    </row>
    <row r="148" spans="1:6">
      <c r="A148" s="8" t="s">
        <v>290</v>
      </c>
      <c r="B148" s="8" t="s">
        <v>8312</v>
      </c>
      <c r="C148" s="8" t="s">
        <v>8339</v>
      </c>
      <c r="D148" s="8" t="s">
        <v>8340</v>
      </c>
      <c r="E148" s="8"/>
      <c r="F148" s="8"/>
    </row>
    <row r="149" spans="1:6">
      <c r="A149" s="8" t="s">
        <v>290</v>
      </c>
      <c r="B149" s="8" t="s">
        <v>8312</v>
      </c>
      <c r="C149" s="8" t="s">
        <v>8341</v>
      </c>
      <c r="D149" s="8" t="s">
        <v>8342</v>
      </c>
      <c r="E149" s="8"/>
      <c r="F149" s="8"/>
    </row>
    <row r="150" spans="1:6">
      <c r="A150" s="8" t="s">
        <v>290</v>
      </c>
      <c r="B150" s="8" t="s">
        <v>8312</v>
      </c>
      <c r="C150" s="8" t="s">
        <v>8343</v>
      </c>
      <c r="D150" s="8" t="s">
        <v>8344</v>
      </c>
      <c r="E150" s="8"/>
      <c r="F150" s="8"/>
    </row>
    <row r="151" spans="1:6">
      <c r="A151" s="8" t="s">
        <v>290</v>
      </c>
      <c r="B151" s="8" t="s">
        <v>8312</v>
      </c>
      <c r="C151" s="8" t="s">
        <v>8345</v>
      </c>
      <c r="D151" s="8" t="s">
        <v>8346</v>
      </c>
      <c r="E151" s="8"/>
      <c r="F151" s="8"/>
    </row>
    <row r="152" spans="1:6">
      <c r="A152" s="8" t="s">
        <v>290</v>
      </c>
      <c r="B152" s="8" t="s">
        <v>8312</v>
      </c>
      <c r="C152" s="8" t="s">
        <v>8347</v>
      </c>
      <c r="D152" s="8" t="s">
        <v>8348</v>
      </c>
      <c r="E152" s="8"/>
      <c r="F152" s="8"/>
    </row>
    <row r="153" spans="1:6">
      <c r="A153" s="8" t="s">
        <v>290</v>
      </c>
      <c r="B153" s="8" t="s">
        <v>8312</v>
      </c>
      <c r="C153" s="8" t="s">
        <v>8349</v>
      </c>
      <c r="D153" s="8" t="s">
        <v>8350</v>
      </c>
      <c r="E153" s="8"/>
      <c r="F153" s="8"/>
    </row>
    <row r="154" spans="1:6">
      <c r="A154" s="8" t="s">
        <v>290</v>
      </c>
      <c r="B154" s="8" t="s">
        <v>8312</v>
      </c>
      <c r="C154" s="8" t="s">
        <v>8351</v>
      </c>
      <c r="D154" s="8" t="s">
        <v>8352</v>
      </c>
      <c r="E154" s="8"/>
      <c r="F154" s="8"/>
    </row>
    <row r="155" spans="1:6">
      <c r="A155" s="8" t="s">
        <v>290</v>
      </c>
      <c r="B155" s="8" t="s">
        <v>8312</v>
      </c>
      <c r="C155" s="8" t="s">
        <v>8353</v>
      </c>
      <c r="D155" s="8" t="s">
        <v>8354</v>
      </c>
      <c r="E155" s="8"/>
      <c r="F155" s="8"/>
    </row>
    <row r="156" spans="1:6">
      <c r="A156" s="8" t="s">
        <v>290</v>
      </c>
      <c r="B156" s="8" t="s">
        <v>8312</v>
      </c>
      <c r="C156" s="8" t="s">
        <v>8355</v>
      </c>
      <c r="D156" s="8" t="s">
        <v>8356</v>
      </c>
      <c r="E156" s="8"/>
      <c r="F156" s="8"/>
    </row>
    <row r="157" spans="1:6">
      <c r="A157" s="8" t="s">
        <v>290</v>
      </c>
      <c r="B157" s="8" t="s">
        <v>8312</v>
      </c>
      <c r="C157" s="8" t="s">
        <v>8357</v>
      </c>
      <c r="D157" s="8" t="s">
        <v>8358</v>
      </c>
      <c r="E157" s="8"/>
      <c r="F157" s="8"/>
    </row>
    <row r="158" spans="1:6">
      <c r="A158" s="8" t="s">
        <v>290</v>
      </c>
      <c r="B158" s="8" t="s">
        <v>8312</v>
      </c>
      <c r="C158" s="8" t="s">
        <v>8359</v>
      </c>
      <c r="D158" s="8" t="s">
        <v>8360</v>
      </c>
      <c r="E158" s="8"/>
      <c r="F158" s="8"/>
    </row>
    <row r="159" spans="1:6">
      <c r="A159" s="8" t="s">
        <v>290</v>
      </c>
      <c r="B159" s="8" t="s">
        <v>8312</v>
      </c>
      <c r="C159" s="8" t="s">
        <v>8361</v>
      </c>
      <c r="D159" s="8" t="s">
        <v>8362</v>
      </c>
      <c r="E159" s="8"/>
      <c r="F159" s="8"/>
    </row>
    <row r="160" spans="1:6">
      <c r="A160" s="8" t="s">
        <v>290</v>
      </c>
      <c r="B160" s="8" t="s">
        <v>8312</v>
      </c>
      <c r="C160" s="8" t="s">
        <v>8363</v>
      </c>
      <c r="D160" s="8" t="s">
        <v>8364</v>
      </c>
      <c r="E160" s="8"/>
      <c r="F160" s="8"/>
    </row>
    <row r="161" spans="1:6">
      <c r="A161" s="8" t="s">
        <v>7987</v>
      </c>
      <c r="B161" s="8" t="s">
        <v>8365</v>
      </c>
      <c r="C161" s="8" t="s">
        <v>8366</v>
      </c>
      <c r="D161" s="8" t="s">
        <v>8367</v>
      </c>
      <c r="E161" s="8"/>
      <c r="F161" s="8"/>
    </row>
    <row r="162" spans="1:6">
      <c r="A162" s="8" t="s">
        <v>7987</v>
      </c>
      <c r="B162" s="8" t="s">
        <v>8365</v>
      </c>
      <c r="C162" s="8" t="s">
        <v>8368</v>
      </c>
      <c r="D162" s="8" t="s">
        <v>8369</v>
      </c>
      <c r="E162" s="8"/>
      <c r="F162" s="8"/>
    </row>
    <row r="163" spans="1:6">
      <c r="A163" s="8" t="s">
        <v>7987</v>
      </c>
      <c r="B163" s="8" t="s">
        <v>8365</v>
      </c>
      <c r="C163" s="8" t="s">
        <v>8370</v>
      </c>
      <c r="D163" s="8" t="s">
        <v>8371</v>
      </c>
      <c r="E163" s="8"/>
      <c r="F163" s="8"/>
    </row>
    <row r="164" spans="1:6">
      <c r="A164" s="8" t="s">
        <v>7987</v>
      </c>
      <c r="B164" s="8" t="s">
        <v>8365</v>
      </c>
      <c r="C164" s="8" t="s">
        <v>8372</v>
      </c>
      <c r="D164" s="8" t="s">
        <v>8373</v>
      </c>
      <c r="E164" s="8"/>
      <c r="F164" s="8"/>
    </row>
    <row r="165" spans="1:6">
      <c r="A165" s="8" t="s">
        <v>7987</v>
      </c>
      <c r="B165" s="8" t="s">
        <v>8365</v>
      </c>
      <c r="C165" s="8" t="s">
        <v>8374</v>
      </c>
      <c r="D165" s="8" t="s">
        <v>8375</v>
      </c>
      <c r="E165" s="8"/>
      <c r="F165" s="8"/>
    </row>
    <row r="166" spans="1:6">
      <c r="A166" s="8" t="s">
        <v>7987</v>
      </c>
      <c r="B166" s="8" t="s">
        <v>8365</v>
      </c>
      <c r="C166" s="8" t="s">
        <v>8376</v>
      </c>
      <c r="D166" s="8" t="s">
        <v>8377</v>
      </c>
      <c r="E166" s="8"/>
      <c r="F166" s="8"/>
    </row>
    <row r="167" spans="1:6">
      <c r="A167" s="8" t="s">
        <v>7987</v>
      </c>
      <c r="B167" s="8" t="s">
        <v>8365</v>
      </c>
      <c r="C167" s="8" t="s">
        <v>8378</v>
      </c>
      <c r="D167" s="8" t="s">
        <v>8379</v>
      </c>
      <c r="E167" s="8"/>
      <c r="F167" s="8"/>
    </row>
    <row r="168" spans="1:6">
      <c r="A168" s="8" t="s">
        <v>7987</v>
      </c>
      <c r="B168" s="8" t="s">
        <v>8365</v>
      </c>
      <c r="C168" s="8" t="s">
        <v>8380</v>
      </c>
      <c r="D168" s="8" t="s">
        <v>8381</v>
      </c>
      <c r="E168" s="8"/>
      <c r="F168" s="8"/>
    </row>
    <row r="169" spans="1:6">
      <c r="A169" s="8" t="s">
        <v>7987</v>
      </c>
      <c r="B169" s="8" t="s">
        <v>8365</v>
      </c>
      <c r="C169" s="8" t="s">
        <v>8382</v>
      </c>
      <c r="D169" s="8" t="s">
        <v>8383</v>
      </c>
      <c r="E169" s="8"/>
      <c r="F169" s="8"/>
    </row>
    <row r="170" spans="1:6">
      <c r="A170" s="8" t="s">
        <v>7987</v>
      </c>
      <c r="B170" s="8" t="s">
        <v>8365</v>
      </c>
      <c r="C170" s="8" t="s">
        <v>8384</v>
      </c>
      <c r="D170" s="8" t="s">
        <v>8385</v>
      </c>
      <c r="E170" s="8"/>
      <c r="F170" s="8"/>
    </row>
    <row r="171" spans="1:6">
      <c r="A171" s="8" t="s">
        <v>7987</v>
      </c>
      <c r="B171" s="8" t="s">
        <v>8365</v>
      </c>
      <c r="C171" s="8" t="s">
        <v>8386</v>
      </c>
      <c r="D171" s="8" t="s">
        <v>8387</v>
      </c>
      <c r="E171" s="8"/>
      <c r="F171" s="8"/>
    </row>
    <row r="172" spans="1:6">
      <c r="A172" s="8" t="s">
        <v>7987</v>
      </c>
      <c r="B172" s="8" t="s">
        <v>8365</v>
      </c>
      <c r="C172" s="8" t="s">
        <v>8388</v>
      </c>
      <c r="D172" s="8" t="s">
        <v>8389</v>
      </c>
      <c r="E172" s="8"/>
      <c r="F172" s="8"/>
    </row>
    <row r="173" spans="1:6">
      <c r="A173" s="8" t="s">
        <v>7987</v>
      </c>
      <c r="B173" s="8" t="s">
        <v>8365</v>
      </c>
      <c r="C173" s="8" t="s">
        <v>8390</v>
      </c>
      <c r="D173" s="8" t="s">
        <v>8391</v>
      </c>
      <c r="E173" s="8"/>
      <c r="F173" s="8"/>
    </row>
    <row r="174" spans="1:6">
      <c r="A174" s="8" t="s">
        <v>7987</v>
      </c>
      <c r="B174" s="8" t="s">
        <v>8365</v>
      </c>
      <c r="C174" s="8" t="s">
        <v>8392</v>
      </c>
      <c r="D174" s="8" t="s">
        <v>8393</v>
      </c>
      <c r="E174" s="8"/>
      <c r="F174" s="8"/>
    </row>
    <row r="175" spans="1:6">
      <c r="A175" s="8" t="s">
        <v>7987</v>
      </c>
      <c r="B175" s="8" t="s">
        <v>8365</v>
      </c>
      <c r="C175" s="8" t="s">
        <v>8394</v>
      </c>
      <c r="D175" s="8" t="s">
        <v>8395</v>
      </c>
      <c r="E175" s="8"/>
      <c r="F175" s="8"/>
    </row>
    <row r="176" spans="1:6">
      <c r="A176" s="8" t="s">
        <v>7987</v>
      </c>
      <c r="B176" s="8" t="s">
        <v>8365</v>
      </c>
      <c r="C176" s="8" t="s">
        <v>8396</v>
      </c>
      <c r="D176" s="8" t="s">
        <v>8397</v>
      </c>
      <c r="E176" s="8"/>
      <c r="F176" s="8"/>
    </row>
    <row r="177" spans="1:6">
      <c r="A177" s="8" t="s">
        <v>7987</v>
      </c>
      <c r="B177" s="8" t="s">
        <v>8365</v>
      </c>
      <c r="C177" s="8" t="s">
        <v>8398</v>
      </c>
      <c r="D177" s="8" t="s">
        <v>8399</v>
      </c>
      <c r="E177" s="8"/>
      <c r="F177" s="8"/>
    </row>
    <row r="178" spans="1:6">
      <c r="A178" s="8" t="s">
        <v>7987</v>
      </c>
      <c r="B178" s="8" t="s">
        <v>8365</v>
      </c>
      <c r="C178" s="8" t="s">
        <v>8400</v>
      </c>
      <c r="D178" s="8" t="s">
        <v>8401</v>
      </c>
      <c r="E178" s="8"/>
      <c r="F178" s="8"/>
    </row>
    <row r="179" spans="1:6">
      <c r="A179" s="8" t="s">
        <v>7987</v>
      </c>
      <c r="B179" s="8" t="s">
        <v>8365</v>
      </c>
      <c r="C179" s="8" t="s">
        <v>8402</v>
      </c>
      <c r="D179" s="8" t="s">
        <v>8403</v>
      </c>
      <c r="E179" s="8"/>
      <c r="F179" s="8"/>
    </row>
    <row r="180" spans="1:6">
      <c r="A180" s="8" t="s">
        <v>7987</v>
      </c>
      <c r="B180" s="8" t="s">
        <v>8365</v>
      </c>
      <c r="C180" s="8" t="s">
        <v>8404</v>
      </c>
      <c r="D180" s="8" t="s">
        <v>8405</v>
      </c>
      <c r="E180" s="8"/>
      <c r="F180" s="8"/>
    </row>
    <row r="181" spans="1:6">
      <c r="A181" s="8" t="s">
        <v>7987</v>
      </c>
      <c r="B181" s="8" t="s">
        <v>8365</v>
      </c>
      <c r="C181" s="8" t="s">
        <v>8406</v>
      </c>
      <c r="D181" s="8" t="s">
        <v>8407</v>
      </c>
      <c r="E181" s="8"/>
      <c r="F181" s="8"/>
    </row>
    <row r="182" spans="1:6">
      <c r="A182" s="8" t="s">
        <v>7989</v>
      </c>
      <c r="B182" s="8" t="s">
        <v>382</v>
      </c>
      <c r="C182" s="8" t="s">
        <v>8408</v>
      </c>
      <c r="D182" s="8" t="s">
        <v>8409</v>
      </c>
      <c r="E182" s="8"/>
      <c r="F182" s="8"/>
    </row>
    <row r="183" spans="1:6">
      <c r="A183" s="8" t="s">
        <v>7989</v>
      </c>
      <c r="B183" s="8" t="s">
        <v>382</v>
      </c>
      <c r="C183" s="8" t="s">
        <v>8410</v>
      </c>
      <c r="D183" s="8" t="s">
        <v>8411</v>
      </c>
      <c r="E183" s="8"/>
      <c r="F183" s="8"/>
    </row>
    <row r="184" spans="1:6">
      <c r="A184" s="8" t="s">
        <v>291</v>
      </c>
      <c r="B184" s="8" t="s">
        <v>8412</v>
      </c>
      <c r="C184" s="8" t="s">
        <v>8413</v>
      </c>
      <c r="D184" s="8" t="s">
        <v>8414</v>
      </c>
      <c r="E184" s="8"/>
      <c r="F184" s="8"/>
    </row>
    <row r="185" spans="1:6">
      <c r="A185" s="8" t="s">
        <v>291</v>
      </c>
      <c r="B185" s="8" t="s">
        <v>8412</v>
      </c>
      <c r="C185" s="8" t="s">
        <v>8415</v>
      </c>
      <c r="D185" s="8" t="s">
        <v>8416</v>
      </c>
      <c r="E185" s="8"/>
      <c r="F185" s="8"/>
    </row>
    <row r="186" spans="1:6">
      <c r="A186" s="8" t="s">
        <v>7991</v>
      </c>
      <c r="B186" s="8" t="s">
        <v>7992</v>
      </c>
      <c r="C186" s="8" t="s">
        <v>8417</v>
      </c>
      <c r="D186" s="8" t="s">
        <v>8418</v>
      </c>
      <c r="E186" s="8"/>
      <c r="F186" s="8"/>
    </row>
    <row r="187" spans="1:6">
      <c r="A187" s="8" t="s">
        <v>7991</v>
      </c>
      <c r="B187" s="8" t="s">
        <v>7992</v>
      </c>
      <c r="C187" s="8" t="s">
        <v>8419</v>
      </c>
      <c r="D187" s="8" t="s">
        <v>8420</v>
      </c>
      <c r="E187" s="8"/>
      <c r="F187" s="8"/>
    </row>
    <row r="188" spans="1:6">
      <c r="A188" s="8" t="s">
        <v>7991</v>
      </c>
      <c r="B188" s="8" t="s">
        <v>7992</v>
      </c>
      <c r="C188" s="8" t="s">
        <v>8421</v>
      </c>
      <c r="D188" s="8" t="s">
        <v>8422</v>
      </c>
      <c r="E188" s="8"/>
      <c r="F188" s="8"/>
    </row>
    <row r="189" spans="1:6">
      <c r="A189" s="8" t="s">
        <v>274</v>
      </c>
      <c r="B189" s="8" t="s">
        <v>7993</v>
      </c>
      <c r="C189" s="8" t="s">
        <v>8423</v>
      </c>
      <c r="D189" s="8" t="s">
        <v>8424</v>
      </c>
      <c r="E189" s="8"/>
      <c r="F189" s="8"/>
    </row>
    <row r="190" spans="1:6">
      <c r="A190" s="8" t="s">
        <v>292</v>
      </c>
      <c r="B190" s="8" t="s">
        <v>8425</v>
      </c>
      <c r="C190" s="8" t="s">
        <v>8426</v>
      </c>
      <c r="D190" s="8" t="s">
        <v>8427</v>
      </c>
      <c r="E190" s="8"/>
      <c r="F190" s="8"/>
    </row>
    <row r="191" spans="1:6">
      <c r="A191" s="8" t="s">
        <v>7999</v>
      </c>
      <c r="B191" s="8" t="s">
        <v>8000</v>
      </c>
      <c r="C191" s="8" t="s">
        <v>8428</v>
      </c>
      <c r="D191" s="8" t="s">
        <v>8429</v>
      </c>
      <c r="E191" s="8"/>
      <c r="F191" s="8"/>
    </row>
    <row r="192" spans="1:6">
      <c r="A192" s="8" t="s">
        <v>7999</v>
      </c>
      <c r="B192" s="8" t="s">
        <v>8000</v>
      </c>
      <c r="C192" s="8" t="s">
        <v>8430</v>
      </c>
      <c r="D192" s="8" t="s">
        <v>8431</v>
      </c>
      <c r="E192" s="8"/>
      <c r="F192" s="8"/>
    </row>
    <row r="193" spans="1:6">
      <c r="A193" s="8" t="s">
        <v>8001</v>
      </c>
      <c r="B193" s="8" t="s">
        <v>8432</v>
      </c>
      <c r="C193" s="8" t="s">
        <v>8433</v>
      </c>
      <c r="D193" s="8" t="s">
        <v>8434</v>
      </c>
      <c r="E193" s="8"/>
      <c r="F193" s="8"/>
    </row>
    <row r="194" spans="1:6">
      <c r="A194" s="8" t="s">
        <v>8001</v>
      </c>
      <c r="B194" s="8" t="s">
        <v>8432</v>
      </c>
      <c r="C194" s="8" t="s">
        <v>8435</v>
      </c>
      <c r="D194" s="8" t="s">
        <v>8436</v>
      </c>
      <c r="E194" s="8"/>
      <c r="F194" s="8"/>
    </row>
    <row r="195" spans="1:6">
      <c r="A195" s="8" t="s">
        <v>8001</v>
      </c>
      <c r="B195" s="8" t="s">
        <v>8432</v>
      </c>
      <c r="C195" s="8" t="s">
        <v>8437</v>
      </c>
      <c r="D195" s="8" t="s">
        <v>8438</v>
      </c>
      <c r="E195" s="8"/>
      <c r="F195" s="8"/>
    </row>
    <row r="196" spans="1:6">
      <c r="A196" s="8" t="s">
        <v>8004</v>
      </c>
      <c r="B196" s="8" t="s">
        <v>8439</v>
      </c>
      <c r="C196" s="8" t="s">
        <v>8440</v>
      </c>
      <c r="D196" s="8" t="s">
        <v>8441</v>
      </c>
      <c r="E196" s="8"/>
      <c r="F196" s="8"/>
    </row>
    <row r="197" spans="1:6">
      <c r="A197" s="8" t="s">
        <v>8004</v>
      </c>
      <c r="B197" s="8" t="s">
        <v>8439</v>
      </c>
      <c r="C197" s="8" t="s">
        <v>8442</v>
      </c>
      <c r="D197" s="8" t="s">
        <v>8443</v>
      </c>
      <c r="E197" s="8"/>
      <c r="F197" s="8"/>
    </row>
    <row r="198" spans="1:6">
      <c r="A198" s="8" t="s">
        <v>8004</v>
      </c>
      <c r="B198" s="8" t="s">
        <v>8439</v>
      </c>
      <c r="C198" s="8" t="s">
        <v>8444</v>
      </c>
      <c r="D198" s="8" t="s">
        <v>8445</v>
      </c>
      <c r="E198" s="8"/>
      <c r="F198" s="8"/>
    </row>
    <row r="199" spans="1:6">
      <c r="A199" s="8" t="s">
        <v>8004</v>
      </c>
      <c r="B199" s="8" t="s">
        <v>8439</v>
      </c>
      <c r="C199" s="8" t="s">
        <v>8446</v>
      </c>
      <c r="D199" s="8" t="s">
        <v>8447</v>
      </c>
      <c r="E199" s="8"/>
      <c r="F199" s="8"/>
    </row>
    <row r="200" spans="1:6">
      <c r="A200" s="8" t="s">
        <v>8006</v>
      </c>
      <c r="B200" s="8" t="s">
        <v>8007</v>
      </c>
      <c r="C200" s="8" t="s">
        <v>8448</v>
      </c>
      <c r="D200" s="8" t="s">
        <v>8449</v>
      </c>
      <c r="E200" s="8"/>
      <c r="F200" s="8"/>
    </row>
    <row r="201" spans="1:6">
      <c r="A201" s="8" t="s">
        <v>8008</v>
      </c>
      <c r="B201" s="8" t="s">
        <v>8450</v>
      </c>
      <c r="C201" s="8" t="s">
        <v>8451</v>
      </c>
      <c r="D201" s="8" t="s">
        <v>8452</v>
      </c>
      <c r="E201" s="8"/>
      <c r="F201" s="8"/>
    </row>
    <row r="202" spans="1:6">
      <c r="A202" s="8" t="s">
        <v>8008</v>
      </c>
      <c r="B202" s="8" t="s">
        <v>8450</v>
      </c>
      <c r="C202" s="8" t="s">
        <v>8453</v>
      </c>
      <c r="D202" s="8" t="s">
        <v>8454</v>
      </c>
      <c r="E202" s="8"/>
      <c r="F202" s="8"/>
    </row>
    <row r="203" spans="1:6">
      <c r="A203" s="8" t="s">
        <v>8008</v>
      </c>
      <c r="B203" s="8" t="s">
        <v>8450</v>
      </c>
      <c r="C203" s="8" t="s">
        <v>8455</v>
      </c>
      <c r="D203" s="8" t="s">
        <v>8456</v>
      </c>
      <c r="E203" s="8"/>
      <c r="F203" s="8"/>
    </row>
    <row r="204" spans="1:6">
      <c r="A204" s="8" t="s">
        <v>8008</v>
      </c>
      <c r="B204" s="8" t="s">
        <v>8450</v>
      </c>
      <c r="C204" s="8" t="s">
        <v>8457</v>
      </c>
      <c r="D204" s="8" t="s">
        <v>8458</v>
      </c>
      <c r="E204" s="8"/>
      <c r="F204" s="8"/>
    </row>
    <row r="205" spans="1:6">
      <c r="A205" s="8" t="s">
        <v>8008</v>
      </c>
      <c r="B205" s="8" t="s">
        <v>8450</v>
      </c>
      <c r="C205" s="8" t="s">
        <v>8459</v>
      </c>
      <c r="D205" s="8" t="s">
        <v>8460</v>
      </c>
      <c r="E205" s="8"/>
      <c r="F205" s="8"/>
    </row>
    <row r="206" spans="1:6">
      <c r="A206" s="8" t="s">
        <v>8008</v>
      </c>
      <c r="B206" s="8" t="s">
        <v>8450</v>
      </c>
      <c r="C206" s="8" t="s">
        <v>8461</v>
      </c>
      <c r="D206" s="8" t="s">
        <v>8462</v>
      </c>
      <c r="E206" s="8"/>
      <c r="F206" s="8"/>
    </row>
    <row r="207" spans="1:6">
      <c r="A207" s="8" t="s">
        <v>8008</v>
      </c>
      <c r="B207" s="8" t="s">
        <v>8450</v>
      </c>
      <c r="C207" s="8" t="s">
        <v>8463</v>
      </c>
      <c r="D207" s="8" t="s">
        <v>8464</v>
      </c>
      <c r="E207" s="8"/>
      <c r="F207" s="8"/>
    </row>
    <row r="208" spans="1:6">
      <c r="A208" s="8" t="s">
        <v>8008</v>
      </c>
      <c r="B208" s="8" t="s">
        <v>8450</v>
      </c>
      <c r="C208" s="8" t="s">
        <v>8465</v>
      </c>
      <c r="D208" s="8" t="s">
        <v>8466</v>
      </c>
      <c r="E208" s="8"/>
      <c r="F208" s="8"/>
    </row>
    <row r="209" spans="1:6">
      <c r="A209" s="8" t="s">
        <v>8008</v>
      </c>
      <c r="B209" s="8" t="s">
        <v>8450</v>
      </c>
      <c r="C209" s="8" t="s">
        <v>8467</v>
      </c>
      <c r="D209" s="8" t="s">
        <v>8468</v>
      </c>
      <c r="E209" s="8"/>
      <c r="F209" s="8"/>
    </row>
    <row r="210" spans="1:6">
      <c r="A210" s="8" t="s">
        <v>8008</v>
      </c>
      <c r="B210" s="8" t="s">
        <v>8450</v>
      </c>
      <c r="C210" s="8" t="s">
        <v>8469</v>
      </c>
      <c r="D210" s="8" t="s">
        <v>8470</v>
      </c>
      <c r="E210" s="8"/>
      <c r="F210" s="8"/>
    </row>
    <row r="211" spans="1:6">
      <c r="A211" s="8" t="s">
        <v>8008</v>
      </c>
      <c r="B211" s="8" t="s">
        <v>8450</v>
      </c>
      <c r="C211" s="8" t="s">
        <v>8471</v>
      </c>
      <c r="D211" s="8" t="s">
        <v>8472</v>
      </c>
      <c r="E211" s="8"/>
      <c r="F211" s="8"/>
    </row>
    <row r="212" spans="1:6">
      <c r="A212" s="8" t="s">
        <v>8008</v>
      </c>
      <c r="B212" s="8" t="s">
        <v>8450</v>
      </c>
      <c r="C212" s="8" t="s">
        <v>8473</v>
      </c>
      <c r="D212" s="8" t="s">
        <v>8474</v>
      </c>
      <c r="E212" s="8"/>
      <c r="F212" s="8"/>
    </row>
    <row r="213" spans="1:6">
      <c r="A213" s="8" t="s">
        <v>8011</v>
      </c>
      <c r="B213" s="8" t="s">
        <v>8475</v>
      </c>
      <c r="C213" s="8" t="s">
        <v>8476</v>
      </c>
      <c r="D213" s="8" t="s">
        <v>8477</v>
      </c>
      <c r="E213" s="8"/>
      <c r="F213" s="8"/>
    </row>
    <row r="214" spans="1:6">
      <c r="A214" s="8" t="s">
        <v>8011</v>
      </c>
      <c r="B214" s="8" t="s">
        <v>8475</v>
      </c>
      <c r="C214" s="8" t="s">
        <v>8478</v>
      </c>
      <c r="D214" s="8" t="s">
        <v>8479</v>
      </c>
      <c r="E214" s="8"/>
      <c r="F214" s="8"/>
    </row>
    <row r="215" spans="1:6">
      <c r="A215" s="8" t="s">
        <v>8013</v>
      </c>
      <c r="B215" s="8" t="s">
        <v>8480</v>
      </c>
      <c r="C215" s="8" t="s">
        <v>8481</v>
      </c>
      <c r="D215" s="8" t="s">
        <v>8482</v>
      </c>
      <c r="E215" s="8"/>
      <c r="F215" s="8"/>
    </row>
    <row r="216" spans="1:6">
      <c r="A216" s="8" t="s">
        <v>8013</v>
      </c>
      <c r="B216" s="8" t="s">
        <v>8480</v>
      </c>
      <c r="C216" s="8" t="s">
        <v>8483</v>
      </c>
      <c r="D216" s="8" t="s">
        <v>8484</v>
      </c>
      <c r="E216" s="8"/>
      <c r="F216" s="8"/>
    </row>
    <row r="217" spans="1:6">
      <c r="A217" s="8" t="s">
        <v>8013</v>
      </c>
      <c r="B217" s="8" t="s">
        <v>8480</v>
      </c>
      <c r="C217" s="8" t="s">
        <v>8485</v>
      </c>
      <c r="D217" s="8" t="s">
        <v>8486</v>
      </c>
      <c r="E217" s="8"/>
      <c r="F217" s="8"/>
    </row>
    <row r="218" spans="1:6">
      <c r="A218" s="8" t="s">
        <v>8013</v>
      </c>
      <c r="B218" s="8" t="s">
        <v>8480</v>
      </c>
      <c r="C218" s="8" t="s">
        <v>8487</v>
      </c>
      <c r="D218" s="8" t="s">
        <v>8488</v>
      </c>
      <c r="E218" s="8"/>
      <c r="F218" s="8"/>
    </row>
    <row r="219" spans="1:6">
      <c r="A219" s="8" t="s">
        <v>293</v>
      </c>
      <c r="B219" s="8" t="s">
        <v>8016</v>
      </c>
      <c r="C219" s="8" t="s">
        <v>8489</v>
      </c>
      <c r="D219" s="8" t="s">
        <v>8490</v>
      </c>
      <c r="E219" s="8"/>
      <c r="F219" s="8"/>
    </row>
    <row r="220" spans="1:6">
      <c r="A220" s="8" t="s">
        <v>8017</v>
      </c>
      <c r="B220" s="8" t="s">
        <v>8491</v>
      </c>
      <c r="C220" s="8" t="s">
        <v>8492</v>
      </c>
      <c r="D220" s="8" t="s">
        <v>8493</v>
      </c>
      <c r="E220" s="8"/>
      <c r="F220" s="8"/>
    </row>
    <row r="221" spans="1:6">
      <c r="A221" s="8" t="s">
        <v>8017</v>
      </c>
      <c r="B221" s="8" t="s">
        <v>8491</v>
      </c>
      <c r="C221" s="8" t="s">
        <v>8494</v>
      </c>
      <c r="D221" s="8" t="s">
        <v>8495</v>
      </c>
      <c r="E221" s="8"/>
      <c r="F221" s="8"/>
    </row>
    <row r="222" spans="1:6">
      <c r="A222" s="8" t="s">
        <v>8019</v>
      </c>
      <c r="B222" s="8" t="s">
        <v>8496</v>
      </c>
      <c r="C222" s="8" t="s">
        <v>8497</v>
      </c>
      <c r="D222" s="8" t="s">
        <v>8498</v>
      </c>
      <c r="E222" s="8"/>
      <c r="F222" s="8"/>
    </row>
    <row r="223" spans="1:6">
      <c r="A223" s="8" t="s">
        <v>282</v>
      </c>
      <c r="B223" s="8" t="s">
        <v>8499</v>
      </c>
      <c r="C223" s="8" t="s">
        <v>8500</v>
      </c>
      <c r="D223" s="8" t="s">
        <v>8501</v>
      </c>
      <c r="E223" s="8"/>
      <c r="F223" s="8"/>
    </row>
    <row r="224" spans="1:6">
      <c r="A224" s="8" t="s">
        <v>282</v>
      </c>
      <c r="B224" s="8" t="s">
        <v>8502</v>
      </c>
      <c r="C224" s="8" t="s">
        <v>8503</v>
      </c>
      <c r="D224" s="8" t="s">
        <v>8504</v>
      </c>
      <c r="E224" s="8"/>
      <c r="F224" s="8"/>
    </row>
    <row r="225" spans="1:6">
      <c r="A225" s="8" t="s">
        <v>282</v>
      </c>
      <c r="B225" s="8" t="s">
        <v>8499</v>
      </c>
      <c r="C225" s="8" t="s">
        <v>8505</v>
      </c>
      <c r="D225" s="8" t="s">
        <v>8506</v>
      </c>
      <c r="E225" s="8"/>
      <c r="F225" s="8"/>
    </row>
    <row r="226" spans="1:6">
      <c r="A226" s="8" t="s">
        <v>282</v>
      </c>
      <c r="B226" s="8" t="s">
        <v>8499</v>
      </c>
      <c r="C226" s="8" t="s">
        <v>8507</v>
      </c>
      <c r="D226" s="8" t="s">
        <v>8508</v>
      </c>
      <c r="E226" s="8"/>
      <c r="F226" s="8"/>
    </row>
    <row r="227" spans="1:6">
      <c r="A227" s="8" t="s">
        <v>282</v>
      </c>
      <c r="B227" s="8" t="s">
        <v>8499</v>
      </c>
      <c r="C227" s="8" t="s">
        <v>8509</v>
      </c>
      <c r="D227" s="8" t="s">
        <v>8510</v>
      </c>
      <c r="E227" s="8"/>
      <c r="F227" s="8"/>
    </row>
    <row r="228" spans="1:6">
      <c r="A228" s="8" t="s">
        <v>282</v>
      </c>
      <c r="B228" s="8" t="s">
        <v>8499</v>
      </c>
      <c r="C228" s="8" t="s">
        <v>8511</v>
      </c>
      <c r="D228" s="8" t="s">
        <v>8512</v>
      </c>
      <c r="E228" s="8"/>
      <c r="F228" s="8"/>
    </row>
    <row r="229" spans="1:6">
      <c r="A229" s="8" t="s">
        <v>8023</v>
      </c>
      <c r="B229" s="8" t="s">
        <v>8513</v>
      </c>
      <c r="C229" s="8" t="s">
        <v>8514</v>
      </c>
      <c r="D229" s="8" t="s">
        <v>8515</v>
      </c>
      <c r="E229" s="8"/>
      <c r="F229" s="8"/>
    </row>
    <row r="230" spans="1:6">
      <c r="A230" s="8" t="s">
        <v>8023</v>
      </c>
      <c r="B230" s="8" t="s">
        <v>8513</v>
      </c>
      <c r="C230" s="8" t="s">
        <v>8516</v>
      </c>
      <c r="D230" s="8" t="s">
        <v>8517</v>
      </c>
      <c r="E230" s="8"/>
      <c r="F230" s="8"/>
    </row>
    <row r="231" spans="1:6">
      <c r="A231" s="8" t="s">
        <v>8023</v>
      </c>
      <c r="B231" s="8" t="s">
        <v>8513</v>
      </c>
      <c r="C231" s="8" t="s">
        <v>8518</v>
      </c>
      <c r="D231" s="8" t="s">
        <v>8519</v>
      </c>
      <c r="E231" s="8"/>
      <c r="F231" s="8"/>
    </row>
    <row r="232" spans="1:6">
      <c r="A232" s="8" t="s">
        <v>8023</v>
      </c>
      <c r="B232" s="8" t="s">
        <v>8513</v>
      </c>
      <c r="C232" s="8" t="s">
        <v>8520</v>
      </c>
      <c r="D232" s="8" t="s">
        <v>8521</v>
      </c>
      <c r="E232" s="8"/>
      <c r="F232" s="8"/>
    </row>
    <row r="233" spans="1:6">
      <c r="A233" s="8" t="s">
        <v>8023</v>
      </c>
      <c r="B233" s="8" t="s">
        <v>8513</v>
      </c>
      <c r="C233" s="8" t="s">
        <v>8522</v>
      </c>
      <c r="D233" s="8" t="s">
        <v>8523</v>
      </c>
      <c r="E233" s="8"/>
      <c r="F233" s="8"/>
    </row>
    <row r="234" spans="1:6">
      <c r="A234" s="8" t="s">
        <v>8023</v>
      </c>
      <c r="B234" s="8" t="s">
        <v>8513</v>
      </c>
      <c r="C234" s="8" t="s">
        <v>8524</v>
      </c>
      <c r="D234" s="8" t="s">
        <v>8525</v>
      </c>
      <c r="E234" s="8"/>
      <c r="F234" s="8"/>
    </row>
    <row r="235" spans="1:6">
      <c r="A235" s="8" t="s">
        <v>8023</v>
      </c>
      <c r="B235" s="8" t="s">
        <v>8513</v>
      </c>
      <c r="C235" s="8" t="s">
        <v>8526</v>
      </c>
      <c r="D235" s="8" t="s">
        <v>8527</v>
      </c>
      <c r="E235" s="8"/>
      <c r="F235" s="8"/>
    </row>
    <row r="236" spans="1:6">
      <c r="A236" s="8" t="s">
        <v>8023</v>
      </c>
      <c r="B236" s="8" t="s">
        <v>8513</v>
      </c>
      <c r="C236" s="8" t="s">
        <v>8528</v>
      </c>
      <c r="D236" s="8" t="s">
        <v>8529</v>
      </c>
      <c r="E236" s="8"/>
      <c r="F236" s="8"/>
    </row>
    <row r="237" spans="1:6">
      <c r="A237" s="8" t="s">
        <v>8023</v>
      </c>
      <c r="B237" s="8" t="s">
        <v>8513</v>
      </c>
      <c r="C237" s="8" t="s">
        <v>8530</v>
      </c>
      <c r="D237" s="8" t="s">
        <v>8531</v>
      </c>
      <c r="E237" s="8"/>
      <c r="F237" s="8"/>
    </row>
    <row r="238" spans="1:6">
      <c r="A238" s="8" t="s">
        <v>8023</v>
      </c>
      <c r="B238" s="8" t="s">
        <v>8513</v>
      </c>
      <c r="C238" s="8" t="s">
        <v>8532</v>
      </c>
      <c r="D238" s="8" t="s">
        <v>8533</v>
      </c>
      <c r="E238" s="8"/>
      <c r="F238" s="8"/>
    </row>
    <row r="239" spans="1:6">
      <c r="A239" s="8" t="s">
        <v>8023</v>
      </c>
      <c r="B239" s="8" t="s">
        <v>8513</v>
      </c>
      <c r="C239" s="8" t="s">
        <v>8534</v>
      </c>
      <c r="D239" s="8" t="s">
        <v>8535</v>
      </c>
      <c r="E239" s="8"/>
      <c r="F239" s="8"/>
    </row>
    <row r="240" spans="1:6">
      <c r="A240" s="8" t="s">
        <v>8023</v>
      </c>
      <c r="B240" s="8" t="s">
        <v>8513</v>
      </c>
      <c r="C240" s="8" t="s">
        <v>8536</v>
      </c>
      <c r="D240" s="8" t="s">
        <v>8537</v>
      </c>
      <c r="E240" s="8"/>
      <c r="F240" s="8"/>
    </row>
    <row r="241" spans="1:6">
      <c r="A241" s="8" t="s">
        <v>8023</v>
      </c>
      <c r="B241" s="8" t="s">
        <v>8513</v>
      </c>
      <c r="C241" s="8" t="s">
        <v>8538</v>
      </c>
      <c r="D241" s="8" t="s">
        <v>8539</v>
      </c>
      <c r="E241" s="8"/>
      <c r="F241" s="8"/>
    </row>
    <row r="242" spans="1:6">
      <c r="A242" s="8" t="s">
        <v>8023</v>
      </c>
      <c r="B242" s="8" t="s">
        <v>8513</v>
      </c>
      <c r="C242" s="8" t="s">
        <v>8540</v>
      </c>
      <c r="D242" s="8" t="s">
        <v>8541</v>
      </c>
      <c r="E242" s="8"/>
      <c r="F242" s="8"/>
    </row>
    <row r="243" spans="1:6">
      <c r="A243" s="8" t="s">
        <v>8023</v>
      </c>
      <c r="B243" s="8" t="s">
        <v>8513</v>
      </c>
      <c r="C243" s="8" t="s">
        <v>8542</v>
      </c>
      <c r="D243" s="8" t="s">
        <v>8543</v>
      </c>
      <c r="E243" s="8"/>
      <c r="F243" s="8"/>
    </row>
    <row r="244" spans="1:6">
      <c r="A244" s="8" t="s">
        <v>8023</v>
      </c>
      <c r="B244" s="8" t="s">
        <v>8513</v>
      </c>
      <c r="C244" s="8" t="s">
        <v>8544</v>
      </c>
      <c r="D244" s="8" t="s">
        <v>8545</v>
      </c>
      <c r="E244" s="8"/>
      <c r="F244" s="8"/>
    </row>
    <row r="245" spans="1:6">
      <c r="A245" s="8" t="s">
        <v>8023</v>
      </c>
      <c r="B245" s="8" t="s">
        <v>8513</v>
      </c>
      <c r="C245" s="8" t="s">
        <v>8546</v>
      </c>
      <c r="D245" s="8" t="s">
        <v>8547</v>
      </c>
      <c r="E245" s="8"/>
      <c r="F245" s="8"/>
    </row>
    <row r="246" spans="1:6">
      <c r="A246" s="8" t="s">
        <v>8023</v>
      </c>
      <c r="B246" s="8" t="s">
        <v>8513</v>
      </c>
      <c r="C246" s="8" t="s">
        <v>8548</v>
      </c>
      <c r="D246" s="8" t="s">
        <v>8549</v>
      </c>
      <c r="E246" s="8"/>
      <c r="F246" s="8"/>
    </row>
    <row r="247" spans="1:6">
      <c r="A247" s="8" t="s">
        <v>8023</v>
      </c>
      <c r="B247" s="8" t="s">
        <v>8513</v>
      </c>
      <c r="C247" s="8" t="s">
        <v>8550</v>
      </c>
      <c r="D247" s="8" t="s">
        <v>8551</v>
      </c>
      <c r="E247" s="8"/>
      <c r="F247" s="8"/>
    </row>
    <row r="248" spans="1:6">
      <c r="A248" s="8" t="s">
        <v>8023</v>
      </c>
      <c r="B248" s="8" t="s">
        <v>8513</v>
      </c>
      <c r="C248" s="8" t="s">
        <v>8552</v>
      </c>
      <c r="D248" s="8" t="s">
        <v>8553</v>
      </c>
      <c r="E248" s="8"/>
      <c r="F248" s="8"/>
    </row>
    <row r="249" spans="1:6">
      <c r="A249" s="8" t="s">
        <v>8026</v>
      </c>
      <c r="B249" s="8" t="s">
        <v>8554</v>
      </c>
      <c r="C249" s="8" t="s">
        <v>8555</v>
      </c>
      <c r="D249" s="8" t="s">
        <v>8556</v>
      </c>
      <c r="E249" s="8"/>
      <c r="F249" s="8"/>
    </row>
    <row r="250" spans="1:6">
      <c r="A250" s="8" t="s">
        <v>8026</v>
      </c>
      <c r="B250" s="8" t="s">
        <v>8554</v>
      </c>
      <c r="C250" s="8" t="s">
        <v>8557</v>
      </c>
      <c r="D250" s="8" t="s">
        <v>8558</v>
      </c>
      <c r="E250" s="8"/>
      <c r="F250" s="8"/>
    </row>
    <row r="251" spans="1:6">
      <c r="A251" s="8" t="s">
        <v>8026</v>
      </c>
      <c r="B251" s="8" t="s">
        <v>8554</v>
      </c>
      <c r="C251" s="8" t="s">
        <v>8559</v>
      </c>
      <c r="D251" s="8" t="s">
        <v>8560</v>
      </c>
      <c r="E251" s="8"/>
      <c r="F251" s="8"/>
    </row>
    <row r="252" spans="1:6">
      <c r="A252" s="8" t="s">
        <v>8026</v>
      </c>
      <c r="B252" s="8" t="s">
        <v>8554</v>
      </c>
      <c r="C252" s="8" t="s">
        <v>8561</v>
      </c>
      <c r="D252" s="8" t="s">
        <v>8562</v>
      </c>
      <c r="E252" s="8"/>
      <c r="F252" s="8"/>
    </row>
    <row r="253" spans="1:6">
      <c r="A253" s="8" t="s">
        <v>8026</v>
      </c>
      <c r="B253" s="8" t="s">
        <v>8554</v>
      </c>
      <c r="C253" s="8" t="s">
        <v>8563</v>
      </c>
      <c r="D253" s="8" t="s">
        <v>8564</v>
      </c>
      <c r="E253" s="8"/>
      <c r="F253" s="8"/>
    </row>
    <row r="254" spans="1:6">
      <c r="A254" s="8" t="s">
        <v>8028</v>
      </c>
      <c r="B254" s="8" t="s">
        <v>8565</v>
      </c>
      <c r="C254" s="8" t="s">
        <v>8566</v>
      </c>
      <c r="D254" s="8" t="s">
        <v>8567</v>
      </c>
      <c r="E254" s="8"/>
      <c r="F254" s="8"/>
    </row>
    <row r="255" spans="1:6">
      <c r="A255" s="8" t="s">
        <v>8028</v>
      </c>
      <c r="B255" s="8" t="s">
        <v>8565</v>
      </c>
      <c r="C255" s="8" t="s">
        <v>8568</v>
      </c>
      <c r="D255" s="8" t="s">
        <v>8569</v>
      </c>
      <c r="E255" s="8"/>
      <c r="F255" s="8"/>
    </row>
    <row r="256" spans="1:6">
      <c r="A256" s="8" t="s">
        <v>8031</v>
      </c>
      <c r="B256" s="8" t="s">
        <v>8570</v>
      </c>
      <c r="C256" s="8" t="s">
        <v>8571</v>
      </c>
      <c r="D256" s="8" t="s">
        <v>8572</v>
      </c>
      <c r="E256" s="8"/>
      <c r="F256" s="8"/>
    </row>
    <row r="257" spans="1:6">
      <c r="A257" s="8" t="s">
        <v>8031</v>
      </c>
      <c r="B257" s="8" t="s">
        <v>8570</v>
      </c>
      <c r="C257" s="8" t="s">
        <v>8573</v>
      </c>
      <c r="D257" s="8" t="s">
        <v>8574</v>
      </c>
      <c r="E257" s="8"/>
      <c r="F257"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B8D8F-BA70-C847-B2FC-5D8A56758468}">
  <dimension ref="A1:AC143"/>
  <sheetViews>
    <sheetView zoomScale="60" zoomScaleNormal="60" workbookViewId="0">
      <pane xSplit="4" ySplit="1" topLeftCell="E116" activePane="bottomRight" state="frozen"/>
      <selection pane="topRight" activeCell="E1" sqref="E1"/>
      <selection pane="bottomLeft" activeCell="A2" sqref="A2"/>
      <selection pane="bottomRight" activeCell="K129" sqref="K129"/>
    </sheetView>
  </sheetViews>
  <sheetFormatPr baseColWidth="10" defaultRowHeight="16"/>
  <cols>
    <col min="1" max="1" width="12.6640625" customWidth="1"/>
    <col min="2" max="2" width="17" customWidth="1"/>
    <col min="3" max="3" width="21.1640625" customWidth="1"/>
    <col min="4" max="4" width="21" customWidth="1"/>
    <col min="5" max="5" width="6.5" style="76" customWidth="1"/>
    <col min="6" max="6" width="6.83203125" style="76" customWidth="1"/>
    <col min="7" max="7" width="8.33203125" style="76" customWidth="1"/>
    <col min="8" max="8" width="8.1640625" style="76" customWidth="1"/>
    <col min="9" max="9" width="7.83203125" style="76" customWidth="1"/>
    <col min="10" max="10" width="6.1640625" style="161" customWidth="1"/>
    <col min="11" max="11" width="6.83203125" style="161" customWidth="1"/>
    <col min="12" max="12" width="5.1640625" style="76" customWidth="1"/>
    <col min="13" max="14" width="6.5" style="76" customWidth="1"/>
    <col min="15" max="15" width="6.33203125" style="76" customWidth="1"/>
    <col min="16" max="17" width="6" style="76" customWidth="1"/>
    <col min="18" max="18" width="7.1640625" style="76" customWidth="1"/>
    <col min="19" max="20" width="9.33203125" style="76" customWidth="1"/>
    <col min="21" max="21" width="10.6640625" style="76" customWidth="1"/>
    <col min="22" max="22" width="8.1640625" style="76" customWidth="1"/>
    <col min="23" max="23" width="9.1640625" style="76" customWidth="1"/>
    <col min="24" max="24" width="11" style="76" customWidth="1"/>
    <col min="25" max="25" width="10.1640625" style="76" customWidth="1"/>
    <col min="26" max="26" width="7.83203125" style="76" customWidth="1"/>
    <col min="27" max="27" width="9.83203125" customWidth="1"/>
    <col min="28" max="28" width="13.33203125" customWidth="1"/>
    <col min="29" max="29" width="17.33203125" customWidth="1"/>
  </cols>
  <sheetData>
    <row r="1" spans="1:29" s="1" customFormat="1">
      <c r="A1" s="1" t="s">
        <v>264</v>
      </c>
      <c r="B1" s="14" t="s">
        <v>204</v>
      </c>
      <c r="C1" s="15" t="s">
        <v>317</v>
      </c>
      <c r="D1" s="15" t="s">
        <v>205</v>
      </c>
      <c r="E1" s="152" t="s">
        <v>298</v>
      </c>
      <c r="F1" s="152" t="s">
        <v>299</v>
      </c>
      <c r="G1" s="152" t="s">
        <v>300</v>
      </c>
      <c r="H1" s="152" t="s">
        <v>314</v>
      </c>
      <c r="I1" s="152" t="s">
        <v>301</v>
      </c>
      <c r="J1" s="153" t="s">
        <v>302</v>
      </c>
      <c r="K1" s="153" t="s">
        <v>303</v>
      </c>
      <c r="L1" s="152" t="s">
        <v>304</v>
      </c>
      <c r="M1" s="152" t="s">
        <v>305</v>
      </c>
      <c r="N1" s="152" t="s">
        <v>306</v>
      </c>
      <c r="O1" s="152" t="s">
        <v>316</v>
      </c>
      <c r="P1" s="152" t="s">
        <v>315</v>
      </c>
      <c r="Q1" s="152" t="s">
        <v>318</v>
      </c>
      <c r="R1" s="152" t="s">
        <v>319</v>
      </c>
      <c r="S1" s="152" t="s">
        <v>307</v>
      </c>
      <c r="T1" s="152" t="s">
        <v>308</v>
      </c>
      <c r="U1" s="152" t="s">
        <v>0</v>
      </c>
      <c r="V1" s="152" t="s">
        <v>1</v>
      </c>
      <c r="W1" s="152" t="s">
        <v>2</v>
      </c>
      <c r="X1" s="152" t="s">
        <v>3</v>
      </c>
      <c r="Y1" s="152" t="s">
        <v>4</v>
      </c>
      <c r="Z1" s="152" t="s">
        <v>210</v>
      </c>
      <c r="AA1" s="15" t="s">
        <v>5</v>
      </c>
      <c r="AB1" s="15" t="s">
        <v>6</v>
      </c>
      <c r="AC1" s="14" t="s">
        <v>7</v>
      </c>
    </row>
    <row r="2" spans="1:29">
      <c r="B2" s="16" t="s">
        <v>8</v>
      </c>
      <c r="C2" s="17" t="s">
        <v>9</v>
      </c>
      <c r="D2" s="17"/>
      <c r="E2" s="23"/>
      <c r="F2" s="23"/>
      <c r="G2" s="23"/>
      <c r="H2" s="23"/>
      <c r="I2" s="23"/>
      <c r="J2" s="24"/>
      <c r="K2" s="24"/>
      <c r="L2" s="32">
        <v>8.4</v>
      </c>
      <c r="M2" s="32">
        <v>13.2</v>
      </c>
      <c r="N2" s="32">
        <v>11</v>
      </c>
      <c r="O2" s="32"/>
      <c r="P2" s="32"/>
      <c r="Q2" s="32"/>
      <c r="R2" s="32"/>
      <c r="S2" s="32"/>
      <c r="T2" s="32"/>
      <c r="U2" s="36"/>
      <c r="V2" s="36"/>
      <c r="W2" s="36"/>
      <c r="X2" s="40">
        <v>605</v>
      </c>
      <c r="Y2" s="40">
        <v>6800</v>
      </c>
      <c r="Z2" s="40"/>
      <c r="AA2" s="17" t="s">
        <v>10</v>
      </c>
      <c r="AB2" s="18" t="s">
        <v>11</v>
      </c>
      <c r="AC2" s="16"/>
    </row>
    <row r="3" spans="1:29">
      <c r="B3" t="s">
        <v>8</v>
      </c>
      <c r="C3" s="2" t="s">
        <v>12</v>
      </c>
      <c r="D3" s="2"/>
      <c r="E3" s="25"/>
      <c r="F3" s="25"/>
      <c r="G3" s="25"/>
      <c r="H3" s="25"/>
      <c r="I3" s="25"/>
      <c r="J3" s="26"/>
      <c r="K3" s="26"/>
      <c r="L3" s="33">
        <v>5</v>
      </c>
      <c r="M3" s="33">
        <v>12.7</v>
      </c>
      <c r="N3" s="33">
        <v>9</v>
      </c>
      <c r="O3" s="33"/>
      <c r="P3" s="33"/>
      <c r="Q3" s="33"/>
      <c r="R3" s="33"/>
      <c r="S3" s="33"/>
      <c r="T3" s="33"/>
      <c r="U3" s="37" t="s">
        <v>309</v>
      </c>
      <c r="V3" s="37">
        <v>15</v>
      </c>
      <c r="W3" s="37">
        <v>25</v>
      </c>
      <c r="X3" s="41">
        <v>1070</v>
      </c>
      <c r="Y3" s="41">
        <v>3360</v>
      </c>
      <c r="Z3" s="41"/>
      <c r="AA3" s="2" t="s">
        <v>10</v>
      </c>
      <c r="AB3" s="2" t="s">
        <v>11</v>
      </c>
    </row>
    <row r="4" spans="1:29">
      <c r="B4" s="10" t="s">
        <v>8</v>
      </c>
      <c r="C4" s="3" t="s">
        <v>13</v>
      </c>
      <c r="D4" s="3"/>
      <c r="E4" s="23"/>
      <c r="F4" s="23"/>
      <c r="G4" s="23"/>
      <c r="H4" s="23"/>
      <c r="I4" s="23"/>
      <c r="J4" s="24"/>
      <c r="K4" s="24"/>
      <c r="L4" s="32">
        <v>13</v>
      </c>
      <c r="M4" s="32">
        <v>16</v>
      </c>
      <c r="N4" s="32">
        <v>15</v>
      </c>
      <c r="O4" s="32"/>
      <c r="P4" s="32"/>
      <c r="Q4" s="32"/>
      <c r="R4" s="32"/>
      <c r="S4" s="32"/>
      <c r="T4" s="32"/>
      <c r="U4" s="36"/>
      <c r="V4" s="36"/>
      <c r="W4" s="36"/>
      <c r="X4" s="40">
        <v>150</v>
      </c>
      <c r="Y4" s="40">
        <v>540</v>
      </c>
      <c r="Z4" s="40"/>
      <c r="AA4" s="3" t="s">
        <v>10</v>
      </c>
      <c r="AB4" s="3" t="s">
        <v>11</v>
      </c>
      <c r="AC4" s="10"/>
    </row>
    <row r="5" spans="1:29">
      <c r="B5" t="s">
        <v>8</v>
      </c>
      <c r="C5" s="2" t="s">
        <v>14</v>
      </c>
      <c r="D5" s="2"/>
      <c r="E5" s="25"/>
      <c r="F5" s="25"/>
      <c r="G5" s="25"/>
      <c r="H5" s="25"/>
      <c r="I5" s="25"/>
      <c r="J5" s="26"/>
      <c r="K5" s="26"/>
      <c r="L5" s="33">
        <v>12</v>
      </c>
      <c r="M5" s="33">
        <v>15</v>
      </c>
      <c r="N5" s="33">
        <v>14</v>
      </c>
      <c r="O5" s="33"/>
      <c r="P5" s="33"/>
      <c r="Q5" s="33"/>
      <c r="R5" s="33"/>
      <c r="S5" s="33"/>
      <c r="T5" s="33"/>
      <c r="U5" s="37"/>
      <c r="V5" s="37"/>
      <c r="W5" s="37"/>
      <c r="X5" s="41">
        <v>9.6</v>
      </c>
      <c r="Y5" s="41">
        <v>38.6</v>
      </c>
      <c r="Z5" s="41"/>
      <c r="AA5" s="2" t="s">
        <v>10</v>
      </c>
      <c r="AB5" s="2" t="s">
        <v>11</v>
      </c>
    </row>
    <row r="6" spans="1:29">
      <c r="B6" s="10" t="s">
        <v>8</v>
      </c>
      <c r="C6" s="3" t="s">
        <v>15</v>
      </c>
      <c r="D6" s="3"/>
      <c r="E6" s="23"/>
      <c r="F6" s="23"/>
      <c r="G6" s="23"/>
      <c r="H6" s="23"/>
      <c r="I6" s="23"/>
      <c r="J6" s="24" t="s">
        <v>274</v>
      </c>
      <c r="K6" s="24" t="s">
        <v>272</v>
      </c>
      <c r="L6" s="32">
        <v>9</v>
      </c>
      <c r="M6" s="32">
        <v>11</v>
      </c>
      <c r="N6" s="32">
        <v>10</v>
      </c>
      <c r="O6" s="32"/>
      <c r="P6" s="32"/>
      <c r="Q6" s="32"/>
      <c r="R6" s="32"/>
      <c r="S6" s="32">
        <v>2</v>
      </c>
      <c r="T6" s="32">
        <v>11</v>
      </c>
      <c r="U6" s="36"/>
      <c r="V6" s="36"/>
      <c r="W6" s="36"/>
      <c r="X6" s="40">
        <v>5</v>
      </c>
      <c r="Y6" s="40">
        <v>14</v>
      </c>
      <c r="Z6" s="40"/>
      <c r="AA6" s="3" t="s">
        <v>10</v>
      </c>
      <c r="AB6" s="3" t="s">
        <v>11</v>
      </c>
      <c r="AC6" s="10"/>
    </row>
    <row r="7" spans="1:29">
      <c r="B7" t="s">
        <v>8</v>
      </c>
      <c r="C7" s="2" t="s">
        <v>16</v>
      </c>
      <c r="D7" s="2"/>
      <c r="E7" s="25"/>
      <c r="F7" s="25"/>
      <c r="G7" s="25"/>
      <c r="H7" s="25"/>
      <c r="I7" s="25"/>
      <c r="J7" s="26" t="s">
        <v>273</v>
      </c>
      <c r="K7" s="26" t="s">
        <v>272</v>
      </c>
      <c r="L7" s="33">
        <v>5</v>
      </c>
      <c r="M7" s="33">
        <v>6</v>
      </c>
      <c r="N7" s="33">
        <v>6</v>
      </c>
      <c r="O7" s="33"/>
      <c r="P7" s="33"/>
      <c r="Q7" s="33"/>
      <c r="R7" s="33"/>
      <c r="S7" s="33">
        <v>2</v>
      </c>
      <c r="T7" s="33">
        <v>12</v>
      </c>
      <c r="U7" s="37"/>
      <c r="V7" s="37"/>
      <c r="W7" s="37"/>
      <c r="X7" s="41">
        <v>5</v>
      </c>
      <c r="Y7" s="41">
        <v>14</v>
      </c>
      <c r="Z7" s="41"/>
      <c r="AA7" s="2" t="s">
        <v>10</v>
      </c>
      <c r="AB7" s="2" t="s">
        <v>11</v>
      </c>
    </row>
    <row r="8" spans="1:29">
      <c r="B8" s="10" t="s">
        <v>8</v>
      </c>
      <c r="C8" s="3" t="s">
        <v>17</v>
      </c>
      <c r="D8" s="3"/>
      <c r="E8" s="23"/>
      <c r="F8" s="23"/>
      <c r="G8" s="23"/>
      <c r="H8" s="23"/>
      <c r="I8" s="23"/>
      <c r="J8" s="24"/>
      <c r="K8" s="24"/>
      <c r="L8" s="32">
        <v>7</v>
      </c>
      <c r="M8" s="32">
        <v>10</v>
      </c>
      <c r="N8" s="32"/>
      <c r="O8" s="32"/>
      <c r="P8" s="32"/>
      <c r="Q8" s="32"/>
      <c r="R8" s="32"/>
      <c r="S8" s="32"/>
      <c r="T8" s="32"/>
      <c r="U8" s="36"/>
      <c r="V8" s="36"/>
      <c r="W8" s="36"/>
      <c r="X8" s="40">
        <v>40</v>
      </c>
      <c r="Y8" s="40">
        <v>140</v>
      </c>
      <c r="Z8" s="40"/>
      <c r="AA8" s="3" t="s">
        <v>10</v>
      </c>
      <c r="AB8" s="3" t="s">
        <v>11</v>
      </c>
      <c r="AC8" s="10"/>
    </row>
    <row r="9" spans="1:29">
      <c r="B9" t="s">
        <v>8</v>
      </c>
      <c r="C9" s="2" t="s">
        <v>18</v>
      </c>
      <c r="D9" s="2"/>
      <c r="E9" s="25"/>
      <c r="F9" s="25"/>
      <c r="G9" s="25"/>
      <c r="H9" s="25"/>
      <c r="I9" s="25"/>
      <c r="J9" s="26" t="s">
        <v>285</v>
      </c>
      <c r="K9" s="26" t="s">
        <v>284</v>
      </c>
      <c r="L9" s="33">
        <v>8</v>
      </c>
      <c r="M9" s="33">
        <v>12</v>
      </c>
      <c r="N9" s="33">
        <v>10</v>
      </c>
      <c r="O9" s="33"/>
      <c r="P9" s="33"/>
      <c r="Q9" s="33"/>
      <c r="R9" s="33"/>
      <c r="S9" s="33">
        <v>2</v>
      </c>
      <c r="T9" s="33">
        <v>11</v>
      </c>
      <c r="U9" s="37"/>
      <c r="V9" s="37"/>
      <c r="W9" s="37"/>
      <c r="X9" s="41">
        <v>30</v>
      </c>
      <c r="Y9" s="41">
        <v>90</v>
      </c>
      <c r="Z9" s="41"/>
      <c r="AA9" s="2" t="s">
        <v>10</v>
      </c>
      <c r="AB9" s="2" t="s">
        <v>11</v>
      </c>
    </row>
    <row r="10" spans="1:29">
      <c r="B10" s="10" t="s">
        <v>8</v>
      </c>
      <c r="C10" s="3" t="s">
        <v>19</v>
      </c>
      <c r="D10" s="3"/>
      <c r="E10" s="23"/>
      <c r="F10" s="23"/>
      <c r="G10" s="23"/>
      <c r="H10" s="23"/>
      <c r="I10" s="23"/>
      <c r="J10" s="26" t="s">
        <v>285</v>
      </c>
      <c r="K10" s="26" t="s">
        <v>284</v>
      </c>
      <c r="L10" s="32">
        <v>9</v>
      </c>
      <c r="M10" s="32">
        <v>13</v>
      </c>
      <c r="N10" s="32">
        <v>11</v>
      </c>
      <c r="O10" s="32"/>
      <c r="P10" s="32"/>
      <c r="Q10" s="32"/>
      <c r="R10" s="32"/>
      <c r="S10" s="33">
        <v>2</v>
      </c>
      <c r="T10" s="33">
        <v>11</v>
      </c>
      <c r="U10" s="36"/>
      <c r="V10" s="36"/>
      <c r="W10" s="36"/>
      <c r="X10" s="40">
        <v>20</v>
      </c>
      <c r="Y10" s="40">
        <v>70</v>
      </c>
      <c r="Z10" s="40"/>
      <c r="AA10" s="3" t="s">
        <v>10</v>
      </c>
      <c r="AB10" s="3" t="s">
        <v>11</v>
      </c>
      <c r="AC10" s="10"/>
    </row>
    <row r="11" spans="1:29">
      <c r="B11" t="s">
        <v>8</v>
      </c>
      <c r="C11" s="2" t="s">
        <v>20</v>
      </c>
      <c r="D11" s="2" t="s">
        <v>21</v>
      </c>
      <c r="E11" s="25"/>
      <c r="F11" s="25"/>
      <c r="G11" s="25"/>
      <c r="H11" s="25"/>
      <c r="I11" s="25"/>
      <c r="J11" s="26"/>
      <c r="K11" s="26"/>
      <c r="L11" s="33">
        <v>3</v>
      </c>
      <c r="M11" s="33">
        <v>5</v>
      </c>
      <c r="N11" s="33">
        <f>AVERAGE(Lookup!$L11:$M11)</f>
        <v>4</v>
      </c>
      <c r="O11" s="33"/>
      <c r="P11" s="33"/>
      <c r="Q11" s="33"/>
      <c r="R11" s="33"/>
      <c r="S11" s="33"/>
      <c r="T11" s="33"/>
      <c r="U11" s="37"/>
      <c r="V11" s="37"/>
      <c r="W11" s="37"/>
      <c r="X11" s="41"/>
      <c r="Y11" s="41">
        <v>0.3</v>
      </c>
      <c r="Z11" s="41"/>
      <c r="AA11" s="2" t="s">
        <v>10</v>
      </c>
      <c r="AB11" s="2" t="s">
        <v>11</v>
      </c>
    </row>
    <row r="12" spans="1:29">
      <c r="B12" s="10" t="s">
        <v>8</v>
      </c>
      <c r="C12" s="3" t="s">
        <v>20</v>
      </c>
      <c r="D12" s="3" t="s">
        <v>22</v>
      </c>
      <c r="E12" s="23"/>
      <c r="F12" s="23"/>
      <c r="G12" s="23"/>
      <c r="H12" s="23"/>
      <c r="I12" s="23"/>
      <c r="J12" s="24"/>
      <c r="K12" s="24"/>
      <c r="L12" s="32">
        <v>4.5</v>
      </c>
      <c r="M12" s="32">
        <v>5.5</v>
      </c>
      <c r="N12" s="32">
        <f>AVERAGE(Lookup!$L12:$M12)</f>
        <v>5</v>
      </c>
      <c r="O12" s="32"/>
      <c r="P12" s="32"/>
      <c r="Q12" s="32"/>
      <c r="R12" s="32"/>
      <c r="S12" s="32"/>
      <c r="T12" s="32"/>
      <c r="U12" s="36"/>
      <c r="V12" s="36"/>
      <c r="W12" s="36"/>
      <c r="X12" s="40">
        <v>0.5</v>
      </c>
      <c r="Y12" s="40">
        <v>2</v>
      </c>
      <c r="Z12" s="40"/>
      <c r="AA12" s="3" t="s">
        <v>10</v>
      </c>
      <c r="AB12" s="3" t="s">
        <v>11</v>
      </c>
      <c r="AC12" s="10"/>
    </row>
    <row r="13" spans="1:29">
      <c r="B13" t="s">
        <v>8</v>
      </c>
      <c r="C13" s="2" t="s">
        <v>20</v>
      </c>
      <c r="D13" s="2" t="s">
        <v>23</v>
      </c>
      <c r="E13" s="25"/>
      <c r="F13" s="25"/>
      <c r="G13" s="25"/>
      <c r="H13" s="25"/>
      <c r="I13" s="25"/>
      <c r="J13" s="26"/>
      <c r="K13" s="26"/>
      <c r="L13" s="33">
        <v>1.4</v>
      </c>
      <c r="M13" s="33">
        <v>5.5</v>
      </c>
      <c r="N13" s="33">
        <f>AVERAGE(Lookup!$L13:$M13)</f>
        <v>3.45</v>
      </c>
      <c r="O13" s="33"/>
      <c r="P13" s="33"/>
      <c r="Q13" s="33"/>
      <c r="R13" s="33"/>
      <c r="S13" s="33"/>
      <c r="T13" s="33"/>
      <c r="U13" s="37"/>
      <c r="V13" s="37"/>
      <c r="W13" s="37"/>
      <c r="X13" s="41"/>
      <c r="Y13" s="41">
        <v>0.2</v>
      </c>
      <c r="Z13" s="41"/>
      <c r="AA13" s="2" t="s">
        <v>10</v>
      </c>
      <c r="AB13" s="2" t="s">
        <v>11</v>
      </c>
    </row>
    <row r="14" spans="1:29">
      <c r="B14" s="10" t="s">
        <v>8</v>
      </c>
      <c r="C14" s="3" t="s">
        <v>24</v>
      </c>
      <c r="D14" s="3" t="s">
        <v>25</v>
      </c>
      <c r="E14" s="23"/>
      <c r="F14" s="23"/>
      <c r="G14" s="23"/>
      <c r="H14" s="23"/>
      <c r="I14" s="23"/>
      <c r="J14" s="24"/>
      <c r="K14" s="24"/>
      <c r="L14" s="32">
        <v>3.6</v>
      </c>
      <c r="M14" s="32">
        <v>4.4000000000000004</v>
      </c>
      <c r="N14" s="32">
        <v>4</v>
      </c>
      <c r="O14" s="32"/>
      <c r="P14" s="32"/>
      <c r="Q14" s="32"/>
      <c r="R14" s="32"/>
      <c r="S14" s="32"/>
      <c r="T14" s="32"/>
      <c r="U14" s="36"/>
      <c r="V14" s="36"/>
      <c r="W14" s="36"/>
      <c r="X14" s="40"/>
      <c r="Y14" s="40">
        <v>0.5</v>
      </c>
      <c r="Z14" s="40"/>
      <c r="AA14" s="3" t="s">
        <v>10</v>
      </c>
      <c r="AB14" s="3" t="s">
        <v>11</v>
      </c>
      <c r="AC14" s="10"/>
    </row>
    <row r="15" spans="1:29">
      <c r="B15" t="s">
        <v>8</v>
      </c>
      <c r="C15" s="2" t="s">
        <v>24</v>
      </c>
      <c r="D15" s="2" t="s">
        <v>26</v>
      </c>
      <c r="E15" s="25"/>
      <c r="F15" s="25"/>
      <c r="G15" s="25"/>
      <c r="H15" s="25"/>
      <c r="I15" s="25"/>
      <c r="J15" s="26"/>
      <c r="K15" s="26"/>
      <c r="L15" s="33">
        <v>5</v>
      </c>
      <c r="M15" s="33">
        <v>5.6</v>
      </c>
      <c r="N15" s="33">
        <v>5</v>
      </c>
      <c r="O15" s="33"/>
      <c r="P15" s="33"/>
      <c r="Q15" s="33"/>
      <c r="R15" s="33"/>
      <c r="S15" s="33"/>
      <c r="T15" s="33"/>
      <c r="U15" s="37"/>
      <c r="V15" s="37"/>
      <c r="W15" s="37"/>
      <c r="X15" s="41"/>
      <c r="Y15" s="41">
        <v>0.5</v>
      </c>
      <c r="Z15" s="41"/>
      <c r="AA15" s="2" t="s">
        <v>10</v>
      </c>
      <c r="AB15" s="2" t="s">
        <v>11</v>
      </c>
    </row>
    <row r="16" spans="1:29">
      <c r="B16" s="10" t="s">
        <v>8</v>
      </c>
      <c r="C16" s="3" t="s">
        <v>27</v>
      </c>
      <c r="D16" s="3" t="s">
        <v>28</v>
      </c>
      <c r="E16" s="23"/>
      <c r="F16" s="23"/>
      <c r="G16" s="23"/>
      <c r="H16" s="23"/>
      <c r="I16" s="23"/>
      <c r="J16" s="24"/>
      <c r="K16" s="24"/>
      <c r="L16" s="32">
        <v>10</v>
      </c>
      <c r="M16" s="32">
        <v>20</v>
      </c>
      <c r="N16" s="32">
        <v>15</v>
      </c>
      <c r="O16" s="32"/>
      <c r="P16" s="32"/>
      <c r="Q16" s="32"/>
      <c r="R16" s="32"/>
      <c r="S16" s="32"/>
      <c r="T16" s="32"/>
      <c r="U16" s="36"/>
      <c r="V16" s="36"/>
      <c r="W16" s="36"/>
      <c r="X16" s="40"/>
      <c r="Y16" s="40"/>
      <c r="Z16" s="40"/>
      <c r="AA16" s="3" t="s">
        <v>10</v>
      </c>
      <c r="AB16" s="3" t="s">
        <v>11</v>
      </c>
      <c r="AC16" s="10"/>
    </row>
    <row r="17" spans="1:29">
      <c r="B17" t="s">
        <v>8</v>
      </c>
      <c r="C17" s="2" t="s">
        <v>27</v>
      </c>
      <c r="D17" s="2" t="s">
        <v>29</v>
      </c>
      <c r="E17" s="25"/>
      <c r="F17" s="25"/>
      <c r="G17" s="25"/>
      <c r="H17" s="25"/>
      <c r="I17" s="25"/>
      <c r="J17" s="26"/>
      <c r="K17" s="26"/>
      <c r="L17" s="33">
        <v>8</v>
      </c>
      <c r="M17" s="33">
        <v>18</v>
      </c>
      <c r="N17" s="33">
        <v>13</v>
      </c>
      <c r="O17" s="33"/>
      <c r="P17" s="33"/>
      <c r="Q17" s="33"/>
      <c r="R17" s="33"/>
      <c r="S17" s="33"/>
      <c r="T17" s="33"/>
      <c r="U17" s="37"/>
      <c r="V17" s="37"/>
      <c r="W17" s="37"/>
      <c r="X17" s="41"/>
      <c r="Y17" s="41"/>
      <c r="Z17" s="41"/>
      <c r="AA17" s="2" t="s">
        <v>10</v>
      </c>
      <c r="AB17" s="2" t="s">
        <v>11</v>
      </c>
    </row>
    <row r="18" spans="1:29">
      <c r="B18" s="10" t="s">
        <v>8</v>
      </c>
      <c r="C18" s="3" t="s">
        <v>30</v>
      </c>
      <c r="D18" s="3"/>
      <c r="E18" s="23"/>
      <c r="F18" s="23"/>
      <c r="G18" s="23"/>
      <c r="H18" s="23"/>
      <c r="I18" s="23"/>
      <c r="J18" s="24"/>
      <c r="K18" s="24"/>
      <c r="L18" s="32">
        <v>3</v>
      </c>
      <c r="M18" s="32">
        <v>7</v>
      </c>
      <c r="N18" s="32">
        <v>5</v>
      </c>
      <c r="O18" s="32"/>
      <c r="P18" s="32"/>
      <c r="Q18" s="32"/>
      <c r="R18" s="32"/>
      <c r="S18" s="32"/>
      <c r="T18" s="32"/>
      <c r="U18" s="36"/>
      <c r="V18" s="36"/>
      <c r="W18" s="36"/>
      <c r="X18" s="40">
        <v>18</v>
      </c>
      <c r="Y18" s="40">
        <v>55</v>
      </c>
      <c r="Z18" s="40"/>
      <c r="AA18" s="3" t="s">
        <v>10</v>
      </c>
      <c r="AB18" s="3" t="s">
        <v>11</v>
      </c>
      <c r="AC18" s="10"/>
    </row>
    <row r="19" spans="1:29">
      <c r="B19" t="s">
        <v>8</v>
      </c>
      <c r="C19" s="2" t="s">
        <v>31</v>
      </c>
      <c r="D19" s="2" t="s">
        <v>32</v>
      </c>
      <c r="E19" s="25"/>
      <c r="F19" s="25"/>
      <c r="G19" s="25"/>
      <c r="H19" s="25"/>
      <c r="I19" s="25"/>
      <c r="J19" s="26"/>
      <c r="K19" s="26"/>
      <c r="L19" s="33">
        <v>8.5</v>
      </c>
      <c r="M19" s="33">
        <v>15</v>
      </c>
      <c r="N19" s="33">
        <v>12</v>
      </c>
      <c r="O19" s="33"/>
      <c r="P19" s="33"/>
      <c r="Q19" s="33"/>
      <c r="R19" s="33"/>
      <c r="S19" s="33"/>
      <c r="T19" s="33"/>
      <c r="U19" s="37"/>
      <c r="V19" s="37"/>
      <c r="W19" s="37"/>
      <c r="X19" s="41">
        <v>35</v>
      </c>
      <c r="Y19" s="41">
        <v>42</v>
      </c>
      <c r="Z19" s="41"/>
      <c r="AA19" s="2" t="s">
        <v>10</v>
      </c>
      <c r="AB19" s="2" t="s">
        <v>11</v>
      </c>
    </row>
    <row r="20" spans="1:29">
      <c r="B20" s="10" t="s">
        <v>8</v>
      </c>
      <c r="C20" s="3" t="s">
        <v>31</v>
      </c>
      <c r="D20" s="3" t="s">
        <v>33</v>
      </c>
      <c r="E20" s="23"/>
      <c r="F20" s="23"/>
      <c r="G20" s="23"/>
      <c r="H20" s="23"/>
      <c r="I20" s="23"/>
      <c r="J20" s="24" t="s">
        <v>280</v>
      </c>
      <c r="K20" s="24" t="s">
        <v>278</v>
      </c>
      <c r="L20" s="32">
        <v>15</v>
      </c>
      <c r="M20" s="32">
        <v>18</v>
      </c>
      <c r="N20" s="32">
        <v>17</v>
      </c>
      <c r="O20" s="32"/>
      <c r="P20" s="32"/>
      <c r="Q20" s="32"/>
      <c r="R20" s="32"/>
      <c r="S20" s="32">
        <v>2</v>
      </c>
      <c r="T20" s="32">
        <v>13</v>
      </c>
      <c r="U20" s="36"/>
      <c r="V20" s="36"/>
      <c r="W20" s="36"/>
      <c r="X20" s="40">
        <v>500</v>
      </c>
      <c r="Y20" s="40">
        <v>850</v>
      </c>
      <c r="Z20" s="40"/>
      <c r="AA20" s="3" t="s">
        <v>10</v>
      </c>
      <c r="AB20" s="3" t="s">
        <v>11</v>
      </c>
      <c r="AC20" s="10"/>
    </row>
    <row r="21" spans="1:29">
      <c r="B21" t="s">
        <v>8</v>
      </c>
      <c r="C21" s="2" t="s">
        <v>34</v>
      </c>
      <c r="D21" s="2"/>
      <c r="E21" s="25"/>
      <c r="F21" s="25"/>
      <c r="G21" s="25"/>
      <c r="H21" s="25"/>
      <c r="I21" s="25"/>
      <c r="J21" s="26"/>
      <c r="K21" s="26"/>
      <c r="L21" s="33">
        <v>15</v>
      </c>
      <c r="M21" s="33">
        <v>20</v>
      </c>
      <c r="N21" s="33">
        <v>17</v>
      </c>
      <c r="O21" s="33"/>
      <c r="P21" s="33"/>
      <c r="Q21" s="33"/>
      <c r="R21" s="33"/>
      <c r="S21" s="33"/>
      <c r="T21" s="33"/>
      <c r="U21" s="37"/>
      <c r="V21" s="37"/>
      <c r="W21" s="37"/>
      <c r="X21" s="41">
        <v>0.5</v>
      </c>
      <c r="Y21" s="41">
        <v>56</v>
      </c>
      <c r="Z21" s="41"/>
      <c r="AA21" s="2" t="s">
        <v>10</v>
      </c>
      <c r="AB21" s="2" t="s">
        <v>11</v>
      </c>
    </row>
    <row r="22" spans="1:29">
      <c r="B22" s="10" t="s">
        <v>8</v>
      </c>
      <c r="C22" s="3" t="s">
        <v>35</v>
      </c>
      <c r="D22" s="3"/>
      <c r="E22" s="23"/>
      <c r="F22" s="23"/>
      <c r="G22" s="23"/>
      <c r="H22" s="23"/>
      <c r="I22" s="23"/>
      <c r="J22" s="24" t="s">
        <v>268</v>
      </c>
      <c r="K22" s="24" t="s">
        <v>267</v>
      </c>
      <c r="L22" s="32">
        <v>10</v>
      </c>
      <c r="M22" s="32">
        <v>12</v>
      </c>
      <c r="N22" s="32">
        <v>11</v>
      </c>
      <c r="O22" s="32"/>
      <c r="P22" s="32"/>
      <c r="Q22" s="32"/>
      <c r="R22" s="32"/>
      <c r="S22" s="32">
        <v>2</v>
      </c>
      <c r="T22" s="32">
        <v>21</v>
      </c>
      <c r="U22" s="36"/>
      <c r="V22" s="36"/>
      <c r="W22" s="36"/>
      <c r="X22" s="40">
        <v>27</v>
      </c>
      <c r="Y22" s="40">
        <v>82</v>
      </c>
      <c r="Z22" s="40"/>
      <c r="AA22" s="3" t="s">
        <v>10</v>
      </c>
      <c r="AB22" s="3" t="s">
        <v>11</v>
      </c>
      <c r="AC22" s="10"/>
    </row>
    <row r="23" spans="1:29">
      <c r="B23" t="s">
        <v>8</v>
      </c>
      <c r="C23" s="2" t="s">
        <v>36</v>
      </c>
      <c r="D23" s="2"/>
      <c r="E23" s="25"/>
      <c r="F23" s="25"/>
      <c r="G23" s="25"/>
      <c r="H23" s="25"/>
      <c r="I23" s="25"/>
      <c r="J23" s="24" t="s">
        <v>280</v>
      </c>
      <c r="K23" s="24" t="s">
        <v>278</v>
      </c>
      <c r="L23" s="33">
        <v>20</v>
      </c>
      <c r="M23" s="33">
        <v>50</v>
      </c>
      <c r="N23" s="33">
        <f>AVERAGE(Lookup!$L23:$M23)</f>
        <v>35</v>
      </c>
      <c r="O23" s="33"/>
      <c r="P23" s="33"/>
      <c r="Q23" s="33"/>
      <c r="R23" s="33"/>
      <c r="S23" s="32">
        <v>2</v>
      </c>
      <c r="T23" s="32">
        <v>13</v>
      </c>
      <c r="U23" s="37"/>
      <c r="V23" s="37"/>
      <c r="W23" s="37"/>
      <c r="X23" s="41">
        <v>20</v>
      </c>
      <c r="Y23" s="41">
        <v>50</v>
      </c>
      <c r="Z23" s="41"/>
      <c r="AA23" s="2" t="s">
        <v>10</v>
      </c>
      <c r="AB23" s="2" t="s">
        <v>11</v>
      </c>
    </row>
    <row r="24" spans="1:29">
      <c r="B24" s="10" t="s">
        <v>8</v>
      </c>
      <c r="C24" s="3" t="s">
        <v>37</v>
      </c>
      <c r="D24" s="3"/>
      <c r="E24" s="23"/>
      <c r="F24" s="23"/>
      <c r="G24" s="23"/>
      <c r="H24" s="23"/>
      <c r="I24" s="23"/>
      <c r="J24" s="24" t="s">
        <v>281</v>
      </c>
      <c r="K24" s="24" t="s">
        <v>278</v>
      </c>
      <c r="L24" s="32">
        <v>4</v>
      </c>
      <c r="M24" s="32">
        <v>6</v>
      </c>
      <c r="N24" s="32">
        <v>5</v>
      </c>
      <c r="O24" s="32"/>
      <c r="P24" s="32"/>
      <c r="Q24" s="32"/>
      <c r="R24" s="32"/>
      <c r="S24" s="32">
        <v>1</v>
      </c>
      <c r="T24" s="32">
        <v>8</v>
      </c>
      <c r="U24" s="36"/>
      <c r="V24" s="36"/>
      <c r="W24" s="36"/>
      <c r="X24" s="40">
        <v>10</v>
      </c>
      <c r="Y24" s="40">
        <v>190</v>
      </c>
      <c r="Z24" s="40"/>
      <c r="AA24" s="3" t="s">
        <v>10</v>
      </c>
      <c r="AB24" s="3" t="s">
        <v>11</v>
      </c>
      <c r="AC24" s="10"/>
    </row>
    <row r="25" spans="1:29">
      <c r="A25" t="s">
        <v>192</v>
      </c>
      <c r="B25" t="s">
        <v>8</v>
      </c>
      <c r="C25" s="2" t="s">
        <v>480</v>
      </c>
      <c r="D25" s="2"/>
      <c r="E25" s="26" t="s">
        <v>199</v>
      </c>
      <c r="F25" s="26" t="s">
        <v>201</v>
      </c>
      <c r="G25" s="26" t="s">
        <v>198</v>
      </c>
      <c r="H25" s="27" t="s">
        <v>197</v>
      </c>
      <c r="I25" s="28" t="s">
        <v>212</v>
      </c>
      <c r="J25" s="28" t="s">
        <v>297</v>
      </c>
      <c r="K25" s="28" t="s">
        <v>294</v>
      </c>
      <c r="L25" s="33">
        <v>3</v>
      </c>
      <c r="M25" s="33">
        <v>4</v>
      </c>
      <c r="N25" s="33">
        <f>AVERAGE(Lookup!$L25:$M25)</f>
        <v>3.5</v>
      </c>
      <c r="O25" s="33"/>
      <c r="P25" s="33"/>
      <c r="Q25" s="33"/>
      <c r="R25" s="33"/>
      <c r="S25" s="33">
        <v>2</v>
      </c>
      <c r="T25" s="33">
        <v>6</v>
      </c>
      <c r="U25" s="37"/>
      <c r="V25" s="37"/>
      <c r="W25" s="37"/>
      <c r="X25" s="41">
        <v>0.112</v>
      </c>
      <c r="Y25" s="41">
        <v>0.32800000000000001</v>
      </c>
      <c r="Z25" s="41">
        <v>0.16001109999999999</v>
      </c>
      <c r="AA25" s="2" t="s">
        <v>10</v>
      </c>
      <c r="AB25" s="19" t="s">
        <v>11</v>
      </c>
    </row>
    <row r="26" spans="1:29">
      <c r="B26" s="10" t="s">
        <v>8</v>
      </c>
      <c r="C26" s="3" t="s">
        <v>39</v>
      </c>
      <c r="D26" s="3"/>
      <c r="E26" s="24" t="s">
        <v>200</v>
      </c>
      <c r="F26" s="24" t="s">
        <v>200</v>
      </c>
      <c r="G26" s="23"/>
      <c r="H26" s="23" t="s">
        <v>211</v>
      </c>
      <c r="I26" s="23"/>
      <c r="J26" s="24" t="s">
        <v>295</v>
      </c>
      <c r="K26" s="24" t="s">
        <v>294</v>
      </c>
      <c r="L26" s="32">
        <v>6</v>
      </c>
      <c r="M26" s="32">
        <v>6.6</v>
      </c>
      <c r="N26" s="32">
        <v>6</v>
      </c>
      <c r="O26" s="32"/>
      <c r="P26" s="32"/>
      <c r="Q26" s="32"/>
      <c r="R26" s="32"/>
      <c r="S26" s="32">
        <v>2</v>
      </c>
      <c r="T26" s="32">
        <v>10</v>
      </c>
      <c r="U26" s="36"/>
      <c r="V26" s="36"/>
      <c r="W26" s="36"/>
      <c r="X26" s="40">
        <v>2</v>
      </c>
      <c r="Y26" s="40">
        <v>10</v>
      </c>
      <c r="Z26" s="40"/>
      <c r="AA26" s="3" t="s">
        <v>10</v>
      </c>
      <c r="AB26" s="3" t="s">
        <v>11</v>
      </c>
      <c r="AC26" s="10"/>
    </row>
    <row r="27" spans="1:29">
      <c r="A27" t="s">
        <v>192</v>
      </c>
      <c r="B27" t="s">
        <v>8</v>
      </c>
      <c r="C27" s="2" t="s">
        <v>40</v>
      </c>
      <c r="D27" s="2"/>
      <c r="E27" s="28" t="s">
        <v>200</v>
      </c>
      <c r="F27" s="26" t="s">
        <v>200</v>
      </c>
      <c r="G27" s="25" t="s">
        <v>202</v>
      </c>
      <c r="H27" s="25" t="s">
        <v>203</v>
      </c>
      <c r="I27" s="26" t="s">
        <v>215</v>
      </c>
      <c r="J27" s="26" t="s">
        <v>271</v>
      </c>
      <c r="K27" s="26" t="s">
        <v>272</v>
      </c>
      <c r="L27" s="33">
        <v>5</v>
      </c>
      <c r="M27" s="33">
        <v>5.6</v>
      </c>
      <c r="N27" s="33">
        <v>5</v>
      </c>
      <c r="O27" s="33"/>
      <c r="P27" s="33"/>
      <c r="Q27" s="33"/>
      <c r="R27" s="33"/>
      <c r="S27" s="33">
        <v>2</v>
      </c>
      <c r="T27" s="33">
        <v>9</v>
      </c>
      <c r="U27" s="37"/>
      <c r="V27" s="37"/>
      <c r="W27" s="37"/>
      <c r="X27" s="41">
        <v>2</v>
      </c>
      <c r="Y27" s="41">
        <v>5</v>
      </c>
      <c r="Z27" s="41">
        <v>2.8530000000000002</v>
      </c>
      <c r="AA27" s="2" t="s">
        <v>10</v>
      </c>
      <c r="AB27" s="19" t="s">
        <v>11</v>
      </c>
    </row>
    <row r="28" spans="1:29">
      <c r="B28" s="10" t="s">
        <v>8</v>
      </c>
      <c r="C28" s="3" t="s">
        <v>41</v>
      </c>
      <c r="D28" s="3"/>
      <c r="E28" s="23"/>
      <c r="F28" s="23"/>
      <c r="G28" s="23"/>
      <c r="H28" s="23"/>
      <c r="I28" s="23"/>
      <c r="J28" s="24" t="s">
        <v>275</v>
      </c>
      <c r="K28" s="24" t="s">
        <v>276</v>
      </c>
      <c r="L28" s="32">
        <v>9</v>
      </c>
      <c r="M28" s="32">
        <v>12</v>
      </c>
      <c r="N28" s="32">
        <f>AVERAGE(Lookup!$L28:$M28)</f>
        <v>10.5</v>
      </c>
      <c r="O28" s="32"/>
      <c r="P28" s="32"/>
      <c r="Q28" s="32"/>
      <c r="R28" s="32"/>
      <c r="S28" s="32">
        <v>1</v>
      </c>
      <c r="T28" s="32">
        <v>11</v>
      </c>
      <c r="U28" s="36"/>
      <c r="V28" s="36"/>
      <c r="W28" s="36"/>
      <c r="X28" s="40">
        <v>0.2</v>
      </c>
      <c r="Y28" s="40">
        <v>15</v>
      </c>
      <c r="Z28" s="40"/>
      <c r="AA28" s="3" t="s">
        <v>10</v>
      </c>
      <c r="AB28" s="3" t="s">
        <v>11</v>
      </c>
      <c r="AC28" s="10"/>
    </row>
    <row r="29" spans="1:29">
      <c r="B29" t="s">
        <v>8</v>
      </c>
      <c r="C29" s="2" t="s">
        <v>42</v>
      </c>
      <c r="D29" s="2"/>
      <c r="E29" s="25"/>
      <c r="F29" s="25"/>
      <c r="G29" s="25"/>
      <c r="H29" s="25"/>
      <c r="I29" s="25"/>
      <c r="J29" s="26"/>
      <c r="K29" s="26"/>
      <c r="L29" s="33">
        <v>1</v>
      </c>
      <c r="M29" s="33">
        <v>2</v>
      </c>
      <c r="N29" s="33">
        <f>AVERAGE(Lookup!$L29:$M29)</f>
        <v>1.5</v>
      </c>
      <c r="O29" s="33"/>
      <c r="P29" s="33"/>
      <c r="Q29" s="33"/>
      <c r="R29" s="33"/>
      <c r="S29" s="33"/>
      <c r="T29" s="33"/>
      <c r="U29" s="37"/>
      <c r="V29" s="37"/>
      <c r="W29" s="37"/>
      <c r="X29" s="41">
        <v>0.15</v>
      </c>
      <c r="Y29" s="41">
        <v>2.6</v>
      </c>
      <c r="Z29" s="41"/>
      <c r="AA29" s="2" t="s">
        <v>10</v>
      </c>
      <c r="AB29" s="2" t="s">
        <v>11</v>
      </c>
    </row>
    <row r="30" spans="1:29">
      <c r="B30" s="10" t="s">
        <v>8</v>
      </c>
      <c r="C30" s="3" t="s">
        <v>43</v>
      </c>
      <c r="D30" s="3"/>
      <c r="E30" s="23"/>
      <c r="F30" s="23"/>
      <c r="G30" s="23"/>
      <c r="H30" s="23"/>
      <c r="I30" s="23"/>
      <c r="J30" s="24"/>
      <c r="K30" s="24"/>
      <c r="L30" s="32">
        <v>10</v>
      </c>
      <c r="M30" s="32">
        <v>16</v>
      </c>
      <c r="N30" s="32">
        <f>AVERAGE(Lookup!$L30:$M30)</f>
        <v>13</v>
      </c>
      <c r="O30" s="32"/>
      <c r="P30" s="32"/>
      <c r="Q30" s="32"/>
      <c r="R30" s="32"/>
      <c r="S30" s="32"/>
      <c r="T30" s="32"/>
      <c r="U30" s="36"/>
      <c r="V30" s="36"/>
      <c r="W30" s="36"/>
      <c r="X30" s="40">
        <v>1.6</v>
      </c>
      <c r="Y30" s="40">
        <v>4</v>
      </c>
      <c r="Z30" s="40"/>
      <c r="AA30" s="3" t="s">
        <v>10</v>
      </c>
      <c r="AB30" s="3" t="s">
        <v>11</v>
      </c>
      <c r="AC30" s="10"/>
    </row>
    <row r="31" spans="1:29">
      <c r="B31" t="s">
        <v>8</v>
      </c>
      <c r="C31" s="2" t="s">
        <v>44</v>
      </c>
      <c r="D31" s="2"/>
      <c r="E31" s="25"/>
      <c r="F31" s="25"/>
      <c r="G31" s="25"/>
      <c r="H31" s="25" t="s">
        <v>265</v>
      </c>
      <c r="I31" s="25"/>
      <c r="J31" s="26"/>
      <c r="K31" s="26"/>
      <c r="L31" s="33">
        <v>10</v>
      </c>
      <c r="M31" s="33">
        <v>15</v>
      </c>
      <c r="N31" s="33">
        <v>13</v>
      </c>
      <c r="O31" s="33"/>
      <c r="P31" s="33"/>
      <c r="Q31" s="33"/>
      <c r="R31" s="33"/>
      <c r="S31" s="33"/>
      <c r="T31" s="33"/>
      <c r="U31" s="37"/>
      <c r="V31" s="37"/>
      <c r="W31" s="37"/>
      <c r="X31" s="41">
        <v>30</v>
      </c>
      <c r="Y31" s="41">
        <v>380</v>
      </c>
      <c r="Z31" s="41"/>
      <c r="AA31" s="2" t="s">
        <v>10</v>
      </c>
      <c r="AB31" s="2" t="s">
        <v>11</v>
      </c>
    </row>
    <row r="32" spans="1:29">
      <c r="B32" s="10" t="s">
        <v>8</v>
      </c>
      <c r="C32" s="3" t="s">
        <v>45</v>
      </c>
      <c r="D32" s="3" t="s">
        <v>46</v>
      </c>
      <c r="E32" s="23"/>
      <c r="F32" s="23"/>
      <c r="G32" s="23"/>
      <c r="H32" s="23"/>
      <c r="I32" s="23"/>
      <c r="J32" s="24" t="s">
        <v>270</v>
      </c>
      <c r="K32" s="24" t="s">
        <v>267</v>
      </c>
      <c r="L32" s="32">
        <v>9</v>
      </c>
      <c r="M32" s="32">
        <v>14</v>
      </c>
      <c r="N32" s="32">
        <v>12</v>
      </c>
      <c r="O32" s="32"/>
      <c r="P32" s="32"/>
      <c r="Q32" s="32"/>
      <c r="R32" s="32"/>
      <c r="S32" s="32">
        <v>2</v>
      </c>
      <c r="T32" s="32">
        <v>15</v>
      </c>
      <c r="U32" s="36"/>
      <c r="V32" s="36"/>
      <c r="W32" s="36"/>
      <c r="X32" s="40">
        <v>680</v>
      </c>
      <c r="Y32" s="40">
        <v>775</v>
      </c>
      <c r="Z32" s="40"/>
      <c r="AA32" s="3" t="s">
        <v>10</v>
      </c>
      <c r="AB32" s="3" t="s">
        <v>11</v>
      </c>
      <c r="AC32" s="10"/>
    </row>
    <row r="33" spans="2:29">
      <c r="B33" t="s">
        <v>8</v>
      </c>
      <c r="C33" s="2" t="s">
        <v>45</v>
      </c>
      <c r="D33" s="2" t="s">
        <v>47</v>
      </c>
      <c r="E33" s="25"/>
      <c r="F33" s="25"/>
      <c r="G33" s="25"/>
      <c r="H33" s="25"/>
      <c r="I33" s="25"/>
      <c r="J33" s="24" t="s">
        <v>270</v>
      </c>
      <c r="K33" s="26" t="s">
        <v>267</v>
      </c>
      <c r="L33" s="33">
        <v>8</v>
      </c>
      <c r="M33" s="33">
        <v>12.5</v>
      </c>
      <c r="N33" s="33">
        <v>10</v>
      </c>
      <c r="O33" s="33"/>
      <c r="P33" s="33"/>
      <c r="Q33" s="33"/>
      <c r="R33" s="33"/>
      <c r="S33" s="33">
        <v>2</v>
      </c>
      <c r="T33" s="33">
        <v>15</v>
      </c>
      <c r="U33" s="37"/>
      <c r="V33" s="37"/>
      <c r="W33" s="37"/>
      <c r="X33" s="41">
        <v>90</v>
      </c>
      <c r="Y33" s="41">
        <v>150</v>
      </c>
      <c r="Z33" s="41"/>
      <c r="AA33" s="2" t="s">
        <v>10</v>
      </c>
      <c r="AB33" s="2" t="s">
        <v>11</v>
      </c>
    </row>
    <row r="34" spans="2:29">
      <c r="B34" s="10" t="s">
        <v>8</v>
      </c>
      <c r="C34" s="3" t="s">
        <v>45</v>
      </c>
      <c r="D34" s="3" t="s">
        <v>48</v>
      </c>
      <c r="E34" s="23"/>
      <c r="F34" s="23"/>
      <c r="G34" s="23"/>
      <c r="H34" s="23"/>
      <c r="I34" s="23"/>
      <c r="J34" s="24" t="s">
        <v>270</v>
      </c>
      <c r="K34" s="24" t="s">
        <v>267</v>
      </c>
      <c r="L34" s="32">
        <v>8</v>
      </c>
      <c r="M34" s="32">
        <v>12.5</v>
      </c>
      <c r="N34" s="32">
        <v>10</v>
      </c>
      <c r="O34" s="32"/>
      <c r="P34" s="32"/>
      <c r="Q34" s="32"/>
      <c r="R34" s="32"/>
      <c r="S34" s="32">
        <v>2</v>
      </c>
      <c r="T34" s="32">
        <v>15</v>
      </c>
      <c r="U34" s="36"/>
      <c r="V34" s="36"/>
      <c r="W34" s="36"/>
      <c r="X34" s="40">
        <v>75</v>
      </c>
      <c r="Y34" s="40">
        <v>280</v>
      </c>
      <c r="Z34" s="40"/>
      <c r="AA34" s="3" t="s">
        <v>10</v>
      </c>
      <c r="AB34" s="3" t="s">
        <v>11</v>
      </c>
      <c r="AC34" s="10"/>
    </row>
    <row r="35" spans="2:29">
      <c r="B35" t="s">
        <v>8</v>
      </c>
      <c r="C35" s="2" t="s">
        <v>45</v>
      </c>
      <c r="D35" s="2" t="s">
        <v>49</v>
      </c>
      <c r="E35" s="25"/>
      <c r="F35" s="25"/>
      <c r="G35" s="25"/>
      <c r="H35" s="25"/>
      <c r="I35" s="25"/>
      <c r="J35" s="24" t="s">
        <v>270</v>
      </c>
      <c r="K35" s="26" t="s">
        <v>267</v>
      </c>
      <c r="L35" s="33">
        <v>4</v>
      </c>
      <c r="M35" s="33">
        <v>8</v>
      </c>
      <c r="N35" s="33">
        <v>6</v>
      </c>
      <c r="O35" s="33"/>
      <c r="P35" s="33"/>
      <c r="Q35" s="33"/>
      <c r="R35" s="33"/>
      <c r="S35" s="33">
        <v>2</v>
      </c>
      <c r="T35" s="33">
        <v>15</v>
      </c>
      <c r="U35" s="37"/>
      <c r="V35" s="37"/>
      <c r="W35" s="37"/>
      <c r="X35" s="41">
        <v>5</v>
      </c>
      <c r="Y35" s="41">
        <v>30</v>
      </c>
      <c r="Z35" s="41"/>
      <c r="AA35" s="2" t="s">
        <v>10</v>
      </c>
      <c r="AB35" s="2" t="s">
        <v>11</v>
      </c>
    </row>
    <row r="36" spans="2:29">
      <c r="B36" s="10" t="s">
        <v>8</v>
      </c>
      <c r="C36" s="3" t="s">
        <v>50</v>
      </c>
      <c r="D36" s="3"/>
      <c r="E36" s="23"/>
      <c r="F36" s="23"/>
      <c r="G36" s="23"/>
      <c r="H36" s="23"/>
      <c r="I36" s="23"/>
      <c r="J36" s="24" t="s">
        <v>266</v>
      </c>
      <c r="K36" s="24" t="s">
        <v>267</v>
      </c>
      <c r="L36" s="32">
        <v>13</v>
      </c>
      <c r="M36" s="32">
        <v>28</v>
      </c>
      <c r="N36" s="32"/>
      <c r="O36" s="32"/>
      <c r="P36" s="32"/>
      <c r="Q36" s="32"/>
      <c r="R36" s="32"/>
      <c r="S36" s="32">
        <v>2</v>
      </c>
      <c r="T36" s="32">
        <v>17</v>
      </c>
      <c r="U36" s="36"/>
      <c r="V36" s="36"/>
      <c r="W36" s="36"/>
      <c r="X36" s="40">
        <v>29500</v>
      </c>
      <c r="Y36" s="40">
        <v>32500</v>
      </c>
      <c r="Z36" s="40"/>
      <c r="AA36" s="3" t="s">
        <v>10</v>
      </c>
      <c r="AB36" s="3" t="s">
        <v>11</v>
      </c>
      <c r="AC36" s="10"/>
    </row>
    <row r="37" spans="2:29">
      <c r="B37" t="s">
        <v>8</v>
      </c>
      <c r="C37" s="2" t="s">
        <v>51</v>
      </c>
      <c r="D37" s="2"/>
      <c r="E37" s="25"/>
      <c r="F37" s="25"/>
      <c r="G37" s="25"/>
      <c r="H37" s="25"/>
      <c r="I37" s="25"/>
      <c r="J37" s="26" t="s">
        <v>287</v>
      </c>
      <c r="K37" s="26" t="s">
        <v>284</v>
      </c>
      <c r="L37" s="33"/>
      <c r="M37" s="33"/>
      <c r="N37" s="33">
        <v>7</v>
      </c>
      <c r="O37" s="33"/>
      <c r="P37" s="33"/>
      <c r="Q37" s="33"/>
      <c r="R37" s="33"/>
      <c r="S37" s="33">
        <v>1</v>
      </c>
      <c r="T37" s="33">
        <v>11</v>
      </c>
      <c r="U37" s="37"/>
      <c r="V37" s="37"/>
      <c r="W37" s="37"/>
      <c r="X37" s="41">
        <v>3</v>
      </c>
      <c r="Y37" s="41">
        <v>10</v>
      </c>
      <c r="Z37" s="41"/>
      <c r="AA37" s="2" t="s">
        <v>10</v>
      </c>
      <c r="AB37" s="2" t="s">
        <v>11</v>
      </c>
    </row>
    <row r="38" spans="2:29">
      <c r="B38" s="10" t="s">
        <v>8</v>
      </c>
      <c r="C38" s="3" t="s">
        <v>52</v>
      </c>
      <c r="D38" s="3" t="s">
        <v>53</v>
      </c>
      <c r="E38" s="23"/>
      <c r="F38" s="23"/>
      <c r="G38" s="23"/>
      <c r="H38" s="23"/>
      <c r="I38" s="23"/>
      <c r="J38" s="24" t="s">
        <v>277</v>
      </c>
      <c r="K38" s="24" t="s">
        <v>278</v>
      </c>
      <c r="L38" s="32">
        <v>7</v>
      </c>
      <c r="M38" s="32">
        <v>9</v>
      </c>
      <c r="N38" s="32">
        <v>8</v>
      </c>
      <c r="O38" s="32"/>
      <c r="P38" s="32"/>
      <c r="Q38" s="32"/>
      <c r="R38" s="32"/>
      <c r="S38" s="32">
        <v>2</v>
      </c>
      <c r="T38" s="32">
        <v>17</v>
      </c>
      <c r="U38" s="36"/>
      <c r="V38" s="36"/>
      <c r="W38" s="36"/>
      <c r="X38" s="40">
        <v>70</v>
      </c>
      <c r="Y38" s="40">
        <v>80</v>
      </c>
      <c r="Z38" s="40"/>
      <c r="AA38" s="3" t="s">
        <v>10</v>
      </c>
      <c r="AB38" s="3" t="s">
        <v>11</v>
      </c>
      <c r="AC38" s="10"/>
    </row>
    <row r="39" spans="2:29">
      <c r="B39" t="s">
        <v>8</v>
      </c>
      <c r="C39" s="2" t="s">
        <v>52</v>
      </c>
      <c r="D39" s="2" t="s">
        <v>54</v>
      </c>
      <c r="E39" s="25"/>
      <c r="F39" s="25"/>
      <c r="G39" s="25"/>
      <c r="H39" s="25"/>
      <c r="I39" s="25"/>
      <c r="J39" s="26"/>
      <c r="K39" s="26"/>
      <c r="L39" s="33">
        <v>6</v>
      </c>
      <c r="M39" s="33">
        <v>9</v>
      </c>
      <c r="N39" s="33">
        <v>8</v>
      </c>
      <c r="O39" s="33"/>
      <c r="P39" s="33"/>
      <c r="Q39" s="33"/>
      <c r="R39" s="33"/>
      <c r="S39" s="33"/>
      <c r="T39" s="33"/>
      <c r="U39" s="37"/>
      <c r="V39" s="37"/>
      <c r="W39" s="37"/>
      <c r="X39" s="41">
        <v>125</v>
      </c>
      <c r="Y39" s="41">
        <v>145</v>
      </c>
      <c r="Z39" s="41"/>
      <c r="AA39" s="2" t="s">
        <v>10</v>
      </c>
      <c r="AB39" s="2" t="s">
        <v>11</v>
      </c>
    </row>
    <row r="40" spans="2:29">
      <c r="B40" s="10" t="s">
        <v>8</v>
      </c>
      <c r="C40" s="10" t="s">
        <v>55</v>
      </c>
      <c r="D40" s="10"/>
      <c r="E40" s="29"/>
      <c r="F40" s="29"/>
      <c r="G40" s="29"/>
      <c r="H40" s="29"/>
      <c r="I40" s="29"/>
      <c r="J40" s="30" t="s">
        <v>269</v>
      </c>
      <c r="K40" s="30" t="s">
        <v>267</v>
      </c>
      <c r="L40" s="34"/>
      <c r="M40" s="34"/>
      <c r="N40" s="34">
        <v>12.5</v>
      </c>
      <c r="O40" s="34">
        <v>6</v>
      </c>
      <c r="P40" s="34"/>
      <c r="Q40" s="34">
        <v>5</v>
      </c>
      <c r="R40" s="34"/>
      <c r="S40" s="34">
        <v>2</v>
      </c>
      <c r="T40" s="34">
        <v>13</v>
      </c>
      <c r="U40" s="38"/>
      <c r="V40" s="38"/>
      <c r="W40" s="38"/>
      <c r="X40" s="42"/>
      <c r="Y40" s="42"/>
      <c r="Z40" s="42"/>
      <c r="AA40" s="10" t="s">
        <v>56</v>
      </c>
      <c r="AB40" s="10" t="s">
        <v>57</v>
      </c>
      <c r="AC40" s="10" t="s">
        <v>58</v>
      </c>
    </row>
    <row r="41" spans="2:29">
      <c r="B41" t="s">
        <v>8</v>
      </c>
      <c r="C41" t="s">
        <v>59</v>
      </c>
      <c r="E41" s="31"/>
      <c r="F41" s="31"/>
      <c r="G41" s="31"/>
      <c r="H41" s="31"/>
      <c r="I41" s="31"/>
      <c r="J41" s="27"/>
      <c r="K41" s="27"/>
      <c r="L41" s="35"/>
      <c r="M41" s="35"/>
      <c r="N41" s="35">
        <v>8.6999999999999993</v>
      </c>
      <c r="O41" s="35">
        <v>6</v>
      </c>
      <c r="P41" s="35"/>
      <c r="Q41" s="35">
        <v>11.4</v>
      </c>
      <c r="R41" s="35"/>
      <c r="S41" s="35"/>
      <c r="T41" s="35"/>
      <c r="U41" s="39"/>
      <c r="V41" s="39"/>
      <c r="W41" s="39"/>
      <c r="X41" s="43"/>
      <c r="Y41" s="43"/>
      <c r="Z41" s="43"/>
      <c r="AA41" t="s">
        <v>56</v>
      </c>
      <c r="AB41" t="s">
        <v>57</v>
      </c>
      <c r="AC41" t="s">
        <v>58</v>
      </c>
    </row>
    <row r="42" spans="2:29">
      <c r="B42" s="10" t="s">
        <v>8</v>
      </c>
      <c r="C42" s="10" t="s">
        <v>60</v>
      </c>
      <c r="D42" s="10"/>
      <c r="E42" s="29"/>
      <c r="F42" s="29"/>
      <c r="G42" s="29"/>
      <c r="H42" s="29"/>
      <c r="I42" s="29"/>
      <c r="J42" s="30" t="s">
        <v>286</v>
      </c>
      <c r="K42" s="30" t="s">
        <v>284</v>
      </c>
      <c r="L42" s="34"/>
      <c r="M42" s="34"/>
      <c r="N42" s="34">
        <v>7.9</v>
      </c>
      <c r="O42" s="34">
        <v>6</v>
      </c>
      <c r="P42" s="34"/>
      <c r="Q42" s="34">
        <v>7.6</v>
      </c>
      <c r="R42" s="34"/>
      <c r="S42" s="34">
        <v>1</v>
      </c>
      <c r="T42" s="34">
        <v>8</v>
      </c>
      <c r="U42" s="38"/>
      <c r="V42" s="38"/>
      <c r="W42" s="38"/>
      <c r="X42" s="42"/>
      <c r="Y42" s="42"/>
      <c r="Z42" s="42"/>
      <c r="AA42" s="10" t="s">
        <v>56</v>
      </c>
      <c r="AB42" s="10" t="s">
        <v>57</v>
      </c>
      <c r="AC42" s="10" t="s">
        <v>58</v>
      </c>
    </row>
    <row r="43" spans="2:29">
      <c r="B43" t="s">
        <v>8</v>
      </c>
      <c r="C43" t="s">
        <v>61</v>
      </c>
      <c r="E43" s="31"/>
      <c r="F43" s="31"/>
      <c r="G43" s="31"/>
      <c r="H43" s="31"/>
      <c r="I43" s="31"/>
      <c r="J43" s="27"/>
      <c r="K43" s="27"/>
      <c r="L43" s="35"/>
      <c r="M43" s="35"/>
      <c r="N43" s="35">
        <v>13.3</v>
      </c>
      <c r="O43" s="35">
        <v>5</v>
      </c>
      <c r="P43" s="35"/>
      <c r="Q43" s="35">
        <v>9</v>
      </c>
      <c r="R43" s="35"/>
      <c r="S43" s="35"/>
      <c r="T43" s="35"/>
      <c r="U43" s="39"/>
      <c r="V43" s="39"/>
      <c r="W43" s="39"/>
      <c r="X43" s="43"/>
      <c r="Y43" s="43"/>
      <c r="Z43" s="43"/>
      <c r="AA43" t="s">
        <v>56</v>
      </c>
      <c r="AB43" t="s">
        <v>57</v>
      </c>
      <c r="AC43" t="s">
        <v>58</v>
      </c>
    </row>
    <row r="44" spans="2:29">
      <c r="B44" s="10" t="s">
        <v>8</v>
      </c>
      <c r="C44" s="10" t="s">
        <v>62</v>
      </c>
      <c r="D44" s="10"/>
      <c r="E44" s="29"/>
      <c r="F44" s="29"/>
      <c r="G44" s="29"/>
      <c r="H44" s="29"/>
      <c r="I44" s="29"/>
      <c r="J44" s="24" t="s">
        <v>295</v>
      </c>
      <c r="K44" s="24" t="s">
        <v>294</v>
      </c>
      <c r="L44" s="34"/>
      <c r="M44" s="34"/>
      <c r="N44" s="34">
        <v>12.3</v>
      </c>
      <c r="O44" s="34">
        <v>10</v>
      </c>
      <c r="P44" s="34"/>
      <c r="Q44" s="34">
        <v>9.8000000000000007</v>
      </c>
      <c r="R44" s="34"/>
      <c r="S44" s="32">
        <v>2</v>
      </c>
      <c r="T44" s="32">
        <v>10</v>
      </c>
      <c r="U44" s="38"/>
      <c r="V44" s="38"/>
      <c r="W44" s="38"/>
      <c r="X44" s="42"/>
      <c r="Y44" s="42"/>
      <c r="Z44" s="42"/>
      <c r="AA44" s="10" t="s">
        <v>56</v>
      </c>
      <c r="AB44" s="10" t="s">
        <v>57</v>
      </c>
      <c r="AC44" s="10" t="s">
        <v>58</v>
      </c>
    </row>
    <row r="45" spans="2:29">
      <c r="B45" t="s">
        <v>8</v>
      </c>
      <c r="C45" t="s">
        <v>63</v>
      </c>
      <c r="E45" s="31"/>
      <c r="F45" s="31"/>
      <c r="G45" s="31"/>
      <c r="H45" s="31"/>
      <c r="I45" s="31"/>
      <c r="J45" s="30" t="s">
        <v>291</v>
      </c>
      <c r="K45" s="30" t="s">
        <v>284</v>
      </c>
      <c r="L45" s="35"/>
      <c r="M45" s="35"/>
      <c r="N45" s="35">
        <v>10.6</v>
      </c>
      <c r="O45" s="35">
        <v>7</v>
      </c>
      <c r="P45" s="35"/>
      <c r="Q45" s="35">
        <v>6.9</v>
      </c>
      <c r="R45" s="35"/>
      <c r="S45" s="35">
        <v>1</v>
      </c>
      <c r="T45" s="35">
        <v>7</v>
      </c>
      <c r="U45" s="39"/>
      <c r="V45" s="39"/>
      <c r="W45" s="39"/>
      <c r="X45" s="43"/>
      <c r="Y45" s="43"/>
      <c r="Z45" s="43"/>
      <c r="AA45" t="s">
        <v>56</v>
      </c>
      <c r="AB45" t="s">
        <v>57</v>
      </c>
      <c r="AC45" t="s">
        <v>58</v>
      </c>
    </row>
    <row r="46" spans="2:29">
      <c r="B46" s="10" t="s">
        <v>8</v>
      </c>
      <c r="C46" s="10" t="s">
        <v>64</v>
      </c>
      <c r="D46" s="10"/>
      <c r="E46" s="29"/>
      <c r="F46" s="29"/>
      <c r="G46" s="29"/>
      <c r="H46" s="29"/>
      <c r="I46" s="29"/>
      <c r="J46" s="30" t="s">
        <v>291</v>
      </c>
      <c r="K46" s="30" t="s">
        <v>284</v>
      </c>
      <c r="L46" s="34"/>
      <c r="M46" s="34"/>
      <c r="N46" s="34">
        <v>19.8</v>
      </c>
      <c r="O46" s="34">
        <v>19</v>
      </c>
      <c r="P46" s="34"/>
      <c r="Q46" s="34">
        <v>18.2</v>
      </c>
      <c r="R46" s="34"/>
      <c r="S46" s="35">
        <v>1</v>
      </c>
      <c r="T46" s="35">
        <v>7</v>
      </c>
      <c r="U46" s="38"/>
      <c r="V46" s="38"/>
      <c r="W46" s="38"/>
      <c r="X46" s="42"/>
      <c r="Y46" s="42"/>
      <c r="Z46" s="42"/>
      <c r="AA46" s="10" t="s">
        <v>56</v>
      </c>
      <c r="AB46" s="10" t="s">
        <v>57</v>
      </c>
      <c r="AC46" s="10" t="s">
        <v>58</v>
      </c>
    </row>
    <row r="47" spans="2:29">
      <c r="B47" t="s">
        <v>8</v>
      </c>
      <c r="C47" t="s">
        <v>65</v>
      </c>
      <c r="E47" s="31"/>
      <c r="F47" s="31"/>
      <c r="G47" s="31"/>
      <c r="H47" s="31"/>
      <c r="I47" s="31"/>
      <c r="J47" s="27"/>
      <c r="K47" s="27"/>
      <c r="L47" s="35"/>
      <c r="M47" s="35"/>
      <c r="N47" s="35">
        <v>10</v>
      </c>
      <c r="O47" s="35">
        <v>9</v>
      </c>
      <c r="P47" s="35"/>
      <c r="Q47" s="35">
        <v>11</v>
      </c>
      <c r="R47" s="35"/>
      <c r="S47" s="35"/>
      <c r="T47" s="35"/>
      <c r="U47" s="39"/>
      <c r="V47" s="39"/>
      <c r="W47" s="39"/>
      <c r="X47" s="43"/>
      <c r="Y47" s="43"/>
      <c r="Z47" s="43"/>
      <c r="AA47" t="s">
        <v>56</v>
      </c>
      <c r="AB47" t="s">
        <v>57</v>
      </c>
      <c r="AC47" t="s">
        <v>58</v>
      </c>
    </row>
    <row r="48" spans="2:29">
      <c r="B48" s="10" t="s">
        <v>8</v>
      </c>
      <c r="C48" s="10" t="s">
        <v>66</v>
      </c>
      <c r="D48" s="10"/>
      <c r="E48" s="29"/>
      <c r="F48" s="29"/>
      <c r="G48" s="29"/>
      <c r="H48" s="29"/>
      <c r="I48" s="29"/>
      <c r="J48" s="30"/>
      <c r="K48" s="30"/>
      <c r="L48" s="34"/>
      <c r="M48" s="34"/>
      <c r="N48" s="34">
        <v>6.8</v>
      </c>
      <c r="O48" s="34">
        <v>6</v>
      </c>
      <c r="P48" s="34"/>
      <c r="Q48" s="34">
        <v>7.6</v>
      </c>
      <c r="R48" s="34"/>
      <c r="S48" s="34"/>
      <c r="T48" s="34"/>
      <c r="U48" s="38"/>
      <c r="V48" s="38"/>
      <c r="W48" s="38"/>
      <c r="X48" s="42"/>
      <c r="Y48" s="42"/>
      <c r="Z48" s="42"/>
      <c r="AA48" s="10" t="s">
        <v>56</v>
      </c>
      <c r="AB48" s="10" t="s">
        <v>57</v>
      </c>
      <c r="AC48" s="10" t="s">
        <v>58</v>
      </c>
    </row>
    <row r="49" spans="1:29">
      <c r="B49" t="s">
        <v>8</v>
      </c>
      <c r="C49" t="s">
        <v>67</v>
      </c>
      <c r="E49" s="31"/>
      <c r="F49" s="31"/>
      <c r="G49" s="31"/>
      <c r="H49" s="31"/>
      <c r="I49" s="31"/>
      <c r="J49" s="26" t="s">
        <v>285</v>
      </c>
      <c r="K49" s="26" t="s">
        <v>284</v>
      </c>
      <c r="L49" s="35"/>
      <c r="M49" s="35"/>
      <c r="N49" s="35">
        <v>11.8</v>
      </c>
      <c r="O49" s="35">
        <v>7</v>
      </c>
      <c r="P49" s="35"/>
      <c r="Q49" s="35">
        <v>13.8</v>
      </c>
      <c r="R49" s="35"/>
      <c r="S49" s="33">
        <v>2</v>
      </c>
      <c r="T49" s="33">
        <v>11</v>
      </c>
      <c r="U49" s="39"/>
      <c r="V49" s="39"/>
      <c r="W49" s="39"/>
      <c r="X49" s="43"/>
      <c r="Y49" s="43"/>
      <c r="Z49" s="43"/>
      <c r="AA49" t="s">
        <v>56</v>
      </c>
      <c r="AB49" t="s">
        <v>57</v>
      </c>
      <c r="AC49" t="s">
        <v>58</v>
      </c>
    </row>
    <row r="50" spans="1:29">
      <c r="B50" s="10" t="s">
        <v>8</v>
      </c>
      <c r="C50" s="10" t="s">
        <v>68</v>
      </c>
      <c r="D50" s="10"/>
      <c r="E50" s="29"/>
      <c r="F50" s="29"/>
      <c r="G50" s="29"/>
      <c r="H50" s="29"/>
      <c r="I50" s="29"/>
      <c r="J50" s="30" t="s">
        <v>293</v>
      </c>
      <c r="K50" s="30" t="s">
        <v>294</v>
      </c>
      <c r="L50" s="34"/>
      <c r="M50" s="34"/>
      <c r="N50" s="34">
        <v>3</v>
      </c>
      <c r="O50" s="34">
        <v>2</v>
      </c>
      <c r="P50" s="34"/>
      <c r="Q50" s="34">
        <v>10</v>
      </c>
      <c r="R50" s="34"/>
      <c r="S50" s="34"/>
      <c r="T50" s="34"/>
      <c r="U50" s="38"/>
      <c r="V50" s="38"/>
      <c r="W50" s="38"/>
      <c r="X50" s="42"/>
      <c r="Y50" s="42"/>
      <c r="Z50" s="42"/>
      <c r="AA50" s="10" t="s">
        <v>56</v>
      </c>
      <c r="AB50" s="10" t="s">
        <v>57</v>
      </c>
      <c r="AC50" s="10" t="s">
        <v>58</v>
      </c>
    </row>
    <row r="51" spans="1:29">
      <c r="B51" t="s">
        <v>8</v>
      </c>
      <c r="C51" t="s">
        <v>69</v>
      </c>
      <c r="E51" s="31"/>
      <c r="F51" s="31"/>
      <c r="G51" s="31"/>
      <c r="H51" s="31"/>
      <c r="I51" s="31"/>
      <c r="J51" s="27"/>
      <c r="K51" s="27"/>
      <c r="L51" s="35"/>
      <c r="M51" s="35"/>
      <c r="N51" s="35">
        <v>10.3</v>
      </c>
      <c r="O51" s="35">
        <v>7</v>
      </c>
      <c r="P51" s="35"/>
      <c r="Q51" s="35">
        <v>10.1</v>
      </c>
      <c r="R51" s="35"/>
      <c r="S51" s="35"/>
      <c r="T51" s="35"/>
      <c r="U51" s="39"/>
      <c r="V51" s="39"/>
      <c r="W51" s="39"/>
      <c r="X51" s="43"/>
      <c r="Y51" s="43"/>
      <c r="Z51" s="43"/>
      <c r="AA51" t="s">
        <v>56</v>
      </c>
      <c r="AB51" t="s">
        <v>57</v>
      </c>
      <c r="AC51" t="s">
        <v>58</v>
      </c>
    </row>
    <row r="52" spans="1:29">
      <c r="B52" s="10" t="s">
        <v>8</v>
      </c>
      <c r="C52" s="10" t="s">
        <v>70</v>
      </c>
      <c r="D52" s="10"/>
      <c r="E52" s="29"/>
      <c r="F52" s="29"/>
      <c r="G52" s="29"/>
      <c r="H52" s="29"/>
      <c r="I52" s="29"/>
      <c r="J52" s="30" t="s">
        <v>288</v>
      </c>
      <c r="K52" s="30" t="s">
        <v>284</v>
      </c>
      <c r="L52" s="34"/>
      <c r="M52" s="34"/>
      <c r="N52" s="34">
        <v>12.7</v>
      </c>
      <c r="O52" s="34">
        <v>7</v>
      </c>
      <c r="P52" s="34"/>
      <c r="Q52" s="34">
        <v>10.9</v>
      </c>
      <c r="R52" s="34"/>
      <c r="S52" s="34">
        <v>1</v>
      </c>
      <c r="T52" s="34">
        <v>8</v>
      </c>
      <c r="U52" s="38"/>
      <c r="V52" s="38"/>
      <c r="W52" s="38"/>
      <c r="X52" s="42"/>
      <c r="Y52" s="42"/>
      <c r="Z52" s="42"/>
      <c r="AA52" s="10" t="s">
        <v>56</v>
      </c>
      <c r="AB52" s="10" t="s">
        <v>57</v>
      </c>
      <c r="AC52" s="10" t="s">
        <v>58</v>
      </c>
    </row>
    <row r="53" spans="1:29">
      <c r="B53" t="s">
        <v>8</v>
      </c>
      <c r="C53" t="s">
        <v>71</v>
      </c>
      <c r="E53" s="31"/>
      <c r="F53" s="31"/>
      <c r="G53" s="31"/>
      <c r="H53" s="31"/>
      <c r="I53" s="31"/>
      <c r="J53" s="27"/>
      <c r="K53" s="27"/>
      <c r="L53" s="35"/>
      <c r="M53" s="35"/>
      <c r="N53" s="35">
        <v>12.8</v>
      </c>
      <c r="O53" s="35">
        <v>10</v>
      </c>
      <c r="P53" s="35"/>
      <c r="Q53" s="35">
        <v>12.2</v>
      </c>
      <c r="R53" s="35"/>
      <c r="S53" s="35"/>
      <c r="T53" s="35"/>
      <c r="U53" s="39"/>
      <c r="V53" s="39"/>
      <c r="W53" s="39"/>
      <c r="X53" s="43"/>
      <c r="Y53" s="43"/>
      <c r="Z53" s="43"/>
      <c r="AA53" t="s">
        <v>56</v>
      </c>
      <c r="AB53" t="s">
        <v>57</v>
      </c>
      <c r="AC53" t="s">
        <v>58</v>
      </c>
    </row>
    <row r="54" spans="1:29">
      <c r="B54" s="10" t="s">
        <v>8</v>
      </c>
      <c r="C54" s="10" t="s">
        <v>72</v>
      </c>
      <c r="D54" s="10"/>
      <c r="E54" s="29"/>
      <c r="F54" s="29"/>
      <c r="G54" s="29"/>
      <c r="H54" s="29"/>
      <c r="I54" s="29"/>
      <c r="J54" s="30" t="s">
        <v>289</v>
      </c>
      <c r="K54" s="30" t="s">
        <v>284</v>
      </c>
      <c r="L54" s="34"/>
      <c r="M54" s="34"/>
      <c r="N54" s="34">
        <v>4.8</v>
      </c>
      <c r="O54" s="34">
        <v>3.8</v>
      </c>
      <c r="P54" s="34"/>
      <c r="Q54" s="34">
        <v>5.2</v>
      </c>
      <c r="R54" s="34"/>
      <c r="S54" s="34">
        <v>1</v>
      </c>
      <c r="T54" s="34">
        <v>10</v>
      </c>
      <c r="U54" s="38"/>
      <c r="V54" s="38"/>
      <c r="W54" s="38"/>
      <c r="X54" s="42"/>
      <c r="Y54" s="42"/>
      <c r="Z54" s="42"/>
      <c r="AA54" s="10" t="s">
        <v>56</v>
      </c>
      <c r="AB54" s="10" t="s">
        <v>57</v>
      </c>
      <c r="AC54" s="10" t="s">
        <v>58</v>
      </c>
    </row>
    <row r="55" spans="1:29">
      <c r="B55" t="s">
        <v>8</v>
      </c>
      <c r="C55" t="s">
        <v>73</v>
      </c>
      <c r="E55" s="31"/>
      <c r="F55" s="31"/>
      <c r="G55" s="31"/>
      <c r="H55" s="31"/>
      <c r="I55" s="31"/>
      <c r="J55" s="27" t="s">
        <v>290</v>
      </c>
      <c r="K55" s="27" t="s">
        <v>284</v>
      </c>
      <c r="L55" s="35"/>
      <c r="M55" s="35"/>
      <c r="N55" s="35">
        <v>15.4</v>
      </c>
      <c r="O55" s="35">
        <v>15</v>
      </c>
      <c r="P55" s="35"/>
      <c r="Q55" s="35">
        <v>15.5</v>
      </c>
      <c r="R55" s="35"/>
      <c r="S55" s="35">
        <v>2</v>
      </c>
      <c r="T55" s="35">
        <v>10</v>
      </c>
      <c r="U55" s="39"/>
      <c r="V55" s="39"/>
      <c r="W55" s="39"/>
      <c r="X55" s="43"/>
      <c r="Y55" s="43"/>
      <c r="Z55" s="43"/>
      <c r="AA55" t="s">
        <v>56</v>
      </c>
      <c r="AB55" t="s">
        <v>57</v>
      </c>
      <c r="AC55" t="s">
        <v>58</v>
      </c>
    </row>
    <row r="56" spans="1:29">
      <c r="B56" s="10" t="s">
        <v>8</v>
      </c>
      <c r="C56" s="10" t="s">
        <v>74</v>
      </c>
      <c r="D56" s="10"/>
      <c r="E56" s="29"/>
      <c r="F56" s="29"/>
      <c r="G56" s="29"/>
      <c r="H56" s="29"/>
      <c r="I56" s="29"/>
      <c r="J56" s="30" t="s">
        <v>290</v>
      </c>
      <c r="K56" s="30" t="s">
        <v>284</v>
      </c>
      <c r="L56" s="34"/>
      <c r="M56" s="34"/>
      <c r="N56" s="34">
        <v>16.600000000000001</v>
      </c>
      <c r="O56" s="34">
        <v>12</v>
      </c>
      <c r="P56" s="34"/>
      <c r="Q56" s="34">
        <v>19</v>
      </c>
      <c r="R56" s="34"/>
      <c r="S56" s="35">
        <v>2</v>
      </c>
      <c r="T56" s="35">
        <v>10</v>
      </c>
      <c r="U56" s="38"/>
      <c r="V56" s="38"/>
      <c r="W56" s="38"/>
      <c r="X56" s="42"/>
      <c r="Y56" s="42"/>
      <c r="Z56" s="42"/>
      <c r="AA56" s="10" t="s">
        <v>56</v>
      </c>
      <c r="AB56" s="10" t="s">
        <v>57</v>
      </c>
      <c r="AC56" s="10" t="s">
        <v>58</v>
      </c>
    </row>
    <row r="57" spans="1:29">
      <c r="B57" t="s">
        <v>8</v>
      </c>
      <c r="C57" t="s">
        <v>75</v>
      </c>
      <c r="E57" s="31"/>
      <c r="F57" s="31"/>
      <c r="G57" s="31"/>
      <c r="H57" s="31"/>
      <c r="I57" s="31"/>
      <c r="J57" s="27" t="s">
        <v>283</v>
      </c>
      <c r="K57" s="27" t="s">
        <v>284</v>
      </c>
      <c r="L57" s="35"/>
      <c r="M57" s="35"/>
      <c r="N57" s="35">
        <v>8</v>
      </c>
      <c r="O57" s="35">
        <v>5</v>
      </c>
      <c r="P57" s="35"/>
      <c r="Q57" s="35">
        <v>9.4</v>
      </c>
      <c r="R57" s="35"/>
      <c r="S57" s="35">
        <v>1</v>
      </c>
      <c r="T57" s="35">
        <v>8</v>
      </c>
      <c r="U57" s="39"/>
      <c r="V57" s="39"/>
      <c r="W57" s="39"/>
      <c r="X57" s="43"/>
      <c r="Y57" s="43"/>
      <c r="Z57" s="43"/>
      <c r="AA57" t="s">
        <v>56</v>
      </c>
      <c r="AB57" t="s">
        <v>57</v>
      </c>
      <c r="AC57" t="s">
        <v>58</v>
      </c>
    </row>
    <row r="58" spans="1:29">
      <c r="B58" s="10" t="s">
        <v>8</v>
      </c>
      <c r="C58" s="10" t="s">
        <v>76</v>
      </c>
      <c r="D58" s="10"/>
      <c r="E58" s="29"/>
      <c r="F58" s="29"/>
      <c r="G58" s="29"/>
      <c r="H58" s="29"/>
      <c r="I58" s="29"/>
      <c r="J58" s="30" t="s">
        <v>286</v>
      </c>
      <c r="K58" s="30" t="s">
        <v>284</v>
      </c>
      <c r="L58" s="34"/>
      <c r="M58" s="34"/>
      <c r="N58" s="34">
        <v>7.8</v>
      </c>
      <c r="O58" s="34">
        <v>5</v>
      </c>
      <c r="P58" s="34"/>
      <c r="Q58" s="34">
        <v>6.6</v>
      </c>
      <c r="R58" s="34"/>
      <c r="S58" s="34">
        <v>1</v>
      </c>
      <c r="T58" s="34">
        <v>8</v>
      </c>
      <c r="U58" s="38"/>
      <c r="V58" s="38"/>
      <c r="W58" s="38"/>
      <c r="X58" s="42"/>
      <c r="Y58" s="42"/>
      <c r="Z58" s="42"/>
      <c r="AA58" s="10" t="s">
        <v>56</v>
      </c>
      <c r="AB58" s="10" t="s">
        <v>57</v>
      </c>
      <c r="AC58" s="10" t="s">
        <v>58</v>
      </c>
    </row>
    <row r="59" spans="1:29">
      <c r="B59" t="s">
        <v>8</v>
      </c>
      <c r="C59" t="s">
        <v>77</v>
      </c>
      <c r="E59" s="31"/>
      <c r="F59" s="31"/>
      <c r="G59" s="31"/>
      <c r="H59" s="31"/>
      <c r="I59" s="31"/>
      <c r="J59" s="27" t="s">
        <v>292</v>
      </c>
      <c r="K59" s="27" t="s">
        <v>284</v>
      </c>
      <c r="L59" s="35"/>
      <c r="M59" s="35"/>
      <c r="N59" s="35">
        <v>13.3</v>
      </c>
      <c r="O59" s="35">
        <v>9</v>
      </c>
      <c r="P59" s="35"/>
      <c r="Q59" s="35">
        <v>18.600000000000001</v>
      </c>
      <c r="R59" s="35"/>
      <c r="S59" s="35">
        <v>1</v>
      </c>
      <c r="T59" s="35">
        <v>9</v>
      </c>
      <c r="U59" s="39"/>
      <c r="V59" s="39"/>
      <c r="W59" s="39"/>
      <c r="X59" s="43"/>
      <c r="Y59" s="43"/>
      <c r="Z59" s="43"/>
      <c r="AA59" t="s">
        <v>56</v>
      </c>
      <c r="AB59" t="s">
        <v>57</v>
      </c>
      <c r="AC59" t="s">
        <v>58</v>
      </c>
    </row>
    <row r="60" spans="1:29">
      <c r="A60" t="s">
        <v>192</v>
      </c>
      <c r="B60" s="10" t="s">
        <v>8</v>
      </c>
      <c r="C60" s="10" t="s">
        <v>40</v>
      </c>
      <c r="D60" s="10"/>
      <c r="E60" s="29"/>
      <c r="F60" s="29"/>
      <c r="G60" s="29"/>
      <c r="H60" s="29"/>
      <c r="I60" s="29"/>
      <c r="J60" s="30"/>
      <c r="K60" s="30"/>
      <c r="L60" s="34"/>
      <c r="M60" s="34"/>
      <c r="N60" s="34">
        <v>7.2</v>
      </c>
      <c r="O60" s="34">
        <v>7</v>
      </c>
      <c r="P60" s="34"/>
      <c r="Q60" s="34">
        <v>6.3</v>
      </c>
      <c r="R60" s="34"/>
      <c r="S60" s="34"/>
      <c r="T60" s="34"/>
      <c r="U60" s="38"/>
      <c r="V60" s="38"/>
      <c r="W60" s="38"/>
      <c r="X60" s="42"/>
      <c r="Y60" s="42"/>
      <c r="Z60" s="42"/>
      <c r="AA60" s="10" t="s">
        <v>56</v>
      </c>
      <c r="AB60" s="10" t="s">
        <v>57</v>
      </c>
      <c r="AC60" s="10" t="s">
        <v>58</v>
      </c>
    </row>
    <row r="61" spans="1:29">
      <c r="B61" t="s">
        <v>8</v>
      </c>
      <c r="C61" t="s">
        <v>78</v>
      </c>
      <c r="E61" s="31"/>
      <c r="F61" s="31"/>
      <c r="G61" s="31"/>
      <c r="H61" s="31"/>
      <c r="I61" s="31"/>
      <c r="J61" s="27"/>
      <c r="K61" s="27"/>
      <c r="L61" s="35"/>
      <c r="M61" s="35"/>
      <c r="N61" s="35">
        <v>12.2</v>
      </c>
      <c r="O61" s="35">
        <v>8</v>
      </c>
      <c r="P61" s="35"/>
      <c r="Q61" s="35">
        <v>11.1</v>
      </c>
      <c r="R61" s="35"/>
      <c r="S61" s="35"/>
      <c r="T61" s="35"/>
      <c r="U61" s="39"/>
      <c r="V61" s="39"/>
      <c r="W61" s="39"/>
      <c r="X61" s="43"/>
      <c r="Y61" s="43"/>
      <c r="Z61" s="43"/>
      <c r="AA61" t="s">
        <v>56</v>
      </c>
      <c r="AB61" t="s">
        <v>57</v>
      </c>
      <c r="AC61" t="s">
        <v>58</v>
      </c>
    </row>
    <row r="62" spans="1:29">
      <c r="B62" s="10" t="s">
        <v>8</v>
      </c>
      <c r="C62" s="10" t="s">
        <v>79</v>
      </c>
      <c r="D62" s="10"/>
      <c r="E62" s="29"/>
      <c r="F62" s="29"/>
      <c r="G62" s="29"/>
      <c r="H62" s="29"/>
      <c r="I62" s="29"/>
      <c r="J62" s="30"/>
      <c r="K62" s="30"/>
      <c r="L62" s="34"/>
      <c r="M62" s="34"/>
      <c r="N62" s="34">
        <v>11</v>
      </c>
      <c r="O62" s="34">
        <v>7</v>
      </c>
      <c r="P62" s="34"/>
      <c r="Q62" s="34">
        <v>12</v>
      </c>
      <c r="R62" s="34"/>
      <c r="S62" s="34"/>
      <c r="T62" s="34"/>
      <c r="U62" s="38"/>
      <c r="V62" s="38"/>
      <c r="W62" s="38"/>
      <c r="X62" s="42"/>
      <c r="Y62" s="42"/>
      <c r="Z62" s="42"/>
      <c r="AA62" s="10" t="s">
        <v>56</v>
      </c>
      <c r="AB62" s="10" t="s">
        <v>57</v>
      </c>
      <c r="AC62" s="10" t="s">
        <v>58</v>
      </c>
    </row>
    <row r="63" spans="1:29">
      <c r="A63" t="s">
        <v>192</v>
      </c>
      <c r="B63" t="s">
        <v>8</v>
      </c>
      <c r="C63" t="s">
        <v>80</v>
      </c>
      <c r="E63" s="31"/>
      <c r="F63" s="31"/>
      <c r="G63" s="31"/>
      <c r="H63" s="31"/>
      <c r="I63" s="31"/>
      <c r="J63" s="27" t="s">
        <v>297</v>
      </c>
      <c r="K63" s="27" t="s">
        <v>294</v>
      </c>
      <c r="L63" s="35"/>
      <c r="M63" s="35"/>
      <c r="N63" s="35">
        <v>7.4</v>
      </c>
      <c r="O63" s="35">
        <v>4</v>
      </c>
      <c r="P63" s="35"/>
      <c r="Q63" s="35">
        <v>3.8</v>
      </c>
      <c r="R63" s="35"/>
      <c r="S63" s="33">
        <v>2</v>
      </c>
      <c r="T63" s="33">
        <v>6</v>
      </c>
      <c r="U63" s="39"/>
      <c r="V63" s="39"/>
      <c r="W63" s="39"/>
      <c r="X63" s="43"/>
      <c r="Y63" s="43"/>
      <c r="Z63" s="43"/>
      <c r="AA63" t="s">
        <v>56</v>
      </c>
      <c r="AB63" t="s">
        <v>57</v>
      </c>
      <c r="AC63" t="s">
        <v>58</v>
      </c>
    </row>
    <row r="64" spans="1:29">
      <c r="B64" s="10" t="s">
        <v>8</v>
      </c>
      <c r="C64" s="10" t="s">
        <v>81</v>
      </c>
      <c r="D64" s="10"/>
      <c r="E64" s="29"/>
      <c r="F64" s="29"/>
      <c r="G64" s="29"/>
      <c r="H64" s="29"/>
      <c r="I64" s="29"/>
      <c r="J64" s="30"/>
      <c r="K64" s="30"/>
      <c r="L64" s="34"/>
      <c r="M64" s="34"/>
      <c r="N64" s="34">
        <v>24.3</v>
      </c>
      <c r="O64" s="34">
        <v>20</v>
      </c>
      <c r="P64" s="34"/>
      <c r="Q64" s="34">
        <v>17.100000000000001</v>
      </c>
      <c r="R64" s="34"/>
      <c r="S64" s="34"/>
      <c r="T64" s="34"/>
      <c r="U64" s="38"/>
      <c r="V64" s="38"/>
      <c r="W64" s="38"/>
      <c r="X64" s="42"/>
      <c r="Y64" s="42"/>
      <c r="Z64" s="42"/>
      <c r="AA64" s="10" t="s">
        <v>56</v>
      </c>
      <c r="AB64" s="10" t="s">
        <v>57</v>
      </c>
      <c r="AC64" s="10" t="s">
        <v>58</v>
      </c>
    </row>
    <row r="65" spans="1:29">
      <c r="B65" t="s">
        <v>8</v>
      </c>
      <c r="C65" t="s">
        <v>82</v>
      </c>
      <c r="E65" s="31"/>
      <c r="F65" s="31"/>
      <c r="G65" s="31"/>
      <c r="H65" s="31"/>
      <c r="I65" s="31"/>
      <c r="J65" s="27"/>
      <c r="K65" s="27"/>
      <c r="L65" s="35"/>
      <c r="M65" s="35"/>
      <c r="N65" s="35">
        <v>7.3</v>
      </c>
      <c r="O65" s="35">
        <v>5.5</v>
      </c>
      <c r="P65" s="35"/>
      <c r="Q65" s="35">
        <v>7</v>
      </c>
      <c r="R65" s="35"/>
      <c r="S65" s="35"/>
      <c r="T65" s="35"/>
      <c r="U65" s="39"/>
      <c r="V65" s="39"/>
      <c r="W65" s="39"/>
      <c r="X65" s="43"/>
      <c r="Y65" s="43"/>
      <c r="Z65" s="43"/>
      <c r="AA65" t="s">
        <v>56</v>
      </c>
      <c r="AB65" t="s">
        <v>57</v>
      </c>
      <c r="AC65" t="s">
        <v>58</v>
      </c>
    </row>
    <row r="66" spans="1:29">
      <c r="B66" s="10" t="s">
        <v>8</v>
      </c>
      <c r="C66" s="10" t="s">
        <v>83</v>
      </c>
      <c r="D66" s="10"/>
      <c r="E66" s="29"/>
      <c r="F66" s="29"/>
      <c r="G66" s="29"/>
      <c r="H66" s="29"/>
      <c r="I66" s="29"/>
      <c r="J66" s="30"/>
      <c r="K66" s="30"/>
      <c r="L66" s="34"/>
      <c r="M66" s="34"/>
      <c r="N66" s="34">
        <v>5.9</v>
      </c>
      <c r="O66" s="34">
        <v>5</v>
      </c>
      <c r="P66" s="34"/>
      <c r="Q66" s="34">
        <v>8</v>
      </c>
      <c r="R66" s="34"/>
      <c r="S66" s="34"/>
      <c r="T66" s="34"/>
      <c r="U66" s="38"/>
      <c r="V66" s="38"/>
      <c r="W66" s="38"/>
      <c r="X66" s="42"/>
      <c r="Y66" s="42"/>
      <c r="Z66" s="42"/>
      <c r="AA66" s="10" t="s">
        <v>56</v>
      </c>
      <c r="AB66" s="10" t="s">
        <v>57</v>
      </c>
      <c r="AC66" s="10" t="s">
        <v>58</v>
      </c>
    </row>
    <row r="67" spans="1:29">
      <c r="B67" t="s">
        <v>8</v>
      </c>
      <c r="C67" t="s">
        <v>84</v>
      </c>
      <c r="E67" s="31"/>
      <c r="F67" s="31"/>
      <c r="G67" s="31"/>
      <c r="H67" s="31"/>
      <c r="I67" s="31"/>
      <c r="J67" s="27" t="s">
        <v>290</v>
      </c>
      <c r="K67" s="27" t="s">
        <v>284</v>
      </c>
      <c r="L67" s="35"/>
      <c r="M67" s="35"/>
      <c r="N67" s="35">
        <v>19.399999999999999</v>
      </c>
      <c r="O67" s="35">
        <v>10</v>
      </c>
      <c r="P67" s="35"/>
      <c r="Q67" s="35">
        <v>17.399999999999999</v>
      </c>
      <c r="R67" s="35"/>
      <c r="S67" s="35">
        <v>2</v>
      </c>
      <c r="T67" s="35">
        <v>10</v>
      </c>
      <c r="U67" s="39"/>
      <c r="V67" s="39"/>
      <c r="W67" s="39"/>
      <c r="X67" s="43"/>
      <c r="Y67" s="43"/>
      <c r="Z67" s="43"/>
      <c r="AA67" t="s">
        <v>56</v>
      </c>
      <c r="AB67" t="s">
        <v>57</v>
      </c>
      <c r="AC67" t="s">
        <v>58</v>
      </c>
    </row>
    <row r="68" spans="1:29">
      <c r="B68" s="10" t="s">
        <v>8</v>
      </c>
      <c r="C68" s="10" t="s">
        <v>85</v>
      </c>
      <c r="D68" s="10"/>
      <c r="E68" s="29"/>
      <c r="F68" s="29"/>
      <c r="G68" s="29"/>
      <c r="H68" s="29"/>
      <c r="I68" s="29"/>
      <c r="J68" s="30"/>
      <c r="K68" s="30"/>
      <c r="L68" s="34"/>
      <c r="M68" s="34"/>
      <c r="N68" s="34">
        <v>11.3</v>
      </c>
      <c r="O68" s="34">
        <v>10</v>
      </c>
      <c r="P68" s="34"/>
      <c r="Q68" s="34">
        <v>12.7</v>
      </c>
      <c r="R68" s="34"/>
      <c r="S68" s="34"/>
      <c r="T68" s="34"/>
      <c r="U68" s="38"/>
      <c r="V68" s="38"/>
      <c r="W68" s="38"/>
      <c r="X68" s="42"/>
      <c r="Y68" s="42"/>
      <c r="Z68" s="42"/>
      <c r="AA68" s="10" t="s">
        <v>56</v>
      </c>
      <c r="AB68" s="10" t="s">
        <v>57</v>
      </c>
      <c r="AC68" s="10" t="s">
        <v>58</v>
      </c>
    </row>
    <row r="69" spans="1:29">
      <c r="B69" t="s">
        <v>8</v>
      </c>
      <c r="C69" t="s">
        <v>86</v>
      </c>
      <c r="E69" s="31"/>
      <c r="F69" s="31"/>
      <c r="G69" s="31"/>
      <c r="H69" s="31"/>
      <c r="I69" s="31"/>
      <c r="J69" s="27" t="s">
        <v>296</v>
      </c>
      <c r="K69" s="27" t="s">
        <v>294</v>
      </c>
      <c r="L69" s="35"/>
      <c r="M69" s="35"/>
      <c r="N69" s="35">
        <v>14.3</v>
      </c>
      <c r="O69" s="35">
        <v>5.5</v>
      </c>
      <c r="P69" s="35"/>
      <c r="Q69" s="35">
        <v>6.5</v>
      </c>
      <c r="R69" s="35"/>
      <c r="S69" s="35"/>
      <c r="T69" s="35"/>
      <c r="U69" s="39"/>
      <c r="V69" s="39"/>
      <c r="W69" s="39"/>
      <c r="X69" s="43"/>
      <c r="Y69" s="43"/>
      <c r="Z69" s="43"/>
      <c r="AA69" t="s">
        <v>56</v>
      </c>
      <c r="AB69" t="s">
        <v>57</v>
      </c>
      <c r="AC69" t="s">
        <v>58</v>
      </c>
    </row>
    <row r="70" spans="1:29">
      <c r="B70" s="10" t="s">
        <v>8</v>
      </c>
      <c r="C70" s="10" t="s">
        <v>87</v>
      </c>
      <c r="D70" s="10"/>
      <c r="E70" s="29"/>
      <c r="F70" s="29"/>
      <c r="G70" s="29"/>
      <c r="H70" s="29"/>
      <c r="I70" s="29"/>
      <c r="J70" s="30"/>
      <c r="K70" s="30"/>
      <c r="L70" s="34"/>
      <c r="M70" s="34"/>
      <c r="N70" s="34">
        <v>37.799999999999997</v>
      </c>
      <c r="O70" s="34">
        <v>40</v>
      </c>
      <c r="P70" s="34"/>
      <c r="Q70" s="34">
        <v>29.5</v>
      </c>
      <c r="R70" s="34"/>
      <c r="S70" s="34"/>
      <c r="T70" s="34"/>
      <c r="U70" s="38"/>
      <c r="V70" s="38"/>
      <c r="W70" s="38"/>
      <c r="X70" s="42"/>
      <c r="Y70" s="42"/>
      <c r="Z70" s="42"/>
      <c r="AA70" s="10" t="s">
        <v>56</v>
      </c>
      <c r="AB70" s="10" t="s">
        <v>57</v>
      </c>
      <c r="AC70" s="10" t="s">
        <v>58</v>
      </c>
    </row>
    <row r="71" spans="1:29">
      <c r="B71" t="s">
        <v>8</v>
      </c>
      <c r="C71" t="s">
        <v>88</v>
      </c>
      <c r="E71" s="31"/>
      <c r="F71" s="31"/>
      <c r="G71" s="31"/>
      <c r="H71" s="31"/>
      <c r="I71" s="31"/>
      <c r="J71" s="27"/>
      <c r="K71" s="27"/>
      <c r="L71" s="35"/>
      <c r="M71" s="35"/>
      <c r="N71" s="35">
        <v>26.9</v>
      </c>
      <c r="O71" s="35">
        <v>20</v>
      </c>
      <c r="P71" s="35"/>
      <c r="Q71" s="35">
        <v>26.1</v>
      </c>
      <c r="R71" s="35"/>
      <c r="S71" s="35"/>
      <c r="T71" s="35"/>
      <c r="U71" s="39"/>
      <c r="V71" s="39"/>
      <c r="W71" s="39"/>
      <c r="X71" s="43"/>
      <c r="Y71" s="43"/>
      <c r="Z71" s="43"/>
      <c r="AA71" t="s">
        <v>56</v>
      </c>
      <c r="AB71" t="s">
        <v>57</v>
      </c>
      <c r="AC71" t="s">
        <v>58</v>
      </c>
    </row>
    <row r="72" spans="1:29">
      <c r="B72" s="10" t="s">
        <v>8</v>
      </c>
      <c r="C72" s="10" t="s">
        <v>89</v>
      </c>
      <c r="D72" s="10"/>
      <c r="E72" s="29"/>
      <c r="F72" s="29"/>
      <c r="G72" s="29"/>
      <c r="H72" s="29"/>
      <c r="I72" s="29"/>
      <c r="J72" s="30"/>
      <c r="K72" s="30"/>
      <c r="L72" s="34"/>
      <c r="M72" s="34"/>
      <c r="N72" s="34">
        <v>8.6</v>
      </c>
      <c r="O72" s="34">
        <v>5</v>
      </c>
      <c r="P72" s="34"/>
      <c r="Q72" s="34">
        <v>11.6</v>
      </c>
      <c r="R72" s="34"/>
      <c r="S72" s="34"/>
      <c r="T72" s="34"/>
      <c r="U72" s="38"/>
      <c r="V72" s="38"/>
      <c r="W72" s="38"/>
      <c r="X72" s="42"/>
      <c r="Y72" s="42"/>
      <c r="Z72" s="42"/>
      <c r="AA72" s="10" t="s">
        <v>56</v>
      </c>
      <c r="AB72" s="10" t="s">
        <v>57</v>
      </c>
      <c r="AC72" s="10" t="s">
        <v>58</v>
      </c>
    </row>
    <row r="73" spans="1:29">
      <c r="B73" t="s">
        <v>8</v>
      </c>
      <c r="C73" t="s">
        <v>90</v>
      </c>
      <c r="E73" s="31"/>
      <c r="F73" s="31"/>
      <c r="G73" s="31"/>
      <c r="H73" s="31"/>
      <c r="I73" s="31"/>
      <c r="J73" s="27"/>
      <c r="K73" s="27"/>
      <c r="L73" s="35"/>
      <c r="M73" s="35"/>
      <c r="N73" s="35">
        <v>10.1</v>
      </c>
      <c r="O73" s="35">
        <v>6</v>
      </c>
      <c r="P73" s="35"/>
      <c r="Q73" s="35">
        <v>9.5</v>
      </c>
      <c r="R73" s="35"/>
      <c r="S73" s="35"/>
      <c r="T73" s="35"/>
      <c r="U73" s="39"/>
      <c r="V73" s="39"/>
      <c r="W73" s="39"/>
      <c r="X73" s="43"/>
      <c r="Y73" s="43"/>
      <c r="Z73" s="43"/>
      <c r="AA73" t="s">
        <v>56</v>
      </c>
      <c r="AB73" t="s">
        <v>57</v>
      </c>
      <c r="AC73" t="s">
        <v>58</v>
      </c>
    </row>
    <row r="74" spans="1:29">
      <c r="A74" t="s">
        <v>192</v>
      </c>
      <c r="B74" s="10" t="s">
        <v>8</v>
      </c>
      <c r="C74" s="10" t="s">
        <v>91</v>
      </c>
      <c r="D74" s="10"/>
      <c r="E74" s="29"/>
      <c r="F74" s="29"/>
      <c r="G74" s="29"/>
      <c r="H74" s="29"/>
      <c r="I74" s="29"/>
      <c r="J74" s="30" t="s">
        <v>360</v>
      </c>
      <c r="K74" s="30"/>
      <c r="L74" s="34"/>
      <c r="M74" s="34"/>
      <c r="N74" s="34">
        <v>7.8</v>
      </c>
      <c r="O74" s="34">
        <v>5</v>
      </c>
      <c r="P74" s="34"/>
      <c r="Q74" s="34">
        <v>5.4</v>
      </c>
      <c r="R74" s="34"/>
      <c r="S74" s="34"/>
      <c r="T74" s="34"/>
      <c r="U74" s="38"/>
      <c r="V74" s="38"/>
      <c r="W74" s="38"/>
      <c r="X74" s="42"/>
      <c r="Y74" s="42"/>
      <c r="Z74" s="42"/>
      <c r="AA74" s="10" t="s">
        <v>56</v>
      </c>
      <c r="AB74" s="10" t="s">
        <v>57</v>
      </c>
      <c r="AC74" s="10" t="s">
        <v>58</v>
      </c>
    </row>
    <row r="75" spans="1:29">
      <c r="B75" t="s">
        <v>8</v>
      </c>
      <c r="C75" t="s">
        <v>92</v>
      </c>
      <c r="E75" s="31"/>
      <c r="F75" s="31"/>
      <c r="G75" s="31"/>
      <c r="H75" s="31"/>
      <c r="I75" s="31"/>
      <c r="J75" s="27" t="s">
        <v>285</v>
      </c>
      <c r="K75" s="27" t="s">
        <v>284</v>
      </c>
      <c r="L75" s="35"/>
      <c r="M75" s="35"/>
      <c r="N75" s="35">
        <v>7.9</v>
      </c>
      <c r="O75" s="35">
        <v>5</v>
      </c>
      <c r="P75" s="35"/>
      <c r="Q75" s="35">
        <v>9.9</v>
      </c>
      <c r="R75" s="35"/>
      <c r="S75" s="33">
        <v>2</v>
      </c>
      <c r="T75" s="33">
        <v>11</v>
      </c>
      <c r="U75" s="39"/>
      <c r="V75" s="39"/>
      <c r="W75" s="39"/>
      <c r="X75" s="43"/>
      <c r="Y75" s="43"/>
      <c r="Z75" s="43"/>
      <c r="AA75" t="s">
        <v>56</v>
      </c>
      <c r="AB75" t="s">
        <v>57</v>
      </c>
      <c r="AC75" t="s">
        <v>58</v>
      </c>
    </row>
    <row r="76" spans="1:29">
      <c r="B76" s="10" t="s">
        <v>8</v>
      </c>
      <c r="C76" s="10" t="s">
        <v>93</v>
      </c>
      <c r="D76" s="10"/>
      <c r="E76" s="29"/>
      <c r="F76" s="29"/>
      <c r="G76" s="29"/>
      <c r="H76" s="29"/>
      <c r="I76" s="29"/>
      <c r="J76" s="30"/>
      <c r="K76" s="30"/>
      <c r="L76" s="34"/>
      <c r="M76" s="34"/>
      <c r="N76" s="34">
        <v>10.199999999999999</v>
      </c>
      <c r="O76" s="34">
        <v>2</v>
      </c>
      <c r="P76" s="34"/>
      <c r="Q76" s="34">
        <v>10.1</v>
      </c>
      <c r="R76" s="34"/>
      <c r="S76" s="34"/>
      <c r="T76" s="34"/>
      <c r="U76" s="38"/>
      <c r="V76" s="38"/>
      <c r="W76" s="38"/>
      <c r="X76" s="42"/>
      <c r="Y76" s="42"/>
      <c r="Z76" s="42"/>
      <c r="AA76" s="10" t="s">
        <v>56</v>
      </c>
      <c r="AB76" s="10" t="s">
        <v>57</v>
      </c>
      <c r="AC76" s="10" t="s">
        <v>58</v>
      </c>
    </row>
    <row r="77" spans="1:29">
      <c r="B77" t="s">
        <v>8</v>
      </c>
      <c r="C77" t="s">
        <v>94</v>
      </c>
      <c r="E77" s="31"/>
      <c r="F77" s="31"/>
      <c r="G77" s="31"/>
      <c r="H77" s="31"/>
      <c r="I77" s="31"/>
      <c r="J77" s="27"/>
      <c r="K77" s="27"/>
      <c r="L77" s="35"/>
      <c r="M77" s="35"/>
      <c r="N77" s="35">
        <v>9.4</v>
      </c>
      <c r="O77" s="35">
        <v>7</v>
      </c>
      <c r="P77" s="35"/>
      <c r="Q77" s="35">
        <v>10.4</v>
      </c>
      <c r="R77" s="35"/>
      <c r="S77" s="35"/>
      <c r="T77" s="35"/>
      <c r="U77" s="39"/>
      <c r="V77" s="39"/>
      <c r="W77" s="39"/>
      <c r="X77" s="43"/>
      <c r="Y77" s="43"/>
      <c r="Z77" s="43"/>
      <c r="AA77" t="s">
        <v>56</v>
      </c>
      <c r="AB77" t="s">
        <v>57</v>
      </c>
      <c r="AC77" t="s">
        <v>58</v>
      </c>
    </row>
    <row r="78" spans="1:29">
      <c r="B78" s="10" t="s">
        <v>8</v>
      </c>
      <c r="C78" s="10" t="s">
        <v>95</v>
      </c>
      <c r="D78" s="10"/>
      <c r="E78" s="29"/>
      <c r="F78" s="29"/>
      <c r="G78" s="29"/>
      <c r="H78" s="29"/>
      <c r="I78" s="29"/>
      <c r="J78" s="30" t="s">
        <v>287</v>
      </c>
      <c r="K78" s="30" t="s">
        <v>284</v>
      </c>
      <c r="L78" s="34"/>
      <c r="M78" s="34"/>
      <c r="N78" s="34">
        <v>9.1</v>
      </c>
      <c r="O78" s="34">
        <v>7.5</v>
      </c>
      <c r="P78" s="34"/>
      <c r="Q78" s="34">
        <v>8.6999999999999993</v>
      </c>
      <c r="R78" s="34"/>
      <c r="S78" s="34">
        <v>1</v>
      </c>
      <c r="T78" s="34">
        <v>11</v>
      </c>
      <c r="U78" s="38"/>
      <c r="V78" s="38"/>
      <c r="W78" s="38"/>
      <c r="X78" s="42"/>
      <c r="Y78" s="42"/>
      <c r="Z78" s="42"/>
      <c r="AA78" s="10" t="s">
        <v>56</v>
      </c>
      <c r="AB78" s="10" t="s">
        <v>57</v>
      </c>
      <c r="AC78" s="10" t="s">
        <v>58</v>
      </c>
    </row>
    <row r="79" spans="1:29">
      <c r="B79" t="s">
        <v>8</v>
      </c>
      <c r="C79" t="s">
        <v>96</v>
      </c>
      <c r="E79" s="31"/>
      <c r="F79" s="31"/>
      <c r="G79" s="31"/>
      <c r="H79" s="31"/>
      <c r="I79" s="31"/>
      <c r="J79" s="27" t="s">
        <v>283</v>
      </c>
      <c r="K79" s="27" t="s">
        <v>284</v>
      </c>
      <c r="L79" s="35"/>
      <c r="M79" s="35"/>
      <c r="N79" s="35">
        <v>31.9</v>
      </c>
      <c r="O79" s="35">
        <v>19</v>
      </c>
      <c r="P79" s="35"/>
      <c r="Q79" s="35">
        <v>33.1</v>
      </c>
      <c r="R79" s="35"/>
      <c r="S79" s="35">
        <v>1</v>
      </c>
      <c r="T79" s="35">
        <v>8</v>
      </c>
      <c r="U79" s="39"/>
      <c r="V79" s="39"/>
      <c r="W79" s="39"/>
      <c r="X79" s="43"/>
      <c r="Y79" s="43"/>
      <c r="Z79" s="43"/>
      <c r="AA79" t="s">
        <v>56</v>
      </c>
      <c r="AB79" t="s">
        <v>57</v>
      </c>
      <c r="AC79" t="s">
        <v>58</v>
      </c>
    </row>
    <row r="80" spans="1:29">
      <c r="B80" s="10" t="s">
        <v>8</v>
      </c>
      <c r="C80" s="10" t="s">
        <v>154</v>
      </c>
      <c r="D80" s="10"/>
      <c r="E80" s="29"/>
      <c r="F80" s="29"/>
      <c r="G80" s="29"/>
      <c r="H80" s="29"/>
      <c r="I80" s="29"/>
      <c r="J80" s="30" t="s">
        <v>282</v>
      </c>
      <c r="K80" s="30" t="s">
        <v>278</v>
      </c>
      <c r="L80" s="34">
        <v>8</v>
      </c>
      <c r="M80" s="34">
        <v>15</v>
      </c>
      <c r="N80" s="34"/>
      <c r="O80" s="34"/>
      <c r="P80" s="34"/>
      <c r="Q80" s="34"/>
      <c r="R80" s="34"/>
      <c r="S80" s="34">
        <v>2</v>
      </c>
      <c r="T80" s="34">
        <v>14</v>
      </c>
      <c r="U80" s="38"/>
      <c r="V80" s="38"/>
      <c r="W80" s="38"/>
      <c r="X80" s="42"/>
      <c r="Y80" s="42"/>
      <c r="Z80" s="42"/>
      <c r="AA80" s="10" t="s">
        <v>155</v>
      </c>
      <c r="AB80" s="10"/>
      <c r="AC80" s="10"/>
    </row>
    <row r="81" spans="2:29">
      <c r="B81" t="s">
        <v>97</v>
      </c>
      <c r="C81" t="s">
        <v>98</v>
      </c>
      <c r="E81" s="31"/>
      <c r="F81" s="31"/>
      <c r="G81" s="31"/>
      <c r="H81" s="31"/>
      <c r="I81" s="31"/>
      <c r="J81" s="27"/>
      <c r="K81" s="27"/>
      <c r="L81" s="35">
        <v>70</v>
      </c>
      <c r="M81" s="35">
        <v>100</v>
      </c>
      <c r="N81" s="35"/>
      <c r="O81" s="35"/>
      <c r="P81" s="35"/>
      <c r="Q81" s="35"/>
      <c r="R81" s="35"/>
      <c r="S81" s="35"/>
      <c r="T81" s="35"/>
      <c r="U81" s="39"/>
      <c r="V81" s="39"/>
      <c r="W81" s="39"/>
      <c r="X81" s="43"/>
      <c r="Y81" s="43"/>
      <c r="Z81" s="43"/>
      <c r="AA81" t="s">
        <v>99</v>
      </c>
    </row>
    <row r="82" spans="2:29">
      <c r="B82" s="10" t="s">
        <v>100</v>
      </c>
      <c r="C82" s="10" t="s">
        <v>125</v>
      </c>
      <c r="D82" s="10"/>
      <c r="E82" s="29"/>
      <c r="F82" s="29"/>
      <c r="G82" s="29"/>
      <c r="H82" s="29"/>
      <c r="I82" s="29"/>
      <c r="J82" s="30"/>
      <c r="K82" s="30"/>
      <c r="L82" s="34">
        <v>8.6999999999999993</v>
      </c>
      <c r="M82" s="34">
        <v>8.6999999999999993</v>
      </c>
      <c r="N82" s="34">
        <v>8.6999999999999993</v>
      </c>
      <c r="O82" s="34"/>
      <c r="P82" s="34"/>
      <c r="Q82" s="34"/>
      <c r="R82" s="34"/>
      <c r="S82" s="34"/>
      <c r="T82" s="34"/>
      <c r="U82" s="38"/>
      <c r="V82" s="38"/>
      <c r="W82" s="38"/>
      <c r="X82" s="42"/>
      <c r="Y82" s="42"/>
      <c r="Z82" s="42"/>
      <c r="AA82" s="10" t="s">
        <v>126</v>
      </c>
      <c r="AB82" s="20" t="s">
        <v>127</v>
      </c>
      <c r="AC82" s="10" t="s">
        <v>128</v>
      </c>
    </row>
    <row r="83" spans="2:29">
      <c r="B83" t="s">
        <v>100</v>
      </c>
      <c r="C83" t="s">
        <v>129</v>
      </c>
      <c r="E83" s="31"/>
      <c r="F83" s="31"/>
      <c r="G83" s="31"/>
      <c r="H83" s="31"/>
      <c r="I83" s="31"/>
      <c r="J83" s="27"/>
      <c r="K83" s="27"/>
      <c r="L83" s="35">
        <v>4.0999999999999996</v>
      </c>
      <c r="M83" s="35">
        <v>15.5</v>
      </c>
      <c r="N83" s="35">
        <v>7.1</v>
      </c>
      <c r="O83" s="35"/>
      <c r="P83" s="35"/>
      <c r="Q83" s="35"/>
      <c r="R83" s="35"/>
      <c r="S83" s="35"/>
      <c r="T83" s="35"/>
      <c r="U83" s="39"/>
      <c r="V83" s="39"/>
      <c r="W83" s="39"/>
      <c r="X83" s="43"/>
      <c r="Y83" s="43"/>
      <c r="Z83" s="43"/>
      <c r="AA83" t="s">
        <v>130</v>
      </c>
      <c r="AB83" s="19" t="s">
        <v>127</v>
      </c>
      <c r="AC83" t="s">
        <v>128</v>
      </c>
    </row>
    <row r="84" spans="2:29">
      <c r="B84" s="10" t="s">
        <v>100</v>
      </c>
      <c r="C84" s="10" t="s">
        <v>131</v>
      </c>
      <c r="D84" s="10"/>
      <c r="E84" s="29"/>
      <c r="F84" s="29"/>
      <c r="G84" s="29"/>
      <c r="H84" s="29"/>
      <c r="I84" s="29"/>
      <c r="J84" s="30"/>
      <c r="K84" s="30"/>
      <c r="L84" s="34">
        <v>4</v>
      </c>
      <c r="M84" s="34">
        <v>11.8</v>
      </c>
      <c r="N84" s="34">
        <v>7</v>
      </c>
      <c r="O84" s="34"/>
      <c r="P84" s="34"/>
      <c r="Q84" s="34"/>
      <c r="R84" s="34"/>
      <c r="S84" s="34"/>
      <c r="T84" s="34"/>
      <c r="U84" s="38"/>
      <c r="V84" s="38"/>
      <c r="W84" s="38"/>
      <c r="X84" s="42"/>
      <c r="Y84" s="42"/>
      <c r="Z84" s="42"/>
      <c r="AA84" s="10" t="s">
        <v>132</v>
      </c>
      <c r="AB84" s="20" t="s">
        <v>127</v>
      </c>
      <c r="AC84" s="10" t="s">
        <v>128</v>
      </c>
    </row>
    <row r="85" spans="2:29">
      <c r="B85" t="s">
        <v>100</v>
      </c>
      <c r="C85" t="s">
        <v>133</v>
      </c>
      <c r="E85" s="31"/>
      <c r="F85" s="31"/>
      <c r="G85" s="31"/>
      <c r="H85" s="31"/>
      <c r="I85" s="31"/>
      <c r="J85" s="27"/>
      <c r="K85" s="27"/>
      <c r="L85" s="35">
        <v>4.0999999999999996</v>
      </c>
      <c r="M85" s="35">
        <v>15.2</v>
      </c>
      <c r="N85" s="35">
        <v>6.9</v>
      </c>
      <c r="O85" s="35"/>
      <c r="P85" s="35"/>
      <c r="Q85" s="35"/>
      <c r="R85" s="35"/>
      <c r="S85" s="35"/>
      <c r="T85" s="35"/>
      <c r="U85" s="39"/>
      <c r="V85" s="39"/>
      <c r="W85" s="39"/>
      <c r="X85" s="43"/>
      <c r="Y85" s="43"/>
      <c r="Z85" s="43"/>
      <c r="AA85" t="s">
        <v>134</v>
      </c>
      <c r="AB85" s="19" t="s">
        <v>127</v>
      </c>
      <c r="AC85" t="s">
        <v>128</v>
      </c>
    </row>
    <row r="86" spans="2:29">
      <c r="B86" s="10" t="s">
        <v>100</v>
      </c>
      <c r="C86" s="10" t="s">
        <v>107</v>
      </c>
      <c r="D86" s="10"/>
      <c r="E86" s="29"/>
      <c r="F86" s="29"/>
      <c r="G86" s="29"/>
      <c r="H86" s="29"/>
      <c r="I86" s="29"/>
      <c r="J86" s="30"/>
      <c r="K86" s="30"/>
      <c r="L86" s="34">
        <v>4</v>
      </c>
      <c r="M86" s="34">
        <v>11.7</v>
      </c>
      <c r="N86" s="34">
        <v>6.8</v>
      </c>
      <c r="O86" s="34"/>
      <c r="P86" s="34"/>
      <c r="Q86" s="34"/>
      <c r="R86" s="34"/>
      <c r="S86" s="34"/>
      <c r="T86" s="34"/>
      <c r="U86" s="38"/>
      <c r="V86" s="38"/>
      <c r="W86" s="38"/>
      <c r="X86" s="42"/>
      <c r="Y86" s="42"/>
      <c r="Z86" s="42"/>
      <c r="AA86" s="10" t="s">
        <v>135</v>
      </c>
      <c r="AB86" s="20" t="s">
        <v>127</v>
      </c>
      <c r="AC86" s="10" t="s">
        <v>128</v>
      </c>
    </row>
    <row r="87" spans="2:29">
      <c r="B87" t="s">
        <v>100</v>
      </c>
      <c r="C87" t="s">
        <v>150</v>
      </c>
      <c r="E87" s="31">
        <v>14.31</v>
      </c>
      <c r="F87" s="31"/>
      <c r="G87" s="31"/>
      <c r="H87" s="31"/>
      <c r="I87" s="31"/>
      <c r="J87" s="27"/>
      <c r="K87" s="27"/>
      <c r="L87" s="35">
        <v>3.8</v>
      </c>
      <c r="M87" s="35">
        <v>10.8</v>
      </c>
      <c r="N87" s="35">
        <v>6</v>
      </c>
      <c r="O87" s="35"/>
      <c r="P87" s="35"/>
      <c r="Q87" s="35"/>
      <c r="R87" s="35"/>
      <c r="S87" s="35"/>
      <c r="T87" s="35"/>
      <c r="U87" s="39"/>
      <c r="V87" s="39"/>
      <c r="W87" s="39"/>
      <c r="X87" s="43"/>
      <c r="Y87" s="43"/>
      <c r="Z87" s="43"/>
      <c r="AA87" t="s">
        <v>136</v>
      </c>
      <c r="AB87" s="19" t="s">
        <v>127</v>
      </c>
      <c r="AC87" t="s">
        <v>128</v>
      </c>
    </row>
    <row r="88" spans="2:29">
      <c r="B88" s="10" t="s">
        <v>100</v>
      </c>
      <c r="C88" s="10" t="s">
        <v>137</v>
      </c>
      <c r="D88" s="10"/>
      <c r="E88" s="29"/>
      <c r="F88" s="29"/>
      <c r="G88" s="29"/>
      <c r="H88" s="29"/>
      <c r="I88" s="29"/>
      <c r="J88" s="30"/>
      <c r="K88" s="30"/>
      <c r="L88" s="34">
        <v>3.5</v>
      </c>
      <c r="M88" s="34">
        <v>5.4</v>
      </c>
      <c r="N88" s="34">
        <v>4.8</v>
      </c>
      <c r="O88" s="34"/>
      <c r="P88" s="34"/>
      <c r="Q88" s="34"/>
      <c r="R88" s="34"/>
      <c r="S88" s="34"/>
      <c r="T88" s="34"/>
      <c r="U88" s="38"/>
      <c r="V88" s="38"/>
      <c r="W88" s="38"/>
      <c r="X88" s="42"/>
      <c r="Y88" s="42"/>
      <c r="Z88" s="42"/>
      <c r="AA88" s="10" t="s">
        <v>138</v>
      </c>
      <c r="AB88" s="20" t="s">
        <v>127</v>
      </c>
      <c r="AC88" s="10" t="s">
        <v>128</v>
      </c>
    </row>
    <row r="89" spans="2:29">
      <c r="B89" t="s">
        <v>100</v>
      </c>
      <c r="C89" t="s">
        <v>139</v>
      </c>
      <c r="E89" s="31"/>
      <c r="F89" s="31"/>
      <c r="G89" s="31"/>
      <c r="H89" s="31"/>
      <c r="I89" s="31"/>
      <c r="J89" s="27"/>
      <c r="K89" s="27"/>
      <c r="L89" s="35">
        <v>2.2000000000000002</v>
      </c>
      <c r="M89" s="35">
        <v>6.2</v>
      </c>
      <c r="N89" s="35">
        <v>4.7</v>
      </c>
      <c r="O89" s="35"/>
      <c r="P89" s="35"/>
      <c r="Q89" s="35"/>
      <c r="R89" s="35"/>
      <c r="S89" s="35"/>
      <c r="T89" s="35"/>
      <c r="U89" s="39"/>
      <c r="V89" s="39"/>
      <c r="W89" s="39"/>
      <c r="X89" s="43"/>
      <c r="Y89" s="43"/>
      <c r="Z89" s="43"/>
      <c r="AA89" t="s">
        <v>140</v>
      </c>
      <c r="AB89" s="19" t="s">
        <v>127</v>
      </c>
      <c r="AC89" t="s">
        <v>128</v>
      </c>
    </row>
    <row r="90" spans="2:29">
      <c r="B90" s="10" t="s">
        <v>100</v>
      </c>
      <c r="C90" s="10" t="s">
        <v>141</v>
      </c>
      <c r="D90" s="10"/>
      <c r="E90" s="29"/>
      <c r="F90" s="29"/>
      <c r="G90" s="29"/>
      <c r="H90" s="29"/>
      <c r="I90" s="29"/>
      <c r="J90" s="30"/>
      <c r="K90" s="30"/>
      <c r="L90" s="34">
        <v>3.4</v>
      </c>
      <c r="M90" s="34">
        <v>6.9</v>
      </c>
      <c r="N90" s="34">
        <v>4.5999999999999996</v>
      </c>
      <c r="O90" s="34"/>
      <c r="P90" s="34"/>
      <c r="Q90" s="34"/>
      <c r="R90" s="34"/>
      <c r="S90" s="34"/>
      <c r="T90" s="34"/>
      <c r="U90" s="38"/>
      <c r="V90" s="38"/>
      <c r="W90" s="38"/>
      <c r="X90" s="42"/>
      <c r="Y90" s="42"/>
      <c r="Z90" s="42"/>
      <c r="AA90" s="10" t="s">
        <v>142</v>
      </c>
      <c r="AB90" s="20" t="s">
        <v>127</v>
      </c>
      <c r="AC90" s="10" t="s">
        <v>128</v>
      </c>
    </row>
    <row r="91" spans="2:29">
      <c r="B91" t="s">
        <v>100</v>
      </c>
      <c r="C91" t="s">
        <v>143</v>
      </c>
      <c r="E91" s="31">
        <v>14.14</v>
      </c>
      <c r="F91" s="31"/>
      <c r="G91" s="31" t="s">
        <v>151</v>
      </c>
      <c r="H91" s="31"/>
      <c r="I91" s="31"/>
      <c r="J91" s="27"/>
      <c r="K91" s="27"/>
      <c r="L91" s="35">
        <v>3.1</v>
      </c>
      <c r="M91" s="35">
        <v>4.3</v>
      </c>
      <c r="N91" s="35">
        <v>3.5</v>
      </c>
      <c r="O91" s="35"/>
      <c r="P91" s="35"/>
      <c r="Q91" s="35"/>
      <c r="R91" s="35"/>
      <c r="S91" s="35"/>
      <c r="T91" s="35"/>
      <c r="U91" s="39"/>
      <c r="V91" s="39"/>
      <c r="W91" s="39"/>
      <c r="X91" s="43"/>
      <c r="Y91" s="43"/>
      <c r="Z91" s="43"/>
      <c r="AA91" t="s">
        <v>144</v>
      </c>
      <c r="AB91" s="19" t="s">
        <v>127</v>
      </c>
      <c r="AC91" t="s">
        <v>128</v>
      </c>
    </row>
    <row r="92" spans="2:29">
      <c r="B92" s="10" t="s">
        <v>100</v>
      </c>
      <c r="C92" s="10" t="s">
        <v>108</v>
      </c>
      <c r="D92" s="10"/>
      <c r="E92" s="29"/>
      <c r="F92" s="29"/>
      <c r="G92" s="29"/>
      <c r="H92" s="29"/>
      <c r="I92" s="29"/>
      <c r="J92" s="30"/>
      <c r="K92" s="30"/>
      <c r="L92" s="34">
        <v>2.4</v>
      </c>
      <c r="M92" s="34">
        <v>4.2</v>
      </c>
      <c r="N92" s="34">
        <v>3.5</v>
      </c>
      <c r="O92" s="34"/>
      <c r="P92" s="34"/>
      <c r="Q92" s="34"/>
      <c r="R92" s="34"/>
      <c r="S92" s="34"/>
      <c r="T92" s="34"/>
      <c r="U92" s="38"/>
      <c r="V92" s="38"/>
      <c r="W92" s="38"/>
      <c r="X92" s="42"/>
      <c r="Y92" s="42"/>
      <c r="Z92" s="42"/>
      <c r="AA92" s="10" t="s">
        <v>145</v>
      </c>
      <c r="AB92" s="20" t="s">
        <v>127</v>
      </c>
      <c r="AC92" s="10" t="s">
        <v>128</v>
      </c>
    </row>
    <row r="93" spans="2:29">
      <c r="B93" t="s">
        <v>100</v>
      </c>
      <c r="C93" t="s">
        <v>146</v>
      </c>
      <c r="E93" s="31"/>
      <c r="F93" s="31"/>
      <c r="G93" s="31"/>
      <c r="H93" s="31"/>
      <c r="I93" s="31"/>
      <c r="J93" s="27"/>
      <c r="K93" s="27"/>
      <c r="L93" s="35">
        <v>2.5</v>
      </c>
      <c r="M93" s="35">
        <v>4.2</v>
      </c>
      <c r="N93" s="35">
        <v>3.1</v>
      </c>
      <c r="O93" s="35"/>
      <c r="P93" s="35"/>
      <c r="Q93" s="35"/>
      <c r="R93" s="35"/>
      <c r="S93" s="35"/>
      <c r="T93" s="35"/>
      <c r="U93" s="39"/>
      <c r="V93" s="39"/>
      <c r="W93" s="39"/>
      <c r="X93" s="43"/>
      <c r="Y93" s="43"/>
      <c r="Z93" s="43"/>
      <c r="AA93" t="s">
        <v>147</v>
      </c>
      <c r="AB93" s="19" t="s">
        <v>127</v>
      </c>
      <c r="AC93" t="s">
        <v>128</v>
      </c>
    </row>
    <row r="94" spans="2:29">
      <c r="B94" s="10" t="s">
        <v>100</v>
      </c>
      <c r="C94" s="10" t="s">
        <v>148</v>
      </c>
      <c r="D94" s="10"/>
      <c r="E94" s="29">
        <v>14.31</v>
      </c>
      <c r="F94" s="29"/>
      <c r="G94" s="29"/>
      <c r="H94" s="29"/>
      <c r="I94" s="29"/>
      <c r="J94" s="30"/>
      <c r="K94" s="30"/>
      <c r="L94" s="34">
        <v>1.8</v>
      </c>
      <c r="M94" s="34">
        <v>3.7</v>
      </c>
      <c r="N94" s="34">
        <v>2.6</v>
      </c>
      <c r="O94" s="34"/>
      <c r="P94" s="34"/>
      <c r="Q94" s="34"/>
      <c r="R94" s="34"/>
      <c r="S94" s="34"/>
      <c r="T94" s="34"/>
      <c r="U94" s="38"/>
      <c r="V94" s="38"/>
      <c r="W94" s="38"/>
      <c r="X94" s="42"/>
      <c r="Y94" s="42"/>
      <c r="Z94" s="42"/>
      <c r="AA94" s="10" t="s">
        <v>149</v>
      </c>
      <c r="AB94" s="20" t="s">
        <v>127</v>
      </c>
      <c r="AC94" s="10" t="s">
        <v>128</v>
      </c>
    </row>
    <row r="95" spans="2:29">
      <c r="B95" t="s">
        <v>100</v>
      </c>
      <c r="C95" t="s">
        <v>101</v>
      </c>
      <c r="E95" s="31"/>
      <c r="F95" s="31"/>
      <c r="G95" s="31"/>
      <c r="H95" s="31"/>
      <c r="I95" s="31"/>
      <c r="J95" s="27"/>
      <c r="K95" s="27"/>
      <c r="L95" s="35"/>
      <c r="M95" s="35"/>
      <c r="N95" s="35">
        <v>3.1</v>
      </c>
      <c r="O95" s="35"/>
      <c r="P95" s="35"/>
      <c r="Q95" s="35"/>
      <c r="R95" s="35"/>
      <c r="S95" s="35"/>
      <c r="T95" s="35"/>
      <c r="U95" s="39"/>
      <c r="V95" s="39"/>
      <c r="W95" s="39"/>
      <c r="X95" s="43"/>
      <c r="Y95" s="43"/>
      <c r="Z95" s="43"/>
      <c r="AA95" t="s">
        <v>102</v>
      </c>
      <c r="AB95" t="s">
        <v>153</v>
      </c>
      <c r="AC95">
        <v>2013</v>
      </c>
    </row>
    <row r="96" spans="2:29">
      <c r="B96" s="10" t="s">
        <v>100</v>
      </c>
      <c r="C96" s="10" t="s">
        <v>103</v>
      </c>
      <c r="D96" s="10"/>
      <c r="E96" s="29">
        <v>14.14</v>
      </c>
      <c r="F96" s="29"/>
      <c r="G96" s="29" t="s">
        <v>151</v>
      </c>
      <c r="H96" s="29"/>
      <c r="I96" s="29"/>
      <c r="J96" s="30"/>
      <c r="K96" s="30"/>
      <c r="L96" s="34"/>
      <c r="M96" s="34"/>
      <c r="N96" s="34">
        <v>2.9000000000000004</v>
      </c>
      <c r="O96" s="34"/>
      <c r="P96" s="34"/>
      <c r="Q96" s="34"/>
      <c r="R96" s="34"/>
      <c r="S96" s="34"/>
      <c r="T96" s="34"/>
      <c r="U96" s="38"/>
      <c r="V96" s="38"/>
      <c r="W96" s="38"/>
      <c r="X96" s="42"/>
      <c r="Y96" s="42"/>
      <c r="Z96" s="42"/>
      <c r="AA96" s="10" t="s">
        <v>102</v>
      </c>
      <c r="AB96" s="10" t="s">
        <v>153</v>
      </c>
      <c r="AC96" s="10">
        <v>2013</v>
      </c>
    </row>
    <row r="97" spans="2:29">
      <c r="B97" t="s">
        <v>100</v>
      </c>
      <c r="C97" t="s">
        <v>104</v>
      </c>
      <c r="E97" s="31"/>
      <c r="F97" s="31"/>
      <c r="G97" s="31"/>
      <c r="H97" s="31"/>
      <c r="I97" s="31"/>
      <c r="J97" s="27"/>
      <c r="K97" s="27"/>
      <c r="L97" s="35"/>
      <c r="M97" s="35"/>
      <c r="N97" s="35">
        <v>6.2</v>
      </c>
      <c r="O97" s="35"/>
      <c r="P97" s="35"/>
      <c r="Q97" s="35"/>
      <c r="R97" s="35"/>
      <c r="S97" s="35"/>
      <c r="T97" s="35"/>
      <c r="U97" s="39"/>
      <c r="V97" s="39"/>
      <c r="W97" s="39"/>
      <c r="X97" s="43"/>
      <c r="Y97" s="43"/>
      <c r="Z97" s="43"/>
      <c r="AA97" t="s">
        <v>102</v>
      </c>
      <c r="AB97" s="19" t="s">
        <v>153</v>
      </c>
      <c r="AC97">
        <v>2013</v>
      </c>
    </row>
    <row r="98" spans="2:29">
      <c r="B98" s="10" t="s">
        <v>100</v>
      </c>
      <c r="C98" s="10" t="s">
        <v>105</v>
      </c>
      <c r="D98" s="10"/>
      <c r="E98" s="29"/>
      <c r="F98" s="29"/>
      <c r="G98" s="29"/>
      <c r="H98" s="29"/>
      <c r="I98" s="29"/>
      <c r="J98" s="30"/>
      <c r="K98" s="30"/>
      <c r="L98" s="34"/>
      <c r="M98" s="34"/>
      <c r="N98" s="34">
        <v>4.7</v>
      </c>
      <c r="O98" s="34"/>
      <c r="P98" s="34"/>
      <c r="Q98" s="34"/>
      <c r="R98" s="34"/>
      <c r="S98" s="34"/>
      <c r="T98" s="34"/>
      <c r="U98" s="38"/>
      <c r="V98" s="38"/>
      <c r="W98" s="38"/>
      <c r="X98" s="42"/>
      <c r="Y98" s="42"/>
      <c r="Z98" s="42"/>
      <c r="AA98" s="10" t="s">
        <v>102</v>
      </c>
      <c r="AB98" s="10" t="s">
        <v>153</v>
      </c>
      <c r="AC98" s="10">
        <v>2013</v>
      </c>
    </row>
    <row r="99" spans="2:29">
      <c r="B99" t="s">
        <v>100</v>
      </c>
      <c r="C99" t="s">
        <v>106</v>
      </c>
      <c r="E99" s="31"/>
      <c r="F99" s="31"/>
      <c r="G99" s="31"/>
      <c r="H99" s="31"/>
      <c r="I99" s="31"/>
      <c r="J99" s="27"/>
      <c r="K99" s="27"/>
      <c r="L99" s="35"/>
      <c r="M99" s="35"/>
      <c r="N99" s="35">
        <v>4.9000000000000004</v>
      </c>
      <c r="O99" s="35"/>
      <c r="P99" s="35"/>
      <c r="Q99" s="35"/>
      <c r="R99" s="35"/>
      <c r="S99" s="35"/>
      <c r="T99" s="35"/>
      <c r="U99" s="39"/>
      <c r="V99" s="39"/>
      <c r="W99" s="39"/>
      <c r="X99" s="43"/>
      <c r="Y99" s="43"/>
      <c r="Z99" s="43"/>
      <c r="AA99" t="s">
        <v>102</v>
      </c>
      <c r="AB99" t="s">
        <v>153</v>
      </c>
      <c r="AC99">
        <v>2013</v>
      </c>
    </row>
    <row r="100" spans="2:29">
      <c r="B100" s="10" t="s">
        <v>100</v>
      </c>
      <c r="C100" s="10" t="s">
        <v>107</v>
      </c>
      <c r="D100" s="10"/>
      <c r="E100" s="29"/>
      <c r="F100" s="29"/>
      <c r="G100" s="29"/>
      <c r="H100" s="29"/>
      <c r="I100" s="29"/>
      <c r="J100" s="30"/>
      <c r="K100" s="30"/>
      <c r="L100" s="34"/>
      <c r="M100" s="34"/>
      <c r="N100" s="34">
        <v>6.5</v>
      </c>
      <c r="O100" s="34"/>
      <c r="P100" s="34"/>
      <c r="Q100" s="34"/>
      <c r="R100" s="34"/>
      <c r="S100" s="34"/>
      <c r="T100" s="34"/>
      <c r="U100" s="38"/>
      <c r="V100" s="38"/>
      <c r="W100" s="38"/>
      <c r="X100" s="42"/>
      <c r="Y100" s="42"/>
      <c r="Z100" s="42"/>
      <c r="AA100" s="10" t="s">
        <v>102</v>
      </c>
      <c r="AB100" s="10" t="s">
        <v>153</v>
      </c>
      <c r="AC100" s="10">
        <v>2013</v>
      </c>
    </row>
    <row r="101" spans="2:29">
      <c r="B101" t="s">
        <v>100</v>
      </c>
      <c r="C101" t="s">
        <v>108</v>
      </c>
      <c r="E101" s="31"/>
      <c r="F101" s="31"/>
      <c r="G101" s="31"/>
      <c r="H101" s="31"/>
      <c r="I101" s="31"/>
      <c r="J101" s="27"/>
      <c r="K101" s="27"/>
      <c r="L101" s="35"/>
      <c r="M101" s="35"/>
      <c r="N101" s="35">
        <v>3.9000000000000004</v>
      </c>
      <c r="O101" s="35"/>
      <c r="P101" s="35"/>
      <c r="Q101" s="35"/>
      <c r="R101" s="35"/>
      <c r="S101" s="35"/>
      <c r="T101" s="35"/>
      <c r="U101" s="39"/>
      <c r="V101" s="39"/>
      <c r="W101" s="39"/>
      <c r="X101" s="43"/>
      <c r="Y101" s="43"/>
      <c r="Z101" s="43"/>
      <c r="AA101" t="s">
        <v>102</v>
      </c>
      <c r="AB101" t="s">
        <v>153</v>
      </c>
      <c r="AC101">
        <v>2013</v>
      </c>
    </row>
    <row r="102" spans="2:29">
      <c r="B102" s="10" t="s">
        <v>100</v>
      </c>
      <c r="C102" s="10" t="s">
        <v>150</v>
      </c>
      <c r="D102" s="10"/>
      <c r="E102" s="29">
        <v>14.31</v>
      </c>
      <c r="F102" s="29"/>
      <c r="G102" s="29"/>
      <c r="H102" s="29"/>
      <c r="I102" s="29"/>
      <c r="J102" s="30"/>
      <c r="K102" s="30"/>
      <c r="L102" s="34"/>
      <c r="M102" s="34"/>
      <c r="N102" s="34">
        <v>4.5</v>
      </c>
      <c r="O102" s="34"/>
      <c r="P102" s="34"/>
      <c r="Q102" s="34"/>
      <c r="R102" s="34"/>
      <c r="S102" s="34"/>
      <c r="T102" s="34"/>
      <c r="U102" s="38"/>
      <c r="V102" s="38"/>
      <c r="W102" s="38"/>
      <c r="X102" s="42"/>
      <c r="Y102" s="42"/>
      <c r="Z102" s="42"/>
      <c r="AA102" s="10" t="s">
        <v>102</v>
      </c>
      <c r="AB102" s="10" t="s">
        <v>153</v>
      </c>
      <c r="AC102" s="10">
        <v>2013</v>
      </c>
    </row>
    <row r="103" spans="2:29">
      <c r="B103" t="s">
        <v>100</v>
      </c>
      <c r="C103" t="s">
        <v>110</v>
      </c>
      <c r="E103" s="31">
        <v>14.14</v>
      </c>
      <c r="F103" s="31"/>
      <c r="G103" s="31"/>
      <c r="H103" s="31"/>
      <c r="I103" s="31"/>
      <c r="J103" s="27"/>
      <c r="K103" s="27"/>
      <c r="L103" s="35"/>
      <c r="M103" s="35"/>
      <c r="N103" s="35">
        <v>2.2000000000000002</v>
      </c>
      <c r="O103" s="35"/>
      <c r="P103" s="35"/>
      <c r="Q103" s="35"/>
      <c r="R103" s="35"/>
      <c r="S103" s="35"/>
      <c r="T103" s="35"/>
      <c r="U103" s="39"/>
      <c r="V103" s="39"/>
      <c r="W103" s="39"/>
      <c r="X103" s="43"/>
      <c r="Y103" s="43"/>
      <c r="Z103" s="43"/>
      <c r="AA103" t="s">
        <v>102</v>
      </c>
      <c r="AB103" t="s">
        <v>153</v>
      </c>
      <c r="AC103">
        <v>2013</v>
      </c>
    </row>
    <row r="104" spans="2:29">
      <c r="B104" s="10" t="s">
        <v>100</v>
      </c>
      <c r="C104" s="10" t="s">
        <v>109</v>
      </c>
      <c r="D104" s="10"/>
      <c r="E104" s="29"/>
      <c r="F104" s="29"/>
      <c r="G104" s="29"/>
      <c r="H104" s="29"/>
      <c r="I104" s="29"/>
      <c r="J104" s="30"/>
      <c r="K104" s="30"/>
      <c r="L104" s="34"/>
      <c r="M104" s="34"/>
      <c r="N104" s="34">
        <v>3.2</v>
      </c>
      <c r="O104" s="34"/>
      <c r="P104" s="34"/>
      <c r="Q104" s="34"/>
      <c r="R104" s="34"/>
      <c r="S104" s="34"/>
      <c r="T104" s="34"/>
      <c r="U104" s="38"/>
      <c r="V104" s="38"/>
      <c r="W104" s="38"/>
      <c r="X104" s="42"/>
      <c r="Y104" s="42"/>
      <c r="Z104" s="42"/>
      <c r="AA104" s="10" t="s">
        <v>102</v>
      </c>
      <c r="AB104" s="10" t="s">
        <v>153</v>
      </c>
      <c r="AC104" s="10">
        <v>2013</v>
      </c>
    </row>
    <row r="105" spans="2:29">
      <c r="B105" t="s">
        <v>100</v>
      </c>
      <c r="C105" t="s">
        <v>111</v>
      </c>
      <c r="E105" s="31"/>
      <c r="F105" s="31"/>
      <c r="G105" s="31"/>
      <c r="H105" s="31"/>
      <c r="I105" s="31"/>
      <c r="J105" s="27"/>
      <c r="K105" s="27"/>
      <c r="L105" s="35"/>
      <c r="M105" s="35"/>
      <c r="N105" s="35">
        <v>3.9</v>
      </c>
      <c r="O105" s="35"/>
      <c r="P105" s="35"/>
      <c r="Q105" s="35"/>
      <c r="R105" s="35"/>
      <c r="S105" s="35"/>
      <c r="T105" s="35"/>
      <c r="U105" s="39"/>
      <c r="V105" s="39"/>
      <c r="W105" s="39"/>
      <c r="X105" s="43"/>
      <c r="Y105" s="43"/>
      <c r="Z105" s="43"/>
      <c r="AA105" t="s">
        <v>102</v>
      </c>
      <c r="AB105" t="s">
        <v>153</v>
      </c>
      <c r="AC105">
        <v>2013</v>
      </c>
    </row>
    <row r="106" spans="2:29">
      <c r="B106" s="10" t="s">
        <v>100</v>
      </c>
      <c r="C106" s="10" t="s">
        <v>112</v>
      </c>
      <c r="D106" s="10"/>
      <c r="E106" s="29"/>
      <c r="F106" s="29"/>
      <c r="G106" s="29"/>
      <c r="H106" s="29"/>
      <c r="I106" s="29"/>
      <c r="J106" s="30"/>
      <c r="K106" s="30"/>
      <c r="L106" s="34"/>
      <c r="M106" s="34"/>
      <c r="N106" s="34">
        <v>5.7</v>
      </c>
      <c r="O106" s="34"/>
      <c r="P106" s="34"/>
      <c r="Q106" s="34"/>
      <c r="R106" s="34"/>
      <c r="S106" s="34"/>
      <c r="T106" s="34"/>
      <c r="U106" s="38"/>
      <c r="V106" s="38"/>
      <c r="W106" s="38"/>
      <c r="X106" s="42"/>
      <c r="Y106" s="42"/>
      <c r="Z106" s="42"/>
      <c r="AA106" s="10" t="s">
        <v>102</v>
      </c>
      <c r="AB106" s="10" t="s">
        <v>153</v>
      </c>
      <c r="AC106" s="10">
        <v>2013</v>
      </c>
    </row>
    <row r="107" spans="2:29">
      <c r="B107" t="s">
        <v>100</v>
      </c>
      <c r="C107" t="s">
        <v>113</v>
      </c>
      <c r="E107" s="31">
        <v>14.14</v>
      </c>
      <c r="F107" s="31"/>
      <c r="G107" s="31" t="s">
        <v>152</v>
      </c>
      <c r="H107" s="31"/>
      <c r="I107" s="31"/>
      <c r="J107" s="27"/>
      <c r="K107" s="27"/>
      <c r="L107" s="35"/>
      <c r="M107" s="35"/>
      <c r="N107" s="35">
        <v>4.9000000000000004</v>
      </c>
      <c r="O107" s="35"/>
      <c r="P107" s="35"/>
      <c r="Q107" s="35"/>
      <c r="R107" s="35"/>
      <c r="S107" s="35"/>
      <c r="T107" s="35"/>
      <c r="U107" s="39"/>
      <c r="V107" s="39"/>
      <c r="W107" s="39"/>
      <c r="X107" s="43"/>
      <c r="Y107" s="43"/>
      <c r="Z107" s="43"/>
      <c r="AA107" t="s">
        <v>102</v>
      </c>
      <c r="AB107" t="s">
        <v>153</v>
      </c>
      <c r="AC107">
        <v>2013</v>
      </c>
    </row>
    <row r="108" spans="2:29">
      <c r="B108" s="10" t="s">
        <v>100</v>
      </c>
      <c r="C108" s="10" t="s">
        <v>114</v>
      </c>
      <c r="D108" s="10"/>
      <c r="E108" s="29"/>
      <c r="F108" s="29"/>
      <c r="G108" s="29"/>
      <c r="H108" s="29"/>
      <c r="I108" s="29"/>
      <c r="J108" s="30"/>
      <c r="K108" s="30"/>
      <c r="L108" s="34"/>
      <c r="M108" s="34"/>
      <c r="N108" s="34">
        <v>4.3</v>
      </c>
      <c r="O108" s="34"/>
      <c r="P108" s="34"/>
      <c r="Q108" s="34"/>
      <c r="R108" s="34"/>
      <c r="S108" s="34"/>
      <c r="T108" s="34"/>
      <c r="U108" s="38"/>
      <c r="V108" s="38"/>
      <c r="W108" s="38"/>
      <c r="X108" s="42"/>
      <c r="Y108" s="42"/>
      <c r="Z108" s="42"/>
      <c r="AA108" s="10" t="s">
        <v>102</v>
      </c>
      <c r="AB108" s="10" t="s">
        <v>153</v>
      </c>
      <c r="AC108" s="10">
        <v>2013</v>
      </c>
    </row>
    <row r="109" spans="2:29">
      <c r="B109" t="s">
        <v>100</v>
      </c>
      <c r="C109" t="s">
        <v>115</v>
      </c>
      <c r="E109" s="31"/>
      <c r="F109" s="31"/>
      <c r="G109" s="31"/>
      <c r="H109" s="31"/>
      <c r="I109" s="31"/>
      <c r="J109" s="27"/>
      <c r="K109" s="27"/>
      <c r="L109" s="35"/>
      <c r="M109" s="35"/>
      <c r="N109" s="35">
        <v>4.4000000000000004</v>
      </c>
      <c r="O109" s="35"/>
      <c r="P109" s="35"/>
      <c r="Q109" s="35"/>
      <c r="R109" s="35"/>
      <c r="S109" s="35"/>
      <c r="T109" s="35"/>
      <c r="U109" s="39"/>
      <c r="V109" s="39"/>
      <c r="W109" s="39"/>
      <c r="X109" s="43"/>
      <c r="Y109" s="43"/>
      <c r="Z109" s="43"/>
      <c r="AA109" t="s">
        <v>102</v>
      </c>
      <c r="AB109" t="s">
        <v>153</v>
      </c>
      <c r="AC109">
        <v>2013</v>
      </c>
    </row>
    <row r="110" spans="2:29">
      <c r="B110" s="10" t="s">
        <v>100</v>
      </c>
      <c r="C110" s="10" t="s">
        <v>116</v>
      </c>
      <c r="D110" s="10"/>
      <c r="E110" s="29"/>
      <c r="F110" s="29"/>
      <c r="G110" s="29"/>
      <c r="H110" s="29"/>
      <c r="I110" s="29"/>
      <c r="J110" s="30"/>
      <c r="K110" s="30"/>
      <c r="L110" s="34"/>
      <c r="M110" s="34"/>
      <c r="N110" s="34">
        <v>5.2</v>
      </c>
      <c r="O110" s="34"/>
      <c r="P110" s="34"/>
      <c r="Q110" s="34"/>
      <c r="R110" s="34"/>
      <c r="S110" s="34"/>
      <c r="T110" s="34"/>
      <c r="U110" s="38"/>
      <c r="V110" s="38"/>
      <c r="W110" s="38"/>
      <c r="X110" s="42"/>
      <c r="Y110" s="42"/>
      <c r="Z110" s="42"/>
      <c r="AA110" s="10" t="s">
        <v>102</v>
      </c>
      <c r="AB110" s="10" t="s">
        <v>153</v>
      </c>
      <c r="AC110" s="10">
        <v>2013</v>
      </c>
    </row>
    <row r="111" spans="2:29">
      <c r="B111" t="s">
        <v>100</v>
      </c>
      <c r="C111" t="s">
        <v>117</v>
      </c>
      <c r="E111" s="31">
        <v>14.31</v>
      </c>
      <c r="F111" s="31"/>
      <c r="G111" s="31"/>
      <c r="H111" s="31"/>
      <c r="I111" s="31"/>
      <c r="J111" s="27"/>
      <c r="K111" s="27"/>
      <c r="L111" s="35"/>
      <c r="M111" s="35"/>
      <c r="N111" s="35">
        <v>2.4</v>
      </c>
      <c r="O111" s="35"/>
      <c r="P111" s="35"/>
      <c r="Q111" s="35"/>
      <c r="R111" s="35"/>
      <c r="S111" s="35"/>
      <c r="T111" s="35"/>
      <c r="U111" s="39"/>
      <c r="V111" s="39"/>
      <c r="W111" s="39"/>
      <c r="X111" s="43"/>
      <c r="Y111" s="43"/>
      <c r="Z111" s="43"/>
      <c r="AA111" t="s">
        <v>102</v>
      </c>
      <c r="AB111" t="s">
        <v>153</v>
      </c>
      <c r="AC111">
        <v>2013</v>
      </c>
    </row>
    <row r="112" spans="2:29">
      <c r="B112" s="10" t="s">
        <v>100</v>
      </c>
      <c r="C112" s="10" t="s">
        <v>118</v>
      </c>
      <c r="D112" s="10"/>
      <c r="E112" s="29"/>
      <c r="F112" s="29"/>
      <c r="G112" s="29"/>
      <c r="H112" s="29"/>
      <c r="I112" s="29"/>
      <c r="J112" s="30"/>
      <c r="K112" s="30"/>
      <c r="L112" s="34"/>
      <c r="M112" s="34"/>
      <c r="N112" s="34">
        <v>4.5</v>
      </c>
      <c r="O112" s="34"/>
      <c r="P112" s="34"/>
      <c r="Q112" s="34"/>
      <c r="R112" s="34"/>
      <c r="S112" s="34"/>
      <c r="T112" s="34"/>
      <c r="U112" s="38"/>
      <c r="V112" s="38"/>
      <c r="W112" s="38"/>
      <c r="X112" s="42"/>
      <c r="Y112" s="42"/>
      <c r="Z112" s="42"/>
      <c r="AA112" s="10" t="s">
        <v>102</v>
      </c>
      <c r="AB112" s="10" t="s">
        <v>153</v>
      </c>
      <c r="AC112" s="10">
        <v>2013</v>
      </c>
    </row>
    <row r="113" spans="1:29">
      <c r="B113" t="s">
        <v>100</v>
      </c>
      <c r="C113" t="s">
        <v>119</v>
      </c>
      <c r="E113" s="31"/>
      <c r="F113" s="31"/>
      <c r="G113" s="31"/>
      <c r="H113" s="31"/>
      <c r="I113" s="31"/>
      <c r="J113" s="27"/>
      <c r="K113" s="27"/>
      <c r="L113" s="35"/>
      <c r="M113" s="35"/>
      <c r="N113" s="35">
        <v>4.5999999999999996</v>
      </c>
      <c r="O113" s="35"/>
      <c r="P113" s="35"/>
      <c r="Q113" s="35"/>
      <c r="R113" s="35"/>
      <c r="S113" s="35"/>
      <c r="T113" s="35"/>
      <c r="U113" s="39"/>
      <c r="V113" s="39"/>
      <c r="W113" s="39"/>
      <c r="X113" s="43"/>
      <c r="Y113" s="43"/>
      <c r="Z113" s="43"/>
      <c r="AA113" t="s">
        <v>102</v>
      </c>
      <c r="AB113" t="s">
        <v>153</v>
      </c>
      <c r="AC113">
        <v>2013</v>
      </c>
    </row>
    <row r="114" spans="1:29">
      <c r="B114" s="10" t="s">
        <v>100</v>
      </c>
      <c r="C114" s="10" t="s">
        <v>120</v>
      </c>
      <c r="D114" s="10"/>
      <c r="E114" s="29"/>
      <c r="F114" s="29"/>
      <c r="G114" s="29"/>
      <c r="H114" s="29"/>
      <c r="I114" s="29"/>
      <c r="J114" s="30"/>
      <c r="K114" s="30"/>
      <c r="L114" s="34"/>
      <c r="M114" s="34"/>
      <c r="N114" s="34">
        <v>4.3</v>
      </c>
      <c r="O114" s="34"/>
      <c r="P114" s="34"/>
      <c r="Q114" s="34"/>
      <c r="R114" s="34"/>
      <c r="S114" s="34"/>
      <c r="T114" s="34"/>
      <c r="U114" s="38"/>
      <c r="V114" s="38"/>
      <c r="W114" s="38"/>
      <c r="X114" s="42"/>
      <c r="Y114" s="42"/>
      <c r="Z114" s="42"/>
      <c r="AA114" s="10" t="s">
        <v>102</v>
      </c>
      <c r="AB114" s="10" t="s">
        <v>153</v>
      </c>
      <c r="AC114" s="10">
        <v>2013</v>
      </c>
    </row>
    <row r="115" spans="1:29">
      <c r="B115" t="s">
        <v>100</v>
      </c>
      <c r="C115" t="s">
        <v>124</v>
      </c>
      <c r="E115" s="31"/>
      <c r="F115" s="31"/>
      <c r="G115" s="31"/>
      <c r="H115" s="31"/>
      <c r="I115" s="31"/>
      <c r="J115" s="27"/>
      <c r="K115" s="27"/>
      <c r="L115" s="35"/>
      <c r="M115" s="35"/>
      <c r="N115" s="35">
        <v>4</v>
      </c>
      <c r="O115" s="35"/>
      <c r="P115" s="35"/>
      <c r="Q115" s="35"/>
      <c r="R115" s="35"/>
      <c r="S115" s="35"/>
      <c r="T115" s="35"/>
      <c r="U115" s="39"/>
      <c r="V115" s="39"/>
      <c r="W115" s="39"/>
      <c r="X115" s="43"/>
      <c r="Y115" s="43"/>
      <c r="Z115" s="43"/>
      <c r="AA115" t="s">
        <v>102</v>
      </c>
      <c r="AB115" t="s">
        <v>153</v>
      </c>
      <c r="AC115">
        <v>2013</v>
      </c>
    </row>
    <row r="116" spans="1:29">
      <c r="B116" s="10" t="s">
        <v>100</v>
      </c>
      <c r="C116" s="10" t="s">
        <v>121</v>
      </c>
      <c r="D116" s="10"/>
      <c r="E116" s="29"/>
      <c r="F116" s="29"/>
      <c r="G116" s="29"/>
      <c r="H116" s="29"/>
      <c r="I116" s="29"/>
      <c r="J116" s="30"/>
      <c r="K116" s="30"/>
      <c r="L116" s="34"/>
      <c r="M116" s="34"/>
      <c r="N116" s="34">
        <v>9.6999999999999993</v>
      </c>
      <c r="O116" s="34"/>
      <c r="P116" s="34"/>
      <c r="Q116" s="34"/>
      <c r="R116" s="34"/>
      <c r="S116" s="34"/>
      <c r="T116" s="34"/>
      <c r="U116" s="38"/>
      <c r="V116" s="38"/>
      <c r="W116" s="38"/>
      <c r="X116" s="42"/>
      <c r="Y116" s="42"/>
      <c r="Z116" s="42"/>
      <c r="AA116" s="10" t="s">
        <v>102</v>
      </c>
      <c r="AB116" s="10" t="s">
        <v>153</v>
      </c>
      <c r="AC116" s="10">
        <v>2013</v>
      </c>
    </row>
    <row r="117" spans="1:29">
      <c r="B117" t="s">
        <v>100</v>
      </c>
      <c r="C117" t="s">
        <v>122</v>
      </c>
      <c r="E117" s="31"/>
      <c r="F117" s="31"/>
      <c r="G117" s="31"/>
      <c r="H117" s="31"/>
      <c r="I117" s="31"/>
      <c r="J117" s="27"/>
      <c r="K117" s="27"/>
      <c r="L117" s="35"/>
      <c r="M117" s="35"/>
      <c r="N117" s="35">
        <v>4.7</v>
      </c>
      <c r="O117" s="35"/>
      <c r="P117" s="35"/>
      <c r="Q117" s="35"/>
      <c r="R117" s="35"/>
      <c r="S117" s="35"/>
      <c r="T117" s="35"/>
      <c r="U117" s="39"/>
      <c r="V117" s="39"/>
      <c r="W117" s="39"/>
      <c r="X117" s="43"/>
      <c r="Y117" s="43"/>
      <c r="Z117" s="43"/>
      <c r="AA117" t="s">
        <v>102</v>
      </c>
      <c r="AB117" t="s">
        <v>153</v>
      </c>
      <c r="AC117">
        <v>2013</v>
      </c>
    </row>
    <row r="118" spans="1:29">
      <c r="B118" s="10" t="s">
        <v>100</v>
      </c>
      <c r="C118" s="10" t="s">
        <v>123</v>
      </c>
      <c r="D118" s="10"/>
      <c r="E118" s="29"/>
      <c r="F118" s="29"/>
      <c r="G118" s="29"/>
      <c r="H118" s="29"/>
      <c r="I118" s="29"/>
      <c r="J118" s="30"/>
      <c r="K118" s="30"/>
      <c r="L118" s="34"/>
      <c r="M118" s="34"/>
      <c r="N118" s="34">
        <v>5.3</v>
      </c>
      <c r="O118" s="34"/>
      <c r="P118" s="34"/>
      <c r="Q118" s="34"/>
      <c r="R118" s="34"/>
      <c r="S118" s="34"/>
      <c r="T118" s="34"/>
      <c r="U118" s="38"/>
      <c r="V118" s="38"/>
      <c r="W118" s="38"/>
      <c r="X118" s="42"/>
      <c r="Y118" s="42"/>
      <c r="Z118" s="42"/>
      <c r="AA118" s="10" t="s">
        <v>102</v>
      </c>
      <c r="AB118" s="10" t="s">
        <v>153</v>
      </c>
      <c r="AC118" s="10">
        <v>2013</v>
      </c>
    </row>
    <row r="119" spans="1:29">
      <c r="B119" t="s">
        <v>100</v>
      </c>
      <c r="C119" t="s">
        <v>156</v>
      </c>
      <c r="D119" t="s">
        <v>157</v>
      </c>
      <c r="E119" s="31"/>
      <c r="F119" s="31"/>
      <c r="G119" s="31"/>
      <c r="H119" s="31"/>
      <c r="I119" s="31"/>
      <c r="J119" s="27"/>
      <c r="K119" s="27"/>
      <c r="L119" s="35"/>
      <c r="M119" s="35"/>
      <c r="N119" s="35">
        <v>2</v>
      </c>
      <c r="O119" s="35"/>
      <c r="P119" s="35"/>
      <c r="Q119" s="35"/>
      <c r="R119" s="35"/>
      <c r="S119" s="35"/>
      <c r="T119" s="35"/>
      <c r="U119" s="39"/>
      <c r="V119" s="39"/>
      <c r="W119" s="39"/>
      <c r="X119" s="43"/>
      <c r="Y119" s="43"/>
      <c r="Z119" s="43"/>
      <c r="AA119" t="s">
        <v>164</v>
      </c>
      <c r="AB119" s="19" t="s">
        <v>165</v>
      </c>
      <c r="AC119">
        <v>2011</v>
      </c>
    </row>
    <row r="120" spans="1:29">
      <c r="B120" s="10" t="s">
        <v>100</v>
      </c>
      <c r="C120" s="10" t="s">
        <v>158</v>
      </c>
      <c r="D120" s="10"/>
      <c r="E120" s="29"/>
      <c r="F120" s="29"/>
      <c r="G120" s="29"/>
      <c r="H120" s="29"/>
      <c r="I120" s="29"/>
      <c r="J120" s="30"/>
      <c r="K120" s="30"/>
      <c r="L120" s="34"/>
      <c r="M120" s="34"/>
      <c r="N120" s="34">
        <v>6</v>
      </c>
      <c r="O120" s="34"/>
      <c r="P120" s="34"/>
      <c r="Q120" s="34"/>
      <c r="R120" s="34"/>
      <c r="S120" s="34"/>
      <c r="T120" s="34"/>
      <c r="U120" s="38"/>
      <c r="V120" s="38"/>
      <c r="W120" s="38"/>
      <c r="X120" s="42"/>
      <c r="Y120" s="42"/>
      <c r="Z120" s="42"/>
      <c r="AA120" s="10" t="s">
        <v>164</v>
      </c>
      <c r="AB120" s="10" t="s">
        <v>165</v>
      </c>
      <c r="AC120" s="10">
        <v>2011</v>
      </c>
    </row>
    <row r="121" spans="1:29">
      <c r="B121" t="s">
        <v>160</v>
      </c>
      <c r="C121" t="s">
        <v>159</v>
      </c>
      <c r="E121" s="31"/>
      <c r="F121" s="31"/>
      <c r="G121" s="31"/>
      <c r="H121" s="31"/>
      <c r="I121" s="31"/>
      <c r="J121" s="27"/>
      <c r="K121" s="27"/>
      <c r="L121" s="35"/>
      <c r="M121" s="35"/>
      <c r="N121" s="35">
        <v>8</v>
      </c>
      <c r="O121" s="35"/>
      <c r="P121" s="35"/>
      <c r="Q121" s="35"/>
      <c r="R121" s="35"/>
      <c r="S121" s="35"/>
      <c r="T121" s="35"/>
      <c r="U121" s="39"/>
      <c r="V121" s="39"/>
      <c r="W121" s="39"/>
      <c r="X121" s="43"/>
      <c r="Y121" s="43"/>
      <c r="Z121" s="43"/>
      <c r="AA121" t="s">
        <v>164</v>
      </c>
      <c r="AB121" t="s">
        <v>165</v>
      </c>
      <c r="AC121">
        <v>2011</v>
      </c>
    </row>
    <row r="122" spans="1:29">
      <c r="A122" t="s">
        <v>192</v>
      </c>
      <c r="B122" s="10" t="s">
        <v>8</v>
      </c>
      <c r="C122" s="10" t="s">
        <v>80</v>
      </c>
      <c r="D122" s="10"/>
      <c r="E122" s="29"/>
      <c r="F122" s="29"/>
      <c r="G122" s="29"/>
      <c r="H122" s="29"/>
      <c r="I122" s="29"/>
      <c r="J122" s="30" t="s">
        <v>297</v>
      </c>
      <c r="K122" s="30" t="s">
        <v>294</v>
      </c>
      <c r="L122" s="34"/>
      <c r="M122" s="34"/>
      <c r="N122" s="34">
        <v>2</v>
      </c>
      <c r="O122" s="34"/>
      <c r="P122" s="34"/>
      <c r="Q122" s="34"/>
      <c r="R122" s="34"/>
      <c r="S122" s="33">
        <v>2</v>
      </c>
      <c r="T122" s="33">
        <v>6</v>
      </c>
      <c r="U122" s="38"/>
      <c r="V122" s="38"/>
      <c r="W122" s="38"/>
      <c r="X122" s="42"/>
      <c r="Y122" s="42"/>
      <c r="Z122" s="42"/>
      <c r="AA122" s="10" t="s">
        <v>164</v>
      </c>
      <c r="AB122" s="10" t="s">
        <v>165</v>
      </c>
      <c r="AC122" s="10">
        <v>2011</v>
      </c>
    </row>
    <row r="123" spans="1:29">
      <c r="B123" t="s">
        <v>8</v>
      </c>
      <c r="C123" t="s">
        <v>92</v>
      </c>
      <c r="E123" s="31"/>
      <c r="F123" s="31"/>
      <c r="G123" s="31"/>
      <c r="H123" s="31"/>
      <c r="I123" s="31"/>
      <c r="J123" s="30" t="s">
        <v>285</v>
      </c>
      <c r="K123" s="30" t="s">
        <v>284</v>
      </c>
      <c r="L123" s="35">
        <v>4</v>
      </c>
      <c r="M123" s="35">
        <v>5</v>
      </c>
      <c r="N123" s="35">
        <v>4.5</v>
      </c>
      <c r="O123" s="35"/>
      <c r="P123" s="35"/>
      <c r="Q123" s="35"/>
      <c r="R123" s="35"/>
      <c r="S123" s="33">
        <v>2</v>
      </c>
      <c r="T123" s="33">
        <v>11</v>
      </c>
      <c r="U123" s="39"/>
      <c r="V123" s="39"/>
      <c r="W123" s="39"/>
      <c r="X123" s="43"/>
      <c r="Y123" s="43"/>
      <c r="Z123" s="43"/>
      <c r="AA123" t="s">
        <v>164</v>
      </c>
      <c r="AB123" t="s">
        <v>165</v>
      </c>
      <c r="AC123">
        <v>2011</v>
      </c>
    </row>
    <row r="124" spans="1:29">
      <c r="B124" s="10" t="s">
        <v>8</v>
      </c>
      <c r="C124" s="10" t="s">
        <v>161</v>
      </c>
      <c r="D124" s="10"/>
      <c r="E124" s="29"/>
      <c r="F124" s="29"/>
      <c r="G124" s="29"/>
      <c r="H124" s="29"/>
      <c r="I124" s="29"/>
      <c r="J124" s="30" t="s">
        <v>296</v>
      </c>
      <c r="K124" s="30" t="s">
        <v>294</v>
      </c>
      <c r="L124" s="34"/>
      <c r="M124" s="34"/>
      <c r="N124" s="34">
        <v>3</v>
      </c>
      <c r="O124" s="34"/>
      <c r="P124" s="34"/>
      <c r="Q124" s="34"/>
      <c r="R124" s="34"/>
      <c r="S124" s="34">
        <v>2</v>
      </c>
      <c r="T124" s="34">
        <v>9</v>
      </c>
      <c r="U124" s="38"/>
      <c r="V124" s="38"/>
      <c r="W124" s="38"/>
      <c r="X124" s="42"/>
      <c r="Y124" s="42"/>
      <c r="Z124" s="42"/>
      <c r="AA124" s="10" t="s">
        <v>164</v>
      </c>
      <c r="AB124" s="10" t="s">
        <v>165</v>
      </c>
      <c r="AC124" s="10">
        <v>2011</v>
      </c>
    </row>
    <row r="125" spans="1:29">
      <c r="A125" t="s">
        <v>192</v>
      </c>
      <c r="B125" t="s">
        <v>8</v>
      </c>
      <c r="C125" t="s">
        <v>162</v>
      </c>
      <c r="E125" s="31"/>
      <c r="F125" s="31"/>
      <c r="G125" s="31"/>
      <c r="H125" s="31"/>
      <c r="I125" s="31"/>
      <c r="J125" s="27"/>
      <c r="K125" s="27"/>
      <c r="L125" s="35"/>
      <c r="M125" s="35"/>
      <c r="N125" s="35">
        <v>3</v>
      </c>
      <c r="O125" s="35"/>
      <c r="P125" s="35"/>
      <c r="Q125" s="35"/>
      <c r="R125" s="35"/>
      <c r="S125" s="35"/>
      <c r="T125" s="35"/>
      <c r="U125" s="39"/>
      <c r="V125" s="39"/>
      <c r="W125" s="39"/>
      <c r="X125" s="43"/>
      <c r="Y125" s="43"/>
      <c r="Z125" s="43"/>
      <c r="AA125" t="s">
        <v>164</v>
      </c>
      <c r="AB125" t="s">
        <v>165</v>
      </c>
      <c r="AC125">
        <v>2011</v>
      </c>
    </row>
    <row r="126" spans="1:29">
      <c r="B126" s="10" t="s">
        <v>8</v>
      </c>
      <c r="C126" s="10" t="s">
        <v>163</v>
      </c>
      <c r="D126" s="10"/>
      <c r="E126" s="29"/>
      <c r="F126" s="29"/>
      <c r="G126" s="29"/>
      <c r="H126" s="29"/>
      <c r="I126" s="29"/>
      <c r="J126" s="30" t="s">
        <v>279</v>
      </c>
      <c r="K126" s="30" t="s">
        <v>278</v>
      </c>
      <c r="L126" s="34"/>
      <c r="M126" s="34"/>
      <c r="N126" s="34">
        <v>6</v>
      </c>
      <c r="O126" s="34"/>
      <c r="P126" s="34"/>
      <c r="Q126" s="34"/>
      <c r="R126" s="34"/>
      <c r="S126" s="34">
        <v>2</v>
      </c>
      <c r="T126" s="34">
        <v>13</v>
      </c>
      <c r="U126" s="38"/>
      <c r="V126" s="38"/>
      <c r="W126" s="38"/>
      <c r="X126" s="42"/>
      <c r="Y126" s="42"/>
      <c r="Z126" s="42"/>
      <c r="AA126" s="10" t="s">
        <v>164</v>
      </c>
      <c r="AB126" s="10" t="s">
        <v>165</v>
      </c>
      <c r="AC126" s="10">
        <v>2011</v>
      </c>
    </row>
    <row r="127" spans="1:29">
      <c r="B127" t="s">
        <v>97</v>
      </c>
      <c r="C127" t="s">
        <v>172</v>
      </c>
      <c r="E127" s="31"/>
      <c r="F127" s="31"/>
      <c r="G127" s="31"/>
      <c r="H127" s="31"/>
      <c r="I127" s="31"/>
      <c r="J127" s="27"/>
      <c r="K127" s="27"/>
      <c r="L127" s="35"/>
      <c r="M127" s="35"/>
      <c r="N127" s="35">
        <v>25</v>
      </c>
      <c r="O127" s="35"/>
      <c r="P127" s="35"/>
      <c r="Q127" s="35"/>
      <c r="R127" s="35"/>
      <c r="S127" s="35"/>
      <c r="T127" s="35"/>
      <c r="U127" s="39"/>
      <c r="V127" s="39"/>
      <c r="W127" s="39"/>
      <c r="X127" s="43"/>
      <c r="Y127" s="43"/>
      <c r="Z127" s="43"/>
      <c r="AA127" t="s">
        <v>173</v>
      </c>
    </row>
    <row r="128" spans="1:29">
      <c r="B128" s="10" t="s">
        <v>176</v>
      </c>
      <c r="C128" s="10" t="s">
        <v>176</v>
      </c>
      <c r="D128" s="10"/>
      <c r="E128" s="29"/>
      <c r="F128" s="29"/>
      <c r="G128" s="29"/>
      <c r="H128" s="29"/>
      <c r="I128" s="29"/>
      <c r="J128" s="30"/>
      <c r="K128" s="30"/>
      <c r="L128" s="34">
        <v>19</v>
      </c>
      <c r="M128" s="34">
        <v>100</v>
      </c>
      <c r="N128" s="34"/>
      <c r="O128" s="34">
        <v>75</v>
      </c>
      <c r="P128" s="34">
        <v>16</v>
      </c>
      <c r="Q128" s="34"/>
      <c r="R128" s="34"/>
      <c r="S128" s="34"/>
      <c r="T128" s="34"/>
      <c r="U128" s="38"/>
      <c r="V128" s="38"/>
      <c r="W128" s="38"/>
      <c r="X128" s="42"/>
      <c r="Y128" s="42"/>
      <c r="Z128" s="42"/>
      <c r="AA128" s="10" t="s">
        <v>187</v>
      </c>
      <c r="AB128" s="10" t="s">
        <v>188</v>
      </c>
      <c r="AC128" s="10"/>
    </row>
    <row r="129" spans="1:29">
      <c r="C129" t="s">
        <v>177</v>
      </c>
      <c r="E129" s="31"/>
      <c r="F129" s="31"/>
      <c r="G129" s="31"/>
      <c r="H129" s="31"/>
      <c r="I129" s="31"/>
      <c r="J129" s="27"/>
      <c r="K129" s="27"/>
      <c r="L129" s="35">
        <v>10</v>
      </c>
      <c r="M129" s="35">
        <v>10</v>
      </c>
      <c r="N129" s="35"/>
      <c r="O129" s="35">
        <v>10</v>
      </c>
      <c r="P129" s="35"/>
      <c r="Q129" s="35"/>
      <c r="R129" s="35"/>
      <c r="S129" s="35"/>
      <c r="T129" s="35"/>
      <c r="U129" s="39"/>
      <c r="V129" s="39"/>
      <c r="W129" s="39"/>
      <c r="X129" s="43"/>
      <c r="Y129" s="43"/>
      <c r="Z129" s="43"/>
      <c r="AA129" t="s">
        <v>187</v>
      </c>
      <c r="AB129" t="s">
        <v>188</v>
      </c>
    </row>
    <row r="130" spans="1:29">
      <c r="B130" s="10" t="s">
        <v>176</v>
      </c>
      <c r="C130" s="10" t="s">
        <v>178</v>
      </c>
      <c r="D130" s="10"/>
      <c r="E130" s="29"/>
      <c r="F130" s="29"/>
      <c r="G130" s="29"/>
      <c r="H130" s="29"/>
      <c r="I130" s="29"/>
      <c r="J130" s="30"/>
      <c r="K130" s="30"/>
      <c r="L130" s="34">
        <v>59</v>
      </c>
      <c r="M130" s="34">
        <v>59</v>
      </c>
      <c r="N130" s="34"/>
      <c r="O130" s="34">
        <v>59</v>
      </c>
      <c r="P130" s="34"/>
      <c r="Q130" s="34"/>
      <c r="R130" s="34"/>
      <c r="S130" s="34"/>
      <c r="T130" s="34"/>
      <c r="U130" s="38"/>
      <c r="V130" s="38"/>
      <c r="W130" s="38"/>
      <c r="X130" s="42"/>
      <c r="Y130" s="42"/>
      <c r="Z130" s="42"/>
      <c r="AA130" s="10" t="s">
        <v>187</v>
      </c>
      <c r="AB130" s="10" t="s">
        <v>188</v>
      </c>
      <c r="AC130" s="10"/>
    </row>
    <row r="131" spans="1:29">
      <c r="C131" t="s">
        <v>179</v>
      </c>
      <c r="E131" s="31"/>
      <c r="F131" s="31"/>
      <c r="G131" s="31"/>
      <c r="H131" s="31"/>
      <c r="I131" s="31"/>
      <c r="J131" s="27"/>
      <c r="K131" s="27"/>
      <c r="L131" s="35">
        <v>15</v>
      </c>
      <c r="M131" s="35">
        <v>15</v>
      </c>
      <c r="N131" s="35"/>
      <c r="O131" s="35">
        <v>15</v>
      </c>
      <c r="P131" s="35"/>
      <c r="Q131" s="35"/>
      <c r="R131" s="35"/>
      <c r="S131" s="35"/>
      <c r="T131" s="35"/>
      <c r="U131" s="39"/>
      <c r="V131" s="39"/>
      <c r="W131" s="39"/>
      <c r="X131" s="43"/>
      <c r="Y131" s="43"/>
      <c r="Z131" s="43"/>
      <c r="AA131" t="s">
        <v>187</v>
      </c>
      <c r="AB131" t="s">
        <v>188</v>
      </c>
    </row>
    <row r="132" spans="1:29">
      <c r="B132" s="10" t="s">
        <v>8</v>
      </c>
      <c r="C132" s="10" t="s">
        <v>180</v>
      </c>
      <c r="D132" s="10"/>
      <c r="E132" s="29"/>
      <c r="F132" s="29"/>
      <c r="G132" s="29"/>
      <c r="H132" s="29"/>
      <c r="I132" s="29"/>
      <c r="J132" s="30"/>
      <c r="K132" s="30"/>
      <c r="L132" s="34">
        <v>5</v>
      </c>
      <c r="M132" s="34">
        <v>5</v>
      </c>
      <c r="N132" s="34"/>
      <c r="O132" s="34">
        <v>5</v>
      </c>
      <c r="P132" s="34"/>
      <c r="Q132" s="34"/>
      <c r="R132" s="34"/>
      <c r="S132" s="34"/>
      <c r="T132" s="34"/>
      <c r="U132" s="38"/>
      <c r="V132" s="38"/>
      <c r="W132" s="38"/>
      <c r="X132" s="42"/>
      <c r="Y132" s="42"/>
      <c r="Z132" s="42"/>
      <c r="AA132" s="10" t="s">
        <v>187</v>
      </c>
      <c r="AB132" s="10" t="s">
        <v>188</v>
      </c>
      <c r="AC132" s="10"/>
    </row>
    <row r="133" spans="1:29">
      <c r="C133" t="s">
        <v>181</v>
      </c>
      <c r="E133" s="31"/>
      <c r="F133" s="31"/>
      <c r="G133" s="31"/>
      <c r="H133" s="31"/>
      <c r="I133" s="31"/>
      <c r="J133" s="27"/>
      <c r="K133" s="27"/>
      <c r="L133" s="35">
        <v>10</v>
      </c>
      <c r="M133" s="35">
        <v>10</v>
      </c>
      <c r="N133" s="35"/>
      <c r="O133" s="35">
        <v>10</v>
      </c>
      <c r="P133" s="35"/>
      <c r="Q133" s="35"/>
      <c r="R133" s="35"/>
      <c r="S133" s="35"/>
      <c r="T133" s="35"/>
      <c r="U133" s="39"/>
      <c r="V133" s="39"/>
      <c r="W133" s="39"/>
      <c r="X133" s="43"/>
      <c r="Y133" s="43"/>
      <c r="Z133" s="43"/>
      <c r="AA133" t="s">
        <v>187</v>
      </c>
      <c r="AB133" t="s">
        <v>188</v>
      </c>
    </row>
    <row r="134" spans="1:29">
      <c r="B134" s="10"/>
      <c r="C134" s="10" t="s">
        <v>182</v>
      </c>
      <c r="D134" s="10"/>
      <c r="E134" s="29"/>
      <c r="F134" s="29"/>
      <c r="G134" s="29"/>
      <c r="H134" s="29"/>
      <c r="I134" s="29"/>
      <c r="J134" s="30"/>
      <c r="K134" s="30"/>
      <c r="L134" s="34">
        <v>10</v>
      </c>
      <c r="M134" s="34">
        <v>30</v>
      </c>
      <c r="N134" s="34"/>
      <c r="O134" s="34">
        <v>25</v>
      </c>
      <c r="P134" s="34">
        <v>5</v>
      </c>
      <c r="Q134" s="34"/>
      <c r="R134" s="34"/>
      <c r="S134" s="34"/>
      <c r="T134" s="34"/>
      <c r="U134" s="38"/>
      <c r="V134" s="38"/>
      <c r="W134" s="38"/>
      <c r="X134" s="42"/>
      <c r="Y134" s="42"/>
      <c r="Z134" s="42"/>
      <c r="AA134" s="10" t="s">
        <v>187</v>
      </c>
      <c r="AB134" s="10" t="s">
        <v>188</v>
      </c>
      <c r="AC134" s="10"/>
    </row>
    <row r="135" spans="1:29">
      <c r="B135" t="s">
        <v>8</v>
      </c>
      <c r="C135" t="s">
        <v>183</v>
      </c>
      <c r="E135" s="31"/>
      <c r="F135" s="31"/>
      <c r="G135" s="31"/>
      <c r="H135" s="31"/>
      <c r="I135" s="31"/>
      <c r="J135" s="27"/>
      <c r="K135" s="27"/>
      <c r="L135" s="35">
        <v>5</v>
      </c>
      <c r="M135" s="35">
        <v>5</v>
      </c>
      <c r="N135" s="35"/>
      <c r="O135" s="35">
        <v>5</v>
      </c>
      <c r="P135" s="35"/>
      <c r="Q135" s="35"/>
      <c r="R135" s="35"/>
      <c r="S135" s="35"/>
      <c r="T135" s="35"/>
      <c r="U135" s="39"/>
      <c r="V135" s="39"/>
      <c r="W135" s="39"/>
      <c r="X135" s="43"/>
      <c r="Y135" s="43"/>
      <c r="Z135" s="43"/>
      <c r="AA135" t="s">
        <v>187</v>
      </c>
      <c r="AB135" t="s">
        <v>188</v>
      </c>
    </row>
    <row r="136" spans="1:29">
      <c r="B136" s="10" t="s">
        <v>8</v>
      </c>
      <c r="C136" s="10" t="s">
        <v>184</v>
      </c>
      <c r="D136" s="10"/>
      <c r="E136" s="29"/>
      <c r="F136" s="29"/>
      <c r="G136" s="29"/>
      <c r="H136" s="29"/>
      <c r="I136" s="29"/>
      <c r="J136" s="30"/>
      <c r="K136" s="30"/>
      <c r="L136" s="34">
        <v>4</v>
      </c>
      <c r="M136" s="34">
        <v>12</v>
      </c>
      <c r="N136" s="34"/>
      <c r="O136" s="34">
        <v>10</v>
      </c>
      <c r="P136" s="34"/>
      <c r="Q136" s="34"/>
      <c r="R136" s="34"/>
      <c r="S136" s="34"/>
      <c r="T136" s="34"/>
      <c r="U136" s="38"/>
      <c r="V136" s="38"/>
      <c r="W136" s="38"/>
      <c r="X136" s="42"/>
      <c r="Y136" s="42"/>
      <c r="Z136" s="42"/>
      <c r="AA136" s="10" t="s">
        <v>187</v>
      </c>
      <c r="AB136" s="10" t="s">
        <v>188</v>
      </c>
      <c r="AC136" s="10"/>
    </row>
    <row r="137" spans="1:29">
      <c r="B137" t="s">
        <v>97</v>
      </c>
      <c r="C137" t="s">
        <v>185</v>
      </c>
      <c r="E137" s="31"/>
      <c r="F137" s="31"/>
      <c r="G137" s="31"/>
      <c r="H137" s="31"/>
      <c r="I137" s="31"/>
      <c r="J137" s="27"/>
      <c r="K137" s="27"/>
      <c r="L137" s="35">
        <v>9</v>
      </c>
      <c r="M137" s="35">
        <v>25</v>
      </c>
      <c r="N137" s="35"/>
      <c r="O137" s="35">
        <v>10</v>
      </c>
      <c r="P137" s="35">
        <v>3</v>
      </c>
      <c r="Q137" s="35"/>
      <c r="R137" s="35"/>
      <c r="S137" s="35"/>
      <c r="T137" s="35"/>
      <c r="U137" s="39"/>
      <c r="V137" s="39"/>
      <c r="W137" s="39"/>
      <c r="X137" s="43"/>
      <c r="Y137" s="43"/>
      <c r="Z137" s="43"/>
      <c r="AA137" t="s">
        <v>187</v>
      </c>
      <c r="AB137" t="s">
        <v>188</v>
      </c>
    </row>
    <row r="138" spans="1:29">
      <c r="B138" s="10" t="s">
        <v>8</v>
      </c>
      <c r="C138" s="10" t="s">
        <v>186</v>
      </c>
      <c r="D138" s="10"/>
      <c r="E138" s="29"/>
      <c r="F138" s="29"/>
      <c r="G138" s="29"/>
      <c r="H138" s="29"/>
      <c r="I138" s="29"/>
      <c r="J138" s="30"/>
      <c r="K138" s="30"/>
      <c r="L138" s="34">
        <v>20</v>
      </c>
      <c r="M138" s="34">
        <v>20</v>
      </c>
      <c r="N138" s="34"/>
      <c r="O138" s="34">
        <v>20</v>
      </c>
      <c r="P138" s="34"/>
      <c r="Q138" s="34"/>
      <c r="R138" s="34"/>
      <c r="S138" s="34"/>
      <c r="T138" s="34"/>
      <c r="U138" s="38"/>
      <c r="V138" s="38"/>
      <c r="W138" s="38"/>
      <c r="X138" s="42"/>
      <c r="Y138" s="42"/>
      <c r="Z138" s="42"/>
      <c r="AA138" s="10" t="s">
        <v>187</v>
      </c>
      <c r="AB138" s="10" t="s">
        <v>188</v>
      </c>
      <c r="AC138" s="10"/>
    </row>
    <row r="139" spans="1:29">
      <c r="B139" t="s">
        <v>97</v>
      </c>
      <c r="C139" t="s">
        <v>194</v>
      </c>
      <c r="E139" s="31"/>
      <c r="F139" s="31"/>
      <c r="G139" s="31"/>
      <c r="H139" s="31"/>
      <c r="I139" s="31"/>
      <c r="J139" s="27"/>
      <c r="K139" s="27"/>
      <c r="L139" s="35"/>
      <c r="M139" s="35"/>
      <c r="N139" s="35"/>
      <c r="O139" s="35"/>
      <c r="P139" s="35"/>
      <c r="Q139" s="35"/>
      <c r="R139" s="35"/>
      <c r="S139" s="35"/>
      <c r="T139" s="35"/>
      <c r="U139" s="39"/>
      <c r="V139" s="39"/>
      <c r="W139" s="39"/>
      <c r="X139" s="43"/>
      <c r="Y139" s="43"/>
      <c r="Z139" s="43"/>
    </row>
    <row r="140" spans="1:29">
      <c r="B140" s="11" t="s">
        <v>195</v>
      </c>
      <c r="C140" s="11" t="s">
        <v>196</v>
      </c>
      <c r="D140" s="11"/>
      <c r="E140" s="29"/>
      <c r="F140" s="29"/>
      <c r="G140" s="29"/>
      <c r="H140" s="29"/>
      <c r="I140" s="29"/>
      <c r="J140" s="30"/>
      <c r="K140" s="30"/>
      <c r="L140" s="34"/>
      <c r="M140" s="34"/>
      <c r="N140" s="34"/>
      <c r="O140" s="34"/>
      <c r="P140" s="34"/>
      <c r="Q140" s="34"/>
      <c r="R140" s="34"/>
      <c r="S140" s="34"/>
      <c r="T140" s="34"/>
      <c r="U140" s="38"/>
      <c r="V140" s="38"/>
      <c r="W140" s="38"/>
      <c r="X140" s="42"/>
      <c r="Y140" s="42"/>
      <c r="Z140" s="42"/>
      <c r="AA140" s="11"/>
      <c r="AB140" s="11"/>
      <c r="AC140" s="11"/>
    </row>
    <row r="141" spans="1:29">
      <c r="A141" t="s">
        <v>192</v>
      </c>
      <c r="B141" t="s">
        <v>8</v>
      </c>
      <c r="C141" s="10" t="s">
        <v>40</v>
      </c>
      <c r="D141" s="10"/>
      <c r="E141" s="154" t="s">
        <v>200</v>
      </c>
      <c r="F141" s="155" t="s">
        <v>200</v>
      </c>
      <c r="G141" s="156" t="s">
        <v>202</v>
      </c>
      <c r="H141" s="156" t="s">
        <v>203</v>
      </c>
      <c r="I141" s="155" t="s">
        <v>215</v>
      </c>
      <c r="J141" s="155" t="s">
        <v>360</v>
      </c>
      <c r="K141" s="155" t="s">
        <v>272</v>
      </c>
      <c r="L141" s="157"/>
      <c r="M141" s="157"/>
      <c r="N141" s="157"/>
      <c r="O141" s="157"/>
      <c r="P141" s="157"/>
      <c r="Q141" s="157"/>
      <c r="R141" s="157"/>
      <c r="S141" s="157">
        <v>1.6</v>
      </c>
      <c r="T141" s="158">
        <v>6.57</v>
      </c>
      <c r="U141" s="157"/>
      <c r="V141" s="157"/>
      <c r="W141" s="158"/>
      <c r="X141" s="157"/>
      <c r="Y141" s="157"/>
      <c r="Z141" s="157"/>
      <c r="AA141" s="10" t="s">
        <v>6922</v>
      </c>
      <c r="AB141" s="92" t="s">
        <v>6921</v>
      </c>
      <c r="AC141" s="10">
        <v>2020</v>
      </c>
    </row>
    <row r="142" spans="1:29">
      <c r="A142" t="s">
        <v>192</v>
      </c>
      <c r="B142" t="s">
        <v>8</v>
      </c>
      <c r="C142" s="10" t="s">
        <v>91</v>
      </c>
      <c r="D142" s="10"/>
      <c r="E142" s="154" t="s">
        <v>200</v>
      </c>
      <c r="F142" s="155" t="s">
        <v>200</v>
      </c>
      <c r="G142" s="156" t="s">
        <v>202</v>
      </c>
      <c r="H142" s="156" t="s">
        <v>203</v>
      </c>
      <c r="I142" s="155" t="s">
        <v>215</v>
      </c>
      <c r="J142" s="159" t="s">
        <v>360</v>
      </c>
      <c r="K142" s="160"/>
      <c r="L142" s="157"/>
      <c r="M142" s="157"/>
      <c r="N142" s="157"/>
      <c r="O142" s="157"/>
      <c r="P142" s="157"/>
      <c r="Q142" s="157"/>
      <c r="R142" s="157"/>
      <c r="S142" s="157">
        <v>1.6</v>
      </c>
      <c r="T142" s="158">
        <v>6.8</v>
      </c>
      <c r="U142" s="157"/>
      <c r="V142" s="157"/>
      <c r="W142" s="158"/>
      <c r="X142" s="157"/>
      <c r="Y142" s="157"/>
      <c r="Z142" s="157"/>
      <c r="AA142" s="10" t="s">
        <v>6922</v>
      </c>
      <c r="AB142" s="92" t="s">
        <v>6921</v>
      </c>
      <c r="AC142" s="10">
        <v>2020</v>
      </c>
    </row>
    <row r="143" spans="1:29">
      <c r="A143" t="s">
        <v>192</v>
      </c>
      <c r="B143" t="s">
        <v>8</v>
      </c>
      <c r="C143" s="10" t="s">
        <v>480</v>
      </c>
      <c r="D143" s="10"/>
      <c r="E143" s="155" t="s">
        <v>199</v>
      </c>
      <c r="F143" s="155" t="s">
        <v>201</v>
      </c>
      <c r="G143" s="155" t="s">
        <v>198</v>
      </c>
      <c r="H143" s="161" t="s">
        <v>197</v>
      </c>
      <c r="I143" s="154" t="s">
        <v>212</v>
      </c>
      <c r="J143" s="154" t="s">
        <v>366</v>
      </c>
      <c r="K143" s="154" t="s">
        <v>294</v>
      </c>
      <c r="L143" s="157"/>
      <c r="M143" s="157"/>
      <c r="N143" s="157"/>
      <c r="O143" s="157"/>
      <c r="P143" s="157"/>
      <c r="Q143" s="157"/>
      <c r="R143" s="157"/>
      <c r="S143" s="157">
        <v>1.56</v>
      </c>
      <c r="T143" s="158">
        <v>6.26</v>
      </c>
      <c r="U143" s="157"/>
      <c r="V143" s="157"/>
      <c r="W143" s="158"/>
      <c r="X143" s="157"/>
      <c r="Y143" s="157"/>
      <c r="Z143" s="157"/>
      <c r="AA143" s="10" t="s">
        <v>6922</v>
      </c>
      <c r="AB143" s="92" t="s">
        <v>6921</v>
      </c>
      <c r="AC143" s="10">
        <v>2020</v>
      </c>
    </row>
  </sheetData>
  <phoneticPr fontId="13" type="noConversion"/>
  <hyperlinks>
    <hyperlink ref="AB82" r:id="rId1" xr:uid="{884743FB-034E-FA47-B691-185CFFD45084}"/>
    <hyperlink ref="AB83:AB94" r:id="rId2" display="https://www.mdpi.com/2071-1050/12/21/9151" xr:uid="{9C0ED946-7A7F-DF4F-8685-7AEA0CC492CF}"/>
    <hyperlink ref="AB97" r:id="rId3" location="download-file" xr:uid="{36FECF74-76EB-F846-9DA4-A17DBEB396C7}"/>
    <hyperlink ref="AB119" r:id="rId4" location="Description" xr:uid="{ED5ACB02-94F4-EF47-A9D2-E38A43D5481F}"/>
    <hyperlink ref="AB2" r:id="rId5" xr:uid="{9A8D9749-0296-4C4E-80D6-32E1BA8F3D93}"/>
    <hyperlink ref="AB25" r:id="rId6" xr:uid="{1EF0BF90-0C92-3D41-A265-FC1FDDD38B76}"/>
    <hyperlink ref="AB141" r:id="rId7" xr:uid="{C69B588F-4105-7C47-8EEC-F7BB143B7549}"/>
    <hyperlink ref="AB142:AB143" r:id="rId8" display="https://www.researchgate.net/publication/331714941_EWaste_statistics_Guidelines_on_classification_reporting_and_indicators" xr:uid="{846CB9F3-E545-B54D-812A-64B7610EC1A1}"/>
    <hyperlink ref="AB27" r:id="rId9" xr:uid="{6F1ECFCD-0B6B-C14B-92CB-D7D8C261EF1D}"/>
  </hyperlinks>
  <pageMargins left="0.7" right="0.7" top="0.75" bottom="0.75" header="0.3" footer="0.3"/>
  <pageSetup paperSize="9" orientation="portrait" horizontalDpi="0" verticalDpi="0"/>
  <legacyDrawing r:id="rId10"/>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8DEC3-56B6-0745-8648-21D173E34844}">
  <dimension ref="A1:G49"/>
  <sheetViews>
    <sheetView topLeftCell="A18" workbookViewId="0">
      <selection activeCell="L15" sqref="L15"/>
    </sheetView>
  </sheetViews>
  <sheetFormatPr baseColWidth="10" defaultRowHeight="16"/>
  <sheetData>
    <row r="1" spans="1:7">
      <c r="A1" t="s">
        <v>7674</v>
      </c>
    </row>
    <row r="2" spans="1:7">
      <c r="A2" t="s">
        <v>7682</v>
      </c>
    </row>
    <row r="4" spans="1:7">
      <c r="A4" s="1" t="s">
        <v>7675</v>
      </c>
      <c r="B4">
        <v>1606</v>
      </c>
      <c r="D4" s="201"/>
    </row>
    <row r="6" spans="1:7">
      <c r="A6" s="1" t="s">
        <v>480</v>
      </c>
      <c r="C6" s="1" t="s">
        <v>7686</v>
      </c>
      <c r="D6" s="1" t="s">
        <v>7687</v>
      </c>
      <c r="E6" s="1" t="s">
        <v>7688</v>
      </c>
      <c r="F6" s="1" t="s">
        <v>7690</v>
      </c>
      <c r="G6" s="1" t="s">
        <v>7697</v>
      </c>
    </row>
    <row r="7" spans="1:7">
      <c r="C7" s="200" t="s">
        <v>7676</v>
      </c>
      <c r="D7" s="5">
        <v>0.01</v>
      </c>
      <c r="E7" s="201">
        <f>D7*$B$4</f>
        <v>16.059999999999999</v>
      </c>
      <c r="F7" s="5">
        <f>E7/$F$17</f>
        <v>1.1764705882352941E-2</v>
      </c>
      <c r="G7">
        <v>0.5</v>
      </c>
    </row>
    <row r="8" spans="1:7">
      <c r="C8" s="200" t="s">
        <v>7677</v>
      </c>
      <c r="D8" s="5">
        <v>0.26</v>
      </c>
      <c r="E8" s="201">
        <f t="shared" ref="E8:E15" si="0">D8*$B$4</f>
        <v>417.56</v>
      </c>
      <c r="F8" s="5">
        <f t="shared" ref="F8:F13" si="1">E8/$F$17</f>
        <v>0.30588235294117649</v>
      </c>
      <c r="G8">
        <v>2</v>
      </c>
    </row>
    <row r="9" spans="1:7">
      <c r="C9" s="200" t="s">
        <v>7678</v>
      </c>
      <c r="D9" s="5">
        <v>0.38</v>
      </c>
      <c r="E9" s="201">
        <f t="shared" si="0"/>
        <v>610.28</v>
      </c>
      <c r="F9" s="5">
        <f t="shared" si="1"/>
        <v>0.44705882352941179</v>
      </c>
      <c r="G9">
        <v>4</v>
      </c>
    </row>
    <row r="10" spans="1:7">
      <c r="C10" s="200" t="s">
        <v>7679</v>
      </c>
      <c r="D10" s="5">
        <v>0.14000000000000001</v>
      </c>
      <c r="E10" s="201">
        <f t="shared" si="0"/>
        <v>224.84000000000003</v>
      </c>
      <c r="F10" s="5">
        <f t="shared" si="1"/>
        <v>0.1647058823529412</v>
      </c>
      <c r="G10">
        <v>6</v>
      </c>
    </row>
    <row r="11" spans="1:7">
      <c r="C11" s="200" t="s">
        <v>7680</v>
      </c>
      <c r="D11" s="5">
        <v>0.03</v>
      </c>
      <c r="E11" s="201">
        <f t="shared" si="0"/>
        <v>48.18</v>
      </c>
      <c r="F11" s="5">
        <f t="shared" si="1"/>
        <v>3.5294117647058823E-2</v>
      </c>
      <c r="G11">
        <v>8</v>
      </c>
    </row>
    <row r="12" spans="1:7">
      <c r="C12" s="200" t="s">
        <v>7681</v>
      </c>
      <c r="D12" s="5">
        <v>0.01</v>
      </c>
      <c r="E12" s="201">
        <f t="shared" si="0"/>
        <v>16.059999999999999</v>
      </c>
      <c r="F12" s="5">
        <f t="shared" si="1"/>
        <v>1.1764705882352941E-2</v>
      </c>
      <c r="G12">
        <v>10</v>
      </c>
    </row>
    <row r="13" spans="1:7">
      <c r="C13" s="200" t="s">
        <v>7683</v>
      </c>
      <c r="D13" s="5">
        <v>0.02</v>
      </c>
      <c r="E13" s="201">
        <f t="shared" si="0"/>
        <v>32.119999999999997</v>
      </c>
      <c r="F13" s="5">
        <f t="shared" si="1"/>
        <v>2.3529411764705882E-2</v>
      </c>
      <c r="G13">
        <v>11</v>
      </c>
    </row>
    <row r="14" spans="1:7">
      <c r="C14" s="200" t="s">
        <v>7684</v>
      </c>
      <c r="D14" s="5">
        <v>7.0000000000000007E-2</v>
      </c>
      <c r="E14" s="201">
        <f t="shared" si="0"/>
        <v>112.42000000000002</v>
      </c>
    </row>
    <row r="15" spans="1:7">
      <c r="C15" s="200" t="s">
        <v>7685</v>
      </c>
      <c r="D15" s="5">
        <v>0.08</v>
      </c>
      <c r="E15" s="201">
        <f t="shared" si="0"/>
        <v>128.47999999999999</v>
      </c>
    </row>
    <row r="16" spans="1:7">
      <c r="C16" s="200"/>
    </row>
    <row r="17" spans="1:7">
      <c r="E17" t="s">
        <v>7689</v>
      </c>
      <c r="F17" s="201">
        <f>B4-E14-E15</f>
        <v>1365.1</v>
      </c>
    </row>
    <row r="19" spans="1:7">
      <c r="F19" t="s">
        <v>7691</v>
      </c>
      <c r="G19" s="46">
        <f>(F7*G7)+(F8*G8)+(F9*G9)+(F10*G10)+(F11*G11)+(F12*G12)+(F13*G13)</f>
        <v>4.052941176470588</v>
      </c>
    </row>
    <row r="21" spans="1:7">
      <c r="A21" s="1" t="s">
        <v>40</v>
      </c>
      <c r="C21" s="1" t="s">
        <v>7686</v>
      </c>
      <c r="D21" s="1" t="s">
        <v>7687</v>
      </c>
      <c r="E21" s="1" t="s">
        <v>7688</v>
      </c>
      <c r="F21" s="1" t="s">
        <v>7690</v>
      </c>
      <c r="G21" s="1" t="s">
        <v>7697</v>
      </c>
    </row>
    <row r="22" spans="1:7">
      <c r="C22" s="200" t="s">
        <v>7676</v>
      </c>
      <c r="D22" s="5">
        <v>0.01</v>
      </c>
      <c r="E22" s="201">
        <f>D22*$B$4</f>
        <v>16.059999999999999</v>
      </c>
      <c r="F22" s="5">
        <f>E22/$F$32</f>
        <v>1.2658227848101267E-2</v>
      </c>
      <c r="G22">
        <v>0.5</v>
      </c>
    </row>
    <row r="23" spans="1:7">
      <c r="C23" s="200" t="s">
        <v>7677</v>
      </c>
      <c r="D23" s="5">
        <v>0.02</v>
      </c>
      <c r="E23" s="201">
        <f t="shared" ref="E23:E30" si="2">D23*$B$4</f>
        <v>32.119999999999997</v>
      </c>
      <c r="F23" s="5">
        <f t="shared" ref="F23:F28" si="3">E23/$F$32</f>
        <v>2.5316455696202535E-2</v>
      </c>
      <c r="G23">
        <v>2</v>
      </c>
    </row>
    <row r="24" spans="1:7">
      <c r="C24" s="200" t="s">
        <v>7678</v>
      </c>
      <c r="D24" s="5">
        <v>0.17</v>
      </c>
      <c r="E24" s="201">
        <f t="shared" si="2"/>
        <v>273.02000000000004</v>
      </c>
      <c r="F24" s="5">
        <f t="shared" si="3"/>
        <v>0.21518987341772158</v>
      </c>
      <c r="G24">
        <v>4</v>
      </c>
    </row>
    <row r="25" spans="1:7">
      <c r="C25" s="200" t="s">
        <v>7679</v>
      </c>
      <c r="D25" s="5">
        <v>0.28999999999999998</v>
      </c>
      <c r="E25" s="201">
        <f t="shared" si="2"/>
        <v>465.73999999999995</v>
      </c>
      <c r="F25" s="5">
        <f t="shared" si="3"/>
        <v>0.36708860759493672</v>
      </c>
      <c r="G25">
        <v>6</v>
      </c>
    </row>
    <row r="26" spans="1:7">
      <c r="C26" s="200" t="s">
        <v>7680</v>
      </c>
      <c r="D26" s="5">
        <v>0.14000000000000001</v>
      </c>
      <c r="E26" s="201">
        <f t="shared" si="2"/>
        <v>224.84000000000003</v>
      </c>
      <c r="F26" s="5">
        <f t="shared" si="3"/>
        <v>0.17721518987341778</v>
      </c>
      <c r="G26">
        <v>8</v>
      </c>
    </row>
    <row r="27" spans="1:7">
      <c r="C27" s="200" t="s">
        <v>7681</v>
      </c>
      <c r="D27" s="5">
        <v>0.08</v>
      </c>
      <c r="E27" s="201">
        <f t="shared" si="2"/>
        <v>128.47999999999999</v>
      </c>
      <c r="F27" s="5">
        <f t="shared" si="3"/>
        <v>0.10126582278481014</v>
      </c>
      <c r="G27">
        <v>10</v>
      </c>
    </row>
    <row r="28" spans="1:7">
      <c r="C28" s="200" t="s">
        <v>7683</v>
      </c>
      <c r="D28" s="5">
        <v>7.0000000000000007E-2</v>
      </c>
      <c r="E28" s="201">
        <f t="shared" si="2"/>
        <v>112.42000000000002</v>
      </c>
      <c r="F28" s="5">
        <f t="shared" si="3"/>
        <v>8.8607594936708889E-2</v>
      </c>
      <c r="G28">
        <v>11</v>
      </c>
    </row>
    <row r="29" spans="1:7">
      <c r="C29" s="200" t="s">
        <v>7684</v>
      </c>
      <c r="D29" s="5">
        <v>0.11</v>
      </c>
      <c r="E29" s="201">
        <f t="shared" si="2"/>
        <v>176.66</v>
      </c>
    </row>
    <row r="30" spans="1:7">
      <c r="C30" s="200" t="s">
        <v>7685</v>
      </c>
      <c r="D30" s="5">
        <v>0.1</v>
      </c>
      <c r="E30" s="201">
        <f t="shared" si="2"/>
        <v>160.60000000000002</v>
      </c>
    </row>
    <row r="31" spans="1:7">
      <c r="C31" s="200"/>
    </row>
    <row r="32" spans="1:7">
      <c r="E32" t="s">
        <v>7689</v>
      </c>
      <c r="F32" s="201">
        <f>B4-E29-E30</f>
        <v>1268.7399999999998</v>
      </c>
    </row>
    <row r="34" spans="1:7">
      <c r="F34" t="s">
        <v>7691</v>
      </c>
      <c r="G34" s="46">
        <f>(F22*G22)+(F23*G23)+(F24*G24)+(F25*G25)+(F26*G26)+(F27*G27)+(F28*G28)</f>
        <v>6.5253164556962044</v>
      </c>
    </row>
    <row r="36" spans="1:7">
      <c r="A36" s="1" t="s">
        <v>91</v>
      </c>
      <c r="C36" s="1" t="s">
        <v>7686</v>
      </c>
      <c r="D36" s="1" t="s">
        <v>7687</v>
      </c>
      <c r="E36" s="1" t="s">
        <v>7688</v>
      </c>
      <c r="F36" s="1" t="s">
        <v>7690</v>
      </c>
      <c r="G36" s="1" t="s">
        <v>7697</v>
      </c>
    </row>
    <row r="37" spans="1:7">
      <c r="C37" s="200" t="s">
        <v>7676</v>
      </c>
      <c r="D37" s="5">
        <v>0.01</v>
      </c>
      <c r="E37" s="201">
        <f>D37*$B$4</f>
        <v>16.059999999999999</v>
      </c>
      <c r="F37" s="5">
        <f>E37/$F$47</f>
        <v>1.6129032258064516E-2</v>
      </c>
      <c r="G37">
        <v>0.5</v>
      </c>
    </row>
    <row r="38" spans="1:7">
      <c r="C38" s="200" t="s">
        <v>7677</v>
      </c>
      <c r="D38" s="5">
        <v>0.04</v>
      </c>
      <c r="E38" s="201">
        <f t="shared" ref="E38:E45" si="4">D38*$B$4</f>
        <v>64.239999999999995</v>
      </c>
      <c r="F38" s="5">
        <f t="shared" ref="F38:F43" si="5">E38/$F$47</f>
        <v>6.4516129032258063E-2</v>
      </c>
      <c r="G38">
        <v>2</v>
      </c>
    </row>
    <row r="39" spans="1:7">
      <c r="C39" s="200" t="s">
        <v>7678</v>
      </c>
      <c r="D39" s="5">
        <v>0.19</v>
      </c>
      <c r="E39" s="201">
        <f t="shared" si="4"/>
        <v>305.14</v>
      </c>
      <c r="F39" s="5">
        <f t="shared" si="5"/>
        <v>0.30645161290322581</v>
      </c>
      <c r="G39">
        <v>4</v>
      </c>
    </row>
    <row r="40" spans="1:7">
      <c r="C40" s="200" t="s">
        <v>7679</v>
      </c>
      <c r="D40" s="5">
        <v>0.25</v>
      </c>
      <c r="E40" s="201">
        <f t="shared" si="4"/>
        <v>401.5</v>
      </c>
      <c r="F40" s="5">
        <f t="shared" si="5"/>
        <v>0.40322580645161288</v>
      </c>
      <c r="G40">
        <v>6</v>
      </c>
    </row>
    <row r="41" spans="1:7">
      <c r="C41" s="200" t="s">
        <v>7680</v>
      </c>
      <c r="D41" s="5">
        <v>0.08</v>
      </c>
      <c r="E41" s="201">
        <f t="shared" si="4"/>
        <v>128.47999999999999</v>
      </c>
      <c r="F41" s="5">
        <f t="shared" si="5"/>
        <v>0.12903225806451613</v>
      </c>
      <c r="G41">
        <v>8</v>
      </c>
    </row>
    <row r="42" spans="1:7">
      <c r="C42" s="200" t="s">
        <v>7681</v>
      </c>
      <c r="D42" s="5">
        <v>0.03</v>
      </c>
      <c r="E42" s="201">
        <f t="shared" si="4"/>
        <v>48.18</v>
      </c>
      <c r="F42" s="5">
        <f t="shared" si="5"/>
        <v>4.8387096774193547E-2</v>
      </c>
      <c r="G42">
        <v>10</v>
      </c>
    </row>
    <row r="43" spans="1:7">
      <c r="C43" s="200" t="s">
        <v>7683</v>
      </c>
      <c r="D43" s="5">
        <v>0.03</v>
      </c>
      <c r="E43" s="201">
        <f t="shared" si="4"/>
        <v>48.18</v>
      </c>
      <c r="F43" s="5">
        <f t="shared" si="5"/>
        <v>4.8387096774193547E-2</v>
      </c>
      <c r="G43">
        <v>11</v>
      </c>
    </row>
    <row r="44" spans="1:7">
      <c r="C44" s="200" t="s">
        <v>7684</v>
      </c>
      <c r="D44" s="5">
        <v>0.25</v>
      </c>
      <c r="E44" s="201">
        <f t="shared" si="4"/>
        <v>401.5</v>
      </c>
    </row>
    <row r="45" spans="1:7">
      <c r="C45" s="200" t="s">
        <v>7685</v>
      </c>
      <c r="D45" s="5">
        <v>0.13</v>
      </c>
      <c r="E45" s="201">
        <f t="shared" si="4"/>
        <v>208.78</v>
      </c>
    </row>
    <row r="46" spans="1:7">
      <c r="C46" s="200"/>
    </row>
    <row r="47" spans="1:7">
      <c r="E47" t="s">
        <v>7689</v>
      </c>
      <c r="F47" s="201">
        <f>B4-E44-E45</f>
        <v>995.72</v>
      </c>
    </row>
    <row r="49" spans="6:7">
      <c r="F49" t="s">
        <v>7691</v>
      </c>
      <c r="G49" s="46">
        <f>(F37*G37)+(F38*G38)+(F39*G39)+(F40*G40)+(F41*G41)+(F42*G42)+(F43*G43)</f>
        <v>5.830645161290323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C6C0-C814-584D-B4E9-1E4C6E87F5B9}">
  <dimension ref="A1:I53"/>
  <sheetViews>
    <sheetView workbookViewId="0">
      <selection activeCell="D23" sqref="D23"/>
    </sheetView>
  </sheetViews>
  <sheetFormatPr baseColWidth="10" defaultRowHeight="16"/>
  <sheetData>
    <row r="1" spans="1:8">
      <c r="A1" s="54" t="s">
        <v>320</v>
      </c>
      <c r="B1" s="1" t="s">
        <v>171</v>
      </c>
      <c r="C1" s="1" t="s">
        <v>321</v>
      </c>
      <c r="D1" s="1" t="s">
        <v>322</v>
      </c>
      <c r="E1" s="1" t="s">
        <v>323</v>
      </c>
      <c r="F1" s="1" t="s">
        <v>5</v>
      </c>
    </row>
    <row r="2" spans="1:8">
      <c r="A2" s="53">
        <v>1</v>
      </c>
      <c r="B2" t="s">
        <v>432</v>
      </c>
      <c r="C2" t="s">
        <v>324</v>
      </c>
      <c r="D2" t="s">
        <v>325</v>
      </c>
      <c r="E2">
        <v>14.21</v>
      </c>
      <c r="F2">
        <v>2</v>
      </c>
      <c r="G2" t="s">
        <v>326</v>
      </c>
    </row>
    <row r="3" spans="1:8">
      <c r="A3" s="53">
        <v>102</v>
      </c>
      <c r="B3" t="s">
        <v>327</v>
      </c>
      <c r="C3">
        <v>12.12</v>
      </c>
      <c r="D3">
        <v>1.64</v>
      </c>
      <c r="E3" t="s">
        <v>328</v>
      </c>
      <c r="F3" t="s">
        <v>329</v>
      </c>
    </row>
    <row r="4" spans="1:8">
      <c r="A4" s="53">
        <v>104</v>
      </c>
      <c r="B4" t="s">
        <v>330</v>
      </c>
      <c r="C4" t="s">
        <v>331</v>
      </c>
      <c r="D4">
        <v>13.6</v>
      </c>
      <c r="E4">
        <v>2.2000000000000002</v>
      </c>
      <c r="F4" t="s">
        <v>328</v>
      </c>
      <c r="G4" t="s">
        <v>329</v>
      </c>
    </row>
    <row r="5" spans="1:8">
      <c r="A5" s="53">
        <v>105</v>
      </c>
      <c r="B5" t="s">
        <v>332</v>
      </c>
      <c r="C5">
        <v>14.6</v>
      </c>
      <c r="D5">
        <v>2.58</v>
      </c>
      <c r="E5" t="s">
        <v>333</v>
      </c>
      <c r="F5" t="s">
        <v>334</v>
      </c>
    </row>
    <row r="6" spans="1:8">
      <c r="A6" s="53">
        <v>106</v>
      </c>
      <c r="B6" t="s">
        <v>433</v>
      </c>
      <c r="C6" t="s">
        <v>335</v>
      </c>
      <c r="D6" t="s">
        <v>336</v>
      </c>
      <c r="E6" t="s">
        <v>325</v>
      </c>
      <c r="F6">
        <v>13.47</v>
      </c>
      <c r="G6">
        <v>2</v>
      </c>
      <c r="H6" t="s">
        <v>326</v>
      </c>
    </row>
    <row r="7" spans="1:8">
      <c r="A7" s="53">
        <v>108</v>
      </c>
      <c r="B7" t="s">
        <v>337</v>
      </c>
      <c r="C7">
        <v>16.71</v>
      </c>
      <c r="D7">
        <v>2.2000000000000002</v>
      </c>
      <c r="E7" t="s">
        <v>326</v>
      </c>
    </row>
    <row r="8" spans="1:8">
      <c r="A8" s="53">
        <v>109</v>
      </c>
      <c r="B8" t="s">
        <v>338</v>
      </c>
      <c r="C8">
        <v>18.55</v>
      </c>
      <c r="D8">
        <v>1.28</v>
      </c>
      <c r="E8" t="s">
        <v>328</v>
      </c>
      <c r="F8" t="s">
        <v>339</v>
      </c>
    </row>
    <row r="9" spans="1:8">
      <c r="A9" s="53">
        <v>111</v>
      </c>
      <c r="B9" t="s">
        <v>340</v>
      </c>
      <c r="C9" t="s">
        <v>341</v>
      </c>
      <c r="D9">
        <v>14.52</v>
      </c>
      <c r="E9">
        <v>2.69</v>
      </c>
      <c r="F9" t="s">
        <v>326</v>
      </c>
    </row>
    <row r="10" spans="1:8">
      <c r="A10" s="53">
        <v>112</v>
      </c>
      <c r="B10" t="s">
        <v>342</v>
      </c>
      <c r="C10" t="s">
        <v>343</v>
      </c>
      <c r="D10">
        <v>13.36</v>
      </c>
      <c r="E10">
        <v>2.36</v>
      </c>
      <c r="F10" t="s">
        <v>326</v>
      </c>
    </row>
    <row r="11" spans="1:8">
      <c r="A11" s="53">
        <v>113</v>
      </c>
      <c r="B11" t="s">
        <v>344</v>
      </c>
      <c r="C11" t="s">
        <v>345</v>
      </c>
      <c r="D11">
        <v>15.36</v>
      </c>
      <c r="E11">
        <v>1.6</v>
      </c>
      <c r="F11" t="s">
        <v>326</v>
      </c>
    </row>
    <row r="12" spans="1:8">
      <c r="A12" s="53">
        <v>114</v>
      </c>
      <c r="B12" t="s">
        <v>346</v>
      </c>
      <c r="C12">
        <v>17.989999999999998</v>
      </c>
      <c r="D12">
        <v>2.0699999999999998</v>
      </c>
      <c r="E12" t="s">
        <v>326</v>
      </c>
    </row>
    <row r="13" spans="1:8">
      <c r="A13" s="53" t="s">
        <v>347</v>
      </c>
      <c r="B13" t="s">
        <v>348</v>
      </c>
      <c r="C13">
        <v>7.97</v>
      </c>
      <c r="D13">
        <v>1.22</v>
      </c>
      <c r="E13" t="s">
        <v>326</v>
      </c>
    </row>
    <row r="14" spans="1:8">
      <c r="A14" s="53">
        <v>204</v>
      </c>
      <c r="B14" t="s">
        <v>95</v>
      </c>
      <c r="C14" t="s">
        <v>349</v>
      </c>
      <c r="D14">
        <v>8.6999999999999993</v>
      </c>
      <c r="E14">
        <v>1.45</v>
      </c>
      <c r="F14" t="s">
        <v>328</v>
      </c>
      <c r="G14" t="s">
        <v>329</v>
      </c>
    </row>
    <row r="15" spans="1:8">
      <c r="A15" s="53">
        <v>205</v>
      </c>
      <c r="B15" t="s">
        <v>350</v>
      </c>
      <c r="C15" t="s">
        <v>351</v>
      </c>
      <c r="D15">
        <v>8.09</v>
      </c>
      <c r="E15">
        <v>1.2</v>
      </c>
      <c r="F15" t="s">
        <v>326</v>
      </c>
    </row>
    <row r="16" spans="1:8">
      <c r="A16" s="53" t="s">
        <v>352</v>
      </c>
      <c r="B16" t="s">
        <v>353</v>
      </c>
      <c r="C16">
        <v>9.5</v>
      </c>
      <c r="D16">
        <v>1.5</v>
      </c>
      <c r="E16" t="s">
        <v>326</v>
      </c>
    </row>
    <row r="17" spans="1:8">
      <c r="A17" s="53" t="s">
        <v>354</v>
      </c>
      <c r="B17" t="s">
        <v>355</v>
      </c>
      <c r="C17">
        <v>5.91</v>
      </c>
      <c r="D17">
        <v>1.25</v>
      </c>
      <c r="E17" t="s">
        <v>326</v>
      </c>
    </row>
    <row r="18" spans="1:8">
      <c r="A18" s="53">
        <v>302</v>
      </c>
      <c r="B18" t="s">
        <v>356</v>
      </c>
      <c r="C18" t="s">
        <v>357</v>
      </c>
      <c r="D18">
        <v>8.9499999999999993</v>
      </c>
      <c r="E18">
        <v>1.58</v>
      </c>
      <c r="F18" t="s">
        <v>326</v>
      </c>
    </row>
    <row r="19" spans="1:8">
      <c r="A19" s="53" t="s">
        <v>358</v>
      </c>
      <c r="B19" t="s">
        <v>359</v>
      </c>
      <c r="C19">
        <v>6.57</v>
      </c>
      <c r="D19">
        <v>1.6</v>
      </c>
      <c r="E19" t="s">
        <v>326</v>
      </c>
    </row>
    <row r="20" spans="1:8">
      <c r="A20" s="53" t="s">
        <v>360</v>
      </c>
      <c r="B20" t="s">
        <v>361</v>
      </c>
      <c r="C20">
        <v>6.8</v>
      </c>
      <c r="D20">
        <v>1.6</v>
      </c>
    </row>
    <row r="21" spans="1:8">
      <c r="A21" s="53">
        <v>304</v>
      </c>
      <c r="B21" t="s">
        <v>362</v>
      </c>
      <c r="C21">
        <v>9.31</v>
      </c>
      <c r="D21">
        <v>1.88</v>
      </c>
      <c r="E21" t="s">
        <v>326</v>
      </c>
    </row>
    <row r="22" spans="1:8">
      <c r="A22" s="53">
        <v>305</v>
      </c>
      <c r="B22" t="s">
        <v>363</v>
      </c>
      <c r="C22">
        <v>7.22</v>
      </c>
      <c r="D22">
        <v>1.24</v>
      </c>
      <c r="E22" t="s">
        <v>326</v>
      </c>
    </row>
    <row r="23" spans="1:8">
      <c r="A23" s="53" t="s">
        <v>364</v>
      </c>
      <c r="B23" t="s">
        <v>80</v>
      </c>
      <c r="C23" t="s">
        <v>365</v>
      </c>
      <c r="D23">
        <v>6.26</v>
      </c>
      <c r="E23">
        <v>1.56</v>
      </c>
      <c r="F23" t="s">
        <v>326</v>
      </c>
    </row>
    <row r="24" spans="1:8">
      <c r="A24" s="53" t="s">
        <v>366</v>
      </c>
      <c r="B24" t="s">
        <v>367</v>
      </c>
      <c r="C24">
        <v>6.26</v>
      </c>
      <c r="D24">
        <v>1.56</v>
      </c>
      <c r="E24" t="s">
        <v>326</v>
      </c>
    </row>
    <row r="25" spans="1:8">
      <c r="A25" s="53">
        <v>307</v>
      </c>
      <c r="B25" t="s">
        <v>368</v>
      </c>
      <c r="C25" t="s">
        <v>369</v>
      </c>
      <c r="D25">
        <v>7.78</v>
      </c>
      <c r="E25">
        <v>1.46</v>
      </c>
      <c r="F25" t="s">
        <v>326</v>
      </c>
    </row>
    <row r="26" spans="1:8">
      <c r="A26" s="53">
        <v>309</v>
      </c>
      <c r="B26" t="s">
        <v>434</v>
      </c>
      <c r="C26">
        <v>7.39</v>
      </c>
      <c r="D26">
        <v>2.33</v>
      </c>
      <c r="E26" t="s">
        <v>326</v>
      </c>
    </row>
    <row r="27" spans="1:8">
      <c r="A27" s="53">
        <v>401</v>
      </c>
      <c r="B27" t="s">
        <v>435</v>
      </c>
      <c r="C27">
        <v>9.8699999999999992</v>
      </c>
      <c r="D27">
        <v>1.3</v>
      </c>
      <c r="E27" t="s">
        <v>326</v>
      </c>
    </row>
    <row r="28" spans="1:8">
      <c r="A28" s="53" t="s">
        <v>372</v>
      </c>
      <c r="B28" t="s">
        <v>373</v>
      </c>
      <c r="C28" t="s">
        <v>374</v>
      </c>
      <c r="D28">
        <v>6.15</v>
      </c>
      <c r="E28">
        <v>1.3</v>
      </c>
      <c r="F28" t="s">
        <v>326</v>
      </c>
    </row>
    <row r="29" spans="1:8">
      <c r="A29" s="53">
        <v>403</v>
      </c>
      <c r="B29" t="s">
        <v>375</v>
      </c>
      <c r="C29" t="s">
        <v>376</v>
      </c>
      <c r="D29" t="s">
        <v>377</v>
      </c>
      <c r="E29" t="s">
        <v>378</v>
      </c>
      <c r="F29">
        <v>15.54</v>
      </c>
      <c r="G29">
        <v>2.09</v>
      </c>
      <c r="H29" t="s">
        <v>326</v>
      </c>
    </row>
    <row r="30" spans="1:8">
      <c r="A30" s="53" t="s">
        <v>379</v>
      </c>
      <c r="B30" t="s">
        <v>380</v>
      </c>
      <c r="C30" t="s">
        <v>381</v>
      </c>
      <c r="D30">
        <v>8.33</v>
      </c>
      <c r="E30">
        <v>1.1399999999999999</v>
      </c>
      <c r="F30" t="s">
        <v>326</v>
      </c>
    </row>
    <row r="31" spans="1:8">
      <c r="A31" s="53">
        <v>405</v>
      </c>
      <c r="B31" t="s">
        <v>382</v>
      </c>
      <c r="C31">
        <v>11.5</v>
      </c>
      <c r="D31">
        <v>1.49</v>
      </c>
      <c r="E31" t="s">
        <v>328</v>
      </c>
      <c r="F31" t="s">
        <v>383</v>
      </c>
    </row>
    <row r="32" spans="1:8">
      <c r="A32" s="53">
        <v>406</v>
      </c>
      <c r="B32" t="s">
        <v>384</v>
      </c>
      <c r="C32">
        <v>6.75</v>
      </c>
      <c r="D32">
        <v>1.19</v>
      </c>
      <c r="E32" t="s">
        <v>326</v>
      </c>
    </row>
    <row r="33" spans="1:9">
      <c r="A33" s="53">
        <v>408</v>
      </c>
      <c r="B33" t="s">
        <v>370</v>
      </c>
      <c r="C33" t="s">
        <v>371</v>
      </c>
      <c r="D33" t="s">
        <v>385</v>
      </c>
      <c r="E33">
        <v>11.75</v>
      </c>
      <c r="F33">
        <v>2.0099999999999998</v>
      </c>
      <c r="G33" t="s">
        <v>326</v>
      </c>
    </row>
    <row r="34" spans="1:9">
      <c r="A34" s="53">
        <v>702</v>
      </c>
      <c r="B34" t="s">
        <v>386</v>
      </c>
      <c r="C34" t="s">
        <v>387</v>
      </c>
      <c r="D34">
        <v>4.78</v>
      </c>
      <c r="E34">
        <v>1.1399999999999999</v>
      </c>
      <c r="F34" t="s">
        <v>326</v>
      </c>
    </row>
    <row r="35" spans="1:9">
      <c r="A35" s="53" t="s">
        <v>388</v>
      </c>
      <c r="B35" t="s">
        <v>389</v>
      </c>
      <c r="C35">
        <v>14</v>
      </c>
      <c r="D35">
        <v>2.5</v>
      </c>
      <c r="E35" t="s">
        <v>328</v>
      </c>
      <c r="F35" t="s">
        <v>390</v>
      </c>
    </row>
    <row r="36" spans="1:9">
      <c r="A36" s="53">
        <v>1002</v>
      </c>
      <c r="B36" t="s">
        <v>391</v>
      </c>
      <c r="C36" t="s">
        <v>392</v>
      </c>
      <c r="D36" t="s">
        <v>331</v>
      </c>
      <c r="E36">
        <v>15</v>
      </c>
      <c r="F36">
        <v>2</v>
      </c>
      <c r="G36" t="s">
        <v>326</v>
      </c>
    </row>
    <row r="37" spans="1:9">
      <c r="A37" s="53">
        <v>1101</v>
      </c>
      <c r="B37" t="s">
        <v>393</v>
      </c>
      <c r="C37">
        <v>15.5</v>
      </c>
      <c r="D37">
        <v>3.6</v>
      </c>
      <c r="E37" t="s">
        <v>394</v>
      </c>
      <c r="F37" t="s">
        <v>395</v>
      </c>
    </row>
    <row r="38" spans="1:9">
      <c r="A38" s="53" t="s">
        <v>396</v>
      </c>
      <c r="B38" t="s">
        <v>397</v>
      </c>
      <c r="C38">
        <v>15.5</v>
      </c>
      <c r="D38">
        <v>3.6</v>
      </c>
      <c r="E38" t="s">
        <v>394</v>
      </c>
      <c r="F38" t="s">
        <v>395</v>
      </c>
    </row>
    <row r="39" spans="1:9">
      <c r="A39" s="53" t="s">
        <v>398</v>
      </c>
      <c r="B39" t="s">
        <v>399</v>
      </c>
      <c r="C39">
        <v>15.5</v>
      </c>
      <c r="D39">
        <v>3.6</v>
      </c>
      <c r="E39" t="s">
        <v>394</v>
      </c>
      <c r="F39" t="s">
        <v>395</v>
      </c>
    </row>
    <row r="40" spans="1:9">
      <c r="A40" s="53">
        <v>1103</v>
      </c>
      <c r="B40" t="s">
        <v>400</v>
      </c>
      <c r="C40">
        <v>15.5</v>
      </c>
      <c r="D40">
        <v>3.6</v>
      </c>
      <c r="E40" t="s">
        <v>394</v>
      </c>
      <c r="F40" t="s">
        <v>395</v>
      </c>
    </row>
    <row r="41" spans="1:9">
      <c r="A41" s="53">
        <v>1104</v>
      </c>
      <c r="B41" t="s">
        <v>401</v>
      </c>
      <c r="C41" t="s">
        <v>402</v>
      </c>
      <c r="D41" t="s">
        <v>403</v>
      </c>
      <c r="E41" t="s">
        <v>404</v>
      </c>
      <c r="F41">
        <v>15.5</v>
      </c>
      <c r="G41">
        <v>3.6</v>
      </c>
      <c r="H41" t="s">
        <v>394</v>
      </c>
      <c r="I41" t="s">
        <v>395</v>
      </c>
    </row>
    <row r="42" spans="1:9">
      <c r="A42" s="53">
        <v>1105</v>
      </c>
      <c r="B42" t="s">
        <v>405</v>
      </c>
      <c r="C42">
        <v>23</v>
      </c>
      <c r="D42">
        <v>3.3</v>
      </c>
    </row>
    <row r="43" spans="1:9">
      <c r="A43" s="53">
        <v>1106</v>
      </c>
      <c r="B43" t="s">
        <v>406</v>
      </c>
      <c r="C43">
        <v>23</v>
      </c>
      <c r="D43">
        <v>3.3</v>
      </c>
    </row>
    <row r="44" spans="1:9">
      <c r="A44" s="53">
        <v>1107</v>
      </c>
      <c r="B44" t="s">
        <v>407</v>
      </c>
      <c r="C44">
        <v>17</v>
      </c>
      <c r="D44">
        <v>1.8</v>
      </c>
      <c r="E44" t="s">
        <v>408</v>
      </c>
    </row>
    <row r="45" spans="1:9">
      <c r="A45" s="53">
        <v>1108</v>
      </c>
      <c r="B45" t="s">
        <v>409</v>
      </c>
      <c r="C45" t="s">
        <v>410</v>
      </c>
      <c r="D45">
        <v>10</v>
      </c>
      <c r="E45">
        <v>1.8</v>
      </c>
      <c r="F45" t="s">
        <v>333</v>
      </c>
      <c r="G45" t="s">
        <v>329</v>
      </c>
    </row>
    <row r="46" spans="1:9">
      <c r="A46" s="53">
        <v>1201</v>
      </c>
      <c r="B46" t="s">
        <v>411</v>
      </c>
      <c r="C46" t="s">
        <v>331</v>
      </c>
      <c r="D46" t="s">
        <v>412</v>
      </c>
      <c r="E46" t="s">
        <v>413</v>
      </c>
      <c r="F46">
        <v>16.7</v>
      </c>
      <c r="G46">
        <v>1.5</v>
      </c>
      <c r="H46" t="s">
        <v>414</v>
      </c>
    </row>
    <row r="47" spans="1:9">
      <c r="A47" s="53">
        <v>1202</v>
      </c>
      <c r="B47" t="s">
        <v>411</v>
      </c>
      <c r="C47" t="s">
        <v>415</v>
      </c>
      <c r="D47">
        <v>27.1</v>
      </c>
      <c r="E47">
        <v>2.2000000000000002</v>
      </c>
      <c r="F47" t="s">
        <v>416</v>
      </c>
    </row>
    <row r="48" spans="1:9">
      <c r="A48" s="53">
        <v>1203</v>
      </c>
      <c r="B48" t="s">
        <v>417</v>
      </c>
      <c r="C48" t="s">
        <v>335</v>
      </c>
      <c r="D48" t="s">
        <v>418</v>
      </c>
      <c r="E48" t="s">
        <v>331</v>
      </c>
      <c r="F48">
        <v>16.7</v>
      </c>
      <c r="G48">
        <v>1.5</v>
      </c>
      <c r="H48" t="s">
        <v>408</v>
      </c>
    </row>
    <row r="49" spans="1:9">
      <c r="A49" s="53">
        <v>1204</v>
      </c>
      <c r="B49" t="s">
        <v>419</v>
      </c>
      <c r="C49" t="s">
        <v>331</v>
      </c>
      <c r="D49">
        <v>16.7</v>
      </c>
      <c r="E49">
        <v>1.5</v>
      </c>
      <c r="F49" t="s">
        <v>408</v>
      </c>
    </row>
    <row r="50" spans="1:9">
      <c r="A50" s="53" t="s">
        <v>420</v>
      </c>
      <c r="B50" t="s">
        <v>421</v>
      </c>
      <c r="C50" t="s">
        <v>422</v>
      </c>
      <c r="D50" t="s">
        <v>423</v>
      </c>
      <c r="E50">
        <v>24.7</v>
      </c>
      <c r="F50">
        <v>3</v>
      </c>
      <c r="G50" t="s">
        <v>333</v>
      </c>
      <c r="H50" t="s">
        <v>424</v>
      </c>
      <c r="I50" t="s">
        <v>425</v>
      </c>
    </row>
    <row r="51" spans="1:9">
      <c r="A51" s="53" t="s">
        <v>426</v>
      </c>
      <c r="B51" t="s">
        <v>421</v>
      </c>
      <c r="C51" t="s">
        <v>422</v>
      </c>
      <c r="D51" t="s">
        <v>427</v>
      </c>
      <c r="E51">
        <v>24.7</v>
      </c>
      <c r="F51">
        <v>3</v>
      </c>
      <c r="G51" t="s">
        <v>333</v>
      </c>
      <c r="H51" t="s">
        <v>424</v>
      </c>
      <c r="I51" t="s">
        <v>425</v>
      </c>
    </row>
    <row r="52" spans="1:9">
      <c r="A52" s="53">
        <v>1206</v>
      </c>
      <c r="B52" t="s">
        <v>411</v>
      </c>
      <c r="C52" t="s">
        <v>428</v>
      </c>
      <c r="D52">
        <v>13.6</v>
      </c>
      <c r="E52">
        <v>2.7</v>
      </c>
      <c r="F52" t="s">
        <v>394</v>
      </c>
      <c r="G52" t="s">
        <v>425</v>
      </c>
    </row>
    <row r="53" spans="1:9">
      <c r="A53" s="53">
        <v>1301</v>
      </c>
      <c r="B53" t="s">
        <v>429</v>
      </c>
      <c r="C53" t="s">
        <v>430</v>
      </c>
      <c r="D53">
        <v>2.2999999999999998</v>
      </c>
      <c r="E53">
        <v>1.5</v>
      </c>
      <c r="F53" t="s">
        <v>431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9026F-CE42-7A47-A83F-F0D262878658}">
  <dimension ref="A1:L1829"/>
  <sheetViews>
    <sheetView workbookViewId="0">
      <selection activeCell="I16" sqref="I16"/>
    </sheetView>
  </sheetViews>
  <sheetFormatPr baseColWidth="10" defaultRowHeight="16"/>
  <cols>
    <col min="1" max="1" width="14.33203125" customWidth="1"/>
    <col min="6" max="6" width="11" customWidth="1"/>
    <col min="7" max="7" width="15.1640625" customWidth="1"/>
    <col min="8" max="8" width="16.83203125" customWidth="1"/>
    <col min="9" max="9" width="11.83203125" customWidth="1"/>
    <col min="12" max="12" width="25.33203125" customWidth="1"/>
  </cols>
  <sheetData>
    <row r="1" spans="1:12">
      <c r="A1" t="s">
        <v>7819</v>
      </c>
      <c r="B1" t="s">
        <v>7820</v>
      </c>
      <c r="C1" t="s">
        <v>7821</v>
      </c>
      <c r="D1" t="s">
        <v>7822</v>
      </c>
      <c r="E1" t="s">
        <v>7823</v>
      </c>
      <c r="F1" t="s">
        <v>7824</v>
      </c>
      <c r="G1" t="s">
        <v>7825</v>
      </c>
      <c r="H1" t="s">
        <v>7826</v>
      </c>
      <c r="I1" t="s">
        <v>7827</v>
      </c>
      <c r="J1" t="s">
        <v>175</v>
      </c>
      <c r="K1" t="s">
        <v>7828</v>
      </c>
      <c r="L1" t="s">
        <v>7829</v>
      </c>
    </row>
    <row r="2" spans="1:12">
      <c r="A2" t="s">
        <v>7830</v>
      </c>
      <c r="B2" t="s">
        <v>7831</v>
      </c>
      <c r="C2" t="s">
        <v>7832</v>
      </c>
      <c r="D2" t="s">
        <v>7833</v>
      </c>
      <c r="E2" t="s">
        <v>7834</v>
      </c>
      <c r="F2">
        <v>12177327</v>
      </c>
      <c r="G2">
        <v>40011</v>
      </c>
      <c r="H2">
        <v>113682</v>
      </c>
      <c r="I2" t="s">
        <v>7835</v>
      </c>
      <c r="J2">
        <v>2007</v>
      </c>
      <c r="K2" t="s">
        <v>7836</v>
      </c>
      <c r="L2" t="s">
        <v>7837</v>
      </c>
    </row>
    <row r="3" spans="1:12">
      <c r="A3" t="s">
        <v>7830</v>
      </c>
      <c r="B3" t="s">
        <v>7831</v>
      </c>
      <c r="C3" t="s">
        <v>7832</v>
      </c>
      <c r="D3" t="s">
        <v>7833</v>
      </c>
      <c r="E3" t="s">
        <v>7834</v>
      </c>
      <c r="F3">
        <v>8584306</v>
      </c>
      <c r="G3">
        <v>30900</v>
      </c>
      <c r="H3">
        <v>77763</v>
      </c>
      <c r="I3" t="s">
        <v>7835</v>
      </c>
      <c r="J3">
        <v>2007</v>
      </c>
      <c r="K3" t="s">
        <v>7838</v>
      </c>
      <c r="L3" t="s">
        <v>7837</v>
      </c>
    </row>
    <row r="4" spans="1:12">
      <c r="A4" t="s">
        <v>7830</v>
      </c>
      <c r="B4" t="s">
        <v>7831</v>
      </c>
      <c r="C4" t="s">
        <v>7832</v>
      </c>
      <c r="D4" t="s">
        <v>7833</v>
      </c>
      <c r="E4" t="s">
        <v>7834</v>
      </c>
      <c r="F4">
        <v>25525930</v>
      </c>
      <c r="G4">
        <v>86805</v>
      </c>
      <c r="H4">
        <v>445367</v>
      </c>
      <c r="I4" t="s">
        <v>7835</v>
      </c>
      <c r="J4">
        <v>2007</v>
      </c>
      <c r="K4" t="s">
        <v>7839</v>
      </c>
      <c r="L4" t="s">
        <v>7837</v>
      </c>
    </row>
    <row r="5" spans="1:12">
      <c r="A5" t="s">
        <v>7830</v>
      </c>
      <c r="B5" t="s">
        <v>7831</v>
      </c>
      <c r="C5" t="s">
        <v>7832</v>
      </c>
      <c r="D5" t="s">
        <v>7833</v>
      </c>
      <c r="E5" t="s">
        <v>7834</v>
      </c>
      <c r="F5">
        <v>18978413</v>
      </c>
      <c r="G5">
        <v>52715</v>
      </c>
      <c r="H5">
        <v>166095</v>
      </c>
      <c r="I5" t="s">
        <v>7835</v>
      </c>
      <c r="J5">
        <v>2007</v>
      </c>
      <c r="K5" t="s">
        <v>7840</v>
      </c>
      <c r="L5" t="s">
        <v>7837</v>
      </c>
    </row>
    <row r="6" spans="1:12">
      <c r="A6" t="s">
        <v>7830</v>
      </c>
      <c r="B6" t="s">
        <v>7831</v>
      </c>
      <c r="C6" t="s">
        <v>7832</v>
      </c>
      <c r="D6" t="s">
        <v>7833</v>
      </c>
      <c r="E6" t="s">
        <v>7834</v>
      </c>
      <c r="F6">
        <v>15878890</v>
      </c>
      <c r="G6">
        <v>49290</v>
      </c>
      <c r="H6">
        <v>120899</v>
      </c>
      <c r="I6" t="s">
        <v>7835</v>
      </c>
      <c r="J6">
        <v>2007</v>
      </c>
      <c r="K6" t="s">
        <v>7841</v>
      </c>
      <c r="L6" t="s">
        <v>7837</v>
      </c>
    </row>
    <row r="7" spans="1:12">
      <c r="A7" t="s">
        <v>7830</v>
      </c>
      <c r="B7" t="s">
        <v>7831</v>
      </c>
      <c r="C7" t="s">
        <v>7832</v>
      </c>
      <c r="D7" t="s">
        <v>7833</v>
      </c>
      <c r="E7" t="s">
        <v>7834</v>
      </c>
      <c r="F7">
        <v>13973524</v>
      </c>
      <c r="G7">
        <v>551840</v>
      </c>
      <c r="H7">
        <v>138414</v>
      </c>
      <c r="I7" t="s">
        <v>7835</v>
      </c>
      <c r="J7">
        <v>2007</v>
      </c>
      <c r="K7" t="s">
        <v>7842</v>
      </c>
      <c r="L7" t="s">
        <v>7837</v>
      </c>
    </row>
    <row r="8" spans="1:12">
      <c r="A8" t="s">
        <v>7830</v>
      </c>
      <c r="B8" t="s">
        <v>7831</v>
      </c>
      <c r="C8" t="s">
        <v>7832</v>
      </c>
      <c r="D8" t="s">
        <v>7833</v>
      </c>
      <c r="E8" t="s">
        <v>7834</v>
      </c>
      <c r="F8">
        <v>15832790</v>
      </c>
      <c r="G8">
        <v>56730</v>
      </c>
      <c r="H8">
        <v>140156</v>
      </c>
      <c r="I8" t="s">
        <v>7835</v>
      </c>
      <c r="J8">
        <v>2007</v>
      </c>
      <c r="K8" t="s">
        <v>7843</v>
      </c>
      <c r="L8" t="s">
        <v>7837</v>
      </c>
    </row>
    <row r="9" spans="1:12">
      <c r="A9" t="s">
        <v>7830</v>
      </c>
      <c r="B9" t="s">
        <v>7831</v>
      </c>
      <c r="C9" t="s">
        <v>7832</v>
      </c>
      <c r="D9" t="s">
        <v>7833</v>
      </c>
      <c r="E9" t="s">
        <v>7834</v>
      </c>
      <c r="F9">
        <v>11514148</v>
      </c>
      <c r="G9">
        <v>54521</v>
      </c>
      <c r="H9">
        <v>220746</v>
      </c>
      <c r="I9" t="s">
        <v>7835</v>
      </c>
      <c r="J9">
        <v>2007</v>
      </c>
      <c r="K9" t="s">
        <v>7844</v>
      </c>
      <c r="L9" t="s">
        <v>7837</v>
      </c>
    </row>
    <row r="10" spans="1:12">
      <c r="A10" t="s">
        <v>7830</v>
      </c>
      <c r="B10" t="s">
        <v>7831</v>
      </c>
      <c r="C10" t="s">
        <v>7832</v>
      </c>
      <c r="D10" t="s">
        <v>7833</v>
      </c>
      <c r="E10" t="s">
        <v>7834</v>
      </c>
      <c r="F10">
        <v>14843706</v>
      </c>
      <c r="G10">
        <v>55032</v>
      </c>
      <c r="H10">
        <v>153002</v>
      </c>
      <c r="I10" t="s">
        <v>7835</v>
      </c>
      <c r="J10">
        <v>2007</v>
      </c>
      <c r="K10" t="s">
        <v>7845</v>
      </c>
      <c r="L10" t="s">
        <v>7837</v>
      </c>
    </row>
    <row r="11" spans="1:12">
      <c r="A11" t="s">
        <v>7830</v>
      </c>
      <c r="B11" t="s">
        <v>7831</v>
      </c>
      <c r="C11" t="s">
        <v>7832</v>
      </c>
      <c r="D11" t="s">
        <v>7833</v>
      </c>
      <c r="E11" t="s">
        <v>7834</v>
      </c>
      <c r="F11">
        <v>19584098</v>
      </c>
      <c r="G11">
        <v>349390</v>
      </c>
      <c r="H11">
        <v>177045</v>
      </c>
      <c r="I11" t="s">
        <v>7835</v>
      </c>
      <c r="J11">
        <v>2007</v>
      </c>
      <c r="K11" t="s">
        <v>7846</v>
      </c>
      <c r="L11" t="s">
        <v>7837</v>
      </c>
    </row>
    <row r="12" spans="1:12">
      <c r="A12" t="s">
        <v>7830</v>
      </c>
      <c r="B12" t="s">
        <v>7831</v>
      </c>
      <c r="C12" t="s">
        <v>7832</v>
      </c>
      <c r="D12" t="s">
        <v>7833</v>
      </c>
      <c r="E12" t="s">
        <v>7834</v>
      </c>
      <c r="F12">
        <v>28383122</v>
      </c>
      <c r="G12">
        <v>392781</v>
      </c>
      <c r="H12">
        <v>323702</v>
      </c>
      <c r="I12" t="s">
        <v>7835</v>
      </c>
      <c r="J12">
        <v>2007</v>
      </c>
      <c r="K12" t="s">
        <v>7847</v>
      </c>
      <c r="L12" t="s">
        <v>7837</v>
      </c>
    </row>
    <row r="13" spans="1:12">
      <c r="A13" t="s">
        <v>7830</v>
      </c>
      <c r="B13" t="s">
        <v>7831</v>
      </c>
      <c r="C13" t="s">
        <v>7832</v>
      </c>
      <c r="D13" t="s">
        <v>7833</v>
      </c>
      <c r="E13" t="s">
        <v>7834</v>
      </c>
      <c r="F13">
        <v>27018958</v>
      </c>
      <c r="G13">
        <v>362970</v>
      </c>
      <c r="H13">
        <v>249765</v>
      </c>
      <c r="I13" t="s">
        <v>7835</v>
      </c>
      <c r="J13">
        <v>2007</v>
      </c>
      <c r="K13" t="s">
        <v>7848</v>
      </c>
      <c r="L13" t="s">
        <v>7837</v>
      </c>
    </row>
    <row r="14" spans="1:12">
      <c r="A14" t="s">
        <v>7830</v>
      </c>
      <c r="B14" t="s">
        <v>7831</v>
      </c>
      <c r="C14" t="s">
        <v>7832</v>
      </c>
      <c r="D14" t="s">
        <v>7833</v>
      </c>
      <c r="E14" t="s">
        <v>7834</v>
      </c>
      <c r="F14">
        <v>18670866</v>
      </c>
      <c r="G14">
        <v>349049</v>
      </c>
      <c r="H14">
        <v>184340</v>
      </c>
      <c r="I14" t="s">
        <v>7835</v>
      </c>
      <c r="J14">
        <v>2008</v>
      </c>
      <c r="K14" t="s">
        <v>7836</v>
      </c>
      <c r="L14" t="s">
        <v>7837</v>
      </c>
    </row>
    <row r="15" spans="1:12">
      <c r="A15" t="s">
        <v>7830</v>
      </c>
      <c r="B15" t="s">
        <v>7831</v>
      </c>
      <c r="C15" t="s">
        <v>7832</v>
      </c>
      <c r="D15" t="s">
        <v>7833</v>
      </c>
      <c r="E15" t="s">
        <v>7834</v>
      </c>
      <c r="F15">
        <v>21456626</v>
      </c>
      <c r="G15">
        <v>380024</v>
      </c>
      <c r="H15">
        <v>220204</v>
      </c>
      <c r="I15" t="s">
        <v>7835</v>
      </c>
      <c r="J15">
        <v>2008</v>
      </c>
      <c r="K15" t="s">
        <v>7838</v>
      </c>
      <c r="L15" t="s">
        <v>7837</v>
      </c>
    </row>
    <row r="16" spans="1:12">
      <c r="A16" t="s">
        <v>7830</v>
      </c>
      <c r="B16" t="s">
        <v>7831</v>
      </c>
      <c r="C16" t="s">
        <v>7832</v>
      </c>
      <c r="D16" t="s">
        <v>7833</v>
      </c>
      <c r="E16" t="s">
        <v>7834</v>
      </c>
      <c r="F16">
        <v>22821280</v>
      </c>
      <c r="G16">
        <v>346219</v>
      </c>
      <c r="H16">
        <v>154708</v>
      </c>
      <c r="I16" t="s">
        <v>7835</v>
      </c>
      <c r="J16">
        <v>2008</v>
      </c>
      <c r="K16" t="s">
        <v>7839</v>
      </c>
      <c r="L16" t="s">
        <v>7837</v>
      </c>
    </row>
    <row r="17" spans="1:12">
      <c r="A17" t="s">
        <v>7830</v>
      </c>
      <c r="B17" t="s">
        <v>7831</v>
      </c>
      <c r="C17" t="s">
        <v>7832</v>
      </c>
      <c r="D17" t="s">
        <v>7833</v>
      </c>
      <c r="E17" t="s">
        <v>7834</v>
      </c>
      <c r="F17">
        <v>21323004</v>
      </c>
      <c r="G17">
        <v>57777</v>
      </c>
      <c r="H17">
        <v>167114</v>
      </c>
      <c r="I17" t="s">
        <v>7835</v>
      </c>
      <c r="J17">
        <v>2008</v>
      </c>
      <c r="K17" t="s">
        <v>7840</v>
      </c>
      <c r="L17" t="s">
        <v>7837</v>
      </c>
    </row>
    <row r="18" spans="1:12">
      <c r="A18" t="s">
        <v>7830</v>
      </c>
      <c r="B18" t="s">
        <v>7831</v>
      </c>
      <c r="C18" t="s">
        <v>7832</v>
      </c>
      <c r="D18" t="s">
        <v>7833</v>
      </c>
      <c r="E18" t="s">
        <v>7834</v>
      </c>
      <c r="F18">
        <v>23189149</v>
      </c>
      <c r="G18">
        <v>91856</v>
      </c>
      <c r="H18">
        <v>212562</v>
      </c>
      <c r="I18" t="s">
        <v>7835</v>
      </c>
      <c r="J18">
        <v>2008</v>
      </c>
      <c r="K18" t="s">
        <v>7841</v>
      </c>
      <c r="L18" t="s">
        <v>7837</v>
      </c>
    </row>
    <row r="19" spans="1:12">
      <c r="A19" t="s">
        <v>7830</v>
      </c>
      <c r="B19" t="s">
        <v>7831</v>
      </c>
      <c r="C19" t="s">
        <v>7832</v>
      </c>
      <c r="D19" t="s">
        <v>7833</v>
      </c>
      <c r="E19" t="s">
        <v>7834</v>
      </c>
      <c r="F19">
        <v>24768282</v>
      </c>
      <c r="G19">
        <v>133613</v>
      </c>
      <c r="H19">
        <v>217808</v>
      </c>
      <c r="I19" t="s">
        <v>7835</v>
      </c>
      <c r="J19">
        <v>2008</v>
      </c>
      <c r="K19" t="s">
        <v>7842</v>
      </c>
      <c r="L19" t="s">
        <v>7837</v>
      </c>
    </row>
    <row r="20" spans="1:12">
      <c r="A20" t="s">
        <v>7830</v>
      </c>
      <c r="B20" t="s">
        <v>7831</v>
      </c>
      <c r="C20" t="s">
        <v>7832</v>
      </c>
      <c r="D20" t="s">
        <v>7833</v>
      </c>
      <c r="E20" t="s">
        <v>7834</v>
      </c>
      <c r="F20">
        <v>24579627</v>
      </c>
      <c r="G20">
        <v>70373</v>
      </c>
      <c r="H20">
        <v>226089</v>
      </c>
      <c r="I20" t="s">
        <v>7835</v>
      </c>
      <c r="J20">
        <v>2008</v>
      </c>
      <c r="K20" t="s">
        <v>7843</v>
      </c>
      <c r="L20" t="s">
        <v>7837</v>
      </c>
    </row>
    <row r="21" spans="1:12">
      <c r="A21" t="s">
        <v>7830</v>
      </c>
      <c r="B21" t="s">
        <v>7831</v>
      </c>
      <c r="C21" t="s">
        <v>7832</v>
      </c>
      <c r="D21" t="s">
        <v>7833</v>
      </c>
      <c r="E21" t="s">
        <v>7834</v>
      </c>
      <c r="F21">
        <v>21829553</v>
      </c>
      <c r="G21">
        <v>56423</v>
      </c>
      <c r="H21">
        <v>166075</v>
      </c>
      <c r="I21" t="s">
        <v>7835</v>
      </c>
      <c r="J21">
        <v>2008</v>
      </c>
      <c r="K21" t="s">
        <v>7844</v>
      </c>
      <c r="L21" t="s">
        <v>7837</v>
      </c>
    </row>
    <row r="22" spans="1:12">
      <c r="A22" t="s">
        <v>7830</v>
      </c>
      <c r="B22" t="s">
        <v>7831</v>
      </c>
      <c r="C22" t="s">
        <v>7832</v>
      </c>
      <c r="D22" t="s">
        <v>7833</v>
      </c>
      <c r="E22" t="s">
        <v>7834</v>
      </c>
      <c r="F22">
        <v>29923395</v>
      </c>
      <c r="G22">
        <v>106035</v>
      </c>
      <c r="H22">
        <v>280720</v>
      </c>
      <c r="I22" t="s">
        <v>7835</v>
      </c>
      <c r="J22">
        <v>2008</v>
      </c>
      <c r="K22" t="s">
        <v>7845</v>
      </c>
      <c r="L22" t="s">
        <v>7837</v>
      </c>
    </row>
    <row r="23" spans="1:12">
      <c r="A23" t="s">
        <v>7830</v>
      </c>
      <c r="B23" t="s">
        <v>7831</v>
      </c>
      <c r="C23" t="s">
        <v>7832</v>
      </c>
      <c r="D23" t="s">
        <v>7833</v>
      </c>
      <c r="E23" t="s">
        <v>7834</v>
      </c>
      <c r="F23">
        <v>26796899</v>
      </c>
      <c r="G23">
        <v>86347</v>
      </c>
      <c r="H23">
        <v>223207</v>
      </c>
      <c r="I23" t="s">
        <v>7835</v>
      </c>
      <c r="J23">
        <v>2008</v>
      </c>
      <c r="K23" t="s">
        <v>7846</v>
      </c>
      <c r="L23" t="s">
        <v>7837</v>
      </c>
    </row>
    <row r="24" spans="1:12">
      <c r="A24" t="s">
        <v>7830</v>
      </c>
      <c r="B24" t="s">
        <v>7831</v>
      </c>
      <c r="C24" t="s">
        <v>7832</v>
      </c>
      <c r="D24" t="s">
        <v>7833</v>
      </c>
      <c r="E24" t="s">
        <v>7834</v>
      </c>
      <c r="F24">
        <v>34844088</v>
      </c>
      <c r="G24">
        <v>88166</v>
      </c>
      <c r="H24">
        <v>216290</v>
      </c>
      <c r="I24" t="s">
        <v>7835</v>
      </c>
      <c r="J24">
        <v>2008</v>
      </c>
      <c r="K24" t="s">
        <v>7847</v>
      </c>
      <c r="L24" t="s">
        <v>7837</v>
      </c>
    </row>
    <row r="25" spans="1:12">
      <c r="A25" t="s">
        <v>7830</v>
      </c>
      <c r="B25" t="s">
        <v>7831</v>
      </c>
      <c r="C25" t="s">
        <v>7832</v>
      </c>
      <c r="D25" t="s">
        <v>7833</v>
      </c>
      <c r="E25" t="s">
        <v>7834</v>
      </c>
      <c r="F25">
        <v>41056078</v>
      </c>
      <c r="G25">
        <v>116301</v>
      </c>
      <c r="H25">
        <v>249726</v>
      </c>
      <c r="I25" t="s">
        <v>7835</v>
      </c>
      <c r="J25">
        <v>2008</v>
      </c>
      <c r="K25" t="s">
        <v>7848</v>
      </c>
      <c r="L25" t="s">
        <v>7837</v>
      </c>
    </row>
    <row r="26" spans="1:12">
      <c r="A26" t="s">
        <v>7830</v>
      </c>
      <c r="B26" t="s">
        <v>7831</v>
      </c>
      <c r="C26" t="s">
        <v>7832</v>
      </c>
      <c r="D26" t="s">
        <v>7833</v>
      </c>
      <c r="E26" t="s">
        <v>7834</v>
      </c>
      <c r="F26">
        <v>20642225</v>
      </c>
      <c r="G26">
        <v>57347</v>
      </c>
      <c r="H26">
        <v>153469</v>
      </c>
      <c r="I26" t="s">
        <v>7835</v>
      </c>
      <c r="J26">
        <v>2009</v>
      </c>
      <c r="K26" t="s">
        <v>7836</v>
      </c>
      <c r="L26" t="s">
        <v>7837</v>
      </c>
    </row>
    <row r="27" spans="1:12">
      <c r="A27" t="s">
        <v>7830</v>
      </c>
      <c r="B27" t="s">
        <v>7831</v>
      </c>
      <c r="C27" t="s">
        <v>7832</v>
      </c>
      <c r="D27" t="s">
        <v>7833</v>
      </c>
      <c r="E27" t="s">
        <v>7834</v>
      </c>
      <c r="F27">
        <v>56376547</v>
      </c>
      <c r="G27">
        <v>172935</v>
      </c>
      <c r="H27">
        <v>209857</v>
      </c>
      <c r="I27" t="s">
        <v>7835</v>
      </c>
      <c r="J27">
        <v>2009</v>
      </c>
      <c r="K27" t="s">
        <v>7838</v>
      </c>
      <c r="L27" t="s">
        <v>7837</v>
      </c>
    </row>
    <row r="28" spans="1:12">
      <c r="A28" t="s">
        <v>7830</v>
      </c>
      <c r="B28" t="s">
        <v>7831</v>
      </c>
      <c r="C28" t="s">
        <v>7832</v>
      </c>
      <c r="D28" t="s">
        <v>7833</v>
      </c>
      <c r="E28" t="s">
        <v>7834</v>
      </c>
      <c r="F28">
        <v>43210387</v>
      </c>
      <c r="G28">
        <v>119458</v>
      </c>
      <c r="H28">
        <v>215424</v>
      </c>
      <c r="I28" t="s">
        <v>7835</v>
      </c>
      <c r="J28">
        <v>2009</v>
      </c>
      <c r="K28" t="s">
        <v>7839</v>
      </c>
      <c r="L28" t="s">
        <v>7837</v>
      </c>
    </row>
    <row r="29" spans="1:12">
      <c r="A29" t="s">
        <v>7830</v>
      </c>
      <c r="B29" t="s">
        <v>7831</v>
      </c>
      <c r="C29" t="s">
        <v>7832</v>
      </c>
      <c r="D29" t="s">
        <v>7833</v>
      </c>
      <c r="E29" t="s">
        <v>7834</v>
      </c>
      <c r="F29">
        <v>39715871</v>
      </c>
      <c r="G29">
        <v>93514</v>
      </c>
      <c r="H29">
        <v>164285</v>
      </c>
      <c r="I29" t="s">
        <v>7835</v>
      </c>
      <c r="J29">
        <v>2009</v>
      </c>
      <c r="K29" t="s">
        <v>7840</v>
      </c>
      <c r="L29" t="s">
        <v>7837</v>
      </c>
    </row>
    <row r="30" spans="1:12">
      <c r="A30" t="s">
        <v>7830</v>
      </c>
      <c r="B30" t="s">
        <v>7831</v>
      </c>
      <c r="C30" t="s">
        <v>7832</v>
      </c>
      <c r="D30" t="s">
        <v>7833</v>
      </c>
      <c r="E30" t="s">
        <v>7834</v>
      </c>
      <c r="F30">
        <v>29368019</v>
      </c>
      <c r="G30">
        <v>48370</v>
      </c>
      <c r="H30">
        <v>153597</v>
      </c>
      <c r="I30" t="s">
        <v>7835</v>
      </c>
      <c r="J30">
        <v>2009</v>
      </c>
      <c r="K30" t="s">
        <v>7841</v>
      </c>
      <c r="L30" t="s">
        <v>7837</v>
      </c>
    </row>
    <row r="31" spans="1:12">
      <c r="A31" t="s">
        <v>7830</v>
      </c>
      <c r="B31" t="s">
        <v>7831</v>
      </c>
      <c r="C31" t="s">
        <v>7832</v>
      </c>
      <c r="D31" t="s">
        <v>7833</v>
      </c>
      <c r="E31" t="s">
        <v>7834</v>
      </c>
      <c r="F31">
        <v>44648921</v>
      </c>
      <c r="G31">
        <v>71451</v>
      </c>
      <c r="H31">
        <v>215857</v>
      </c>
      <c r="I31" t="s">
        <v>7835</v>
      </c>
      <c r="J31">
        <v>2009</v>
      </c>
      <c r="K31" t="s">
        <v>7842</v>
      </c>
      <c r="L31" t="s">
        <v>7837</v>
      </c>
    </row>
    <row r="32" spans="1:12">
      <c r="A32" t="s">
        <v>7830</v>
      </c>
      <c r="B32" t="s">
        <v>7831</v>
      </c>
      <c r="C32" t="s">
        <v>7832</v>
      </c>
      <c r="D32" t="s">
        <v>7833</v>
      </c>
      <c r="E32" t="s">
        <v>7834</v>
      </c>
      <c r="F32">
        <v>36999723</v>
      </c>
      <c r="G32">
        <v>83015</v>
      </c>
      <c r="H32">
        <v>257726</v>
      </c>
      <c r="I32" t="s">
        <v>7835</v>
      </c>
      <c r="J32">
        <v>2009</v>
      </c>
      <c r="K32" t="s">
        <v>7843</v>
      </c>
      <c r="L32" t="s">
        <v>7837</v>
      </c>
    </row>
    <row r="33" spans="1:12">
      <c r="A33" t="s">
        <v>7830</v>
      </c>
      <c r="B33" t="s">
        <v>7831</v>
      </c>
      <c r="C33" t="s">
        <v>7832</v>
      </c>
      <c r="D33" t="s">
        <v>7833</v>
      </c>
      <c r="E33" t="s">
        <v>7834</v>
      </c>
      <c r="F33">
        <v>42347744</v>
      </c>
      <c r="G33">
        <v>264298</v>
      </c>
      <c r="H33">
        <v>293913</v>
      </c>
      <c r="I33" t="s">
        <v>7835</v>
      </c>
      <c r="J33">
        <v>2009</v>
      </c>
      <c r="K33" t="s">
        <v>7844</v>
      </c>
      <c r="L33" t="s">
        <v>7837</v>
      </c>
    </row>
    <row r="34" spans="1:12">
      <c r="A34" t="s">
        <v>7830</v>
      </c>
      <c r="B34" t="s">
        <v>7831</v>
      </c>
      <c r="C34" t="s">
        <v>7832</v>
      </c>
      <c r="D34" t="s">
        <v>7833</v>
      </c>
      <c r="E34" t="s">
        <v>7834</v>
      </c>
      <c r="F34">
        <v>58169060</v>
      </c>
      <c r="G34">
        <v>105448</v>
      </c>
      <c r="H34">
        <v>396893</v>
      </c>
      <c r="I34" t="s">
        <v>7835</v>
      </c>
      <c r="J34">
        <v>2009</v>
      </c>
      <c r="K34" t="s">
        <v>7845</v>
      </c>
      <c r="L34" t="s">
        <v>7837</v>
      </c>
    </row>
    <row r="35" spans="1:12">
      <c r="A35" t="s">
        <v>7830</v>
      </c>
      <c r="B35" t="s">
        <v>7831</v>
      </c>
      <c r="C35" t="s">
        <v>7832</v>
      </c>
      <c r="D35" t="s">
        <v>7833</v>
      </c>
      <c r="E35" t="s">
        <v>7834</v>
      </c>
      <c r="F35">
        <v>54270025</v>
      </c>
      <c r="G35">
        <v>104759</v>
      </c>
      <c r="H35">
        <v>305000</v>
      </c>
      <c r="I35" t="s">
        <v>7835</v>
      </c>
      <c r="J35">
        <v>2009</v>
      </c>
      <c r="K35" t="s">
        <v>7846</v>
      </c>
      <c r="L35" t="s">
        <v>7837</v>
      </c>
    </row>
    <row r="36" spans="1:12">
      <c r="A36" t="s">
        <v>7830</v>
      </c>
      <c r="B36" t="s">
        <v>7831</v>
      </c>
      <c r="C36" t="s">
        <v>7832</v>
      </c>
      <c r="D36" t="s">
        <v>7833</v>
      </c>
      <c r="E36" t="s">
        <v>7834</v>
      </c>
      <c r="F36">
        <v>56263634</v>
      </c>
      <c r="G36">
        <v>193846</v>
      </c>
      <c r="H36">
        <v>766691</v>
      </c>
      <c r="I36" t="s">
        <v>7835</v>
      </c>
      <c r="J36">
        <v>2009</v>
      </c>
      <c r="K36" t="s">
        <v>7847</v>
      </c>
      <c r="L36" t="s">
        <v>7837</v>
      </c>
    </row>
    <row r="37" spans="1:12">
      <c r="A37" t="s">
        <v>7830</v>
      </c>
      <c r="B37" t="s">
        <v>7831</v>
      </c>
      <c r="C37" t="s">
        <v>7832</v>
      </c>
      <c r="D37" t="s">
        <v>7833</v>
      </c>
      <c r="E37" t="s">
        <v>7834</v>
      </c>
      <c r="F37">
        <v>53551274</v>
      </c>
      <c r="G37">
        <v>106908</v>
      </c>
      <c r="H37">
        <v>347628</v>
      </c>
      <c r="I37" t="s">
        <v>7835</v>
      </c>
      <c r="J37">
        <v>2009</v>
      </c>
      <c r="K37" t="s">
        <v>7848</v>
      </c>
      <c r="L37" t="s">
        <v>7837</v>
      </c>
    </row>
    <row r="38" spans="1:12">
      <c r="A38" t="s">
        <v>7830</v>
      </c>
      <c r="B38" t="s">
        <v>7831</v>
      </c>
      <c r="C38" t="s">
        <v>7832</v>
      </c>
      <c r="D38" t="s">
        <v>7833</v>
      </c>
      <c r="E38" t="s">
        <v>7834</v>
      </c>
      <c r="F38">
        <v>49010954</v>
      </c>
      <c r="G38">
        <v>140525</v>
      </c>
      <c r="H38">
        <v>379555</v>
      </c>
      <c r="I38" t="s">
        <v>7835</v>
      </c>
      <c r="J38">
        <v>2010</v>
      </c>
      <c r="K38" t="s">
        <v>7836</v>
      </c>
      <c r="L38" t="s">
        <v>7837</v>
      </c>
    </row>
    <row r="39" spans="1:12">
      <c r="A39" t="s">
        <v>7830</v>
      </c>
      <c r="B39" t="s">
        <v>7831</v>
      </c>
      <c r="C39" t="s">
        <v>7832</v>
      </c>
      <c r="D39" t="s">
        <v>7833</v>
      </c>
      <c r="E39" t="s">
        <v>7834</v>
      </c>
      <c r="F39">
        <v>44750943</v>
      </c>
      <c r="G39">
        <v>125621</v>
      </c>
      <c r="H39">
        <v>302763</v>
      </c>
      <c r="I39" t="s">
        <v>7835</v>
      </c>
      <c r="J39">
        <v>2010</v>
      </c>
      <c r="K39" t="s">
        <v>7838</v>
      </c>
      <c r="L39" t="s">
        <v>7837</v>
      </c>
    </row>
    <row r="40" spans="1:12">
      <c r="A40" t="s">
        <v>7830</v>
      </c>
      <c r="B40" t="s">
        <v>7831</v>
      </c>
      <c r="C40" t="s">
        <v>7832</v>
      </c>
      <c r="D40" t="s">
        <v>7833</v>
      </c>
      <c r="E40" t="s">
        <v>7834</v>
      </c>
      <c r="F40">
        <v>49797449</v>
      </c>
      <c r="G40">
        <v>105465</v>
      </c>
      <c r="H40">
        <v>314553</v>
      </c>
      <c r="I40" t="s">
        <v>7835</v>
      </c>
      <c r="J40">
        <v>2010</v>
      </c>
      <c r="K40" t="s">
        <v>7839</v>
      </c>
      <c r="L40" t="s">
        <v>7837</v>
      </c>
    </row>
    <row r="41" spans="1:12">
      <c r="A41" t="s">
        <v>7830</v>
      </c>
      <c r="B41" t="s">
        <v>7831</v>
      </c>
      <c r="C41" t="s">
        <v>7832</v>
      </c>
      <c r="D41" t="s">
        <v>7833</v>
      </c>
      <c r="E41" t="s">
        <v>7834</v>
      </c>
      <c r="F41">
        <v>49174786</v>
      </c>
      <c r="G41">
        <v>90143</v>
      </c>
      <c r="H41">
        <v>264618</v>
      </c>
      <c r="I41" t="s">
        <v>7835</v>
      </c>
      <c r="J41">
        <v>2010</v>
      </c>
      <c r="K41" t="s">
        <v>7840</v>
      </c>
      <c r="L41" t="s">
        <v>7837</v>
      </c>
    </row>
    <row r="42" spans="1:12">
      <c r="A42" t="s">
        <v>7830</v>
      </c>
      <c r="B42" t="s">
        <v>7831</v>
      </c>
      <c r="C42" t="s">
        <v>7832</v>
      </c>
      <c r="D42" t="s">
        <v>7833</v>
      </c>
      <c r="E42" t="s">
        <v>7834</v>
      </c>
      <c r="F42">
        <v>35620022</v>
      </c>
      <c r="G42">
        <v>68557</v>
      </c>
      <c r="H42">
        <v>224771</v>
      </c>
      <c r="I42" t="s">
        <v>7835</v>
      </c>
      <c r="J42">
        <v>2010</v>
      </c>
      <c r="K42" t="s">
        <v>7841</v>
      </c>
      <c r="L42" t="s">
        <v>7837</v>
      </c>
    </row>
    <row r="43" spans="1:12">
      <c r="A43" t="s">
        <v>7830</v>
      </c>
      <c r="B43" t="s">
        <v>7831</v>
      </c>
      <c r="C43" t="s">
        <v>7832</v>
      </c>
      <c r="D43" t="s">
        <v>7833</v>
      </c>
      <c r="E43" t="s">
        <v>7834</v>
      </c>
      <c r="F43">
        <v>41149877</v>
      </c>
      <c r="G43">
        <v>79299</v>
      </c>
      <c r="H43">
        <v>249627</v>
      </c>
      <c r="I43" t="s">
        <v>7835</v>
      </c>
      <c r="J43">
        <v>2010</v>
      </c>
      <c r="K43" t="s">
        <v>7842</v>
      </c>
      <c r="L43" t="s">
        <v>7837</v>
      </c>
    </row>
    <row r="44" spans="1:12">
      <c r="A44" t="s">
        <v>7830</v>
      </c>
      <c r="B44" t="s">
        <v>7831</v>
      </c>
      <c r="C44" t="s">
        <v>7832</v>
      </c>
      <c r="D44" t="s">
        <v>7833</v>
      </c>
      <c r="E44" t="s">
        <v>7834</v>
      </c>
      <c r="F44">
        <v>43276335</v>
      </c>
      <c r="G44">
        <v>81470</v>
      </c>
      <c r="H44">
        <v>263208</v>
      </c>
      <c r="I44" t="s">
        <v>7835</v>
      </c>
      <c r="J44">
        <v>2010</v>
      </c>
      <c r="K44" t="s">
        <v>7843</v>
      </c>
      <c r="L44" t="s">
        <v>7837</v>
      </c>
    </row>
    <row r="45" spans="1:12">
      <c r="A45" t="s">
        <v>7830</v>
      </c>
      <c r="B45" t="s">
        <v>7831</v>
      </c>
      <c r="C45" t="s">
        <v>7832</v>
      </c>
      <c r="D45" t="s">
        <v>7833</v>
      </c>
      <c r="E45" t="s">
        <v>7834</v>
      </c>
      <c r="F45">
        <v>40541647</v>
      </c>
      <c r="G45">
        <v>77162</v>
      </c>
      <c r="H45">
        <v>248579</v>
      </c>
      <c r="I45" t="s">
        <v>7835</v>
      </c>
      <c r="J45">
        <v>2010</v>
      </c>
      <c r="K45" t="s">
        <v>7844</v>
      </c>
      <c r="L45" t="s">
        <v>7837</v>
      </c>
    </row>
    <row r="46" spans="1:12">
      <c r="A46" t="s">
        <v>7830</v>
      </c>
      <c r="B46" t="s">
        <v>7831</v>
      </c>
      <c r="C46" t="s">
        <v>7832</v>
      </c>
      <c r="D46" t="s">
        <v>7833</v>
      </c>
      <c r="E46" t="s">
        <v>7834</v>
      </c>
      <c r="F46">
        <v>59900270</v>
      </c>
      <c r="G46">
        <v>103244</v>
      </c>
      <c r="H46">
        <v>359873</v>
      </c>
      <c r="I46" t="s">
        <v>7835</v>
      </c>
      <c r="J46">
        <v>2010</v>
      </c>
      <c r="K46" t="s">
        <v>7845</v>
      </c>
      <c r="L46" t="s">
        <v>7837</v>
      </c>
    </row>
    <row r="47" spans="1:12">
      <c r="A47" t="s">
        <v>7830</v>
      </c>
      <c r="B47" t="s">
        <v>7831</v>
      </c>
      <c r="C47" t="s">
        <v>7832</v>
      </c>
      <c r="D47" t="s">
        <v>7833</v>
      </c>
      <c r="E47" t="s">
        <v>7834</v>
      </c>
      <c r="F47">
        <v>47390846</v>
      </c>
      <c r="G47">
        <v>88333</v>
      </c>
      <c r="H47">
        <v>339874</v>
      </c>
      <c r="I47" t="s">
        <v>7835</v>
      </c>
      <c r="J47">
        <v>2010</v>
      </c>
      <c r="K47" t="s">
        <v>7846</v>
      </c>
      <c r="L47" t="s">
        <v>7837</v>
      </c>
    </row>
    <row r="48" spans="1:12">
      <c r="A48" t="s">
        <v>7830</v>
      </c>
      <c r="B48" t="s">
        <v>7831</v>
      </c>
      <c r="C48" t="s">
        <v>7832</v>
      </c>
      <c r="D48" t="s">
        <v>7833</v>
      </c>
      <c r="E48" t="s">
        <v>7834</v>
      </c>
      <c r="F48">
        <v>90219653</v>
      </c>
      <c r="G48">
        <v>191241</v>
      </c>
      <c r="H48">
        <v>692561</v>
      </c>
      <c r="I48" t="s">
        <v>7835</v>
      </c>
      <c r="J48">
        <v>2010</v>
      </c>
      <c r="K48" t="s">
        <v>7847</v>
      </c>
      <c r="L48" t="s">
        <v>7837</v>
      </c>
    </row>
    <row r="49" spans="1:12">
      <c r="A49" t="s">
        <v>7830</v>
      </c>
      <c r="B49" t="s">
        <v>7831</v>
      </c>
      <c r="C49" t="s">
        <v>7832</v>
      </c>
      <c r="D49" t="s">
        <v>7833</v>
      </c>
      <c r="E49" t="s">
        <v>7834</v>
      </c>
      <c r="F49">
        <v>61927874</v>
      </c>
      <c r="G49">
        <v>95130</v>
      </c>
      <c r="H49">
        <v>441155</v>
      </c>
      <c r="I49" t="s">
        <v>7835</v>
      </c>
      <c r="J49">
        <v>2010</v>
      </c>
      <c r="K49" t="s">
        <v>7848</v>
      </c>
      <c r="L49" t="s">
        <v>7837</v>
      </c>
    </row>
    <row r="50" spans="1:12">
      <c r="A50" t="s">
        <v>7830</v>
      </c>
      <c r="B50" t="s">
        <v>7831</v>
      </c>
      <c r="C50" t="s">
        <v>7832</v>
      </c>
      <c r="D50" t="s">
        <v>7833</v>
      </c>
      <c r="E50" t="s">
        <v>7834</v>
      </c>
      <c r="F50">
        <v>49190870</v>
      </c>
      <c r="G50">
        <v>84636</v>
      </c>
      <c r="H50">
        <v>400959</v>
      </c>
      <c r="I50" t="s">
        <v>7835</v>
      </c>
      <c r="J50">
        <v>2011</v>
      </c>
      <c r="K50" t="s">
        <v>7836</v>
      </c>
      <c r="L50" t="s">
        <v>7837</v>
      </c>
    </row>
    <row r="51" spans="1:12">
      <c r="A51" t="s">
        <v>7830</v>
      </c>
      <c r="B51" t="s">
        <v>7831</v>
      </c>
      <c r="C51" t="s">
        <v>7832</v>
      </c>
      <c r="D51" t="s">
        <v>7833</v>
      </c>
      <c r="E51" t="s">
        <v>7834</v>
      </c>
      <c r="F51">
        <v>44203847</v>
      </c>
      <c r="G51">
        <v>59538</v>
      </c>
      <c r="H51">
        <v>389567</v>
      </c>
      <c r="I51" t="s">
        <v>7835</v>
      </c>
      <c r="J51">
        <v>2011</v>
      </c>
      <c r="K51" t="s">
        <v>7838</v>
      </c>
      <c r="L51" t="s">
        <v>7837</v>
      </c>
    </row>
    <row r="52" spans="1:12">
      <c r="A52" t="s">
        <v>7830</v>
      </c>
      <c r="B52" t="s">
        <v>7831</v>
      </c>
      <c r="C52" t="s">
        <v>7832</v>
      </c>
      <c r="D52" t="s">
        <v>7833</v>
      </c>
      <c r="E52" t="s">
        <v>7834</v>
      </c>
      <c r="F52">
        <v>54623948</v>
      </c>
      <c r="G52">
        <v>79815</v>
      </c>
      <c r="H52">
        <v>330882</v>
      </c>
      <c r="I52" t="s">
        <v>7835</v>
      </c>
      <c r="J52">
        <v>2011</v>
      </c>
      <c r="K52" t="s">
        <v>7839</v>
      </c>
      <c r="L52" t="s">
        <v>7837</v>
      </c>
    </row>
    <row r="53" spans="1:12">
      <c r="A53" t="s">
        <v>7830</v>
      </c>
      <c r="B53" t="s">
        <v>7831</v>
      </c>
      <c r="C53" t="s">
        <v>7832</v>
      </c>
      <c r="D53" t="s">
        <v>7833</v>
      </c>
      <c r="E53" t="s">
        <v>7834</v>
      </c>
      <c r="F53">
        <v>39435873</v>
      </c>
      <c r="G53">
        <v>51979</v>
      </c>
      <c r="H53">
        <v>192337</v>
      </c>
      <c r="I53" t="s">
        <v>7835</v>
      </c>
      <c r="J53">
        <v>2011</v>
      </c>
      <c r="K53" t="s">
        <v>7840</v>
      </c>
      <c r="L53" t="s">
        <v>7837</v>
      </c>
    </row>
    <row r="54" spans="1:12">
      <c r="A54" t="s">
        <v>7830</v>
      </c>
      <c r="B54" t="s">
        <v>7831</v>
      </c>
      <c r="C54" t="s">
        <v>7832</v>
      </c>
      <c r="D54" t="s">
        <v>7833</v>
      </c>
      <c r="E54" t="s">
        <v>7834</v>
      </c>
      <c r="F54">
        <v>79983832</v>
      </c>
      <c r="G54">
        <v>102690</v>
      </c>
      <c r="H54">
        <v>486717</v>
      </c>
      <c r="I54" t="s">
        <v>7835</v>
      </c>
      <c r="J54">
        <v>2011</v>
      </c>
      <c r="K54" t="s">
        <v>7841</v>
      </c>
      <c r="L54" t="s">
        <v>7837</v>
      </c>
    </row>
    <row r="55" spans="1:12">
      <c r="A55" t="s">
        <v>7830</v>
      </c>
      <c r="B55" t="s">
        <v>7831</v>
      </c>
      <c r="C55" t="s">
        <v>7832</v>
      </c>
      <c r="D55" t="s">
        <v>7833</v>
      </c>
      <c r="E55" t="s">
        <v>7834</v>
      </c>
      <c r="F55">
        <v>55311297</v>
      </c>
      <c r="G55">
        <v>80989</v>
      </c>
      <c r="H55">
        <v>351690</v>
      </c>
      <c r="I55" t="s">
        <v>7835</v>
      </c>
      <c r="J55">
        <v>2011</v>
      </c>
      <c r="K55" t="s">
        <v>7842</v>
      </c>
      <c r="L55" t="s">
        <v>7837</v>
      </c>
    </row>
    <row r="56" spans="1:12">
      <c r="A56" t="s">
        <v>7830</v>
      </c>
      <c r="B56" t="s">
        <v>7831</v>
      </c>
      <c r="C56" t="s">
        <v>7832</v>
      </c>
      <c r="D56" t="s">
        <v>7833</v>
      </c>
      <c r="E56" t="s">
        <v>7834</v>
      </c>
      <c r="F56">
        <v>40276923</v>
      </c>
      <c r="G56">
        <v>86155</v>
      </c>
      <c r="H56">
        <v>325581</v>
      </c>
      <c r="I56" t="s">
        <v>7835</v>
      </c>
      <c r="J56">
        <v>2011</v>
      </c>
      <c r="K56" t="s">
        <v>7843</v>
      </c>
      <c r="L56" t="s">
        <v>7837</v>
      </c>
    </row>
    <row r="57" spans="1:12">
      <c r="A57" t="s">
        <v>7830</v>
      </c>
      <c r="B57" t="s">
        <v>7831</v>
      </c>
      <c r="C57" t="s">
        <v>7832</v>
      </c>
      <c r="D57" t="s">
        <v>7833</v>
      </c>
      <c r="E57" t="s">
        <v>7834</v>
      </c>
      <c r="F57">
        <v>69247005</v>
      </c>
      <c r="G57">
        <v>104018</v>
      </c>
      <c r="H57">
        <v>460441</v>
      </c>
      <c r="I57" t="s">
        <v>7835</v>
      </c>
      <c r="J57">
        <v>2011</v>
      </c>
      <c r="K57" t="s">
        <v>7844</v>
      </c>
      <c r="L57" t="s">
        <v>7837</v>
      </c>
    </row>
    <row r="58" spans="1:12">
      <c r="A58" t="s">
        <v>7830</v>
      </c>
      <c r="B58" t="s">
        <v>7831</v>
      </c>
      <c r="C58" t="s">
        <v>7832</v>
      </c>
      <c r="D58" t="s">
        <v>7833</v>
      </c>
      <c r="E58" t="s">
        <v>7834</v>
      </c>
      <c r="F58">
        <v>48856683</v>
      </c>
      <c r="G58">
        <v>88932</v>
      </c>
      <c r="H58">
        <v>367857</v>
      </c>
      <c r="I58" t="s">
        <v>7835</v>
      </c>
      <c r="J58">
        <v>2011</v>
      </c>
      <c r="K58" t="s">
        <v>7845</v>
      </c>
      <c r="L58" t="s">
        <v>7837</v>
      </c>
    </row>
    <row r="59" spans="1:12">
      <c r="A59" t="s">
        <v>7830</v>
      </c>
      <c r="B59" t="s">
        <v>7831</v>
      </c>
      <c r="C59" t="s">
        <v>7832</v>
      </c>
      <c r="D59" t="s">
        <v>7833</v>
      </c>
      <c r="E59" t="s">
        <v>7834</v>
      </c>
      <c r="F59">
        <v>270625306</v>
      </c>
      <c r="G59">
        <v>292968</v>
      </c>
      <c r="H59">
        <v>972818</v>
      </c>
      <c r="I59" t="s">
        <v>7835</v>
      </c>
      <c r="J59">
        <v>2011</v>
      </c>
      <c r="K59" t="s">
        <v>7846</v>
      </c>
      <c r="L59" t="s">
        <v>7837</v>
      </c>
    </row>
    <row r="60" spans="1:12">
      <c r="A60" t="s">
        <v>7830</v>
      </c>
      <c r="B60" t="s">
        <v>7831</v>
      </c>
      <c r="C60" t="s">
        <v>7832</v>
      </c>
      <c r="D60" t="s">
        <v>7833</v>
      </c>
      <c r="E60" t="s">
        <v>7834</v>
      </c>
      <c r="F60">
        <v>107950340</v>
      </c>
      <c r="G60">
        <v>130413</v>
      </c>
      <c r="H60">
        <v>522779</v>
      </c>
      <c r="I60" t="s">
        <v>7835</v>
      </c>
      <c r="J60">
        <v>2011</v>
      </c>
      <c r="K60" t="s">
        <v>7847</v>
      </c>
      <c r="L60" t="s">
        <v>7837</v>
      </c>
    </row>
    <row r="61" spans="1:12">
      <c r="A61" t="s">
        <v>7830</v>
      </c>
      <c r="B61" t="s">
        <v>7831</v>
      </c>
      <c r="C61" t="s">
        <v>7832</v>
      </c>
      <c r="D61" t="s">
        <v>7833</v>
      </c>
      <c r="E61" t="s">
        <v>7834</v>
      </c>
      <c r="F61">
        <v>71070962</v>
      </c>
      <c r="G61">
        <v>83451</v>
      </c>
      <c r="H61">
        <v>350720</v>
      </c>
      <c r="I61" t="s">
        <v>7835</v>
      </c>
      <c r="J61">
        <v>2011</v>
      </c>
      <c r="K61" t="s">
        <v>7848</v>
      </c>
      <c r="L61" t="s">
        <v>7837</v>
      </c>
    </row>
    <row r="62" spans="1:12">
      <c r="A62" t="s">
        <v>7830</v>
      </c>
      <c r="B62" t="s">
        <v>7831</v>
      </c>
      <c r="C62" t="s">
        <v>7832</v>
      </c>
      <c r="D62" t="s">
        <v>7833</v>
      </c>
      <c r="E62" t="s">
        <v>7834</v>
      </c>
      <c r="F62">
        <v>66927820</v>
      </c>
      <c r="G62">
        <v>79172</v>
      </c>
      <c r="H62">
        <v>300038</v>
      </c>
      <c r="I62" t="s">
        <v>7835</v>
      </c>
      <c r="J62">
        <v>2012</v>
      </c>
      <c r="K62" t="s">
        <v>7836</v>
      </c>
      <c r="L62" t="s">
        <v>7837</v>
      </c>
    </row>
    <row r="63" spans="1:12">
      <c r="A63" t="s">
        <v>7830</v>
      </c>
      <c r="B63" t="s">
        <v>7831</v>
      </c>
      <c r="C63" t="s">
        <v>7832</v>
      </c>
      <c r="D63" t="s">
        <v>7833</v>
      </c>
      <c r="E63" t="s">
        <v>7834</v>
      </c>
      <c r="F63">
        <v>57468558</v>
      </c>
      <c r="G63">
        <v>76405</v>
      </c>
      <c r="H63">
        <v>261324</v>
      </c>
      <c r="I63" t="s">
        <v>7835</v>
      </c>
      <c r="J63">
        <v>2012</v>
      </c>
      <c r="K63" t="s">
        <v>7838</v>
      </c>
      <c r="L63" t="s">
        <v>7837</v>
      </c>
    </row>
    <row r="64" spans="1:12">
      <c r="A64" t="s">
        <v>7830</v>
      </c>
      <c r="B64" t="s">
        <v>7831</v>
      </c>
      <c r="C64" t="s">
        <v>7832</v>
      </c>
      <c r="D64" t="s">
        <v>7833</v>
      </c>
      <c r="E64" t="s">
        <v>7834</v>
      </c>
      <c r="F64">
        <v>40840024</v>
      </c>
      <c r="G64">
        <v>57696</v>
      </c>
      <c r="H64">
        <v>311555</v>
      </c>
      <c r="I64" t="s">
        <v>7835</v>
      </c>
      <c r="J64">
        <v>2012</v>
      </c>
      <c r="K64" t="s">
        <v>7839</v>
      </c>
      <c r="L64" t="s">
        <v>7837</v>
      </c>
    </row>
    <row r="65" spans="1:12">
      <c r="A65" t="s">
        <v>7830</v>
      </c>
      <c r="B65" t="s">
        <v>7831</v>
      </c>
      <c r="C65" t="s">
        <v>7832</v>
      </c>
      <c r="D65" t="s">
        <v>7833</v>
      </c>
      <c r="E65" t="s">
        <v>7834</v>
      </c>
      <c r="F65">
        <v>45340994</v>
      </c>
      <c r="G65">
        <v>70062</v>
      </c>
      <c r="H65">
        <v>282660</v>
      </c>
      <c r="I65" t="s">
        <v>7835</v>
      </c>
      <c r="J65">
        <v>2012</v>
      </c>
      <c r="K65" t="s">
        <v>7840</v>
      </c>
      <c r="L65" t="s">
        <v>7837</v>
      </c>
    </row>
    <row r="66" spans="1:12">
      <c r="A66" t="s">
        <v>7830</v>
      </c>
      <c r="B66" t="s">
        <v>7831</v>
      </c>
      <c r="C66" t="s">
        <v>7832</v>
      </c>
      <c r="D66" t="s">
        <v>7833</v>
      </c>
      <c r="E66" t="s">
        <v>7834</v>
      </c>
      <c r="F66">
        <v>48374223</v>
      </c>
      <c r="G66">
        <v>273229</v>
      </c>
      <c r="H66">
        <v>288861</v>
      </c>
      <c r="I66" t="s">
        <v>7835</v>
      </c>
      <c r="J66">
        <v>2012</v>
      </c>
      <c r="K66" t="s">
        <v>7841</v>
      </c>
      <c r="L66" t="s">
        <v>7837</v>
      </c>
    </row>
    <row r="67" spans="1:12">
      <c r="A67" t="s">
        <v>7830</v>
      </c>
      <c r="B67" t="s">
        <v>7831</v>
      </c>
      <c r="C67" t="s">
        <v>7832</v>
      </c>
      <c r="D67" t="s">
        <v>7833</v>
      </c>
      <c r="E67" t="s">
        <v>7834</v>
      </c>
      <c r="F67">
        <v>56768574</v>
      </c>
      <c r="G67">
        <v>97877</v>
      </c>
      <c r="H67">
        <v>305138</v>
      </c>
      <c r="I67" t="s">
        <v>7835</v>
      </c>
      <c r="J67">
        <v>2012</v>
      </c>
      <c r="K67" t="s">
        <v>7842</v>
      </c>
      <c r="L67" t="s">
        <v>7837</v>
      </c>
    </row>
    <row r="68" spans="1:12">
      <c r="A68" t="s">
        <v>7830</v>
      </c>
      <c r="B68" t="s">
        <v>7831</v>
      </c>
      <c r="C68" t="s">
        <v>7832</v>
      </c>
      <c r="D68" t="s">
        <v>7833</v>
      </c>
      <c r="E68" t="s">
        <v>7834</v>
      </c>
      <c r="F68">
        <v>57370978</v>
      </c>
      <c r="G68">
        <v>1790806</v>
      </c>
      <c r="H68">
        <v>267553</v>
      </c>
      <c r="I68" t="s">
        <v>7835</v>
      </c>
      <c r="J68">
        <v>2012</v>
      </c>
      <c r="K68" t="s">
        <v>7843</v>
      </c>
      <c r="L68" t="s">
        <v>7837</v>
      </c>
    </row>
    <row r="69" spans="1:12">
      <c r="A69" t="s">
        <v>7830</v>
      </c>
      <c r="B69" t="s">
        <v>7831</v>
      </c>
      <c r="C69" t="s">
        <v>7832</v>
      </c>
      <c r="D69" t="s">
        <v>7833</v>
      </c>
      <c r="E69" t="s">
        <v>7834</v>
      </c>
      <c r="F69">
        <v>60923074</v>
      </c>
      <c r="G69">
        <v>1272770</v>
      </c>
      <c r="H69">
        <v>345970</v>
      </c>
      <c r="I69" t="s">
        <v>7835</v>
      </c>
      <c r="J69">
        <v>2012</v>
      </c>
      <c r="K69" t="s">
        <v>7844</v>
      </c>
      <c r="L69" t="s">
        <v>7837</v>
      </c>
    </row>
    <row r="70" spans="1:12">
      <c r="A70" t="s">
        <v>7830</v>
      </c>
      <c r="B70" t="s">
        <v>7831</v>
      </c>
      <c r="C70" t="s">
        <v>7832</v>
      </c>
      <c r="D70" t="s">
        <v>7833</v>
      </c>
      <c r="E70" t="s">
        <v>7834</v>
      </c>
      <c r="F70">
        <v>54628039</v>
      </c>
      <c r="G70">
        <v>219907</v>
      </c>
      <c r="H70">
        <v>397623</v>
      </c>
      <c r="I70" t="s">
        <v>7835</v>
      </c>
      <c r="J70">
        <v>2012</v>
      </c>
      <c r="K70" t="s">
        <v>7845</v>
      </c>
      <c r="L70" t="s">
        <v>7837</v>
      </c>
    </row>
    <row r="71" spans="1:12">
      <c r="A71" t="s">
        <v>7830</v>
      </c>
      <c r="B71" t="s">
        <v>7831</v>
      </c>
      <c r="C71" t="s">
        <v>7832</v>
      </c>
      <c r="D71" t="s">
        <v>7833</v>
      </c>
      <c r="E71" t="s">
        <v>7834</v>
      </c>
      <c r="F71">
        <v>65549785</v>
      </c>
      <c r="G71">
        <v>112472</v>
      </c>
      <c r="H71">
        <v>359125</v>
      </c>
      <c r="I71" t="s">
        <v>7835</v>
      </c>
      <c r="J71">
        <v>2012</v>
      </c>
      <c r="K71" t="s">
        <v>7846</v>
      </c>
      <c r="L71" t="s">
        <v>7837</v>
      </c>
    </row>
    <row r="72" spans="1:12">
      <c r="A72" t="s">
        <v>7830</v>
      </c>
      <c r="B72" t="s">
        <v>7831</v>
      </c>
      <c r="C72" t="s">
        <v>7832</v>
      </c>
      <c r="D72" t="s">
        <v>7833</v>
      </c>
      <c r="E72" t="s">
        <v>7834</v>
      </c>
      <c r="F72">
        <v>92620411</v>
      </c>
      <c r="G72">
        <v>621996</v>
      </c>
      <c r="H72">
        <v>496892</v>
      </c>
      <c r="I72" t="s">
        <v>7835</v>
      </c>
      <c r="J72">
        <v>2012</v>
      </c>
      <c r="K72" t="s">
        <v>7847</v>
      </c>
      <c r="L72" t="s">
        <v>7837</v>
      </c>
    </row>
    <row r="73" spans="1:12">
      <c r="A73" t="s">
        <v>7830</v>
      </c>
      <c r="B73" t="s">
        <v>7831</v>
      </c>
      <c r="C73" t="s">
        <v>7832</v>
      </c>
      <c r="D73" t="s">
        <v>7833</v>
      </c>
      <c r="E73" t="s">
        <v>7834</v>
      </c>
      <c r="F73">
        <v>73383817</v>
      </c>
      <c r="G73">
        <v>471149</v>
      </c>
      <c r="H73">
        <v>405629</v>
      </c>
      <c r="I73" t="s">
        <v>7835</v>
      </c>
      <c r="J73">
        <v>2012</v>
      </c>
      <c r="K73" t="s">
        <v>7848</v>
      </c>
      <c r="L73" t="s">
        <v>7837</v>
      </c>
    </row>
    <row r="74" spans="1:12">
      <c r="A74" t="s">
        <v>7830</v>
      </c>
      <c r="B74" t="s">
        <v>7831</v>
      </c>
      <c r="C74" t="s">
        <v>7832</v>
      </c>
      <c r="D74" t="s">
        <v>7833</v>
      </c>
      <c r="E74" t="s">
        <v>7834</v>
      </c>
      <c r="F74">
        <v>81365658</v>
      </c>
      <c r="G74">
        <v>136071</v>
      </c>
      <c r="H74">
        <v>433720</v>
      </c>
      <c r="I74" t="s">
        <v>7835</v>
      </c>
      <c r="J74">
        <v>2013</v>
      </c>
      <c r="K74" t="s">
        <v>7836</v>
      </c>
      <c r="L74" t="s">
        <v>7837</v>
      </c>
    </row>
    <row r="75" spans="1:12">
      <c r="A75" t="s">
        <v>7830</v>
      </c>
      <c r="B75" t="s">
        <v>7831</v>
      </c>
      <c r="C75" t="s">
        <v>7832</v>
      </c>
      <c r="D75" t="s">
        <v>7833</v>
      </c>
      <c r="E75" t="s">
        <v>7834</v>
      </c>
      <c r="F75">
        <v>71230785</v>
      </c>
      <c r="G75">
        <v>311352</v>
      </c>
      <c r="H75">
        <v>512240</v>
      </c>
      <c r="I75" t="s">
        <v>7835</v>
      </c>
      <c r="J75">
        <v>2013</v>
      </c>
      <c r="K75" t="s">
        <v>7838</v>
      </c>
      <c r="L75" t="s">
        <v>7837</v>
      </c>
    </row>
    <row r="76" spans="1:12">
      <c r="A76" t="s">
        <v>7830</v>
      </c>
      <c r="B76" t="s">
        <v>7831</v>
      </c>
      <c r="C76" t="s">
        <v>7832</v>
      </c>
      <c r="D76" t="s">
        <v>7833</v>
      </c>
      <c r="E76" t="s">
        <v>7834</v>
      </c>
      <c r="F76">
        <v>74815362</v>
      </c>
      <c r="G76">
        <v>120861</v>
      </c>
      <c r="H76">
        <v>351904</v>
      </c>
      <c r="I76" t="s">
        <v>7835</v>
      </c>
      <c r="J76">
        <v>2013</v>
      </c>
      <c r="K76" t="s">
        <v>7839</v>
      </c>
      <c r="L76" t="s">
        <v>7837</v>
      </c>
    </row>
    <row r="77" spans="1:12">
      <c r="A77" t="s">
        <v>7830</v>
      </c>
      <c r="B77" t="s">
        <v>7831</v>
      </c>
      <c r="C77" t="s">
        <v>7832</v>
      </c>
      <c r="D77" t="s">
        <v>7833</v>
      </c>
      <c r="E77" t="s">
        <v>7834</v>
      </c>
      <c r="F77">
        <v>91828239</v>
      </c>
      <c r="G77">
        <v>112500</v>
      </c>
      <c r="H77">
        <v>364865</v>
      </c>
      <c r="I77" t="s">
        <v>7835</v>
      </c>
      <c r="J77">
        <v>2013</v>
      </c>
      <c r="K77" t="s">
        <v>7840</v>
      </c>
      <c r="L77" t="s">
        <v>7837</v>
      </c>
    </row>
    <row r="78" spans="1:12">
      <c r="A78" t="s">
        <v>7830</v>
      </c>
      <c r="B78" t="s">
        <v>7831</v>
      </c>
      <c r="C78" t="s">
        <v>7832</v>
      </c>
      <c r="D78" t="s">
        <v>7833</v>
      </c>
      <c r="E78" t="s">
        <v>7834</v>
      </c>
      <c r="F78">
        <v>121400365</v>
      </c>
      <c r="G78">
        <v>121099</v>
      </c>
      <c r="H78">
        <v>420129</v>
      </c>
      <c r="I78" t="s">
        <v>7835</v>
      </c>
      <c r="J78">
        <v>2013</v>
      </c>
      <c r="K78" t="s">
        <v>7841</v>
      </c>
      <c r="L78" t="s">
        <v>7837</v>
      </c>
    </row>
    <row r="79" spans="1:12">
      <c r="A79" t="s">
        <v>7830</v>
      </c>
      <c r="B79" t="s">
        <v>7831</v>
      </c>
      <c r="C79" t="s">
        <v>7832</v>
      </c>
      <c r="D79" t="s">
        <v>7833</v>
      </c>
      <c r="E79" t="s">
        <v>7834</v>
      </c>
      <c r="F79">
        <v>92262493</v>
      </c>
      <c r="G79">
        <v>105380</v>
      </c>
      <c r="H79">
        <v>331355</v>
      </c>
      <c r="I79" t="s">
        <v>7835</v>
      </c>
      <c r="J79">
        <v>2013</v>
      </c>
      <c r="K79" t="s">
        <v>7842</v>
      </c>
      <c r="L79" t="s">
        <v>7837</v>
      </c>
    </row>
    <row r="80" spans="1:12">
      <c r="A80" t="s">
        <v>7830</v>
      </c>
      <c r="B80" t="s">
        <v>7831</v>
      </c>
      <c r="C80" t="s">
        <v>7832</v>
      </c>
      <c r="D80" t="s">
        <v>7833</v>
      </c>
      <c r="E80" t="s">
        <v>7834</v>
      </c>
      <c r="F80">
        <v>126299543</v>
      </c>
      <c r="G80">
        <v>147401</v>
      </c>
      <c r="H80">
        <v>463631</v>
      </c>
      <c r="I80" t="s">
        <v>7835</v>
      </c>
      <c r="J80">
        <v>2013</v>
      </c>
      <c r="K80" t="s">
        <v>7843</v>
      </c>
      <c r="L80" t="s">
        <v>7837</v>
      </c>
    </row>
    <row r="81" spans="1:12">
      <c r="A81" t="s">
        <v>7830</v>
      </c>
      <c r="B81" t="s">
        <v>7831</v>
      </c>
      <c r="C81" t="s">
        <v>7832</v>
      </c>
      <c r="D81" t="s">
        <v>7833</v>
      </c>
      <c r="E81" t="s">
        <v>7834</v>
      </c>
      <c r="F81">
        <v>92069803</v>
      </c>
      <c r="G81">
        <v>109189</v>
      </c>
      <c r="H81">
        <v>358412</v>
      </c>
      <c r="I81" t="s">
        <v>7835</v>
      </c>
      <c r="J81">
        <v>2013</v>
      </c>
      <c r="K81" t="s">
        <v>7844</v>
      </c>
      <c r="L81" t="s">
        <v>7837</v>
      </c>
    </row>
    <row r="82" spans="1:12">
      <c r="A82" t="s">
        <v>7830</v>
      </c>
      <c r="B82" t="s">
        <v>7831</v>
      </c>
      <c r="C82" t="s">
        <v>7832</v>
      </c>
      <c r="D82" t="s">
        <v>7833</v>
      </c>
      <c r="E82" t="s">
        <v>7834</v>
      </c>
      <c r="F82">
        <v>72376775</v>
      </c>
      <c r="G82">
        <v>126368</v>
      </c>
      <c r="H82">
        <v>375851</v>
      </c>
      <c r="I82" t="s">
        <v>7835</v>
      </c>
      <c r="J82">
        <v>2013</v>
      </c>
      <c r="K82" t="s">
        <v>7845</v>
      </c>
      <c r="L82" t="s">
        <v>7837</v>
      </c>
    </row>
    <row r="83" spans="1:12">
      <c r="A83" t="s">
        <v>7830</v>
      </c>
      <c r="B83" t="s">
        <v>7831</v>
      </c>
      <c r="C83" t="s">
        <v>7832</v>
      </c>
      <c r="D83" t="s">
        <v>7833</v>
      </c>
      <c r="E83" t="s">
        <v>7834</v>
      </c>
      <c r="F83">
        <v>99733253</v>
      </c>
      <c r="G83">
        <v>155801</v>
      </c>
      <c r="H83">
        <v>426691</v>
      </c>
      <c r="I83" t="s">
        <v>7835</v>
      </c>
      <c r="J83">
        <v>2013</v>
      </c>
      <c r="K83" t="s">
        <v>7846</v>
      </c>
      <c r="L83" t="s">
        <v>7837</v>
      </c>
    </row>
    <row r="84" spans="1:12">
      <c r="A84" t="s">
        <v>7830</v>
      </c>
      <c r="B84" t="s">
        <v>7831</v>
      </c>
      <c r="C84" t="s">
        <v>7832</v>
      </c>
      <c r="D84" t="s">
        <v>7833</v>
      </c>
      <c r="E84" t="s">
        <v>7834</v>
      </c>
      <c r="F84">
        <v>111296432</v>
      </c>
      <c r="G84">
        <v>165734</v>
      </c>
      <c r="H84">
        <v>506907</v>
      </c>
      <c r="I84" t="s">
        <v>7835</v>
      </c>
      <c r="J84">
        <v>2013</v>
      </c>
      <c r="K84" t="s">
        <v>7847</v>
      </c>
      <c r="L84" t="s">
        <v>7837</v>
      </c>
    </row>
    <row r="85" spans="1:12">
      <c r="A85" t="s">
        <v>7830</v>
      </c>
      <c r="B85" t="s">
        <v>7831</v>
      </c>
      <c r="C85" t="s">
        <v>7832</v>
      </c>
      <c r="D85" t="s">
        <v>7833</v>
      </c>
      <c r="E85" t="s">
        <v>7834</v>
      </c>
      <c r="F85">
        <v>116652229</v>
      </c>
      <c r="G85">
        <v>205732</v>
      </c>
      <c r="H85">
        <v>555117</v>
      </c>
      <c r="I85" t="s">
        <v>7835</v>
      </c>
      <c r="J85">
        <v>2013</v>
      </c>
      <c r="K85" t="s">
        <v>7848</v>
      </c>
      <c r="L85" t="s">
        <v>7837</v>
      </c>
    </row>
    <row r="86" spans="1:12">
      <c r="A86" t="s">
        <v>7830</v>
      </c>
      <c r="B86" t="s">
        <v>7831</v>
      </c>
      <c r="C86" t="s">
        <v>7832</v>
      </c>
      <c r="D86" t="s">
        <v>7833</v>
      </c>
      <c r="E86" t="s">
        <v>7834</v>
      </c>
      <c r="F86">
        <v>146109197</v>
      </c>
      <c r="G86">
        <v>234270</v>
      </c>
      <c r="H86">
        <v>679512</v>
      </c>
      <c r="I86" t="s">
        <v>7835</v>
      </c>
      <c r="J86">
        <v>2014</v>
      </c>
      <c r="K86" t="s">
        <v>7836</v>
      </c>
      <c r="L86" t="s">
        <v>7837</v>
      </c>
    </row>
    <row r="87" spans="1:12">
      <c r="A87" t="s">
        <v>7830</v>
      </c>
      <c r="B87" t="s">
        <v>7831</v>
      </c>
      <c r="C87" t="s">
        <v>7832</v>
      </c>
      <c r="D87" t="s">
        <v>7833</v>
      </c>
      <c r="E87" t="s">
        <v>7834</v>
      </c>
      <c r="F87">
        <v>103868909</v>
      </c>
      <c r="G87">
        <v>195296</v>
      </c>
      <c r="H87">
        <v>573894</v>
      </c>
      <c r="I87" t="s">
        <v>7835</v>
      </c>
      <c r="J87">
        <v>2014</v>
      </c>
      <c r="K87" t="s">
        <v>7838</v>
      </c>
      <c r="L87" t="s">
        <v>7837</v>
      </c>
    </row>
    <row r="88" spans="1:12">
      <c r="A88" t="s">
        <v>7830</v>
      </c>
      <c r="B88" t="s">
        <v>7831</v>
      </c>
      <c r="C88" t="s">
        <v>7832</v>
      </c>
      <c r="D88" t="s">
        <v>7833</v>
      </c>
      <c r="E88" t="s">
        <v>7834</v>
      </c>
      <c r="F88">
        <v>102729638</v>
      </c>
      <c r="G88">
        <v>170686</v>
      </c>
      <c r="H88">
        <v>498398</v>
      </c>
      <c r="I88" t="s">
        <v>7835</v>
      </c>
      <c r="J88">
        <v>2014</v>
      </c>
      <c r="K88" t="s">
        <v>7839</v>
      </c>
      <c r="L88" t="s">
        <v>7837</v>
      </c>
    </row>
    <row r="89" spans="1:12">
      <c r="A89" t="s">
        <v>7830</v>
      </c>
      <c r="B89" t="s">
        <v>7831</v>
      </c>
      <c r="C89" t="s">
        <v>7832</v>
      </c>
      <c r="D89" t="s">
        <v>7833</v>
      </c>
      <c r="E89" t="s">
        <v>7834</v>
      </c>
      <c r="F89">
        <v>106800997</v>
      </c>
      <c r="G89">
        <v>165661</v>
      </c>
      <c r="H89">
        <v>495369</v>
      </c>
      <c r="I89" t="s">
        <v>7835</v>
      </c>
      <c r="J89">
        <v>2014</v>
      </c>
      <c r="K89" t="s">
        <v>7840</v>
      </c>
      <c r="L89" t="s">
        <v>7837</v>
      </c>
    </row>
    <row r="90" spans="1:12">
      <c r="A90" t="s">
        <v>7830</v>
      </c>
      <c r="B90" t="s">
        <v>7831</v>
      </c>
      <c r="C90" t="s">
        <v>7832</v>
      </c>
      <c r="D90" t="s">
        <v>7833</v>
      </c>
      <c r="E90" t="s">
        <v>7834</v>
      </c>
      <c r="F90">
        <v>106730295</v>
      </c>
      <c r="G90">
        <v>167343</v>
      </c>
      <c r="H90">
        <v>514089</v>
      </c>
      <c r="I90" t="s">
        <v>7835</v>
      </c>
      <c r="J90">
        <v>2014</v>
      </c>
      <c r="K90" t="s">
        <v>7841</v>
      </c>
      <c r="L90" t="s">
        <v>7837</v>
      </c>
    </row>
    <row r="91" spans="1:12">
      <c r="A91" t="s">
        <v>7830</v>
      </c>
      <c r="B91" t="s">
        <v>7831</v>
      </c>
      <c r="C91" t="s">
        <v>7832</v>
      </c>
      <c r="D91" t="s">
        <v>7833</v>
      </c>
      <c r="E91" t="s">
        <v>7834</v>
      </c>
      <c r="F91">
        <v>93434818</v>
      </c>
      <c r="G91">
        <v>155428</v>
      </c>
      <c r="H91">
        <v>518051</v>
      </c>
      <c r="I91" t="s">
        <v>7835</v>
      </c>
      <c r="J91">
        <v>2014</v>
      </c>
      <c r="K91" t="s">
        <v>7842</v>
      </c>
      <c r="L91" t="s">
        <v>7837</v>
      </c>
    </row>
    <row r="92" spans="1:12">
      <c r="A92" t="s">
        <v>7830</v>
      </c>
      <c r="B92" t="s">
        <v>7831</v>
      </c>
      <c r="C92" t="s">
        <v>7832</v>
      </c>
      <c r="D92" t="s">
        <v>7833</v>
      </c>
      <c r="E92" t="s">
        <v>7834</v>
      </c>
      <c r="F92">
        <v>79207658</v>
      </c>
      <c r="G92">
        <v>115494</v>
      </c>
      <c r="H92">
        <v>382963</v>
      </c>
      <c r="I92" t="s">
        <v>7835</v>
      </c>
      <c r="J92">
        <v>2014</v>
      </c>
      <c r="K92" t="s">
        <v>7843</v>
      </c>
      <c r="L92" t="s">
        <v>7837</v>
      </c>
    </row>
    <row r="93" spans="1:12">
      <c r="A93" t="s">
        <v>7830</v>
      </c>
      <c r="B93" t="s">
        <v>7831</v>
      </c>
      <c r="C93" t="s">
        <v>7832</v>
      </c>
      <c r="D93" t="s">
        <v>7833</v>
      </c>
      <c r="E93" t="s">
        <v>7834</v>
      </c>
      <c r="F93">
        <v>85178735</v>
      </c>
      <c r="G93">
        <v>118595</v>
      </c>
      <c r="H93">
        <v>416548</v>
      </c>
      <c r="I93" t="s">
        <v>7835</v>
      </c>
      <c r="J93">
        <v>2014</v>
      </c>
      <c r="K93" t="s">
        <v>7844</v>
      </c>
      <c r="L93" t="s">
        <v>7837</v>
      </c>
    </row>
    <row r="94" spans="1:12">
      <c r="A94" t="s">
        <v>7830</v>
      </c>
      <c r="B94" t="s">
        <v>7831</v>
      </c>
      <c r="C94" t="s">
        <v>7832</v>
      </c>
      <c r="D94" t="s">
        <v>7833</v>
      </c>
      <c r="E94" t="s">
        <v>7834</v>
      </c>
      <c r="F94">
        <v>87707800</v>
      </c>
      <c r="G94">
        <v>140598</v>
      </c>
      <c r="H94">
        <v>503936</v>
      </c>
      <c r="I94" t="s">
        <v>7835</v>
      </c>
      <c r="J94">
        <v>2014</v>
      </c>
      <c r="K94" t="s">
        <v>7845</v>
      </c>
      <c r="L94" t="s">
        <v>7837</v>
      </c>
    </row>
    <row r="95" spans="1:12">
      <c r="A95" t="s">
        <v>7830</v>
      </c>
      <c r="B95" t="s">
        <v>7831</v>
      </c>
      <c r="C95" t="s">
        <v>7832</v>
      </c>
      <c r="D95" t="s">
        <v>7833</v>
      </c>
      <c r="E95" t="s">
        <v>7834</v>
      </c>
      <c r="F95">
        <v>110800927</v>
      </c>
      <c r="G95">
        <v>153518</v>
      </c>
      <c r="H95">
        <v>516582</v>
      </c>
      <c r="I95" t="s">
        <v>7835</v>
      </c>
      <c r="J95">
        <v>2014</v>
      </c>
      <c r="K95" t="s">
        <v>7846</v>
      </c>
      <c r="L95" t="s">
        <v>7837</v>
      </c>
    </row>
    <row r="96" spans="1:12">
      <c r="A96" t="s">
        <v>7830</v>
      </c>
      <c r="B96" t="s">
        <v>7831</v>
      </c>
      <c r="C96" t="s">
        <v>7832</v>
      </c>
      <c r="D96" t="s">
        <v>7833</v>
      </c>
      <c r="E96" t="s">
        <v>7834</v>
      </c>
      <c r="F96">
        <v>104172521</v>
      </c>
      <c r="G96">
        <v>179443</v>
      </c>
      <c r="H96">
        <v>605741</v>
      </c>
      <c r="I96" t="s">
        <v>7835</v>
      </c>
      <c r="J96">
        <v>2014</v>
      </c>
      <c r="K96" t="s">
        <v>7847</v>
      </c>
      <c r="L96" t="s">
        <v>7837</v>
      </c>
    </row>
    <row r="97" spans="1:12">
      <c r="A97" t="s">
        <v>7830</v>
      </c>
      <c r="B97" t="s">
        <v>7831</v>
      </c>
      <c r="C97" t="s">
        <v>7832</v>
      </c>
      <c r="D97" t="s">
        <v>7833</v>
      </c>
      <c r="E97" t="s">
        <v>7834</v>
      </c>
      <c r="F97">
        <v>107285226</v>
      </c>
      <c r="G97">
        <v>186808</v>
      </c>
      <c r="H97">
        <v>528275</v>
      </c>
      <c r="I97" t="s">
        <v>7835</v>
      </c>
      <c r="J97">
        <v>2014</v>
      </c>
      <c r="K97" t="s">
        <v>7848</v>
      </c>
      <c r="L97" t="s">
        <v>7837</v>
      </c>
    </row>
    <row r="98" spans="1:12">
      <c r="A98" t="s">
        <v>7830</v>
      </c>
      <c r="B98" t="s">
        <v>7831</v>
      </c>
      <c r="C98" t="s">
        <v>7832</v>
      </c>
      <c r="D98" t="s">
        <v>7833</v>
      </c>
      <c r="E98" t="s">
        <v>7834</v>
      </c>
      <c r="F98">
        <v>85315369</v>
      </c>
      <c r="G98">
        <v>122969</v>
      </c>
      <c r="H98">
        <v>374654</v>
      </c>
      <c r="I98" t="s">
        <v>7835</v>
      </c>
      <c r="J98">
        <v>2015</v>
      </c>
      <c r="K98" t="s">
        <v>7836</v>
      </c>
      <c r="L98" t="s">
        <v>7837</v>
      </c>
    </row>
    <row r="99" spans="1:12">
      <c r="A99" t="s">
        <v>7830</v>
      </c>
      <c r="B99" t="s">
        <v>7831</v>
      </c>
      <c r="C99" t="s">
        <v>7832</v>
      </c>
      <c r="D99" t="s">
        <v>7833</v>
      </c>
      <c r="E99" t="s">
        <v>7834</v>
      </c>
      <c r="F99">
        <v>86057100</v>
      </c>
      <c r="G99">
        <v>400744</v>
      </c>
      <c r="H99">
        <v>642907</v>
      </c>
      <c r="I99" t="s">
        <v>7835</v>
      </c>
      <c r="J99">
        <v>2015</v>
      </c>
      <c r="K99" t="s">
        <v>7838</v>
      </c>
      <c r="L99" t="s">
        <v>7837</v>
      </c>
    </row>
    <row r="100" spans="1:12">
      <c r="A100" t="s">
        <v>7830</v>
      </c>
      <c r="B100" t="s">
        <v>7831</v>
      </c>
      <c r="C100" t="s">
        <v>7832</v>
      </c>
      <c r="D100" t="s">
        <v>7833</v>
      </c>
      <c r="E100" t="s">
        <v>7834</v>
      </c>
      <c r="F100">
        <v>68769995</v>
      </c>
      <c r="G100">
        <v>571158</v>
      </c>
      <c r="H100">
        <v>588660</v>
      </c>
      <c r="I100" t="s">
        <v>7835</v>
      </c>
      <c r="J100">
        <v>2015</v>
      </c>
      <c r="K100" t="s">
        <v>7839</v>
      </c>
      <c r="L100" t="s">
        <v>7837</v>
      </c>
    </row>
    <row r="101" spans="1:12">
      <c r="A101" t="s">
        <v>7830</v>
      </c>
      <c r="B101" t="s">
        <v>7831</v>
      </c>
      <c r="C101" t="s">
        <v>7832</v>
      </c>
      <c r="D101" t="s">
        <v>7833</v>
      </c>
      <c r="E101" t="s">
        <v>7834</v>
      </c>
      <c r="F101">
        <v>55927683</v>
      </c>
      <c r="G101">
        <v>80634</v>
      </c>
      <c r="H101">
        <v>329632</v>
      </c>
      <c r="I101" t="s">
        <v>7835</v>
      </c>
      <c r="J101">
        <v>2015</v>
      </c>
      <c r="K101" t="s">
        <v>7840</v>
      </c>
      <c r="L101" t="s">
        <v>7837</v>
      </c>
    </row>
    <row r="102" spans="1:12">
      <c r="A102" t="s">
        <v>7830</v>
      </c>
      <c r="B102" t="s">
        <v>7831</v>
      </c>
      <c r="C102" t="s">
        <v>7832</v>
      </c>
      <c r="D102" t="s">
        <v>7833</v>
      </c>
      <c r="E102" t="s">
        <v>7834</v>
      </c>
      <c r="F102">
        <v>57228146</v>
      </c>
      <c r="G102">
        <v>110737</v>
      </c>
      <c r="H102">
        <v>387776</v>
      </c>
      <c r="I102" t="s">
        <v>7835</v>
      </c>
      <c r="J102">
        <v>2015</v>
      </c>
      <c r="K102" t="s">
        <v>7841</v>
      </c>
      <c r="L102" t="s">
        <v>7837</v>
      </c>
    </row>
    <row r="103" spans="1:12">
      <c r="A103" t="s">
        <v>7830</v>
      </c>
      <c r="B103" t="s">
        <v>7831</v>
      </c>
      <c r="C103" t="s">
        <v>7832</v>
      </c>
      <c r="D103" t="s">
        <v>7833</v>
      </c>
      <c r="E103" t="s">
        <v>7834</v>
      </c>
      <c r="F103">
        <v>49703781</v>
      </c>
      <c r="G103">
        <v>96181</v>
      </c>
      <c r="H103">
        <v>356046</v>
      </c>
      <c r="I103" t="s">
        <v>7835</v>
      </c>
      <c r="J103">
        <v>2015</v>
      </c>
      <c r="K103" t="s">
        <v>7842</v>
      </c>
      <c r="L103" t="s">
        <v>7837</v>
      </c>
    </row>
    <row r="104" spans="1:12">
      <c r="A104" t="s">
        <v>7830</v>
      </c>
      <c r="B104" t="s">
        <v>7831</v>
      </c>
      <c r="C104" t="s">
        <v>7832</v>
      </c>
      <c r="D104" t="s">
        <v>7833</v>
      </c>
      <c r="E104" t="s">
        <v>7834</v>
      </c>
      <c r="F104">
        <v>52150011</v>
      </c>
      <c r="G104">
        <v>263537</v>
      </c>
      <c r="H104">
        <v>407732</v>
      </c>
      <c r="I104" t="s">
        <v>7835</v>
      </c>
      <c r="J104">
        <v>2015</v>
      </c>
      <c r="K104" t="s">
        <v>7843</v>
      </c>
      <c r="L104" t="s">
        <v>7837</v>
      </c>
    </row>
    <row r="105" spans="1:12">
      <c r="A105" t="s">
        <v>7830</v>
      </c>
      <c r="B105" t="s">
        <v>7831</v>
      </c>
      <c r="C105" t="s">
        <v>7832</v>
      </c>
      <c r="D105" t="s">
        <v>7833</v>
      </c>
      <c r="E105" t="s">
        <v>7834</v>
      </c>
      <c r="F105">
        <v>40641447</v>
      </c>
      <c r="G105">
        <v>94056</v>
      </c>
      <c r="H105">
        <v>343303</v>
      </c>
      <c r="I105" t="s">
        <v>7835</v>
      </c>
      <c r="J105">
        <v>2015</v>
      </c>
      <c r="K105" t="s">
        <v>7844</v>
      </c>
      <c r="L105" t="s">
        <v>7837</v>
      </c>
    </row>
    <row r="106" spans="1:12">
      <c r="A106" t="s">
        <v>7830</v>
      </c>
      <c r="B106" t="s">
        <v>7831</v>
      </c>
      <c r="C106" t="s">
        <v>7832</v>
      </c>
      <c r="D106" t="s">
        <v>7833</v>
      </c>
      <c r="E106" t="s">
        <v>7834</v>
      </c>
      <c r="F106">
        <v>47123071</v>
      </c>
      <c r="G106">
        <v>111042</v>
      </c>
      <c r="H106">
        <v>361764</v>
      </c>
      <c r="I106" t="s">
        <v>7835</v>
      </c>
      <c r="J106">
        <v>2015</v>
      </c>
      <c r="K106" t="s">
        <v>7845</v>
      </c>
      <c r="L106" t="s">
        <v>7837</v>
      </c>
    </row>
    <row r="107" spans="1:12">
      <c r="A107" t="s">
        <v>7830</v>
      </c>
      <c r="B107" t="s">
        <v>7831</v>
      </c>
      <c r="C107" t="s">
        <v>7832</v>
      </c>
      <c r="D107" t="s">
        <v>7833</v>
      </c>
      <c r="E107" t="s">
        <v>7834</v>
      </c>
      <c r="F107">
        <v>53691872</v>
      </c>
      <c r="G107">
        <v>112647</v>
      </c>
      <c r="H107">
        <v>335103</v>
      </c>
      <c r="I107" t="s">
        <v>7835</v>
      </c>
      <c r="J107">
        <v>2015</v>
      </c>
      <c r="K107" t="s">
        <v>7846</v>
      </c>
      <c r="L107" t="s">
        <v>7837</v>
      </c>
    </row>
    <row r="108" spans="1:12">
      <c r="A108" t="s">
        <v>7830</v>
      </c>
      <c r="B108" t="s">
        <v>7831</v>
      </c>
      <c r="C108" t="s">
        <v>7832</v>
      </c>
      <c r="D108" t="s">
        <v>7833</v>
      </c>
      <c r="E108" t="s">
        <v>7834</v>
      </c>
      <c r="F108">
        <v>44264129</v>
      </c>
      <c r="G108">
        <v>82623</v>
      </c>
      <c r="H108">
        <v>266196</v>
      </c>
      <c r="I108" t="s">
        <v>7835</v>
      </c>
      <c r="J108">
        <v>2015</v>
      </c>
      <c r="K108" t="s">
        <v>7847</v>
      </c>
      <c r="L108" t="s">
        <v>7837</v>
      </c>
    </row>
    <row r="109" spans="1:12">
      <c r="A109" t="s">
        <v>7830</v>
      </c>
      <c r="B109" t="s">
        <v>7831</v>
      </c>
      <c r="C109" t="s">
        <v>7832</v>
      </c>
      <c r="D109" t="s">
        <v>7833</v>
      </c>
      <c r="E109" t="s">
        <v>7834</v>
      </c>
      <c r="F109">
        <v>51481329</v>
      </c>
      <c r="G109">
        <v>89337</v>
      </c>
      <c r="H109">
        <v>291190</v>
      </c>
      <c r="I109" t="s">
        <v>7835</v>
      </c>
      <c r="J109">
        <v>2015</v>
      </c>
      <c r="K109" t="s">
        <v>7848</v>
      </c>
      <c r="L109" t="s">
        <v>7837</v>
      </c>
    </row>
    <row r="110" spans="1:12">
      <c r="A110" t="s">
        <v>7830</v>
      </c>
      <c r="B110" t="s">
        <v>7831</v>
      </c>
      <c r="C110" t="s">
        <v>7832</v>
      </c>
      <c r="D110" t="s">
        <v>7833</v>
      </c>
      <c r="E110" t="s">
        <v>7834</v>
      </c>
      <c r="F110">
        <v>45407107</v>
      </c>
      <c r="G110">
        <v>82789</v>
      </c>
      <c r="H110">
        <v>252269</v>
      </c>
      <c r="I110" t="s">
        <v>7835</v>
      </c>
      <c r="J110">
        <v>2016</v>
      </c>
      <c r="K110" t="s">
        <v>7836</v>
      </c>
      <c r="L110" t="s">
        <v>7837</v>
      </c>
    </row>
    <row r="111" spans="1:12">
      <c r="A111" t="s">
        <v>7830</v>
      </c>
      <c r="B111" t="s">
        <v>7831</v>
      </c>
      <c r="C111" t="s">
        <v>7832</v>
      </c>
      <c r="D111" t="s">
        <v>7833</v>
      </c>
      <c r="E111" t="s">
        <v>7834</v>
      </c>
      <c r="F111">
        <v>50544135</v>
      </c>
      <c r="G111">
        <v>109980</v>
      </c>
      <c r="H111">
        <v>449035</v>
      </c>
      <c r="I111" t="s">
        <v>7835</v>
      </c>
      <c r="J111">
        <v>2016</v>
      </c>
      <c r="K111" t="s">
        <v>7838</v>
      </c>
      <c r="L111" t="s">
        <v>7837</v>
      </c>
    </row>
    <row r="112" spans="1:12">
      <c r="A112" t="s">
        <v>7830</v>
      </c>
      <c r="B112" t="s">
        <v>7831</v>
      </c>
      <c r="C112" t="s">
        <v>7832</v>
      </c>
      <c r="D112" t="s">
        <v>7833</v>
      </c>
      <c r="E112" t="s">
        <v>7834</v>
      </c>
      <c r="F112">
        <v>46169793</v>
      </c>
      <c r="G112">
        <v>137685</v>
      </c>
      <c r="H112">
        <v>237346</v>
      </c>
      <c r="I112" t="s">
        <v>7835</v>
      </c>
      <c r="J112">
        <v>2016</v>
      </c>
      <c r="K112" t="s">
        <v>7839</v>
      </c>
      <c r="L112" t="s">
        <v>7837</v>
      </c>
    </row>
    <row r="113" spans="1:12">
      <c r="A113" t="s">
        <v>7830</v>
      </c>
      <c r="B113" t="s">
        <v>7831</v>
      </c>
      <c r="C113" t="s">
        <v>7832</v>
      </c>
      <c r="D113" t="s">
        <v>7833</v>
      </c>
      <c r="E113" t="s">
        <v>7834</v>
      </c>
      <c r="F113">
        <v>35439236</v>
      </c>
      <c r="G113">
        <v>117838</v>
      </c>
      <c r="H113">
        <v>224998</v>
      </c>
      <c r="I113" t="s">
        <v>7835</v>
      </c>
      <c r="J113">
        <v>2016</v>
      </c>
      <c r="K113" t="s">
        <v>7840</v>
      </c>
      <c r="L113" t="s">
        <v>7837</v>
      </c>
    </row>
    <row r="114" spans="1:12">
      <c r="A114" t="s">
        <v>7830</v>
      </c>
      <c r="B114" t="s">
        <v>7831</v>
      </c>
      <c r="C114" t="s">
        <v>7832</v>
      </c>
      <c r="D114" t="s">
        <v>7833</v>
      </c>
      <c r="E114" t="s">
        <v>7834</v>
      </c>
      <c r="F114">
        <v>46049284</v>
      </c>
      <c r="G114">
        <v>82369</v>
      </c>
      <c r="H114">
        <v>283919</v>
      </c>
      <c r="I114" t="s">
        <v>7835</v>
      </c>
      <c r="J114">
        <v>2016</v>
      </c>
      <c r="K114" t="s">
        <v>7841</v>
      </c>
      <c r="L114" t="s">
        <v>7837</v>
      </c>
    </row>
    <row r="115" spans="1:12">
      <c r="A115" t="s">
        <v>7830</v>
      </c>
      <c r="B115" t="s">
        <v>7831</v>
      </c>
      <c r="C115" t="s">
        <v>7832</v>
      </c>
      <c r="D115" t="s">
        <v>7833</v>
      </c>
      <c r="E115" t="s">
        <v>7834</v>
      </c>
      <c r="F115">
        <v>52118611</v>
      </c>
      <c r="G115">
        <v>91333</v>
      </c>
      <c r="H115">
        <v>292542</v>
      </c>
      <c r="I115" t="s">
        <v>7835</v>
      </c>
      <c r="J115">
        <v>2016</v>
      </c>
      <c r="K115" t="s">
        <v>7842</v>
      </c>
      <c r="L115" t="s">
        <v>7837</v>
      </c>
    </row>
    <row r="116" spans="1:12">
      <c r="A116" t="s">
        <v>7830</v>
      </c>
      <c r="B116" t="s">
        <v>7831</v>
      </c>
      <c r="C116" t="s">
        <v>7832</v>
      </c>
      <c r="D116" t="s">
        <v>7833</v>
      </c>
      <c r="E116" t="s">
        <v>7834</v>
      </c>
      <c r="F116">
        <v>44920610</v>
      </c>
      <c r="G116">
        <v>136965</v>
      </c>
      <c r="H116">
        <v>259782</v>
      </c>
      <c r="I116" t="s">
        <v>7835</v>
      </c>
      <c r="J116">
        <v>2016</v>
      </c>
      <c r="K116" t="s">
        <v>7843</v>
      </c>
      <c r="L116" t="s">
        <v>7837</v>
      </c>
    </row>
    <row r="117" spans="1:12">
      <c r="A117" t="s">
        <v>7830</v>
      </c>
      <c r="B117" t="s">
        <v>7831</v>
      </c>
      <c r="C117" t="s">
        <v>7832</v>
      </c>
      <c r="D117" t="s">
        <v>7833</v>
      </c>
      <c r="E117" t="s">
        <v>7834</v>
      </c>
      <c r="F117">
        <v>48693707</v>
      </c>
      <c r="G117">
        <v>82142</v>
      </c>
      <c r="H117">
        <v>266261</v>
      </c>
      <c r="I117" t="s">
        <v>7835</v>
      </c>
      <c r="J117">
        <v>2016</v>
      </c>
      <c r="K117" t="s">
        <v>7844</v>
      </c>
      <c r="L117" t="s">
        <v>7837</v>
      </c>
    </row>
    <row r="118" spans="1:12">
      <c r="A118" t="s">
        <v>7830</v>
      </c>
      <c r="B118" t="s">
        <v>7831</v>
      </c>
      <c r="C118" t="s">
        <v>7832</v>
      </c>
      <c r="D118" t="s">
        <v>7833</v>
      </c>
      <c r="E118" t="s">
        <v>7834</v>
      </c>
      <c r="F118">
        <v>62419710</v>
      </c>
      <c r="G118">
        <v>102256</v>
      </c>
      <c r="H118">
        <v>328922</v>
      </c>
      <c r="I118" t="s">
        <v>7835</v>
      </c>
      <c r="J118">
        <v>2016</v>
      </c>
      <c r="K118" t="s">
        <v>7845</v>
      </c>
      <c r="L118" t="s">
        <v>7837</v>
      </c>
    </row>
    <row r="119" spans="1:12">
      <c r="A119" t="s">
        <v>7830</v>
      </c>
      <c r="B119" t="s">
        <v>7831</v>
      </c>
      <c r="C119" t="s">
        <v>7832</v>
      </c>
      <c r="D119" t="s">
        <v>7833</v>
      </c>
      <c r="E119" t="s">
        <v>7834</v>
      </c>
      <c r="F119">
        <v>71636737</v>
      </c>
      <c r="G119">
        <v>109170</v>
      </c>
      <c r="H119">
        <v>429262</v>
      </c>
      <c r="I119" t="s">
        <v>7835</v>
      </c>
      <c r="J119">
        <v>2016</v>
      </c>
      <c r="K119" t="s">
        <v>7846</v>
      </c>
      <c r="L119" t="s">
        <v>7837</v>
      </c>
    </row>
    <row r="120" spans="1:12">
      <c r="A120" t="s">
        <v>7830</v>
      </c>
      <c r="B120" t="s">
        <v>7831</v>
      </c>
      <c r="C120" t="s">
        <v>7832</v>
      </c>
      <c r="D120" t="s">
        <v>7833</v>
      </c>
      <c r="E120" t="s">
        <v>7834</v>
      </c>
      <c r="F120">
        <v>78287740</v>
      </c>
      <c r="G120">
        <v>283078</v>
      </c>
      <c r="H120">
        <v>378605</v>
      </c>
      <c r="I120" t="s">
        <v>7835</v>
      </c>
      <c r="J120">
        <v>2016</v>
      </c>
      <c r="K120" t="s">
        <v>7847</v>
      </c>
      <c r="L120" t="s">
        <v>7837</v>
      </c>
    </row>
    <row r="121" spans="1:12">
      <c r="A121" t="s">
        <v>7830</v>
      </c>
      <c r="B121" t="s">
        <v>7831</v>
      </c>
      <c r="C121" t="s">
        <v>7832</v>
      </c>
      <c r="D121" t="s">
        <v>7833</v>
      </c>
      <c r="E121" t="s">
        <v>7834</v>
      </c>
      <c r="F121">
        <v>55281948</v>
      </c>
      <c r="G121">
        <v>106206</v>
      </c>
      <c r="H121">
        <v>370213</v>
      </c>
      <c r="I121" t="s">
        <v>7835</v>
      </c>
      <c r="J121">
        <v>2016</v>
      </c>
      <c r="K121" t="s">
        <v>7848</v>
      </c>
      <c r="L121" t="s">
        <v>7837</v>
      </c>
    </row>
    <row r="122" spans="1:12">
      <c r="A122" t="s">
        <v>7830</v>
      </c>
      <c r="B122" t="s">
        <v>7831</v>
      </c>
      <c r="C122" t="s">
        <v>7832</v>
      </c>
      <c r="D122" t="s">
        <v>7833</v>
      </c>
      <c r="E122" t="s">
        <v>7834</v>
      </c>
      <c r="F122">
        <v>48496150</v>
      </c>
      <c r="G122">
        <v>84836</v>
      </c>
      <c r="H122">
        <v>255721</v>
      </c>
      <c r="I122" t="s">
        <v>7835</v>
      </c>
      <c r="J122">
        <v>2017</v>
      </c>
      <c r="K122" t="s">
        <v>7836</v>
      </c>
      <c r="L122" t="s">
        <v>7837</v>
      </c>
    </row>
    <row r="123" spans="1:12">
      <c r="A123" t="s">
        <v>7830</v>
      </c>
      <c r="B123" t="s">
        <v>7831</v>
      </c>
      <c r="C123" t="s">
        <v>7832</v>
      </c>
      <c r="D123" t="s">
        <v>7833</v>
      </c>
      <c r="E123" t="s">
        <v>7834</v>
      </c>
      <c r="F123">
        <v>34917648</v>
      </c>
      <c r="G123">
        <v>64065</v>
      </c>
      <c r="H123">
        <v>211609</v>
      </c>
      <c r="I123" t="s">
        <v>7835</v>
      </c>
      <c r="J123">
        <v>2017</v>
      </c>
      <c r="K123" t="s">
        <v>7838</v>
      </c>
      <c r="L123" t="s">
        <v>7837</v>
      </c>
    </row>
    <row r="124" spans="1:12">
      <c r="A124" t="s">
        <v>7830</v>
      </c>
      <c r="B124" t="s">
        <v>7831</v>
      </c>
      <c r="C124" t="s">
        <v>7832</v>
      </c>
      <c r="D124" t="s">
        <v>7833</v>
      </c>
      <c r="E124" t="s">
        <v>7834</v>
      </c>
      <c r="F124">
        <v>44388489</v>
      </c>
      <c r="G124">
        <v>85274</v>
      </c>
      <c r="H124">
        <v>304554</v>
      </c>
      <c r="I124" t="s">
        <v>7835</v>
      </c>
      <c r="J124">
        <v>2017</v>
      </c>
      <c r="K124" t="s">
        <v>7839</v>
      </c>
      <c r="L124" t="s">
        <v>7837</v>
      </c>
    </row>
    <row r="125" spans="1:12">
      <c r="A125" t="s">
        <v>7830</v>
      </c>
      <c r="B125" t="s">
        <v>7831</v>
      </c>
      <c r="C125" t="s">
        <v>7832</v>
      </c>
      <c r="D125" t="s">
        <v>7833</v>
      </c>
      <c r="E125" t="s">
        <v>7834</v>
      </c>
      <c r="F125">
        <v>39451115</v>
      </c>
      <c r="G125">
        <v>68016</v>
      </c>
      <c r="H125">
        <v>223181</v>
      </c>
      <c r="I125" t="s">
        <v>7835</v>
      </c>
      <c r="J125">
        <v>2017</v>
      </c>
      <c r="K125" t="s">
        <v>7840</v>
      </c>
      <c r="L125" t="s">
        <v>7837</v>
      </c>
    </row>
    <row r="126" spans="1:12">
      <c r="A126" t="s">
        <v>7830</v>
      </c>
      <c r="B126" t="s">
        <v>7831</v>
      </c>
      <c r="C126" t="s">
        <v>7832</v>
      </c>
      <c r="D126" t="s">
        <v>7833</v>
      </c>
      <c r="E126" t="s">
        <v>7834</v>
      </c>
      <c r="F126">
        <v>44148473</v>
      </c>
      <c r="G126">
        <v>80819</v>
      </c>
      <c r="H126">
        <v>286674</v>
      </c>
      <c r="I126" t="s">
        <v>7835</v>
      </c>
      <c r="J126">
        <v>2017</v>
      </c>
      <c r="K126" t="s">
        <v>7841</v>
      </c>
      <c r="L126" t="s">
        <v>7837</v>
      </c>
    </row>
    <row r="127" spans="1:12">
      <c r="A127" t="s">
        <v>7830</v>
      </c>
      <c r="B127" t="s">
        <v>7831</v>
      </c>
      <c r="C127" t="s">
        <v>7832</v>
      </c>
      <c r="D127" t="s">
        <v>7833</v>
      </c>
      <c r="E127" t="s">
        <v>7834</v>
      </c>
      <c r="F127">
        <v>54549868</v>
      </c>
      <c r="G127">
        <v>99773</v>
      </c>
      <c r="H127">
        <v>353567</v>
      </c>
      <c r="I127" t="s">
        <v>7835</v>
      </c>
      <c r="J127">
        <v>2017</v>
      </c>
      <c r="K127" t="s">
        <v>7842</v>
      </c>
      <c r="L127" t="s">
        <v>7837</v>
      </c>
    </row>
    <row r="128" spans="1:12">
      <c r="A128" t="s">
        <v>7830</v>
      </c>
      <c r="B128" t="s">
        <v>7831</v>
      </c>
      <c r="C128" t="s">
        <v>7832</v>
      </c>
      <c r="D128" t="s">
        <v>7833</v>
      </c>
      <c r="E128" t="s">
        <v>7834</v>
      </c>
      <c r="F128">
        <v>55380729</v>
      </c>
      <c r="G128">
        <v>92965</v>
      </c>
      <c r="H128">
        <v>354280</v>
      </c>
      <c r="I128" t="s">
        <v>7835</v>
      </c>
      <c r="J128">
        <v>2017</v>
      </c>
      <c r="K128" t="s">
        <v>7843</v>
      </c>
      <c r="L128" t="s">
        <v>7837</v>
      </c>
    </row>
    <row r="129" spans="1:12">
      <c r="A129" t="s">
        <v>7830</v>
      </c>
      <c r="B129" t="s">
        <v>7831</v>
      </c>
      <c r="C129" t="s">
        <v>7832</v>
      </c>
      <c r="D129" t="s">
        <v>7833</v>
      </c>
      <c r="E129" t="s">
        <v>7834</v>
      </c>
      <c r="F129">
        <v>54876018</v>
      </c>
      <c r="G129">
        <v>89578</v>
      </c>
      <c r="H129">
        <v>355520</v>
      </c>
      <c r="I129" t="s">
        <v>7835</v>
      </c>
      <c r="J129">
        <v>2017</v>
      </c>
      <c r="K129" t="s">
        <v>7844</v>
      </c>
      <c r="L129" t="s">
        <v>7837</v>
      </c>
    </row>
    <row r="130" spans="1:12">
      <c r="A130" t="s">
        <v>7830</v>
      </c>
      <c r="B130" t="s">
        <v>7831</v>
      </c>
      <c r="C130" t="s">
        <v>7832</v>
      </c>
      <c r="D130" t="s">
        <v>7833</v>
      </c>
      <c r="E130" t="s">
        <v>7834</v>
      </c>
      <c r="F130">
        <v>67661196</v>
      </c>
      <c r="G130">
        <v>152730</v>
      </c>
      <c r="H130">
        <v>589104</v>
      </c>
      <c r="I130" t="s">
        <v>7835</v>
      </c>
      <c r="J130">
        <v>2017</v>
      </c>
      <c r="K130" t="s">
        <v>7845</v>
      </c>
      <c r="L130" t="s">
        <v>7837</v>
      </c>
    </row>
    <row r="131" spans="1:12">
      <c r="A131" t="s">
        <v>7830</v>
      </c>
      <c r="B131" t="s">
        <v>7831</v>
      </c>
      <c r="C131" t="s">
        <v>7832</v>
      </c>
      <c r="D131" t="s">
        <v>7833</v>
      </c>
      <c r="E131" t="s">
        <v>7834</v>
      </c>
      <c r="F131">
        <v>54782590</v>
      </c>
      <c r="G131">
        <v>124876</v>
      </c>
      <c r="H131">
        <v>468117</v>
      </c>
      <c r="I131" t="s">
        <v>7835</v>
      </c>
      <c r="J131">
        <v>2017</v>
      </c>
      <c r="K131" t="s">
        <v>7846</v>
      </c>
      <c r="L131" t="s">
        <v>7837</v>
      </c>
    </row>
    <row r="132" spans="1:12">
      <c r="A132" t="s">
        <v>7830</v>
      </c>
      <c r="B132" t="s">
        <v>7831</v>
      </c>
      <c r="C132" t="s">
        <v>7832</v>
      </c>
      <c r="D132" t="s">
        <v>7833</v>
      </c>
      <c r="E132" t="s">
        <v>7834</v>
      </c>
      <c r="F132">
        <v>68384387</v>
      </c>
      <c r="G132">
        <v>98114</v>
      </c>
      <c r="H132">
        <v>369854</v>
      </c>
      <c r="I132" t="s">
        <v>7835</v>
      </c>
      <c r="J132">
        <v>2017</v>
      </c>
      <c r="K132" t="s">
        <v>7847</v>
      </c>
      <c r="L132" t="s">
        <v>7837</v>
      </c>
    </row>
    <row r="133" spans="1:12">
      <c r="A133" t="s">
        <v>7830</v>
      </c>
      <c r="B133" t="s">
        <v>7831</v>
      </c>
      <c r="C133" t="s">
        <v>7832</v>
      </c>
      <c r="D133" t="s">
        <v>7833</v>
      </c>
      <c r="E133" t="s">
        <v>7834</v>
      </c>
      <c r="F133">
        <v>63159823</v>
      </c>
      <c r="G133">
        <v>95920</v>
      </c>
      <c r="H133">
        <v>321046</v>
      </c>
      <c r="I133" t="s">
        <v>7835</v>
      </c>
      <c r="J133">
        <v>2017</v>
      </c>
      <c r="K133" t="s">
        <v>7848</v>
      </c>
      <c r="L133" t="s">
        <v>7837</v>
      </c>
    </row>
    <row r="134" spans="1:12">
      <c r="A134" t="s">
        <v>7830</v>
      </c>
      <c r="B134" t="s">
        <v>7831</v>
      </c>
      <c r="C134" t="s">
        <v>7832</v>
      </c>
      <c r="D134" t="s">
        <v>7833</v>
      </c>
      <c r="E134" t="s">
        <v>7834</v>
      </c>
      <c r="F134">
        <v>50470588</v>
      </c>
      <c r="G134">
        <v>85287</v>
      </c>
      <c r="H134">
        <v>266874</v>
      </c>
      <c r="I134" t="s">
        <v>7835</v>
      </c>
      <c r="J134">
        <v>2018</v>
      </c>
      <c r="K134" t="s">
        <v>7836</v>
      </c>
      <c r="L134" t="s">
        <v>7837</v>
      </c>
    </row>
    <row r="135" spans="1:12">
      <c r="A135" t="s">
        <v>7830</v>
      </c>
      <c r="B135" t="s">
        <v>7831</v>
      </c>
      <c r="C135" t="s">
        <v>7832</v>
      </c>
      <c r="D135" t="s">
        <v>7833</v>
      </c>
      <c r="E135" t="s">
        <v>7834</v>
      </c>
      <c r="F135">
        <v>44813090</v>
      </c>
      <c r="G135">
        <v>58750</v>
      </c>
      <c r="H135">
        <v>202490</v>
      </c>
      <c r="I135" t="s">
        <v>7835</v>
      </c>
      <c r="J135">
        <v>2018</v>
      </c>
      <c r="K135" t="s">
        <v>7838</v>
      </c>
      <c r="L135" t="s">
        <v>7837</v>
      </c>
    </row>
    <row r="136" spans="1:12">
      <c r="A136" t="s">
        <v>7830</v>
      </c>
      <c r="B136" t="s">
        <v>7831</v>
      </c>
      <c r="C136" t="s">
        <v>7832</v>
      </c>
      <c r="D136" t="s">
        <v>7833</v>
      </c>
      <c r="E136" t="s">
        <v>7834</v>
      </c>
      <c r="F136">
        <v>49526285</v>
      </c>
      <c r="G136">
        <v>68778</v>
      </c>
      <c r="H136">
        <v>217275</v>
      </c>
      <c r="I136" t="s">
        <v>7835</v>
      </c>
      <c r="J136">
        <v>2018</v>
      </c>
      <c r="K136" t="s">
        <v>7839</v>
      </c>
      <c r="L136" t="s">
        <v>7837</v>
      </c>
    </row>
    <row r="137" spans="1:12">
      <c r="A137" t="s">
        <v>7830</v>
      </c>
      <c r="B137" t="s">
        <v>7831</v>
      </c>
      <c r="C137" t="s">
        <v>7832</v>
      </c>
      <c r="D137" t="s">
        <v>7833</v>
      </c>
      <c r="E137" t="s">
        <v>7834</v>
      </c>
      <c r="F137">
        <v>41480590</v>
      </c>
      <c r="G137">
        <v>65299</v>
      </c>
      <c r="H137">
        <v>200376</v>
      </c>
      <c r="I137" t="s">
        <v>7835</v>
      </c>
      <c r="J137">
        <v>2018</v>
      </c>
      <c r="K137" t="s">
        <v>7840</v>
      </c>
      <c r="L137" t="s">
        <v>7837</v>
      </c>
    </row>
    <row r="138" spans="1:12">
      <c r="A138" t="s">
        <v>7830</v>
      </c>
      <c r="B138" t="s">
        <v>7831</v>
      </c>
      <c r="C138" t="s">
        <v>7832</v>
      </c>
      <c r="D138" t="s">
        <v>7833</v>
      </c>
      <c r="E138" t="s">
        <v>7834</v>
      </c>
      <c r="F138">
        <v>44228007</v>
      </c>
      <c r="G138">
        <v>77217</v>
      </c>
      <c r="H138">
        <v>226988</v>
      </c>
      <c r="I138" t="s">
        <v>7835</v>
      </c>
      <c r="J138">
        <v>2018</v>
      </c>
      <c r="K138" t="s">
        <v>7841</v>
      </c>
      <c r="L138" t="s">
        <v>7837</v>
      </c>
    </row>
    <row r="139" spans="1:12">
      <c r="A139" t="s">
        <v>7830</v>
      </c>
      <c r="B139" t="s">
        <v>7831</v>
      </c>
      <c r="C139" t="s">
        <v>7832</v>
      </c>
      <c r="D139" t="s">
        <v>7833</v>
      </c>
      <c r="E139" t="s">
        <v>7834</v>
      </c>
      <c r="F139">
        <v>42740161</v>
      </c>
      <c r="G139">
        <v>65518</v>
      </c>
      <c r="H139">
        <v>210958</v>
      </c>
      <c r="I139" t="s">
        <v>7835</v>
      </c>
      <c r="J139">
        <v>2018</v>
      </c>
      <c r="K139" t="s">
        <v>7842</v>
      </c>
      <c r="L139" t="s">
        <v>7837</v>
      </c>
    </row>
    <row r="140" spans="1:12">
      <c r="A140" t="s">
        <v>7830</v>
      </c>
      <c r="B140" t="s">
        <v>7831</v>
      </c>
      <c r="C140" t="s">
        <v>7832</v>
      </c>
      <c r="D140" t="s">
        <v>7833</v>
      </c>
      <c r="E140" t="s">
        <v>7834</v>
      </c>
      <c r="F140">
        <v>62608658</v>
      </c>
      <c r="G140">
        <v>87723</v>
      </c>
      <c r="H140">
        <v>278420</v>
      </c>
      <c r="I140" t="s">
        <v>7835</v>
      </c>
      <c r="J140">
        <v>2018</v>
      </c>
      <c r="K140" t="s">
        <v>7843</v>
      </c>
      <c r="L140" t="s">
        <v>7837</v>
      </c>
    </row>
    <row r="141" spans="1:12">
      <c r="A141" t="s">
        <v>7830</v>
      </c>
      <c r="B141" t="s">
        <v>7831</v>
      </c>
      <c r="C141" t="s">
        <v>7832</v>
      </c>
      <c r="D141" t="s">
        <v>7833</v>
      </c>
      <c r="E141" t="s">
        <v>7834</v>
      </c>
      <c r="F141">
        <v>54635516</v>
      </c>
      <c r="G141">
        <v>73717</v>
      </c>
      <c r="H141">
        <v>257622</v>
      </c>
      <c r="I141" t="s">
        <v>7835</v>
      </c>
      <c r="J141">
        <v>2018</v>
      </c>
      <c r="K141" t="s">
        <v>7844</v>
      </c>
      <c r="L141" t="s">
        <v>7837</v>
      </c>
    </row>
    <row r="142" spans="1:12">
      <c r="A142" t="s">
        <v>7830</v>
      </c>
      <c r="B142" t="s">
        <v>7831</v>
      </c>
      <c r="C142" t="s">
        <v>7832</v>
      </c>
      <c r="D142" t="s">
        <v>7833</v>
      </c>
      <c r="E142" t="s">
        <v>7834</v>
      </c>
      <c r="F142">
        <v>59712550</v>
      </c>
      <c r="G142">
        <v>83712</v>
      </c>
      <c r="H142">
        <v>259893</v>
      </c>
      <c r="I142" t="s">
        <v>7835</v>
      </c>
      <c r="J142">
        <v>2018</v>
      </c>
      <c r="K142" t="s">
        <v>7845</v>
      </c>
      <c r="L142" t="s">
        <v>7837</v>
      </c>
    </row>
    <row r="143" spans="1:12">
      <c r="A143" t="s">
        <v>7830</v>
      </c>
      <c r="B143" t="s">
        <v>7831</v>
      </c>
      <c r="C143" t="s">
        <v>7832</v>
      </c>
      <c r="D143" t="s">
        <v>7833</v>
      </c>
      <c r="E143" t="s">
        <v>7834</v>
      </c>
      <c r="F143">
        <v>66528898</v>
      </c>
      <c r="G143">
        <v>106057</v>
      </c>
      <c r="H143">
        <v>296656</v>
      </c>
      <c r="I143" t="s">
        <v>7835</v>
      </c>
      <c r="J143">
        <v>2018</v>
      </c>
      <c r="K143" t="s">
        <v>7846</v>
      </c>
      <c r="L143" t="s">
        <v>7837</v>
      </c>
    </row>
    <row r="144" spans="1:12">
      <c r="A144" t="s">
        <v>7830</v>
      </c>
      <c r="B144" t="s">
        <v>7831</v>
      </c>
      <c r="C144" t="s">
        <v>7832</v>
      </c>
      <c r="D144" t="s">
        <v>7833</v>
      </c>
      <c r="E144" t="s">
        <v>7834</v>
      </c>
      <c r="F144">
        <v>72004266</v>
      </c>
      <c r="G144">
        <v>559985</v>
      </c>
      <c r="H144">
        <v>342044</v>
      </c>
      <c r="I144" t="s">
        <v>7835</v>
      </c>
      <c r="J144">
        <v>2018</v>
      </c>
      <c r="K144" t="s">
        <v>7847</v>
      </c>
      <c r="L144" t="s">
        <v>7837</v>
      </c>
    </row>
    <row r="145" spans="1:12">
      <c r="A145" t="s">
        <v>7830</v>
      </c>
      <c r="B145" t="s">
        <v>7831</v>
      </c>
      <c r="C145" t="s">
        <v>7832</v>
      </c>
      <c r="D145" t="s">
        <v>7833</v>
      </c>
      <c r="E145" t="s">
        <v>7834</v>
      </c>
      <c r="F145">
        <v>99122210</v>
      </c>
      <c r="G145">
        <v>158080</v>
      </c>
      <c r="H145">
        <v>334202</v>
      </c>
      <c r="I145" t="s">
        <v>7835</v>
      </c>
      <c r="J145">
        <v>2018</v>
      </c>
      <c r="K145" t="s">
        <v>7848</v>
      </c>
      <c r="L145" t="s">
        <v>7837</v>
      </c>
    </row>
    <row r="146" spans="1:12">
      <c r="A146" t="s">
        <v>7830</v>
      </c>
      <c r="B146" t="s">
        <v>7831</v>
      </c>
      <c r="C146" t="s">
        <v>7832</v>
      </c>
      <c r="D146" t="s">
        <v>7833</v>
      </c>
      <c r="E146" t="s">
        <v>7834</v>
      </c>
      <c r="F146">
        <v>136907091</v>
      </c>
      <c r="G146">
        <v>152427</v>
      </c>
      <c r="H146">
        <v>438795</v>
      </c>
      <c r="I146" t="s">
        <v>7835</v>
      </c>
      <c r="J146">
        <v>2019</v>
      </c>
      <c r="K146" t="s">
        <v>7836</v>
      </c>
      <c r="L146" t="s">
        <v>7837</v>
      </c>
    </row>
    <row r="147" spans="1:12">
      <c r="A147" t="s">
        <v>7830</v>
      </c>
      <c r="B147" t="s">
        <v>7831</v>
      </c>
      <c r="C147" t="s">
        <v>7832</v>
      </c>
      <c r="D147" t="s">
        <v>7833</v>
      </c>
      <c r="E147" t="s">
        <v>7834</v>
      </c>
      <c r="F147">
        <v>90747839</v>
      </c>
      <c r="G147">
        <v>109557</v>
      </c>
      <c r="H147">
        <v>332379</v>
      </c>
      <c r="I147" t="s">
        <v>7835</v>
      </c>
      <c r="J147">
        <v>2019</v>
      </c>
      <c r="K147" t="s">
        <v>7838</v>
      </c>
      <c r="L147" t="s">
        <v>7837</v>
      </c>
    </row>
    <row r="148" spans="1:12">
      <c r="A148" t="s">
        <v>7830</v>
      </c>
      <c r="B148" t="s">
        <v>7831</v>
      </c>
      <c r="C148" t="s">
        <v>7832</v>
      </c>
      <c r="D148" t="s">
        <v>7833</v>
      </c>
      <c r="E148" t="s">
        <v>7834</v>
      </c>
      <c r="F148">
        <v>140885659</v>
      </c>
      <c r="G148">
        <v>153506</v>
      </c>
      <c r="H148">
        <v>523116</v>
      </c>
      <c r="I148" t="s">
        <v>7835</v>
      </c>
      <c r="J148">
        <v>2019</v>
      </c>
      <c r="K148" t="s">
        <v>7839</v>
      </c>
      <c r="L148" t="s">
        <v>7837</v>
      </c>
    </row>
    <row r="149" spans="1:12">
      <c r="A149" t="s">
        <v>7830</v>
      </c>
      <c r="B149" t="s">
        <v>7831</v>
      </c>
      <c r="C149" t="s">
        <v>7832</v>
      </c>
      <c r="D149" t="s">
        <v>7833</v>
      </c>
      <c r="E149" t="s">
        <v>7834</v>
      </c>
      <c r="F149">
        <v>63379927</v>
      </c>
      <c r="G149">
        <v>84424</v>
      </c>
      <c r="H149">
        <v>280490</v>
      </c>
      <c r="I149" t="s">
        <v>7835</v>
      </c>
      <c r="J149">
        <v>2019</v>
      </c>
      <c r="K149" t="s">
        <v>7840</v>
      </c>
      <c r="L149" t="s">
        <v>7837</v>
      </c>
    </row>
    <row r="150" spans="1:12">
      <c r="A150" t="s">
        <v>7830</v>
      </c>
      <c r="B150" t="s">
        <v>7831</v>
      </c>
      <c r="C150" t="s">
        <v>7832</v>
      </c>
      <c r="D150" t="s">
        <v>7833</v>
      </c>
      <c r="E150" t="s">
        <v>7834</v>
      </c>
      <c r="F150">
        <v>49868061</v>
      </c>
      <c r="G150">
        <v>73205</v>
      </c>
      <c r="H150">
        <v>233651</v>
      </c>
      <c r="I150" t="s">
        <v>7835</v>
      </c>
      <c r="J150">
        <v>2019</v>
      </c>
      <c r="K150" t="s">
        <v>7841</v>
      </c>
      <c r="L150" t="s">
        <v>7837</v>
      </c>
    </row>
    <row r="151" spans="1:12">
      <c r="A151" t="s">
        <v>7830</v>
      </c>
      <c r="B151" t="s">
        <v>7831</v>
      </c>
      <c r="C151" t="s">
        <v>7832</v>
      </c>
      <c r="D151" t="s">
        <v>7833</v>
      </c>
      <c r="E151" t="s">
        <v>7834</v>
      </c>
      <c r="F151">
        <v>64204958</v>
      </c>
      <c r="G151">
        <v>79613</v>
      </c>
      <c r="H151">
        <v>273419</v>
      </c>
      <c r="I151" t="s">
        <v>7835</v>
      </c>
      <c r="J151">
        <v>2019</v>
      </c>
      <c r="K151" t="s">
        <v>7842</v>
      </c>
      <c r="L151" t="s">
        <v>7837</v>
      </c>
    </row>
    <row r="152" spans="1:12">
      <c r="A152" t="s">
        <v>7830</v>
      </c>
      <c r="B152" t="s">
        <v>7831</v>
      </c>
      <c r="C152" t="s">
        <v>7832</v>
      </c>
      <c r="D152" t="s">
        <v>7833</v>
      </c>
      <c r="E152" t="s">
        <v>7834</v>
      </c>
      <c r="F152">
        <v>66026354</v>
      </c>
      <c r="G152">
        <v>90106</v>
      </c>
      <c r="H152">
        <v>345295</v>
      </c>
      <c r="I152" t="s">
        <v>7835</v>
      </c>
      <c r="J152">
        <v>2019</v>
      </c>
      <c r="K152" t="s">
        <v>7843</v>
      </c>
      <c r="L152" t="s">
        <v>7837</v>
      </c>
    </row>
    <row r="153" spans="1:12">
      <c r="A153" t="s">
        <v>7830</v>
      </c>
      <c r="B153" t="s">
        <v>7831</v>
      </c>
      <c r="C153" t="s">
        <v>7832</v>
      </c>
      <c r="D153" t="s">
        <v>7833</v>
      </c>
      <c r="E153" t="s">
        <v>7834</v>
      </c>
      <c r="F153">
        <v>52210235</v>
      </c>
      <c r="G153">
        <v>63550</v>
      </c>
      <c r="H153">
        <v>224418</v>
      </c>
      <c r="I153" t="s">
        <v>7835</v>
      </c>
      <c r="J153">
        <v>2019</v>
      </c>
      <c r="K153" t="s">
        <v>7844</v>
      </c>
      <c r="L153" t="s">
        <v>7837</v>
      </c>
    </row>
    <row r="154" spans="1:12">
      <c r="A154" t="s">
        <v>7830</v>
      </c>
      <c r="B154" t="s">
        <v>7831</v>
      </c>
      <c r="C154" t="s">
        <v>7832</v>
      </c>
      <c r="D154" t="s">
        <v>7833</v>
      </c>
      <c r="E154" t="s">
        <v>7834</v>
      </c>
      <c r="F154">
        <v>58439585</v>
      </c>
      <c r="G154">
        <v>98676</v>
      </c>
      <c r="H154">
        <v>252794</v>
      </c>
      <c r="I154" t="s">
        <v>7835</v>
      </c>
      <c r="J154">
        <v>2019</v>
      </c>
      <c r="K154" t="s">
        <v>7845</v>
      </c>
      <c r="L154" t="s">
        <v>7837</v>
      </c>
    </row>
    <row r="155" spans="1:12">
      <c r="A155" t="s">
        <v>7830</v>
      </c>
      <c r="B155" t="s">
        <v>7831</v>
      </c>
      <c r="C155" t="s">
        <v>7832</v>
      </c>
      <c r="D155" t="s">
        <v>7833</v>
      </c>
      <c r="E155" t="s">
        <v>7834</v>
      </c>
      <c r="F155">
        <v>82911825</v>
      </c>
      <c r="G155">
        <v>104660</v>
      </c>
      <c r="H155">
        <v>396632</v>
      </c>
      <c r="I155" t="s">
        <v>7835</v>
      </c>
      <c r="J155">
        <v>2019</v>
      </c>
      <c r="K155" t="s">
        <v>7846</v>
      </c>
      <c r="L155" t="s">
        <v>7837</v>
      </c>
    </row>
    <row r="156" spans="1:12">
      <c r="A156" t="s">
        <v>7830</v>
      </c>
      <c r="B156" t="s">
        <v>7831</v>
      </c>
      <c r="C156" t="s">
        <v>7832</v>
      </c>
      <c r="D156" t="s">
        <v>7833</v>
      </c>
      <c r="E156" t="s">
        <v>7834</v>
      </c>
      <c r="F156">
        <v>60341880</v>
      </c>
      <c r="G156">
        <v>95619</v>
      </c>
      <c r="H156">
        <v>251132</v>
      </c>
      <c r="I156" t="s">
        <v>7835</v>
      </c>
      <c r="J156">
        <v>2019</v>
      </c>
      <c r="K156" t="s">
        <v>7847</v>
      </c>
      <c r="L156" t="s">
        <v>7837</v>
      </c>
    </row>
    <row r="157" spans="1:12">
      <c r="A157" t="s">
        <v>7830</v>
      </c>
      <c r="B157" t="s">
        <v>7831</v>
      </c>
      <c r="C157" t="s">
        <v>7832</v>
      </c>
      <c r="D157" t="s">
        <v>7833</v>
      </c>
      <c r="E157" t="s">
        <v>7834</v>
      </c>
      <c r="F157">
        <v>42348292</v>
      </c>
      <c r="G157">
        <v>73454</v>
      </c>
      <c r="H157">
        <v>221868</v>
      </c>
      <c r="I157" t="s">
        <v>7835</v>
      </c>
      <c r="J157">
        <v>2019</v>
      </c>
      <c r="K157" t="s">
        <v>7848</v>
      </c>
      <c r="L157" t="s">
        <v>7837</v>
      </c>
    </row>
    <row r="158" spans="1:12">
      <c r="A158" t="s">
        <v>7830</v>
      </c>
      <c r="B158" t="s">
        <v>7831</v>
      </c>
      <c r="C158" t="s">
        <v>7832</v>
      </c>
      <c r="D158" t="s">
        <v>7833</v>
      </c>
      <c r="E158" t="s">
        <v>7834</v>
      </c>
      <c r="F158">
        <v>37933679</v>
      </c>
      <c r="G158">
        <v>65442</v>
      </c>
      <c r="H158">
        <v>206678</v>
      </c>
      <c r="I158" t="s">
        <v>7835</v>
      </c>
      <c r="J158">
        <v>2020</v>
      </c>
      <c r="K158" t="s">
        <v>7836</v>
      </c>
      <c r="L158" t="s">
        <v>7837</v>
      </c>
    </row>
    <row r="159" spans="1:12">
      <c r="A159" t="s">
        <v>7830</v>
      </c>
      <c r="B159" t="s">
        <v>7831</v>
      </c>
      <c r="C159" t="s">
        <v>7832</v>
      </c>
      <c r="D159" t="s">
        <v>7833</v>
      </c>
      <c r="E159" t="s">
        <v>7834</v>
      </c>
      <c r="F159">
        <v>61107793</v>
      </c>
      <c r="G159">
        <v>90837</v>
      </c>
      <c r="H159">
        <v>267605</v>
      </c>
      <c r="I159" t="s">
        <v>7835</v>
      </c>
      <c r="J159">
        <v>2020</v>
      </c>
      <c r="K159" t="s">
        <v>7838</v>
      </c>
      <c r="L159" t="s">
        <v>7837</v>
      </c>
    </row>
    <row r="160" spans="1:12">
      <c r="A160" t="s">
        <v>7830</v>
      </c>
      <c r="B160" t="s">
        <v>7831</v>
      </c>
      <c r="C160" t="s">
        <v>7832</v>
      </c>
      <c r="D160" t="s">
        <v>7833</v>
      </c>
      <c r="E160" t="s">
        <v>7834</v>
      </c>
      <c r="F160">
        <v>45387162</v>
      </c>
      <c r="G160">
        <v>143416</v>
      </c>
      <c r="H160">
        <v>435235</v>
      </c>
      <c r="I160" t="s">
        <v>7835</v>
      </c>
      <c r="J160">
        <v>2020</v>
      </c>
      <c r="K160" t="s">
        <v>7839</v>
      </c>
      <c r="L160" t="s">
        <v>7837</v>
      </c>
    </row>
    <row r="161" spans="1:12">
      <c r="A161" t="s">
        <v>7830</v>
      </c>
      <c r="B161" t="s">
        <v>7831</v>
      </c>
      <c r="C161" t="s">
        <v>7832</v>
      </c>
      <c r="D161" t="s">
        <v>7833</v>
      </c>
      <c r="E161" t="s">
        <v>7834</v>
      </c>
      <c r="F161">
        <v>69353558</v>
      </c>
      <c r="G161">
        <v>189498</v>
      </c>
      <c r="H161">
        <v>571694</v>
      </c>
      <c r="I161" t="s">
        <v>7835</v>
      </c>
      <c r="J161">
        <v>2020</v>
      </c>
      <c r="K161" t="s">
        <v>7840</v>
      </c>
      <c r="L161" t="s">
        <v>7837</v>
      </c>
    </row>
    <row r="162" spans="1:12">
      <c r="A162" t="s">
        <v>7830</v>
      </c>
      <c r="B162" t="s">
        <v>7831</v>
      </c>
      <c r="C162" t="s">
        <v>7832</v>
      </c>
      <c r="D162" t="s">
        <v>7833</v>
      </c>
      <c r="E162" t="s">
        <v>7834</v>
      </c>
      <c r="F162">
        <v>35796625</v>
      </c>
      <c r="G162">
        <v>179088</v>
      </c>
      <c r="H162">
        <v>523366</v>
      </c>
      <c r="I162" t="s">
        <v>7835</v>
      </c>
      <c r="J162">
        <v>2020</v>
      </c>
      <c r="K162" t="s">
        <v>7841</v>
      </c>
      <c r="L162" t="s">
        <v>7837</v>
      </c>
    </row>
    <row r="163" spans="1:12">
      <c r="A163" t="s">
        <v>7830</v>
      </c>
      <c r="B163" t="s">
        <v>7831</v>
      </c>
      <c r="C163" t="s">
        <v>7832</v>
      </c>
      <c r="D163" t="s">
        <v>7833</v>
      </c>
      <c r="E163" t="s">
        <v>7834</v>
      </c>
      <c r="F163">
        <v>52670662</v>
      </c>
      <c r="G163">
        <v>78596</v>
      </c>
      <c r="H163">
        <v>250667</v>
      </c>
      <c r="I163" t="s">
        <v>7835</v>
      </c>
      <c r="J163">
        <v>2020</v>
      </c>
      <c r="K163" t="s">
        <v>7842</v>
      </c>
      <c r="L163" t="s">
        <v>7837</v>
      </c>
    </row>
    <row r="164" spans="1:12">
      <c r="A164" t="s">
        <v>7830</v>
      </c>
      <c r="B164" t="s">
        <v>7831</v>
      </c>
      <c r="C164" t="s">
        <v>7832</v>
      </c>
      <c r="D164" t="s">
        <v>7833</v>
      </c>
      <c r="E164" t="s">
        <v>7834</v>
      </c>
      <c r="F164">
        <v>58020897</v>
      </c>
      <c r="G164">
        <v>165872</v>
      </c>
      <c r="H164">
        <v>495165</v>
      </c>
      <c r="I164" t="s">
        <v>7835</v>
      </c>
      <c r="J164">
        <v>2020</v>
      </c>
      <c r="K164" t="s">
        <v>7843</v>
      </c>
      <c r="L164" t="s">
        <v>7837</v>
      </c>
    </row>
    <row r="165" spans="1:12">
      <c r="A165" t="s">
        <v>7830</v>
      </c>
      <c r="B165" t="s">
        <v>7831</v>
      </c>
      <c r="C165" t="s">
        <v>7832</v>
      </c>
      <c r="D165" t="s">
        <v>7833</v>
      </c>
      <c r="E165" t="s">
        <v>7834</v>
      </c>
      <c r="F165">
        <v>45056282</v>
      </c>
      <c r="G165">
        <v>69009</v>
      </c>
      <c r="H165">
        <v>214045</v>
      </c>
      <c r="I165" t="s">
        <v>7835</v>
      </c>
      <c r="J165">
        <v>2020</v>
      </c>
      <c r="K165" t="s">
        <v>7844</v>
      </c>
      <c r="L165" t="s">
        <v>7837</v>
      </c>
    </row>
    <row r="166" spans="1:12">
      <c r="A166" t="s">
        <v>7830</v>
      </c>
      <c r="B166" t="s">
        <v>7831</v>
      </c>
      <c r="C166" t="s">
        <v>7832</v>
      </c>
      <c r="D166" t="s">
        <v>7833</v>
      </c>
      <c r="E166" t="s">
        <v>7834</v>
      </c>
      <c r="F166">
        <v>77132305</v>
      </c>
      <c r="G166">
        <v>183414</v>
      </c>
      <c r="H166">
        <v>540877</v>
      </c>
      <c r="I166" t="s">
        <v>7835</v>
      </c>
      <c r="J166">
        <v>2020</v>
      </c>
      <c r="K166" t="s">
        <v>7845</v>
      </c>
      <c r="L166" t="s">
        <v>7837</v>
      </c>
    </row>
    <row r="167" spans="1:12">
      <c r="A167" t="s">
        <v>7830</v>
      </c>
      <c r="B167" t="s">
        <v>7831</v>
      </c>
      <c r="C167" t="s">
        <v>7832</v>
      </c>
      <c r="D167" t="s">
        <v>7833</v>
      </c>
      <c r="E167" t="s">
        <v>7834</v>
      </c>
      <c r="F167">
        <v>70174576</v>
      </c>
      <c r="G167">
        <v>212934</v>
      </c>
      <c r="H167">
        <v>540021</v>
      </c>
      <c r="I167" t="s">
        <v>7835</v>
      </c>
      <c r="J167">
        <v>2020</v>
      </c>
      <c r="K167" t="s">
        <v>7846</v>
      </c>
      <c r="L167" t="s">
        <v>7837</v>
      </c>
    </row>
    <row r="168" spans="1:12">
      <c r="A168" t="s">
        <v>7830</v>
      </c>
      <c r="B168" t="s">
        <v>7831</v>
      </c>
      <c r="C168" t="s">
        <v>7832</v>
      </c>
      <c r="D168" t="s">
        <v>7833</v>
      </c>
      <c r="E168" t="s">
        <v>7834</v>
      </c>
      <c r="F168">
        <v>77905263</v>
      </c>
      <c r="G168">
        <v>272185</v>
      </c>
      <c r="H168">
        <v>609251</v>
      </c>
      <c r="I168" t="s">
        <v>7835</v>
      </c>
      <c r="J168">
        <v>2020</v>
      </c>
      <c r="K168" t="s">
        <v>7847</v>
      </c>
      <c r="L168" t="s">
        <v>7837</v>
      </c>
    </row>
    <row r="169" spans="1:12">
      <c r="A169" t="s">
        <v>7830</v>
      </c>
      <c r="B169" t="s">
        <v>7831</v>
      </c>
      <c r="C169" t="s">
        <v>7832</v>
      </c>
      <c r="D169" t="s">
        <v>7833</v>
      </c>
      <c r="E169" t="s">
        <v>7834</v>
      </c>
      <c r="F169">
        <v>85760462</v>
      </c>
      <c r="G169">
        <v>150774</v>
      </c>
      <c r="H169">
        <v>441217</v>
      </c>
      <c r="I169" t="s">
        <v>7835</v>
      </c>
      <c r="J169">
        <v>2020</v>
      </c>
      <c r="K169" t="s">
        <v>7848</v>
      </c>
      <c r="L169" t="s">
        <v>7837</v>
      </c>
    </row>
    <row r="170" spans="1:12">
      <c r="A170" t="s">
        <v>7830</v>
      </c>
      <c r="B170" t="s">
        <v>7831</v>
      </c>
      <c r="C170" t="s">
        <v>7832</v>
      </c>
      <c r="D170" t="s">
        <v>7833</v>
      </c>
      <c r="E170" t="s">
        <v>7834</v>
      </c>
      <c r="F170">
        <v>26031992</v>
      </c>
      <c r="G170">
        <v>178083</v>
      </c>
      <c r="H170">
        <v>103884</v>
      </c>
      <c r="I170" t="s">
        <v>7835</v>
      </c>
      <c r="J170">
        <v>2021</v>
      </c>
      <c r="K170" t="s">
        <v>7836</v>
      </c>
      <c r="L170" t="s">
        <v>7837</v>
      </c>
    </row>
    <row r="171" spans="1:12">
      <c r="A171" t="s">
        <v>7830</v>
      </c>
      <c r="B171" t="s">
        <v>7831</v>
      </c>
      <c r="C171" t="s">
        <v>7832</v>
      </c>
      <c r="D171" t="s">
        <v>7833</v>
      </c>
      <c r="E171" t="s">
        <v>7834</v>
      </c>
      <c r="F171">
        <v>43436008</v>
      </c>
      <c r="G171">
        <v>135773</v>
      </c>
      <c r="H171">
        <v>129697</v>
      </c>
      <c r="I171" t="s">
        <v>7835</v>
      </c>
      <c r="J171">
        <v>2021</v>
      </c>
      <c r="K171" t="s">
        <v>7838</v>
      </c>
      <c r="L171" t="s">
        <v>7837</v>
      </c>
    </row>
    <row r="172" spans="1:12">
      <c r="A172" t="s">
        <v>7830</v>
      </c>
      <c r="B172" t="s">
        <v>7831</v>
      </c>
      <c r="C172" t="s">
        <v>7832</v>
      </c>
      <c r="D172" t="s">
        <v>7833</v>
      </c>
      <c r="E172" t="s">
        <v>7834</v>
      </c>
      <c r="F172">
        <v>37494851</v>
      </c>
      <c r="G172">
        <v>87457</v>
      </c>
      <c r="H172">
        <v>209173</v>
      </c>
      <c r="I172" t="s">
        <v>7835</v>
      </c>
      <c r="J172">
        <v>2021</v>
      </c>
      <c r="K172" t="s">
        <v>7839</v>
      </c>
      <c r="L172" t="s">
        <v>7837</v>
      </c>
    </row>
    <row r="173" spans="1:12">
      <c r="A173" t="s">
        <v>7830</v>
      </c>
      <c r="B173" t="s">
        <v>7831</v>
      </c>
      <c r="C173" t="s">
        <v>7832</v>
      </c>
      <c r="D173" t="s">
        <v>7833</v>
      </c>
      <c r="E173" t="s">
        <v>7834</v>
      </c>
      <c r="F173">
        <v>44971300</v>
      </c>
      <c r="G173">
        <v>73121</v>
      </c>
      <c r="H173">
        <v>235953</v>
      </c>
      <c r="I173" t="s">
        <v>7835</v>
      </c>
      <c r="J173">
        <v>2021</v>
      </c>
      <c r="K173" t="s">
        <v>7840</v>
      </c>
      <c r="L173" t="s">
        <v>7837</v>
      </c>
    </row>
    <row r="174" spans="1:12">
      <c r="A174" t="s">
        <v>7830</v>
      </c>
      <c r="B174" t="s">
        <v>7831</v>
      </c>
      <c r="C174" t="s">
        <v>7832</v>
      </c>
      <c r="D174" t="s">
        <v>7833</v>
      </c>
      <c r="E174" t="s">
        <v>7834</v>
      </c>
      <c r="F174">
        <v>37702811</v>
      </c>
      <c r="G174">
        <v>74590</v>
      </c>
      <c r="H174">
        <v>236128</v>
      </c>
      <c r="I174" t="s">
        <v>7835</v>
      </c>
      <c r="J174">
        <v>2021</v>
      </c>
      <c r="K174" t="s">
        <v>7841</v>
      </c>
      <c r="L174" t="s">
        <v>7837</v>
      </c>
    </row>
    <row r="175" spans="1:12">
      <c r="A175" t="s">
        <v>7830</v>
      </c>
      <c r="B175" t="s">
        <v>7831</v>
      </c>
      <c r="C175" t="s">
        <v>7832</v>
      </c>
      <c r="D175" t="s">
        <v>7833</v>
      </c>
      <c r="E175" t="s">
        <v>7834</v>
      </c>
      <c r="F175">
        <v>45646852</v>
      </c>
      <c r="G175">
        <v>79262</v>
      </c>
      <c r="H175">
        <v>281920</v>
      </c>
      <c r="I175" t="s">
        <v>7835</v>
      </c>
      <c r="J175">
        <v>2021</v>
      </c>
      <c r="K175" t="s">
        <v>7842</v>
      </c>
      <c r="L175" t="s">
        <v>7837</v>
      </c>
    </row>
    <row r="176" spans="1:12">
      <c r="A176" t="s">
        <v>7830</v>
      </c>
      <c r="B176" t="s">
        <v>7831</v>
      </c>
      <c r="C176" t="s">
        <v>7832</v>
      </c>
      <c r="D176" t="s">
        <v>7833</v>
      </c>
      <c r="E176" t="s">
        <v>7834</v>
      </c>
      <c r="F176">
        <v>40451905</v>
      </c>
      <c r="G176">
        <v>76439</v>
      </c>
      <c r="H176">
        <v>179754</v>
      </c>
      <c r="I176" t="s">
        <v>7835</v>
      </c>
      <c r="J176">
        <v>2021</v>
      </c>
      <c r="K176" t="s">
        <v>7843</v>
      </c>
      <c r="L176" t="s">
        <v>7837</v>
      </c>
    </row>
    <row r="177" spans="1:12">
      <c r="A177" t="s">
        <v>7830</v>
      </c>
      <c r="B177" t="s">
        <v>7831</v>
      </c>
      <c r="C177" t="s">
        <v>7832</v>
      </c>
      <c r="D177" t="s">
        <v>7833</v>
      </c>
      <c r="E177" t="s">
        <v>7834</v>
      </c>
      <c r="F177">
        <v>34374395</v>
      </c>
      <c r="G177">
        <v>88593</v>
      </c>
      <c r="H177">
        <v>456960</v>
      </c>
      <c r="I177" t="s">
        <v>7835</v>
      </c>
      <c r="J177">
        <v>2021</v>
      </c>
      <c r="K177" t="s">
        <v>7844</v>
      </c>
      <c r="L177" t="s">
        <v>7837</v>
      </c>
    </row>
    <row r="178" spans="1:12">
      <c r="A178" t="s">
        <v>7830</v>
      </c>
      <c r="B178" t="s">
        <v>7831</v>
      </c>
      <c r="C178" t="s">
        <v>7832</v>
      </c>
      <c r="D178" t="s">
        <v>7833</v>
      </c>
      <c r="E178" t="s">
        <v>7834</v>
      </c>
      <c r="F178">
        <v>43362662</v>
      </c>
      <c r="G178">
        <v>53159</v>
      </c>
      <c r="H178">
        <v>155621</v>
      </c>
      <c r="I178" t="s">
        <v>7835</v>
      </c>
      <c r="J178">
        <v>2021</v>
      </c>
      <c r="K178" t="s">
        <v>7845</v>
      </c>
      <c r="L178" t="s">
        <v>7837</v>
      </c>
    </row>
    <row r="179" spans="1:12">
      <c r="A179" t="s">
        <v>7830</v>
      </c>
      <c r="B179" t="s">
        <v>7831</v>
      </c>
      <c r="C179" t="s">
        <v>7832</v>
      </c>
      <c r="D179" t="s">
        <v>7833</v>
      </c>
      <c r="E179" t="s">
        <v>7834</v>
      </c>
      <c r="F179">
        <v>59417395</v>
      </c>
      <c r="G179">
        <v>92143</v>
      </c>
      <c r="H179">
        <v>211820</v>
      </c>
      <c r="I179" t="s">
        <v>7835</v>
      </c>
      <c r="J179">
        <v>2021</v>
      </c>
      <c r="K179" t="s">
        <v>7846</v>
      </c>
      <c r="L179" t="s">
        <v>7837</v>
      </c>
    </row>
    <row r="180" spans="1:12">
      <c r="A180" t="s">
        <v>7830</v>
      </c>
      <c r="B180" t="s">
        <v>7831</v>
      </c>
      <c r="C180" t="s">
        <v>7832</v>
      </c>
      <c r="D180" t="s">
        <v>7833</v>
      </c>
      <c r="E180" t="s">
        <v>7834</v>
      </c>
      <c r="F180">
        <v>50894048</v>
      </c>
      <c r="G180">
        <v>70637</v>
      </c>
      <c r="H180">
        <v>181122</v>
      </c>
      <c r="I180" t="s">
        <v>7835</v>
      </c>
      <c r="J180">
        <v>2021</v>
      </c>
      <c r="K180" t="s">
        <v>7847</v>
      </c>
      <c r="L180" t="s">
        <v>7837</v>
      </c>
    </row>
    <row r="181" spans="1:12">
      <c r="A181" t="s">
        <v>7830</v>
      </c>
      <c r="B181" t="s">
        <v>7831</v>
      </c>
      <c r="C181" t="s">
        <v>7832</v>
      </c>
      <c r="D181" t="s">
        <v>7833</v>
      </c>
      <c r="E181" t="s">
        <v>7834</v>
      </c>
      <c r="F181">
        <v>46037808</v>
      </c>
      <c r="G181">
        <v>79912</v>
      </c>
      <c r="H181">
        <v>168640</v>
      </c>
      <c r="I181" t="s">
        <v>7835</v>
      </c>
      <c r="J181">
        <v>2021</v>
      </c>
      <c r="K181" t="s">
        <v>7848</v>
      </c>
      <c r="L181" t="s">
        <v>7837</v>
      </c>
    </row>
    <row r="182" spans="1:12">
      <c r="A182" t="s">
        <v>7830</v>
      </c>
      <c r="B182" t="s">
        <v>7831</v>
      </c>
      <c r="C182" t="s">
        <v>7832</v>
      </c>
      <c r="D182" t="s">
        <v>7833</v>
      </c>
      <c r="E182" t="s">
        <v>7834</v>
      </c>
      <c r="F182">
        <v>137334174</v>
      </c>
      <c r="G182">
        <v>739495</v>
      </c>
      <c r="H182">
        <v>1938664</v>
      </c>
      <c r="I182" t="s">
        <v>7849</v>
      </c>
      <c r="J182">
        <v>2007</v>
      </c>
      <c r="K182" t="s">
        <v>7836</v>
      </c>
      <c r="L182" t="s">
        <v>7837</v>
      </c>
    </row>
    <row r="183" spans="1:12">
      <c r="A183" t="s">
        <v>7830</v>
      </c>
      <c r="B183" t="s">
        <v>7831</v>
      </c>
      <c r="C183" t="s">
        <v>7832</v>
      </c>
      <c r="D183" t="s">
        <v>7833</v>
      </c>
      <c r="E183" t="s">
        <v>7834</v>
      </c>
      <c r="F183">
        <v>122407319</v>
      </c>
      <c r="G183">
        <v>696326</v>
      </c>
      <c r="H183">
        <v>1873362</v>
      </c>
      <c r="I183" t="s">
        <v>7849</v>
      </c>
      <c r="J183">
        <v>2007</v>
      </c>
      <c r="K183" t="s">
        <v>7838</v>
      </c>
      <c r="L183" t="s">
        <v>7837</v>
      </c>
    </row>
    <row r="184" spans="1:12">
      <c r="A184" t="s">
        <v>7830</v>
      </c>
      <c r="B184" t="s">
        <v>7831</v>
      </c>
      <c r="C184" t="s">
        <v>7832</v>
      </c>
      <c r="D184" t="s">
        <v>7833</v>
      </c>
      <c r="E184" t="s">
        <v>7834</v>
      </c>
      <c r="F184">
        <v>193726934</v>
      </c>
      <c r="G184">
        <v>982260</v>
      </c>
      <c r="H184">
        <v>2771307</v>
      </c>
      <c r="I184" t="s">
        <v>7849</v>
      </c>
      <c r="J184">
        <v>2007</v>
      </c>
      <c r="K184" t="s">
        <v>7839</v>
      </c>
      <c r="L184" t="s">
        <v>7837</v>
      </c>
    </row>
    <row r="185" spans="1:12">
      <c r="A185" t="s">
        <v>7830</v>
      </c>
      <c r="B185" t="s">
        <v>7831</v>
      </c>
      <c r="C185" t="s">
        <v>7832</v>
      </c>
      <c r="D185" t="s">
        <v>7833</v>
      </c>
      <c r="E185" t="s">
        <v>7834</v>
      </c>
      <c r="F185">
        <v>161680620</v>
      </c>
      <c r="G185">
        <v>882846</v>
      </c>
      <c r="H185">
        <v>2235037</v>
      </c>
      <c r="I185" t="s">
        <v>7849</v>
      </c>
      <c r="J185">
        <v>2007</v>
      </c>
      <c r="K185" t="s">
        <v>7840</v>
      </c>
      <c r="L185" t="s">
        <v>7837</v>
      </c>
    </row>
    <row r="186" spans="1:12">
      <c r="A186" t="s">
        <v>7830</v>
      </c>
      <c r="B186" t="s">
        <v>7831</v>
      </c>
      <c r="C186" t="s">
        <v>7832</v>
      </c>
      <c r="D186" t="s">
        <v>7833</v>
      </c>
      <c r="E186" t="s">
        <v>7834</v>
      </c>
      <c r="F186">
        <v>146872598</v>
      </c>
      <c r="G186">
        <v>616447</v>
      </c>
      <c r="H186">
        <v>1832361</v>
      </c>
      <c r="I186" t="s">
        <v>7849</v>
      </c>
      <c r="J186">
        <v>2007</v>
      </c>
      <c r="K186" t="s">
        <v>7841</v>
      </c>
      <c r="L186" t="s">
        <v>7837</v>
      </c>
    </row>
    <row r="187" spans="1:12">
      <c r="A187" t="s">
        <v>7830</v>
      </c>
      <c r="B187" t="s">
        <v>7831</v>
      </c>
      <c r="C187" t="s">
        <v>7832</v>
      </c>
      <c r="D187" t="s">
        <v>7833</v>
      </c>
      <c r="E187" t="s">
        <v>7834</v>
      </c>
      <c r="F187">
        <v>161816158</v>
      </c>
      <c r="G187">
        <v>895888</v>
      </c>
      <c r="H187">
        <v>2294519</v>
      </c>
      <c r="I187" t="s">
        <v>7849</v>
      </c>
      <c r="J187">
        <v>2007</v>
      </c>
      <c r="K187" t="s">
        <v>7842</v>
      </c>
      <c r="L187" t="s">
        <v>7837</v>
      </c>
    </row>
    <row r="188" spans="1:12">
      <c r="A188" t="s">
        <v>7830</v>
      </c>
      <c r="B188" t="s">
        <v>7831</v>
      </c>
      <c r="C188" t="s">
        <v>7832</v>
      </c>
      <c r="D188" t="s">
        <v>7833</v>
      </c>
      <c r="E188" t="s">
        <v>7834</v>
      </c>
      <c r="F188">
        <v>138845713</v>
      </c>
      <c r="G188">
        <v>807582</v>
      </c>
      <c r="H188">
        <v>3196373</v>
      </c>
      <c r="I188" t="s">
        <v>7849</v>
      </c>
      <c r="J188">
        <v>2007</v>
      </c>
      <c r="K188" t="s">
        <v>7843</v>
      </c>
      <c r="L188" t="s">
        <v>7837</v>
      </c>
    </row>
    <row r="189" spans="1:12">
      <c r="A189" t="s">
        <v>7830</v>
      </c>
      <c r="B189" t="s">
        <v>7831</v>
      </c>
      <c r="C189" t="s">
        <v>7832</v>
      </c>
      <c r="D189" t="s">
        <v>7833</v>
      </c>
      <c r="E189" t="s">
        <v>7834</v>
      </c>
      <c r="F189">
        <v>137747154</v>
      </c>
      <c r="G189">
        <v>828736</v>
      </c>
      <c r="H189">
        <v>2201398</v>
      </c>
      <c r="I189" t="s">
        <v>7849</v>
      </c>
      <c r="J189">
        <v>2007</v>
      </c>
      <c r="K189" t="s">
        <v>7844</v>
      </c>
      <c r="L189" t="s">
        <v>7837</v>
      </c>
    </row>
    <row r="190" spans="1:12">
      <c r="A190" t="s">
        <v>7830</v>
      </c>
      <c r="B190" t="s">
        <v>7831</v>
      </c>
      <c r="C190" t="s">
        <v>7832</v>
      </c>
      <c r="D190" t="s">
        <v>7833</v>
      </c>
      <c r="E190" t="s">
        <v>7834</v>
      </c>
      <c r="F190">
        <v>161246100</v>
      </c>
      <c r="G190">
        <v>1988179</v>
      </c>
      <c r="H190">
        <v>2615922</v>
      </c>
      <c r="I190" t="s">
        <v>7849</v>
      </c>
      <c r="J190">
        <v>2007</v>
      </c>
      <c r="K190" t="s">
        <v>7845</v>
      </c>
      <c r="L190" t="s">
        <v>7837</v>
      </c>
    </row>
    <row r="191" spans="1:12">
      <c r="A191" t="s">
        <v>7830</v>
      </c>
      <c r="B191" t="s">
        <v>7831</v>
      </c>
      <c r="C191" t="s">
        <v>7832</v>
      </c>
      <c r="D191" t="s">
        <v>7833</v>
      </c>
      <c r="E191" t="s">
        <v>7834</v>
      </c>
      <c r="F191">
        <v>274606058</v>
      </c>
      <c r="G191">
        <v>13796091</v>
      </c>
      <c r="H191">
        <v>4434434</v>
      </c>
      <c r="I191" t="s">
        <v>7849</v>
      </c>
      <c r="J191">
        <v>2007</v>
      </c>
      <c r="K191" t="s">
        <v>7846</v>
      </c>
      <c r="L191" t="s">
        <v>7837</v>
      </c>
    </row>
    <row r="192" spans="1:12">
      <c r="A192" t="s">
        <v>7830</v>
      </c>
      <c r="B192" t="s">
        <v>7831</v>
      </c>
      <c r="C192" t="s">
        <v>7832</v>
      </c>
      <c r="D192" t="s">
        <v>7833</v>
      </c>
      <c r="E192" t="s">
        <v>7834</v>
      </c>
      <c r="F192">
        <v>230889025</v>
      </c>
      <c r="G192">
        <v>15723455</v>
      </c>
      <c r="H192">
        <v>3790528</v>
      </c>
      <c r="I192" t="s">
        <v>7849</v>
      </c>
      <c r="J192">
        <v>2007</v>
      </c>
      <c r="K192" t="s">
        <v>7847</v>
      </c>
      <c r="L192" t="s">
        <v>7837</v>
      </c>
    </row>
    <row r="193" spans="1:12">
      <c r="A193" t="s">
        <v>7830</v>
      </c>
      <c r="B193" t="s">
        <v>7831</v>
      </c>
      <c r="C193" t="s">
        <v>7832</v>
      </c>
      <c r="D193" t="s">
        <v>7833</v>
      </c>
      <c r="E193" t="s">
        <v>7834</v>
      </c>
      <c r="F193">
        <v>140218924</v>
      </c>
      <c r="G193">
        <v>5490964</v>
      </c>
      <c r="H193">
        <v>2619268</v>
      </c>
      <c r="I193" t="s">
        <v>7849</v>
      </c>
      <c r="J193">
        <v>2007</v>
      </c>
      <c r="K193" t="s">
        <v>7848</v>
      </c>
      <c r="L193" t="s">
        <v>7837</v>
      </c>
    </row>
    <row r="194" spans="1:12">
      <c r="A194" t="s">
        <v>7830</v>
      </c>
      <c r="B194" t="s">
        <v>7831</v>
      </c>
      <c r="C194" t="s">
        <v>7832</v>
      </c>
      <c r="D194" t="s">
        <v>7833</v>
      </c>
      <c r="E194" t="s">
        <v>7834</v>
      </c>
      <c r="F194">
        <v>179362408</v>
      </c>
      <c r="G194">
        <v>15876842</v>
      </c>
      <c r="H194">
        <v>2572176</v>
      </c>
      <c r="I194" t="s">
        <v>7849</v>
      </c>
      <c r="J194">
        <v>2008</v>
      </c>
      <c r="K194" t="s">
        <v>7836</v>
      </c>
      <c r="L194" t="s">
        <v>7837</v>
      </c>
    </row>
    <row r="195" spans="1:12">
      <c r="A195" t="s">
        <v>7830</v>
      </c>
      <c r="B195" t="s">
        <v>7831</v>
      </c>
      <c r="C195" t="s">
        <v>7832</v>
      </c>
      <c r="D195" t="s">
        <v>7833</v>
      </c>
      <c r="E195" t="s">
        <v>7834</v>
      </c>
      <c r="F195">
        <v>131434338</v>
      </c>
      <c r="G195">
        <v>7648430</v>
      </c>
      <c r="H195">
        <v>1956043</v>
      </c>
      <c r="I195" t="s">
        <v>7849</v>
      </c>
      <c r="J195">
        <v>2008</v>
      </c>
      <c r="K195" t="s">
        <v>7838</v>
      </c>
      <c r="L195" t="s">
        <v>7837</v>
      </c>
    </row>
    <row r="196" spans="1:12">
      <c r="A196" t="s">
        <v>7830</v>
      </c>
      <c r="B196" t="s">
        <v>7831</v>
      </c>
      <c r="C196" t="s">
        <v>7832</v>
      </c>
      <c r="D196" t="s">
        <v>7833</v>
      </c>
      <c r="E196" t="s">
        <v>7834</v>
      </c>
      <c r="F196">
        <v>159064917</v>
      </c>
      <c r="G196">
        <v>8011555</v>
      </c>
      <c r="H196">
        <v>2246477</v>
      </c>
      <c r="I196" t="s">
        <v>7849</v>
      </c>
      <c r="J196">
        <v>2008</v>
      </c>
      <c r="K196" t="s">
        <v>7839</v>
      </c>
      <c r="L196" t="s">
        <v>7837</v>
      </c>
    </row>
    <row r="197" spans="1:12">
      <c r="A197" t="s">
        <v>7830</v>
      </c>
      <c r="B197" t="s">
        <v>7831</v>
      </c>
      <c r="C197" t="s">
        <v>7832</v>
      </c>
      <c r="D197" t="s">
        <v>7833</v>
      </c>
      <c r="E197" t="s">
        <v>7834</v>
      </c>
      <c r="F197">
        <v>174831501</v>
      </c>
      <c r="G197">
        <v>21459230</v>
      </c>
      <c r="H197">
        <v>2496793</v>
      </c>
      <c r="I197" t="s">
        <v>7849</v>
      </c>
      <c r="J197">
        <v>2008</v>
      </c>
      <c r="K197" t="s">
        <v>7840</v>
      </c>
      <c r="L197" t="s">
        <v>7837</v>
      </c>
    </row>
    <row r="198" spans="1:12">
      <c r="A198" t="s">
        <v>7830</v>
      </c>
      <c r="B198" t="s">
        <v>7831</v>
      </c>
      <c r="C198" t="s">
        <v>7832</v>
      </c>
      <c r="D198" t="s">
        <v>7833</v>
      </c>
      <c r="E198" t="s">
        <v>7834</v>
      </c>
      <c r="F198">
        <v>196149785</v>
      </c>
      <c r="G198">
        <v>14932739</v>
      </c>
      <c r="H198">
        <v>3046314</v>
      </c>
      <c r="I198" t="s">
        <v>7849</v>
      </c>
      <c r="J198">
        <v>2008</v>
      </c>
      <c r="K198" t="s">
        <v>7841</v>
      </c>
      <c r="L198" t="s">
        <v>7837</v>
      </c>
    </row>
    <row r="199" spans="1:12">
      <c r="A199" t="s">
        <v>7830</v>
      </c>
      <c r="B199" t="s">
        <v>7831</v>
      </c>
      <c r="C199" t="s">
        <v>7832</v>
      </c>
      <c r="D199" t="s">
        <v>7833</v>
      </c>
      <c r="E199" t="s">
        <v>7834</v>
      </c>
      <c r="F199">
        <v>156825975</v>
      </c>
      <c r="G199">
        <v>17186137</v>
      </c>
      <c r="H199">
        <v>2205653</v>
      </c>
      <c r="I199" t="s">
        <v>7849</v>
      </c>
      <c r="J199">
        <v>2008</v>
      </c>
      <c r="K199" t="s">
        <v>7842</v>
      </c>
      <c r="L199" t="s">
        <v>7837</v>
      </c>
    </row>
    <row r="200" spans="1:12">
      <c r="A200" t="s">
        <v>7830</v>
      </c>
      <c r="B200" t="s">
        <v>7831</v>
      </c>
      <c r="C200" t="s">
        <v>7832</v>
      </c>
      <c r="D200" t="s">
        <v>7833</v>
      </c>
      <c r="E200" t="s">
        <v>7834</v>
      </c>
      <c r="F200">
        <v>169691101</v>
      </c>
      <c r="G200">
        <v>7916666</v>
      </c>
      <c r="H200">
        <v>2350047</v>
      </c>
      <c r="I200" t="s">
        <v>7849</v>
      </c>
      <c r="J200">
        <v>2008</v>
      </c>
      <c r="K200" t="s">
        <v>7843</v>
      </c>
      <c r="L200" t="s">
        <v>7837</v>
      </c>
    </row>
    <row r="201" spans="1:12">
      <c r="A201" t="s">
        <v>7830</v>
      </c>
      <c r="B201" t="s">
        <v>7831</v>
      </c>
      <c r="C201" t="s">
        <v>7832</v>
      </c>
      <c r="D201" t="s">
        <v>7833</v>
      </c>
      <c r="E201" t="s">
        <v>7834</v>
      </c>
      <c r="F201">
        <v>118473528</v>
      </c>
      <c r="G201">
        <v>3357595</v>
      </c>
      <c r="H201">
        <v>1893715</v>
      </c>
      <c r="I201" t="s">
        <v>7849</v>
      </c>
      <c r="J201">
        <v>2008</v>
      </c>
      <c r="K201" t="s">
        <v>7844</v>
      </c>
      <c r="L201" t="s">
        <v>7837</v>
      </c>
    </row>
    <row r="202" spans="1:12">
      <c r="A202" t="s">
        <v>7830</v>
      </c>
      <c r="B202" t="s">
        <v>7831</v>
      </c>
      <c r="C202" t="s">
        <v>7832</v>
      </c>
      <c r="D202" t="s">
        <v>7833</v>
      </c>
      <c r="E202" t="s">
        <v>7834</v>
      </c>
      <c r="F202">
        <v>169711622</v>
      </c>
      <c r="G202">
        <v>3929117</v>
      </c>
      <c r="H202">
        <v>2512318</v>
      </c>
      <c r="I202" t="s">
        <v>7849</v>
      </c>
      <c r="J202">
        <v>2008</v>
      </c>
      <c r="K202" t="s">
        <v>7845</v>
      </c>
      <c r="L202" t="s">
        <v>7837</v>
      </c>
    </row>
    <row r="203" spans="1:12">
      <c r="A203" t="s">
        <v>7830</v>
      </c>
      <c r="B203" t="s">
        <v>7831</v>
      </c>
      <c r="C203" t="s">
        <v>7832</v>
      </c>
      <c r="D203" t="s">
        <v>7833</v>
      </c>
      <c r="E203" t="s">
        <v>7834</v>
      </c>
      <c r="F203">
        <v>222146478</v>
      </c>
      <c r="G203">
        <v>15890876</v>
      </c>
      <c r="H203">
        <v>3221083</v>
      </c>
      <c r="I203" t="s">
        <v>7849</v>
      </c>
      <c r="J203">
        <v>2008</v>
      </c>
      <c r="K203" t="s">
        <v>7846</v>
      </c>
      <c r="L203" t="s">
        <v>7837</v>
      </c>
    </row>
    <row r="204" spans="1:12">
      <c r="A204" t="s">
        <v>7830</v>
      </c>
      <c r="B204" t="s">
        <v>7831</v>
      </c>
      <c r="C204" t="s">
        <v>7832</v>
      </c>
      <c r="D204" t="s">
        <v>7833</v>
      </c>
      <c r="E204" t="s">
        <v>7834</v>
      </c>
      <c r="F204">
        <v>168220111</v>
      </c>
      <c r="G204">
        <v>8997435</v>
      </c>
      <c r="H204">
        <v>2601745</v>
      </c>
      <c r="I204" t="s">
        <v>7849</v>
      </c>
      <c r="J204">
        <v>2008</v>
      </c>
      <c r="K204" t="s">
        <v>7847</v>
      </c>
      <c r="L204" t="s">
        <v>7837</v>
      </c>
    </row>
    <row r="205" spans="1:12">
      <c r="A205" t="s">
        <v>7830</v>
      </c>
      <c r="B205" t="s">
        <v>7831</v>
      </c>
      <c r="C205" t="s">
        <v>7832</v>
      </c>
      <c r="D205" t="s">
        <v>7833</v>
      </c>
      <c r="E205" t="s">
        <v>7834</v>
      </c>
      <c r="F205">
        <v>115087661</v>
      </c>
      <c r="G205">
        <v>1005340</v>
      </c>
      <c r="H205">
        <v>1596131</v>
      </c>
      <c r="I205" t="s">
        <v>7849</v>
      </c>
      <c r="J205">
        <v>2008</v>
      </c>
      <c r="K205" t="s">
        <v>7848</v>
      </c>
      <c r="L205" t="s">
        <v>7837</v>
      </c>
    </row>
    <row r="206" spans="1:12">
      <c r="A206" t="s">
        <v>7830</v>
      </c>
      <c r="B206" t="s">
        <v>7831</v>
      </c>
      <c r="C206" t="s">
        <v>7832</v>
      </c>
      <c r="D206" t="s">
        <v>7833</v>
      </c>
      <c r="E206" t="s">
        <v>7834</v>
      </c>
      <c r="F206">
        <v>142347528</v>
      </c>
      <c r="G206">
        <v>6134386</v>
      </c>
      <c r="H206">
        <v>1883907</v>
      </c>
      <c r="I206" t="s">
        <v>7849</v>
      </c>
      <c r="J206">
        <v>2009</v>
      </c>
      <c r="K206" t="s">
        <v>7836</v>
      </c>
      <c r="L206" t="s">
        <v>7837</v>
      </c>
    </row>
    <row r="207" spans="1:12">
      <c r="A207" t="s">
        <v>7830</v>
      </c>
      <c r="B207" t="s">
        <v>7831</v>
      </c>
      <c r="C207" t="s">
        <v>7832</v>
      </c>
      <c r="D207" t="s">
        <v>7833</v>
      </c>
      <c r="E207" t="s">
        <v>7834</v>
      </c>
      <c r="F207">
        <v>156181713</v>
      </c>
      <c r="G207">
        <v>779211</v>
      </c>
      <c r="H207">
        <v>2068422</v>
      </c>
      <c r="I207" t="s">
        <v>7849</v>
      </c>
      <c r="J207">
        <v>2009</v>
      </c>
      <c r="K207" t="s">
        <v>7838</v>
      </c>
      <c r="L207" t="s">
        <v>7837</v>
      </c>
    </row>
    <row r="208" spans="1:12">
      <c r="A208" t="s">
        <v>7830</v>
      </c>
      <c r="B208" t="s">
        <v>7831</v>
      </c>
      <c r="C208" t="s">
        <v>7832</v>
      </c>
      <c r="D208" t="s">
        <v>7833</v>
      </c>
      <c r="E208" t="s">
        <v>7834</v>
      </c>
      <c r="F208">
        <v>161132418</v>
      </c>
      <c r="G208">
        <v>891458</v>
      </c>
      <c r="H208">
        <v>2271787</v>
      </c>
      <c r="I208" t="s">
        <v>7849</v>
      </c>
      <c r="J208">
        <v>2009</v>
      </c>
      <c r="K208" t="s">
        <v>7839</v>
      </c>
      <c r="L208" t="s">
        <v>7837</v>
      </c>
    </row>
    <row r="209" spans="1:12">
      <c r="A209" t="s">
        <v>7830</v>
      </c>
      <c r="B209" t="s">
        <v>7831</v>
      </c>
      <c r="C209" t="s">
        <v>7832</v>
      </c>
      <c r="D209" t="s">
        <v>7833</v>
      </c>
      <c r="E209" t="s">
        <v>7834</v>
      </c>
      <c r="F209">
        <v>166993950</v>
      </c>
      <c r="G209">
        <v>1072649</v>
      </c>
      <c r="H209">
        <v>2200826</v>
      </c>
      <c r="I209" t="s">
        <v>7849</v>
      </c>
      <c r="J209">
        <v>2009</v>
      </c>
      <c r="K209" t="s">
        <v>7840</v>
      </c>
      <c r="L209" t="s">
        <v>7837</v>
      </c>
    </row>
    <row r="210" spans="1:12">
      <c r="A210" t="s">
        <v>7830</v>
      </c>
      <c r="B210" t="s">
        <v>7831</v>
      </c>
      <c r="C210" t="s">
        <v>7832</v>
      </c>
      <c r="D210" t="s">
        <v>7833</v>
      </c>
      <c r="E210" t="s">
        <v>7834</v>
      </c>
      <c r="F210">
        <v>176188844</v>
      </c>
      <c r="G210">
        <v>871427</v>
      </c>
      <c r="H210">
        <v>2059885</v>
      </c>
      <c r="I210" t="s">
        <v>7849</v>
      </c>
      <c r="J210">
        <v>2009</v>
      </c>
      <c r="K210" t="s">
        <v>7841</v>
      </c>
      <c r="L210" t="s">
        <v>7837</v>
      </c>
    </row>
    <row r="211" spans="1:12">
      <c r="A211" t="s">
        <v>7830</v>
      </c>
      <c r="B211" t="s">
        <v>7831</v>
      </c>
      <c r="C211" t="s">
        <v>7832</v>
      </c>
      <c r="D211" t="s">
        <v>7833</v>
      </c>
      <c r="E211" t="s">
        <v>7834</v>
      </c>
      <c r="F211">
        <v>257240628</v>
      </c>
      <c r="G211">
        <v>823894</v>
      </c>
      <c r="H211">
        <v>2317981</v>
      </c>
      <c r="I211" t="s">
        <v>7849</v>
      </c>
      <c r="J211">
        <v>2009</v>
      </c>
      <c r="K211" t="s">
        <v>7842</v>
      </c>
      <c r="L211" t="s">
        <v>7837</v>
      </c>
    </row>
    <row r="212" spans="1:12">
      <c r="A212" t="s">
        <v>7830</v>
      </c>
      <c r="B212" t="s">
        <v>7831</v>
      </c>
      <c r="C212" t="s">
        <v>7832</v>
      </c>
      <c r="D212" t="s">
        <v>7833</v>
      </c>
      <c r="E212" t="s">
        <v>7834</v>
      </c>
      <c r="F212">
        <v>178944765</v>
      </c>
      <c r="G212">
        <v>755197</v>
      </c>
      <c r="H212">
        <v>2186689</v>
      </c>
      <c r="I212" t="s">
        <v>7849</v>
      </c>
      <c r="J212">
        <v>2009</v>
      </c>
      <c r="K212" t="s">
        <v>7843</v>
      </c>
      <c r="L212" t="s">
        <v>7837</v>
      </c>
    </row>
    <row r="213" spans="1:12">
      <c r="A213" t="s">
        <v>7830</v>
      </c>
      <c r="B213" t="s">
        <v>7831</v>
      </c>
      <c r="C213" t="s">
        <v>7832</v>
      </c>
      <c r="D213" t="s">
        <v>7833</v>
      </c>
      <c r="E213" t="s">
        <v>7834</v>
      </c>
      <c r="F213">
        <v>173125950</v>
      </c>
      <c r="G213">
        <v>1042320</v>
      </c>
      <c r="H213">
        <v>1910803</v>
      </c>
      <c r="I213" t="s">
        <v>7849</v>
      </c>
      <c r="J213">
        <v>2009</v>
      </c>
      <c r="K213" t="s">
        <v>7844</v>
      </c>
      <c r="L213" t="s">
        <v>7837</v>
      </c>
    </row>
    <row r="214" spans="1:12">
      <c r="A214" t="s">
        <v>7830</v>
      </c>
      <c r="B214" t="s">
        <v>7831</v>
      </c>
      <c r="C214" t="s">
        <v>7832</v>
      </c>
      <c r="D214" t="s">
        <v>7833</v>
      </c>
      <c r="E214" t="s">
        <v>7834</v>
      </c>
      <c r="F214">
        <v>174870452</v>
      </c>
      <c r="G214">
        <v>1952164</v>
      </c>
      <c r="H214">
        <v>2393453</v>
      </c>
      <c r="I214" t="s">
        <v>7849</v>
      </c>
      <c r="J214">
        <v>2009</v>
      </c>
      <c r="K214" t="s">
        <v>7845</v>
      </c>
      <c r="L214" t="s">
        <v>7837</v>
      </c>
    </row>
    <row r="215" spans="1:12">
      <c r="A215" t="s">
        <v>7830</v>
      </c>
      <c r="B215" t="s">
        <v>7831</v>
      </c>
      <c r="C215" t="s">
        <v>7832</v>
      </c>
      <c r="D215" t="s">
        <v>7833</v>
      </c>
      <c r="E215" t="s">
        <v>7834</v>
      </c>
      <c r="F215">
        <v>187707794</v>
      </c>
      <c r="G215">
        <v>818721</v>
      </c>
      <c r="H215">
        <v>2548325</v>
      </c>
      <c r="I215" t="s">
        <v>7849</v>
      </c>
      <c r="J215">
        <v>2009</v>
      </c>
      <c r="K215" t="s">
        <v>7846</v>
      </c>
      <c r="L215" t="s">
        <v>7837</v>
      </c>
    </row>
    <row r="216" spans="1:12">
      <c r="A216" t="s">
        <v>7830</v>
      </c>
      <c r="B216" t="s">
        <v>7831</v>
      </c>
      <c r="C216" t="s">
        <v>7832</v>
      </c>
      <c r="D216" t="s">
        <v>7833</v>
      </c>
      <c r="E216" t="s">
        <v>7834</v>
      </c>
      <c r="F216">
        <v>315354186</v>
      </c>
      <c r="G216">
        <v>997667</v>
      </c>
      <c r="H216">
        <v>2956074</v>
      </c>
      <c r="I216" t="s">
        <v>7849</v>
      </c>
      <c r="J216">
        <v>2009</v>
      </c>
      <c r="K216" t="s">
        <v>7847</v>
      </c>
      <c r="L216" t="s">
        <v>7837</v>
      </c>
    </row>
    <row r="217" spans="1:12">
      <c r="A217" t="s">
        <v>7830</v>
      </c>
      <c r="B217" t="s">
        <v>7831</v>
      </c>
      <c r="C217" t="s">
        <v>7832</v>
      </c>
      <c r="D217" t="s">
        <v>7833</v>
      </c>
      <c r="E217" t="s">
        <v>7834</v>
      </c>
      <c r="F217">
        <v>212460404</v>
      </c>
      <c r="G217">
        <v>996806</v>
      </c>
      <c r="H217">
        <v>2234268</v>
      </c>
      <c r="I217" t="s">
        <v>7849</v>
      </c>
      <c r="J217">
        <v>2009</v>
      </c>
      <c r="K217" t="s">
        <v>7848</v>
      </c>
      <c r="L217" t="s">
        <v>7837</v>
      </c>
    </row>
    <row r="218" spans="1:12">
      <c r="A218" t="s">
        <v>7830</v>
      </c>
      <c r="B218" t="s">
        <v>7831</v>
      </c>
      <c r="C218" t="s">
        <v>7832</v>
      </c>
      <c r="D218" t="s">
        <v>7833</v>
      </c>
      <c r="E218" t="s">
        <v>7834</v>
      </c>
      <c r="F218">
        <v>202572905</v>
      </c>
      <c r="G218">
        <v>934181</v>
      </c>
      <c r="H218">
        <v>1504789</v>
      </c>
      <c r="I218" t="s">
        <v>7849</v>
      </c>
      <c r="J218">
        <v>2010</v>
      </c>
      <c r="K218" t="s">
        <v>7836</v>
      </c>
      <c r="L218" t="s">
        <v>7837</v>
      </c>
    </row>
    <row r="219" spans="1:12">
      <c r="A219" t="s">
        <v>7830</v>
      </c>
      <c r="B219" t="s">
        <v>7831</v>
      </c>
      <c r="C219" t="s">
        <v>7832</v>
      </c>
      <c r="D219" t="s">
        <v>7833</v>
      </c>
      <c r="E219" t="s">
        <v>7834</v>
      </c>
      <c r="F219">
        <v>193837782</v>
      </c>
      <c r="G219">
        <v>639175</v>
      </c>
      <c r="H219">
        <v>1864388</v>
      </c>
      <c r="I219" t="s">
        <v>7849</v>
      </c>
      <c r="J219">
        <v>2010</v>
      </c>
      <c r="K219" t="s">
        <v>7838</v>
      </c>
      <c r="L219" t="s">
        <v>7837</v>
      </c>
    </row>
    <row r="220" spans="1:12">
      <c r="A220" t="s">
        <v>7830</v>
      </c>
      <c r="B220" t="s">
        <v>7831</v>
      </c>
      <c r="C220" t="s">
        <v>7832</v>
      </c>
      <c r="D220" t="s">
        <v>7833</v>
      </c>
      <c r="E220" t="s">
        <v>7834</v>
      </c>
      <c r="F220">
        <v>293810594</v>
      </c>
      <c r="G220">
        <v>1176735</v>
      </c>
      <c r="H220">
        <v>2792955</v>
      </c>
      <c r="I220" t="s">
        <v>7849</v>
      </c>
      <c r="J220">
        <v>2010</v>
      </c>
      <c r="K220" t="s">
        <v>7839</v>
      </c>
      <c r="L220" t="s">
        <v>7837</v>
      </c>
    </row>
    <row r="221" spans="1:12">
      <c r="A221" t="s">
        <v>7830</v>
      </c>
      <c r="B221" t="s">
        <v>7831</v>
      </c>
      <c r="C221" t="s">
        <v>7832</v>
      </c>
      <c r="D221" t="s">
        <v>7833</v>
      </c>
      <c r="E221" t="s">
        <v>7834</v>
      </c>
      <c r="F221">
        <v>267101686</v>
      </c>
      <c r="G221">
        <v>716354</v>
      </c>
      <c r="H221">
        <v>2377860</v>
      </c>
      <c r="I221" t="s">
        <v>7849</v>
      </c>
      <c r="J221">
        <v>2010</v>
      </c>
      <c r="K221" t="s">
        <v>7840</v>
      </c>
      <c r="L221" t="s">
        <v>7837</v>
      </c>
    </row>
    <row r="222" spans="1:12">
      <c r="A222" t="s">
        <v>7830</v>
      </c>
      <c r="B222" t="s">
        <v>7831</v>
      </c>
      <c r="C222" t="s">
        <v>7832</v>
      </c>
      <c r="D222" t="s">
        <v>7833</v>
      </c>
      <c r="E222" t="s">
        <v>7834</v>
      </c>
      <c r="F222">
        <v>262169391</v>
      </c>
      <c r="G222">
        <v>718650</v>
      </c>
      <c r="H222">
        <v>2395973</v>
      </c>
      <c r="I222" t="s">
        <v>7849</v>
      </c>
      <c r="J222">
        <v>2010</v>
      </c>
      <c r="K222" t="s">
        <v>7841</v>
      </c>
      <c r="L222" t="s">
        <v>7837</v>
      </c>
    </row>
    <row r="223" spans="1:12">
      <c r="A223" t="s">
        <v>7830</v>
      </c>
      <c r="B223" t="s">
        <v>7831</v>
      </c>
      <c r="C223" t="s">
        <v>7832</v>
      </c>
      <c r="D223" t="s">
        <v>7833</v>
      </c>
      <c r="E223" t="s">
        <v>7834</v>
      </c>
      <c r="F223">
        <v>235893260</v>
      </c>
      <c r="G223">
        <v>592476</v>
      </c>
      <c r="H223">
        <v>2219853</v>
      </c>
      <c r="I223" t="s">
        <v>7849</v>
      </c>
      <c r="J223">
        <v>2010</v>
      </c>
      <c r="K223" t="s">
        <v>7842</v>
      </c>
      <c r="L223" t="s">
        <v>7837</v>
      </c>
    </row>
    <row r="224" spans="1:12">
      <c r="A224" t="s">
        <v>7830</v>
      </c>
      <c r="B224" t="s">
        <v>7831</v>
      </c>
      <c r="C224" t="s">
        <v>7832</v>
      </c>
      <c r="D224" t="s">
        <v>7833</v>
      </c>
      <c r="E224" t="s">
        <v>7834</v>
      </c>
      <c r="F224">
        <v>355145336</v>
      </c>
      <c r="G224">
        <v>633028</v>
      </c>
      <c r="H224">
        <v>2527955</v>
      </c>
      <c r="I224" t="s">
        <v>7849</v>
      </c>
      <c r="J224">
        <v>2010</v>
      </c>
      <c r="K224" t="s">
        <v>7843</v>
      </c>
      <c r="L224" t="s">
        <v>7837</v>
      </c>
    </row>
    <row r="225" spans="1:12">
      <c r="A225" t="s">
        <v>7830</v>
      </c>
      <c r="B225" t="s">
        <v>7831</v>
      </c>
      <c r="C225" t="s">
        <v>7832</v>
      </c>
      <c r="D225" t="s">
        <v>7833</v>
      </c>
      <c r="E225" t="s">
        <v>7834</v>
      </c>
      <c r="F225">
        <v>382013510</v>
      </c>
      <c r="G225">
        <v>667850</v>
      </c>
      <c r="H225">
        <v>2584661</v>
      </c>
      <c r="I225" t="s">
        <v>7849</v>
      </c>
      <c r="J225">
        <v>2010</v>
      </c>
      <c r="K225" t="s">
        <v>7844</v>
      </c>
      <c r="L225" t="s">
        <v>7837</v>
      </c>
    </row>
    <row r="226" spans="1:12">
      <c r="A226" t="s">
        <v>7830</v>
      </c>
      <c r="B226" t="s">
        <v>7831</v>
      </c>
      <c r="C226" t="s">
        <v>7832</v>
      </c>
      <c r="D226" t="s">
        <v>7833</v>
      </c>
      <c r="E226" t="s">
        <v>7834</v>
      </c>
      <c r="F226">
        <v>318595862</v>
      </c>
      <c r="G226">
        <v>641943</v>
      </c>
      <c r="H226">
        <v>2607098</v>
      </c>
      <c r="I226" t="s">
        <v>7849</v>
      </c>
      <c r="J226">
        <v>2010</v>
      </c>
      <c r="K226" t="s">
        <v>7845</v>
      </c>
      <c r="L226" t="s">
        <v>7837</v>
      </c>
    </row>
    <row r="227" spans="1:12">
      <c r="A227" t="s">
        <v>7830</v>
      </c>
      <c r="B227" t="s">
        <v>7831</v>
      </c>
      <c r="C227" t="s">
        <v>7832</v>
      </c>
      <c r="D227" t="s">
        <v>7833</v>
      </c>
      <c r="E227" t="s">
        <v>7834</v>
      </c>
      <c r="F227">
        <v>265305300</v>
      </c>
      <c r="G227">
        <v>624020</v>
      </c>
      <c r="H227">
        <v>2361724</v>
      </c>
      <c r="I227" t="s">
        <v>7849</v>
      </c>
      <c r="J227">
        <v>2010</v>
      </c>
      <c r="K227" t="s">
        <v>7846</v>
      </c>
      <c r="L227" t="s">
        <v>7837</v>
      </c>
    </row>
    <row r="228" spans="1:12">
      <c r="A228" t="s">
        <v>7830</v>
      </c>
      <c r="B228" t="s">
        <v>7831</v>
      </c>
      <c r="C228" t="s">
        <v>7832</v>
      </c>
      <c r="D228" t="s">
        <v>7833</v>
      </c>
      <c r="E228" t="s">
        <v>7834</v>
      </c>
      <c r="F228">
        <v>374189756</v>
      </c>
      <c r="G228">
        <v>1003606</v>
      </c>
      <c r="H228">
        <v>3559390</v>
      </c>
      <c r="I228" t="s">
        <v>7849</v>
      </c>
      <c r="J228">
        <v>2010</v>
      </c>
      <c r="K228" t="s">
        <v>7847</v>
      </c>
      <c r="L228" t="s">
        <v>7837</v>
      </c>
    </row>
    <row r="229" spans="1:12">
      <c r="A229" t="s">
        <v>7830</v>
      </c>
      <c r="B229" t="s">
        <v>7831</v>
      </c>
      <c r="C229" t="s">
        <v>7832</v>
      </c>
      <c r="D229" t="s">
        <v>7833</v>
      </c>
      <c r="E229" t="s">
        <v>7834</v>
      </c>
      <c r="F229">
        <v>273265037</v>
      </c>
      <c r="G229">
        <v>591814</v>
      </c>
      <c r="H229">
        <v>2507975</v>
      </c>
      <c r="I229" t="s">
        <v>7849</v>
      </c>
      <c r="J229">
        <v>2010</v>
      </c>
      <c r="K229" t="s">
        <v>7848</v>
      </c>
      <c r="L229" t="s">
        <v>7837</v>
      </c>
    </row>
    <row r="230" spans="1:12">
      <c r="A230" t="s">
        <v>7830</v>
      </c>
      <c r="B230" t="s">
        <v>7831</v>
      </c>
      <c r="C230" t="s">
        <v>7832</v>
      </c>
      <c r="D230" t="s">
        <v>7833</v>
      </c>
      <c r="E230" t="s">
        <v>7834</v>
      </c>
      <c r="F230">
        <v>245604984</v>
      </c>
      <c r="G230">
        <v>398355</v>
      </c>
      <c r="H230">
        <v>1769432</v>
      </c>
      <c r="I230" t="s">
        <v>7849</v>
      </c>
      <c r="J230">
        <v>2011</v>
      </c>
      <c r="K230" t="s">
        <v>7836</v>
      </c>
      <c r="L230" t="s">
        <v>7837</v>
      </c>
    </row>
    <row r="231" spans="1:12">
      <c r="A231" t="s">
        <v>7830</v>
      </c>
      <c r="B231" t="s">
        <v>7831</v>
      </c>
      <c r="C231" t="s">
        <v>7832</v>
      </c>
      <c r="D231" t="s">
        <v>7833</v>
      </c>
      <c r="E231" t="s">
        <v>7834</v>
      </c>
      <c r="F231">
        <v>261709190</v>
      </c>
      <c r="G231">
        <v>388665</v>
      </c>
      <c r="H231">
        <v>1772596</v>
      </c>
      <c r="I231" t="s">
        <v>7849</v>
      </c>
      <c r="J231">
        <v>2011</v>
      </c>
      <c r="K231" t="s">
        <v>7838</v>
      </c>
      <c r="L231" t="s">
        <v>7837</v>
      </c>
    </row>
    <row r="232" spans="1:12">
      <c r="A232" t="s">
        <v>7830</v>
      </c>
      <c r="B232" t="s">
        <v>7831</v>
      </c>
      <c r="C232" t="s">
        <v>7832</v>
      </c>
      <c r="D232" t="s">
        <v>7833</v>
      </c>
      <c r="E232" t="s">
        <v>7834</v>
      </c>
      <c r="F232">
        <v>226800935</v>
      </c>
      <c r="G232">
        <v>1059347</v>
      </c>
      <c r="H232">
        <v>2046671</v>
      </c>
      <c r="I232" t="s">
        <v>7849</v>
      </c>
      <c r="J232">
        <v>2011</v>
      </c>
      <c r="K232" t="s">
        <v>7839</v>
      </c>
      <c r="L232" t="s">
        <v>7837</v>
      </c>
    </row>
    <row r="233" spans="1:12">
      <c r="A233" t="s">
        <v>7830</v>
      </c>
      <c r="B233" t="s">
        <v>7831</v>
      </c>
      <c r="C233" t="s">
        <v>7832</v>
      </c>
      <c r="D233" t="s">
        <v>7833</v>
      </c>
      <c r="E233" t="s">
        <v>7834</v>
      </c>
      <c r="F233">
        <v>182479675</v>
      </c>
      <c r="G233">
        <v>381369</v>
      </c>
      <c r="H233">
        <v>1450013</v>
      </c>
      <c r="I233" t="s">
        <v>7849</v>
      </c>
      <c r="J233">
        <v>2011</v>
      </c>
      <c r="K233" t="s">
        <v>7840</v>
      </c>
      <c r="L233" t="s">
        <v>7837</v>
      </c>
    </row>
    <row r="234" spans="1:12">
      <c r="A234" t="s">
        <v>7830</v>
      </c>
      <c r="B234" t="s">
        <v>7831</v>
      </c>
      <c r="C234" t="s">
        <v>7832</v>
      </c>
      <c r="D234" t="s">
        <v>7833</v>
      </c>
      <c r="E234" t="s">
        <v>7834</v>
      </c>
      <c r="F234">
        <v>207603800</v>
      </c>
      <c r="G234">
        <v>469948</v>
      </c>
      <c r="H234">
        <v>1873890</v>
      </c>
      <c r="I234" t="s">
        <v>7849</v>
      </c>
      <c r="J234">
        <v>2011</v>
      </c>
      <c r="K234" t="s">
        <v>7841</v>
      </c>
      <c r="L234" t="s">
        <v>7837</v>
      </c>
    </row>
    <row r="235" spans="1:12">
      <c r="A235" t="s">
        <v>7830</v>
      </c>
      <c r="B235" t="s">
        <v>7831</v>
      </c>
      <c r="C235" t="s">
        <v>7832</v>
      </c>
      <c r="D235" t="s">
        <v>7833</v>
      </c>
      <c r="E235" t="s">
        <v>7834</v>
      </c>
      <c r="F235">
        <v>215271110</v>
      </c>
      <c r="G235">
        <v>471849</v>
      </c>
      <c r="H235">
        <v>1253118</v>
      </c>
      <c r="I235" t="s">
        <v>7849</v>
      </c>
      <c r="J235">
        <v>2011</v>
      </c>
      <c r="K235" t="s">
        <v>7842</v>
      </c>
      <c r="L235" t="s">
        <v>7837</v>
      </c>
    </row>
    <row r="236" spans="1:12">
      <c r="A236" t="s">
        <v>7830</v>
      </c>
      <c r="B236" t="s">
        <v>7831</v>
      </c>
      <c r="C236" t="s">
        <v>7832</v>
      </c>
      <c r="D236" t="s">
        <v>7833</v>
      </c>
      <c r="E236" t="s">
        <v>7834</v>
      </c>
      <c r="F236">
        <v>165394413</v>
      </c>
      <c r="G236">
        <v>412079</v>
      </c>
      <c r="H236">
        <v>1343482</v>
      </c>
      <c r="I236" t="s">
        <v>7849</v>
      </c>
      <c r="J236">
        <v>2011</v>
      </c>
      <c r="K236" t="s">
        <v>7843</v>
      </c>
      <c r="L236" t="s">
        <v>7837</v>
      </c>
    </row>
    <row r="237" spans="1:12">
      <c r="A237" t="s">
        <v>7830</v>
      </c>
      <c r="B237" t="s">
        <v>7831</v>
      </c>
      <c r="C237" t="s">
        <v>7832</v>
      </c>
      <c r="D237" t="s">
        <v>7833</v>
      </c>
      <c r="E237" t="s">
        <v>7834</v>
      </c>
      <c r="F237">
        <v>226071206</v>
      </c>
      <c r="G237">
        <v>461968</v>
      </c>
      <c r="H237">
        <v>1251182</v>
      </c>
      <c r="I237" t="s">
        <v>7849</v>
      </c>
      <c r="J237">
        <v>2011</v>
      </c>
      <c r="K237" t="s">
        <v>7844</v>
      </c>
      <c r="L237" t="s">
        <v>7837</v>
      </c>
    </row>
    <row r="238" spans="1:12">
      <c r="A238" t="s">
        <v>7830</v>
      </c>
      <c r="B238" t="s">
        <v>7831</v>
      </c>
      <c r="C238" t="s">
        <v>7832</v>
      </c>
      <c r="D238" t="s">
        <v>7833</v>
      </c>
      <c r="E238" t="s">
        <v>7834</v>
      </c>
      <c r="F238">
        <v>226972079</v>
      </c>
      <c r="G238">
        <v>511454</v>
      </c>
      <c r="H238">
        <v>1419802</v>
      </c>
      <c r="I238" t="s">
        <v>7849</v>
      </c>
      <c r="J238">
        <v>2011</v>
      </c>
      <c r="K238" t="s">
        <v>7845</v>
      </c>
      <c r="L238" t="s">
        <v>7837</v>
      </c>
    </row>
    <row r="239" spans="1:12">
      <c r="A239" t="s">
        <v>7830</v>
      </c>
      <c r="B239" t="s">
        <v>7831</v>
      </c>
      <c r="C239" t="s">
        <v>7832</v>
      </c>
      <c r="D239" t="s">
        <v>7833</v>
      </c>
      <c r="E239" t="s">
        <v>7834</v>
      </c>
      <c r="F239">
        <v>196734676</v>
      </c>
      <c r="G239">
        <v>305388</v>
      </c>
      <c r="H239">
        <v>1477561</v>
      </c>
      <c r="I239" t="s">
        <v>7849</v>
      </c>
      <c r="J239">
        <v>2011</v>
      </c>
      <c r="K239" t="s">
        <v>7846</v>
      </c>
      <c r="L239" t="s">
        <v>7837</v>
      </c>
    </row>
    <row r="240" spans="1:12">
      <c r="A240" t="s">
        <v>7830</v>
      </c>
      <c r="B240" t="s">
        <v>7831</v>
      </c>
      <c r="C240" t="s">
        <v>7832</v>
      </c>
      <c r="D240" t="s">
        <v>7833</v>
      </c>
      <c r="E240" t="s">
        <v>7834</v>
      </c>
      <c r="F240">
        <v>289774039</v>
      </c>
      <c r="G240">
        <v>486922</v>
      </c>
      <c r="H240">
        <v>1621406</v>
      </c>
      <c r="I240" t="s">
        <v>7849</v>
      </c>
      <c r="J240">
        <v>2011</v>
      </c>
      <c r="K240" t="s">
        <v>7847</v>
      </c>
      <c r="L240" t="s">
        <v>7837</v>
      </c>
    </row>
    <row r="241" spans="1:12">
      <c r="A241" t="s">
        <v>7830</v>
      </c>
      <c r="B241" t="s">
        <v>7831</v>
      </c>
      <c r="C241" t="s">
        <v>7832</v>
      </c>
      <c r="D241" t="s">
        <v>7833</v>
      </c>
      <c r="E241" t="s">
        <v>7834</v>
      </c>
      <c r="F241">
        <v>264063202</v>
      </c>
      <c r="G241">
        <v>197649</v>
      </c>
      <c r="H241">
        <v>1278989</v>
      </c>
      <c r="I241" t="s">
        <v>7849</v>
      </c>
      <c r="J241">
        <v>2011</v>
      </c>
      <c r="K241" t="s">
        <v>7848</v>
      </c>
      <c r="L241" t="s">
        <v>7837</v>
      </c>
    </row>
    <row r="242" spans="1:12">
      <c r="A242" t="s">
        <v>7830</v>
      </c>
      <c r="B242" t="s">
        <v>7831</v>
      </c>
      <c r="C242" t="s">
        <v>7832</v>
      </c>
      <c r="D242" t="s">
        <v>7833</v>
      </c>
      <c r="E242" t="s">
        <v>7834</v>
      </c>
      <c r="F242">
        <v>267704180</v>
      </c>
      <c r="G242">
        <v>221603</v>
      </c>
      <c r="H242">
        <v>1225715</v>
      </c>
      <c r="I242" t="s">
        <v>7849</v>
      </c>
      <c r="J242">
        <v>2012</v>
      </c>
      <c r="K242" t="s">
        <v>7836</v>
      </c>
      <c r="L242" t="s">
        <v>7837</v>
      </c>
    </row>
    <row r="243" spans="1:12">
      <c r="A243" t="s">
        <v>7830</v>
      </c>
      <c r="B243" t="s">
        <v>7831</v>
      </c>
      <c r="C243" t="s">
        <v>7832</v>
      </c>
      <c r="D243" t="s">
        <v>7833</v>
      </c>
      <c r="E243" t="s">
        <v>7834</v>
      </c>
      <c r="F243">
        <v>271517241</v>
      </c>
      <c r="G243">
        <v>285762</v>
      </c>
      <c r="H243">
        <v>1247347</v>
      </c>
      <c r="I243" t="s">
        <v>7849</v>
      </c>
      <c r="J243">
        <v>2012</v>
      </c>
      <c r="K243" t="s">
        <v>7838</v>
      </c>
      <c r="L243" t="s">
        <v>7837</v>
      </c>
    </row>
    <row r="244" spans="1:12">
      <c r="A244" t="s">
        <v>7830</v>
      </c>
      <c r="B244" t="s">
        <v>7831</v>
      </c>
      <c r="C244" t="s">
        <v>7832</v>
      </c>
      <c r="D244" t="s">
        <v>7833</v>
      </c>
      <c r="E244" t="s">
        <v>7834</v>
      </c>
      <c r="F244">
        <v>166718461</v>
      </c>
      <c r="G244">
        <v>199925</v>
      </c>
      <c r="H244">
        <v>1022588</v>
      </c>
      <c r="I244" t="s">
        <v>7849</v>
      </c>
      <c r="J244">
        <v>2012</v>
      </c>
      <c r="K244" t="s">
        <v>7839</v>
      </c>
      <c r="L244" t="s">
        <v>7837</v>
      </c>
    </row>
    <row r="245" spans="1:12">
      <c r="A245" t="s">
        <v>7830</v>
      </c>
      <c r="B245" t="s">
        <v>7831</v>
      </c>
      <c r="C245" t="s">
        <v>7832</v>
      </c>
      <c r="D245" t="s">
        <v>7833</v>
      </c>
      <c r="E245" t="s">
        <v>7834</v>
      </c>
      <c r="F245">
        <v>183579965</v>
      </c>
      <c r="G245">
        <v>7870549</v>
      </c>
      <c r="H245">
        <v>885505</v>
      </c>
      <c r="I245" t="s">
        <v>7849</v>
      </c>
      <c r="J245">
        <v>2012</v>
      </c>
      <c r="K245" t="s">
        <v>7840</v>
      </c>
      <c r="L245" t="s">
        <v>7837</v>
      </c>
    </row>
    <row r="246" spans="1:12">
      <c r="A246" t="s">
        <v>7830</v>
      </c>
      <c r="B246" t="s">
        <v>7831</v>
      </c>
      <c r="C246" t="s">
        <v>7832</v>
      </c>
      <c r="D246" t="s">
        <v>7833</v>
      </c>
      <c r="E246" t="s">
        <v>7834</v>
      </c>
      <c r="F246">
        <v>283247807</v>
      </c>
      <c r="G246">
        <v>265477</v>
      </c>
      <c r="H246">
        <v>1289053</v>
      </c>
      <c r="I246" t="s">
        <v>7849</v>
      </c>
      <c r="J246">
        <v>2012</v>
      </c>
      <c r="K246" t="s">
        <v>7841</v>
      </c>
      <c r="L246" t="s">
        <v>7837</v>
      </c>
    </row>
    <row r="247" spans="1:12">
      <c r="A247" t="s">
        <v>7830</v>
      </c>
      <c r="B247" t="s">
        <v>7831</v>
      </c>
      <c r="C247" t="s">
        <v>7832</v>
      </c>
      <c r="D247" t="s">
        <v>7833</v>
      </c>
      <c r="E247" t="s">
        <v>7834</v>
      </c>
      <c r="F247">
        <v>181884650</v>
      </c>
      <c r="G247">
        <v>201103</v>
      </c>
      <c r="H247">
        <v>949977</v>
      </c>
      <c r="I247" t="s">
        <v>7849</v>
      </c>
      <c r="J247">
        <v>2012</v>
      </c>
      <c r="K247" t="s">
        <v>7842</v>
      </c>
      <c r="L247" t="s">
        <v>7837</v>
      </c>
    </row>
    <row r="248" spans="1:12">
      <c r="A248" t="s">
        <v>7830</v>
      </c>
      <c r="B248" t="s">
        <v>7831</v>
      </c>
      <c r="C248" t="s">
        <v>7832</v>
      </c>
      <c r="D248" t="s">
        <v>7833</v>
      </c>
      <c r="E248" t="s">
        <v>7834</v>
      </c>
      <c r="F248">
        <v>203078079</v>
      </c>
      <c r="G248">
        <v>297624</v>
      </c>
      <c r="H248">
        <v>1086007</v>
      </c>
      <c r="I248" t="s">
        <v>7849</v>
      </c>
      <c r="J248">
        <v>2012</v>
      </c>
      <c r="K248" t="s">
        <v>7843</v>
      </c>
      <c r="L248" t="s">
        <v>7837</v>
      </c>
    </row>
    <row r="249" spans="1:12">
      <c r="A249" t="s">
        <v>7830</v>
      </c>
      <c r="B249" t="s">
        <v>7831</v>
      </c>
      <c r="C249" t="s">
        <v>7832</v>
      </c>
      <c r="D249" t="s">
        <v>7833</v>
      </c>
      <c r="E249" t="s">
        <v>7834</v>
      </c>
      <c r="F249">
        <v>284789004</v>
      </c>
      <c r="G249">
        <v>337199</v>
      </c>
      <c r="H249">
        <v>1326026</v>
      </c>
      <c r="I249" t="s">
        <v>7849</v>
      </c>
      <c r="J249">
        <v>2012</v>
      </c>
      <c r="K249" t="s">
        <v>7844</v>
      </c>
      <c r="L249" t="s">
        <v>7837</v>
      </c>
    </row>
    <row r="250" spans="1:12">
      <c r="A250" t="s">
        <v>7830</v>
      </c>
      <c r="B250" t="s">
        <v>7831</v>
      </c>
      <c r="C250" t="s">
        <v>7832</v>
      </c>
      <c r="D250" t="s">
        <v>7833</v>
      </c>
      <c r="E250" t="s">
        <v>7834</v>
      </c>
      <c r="F250">
        <v>180513708</v>
      </c>
      <c r="G250">
        <v>274670</v>
      </c>
      <c r="H250">
        <v>966362</v>
      </c>
      <c r="I250" t="s">
        <v>7849</v>
      </c>
      <c r="J250">
        <v>2012</v>
      </c>
      <c r="K250" t="s">
        <v>7845</v>
      </c>
      <c r="L250" t="s">
        <v>7837</v>
      </c>
    </row>
    <row r="251" spans="1:12">
      <c r="A251" t="s">
        <v>7830</v>
      </c>
      <c r="B251" t="s">
        <v>7831</v>
      </c>
      <c r="C251" t="s">
        <v>7832</v>
      </c>
      <c r="D251" t="s">
        <v>7833</v>
      </c>
      <c r="E251" t="s">
        <v>7834</v>
      </c>
      <c r="F251">
        <v>374935396</v>
      </c>
      <c r="G251">
        <v>15452437</v>
      </c>
      <c r="H251">
        <v>1549080</v>
      </c>
      <c r="I251" t="s">
        <v>7849</v>
      </c>
      <c r="J251">
        <v>2012</v>
      </c>
      <c r="K251" t="s">
        <v>7846</v>
      </c>
      <c r="L251" t="s">
        <v>7837</v>
      </c>
    </row>
    <row r="252" spans="1:12">
      <c r="A252" t="s">
        <v>7830</v>
      </c>
      <c r="B252" t="s">
        <v>7831</v>
      </c>
      <c r="C252" t="s">
        <v>7832</v>
      </c>
      <c r="D252" t="s">
        <v>7833</v>
      </c>
      <c r="E252" t="s">
        <v>7834</v>
      </c>
      <c r="F252">
        <v>612342622</v>
      </c>
      <c r="G252">
        <v>831081</v>
      </c>
      <c r="H252">
        <v>2245961</v>
      </c>
      <c r="I252" t="s">
        <v>7849</v>
      </c>
      <c r="J252">
        <v>2012</v>
      </c>
      <c r="K252" t="s">
        <v>7847</v>
      </c>
      <c r="L252" t="s">
        <v>7837</v>
      </c>
    </row>
    <row r="253" spans="1:12">
      <c r="A253" t="s">
        <v>7830</v>
      </c>
      <c r="B253" t="s">
        <v>7831</v>
      </c>
      <c r="C253" t="s">
        <v>7832</v>
      </c>
      <c r="D253" t="s">
        <v>7833</v>
      </c>
      <c r="E253" t="s">
        <v>7834</v>
      </c>
      <c r="F253">
        <v>282599357</v>
      </c>
      <c r="G253">
        <v>400504</v>
      </c>
      <c r="H253">
        <v>1169584</v>
      </c>
      <c r="I253" t="s">
        <v>7849</v>
      </c>
      <c r="J253">
        <v>2012</v>
      </c>
      <c r="K253" t="s">
        <v>7848</v>
      </c>
      <c r="L253" t="s">
        <v>7837</v>
      </c>
    </row>
    <row r="254" spans="1:12">
      <c r="A254" t="s">
        <v>7830</v>
      </c>
      <c r="B254" t="s">
        <v>7831</v>
      </c>
      <c r="C254" t="s">
        <v>7832</v>
      </c>
      <c r="D254" t="s">
        <v>7833</v>
      </c>
      <c r="E254" t="s">
        <v>7834</v>
      </c>
      <c r="F254">
        <v>295369050</v>
      </c>
      <c r="G254">
        <v>345326</v>
      </c>
      <c r="H254">
        <v>1350094</v>
      </c>
      <c r="I254" t="s">
        <v>7849</v>
      </c>
      <c r="J254">
        <v>2013</v>
      </c>
      <c r="K254" t="s">
        <v>7836</v>
      </c>
      <c r="L254" t="s">
        <v>7837</v>
      </c>
    </row>
    <row r="255" spans="1:12">
      <c r="A255" t="s">
        <v>7830</v>
      </c>
      <c r="B255" t="s">
        <v>7831</v>
      </c>
      <c r="C255" t="s">
        <v>7832</v>
      </c>
      <c r="D255" t="s">
        <v>7833</v>
      </c>
      <c r="E255" t="s">
        <v>7834</v>
      </c>
      <c r="F255">
        <v>280281052</v>
      </c>
      <c r="G255">
        <v>466370</v>
      </c>
      <c r="H255">
        <v>1152492</v>
      </c>
      <c r="I255" t="s">
        <v>7849</v>
      </c>
      <c r="J255">
        <v>2013</v>
      </c>
      <c r="K255" t="s">
        <v>7838</v>
      </c>
      <c r="L255" t="s">
        <v>7837</v>
      </c>
    </row>
    <row r="256" spans="1:12">
      <c r="A256" t="s">
        <v>7830</v>
      </c>
      <c r="B256" t="s">
        <v>7831</v>
      </c>
      <c r="C256" t="s">
        <v>7832</v>
      </c>
      <c r="D256" t="s">
        <v>7833</v>
      </c>
      <c r="E256" t="s">
        <v>7834</v>
      </c>
      <c r="F256">
        <v>268558794</v>
      </c>
      <c r="G256">
        <v>295966</v>
      </c>
      <c r="H256">
        <v>992604</v>
      </c>
      <c r="I256" t="s">
        <v>7849</v>
      </c>
      <c r="J256">
        <v>2013</v>
      </c>
      <c r="K256" t="s">
        <v>7839</v>
      </c>
      <c r="L256" t="s">
        <v>7837</v>
      </c>
    </row>
    <row r="257" spans="1:12">
      <c r="A257" t="s">
        <v>7830</v>
      </c>
      <c r="B257" t="s">
        <v>7831</v>
      </c>
      <c r="C257" t="s">
        <v>7832</v>
      </c>
      <c r="D257" t="s">
        <v>7833</v>
      </c>
      <c r="E257" t="s">
        <v>7834</v>
      </c>
      <c r="F257">
        <v>254374246</v>
      </c>
      <c r="G257">
        <v>377523</v>
      </c>
      <c r="H257">
        <v>1235410</v>
      </c>
      <c r="I257" t="s">
        <v>7849</v>
      </c>
      <c r="J257">
        <v>2013</v>
      </c>
      <c r="K257" t="s">
        <v>7840</v>
      </c>
      <c r="L257" t="s">
        <v>7837</v>
      </c>
    </row>
    <row r="258" spans="1:12">
      <c r="A258" t="s">
        <v>7830</v>
      </c>
      <c r="B258" t="s">
        <v>7831</v>
      </c>
      <c r="C258" t="s">
        <v>7832</v>
      </c>
      <c r="D258" t="s">
        <v>7833</v>
      </c>
      <c r="E258" t="s">
        <v>7834</v>
      </c>
      <c r="F258">
        <v>365340444</v>
      </c>
      <c r="G258">
        <v>536678</v>
      </c>
      <c r="H258">
        <v>1639171</v>
      </c>
      <c r="I258" t="s">
        <v>7849</v>
      </c>
      <c r="J258">
        <v>2013</v>
      </c>
      <c r="K258" t="s">
        <v>7841</v>
      </c>
      <c r="L258" t="s">
        <v>7837</v>
      </c>
    </row>
    <row r="259" spans="1:12">
      <c r="A259" t="s">
        <v>7830</v>
      </c>
      <c r="B259" t="s">
        <v>7831</v>
      </c>
      <c r="C259" t="s">
        <v>7832</v>
      </c>
      <c r="D259" t="s">
        <v>7833</v>
      </c>
      <c r="E259" t="s">
        <v>7834</v>
      </c>
      <c r="F259">
        <v>325417744</v>
      </c>
      <c r="G259">
        <v>530718</v>
      </c>
      <c r="H259">
        <v>1769647</v>
      </c>
      <c r="I259" t="s">
        <v>7849</v>
      </c>
      <c r="J259">
        <v>2013</v>
      </c>
      <c r="K259" t="s">
        <v>7842</v>
      </c>
      <c r="L259" t="s">
        <v>7837</v>
      </c>
    </row>
    <row r="260" spans="1:12">
      <c r="A260" t="s">
        <v>7830</v>
      </c>
      <c r="B260" t="s">
        <v>7831</v>
      </c>
      <c r="C260" t="s">
        <v>7832</v>
      </c>
      <c r="D260" t="s">
        <v>7833</v>
      </c>
      <c r="E260" t="s">
        <v>7834</v>
      </c>
      <c r="F260">
        <v>279367508</v>
      </c>
      <c r="G260">
        <v>417595</v>
      </c>
      <c r="H260">
        <v>1428074</v>
      </c>
      <c r="I260" t="s">
        <v>7849</v>
      </c>
      <c r="J260">
        <v>2013</v>
      </c>
      <c r="K260" t="s">
        <v>7843</v>
      </c>
      <c r="L260" t="s">
        <v>7837</v>
      </c>
    </row>
    <row r="261" spans="1:12">
      <c r="A261" t="s">
        <v>7830</v>
      </c>
      <c r="B261" t="s">
        <v>7831</v>
      </c>
      <c r="C261" t="s">
        <v>7832</v>
      </c>
      <c r="D261" t="s">
        <v>7833</v>
      </c>
      <c r="E261" t="s">
        <v>7834</v>
      </c>
      <c r="F261">
        <v>262374697</v>
      </c>
      <c r="G261">
        <v>439174</v>
      </c>
      <c r="H261">
        <v>1472306</v>
      </c>
      <c r="I261" t="s">
        <v>7849</v>
      </c>
      <c r="J261">
        <v>2013</v>
      </c>
      <c r="K261" t="s">
        <v>7844</v>
      </c>
      <c r="L261" t="s">
        <v>7837</v>
      </c>
    </row>
    <row r="262" spans="1:12">
      <c r="A262" t="s">
        <v>7830</v>
      </c>
      <c r="B262" t="s">
        <v>7831</v>
      </c>
      <c r="C262" t="s">
        <v>7832</v>
      </c>
      <c r="D262" t="s">
        <v>7833</v>
      </c>
      <c r="E262" t="s">
        <v>7834</v>
      </c>
      <c r="F262">
        <v>424386165</v>
      </c>
      <c r="G262">
        <v>543145</v>
      </c>
      <c r="H262">
        <v>2032184</v>
      </c>
      <c r="I262" t="s">
        <v>7849</v>
      </c>
      <c r="J262">
        <v>2013</v>
      </c>
      <c r="K262" t="s">
        <v>7845</v>
      </c>
      <c r="L262" t="s">
        <v>7837</v>
      </c>
    </row>
    <row r="263" spans="1:12">
      <c r="A263" t="s">
        <v>7830</v>
      </c>
      <c r="B263" t="s">
        <v>7831</v>
      </c>
      <c r="C263" t="s">
        <v>7832</v>
      </c>
      <c r="D263" t="s">
        <v>7833</v>
      </c>
      <c r="E263" t="s">
        <v>7834</v>
      </c>
      <c r="F263">
        <v>414342055</v>
      </c>
      <c r="G263">
        <v>598219</v>
      </c>
      <c r="H263">
        <v>2058788</v>
      </c>
      <c r="I263" t="s">
        <v>7849</v>
      </c>
      <c r="J263">
        <v>2013</v>
      </c>
      <c r="K263" t="s">
        <v>7846</v>
      </c>
      <c r="L263" t="s">
        <v>7837</v>
      </c>
    </row>
    <row r="264" spans="1:12">
      <c r="A264" t="s">
        <v>7830</v>
      </c>
      <c r="B264" t="s">
        <v>7831</v>
      </c>
      <c r="C264" t="s">
        <v>7832</v>
      </c>
      <c r="D264" t="s">
        <v>7833</v>
      </c>
      <c r="E264" t="s">
        <v>7834</v>
      </c>
      <c r="F264">
        <v>349014609</v>
      </c>
      <c r="G264">
        <v>489879</v>
      </c>
      <c r="H264">
        <v>1761986</v>
      </c>
      <c r="I264" t="s">
        <v>7849</v>
      </c>
      <c r="J264">
        <v>2013</v>
      </c>
      <c r="K264" t="s">
        <v>7847</v>
      </c>
      <c r="L264" t="s">
        <v>7837</v>
      </c>
    </row>
    <row r="265" spans="1:12">
      <c r="A265" t="s">
        <v>7830</v>
      </c>
      <c r="B265" t="s">
        <v>7831</v>
      </c>
      <c r="C265" t="s">
        <v>7832</v>
      </c>
      <c r="D265" t="s">
        <v>7833</v>
      </c>
      <c r="E265" t="s">
        <v>7834</v>
      </c>
      <c r="F265">
        <v>215919363</v>
      </c>
      <c r="G265">
        <v>247505</v>
      </c>
      <c r="H265">
        <v>928686</v>
      </c>
      <c r="I265" t="s">
        <v>7849</v>
      </c>
      <c r="J265">
        <v>2013</v>
      </c>
      <c r="K265" t="s">
        <v>7848</v>
      </c>
      <c r="L265" t="s">
        <v>7837</v>
      </c>
    </row>
    <row r="266" spans="1:12">
      <c r="A266" t="s">
        <v>7830</v>
      </c>
      <c r="B266" t="s">
        <v>7831</v>
      </c>
      <c r="C266" t="s">
        <v>7832</v>
      </c>
      <c r="D266" t="s">
        <v>7833</v>
      </c>
      <c r="E266" t="s">
        <v>7834</v>
      </c>
      <c r="F266">
        <v>311782301</v>
      </c>
      <c r="G266">
        <v>283180</v>
      </c>
      <c r="H266">
        <v>1082683</v>
      </c>
      <c r="I266" t="s">
        <v>7849</v>
      </c>
      <c r="J266">
        <v>2014</v>
      </c>
      <c r="K266" t="s">
        <v>7836</v>
      </c>
      <c r="L266" t="s">
        <v>7837</v>
      </c>
    </row>
    <row r="267" spans="1:12">
      <c r="A267" t="s">
        <v>7830</v>
      </c>
      <c r="B267" t="s">
        <v>7831</v>
      </c>
      <c r="C267" t="s">
        <v>7832</v>
      </c>
      <c r="D267" t="s">
        <v>7833</v>
      </c>
      <c r="E267" t="s">
        <v>7834</v>
      </c>
      <c r="F267">
        <v>211409945</v>
      </c>
      <c r="G267">
        <v>237183</v>
      </c>
      <c r="H267">
        <v>825550</v>
      </c>
      <c r="I267" t="s">
        <v>7849</v>
      </c>
      <c r="J267">
        <v>2014</v>
      </c>
      <c r="K267" t="s">
        <v>7838</v>
      </c>
      <c r="L267" t="s">
        <v>7837</v>
      </c>
    </row>
    <row r="268" spans="1:12">
      <c r="A268" t="s">
        <v>7830</v>
      </c>
      <c r="B268" t="s">
        <v>7831</v>
      </c>
      <c r="C268" t="s">
        <v>7832</v>
      </c>
      <c r="D268" t="s">
        <v>7833</v>
      </c>
      <c r="E268" t="s">
        <v>7834</v>
      </c>
      <c r="F268">
        <v>185105678</v>
      </c>
      <c r="G268">
        <v>281996</v>
      </c>
      <c r="H268">
        <v>789262</v>
      </c>
      <c r="I268" t="s">
        <v>7849</v>
      </c>
      <c r="J268">
        <v>2014</v>
      </c>
      <c r="K268" t="s">
        <v>7839</v>
      </c>
      <c r="L268" t="s">
        <v>7837</v>
      </c>
    </row>
    <row r="269" spans="1:12">
      <c r="A269" t="s">
        <v>7830</v>
      </c>
      <c r="B269" t="s">
        <v>7831</v>
      </c>
      <c r="C269" t="s">
        <v>7832</v>
      </c>
      <c r="D269" t="s">
        <v>7833</v>
      </c>
      <c r="E269" t="s">
        <v>7834</v>
      </c>
      <c r="F269">
        <v>290585741</v>
      </c>
      <c r="G269">
        <v>346633</v>
      </c>
      <c r="H269">
        <v>1162401</v>
      </c>
      <c r="I269" t="s">
        <v>7849</v>
      </c>
      <c r="J269">
        <v>2014</v>
      </c>
      <c r="K269" t="s">
        <v>7840</v>
      </c>
      <c r="L269" t="s">
        <v>7837</v>
      </c>
    </row>
    <row r="270" spans="1:12">
      <c r="A270" t="s">
        <v>7830</v>
      </c>
      <c r="B270" t="s">
        <v>7831</v>
      </c>
      <c r="C270" t="s">
        <v>7832</v>
      </c>
      <c r="D270" t="s">
        <v>7833</v>
      </c>
      <c r="E270" t="s">
        <v>7834</v>
      </c>
      <c r="F270">
        <v>239392948</v>
      </c>
      <c r="G270">
        <v>1127473</v>
      </c>
      <c r="H270">
        <v>1867945</v>
      </c>
      <c r="I270" t="s">
        <v>7849</v>
      </c>
      <c r="J270">
        <v>2014</v>
      </c>
      <c r="K270" t="s">
        <v>7841</v>
      </c>
      <c r="L270" t="s">
        <v>7837</v>
      </c>
    </row>
    <row r="271" spans="1:12">
      <c r="A271" t="s">
        <v>7830</v>
      </c>
      <c r="B271" t="s">
        <v>7831</v>
      </c>
      <c r="C271" t="s">
        <v>7832</v>
      </c>
      <c r="D271" t="s">
        <v>7833</v>
      </c>
      <c r="E271" t="s">
        <v>7834</v>
      </c>
      <c r="F271">
        <v>247189157</v>
      </c>
      <c r="G271">
        <v>239056</v>
      </c>
      <c r="H271">
        <v>1010080</v>
      </c>
      <c r="I271" t="s">
        <v>7849</v>
      </c>
      <c r="J271">
        <v>2014</v>
      </c>
      <c r="K271" t="s">
        <v>7842</v>
      </c>
      <c r="L271" t="s">
        <v>7837</v>
      </c>
    </row>
    <row r="272" spans="1:12">
      <c r="A272" t="s">
        <v>7830</v>
      </c>
      <c r="B272" t="s">
        <v>7831</v>
      </c>
      <c r="C272" t="s">
        <v>7832</v>
      </c>
      <c r="D272" t="s">
        <v>7833</v>
      </c>
      <c r="E272" t="s">
        <v>7834</v>
      </c>
      <c r="F272">
        <v>195218982</v>
      </c>
      <c r="G272">
        <v>237730</v>
      </c>
      <c r="H272">
        <v>860179</v>
      </c>
      <c r="I272" t="s">
        <v>7849</v>
      </c>
      <c r="J272">
        <v>2014</v>
      </c>
      <c r="K272" t="s">
        <v>7843</v>
      </c>
      <c r="L272" t="s">
        <v>7837</v>
      </c>
    </row>
    <row r="273" spans="1:12">
      <c r="A273" t="s">
        <v>7830</v>
      </c>
      <c r="B273" t="s">
        <v>7831</v>
      </c>
      <c r="C273" t="s">
        <v>7832</v>
      </c>
      <c r="D273" t="s">
        <v>7833</v>
      </c>
      <c r="E273" t="s">
        <v>7834</v>
      </c>
      <c r="F273">
        <v>116829200</v>
      </c>
      <c r="G273">
        <v>1181545</v>
      </c>
      <c r="H273">
        <v>620390</v>
      </c>
      <c r="I273" t="s">
        <v>7849</v>
      </c>
      <c r="J273">
        <v>2014</v>
      </c>
      <c r="K273" t="s">
        <v>7844</v>
      </c>
      <c r="L273" t="s">
        <v>7837</v>
      </c>
    </row>
    <row r="274" spans="1:12">
      <c r="A274" t="s">
        <v>7830</v>
      </c>
      <c r="B274" t="s">
        <v>7831</v>
      </c>
      <c r="C274" t="s">
        <v>7832</v>
      </c>
      <c r="D274" t="s">
        <v>7833</v>
      </c>
      <c r="E274" t="s">
        <v>7834</v>
      </c>
      <c r="F274">
        <v>275531633</v>
      </c>
      <c r="G274">
        <v>266057</v>
      </c>
      <c r="H274">
        <v>1007881</v>
      </c>
      <c r="I274" t="s">
        <v>7849</v>
      </c>
      <c r="J274">
        <v>2014</v>
      </c>
      <c r="K274" t="s">
        <v>7845</v>
      </c>
      <c r="L274" t="s">
        <v>7837</v>
      </c>
    </row>
    <row r="275" spans="1:12">
      <c r="A275" t="s">
        <v>7830</v>
      </c>
      <c r="B275" t="s">
        <v>7831</v>
      </c>
      <c r="C275" t="s">
        <v>7832</v>
      </c>
      <c r="D275" t="s">
        <v>7833</v>
      </c>
      <c r="E275" t="s">
        <v>7834</v>
      </c>
      <c r="F275">
        <v>400427165</v>
      </c>
      <c r="G275">
        <v>372397</v>
      </c>
      <c r="H275">
        <v>1292301</v>
      </c>
      <c r="I275" t="s">
        <v>7849</v>
      </c>
      <c r="J275">
        <v>2014</v>
      </c>
      <c r="K275" t="s">
        <v>7846</v>
      </c>
      <c r="L275" t="s">
        <v>7837</v>
      </c>
    </row>
    <row r="276" spans="1:12">
      <c r="A276" t="s">
        <v>7830</v>
      </c>
      <c r="B276" t="s">
        <v>7831</v>
      </c>
      <c r="C276" t="s">
        <v>7832</v>
      </c>
      <c r="D276" t="s">
        <v>7833</v>
      </c>
      <c r="E276" t="s">
        <v>7834</v>
      </c>
      <c r="F276">
        <v>273123699</v>
      </c>
      <c r="G276">
        <v>353727</v>
      </c>
      <c r="H276">
        <v>1178429</v>
      </c>
      <c r="I276" t="s">
        <v>7849</v>
      </c>
      <c r="J276">
        <v>2014</v>
      </c>
      <c r="K276" t="s">
        <v>7847</v>
      </c>
      <c r="L276" t="s">
        <v>7837</v>
      </c>
    </row>
    <row r="277" spans="1:12">
      <c r="A277" t="s">
        <v>7830</v>
      </c>
      <c r="B277" t="s">
        <v>7831</v>
      </c>
      <c r="C277" t="s">
        <v>7832</v>
      </c>
      <c r="D277" t="s">
        <v>7833</v>
      </c>
      <c r="E277" t="s">
        <v>7834</v>
      </c>
      <c r="F277">
        <v>245762994</v>
      </c>
      <c r="G277">
        <v>292972</v>
      </c>
      <c r="H277">
        <v>959919</v>
      </c>
      <c r="I277" t="s">
        <v>7849</v>
      </c>
      <c r="J277">
        <v>2014</v>
      </c>
      <c r="K277" t="s">
        <v>7848</v>
      </c>
      <c r="L277" t="s">
        <v>7837</v>
      </c>
    </row>
    <row r="278" spans="1:12">
      <c r="A278" t="s">
        <v>7830</v>
      </c>
      <c r="B278" t="s">
        <v>7831</v>
      </c>
      <c r="C278" t="s">
        <v>7832</v>
      </c>
      <c r="D278" t="s">
        <v>7833</v>
      </c>
      <c r="E278" t="s">
        <v>7834</v>
      </c>
      <c r="F278">
        <v>282499855</v>
      </c>
      <c r="G278">
        <v>354497</v>
      </c>
      <c r="H278">
        <v>1009263</v>
      </c>
      <c r="I278" t="s">
        <v>7849</v>
      </c>
      <c r="J278">
        <v>2015</v>
      </c>
      <c r="K278" t="s">
        <v>7836</v>
      </c>
      <c r="L278" t="s">
        <v>7837</v>
      </c>
    </row>
    <row r="279" spans="1:12">
      <c r="A279" t="s">
        <v>7830</v>
      </c>
      <c r="B279" t="s">
        <v>7831</v>
      </c>
      <c r="C279" t="s">
        <v>7832</v>
      </c>
      <c r="D279" t="s">
        <v>7833</v>
      </c>
      <c r="E279" t="s">
        <v>7834</v>
      </c>
      <c r="F279">
        <v>209452358</v>
      </c>
      <c r="G279">
        <v>260617</v>
      </c>
      <c r="H279">
        <v>816351</v>
      </c>
      <c r="I279" t="s">
        <v>7849</v>
      </c>
      <c r="J279">
        <v>2015</v>
      </c>
      <c r="K279" t="s">
        <v>7838</v>
      </c>
      <c r="L279" t="s">
        <v>7837</v>
      </c>
    </row>
    <row r="280" spans="1:12">
      <c r="A280" t="s">
        <v>7830</v>
      </c>
      <c r="B280" t="s">
        <v>7831</v>
      </c>
      <c r="C280" t="s">
        <v>7832</v>
      </c>
      <c r="D280" t="s">
        <v>7833</v>
      </c>
      <c r="E280" t="s">
        <v>7834</v>
      </c>
      <c r="F280">
        <v>223954721</v>
      </c>
      <c r="G280">
        <v>285448</v>
      </c>
      <c r="H280">
        <v>849421</v>
      </c>
      <c r="I280" t="s">
        <v>7849</v>
      </c>
      <c r="J280">
        <v>2015</v>
      </c>
      <c r="K280" t="s">
        <v>7839</v>
      </c>
      <c r="L280" t="s">
        <v>7837</v>
      </c>
    </row>
    <row r="281" spans="1:12">
      <c r="A281" t="s">
        <v>7830</v>
      </c>
      <c r="B281" t="s">
        <v>7831</v>
      </c>
      <c r="C281" t="s">
        <v>7832</v>
      </c>
      <c r="D281" t="s">
        <v>7833</v>
      </c>
      <c r="E281" t="s">
        <v>7834</v>
      </c>
      <c r="F281">
        <v>283927541</v>
      </c>
      <c r="G281">
        <v>309166</v>
      </c>
      <c r="H281">
        <v>976408</v>
      </c>
      <c r="I281" t="s">
        <v>7849</v>
      </c>
      <c r="J281">
        <v>2015</v>
      </c>
      <c r="K281" t="s">
        <v>7840</v>
      </c>
      <c r="L281" t="s">
        <v>7837</v>
      </c>
    </row>
    <row r="282" spans="1:12">
      <c r="A282" t="s">
        <v>7830</v>
      </c>
      <c r="B282" t="s">
        <v>7831</v>
      </c>
      <c r="C282" t="s">
        <v>7832</v>
      </c>
      <c r="D282" t="s">
        <v>7833</v>
      </c>
      <c r="E282" t="s">
        <v>7834</v>
      </c>
      <c r="F282">
        <v>246346852</v>
      </c>
      <c r="G282">
        <v>478449</v>
      </c>
      <c r="H282">
        <v>1367216</v>
      </c>
      <c r="I282" t="s">
        <v>7849</v>
      </c>
      <c r="J282">
        <v>2015</v>
      </c>
      <c r="K282" t="s">
        <v>7841</v>
      </c>
      <c r="L282" t="s">
        <v>7837</v>
      </c>
    </row>
    <row r="283" spans="1:12">
      <c r="A283" t="s">
        <v>7830</v>
      </c>
      <c r="B283" t="s">
        <v>7831</v>
      </c>
      <c r="C283" t="s">
        <v>7832</v>
      </c>
      <c r="D283" t="s">
        <v>7833</v>
      </c>
      <c r="E283" t="s">
        <v>7834</v>
      </c>
      <c r="F283">
        <v>284261895</v>
      </c>
      <c r="G283">
        <v>471222</v>
      </c>
      <c r="H283">
        <v>1298619</v>
      </c>
      <c r="I283" t="s">
        <v>7849</v>
      </c>
      <c r="J283">
        <v>2015</v>
      </c>
      <c r="K283" t="s">
        <v>7842</v>
      </c>
      <c r="L283" t="s">
        <v>7837</v>
      </c>
    </row>
    <row r="284" spans="1:12">
      <c r="A284" t="s">
        <v>7830</v>
      </c>
      <c r="B284" t="s">
        <v>7831</v>
      </c>
      <c r="C284" t="s">
        <v>7832</v>
      </c>
      <c r="D284" t="s">
        <v>7833</v>
      </c>
      <c r="E284" t="s">
        <v>7834</v>
      </c>
      <c r="F284">
        <v>227851623</v>
      </c>
      <c r="G284">
        <v>306955</v>
      </c>
      <c r="H284">
        <v>931221</v>
      </c>
      <c r="I284" t="s">
        <v>7849</v>
      </c>
      <c r="J284">
        <v>2015</v>
      </c>
      <c r="K284" t="s">
        <v>7843</v>
      </c>
      <c r="L284" t="s">
        <v>7837</v>
      </c>
    </row>
    <row r="285" spans="1:12">
      <c r="A285" t="s">
        <v>7830</v>
      </c>
      <c r="B285" t="s">
        <v>7831</v>
      </c>
      <c r="C285" t="s">
        <v>7832</v>
      </c>
      <c r="D285" t="s">
        <v>7833</v>
      </c>
      <c r="E285" t="s">
        <v>7834</v>
      </c>
      <c r="F285">
        <v>210382530</v>
      </c>
      <c r="G285">
        <v>263362</v>
      </c>
      <c r="H285">
        <v>812765</v>
      </c>
      <c r="I285" t="s">
        <v>7849</v>
      </c>
      <c r="J285">
        <v>2015</v>
      </c>
      <c r="K285" t="s">
        <v>7844</v>
      </c>
      <c r="L285" t="s">
        <v>7837</v>
      </c>
    </row>
    <row r="286" spans="1:12">
      <c r="A286" t="s">
        <v>7830</v>
      </c>
      <c r="B286" t="s">
        <v>7831</v>
      </c>
      <c r="C286" t="s">
        <v>7832</v>
      </c>
      <c r="D286" t="s">
        <v>7833</v>
      </c>
      <c r="E286" t="s">
        <v>7834</v>
      </c>
      <c r="F286">
        <v>248020855</v>
      </c>
      <c r="G286">
        <v>423256</v>
      </c>
      <c r="H286">
        <v>937443</v>
      </c>
      <c r="I286" t="s">
        <v>7849</v>
      </c>
      <c r="J286">
        <v>2015</v>
      </c>
      <c r="K286" t="s">
        <v>7845</v>
      </c>
      <c r="L286" t="s">
        <v>7837</v>
      </c>
    </row>
    <row r="287" spans="1:12">
      <c r="A287" t="s">
        <v>7830</v>
      </c>
      <c r="B287" t="s">
        <v>7831</v>
      </c>
      <c r="C287" t="s">
        <v>7832</v>
      </c>
      <c r="D287" t="s">
        <v>7833</v>
      </c>
      <c r="E287" t="s">
        <v>7834</v>
      </c>
      <c r="F287">
        <v>306444808</v>
      </c>
      <c r="G287">
        <v>3023849</v>
      </c>
      <c r="H287">
        <v>1177500</v>
      </c>
      <c r="I287" t="s">
        <v>7849</v>
      </c>
      <c r="J287">
        <v>2015</v>
      </c>
      <c r="K287" t="s">
        <v>7846</v>
      </c>
      <c r="L287" t="s">
        <v>7837</v>
      </c>
    </row>
    <row r="288" spans="1:12">
      <c r="A288" t="s">
        <v>7830</v>
      </c>
      <c r="B288" t="s">
        <v>7831</v>
      </c>
      <c r="C288" t="s">
        <v>7832</v>
      </c>
      <c r="D288" t="s">
        <v>7833</v>
      </c>
      <c r="E288" t="s">
        <v>7834</v>
      </c>
      <c r="F288">
        <v>235493390</v>
      </c>
      <c r="G288">
        <v>6521940</v>
      </c>
      <c r="H288">
        <v>1121711</v>
      </c>
      <c r="I288" t="s">
        <v>7849</v>
      </c>
      <c r="J288">
        <v>2015</v>
      </c>
      <c r="K288" t="s">
        <v>7847</v>
      </c>
      <c r="L288" t="s">
        <v>7837</v>
      </c>
    </row>
    <row r="289" spans="1:12">
      <c r="A289" t="s">
        <v>7830</v>
      </c>
      <c r="B289" t="s">
        <v>7831</v>
      </c>
      <c r="C289" t="s">
        <v>7832</v>
      </c>
      <c r="D289" t="s">
        <v>7833</v>
      </c>
      <c r="E289" t="s">
        <v>7834</v>
      </c>
      <c r="F289">
        <v>263175618</v>
      </c>
      <c r="G289">
        <v>1274849</v>
      </c>
      <c r="H289">
        <v>1064574</v>
      </c>
      <c r="I289" t="s">
        <v>7849</v>
      </c>
      <c r="J289">
        <v>2015</v>
      </c>
      <c r="K289" t="s">
        <v>7848</v>
      </c>
      <c r="L289" t="s">
        <v>7837</v>
      </c>
    </row>
    <row r="290" spans="1:12">
      <c r="A290" t="s">
        <v>7830</v>
      </c>
      <c r="B290" t="s">
        <v>7831</v>
      </c>
      <c r="C290" t="s">
        <v>7832</v>
      </c>
      <c r="D290" t="s">
        <v>7833</v>
      </c>
      <c r="E290" t="s">
        <v>7834</v>
      </c>
      <c r="F290">
        <v>178755636</v>
      </c>
      <c r="G290">
        <v>2469683</v>
      </c>
      <c r="H290">
        <v>807173</v>
      </c>
      <c r="I290" t="s">
        <v>7849</v>
      </c>
      <c r="J290">
        <v>2016</v>
      </c>
      <c r="K290" t="s">
        <v>7836</v>
      </c>
      <c r="L290" t="s">
        <v>7837</v>
      </c>
    </row>
    <row r="291" spans="1:12">
      <c r="A291" t="s">
        <v>7830</v>
      </c>
      <c r="B291" t="s">
        <v>7831</v>
      </c>
      <c r="C291" t="s">
        <v>7832</v>
      </c>
      <c r="D291" t="s">
        <v>7833</v>
      </c>
      <c r="E291" t="s">
        <v>7834</v>
      </c>
      <c r="F291">
        <v>158490710</v>
      </c>
      <c r="G291">
        <v>780433</v>
      </c>
      <c r="H291">
        <v>692525</v>
      </c>
      <c r="I291" t="s">
        <v>7849</v>
      </c>
      <c r="J291">
        <v>2016</v>
      </c>
      <c r="K291" t="s">
        <v>7838</v>
      </c>
      <c r="L291" t="s">
        <v>7837</v>
      </c>
    </row>
    <row r="292" spans="1:12">
      <c r="A292" t="s">
        <v>7830</v>
      </c>
      <c r="B292" t="s">
        <v>7831</v>
      </c>
      <c r="C292" t="s">
        <v>7832</v>
      </c>
      <c r="D292" t="s">
        <v>7833</v>
      </c>
      <c r="E292" t="s">
        <v>7834</v>
      </c>
      <c r="F292">
        <v>203931560</v>
      </c>
      <c r="G292">
        <v>967962</v>
      </c>
      <c r="H292">
        <v>867571</v>
      </c>
      <c r="I292" t="s">
        <v>7849</v>
      </c>
      <c r="J292">
        <v>2016</v>
      </c>
      <c r="K292" t="s">
        <v>7839</v>
      </c>
      <c r="L292" t="s">
        <v>7837</v>
      </c>
    </row>
    <row r="293" spans="1:12">
      <c r="A293" t="s">
        <v>7830</v>
      </c>
      <c r="B293" t="s">
        <v>7831</v>
      </c>
      <c r="C293" t="s">
        <v>7832</v>
      </c>
      <c r="D293" t="s">
        <v>7833</v>
      </c>
      <c r="E293" t="s">
        <v>7834</v>
      </c>
      <c r="F293">
        <v>155536913</v>
      </c>
      <c r="G293">
        <v>265041</v>
      </c>
      <c r="H293">
        <v>808497</v>
      </c>
      <c r="I293" t="s">
        <v>7849</v>
      </c>
      <c r="J293">
        <v>2016</v>
      </c>
      <c r="K293" t="s">
        <v>7840</v>
      </c>
      <c r="L293" t="s">
        <v>7837</v>
      </c>
    </row>
    <row r="294" spans="1:12">
      <c r="A294" t="s">
        <v>7830</v>
      </c>
      <c r="B294" t="s">
        <v>7831</v>
      </c>
      <c r="C294" t="s">
        <v>7832</v>
      </c>
      <c r="D294" t="s">
        <v>7833</v>
      </c>
      <c r="E294" t="s">
        <v>7834</v>
      </c>
      <c r="F294">
        <v>143137197</v>
      </c>
      <c r="G294">
        <v>302424</v>
      </c>
      <c r="H294">
        <v>764897</v>
      </c>
      <c r="I294" t="s">
        <v>7849</v>
      </c>
      <c r="J294">
        <v>2016</v>
      </c>
      <c r="K294" t="s">
        <v>7841</v>
      </c>
      <c r="L294" t="s">
        <v>7837</v>
      </c>
    </row>
    <row r="295" spans="1:12">
      <c r="A295" t="s">
        <v>7830</v>
      </c>
      <c r="B295" t="s">
        <v>7831</v>
      </c>
      <c r="C295" t="s">
        <v>7832</v>
      </c>
      <c r="D295" t="s">
        <v>7833</v>
      </c>
      <c r="E295" t="s">
        <v>7834</v>
      </c>
      <c r="F295">
        <v>197592240</v>
      </c>
      <c r="G295">
        <v>421809</v>
      </c>
      <c r="H295">
        <v>942393</v>
      </c>
      <c r="I295" t="s">
        <v>7849</v>
      </c>
      <c r="J295">
        <v>2016</v>
      </c>
      <c r="K295" t="s">
        <v>7842</v>
      </c>
      <c r="L295" t="s">
        <v>7837</v>
      </c>
    </row>
    <row r="296" spans="1:12">
      <c r="A296" t="s">
        <v>7830</v>
      </c>
      <c r="B296" t="s">
        <v>7831</v>
      </c>
      <c r="C296" t="s">
        <v>7832</v>
      </c>
      <c r="D296" t="s">
        <v>7833</v>
      </c>
      <c r="E296" t="s">
        <v>7834</v>
      </c>
      <c r="F296">
        <v>239763910</v>
      </c>
      <c r="G296">
        <v>2682512</v>
      </c>
      <c r="H296">
        <v>1287098</v>
      </c>
      <c r="I296" t="s">
        <v>7849</v>
      </c>
      <c r="J296">
        <v>2016</v>
      </c>
      <c r="K296" t="s">
        <v>7843</v>
      </c>
      <c r="L296" t="s">
        <v>7837</v>
      </c>
    </row>
    <row r="297" spans="1:12">
      <c r="A297" t="s">
        <v>7830</v>
      </c>
      <c r="B297" t="s">
        <v>7831</v>
      </c>
      <c r="C297" t="s">
        <v>7832</v>
      </c>
      <c r="D297" t="s">
        <v>7833</v>
      </c>
      <c r="E297" t="s">
        <v>7834</v>
      </c>
      <c r="F297">
        <v>268158971</v>
      </c>
      <c r="G297">
        <v>1408947</v>
      </c>
      <c r="H297">
        <v>1455468</v>
      </c>
      <c r="I297" t="s">
        <v>7849</v>
      </c>
      <c r="J297">
        <v>2016</v>
      </c>
      <c r="K297" t="s">
        <v>7844</v>
      </c>
      <c r="L297" t="s">
        <v>7837</v>
      </c>
    </row>
    <row r="298" spans="1:12">
      <c r="A298" t="s">
        <v>7830</v>
      </c>
      <c r="B298" t="s">
        <v>7831</v>
      </c>
      <c r="C298" t="s">
        <v>7832</v>
      </c>
      <c r="D298" t="s">
        <v>7833</v>
      </c>
      <c r="E298" t="s">
        <v>7834</v>
      </c>
      <c r="F298">
        <v>355122722</v>
      </c>
      <c r="G298">
        <v>461767</v>
      </c>
      <c r="H298">
        <v>1356632</v>
      </c>
      <c r="I298" t="s">
        <v>7849</v>
      </c>
      <c r="J298">
        <v>2016</v>
      </c>
      <c r="K298" t="s">
        <v>7845</v>
      </c>
      <c r="L298" t="s">
        <v>7837</v>
      </c>
    </row>
    <row r="299" spans="1:12">
      <c r="A299" t="s">
        <v>7830</v>
      </c>
      <c r="B299" t="s">
        <v>7831</v>
      </c>
      <c r="C299" t="s">
        <v>7832</v>
      </c>
      <c r="D299" t="s">
        <v>7833</v>
      </c>
      <c r="E299" t="s">
        <v>7834</v>
      </c>
      <c r="F299">
        <v>459553637</v>
      </c>
      <c r="G299">
        <v>541834</v>
      </c>
      <c r="H299">
        <v>1497337</v>
      </c>
      <c r="I299" t="s">
        <v>7849</v>
      </c>
      <c r="J299">
        <v>2016</v>
      </c>
      <c r="K299" t="s">
        <v>7846</v>
      </c>
      <c r="L299" t="s">
        <v>7837</v>
      </c>
    </row>
    <row r="300" spans="1:12">
      <c r="A300" t="s">
        <v>7830</v>
      </c>
      <c r="B300" t="s">
        <v>7831</v>
      </c>
      <c r="C300" t="s">
        <v>7832</v>
      </c>
      <c r="D300" t="s">
        <v>7833</v>
      </c>
      <c r="E300" t="s">
        <v>7834</v>
      </c>
      <c r="F300">
        <v>286878734</v>
      </c>
      <c r="G300">
        <v>1255032</v>
      </c>
      <c r="H300">
        <v>1560329</v>
      </c>
      <c r="I300" t="s">
        <v>7849</v>
      </c>
      <c r="J300">
        <v>2016</v>
      </c>
      <c r="K300" t="s">
        <v>7847</v>
      </c>
      <c r="L300" t="s">
        <v>7837</v>
      </c>
    </row>
    <row r="301" spans="1:12">
      <c r="A301" t="s">
        <v>7830</v>
      </c>
      <c r="B301" t="s">
        <v>7831</v>
      </c>
      <c r="C301" t="s">
        <v>7832</v>
      </c>
      <c r="D301" t="s">
        <v>7833</v>
      </c>
      <c r="E301" t="s">
        <v>7834</v>
      </c>
      <c r="F301">
        <v>159909238</v>
      </c>
      <c r="G301">
        <v>1781903</v>
      </c>
      <c r="H301">
        <v>1156283</v>
      </c>
      <c r="I301" t="s">
        <v>7849</v>
      </c>
      <c r="J301">
        <v>2016</v>
      </c>
      <c r="K301" t="s">
        <v>7848</v>
      </c>
      <c r="L301" t="s">
        <v>7837</v>
      </c>
    </row>
    <row r="302" spans="1:12">
      <c r="A302" t="s">
        <v>7830</v>
      </c>
      <c r="B302" t="s">
        <v>7831</v>
      </c>
      <c r="C302" t="s">
        <v>7832</v>
      </c>
      <c r="D302" t="s">
        <v>7833</v>
      </c>
      <c r="E302" t="s">
        <v>7834</v>
      </c>
      <c r="F302">
        <v>188101452</v>
      </c>
      <c r="G302">
        <v>430900</v>
      </c>
      <c r="H302">
        <v>1033621</v>
      </c>
      <c r="I302" t="s">
        <v>7849</v>
      </c>
      <c r="J302">
        <v>2017</v>
      </c>
      <c r="K302" t="s">
        <v>7836</v>
      </c>
      <c r="L302" t="s">
        <v>7837</v>
      </c>
    </row>
    <row r="303" spans="1:12">
      <c r="A303" t="s">
        <v>7830</v>
      </c>
      <c r="B303" t="s">
        <v>7831</v>
      </c>
      <c r="C303" t="s">
        <v>7832</v>
      </c>
      <c r="D303" t="s">
        <v>7833</v>
      </c>
      <c r="E303" t="s">
        <v>7834</v>
      </c>
      <c r="F303">
        <v>209889518</v>
      </c>
      <c r="G303">
        <v>1511285</v>
      </c>
      <c r="H303">
        <v>1137948</v>
      </c>
      <c r="I303" t="s">
        <v>7849</v>
      </c>
      <c r="J303">
        <v>2017</v>
      </c>
      <c r="K303" t="s">
        <v>7838</v>
      </c>
      <c r="L303" t="s">
        <v>7837</v>
      </c>
    </row>
    <row r="304" spans="1:12">
      <c r="A304" t="s">
        <v>7830</v>
      </c>
      <c r="B304" t="s">
        <v>7831</v>
      </c>
      <c r="C304" t="s">
        <v>7832</v>
      </c>
      <c r="D304" t="s">
        <v>7833</v>
      </c>
      <c r="E304" t="s">
        <v>7834</v>
      </c>
      <c r="F304">
        <v>126722215</v>
      </c>
      <c r="G304">
        <v>1299845</v>
      </c>
      <c r="H304">
        <v>576376</v>
      </c>
      <c r="I304" t="s">
        <v>7849</v>
      </c>
      <c r="J304">
        <v>2017</v>
      </c>
      <c r="K304" t="s">
        <v>7839</v>
      </c>
      <c r="L304" t="s">
        <v>7837</v>
      </c>
    </row>
    <row r="305" spans="1:12">
      <c r="A305" t="s">
        <v>7830</v>
      </c>
      <c r="B305" t="s">
        <v>7831</v>
      </c>
      <c r="C305" t="s">
        <v>7832</v>
      </c>
      <c r="D305" t="s">
        <v>7833</v>
      </c>
      <c r="E305" t="s">
        <v>7834</v>
      </c>
      <c r="F305">
        <v>178819680</v>
      </c>
      <c r="G305">
        <v>1811043</v>
      </c>
      <c r="H305">
        <v>938765</v>
      </c>
      <c r="I305" t="s">
        <v>7849</v>
      </c>
      <c r="J305">
        <v>2017</v>
      </c>
      <c r="K305" t="s">
        <v>7840</v>
      </c>
      <c r="L305" t="s">
        <v>7837</v>
      </c>
    </row>
    <row r="306" spans="1:12">
      <c r="A306" t="s">
        <v>7830</v>
      </c>
      <c r="B306" t="s">
        <v>7831</v>
      </c>
      <c r="C306" t="s">
        <v>7832</v>
      </c>
      <c r="D306" t="s">
        <v>7833</v>
      </c>
      <c r="E306" t="s">
        <v>7834</v>
      </c>
      <c r="F306">
        <v>140984227</v>
      </c>
      <c r="G306">
        <v>199386</v>
      </c>
      <c r="H306">
        <v>661141</v>
      </c>
      <c r="I306" t="s">
        <v>7849</v>
      </c>
      <c r="J306">
        <v>2017</v>
      </c>
      <c r="K306" t="s">
        <v>7841</v>
      </c>
      <c r="L306" t="s">
        <v>7837</v>
      </c>
    </row>
    <row r="307" spans="1:12">
      <c r="A307" t="s">
        <v>7830</v>
      </c>
      <c r="B307" t="s">
        <v>7831</v>
      </c>
      <c r="C307" t="s">
        <v>7832</v>
      </c>
      <c r="D307" t="s">
        <v>7833</v>
      </c>
      <c r="E307" t="s">
        <v>7834</v>
      </c>
      <c r="F307">
        <v>137996907</v>
      </c>
      <c r="G307">
        <v>3777948</v>
      </c>
      <c r="H307">
        <v>689276</v>
      </c>
      <c r="I307" t="s">
        <v>7849</v>
      </c>
      <c r="J307">
        <v>2017</v>
      </c>
      <c r="K307" t="s">
        <v>7842</v>
      </c>
      <c r="L307" t="s">
        <v>7837</v>
      </c>
    </row>
    <row r="308" spans="1:12">
      <c r="A308" t="s">
        <v>7830</v>
      </c>
      <c r="B308" t="s">
        <v>7831</v>
      </c>
      <c r="C308" t="s">
        <v>7832</v>
      </c>
      <c r="D308" t="s">
        <v>7833</v>
      </c>
      <c r="E308" t="s">
        <v>7834</v>
      </c>
      <c r="F308">
        <v>226258106</v>
      </c>
      <c r="G308">
        <v>2293054</v>
      </c>
      <c r="H308">
        <v>930640</v>
      </c>
      <c r="I308" t="s">
        <v>7849</v>
      </c>
      <c r="J308">
        <v>2017</v>
      </c>
      <c r="K308" t="s">
        <v>7843</v>
      </c>
      <c r="L308" t="s">
        <v>7837</v>
      </c>
    </row>
    <row r="309" spans="1:12">
      <c r="A309" t="s">
        <v>7830</v>
      </c>
      <c r="B309" t="s">
        <v>7831</v>
      </c>
      <c r="C309" t="s">
        <v>7832</v>
      </c>
      <c r="D309" t="s">
        <v>7833</v>
      </c>
      <c r="E309" t="s">
        <v>7834</v>
      </c>
      <c r="F309">
        <v>203641064</v>
      </c>
      <c r="G309">
        <v>224277</v>
      </c>
      <c r="H309">
        <v>690395</v>
      </c>
      <c r="I309" t="s">
        <v>7849</v>
      </c>
      <c r="J309">
        <v>2017</v>
      </c>
      <c r="K309" t="s">
        <v>7844</v>
      </c>
      <c r="L309" t="s">
        <v>7837</v>
      </c>
    </row>
    <row r="310" spans="1:12">
      <c r="A310" t="s">
        <v>7830</v>
      </c>
      <c r="B310" t="s">
        <v>7831</v>
      </c>
      <c r="C310" t="s">
        <v>7832</v>
      </c>
      <c r="D310" t="s">
        <v>7833</v>
      </c>
      <c r="E310" t="s">
        <v>7834</v>
      </c>
      <c r="F310">
        <v>186703482</v>
      </c>
      <c r="G310">
        <v>2661824</v>
      </c>
      <c r="H310">
        <v>782738</v>
      </c>
      <c r="I310" t="s">
        <v>7849</v>
      </c>
      <c r="J310">
        <v>2017</v>
      </c>
      <c r="K310" t="s">
        <v>7845</v>
      </c>
      <c r="L310" t="s">
        <v>7837</v>
      </c>
    </row>
    <row r="311" spans="1:12">
      <c r="A311" t="s">
        <v>7830</v>
      </c>
      <c r="B311" t="s">
        <v>7831</v>
      </c>
      <c r="C311" t="s">
        <v>7832</v>
      </c>
      <c r="D311" t="s">
        <v>7833</v>
      </c>
      <c r="E311" t="s">
        <v>7834</v>
      </c>
      <c r="F311">
        <v>357549625</v>
      </c>
      <c r="G311">
        <v>702884</v>
      </c>
      <c r="H311">
        <v>1065315</v>
      </c>
      <c r="I311" t="s">
        <v>7849</v>
      </c>
      <c r="J311">
        <v>2017</v>
      </c>
      <c r="K311" t="s">
        <v>7846</v>
      </c>
      <c r="L311" t="s">
        <v>7837</v>
      </c>
    </row>
    <row r="312" spans="1:12">
      <c r="A312" t="s">
        <v>7830</v>
      </c>
      <c r="B312" t="s">
        <v>7831</v>
      </c>
      <c r="C312" t="s">
        <v>7832</v>
      </c>
      <c r="D312" t="s">
        <v>7833</v>
      </c>
      <c r="E312" t="s">
        <v>7834</v>
      </c>
      <c r="F312">
        <v>341799231</v>
      </c>
      <c r="G312">
        <v>2667855</v>
      </c>
      <c r="H312">
        <v>998186</v>
      </c>
      <c r="I312" t="s">
        <v>7849</v>
      </c>
      <c r="J312">
        <v>2017</v>
      </c>
      <c r="K312" t="s">
        <v>7847</v>
      </c>
      <c r="L312" t="s">
        <v>7837</v>
      </c>
    </row>
    <row r="313" spans="1:12">
      <c r="A313" t="s">
        <v>7830</v>
      </c>
      <c r="B313" t="s">
        <v>7831</v>
      </c>
      <c r="C313" t="s">
        <v>7832</v>
      </c>
      <c r="D313" t="s">
        <v>7833</v>
      </c>
      <c r="E313" t="s">
        <v>7834</v>
      </c>
      <c r="F313">
        <v>397936863</v>
      </c>
      <c r="G313">
        <v>2563361</v>
      </c>
      <c r="H313">
        <v>991258</v>
      </c>
      <c r="I313" t="s">
        <v>7849</v>
      </c>
      <c r="J313">
        <v>2017</v>
      </c>
      <c r="K313" t="s">
        <v>7848</v>
      </c>
      <c r="L313" t="s">
        <v>7837</v>
      </c>
    </row>
    <row r="314" spans="1:12">
      <c r="A314" t="s">
        <v>7830</v>
      </c>
      <c r="B314" t="s">
        <v>7831</v>
      </c>
      <c r="C314" t="s">
        <v>7832</v>
      </c>
      <c r="D314" t="s">
        <v>7833</v>
      </c>
      <c r="E314" t="s">
        <v>7834</v>
      </c>
      <c r="F314">
        <v>285385230</v>
      </c>
      <c r="G314">
        <v>873868</v>
      </c>
      <c r="H314">
        <v>869706</v>
      </c>
      <c r="I314" t="s">
        <v>7849</v>
      </c>
      <c r="J314">
        <v>2018</v>
      </c>
      <c r="K314" t="s">
        <v>7836</v>
      </c>
      <c r="L314" t="s">
        <v>7837</v>
      </c>
    </row>
    <row r="315" spans="1:12">
      <c r="A315" t="s">
        <v>7830</v>
      </c>
      <c r="B315" t="s">
        <v>7831</v>
      </c>
      <c r="C315" t="s">
        <v>7832</v>
      </c>
      <c r="D315" t="s">
        <v>7833</v>
      </c>
      <c r="E315" t="s">
        <v>7834</v>
      </c>
      <c r="F315">
        <v>151693922</v>
      </c>
      <c r="G315">
        <v>273472</v>
      </c>
      <c r="H315">
        <v>594244</v>
      </c>
      <c r="I315" t="s">
        <v>7849</v>
      </c>
      <c r="J315">
        <v>2018</v>
      </c>
      <c r="K315" t="s">
        <v>7838</v>
      </c>
      <c r="L315" t="s">
        <v>7837</v>
      </c>
    </row>
    <row r="316" spans="1:12">
      <c r="A316" t="s">
        <v>7830</v>
      </c>
      <c r="B316" t="s">
        <v>7831</v>
      </c>
      <c r="C316" t="s">
        <v>7832</v>
      </c>
      <c r="D316" t="s">
        <v>7833</v>
      </c>
      <c r="E316" t="s">
        <v>7834</v>
      </c>
      <c r="F316">
        <v>109743274</v>
      </c>
      <c r="G316">
        <v>1600713</v>
      </c>
      <c r="H316">
        <v>472891</v>
      </c>
      <c r="I316" t="s">
        <v>7849</v>
      </c>
      <c r="J316">
        <v>2018</v>
      </c>
      <c r="K316" t="s">
        <v>7839</v>
      </c>
      <c r="L316" t="s">
        <v>7837</v>
      </c>
    </row>
    <row r="317" spans="1:12">
      <c r="A317" t="s">
        <v>7830</v>
      </c>
      <c r="B317" t="s">
        <v>7831</v>
      </c>
      <c r="C317" t="s">
        <v>7832</v>
      </c>
      <c r="D317" t="s">
        <v>7833</v>
      </c>
      <c r="E317" t="s">
        <v>7834</v>
      </c>
      <c r="F317">
        <v>170382436</v>
      </c>
      <c r="G317">
        <v>1849610</v>
      </c>
      <c r="H317">
        <v>643416</v>
      </c>
      <c r="I317" t="s">
        <v>7849</v>
      </c>
      <c r="J317">
        <v>2018</v>
      </c>
      <c r="K317" t="s">
        <v>7840</v>
      </c>
      <c r="L317" t="s">
        <v>7837</v>
      </c>
    </row>
    <row r="318" spans="1:12">
      <c r="A318" t="s">
        <v>7830</v>
      </c>
      <c r="B318" t="s">
        <v>7831</v>
      </c>
      <c r="C318" t="s">
        <v>7832</v>
      </c>
      <c r="D318" t="s">
        <v>7833</v>
      </c>
      <c r="E318" t="s">
        <v>7834</v>
      </c>
      <c r="F318">
        <v>152817767</v>
      </c>
      <c r="G318">
        <v>766352</v>
      </c>
      <c r="H318">
        <v>585482</v>
      </c>
      <c r="I318" t="s">
        <v>7849</v>
      </c>
      <c r="J318">
        <v>2018</v>
      </c>
      <c r="K318" t="s">
        <v>7841</v>
      </c>
      <c r="L318" t="s">
        <v>7837</v>
      </c>
    </row>
    <row r="319" spans="1:12">
      <c r="A319" t="s">
        <v>7830</v>
      </c>
      <c r="B319" t="s">
        <v>7831</v>
      </c>
      <c r="C319" t="s">
        <v>7832</v>
      </c>
      <c r="D319" t="s">
        <v>7833</v>
      </c>
      <c r="E319" t="s">
        <v>7834</v>
      </c>
      <c r="F319">
        <v>129743548</v>
      </c>
      <c r="G319">
        <v>1089287</v>
      </c>
      <c r="H319">
        <v>668907</v>
      </c>
      <c r="I319" t="s">
        <v>7849</v>
      </c>
      <c r="J319">
        <v>2018</v>
      </c>
      <c r="K319" t="s">
        <v>7842</v>
      </c>
      <c r="L319" t="s">
        <v>7837</v>
      </c>
    </row>
    <row r="320" spans="1:12">
      <c r="A320" t="s">
        <v>7830</v>
      </c>
      <c r="B320" t="s">
        <v>7831</v>
      </c>
      <c r="C320" t="s">
        <v>7832</v>
      </c>
      <c r="D320" t="s">
        <v>7833</v>
      </c>
      <c r="E320" t="s">
        <v>7834</v>
      </c>
      <c r="F320">
        <v>105679803</v>
      </c>
      <c r="G320">
        <v>848776</v>
      </c>
      <c r="H320">
        <v>539341</v>
      </c>
      <c r="I320" t="s">
        <v>7849</v>
      </c>
      <c r="J320">
        <v>2018</v>
      </c>
      <c r="K320" t="s">
        <v>7843</v>
      </c>
      <c r="L320" t="s">
        <v>7837</v>
      </c>
    </row>
    <row r="321" spans="1:12">
      <c r="A321" t="s">
        <v>7830</v>
      </c>
      <c r="B321" t="s">
        <v>7831</v>
      </c>
      <c r="C321" t="s">
        <v>7832</v>
      </c>
      <c r="D321" t="s">
        <v>7833</v>
      </c>
      <c r="E321" t="s">
        <v>7834</v>
      </c>
      <c r="F321">
        <v>103353598</v>
      </c>
      <c r="G321">
        <v>507694</v>
      </c>
      <c r="H321">
        <v>555876</v>
      </c>
      <c r="I321" t="s">
        <v>7849</v>
      </c>
      <c r="J321">
        <v>2018</v>
      </c>
      <c r="K321" t="s">
        <v>7844</v>
      </c>
      <c r="L321" t="s">
        <v>7837</v>
      </c>
    </row>
    <row r="322" spans="1:12">
      <c r="A322" t="s">
        <v>7830</v>
      </c>
      <c r="B322" t="s">
        <v>7831</v>
      </c>
      <c r="C322" t="s">
        <v>7832</v>
      </c>
      <c r="D322" t="s">
        <v>7833</v>
      </c>
      <c r="E322" t="s">
        <v>7834</v>
      </c>
      <c r="F322">
        <v>195780929</v>
      </c>
      <c r="G322">
        <v>644137</v>
      </c>
      <c r="H322">
        <v>755683</v>
      </c>
      <c r="I322" t="s">
        <v>7849</v>
      </c>
      <c r="J322">
        <v>2018</v>
      </c>
      <c r="K322" t="s">
        <v>7845</v>
      </c>
      <c r="L322" t="s">
        <v>7837</v>
      </c>
    </row>
    <row r="323" spans="1:12">
      <c r="A323" t="s">
        <v>7830</v>
      </c>
      <c r="B323" t="s">
        <v>7831</v>
      </c>
      <c r="C323" t="s">
        <v>7832</v>
      </c>
      <c r="D323" t="s">
        <v>7833</v>
      </c>
      <c r="E323" t="s">
        <v>7834</v>
      </c>
      <c r="F323">
        <v>295124303</v>
      </c>
      <c r="G323">
        <v>425830</v>
      </c>
      <c r="H323">
        <v>886102</v>
      </c>
      <c r="I323" t="s">
        <v>7849</v>
      </c>
      <c r="J323">
        <v>2018</v>
      </c>
      <c r="K323" t="s">
        <v>7846</v>
      </c>
      <c r="L323" t="s">
        <v>7837</v>
      </c>
    </row>
    <row r="324" spans="1:12">
      <c r="A324" t="s">
        <v>7830</v>
      </c>
      <c r="B324" t="s">
        <v>7831</v>
      </c>
      <c r="C324" t="s">
        <v>7832</v>
      </c>
      <c r="D324" t="s">
        <v>7833</v>
      </c>
      <c r="E324" t="s">
        <v>7834</v>
      </c>
      <c r="F324">
        <v>277658183</v>
      </c>
      <c r="G324">
        <v>768439</v>
      </c>
      <c r="H324">
        <v>880514</v>
      </c>
      <c r="I324" t="s">
        <v>7849</v>
      </c>
      <c r="J324">
        <v>2018</v>
      </c>
      <c r="K324" t="s">
        <v>7847</v>
      </c>
      <c r="L324" t="s">
        <v>7837</v>
      </c>
    </row>
    <row r="325" spans="1:12">
      <c r="A325" t="s">
        <v>7830</v>
      </c>
      <c r="B325" t="s">
        <v>7831</v>
      </c>
      <c r="C325" t="s">
        <v>7832</v>
      </c>
      <c r="D325" t="s">
        <v>7833</v>
      </c>
      <c r="E325" t="s">
        <v>7834</v>
      </c>
      <c r="F325">
        <v>144685966</v>
      </c>
      <c r="G325">
        <v>402078</v>
      </c>
      <c r="H325">
        <v>663978</v>
      </c>
      <c r="I325" t="s">
        <v>7849</v>
      </c>
      <c r="J325">
        <v>2018</v>
      </c>
      <c r="K325" t="s">
        <v>7848</v>
      </c>
      <c r="L325" t="s">
        <v>7837</v>
      </c>
    </row>
    <row r="326" spans="1:12">
      <c r="A326" t="s">
        <v>7830</v>
      </c>
      <c r="B326" t="s">
        <v>7831</v>
      </c>
      <c r="C326" t="s">
        <v>7832</v>
      </c>
      <c r="D326" t="s">
        <v>7833</v>
      </c>
      <c r="E326" t="s">
        <v>7834</v>
      </c>
      <c r="F326">
        <v>151683195</v>
      </c>
      <c r="G326">
        <v>344271</v>
      </c>
      <c r="H326">
        <v>726747</v>
      </c>
      <c r="I326" t="s">
        <v>7849</v>
      </c>
      <c r="J326">
        <v>2019</v>
      </c>
      <c r="K326" t="s">
        <v>7836</v>
      </c>
      <c r="L326" t="s">
        <v>7837</v>
      </c>
    </row>
    <row r="327" spans="1:12">
      <c r="A327" t="s">
        <v>7830</v>
      </c>
      <c r="B327" t="s">
        <v>7831</v>
      </c>
      <c r="C327" t="s">
        <v>7832</v>
      </c>
      <c r="D327" t="s">
        <v>7833</v>
      </c>
      <c r="E327" t="s">
        <v>7834</v>
      </c>
      <c r="F327">
        <v>93110345</v>
      </c>
      <c r="G327">
        <v>196694</v>
      </c>
      <c r="H327">
        <v>485939</v>
      </c>
      <c r="I327" t="s">
        <v>7849</v>
      </c>
      <c r="J327">
        <v>2019</v>
      </c>
      <c r="K327" t="s">
        <v>7838</v>
      </c>
      <c r="L327" t="s">
        <v>7837</v>
      </c>
    </row>
    <row r="328" spans="1:12">
      <c r="A328" t="s">
        <v>7830</v>
      </c>
      <c r="B328" t="s">
        <v>7831</v>
      </c>
      <c r="C328" t="s">
        <v>7832</v>
      </c>
      <c r="D328" t="s">
        <v>7833</v>
      </c>
      <c r="E328" t="s">
        <v>7834</v>
      </c>
      <c r="F328">
        <v>130742593</v>
      </c>
      <c r="G328">
        <v>210058</v>
      </c>
      <c r="H328">
        <v>702782</v>
      </c>
      <c r="I328" t="s">
        <v>7849</v>
      </c>
      <c r="J328">
        <v>2019</v>
      </c>
      <c r="K328" t="s">
        <v>7839</v>
      </c>
      <c r="L328" t="s">
        <v>7837</v>
      </c>
    </row>
    <row r="329" spans="1:12">
      <c r="A329" t="s">
        <v>7830</v>
      </c>
      <c r="B329" t="s">
        <v>7831</v>
      </c>
      <c r="C329" t="s">
        <v>7832</v>
      </c>
      <c r="D329" t="s">
        <v>7833</v>
      </c>
      <c r="E329" t="s">
        <v>7834</v>
      </c>
      <c r="F329">
        <v>78179297</v>
      </c>
      <c r="G329">
        <v>130082</v>
      </c>
      <c r="H329">
        <v>370484</v>
      </c>
      <c r="I329" t="s">
        <v>7849</v>
      </c>
      <c r="J329">
        <v>2019</v>
      </c>
      <c r="K329" t="s">
        <v>7840</v>
      </c>
      <c r="L329" t="s">
        <v>7837</v>
      </c>
    </row>
    <row r="330" spans="1:12">
      <c r="A330" t="s">
        <v>7830</v>
      </c>
      <c r="B330" t="s">
        <v>7831</v>
      </c>
      <c r="C330" t="s">
        <v>7832</v>
      </c>
      <c r="D330" t="s">
        <v>7833</v>
      </c>
      <c r="E330" t="s">
        <v>7834</v>
      </c>
      <c r="F330">
        <v>52373676</v>
      </c>
      <c r="G330">
        <v>127468</v>
      </c>
      <c r="H330">
        <v>353196</v>
      </c>
      <c r="I330" t="s">
        <v>7849</v>
      </c>
      <c r="J330">
        <v>2019</v>
      </c>
      <c r="K330" t="s">
        <v>7841</v>
      </c>
      <c r="L330" t="s">
        <v>7837</v>
      </c>
    </row>
    <row r="331" spans="1:12">
      <c r="A331" t="s">
        <v>7830</v>
      </c>
      <c r="B331" t="s">
        <v>7831</v>
      </c>
      <c r="C331" t="s">
        <v>7832</v>
      </c>
      <c r="D331" t="s">
        <v>7833</v>
      </c>
      <c r="E331" t="s">
        <v>7834</v>
      </c>
      <c r="F331">
        <v>71103243</v>
      </c>
      <c r="G331">
        <v>137868</v>
      </c>
      <c r="H331">
        <v>419565</v>
      </c>
      <c r="I331" t="s">
        <v>7849</v>
      </c>
      <c r="J331">
        <v>2019</v>
      </c>
      <c r="K331" t="s">
        <v>7842</v>
      </c>
      <c r="L331" t="s">
        <v>7837</v>
      </c>
    </row>
    <row r="332" spans="1:12">
      <c r="A332" t="s">
        <v>7830</v>
      </c>
      <c r="B332" t="s">
        <v>7831</v>
      </c>
      <c r="C332" t="s">
        <v>7832</v>
      </c>
      <c r="D332" t="s">
        <v>7833</v>
      </c>
      <c r="E332" t="s">
        <v>7834</v>
      </c>
      <c r="F332">
        <v>91628013</v>
      </c>
      <c r="G332">
        <v>148376</v>
      </c>
      <c r="H332">
        <v>431137</v>
      </c>
      <c r="I332" t="s">
        <v>7849</v>
      </c>
      <c r="J332">
        <v>2019</v>
      </c>
      <c r="K332" t="s">
        <v>7843</v>
      </c>
      <c r="L332" t="s">
        <v>7837</v>
      </c>
    </row>
    <row r="333" spans="1:12">
      <c r="A333" t="s">
        <v>7830</v>
      </c>
      <c r="B333" t="s">
        <v>7831</v>
      </c>
      <c r="C333" t="s">
        <v>7832</v>
      </c>
      <c r="D333" t="s">
        <v>7833</v>
      </c>
      <c r="E333" t="s">
        <v>7834</v>
      </c>
      <c r="F333">
        <v>119079365</v>
      </c>
      <c r="G333">
        <v>156706</v>
      </c>
      <c r="H333">
        <v>458115</v>
      </c>
      <c r="I333" t="s">
        <v>7849</v>
      </c>
      <c r="J333">
        <v>2019</v>
      </c>
      <c r="K333" t="s">
        <v>7844</v>
      </c>
      <c r="L333" t="s">
        <v>7837</v>
      </c>
    </row>
    <row r="334" spans="1:12">
      <c r="A334" t="s">
        <v>7830</v>
      </c>
      <c r="B334" t="s">
        <v>7831</v>
      </c>
      <c r="C334" t="s">
        <v>7832</v>
      </c>
      <c r="D334" t="s">
        <v>7833</v>
      </c>
      <c r="E334" t="s">
        <v>7834</v>
      </c>
      <c r="F334">
        <v>145251766</v>
      </c>
      <c r="G334">
        <v>236252</v>
      </c>
      <c r="H334">
        <v>627485</v>
      </c>
      <c r="I334" t="s">
        <v>7849</v>
      </c>
      <c r="J334">
        <v>2019</v>
      </c>
      <c r="K334" t="s">
        <v>7845</v>
      </c>
      <c r="L334" t="s">
        <v>7837</v>
      </c>
    </row>
    <row r="335" spans="1:12">
      <c r="A335" t="s">
        <v>7830</v>
      </c>
      <c r="B335" t="s">
        <v>7831</v>
      </c>
      <c r="C335" t="s">
        <v>7832</v>
      </c>
      <c r="D335" t="s">
        <v>7833</v>
      </c>
      <c r="E335" t="s">
        <v>7834</v>
      </c>
      <c r="F335">
        <v>241607459</v>
      </c>
      <c r="G335">
        <v>263316</v>
      </c>
      <c r="H335">
        <v>743691</v>
      </c>
      <c r="I335" t="s">
        <v>7849</v>
      </c>
      <c r="J335">
        <v>2019</v>
      </c>
      <c r="K335" t="s">
        <v>7846</v>
      </c>
      <c r="L335" t="s">
        <v>7837</v>
      </c>
    </row>
    <row r="336" spans="1:12">
      <c r="A336" t="s">
        <v>7830</v>
      </c>
      <c r="B336" t="s">
        <v>7831</v>
      </c>
      <c r="C336" t="s">
        <v>7832</v>
      </c>
      <c r="D336" t="s">
        <v>7833</v>
      </c>
      <c r="E336" t="s">
        <v>7834</v>
      </c>
      <c r="F336">
        <v>170923336</v>
      </c>
      <c r="G336">
        <v>214440</v>
      </c>
      <c r="H336">
        <v>629764</v>
      </c>
      <c r="I336" t="s">
        <v>7849</v>
      </c>
      <c r="J336">
        <v>2019</v>
      </c>
      <c r="K336" t="s">
        <v>7847</v>
      </c>
      <c r="L336" t="s">
        <v>7837</v>
      </c>
    </row>
    <row r="337" spans="1:12">
      <c r="A337" t="s">
        <v>7830</v>
      </c>
      <c r="B337" t="s">
        <v>7831</v>
      </c>
      <c r="C337" t="s">
        <v>7832</v>
      </c>
      <c r="D337" t="s">
        <v>7833</v>
      </c>
      <c r="E337" t="s">
        <v>7834</v>
      </c>
      <c r="F337">
        <v>121972926</v>
      </c>
      <c r="G337">
        <v>201468</v>
      </c>
      <c r="H337">
        <v>534548</v>
      </c>
      <c r="I337" t="s">
        <v>7849</v>
      </c>
      <c r="J337">
        <v>2019</v>
      </c>
      <c r="K337" t="s">
        <v>7848</v>
      </c>
      <c r="L337" t="s">
        <v>7837</v>
      </c>
    </row>
    <row r="338" spans="1:12">
      <c r="A338" t="s">
        <v>7830</v>
      </c>
      <c r="B338" t="s">
        <v>7831</v>
      </c>
      <c r="C338" t="s">
        <v>7832</v>
      </c>
      <c r="D338" t="s">
        <v>7833</v>
      </c>
      <c r="E338" t="s">
        <v>7834</v>
      </c>
      <c r="F338">
        <v>123709009</v>
      </c>
      <c r="G338">
        <v>195897</v>
      </c>
      <c r="H338">
        <v>578714</v>
      </c>
      <c r="I338" t="s">
        <v>7849</v>
      </c>
      <c r="J338">
        <v>2020</v>
      </c>
      <c r="K338" t="s">
        <v>7836</v>
      </c>
      <c r="L338" t="s">
        <v>7837</v>
      </c>
    </row>
    <row r="339" spans="1:12">
      <c r="A339" t="s">
        <v>7830</v>
      </c>
      <c r="B339" t="s">
        <v>7831</v>
      </c>
      <c r="C339" t="s">
        <v>7832</v>
      </c>
      <c r="D339" t="s">
        <v>7833</v>
      </c>
      <c r="E339" t="s">
        <v>7834</v>
      </c>
      <c r="F339">
        <v>105089885</v>
      </c>
      <c r="G339">
        <v>161137</v>
      </c>
      <c r="H339">
        <v>447884</v>
      </c>
      <c r="I339" t="s">
        <v>7849</v>
      </c>
      <c r="J339">
        <v>2020</v>
      </c>
      <c r="K339" t="s">
        <v>7838</v>
      </c>
      <c r="L339" t="s">
        <v>7837</v>
      </c>
    </row>
    <row r="340" spans="1:12">
      <c r="A340" t="s">
        <v>7830</v>
      </c>
      <c r="B340" t="s">
        <v>7831</v>
      </c>
      <c r="C340" t="s">
        <v>7832</v>
      </c>
      <c r="D340" t="s">
        <v>7833</v>
      </c>
      <c r="E340" t="s">
        <v>7834</v>
      </c>
      <c r="F340">
        <v>100536772</v>
      </c>
      <c r="G340">
        <v>159631</v>
      </c>
      <c r="H340">
        <v>441566</v>
      </c>
      <c r="I340" t="s">
        <v>7849</v>
      </c>
      <c r="J340">
        <v>2020</v>
      </c>
      <c r="K340" t="s">
        <v>7839</v>
      </c>
      <c r="L340" t="s">
        <v>7837</v>
      </c>
    </row>
    <row r="341" spans="1:12">
      <c r="A341" t="s">
        <v>7830</v>
      </c>
      <c r="B341" t="s">
        <v>7831</v>
      </c>
      <c r="C341" t="s">
        <v>7832</v>
      </c>
      <c r="D341" t="s">
        <v>7833</v>
      </c>
      <c r="E341" t="s">
        <v>7834</v>
      </c>
      <c r="F341">
        <v>113368844</v>
      </c>
      <c r="G341">
        <v>490106</v>
      </c>
      <c r="H341">
        <v>560003</v>
      </c>
      <c r="I341" t="s">
        <v>7849</v>
      </c>
      <c r="J341">
        <v>2020</v>
      </c>
      <c r="K341" t="s">
        <v>7840</v>
      </c>
      <c r="L341" t="s">
        <v>7837</v>
      </c>
    </row>
    <row r="342" spans="1:12">
      <c r="A342" t="s">
        <v>7830</v>
      </c>
      <c r="B342" t="s">
        <v>7831</v>
      </c>
      <c r="C342" t="s">
        <v>7832</v>
      </c>
      <c r="D342" t="s">
        <v>7833</v>
      </c>
      <c r="E342" t="s">
        <v>7834</v>
      </c>
      <c r="F342">
        <v>118590546</v>
      </c>
      <c r="G342">
        <v>210686</v>
      </c>
      <c r="H342">
        <v>609945</v>
      </c>
      <c r="I342" t="s">
        <v>7849</v>
      </c>
      <c r="J342">
        <v>2020</v>
      </c>
      <c r="K342" t="s">
        <v>7841</v>
      </c>
      <c r="L342" t="s">
        <v>7837</v>
      </c>
    </row>
    <row r="343" spans="1:12">
      <c r="A343" t="s">
        <v>7830</v>
      </c>
      <c r="B343" t="s">
        <v>7831</v>
      </c>
      <c r="C343" t="s">
        <v>7832</v>
      </c>
      <c r="D343" t="s">
        <v>7833</v>
      </c>
      <c r="E343" t="s">
        <v>7834</v>
      </c>
      <c r="F343">
        <v>100827040</v>
      </c>
      <c r="G343">
        <v>267287</v>
      </c>
      <c r="H343">
        <v>457990</v>
      </c>
      <c r="I343" t="s">
        <v>7849</v>
      </c>
      <c r="J343">
        <v>2020</v>
      </c>
      <c r="K343" t="s">
        <v>7842</v>
      </c>
      <c r="L343" t="s">
        <v>7837</v>
      </c>
    </row>
    <row r="344" spans="1:12">
      <c r="A344" t="s">
        <v>7830</v>
      </c>
      <c r="B344" t="s">
        <v>7831</v>
      </c>
      <c r="C344" t="s">
        <v>7832</v>
      </c>
      <c r="D344" t="s">
        <v>7833</v>
      </c>
      <c r="E344" t="s">
        <v>7834</v>
      </c>
      <c r="F344">
        <v>128534618</v>
      </c>
      <c r="G344">
        <v>299295</v>
      </c>
      <c r="H344">
        <v>502777</v>
      </c>
      <c r="I344" t="s">
        <v>7849</v>
      </c>
      <c r="J344">
        <v>2020</v>
      </c>
      <c r="K344" t="s">
        <v>7843</v>
      </c>
      <c r="L344" t="s">
        <v>7837</v>
      </c>
    </row>
    <row r="345" spans="1:12">
      <c r="A345" t="s">
        <v>7830</v>
      </c>
      <c r="B345" t="s">
        <v>7831</v>
      </c>
      <c r="C345" t="s">
        <v>7832</v>
      </c>
      <c r="D345" t="s">
        <v>7833</v>
      </c>
      <c r="E345" t="s">
        <v>7834</v>
      </c>
      <c r="F345">
        <v>105206851</v>
      </c>
      <c r="G345">
        <v>271300</v>
      </c>
      <c r="H345">
        <v>694746</v>
      </c>
      <c r="I345" t="s">
        <v>7849</v>
      </c>
      <c r="J345">
        <v>2020</v>
      </c>
      <c r="K345" t="s">
        <v>7844</v>
      </c>
      <c r="L345" t="s">
        <v>7837</v>
      </c>
    </row>
    <row r="346" spans="1:12">
      <c r="A346" t="s">
        <v>7830</v>
      </c>
      <c r="B346" t="s">
        <v>7831</v>
      </c>
      <c r="C346" t="s">
        <v>7832</v>
      </c>
      <c r="D346" t="s">
        <v>7833</v>
      </c>
      <c r="E346" t="s">
        <v>7834</v>
      </c>
      <c r="F346">
        <v>116918616</v>
      </c>
      <c r="G346">
        <v>472816</v>
      </c>
      <c r="H346">
        <v>859567</v>
      </c>
      <c r="I346" t="s">
        <v>7849</v>
      </c>
      <c r="J346">
        <v>2020</v>
      </c>
      <c r="K346" t="s">
        <v>7845</v>
      </c>
      <c r="L346" t="s">
        <v>7837</v>
      </c>
    </row>
    <row r="347" spans="1:12">
      <c r="A347" t="s">
        <v>7830</v>
      </c>
      <c r="B347" t="s">
        <v>7831</v>
      </c>
      <c r="C347" t="s">
        <v>7832</v>
      </c>
      <c r="D347" t="s">
        <v>7833</v>
      </c>
      <c r="E347" t="s">
        <v>7834</v>
      </c>
      <c r="F347">
        <v>112554605</v>
      </c>
      <c r="G347">
        <v>390457</v>
      </c>
      <c r="H347">
        <v>779943</v>
      </c>
      <c r="I347" t="s">
        <v>7849</v>
      </c>
      <c r="J347">
        <v>2020</v>
      </c>
      <c r="K347" t="s">
        <v>7846</v>
      </c>
      <c r="L347" t="s">
        <v>7837</v>
      </c>
    </row>
    <row r="348" spans="1:12">
      <c r="A348" t="s">
        <v>7830</v>
      </c>
      <c r="B348" t="s">
        <v>7831</v>
      </c>
      <c r="C348" t="s">
        <v>7832</v>
      </c>
      <c r="D348" t="s">
        <v>7833</v>
      </c>
      <c r="E348" t="s">
        <v>7834</v>
      </c>
      <c r="F348">
        <v>170164345</v>
      </c>
      <c r="G348">
        <v>234257</v>
      </c>
      <c r="H348">
        <v>649125</v>
      </c>
      <c r="I348" t="s">
        <v>7849</v>
      </c>
      <c r="J348">
        <v>2020</v>
      </c>
      <c r="K348" t="s">
        <v>7847</v>
      </c>
      <c r="L348" t="s">
        <v>7837</v>
      </c>
    </row>
    <row r="349" spans="1:12">
      <c r="A349" t="s">
        <v>7830</v>
      </c>
      <c r="B349" t="s">
        <v>7831</v>
      </c>
      <c r="C349" t="s">
        <v>7832</v>
      </c>
      <c r="D349" t="s">
        <v>7833</v>
      </c>
      <c r="E349" t="s">
        <v>7834</v>
      </c>
      <c r="F349">
        <v>150285797</v>
      </c>
      <c r="G349">
        <v>301516</v>
      </c>
      <c r="H349">
        <v>879501</v>
      </c>
      <c r="I349" t="s">
        <v>7849</v>
      </c>
      <c r="J349">
        <v>2020</v>
      </c>
      <c r="K349" t="s">
        <v>7848</v>
      </c>
      <c r="L349" t="s">
        <v>7837</v>
      </c>
    </row>
    <row r="350" spans="1:12">
      <c r="A350" t="s">
        <v>7830</v>
      </c>
      <c r="B350" t="s">
        <v>7831</v>
      </c>
      <c r="C350" t="s">
        <v>7832</v>
      </c>
      <c r="D350" t="s">
        <v>7833</v>
      </c>
      <c r="E350" t="s">
        <v>7834</v>
      </c>
      <c r="F350">
        <v>29885595</v>
      </c>
      <c r="G350">
        <v>110772</v>
      </c>
      <c r="H350">
        <v>205763</v>
      </c>
      <c r="I350" t="s">
        <v>7849</v>
      </c>
      <c r="J350">
        <v>2021</v>
      </c>
      <c r="K350" t="s">
        <v>7836</v>
      </c>
      <c r="L350" t="s">
        <v>7837</v>
      </c>
    </row>
    <row r="351" spans="1:12">
      <c r="A351" t="s">
        <v>7830</v>
      </c>
      <c r="B351" t="s">
        <v>7831</v>
      </c>
      <c r="C351" t="s">
        <v>7832</v>
      </c>
      <c r="D351" t="s">
        <v>7833</v>
      </c>
      <c r="E351" t="s">
        <v>7834</v>
      </c>
      <c r="F351">
        <v>40717909</v>
      </c>
      <c r="G351">
        <v>88433</v>
      </c>
      <c r="H351">
        <v>242563</v>
      </c>
      <c r="I351" t="s">
        <v>7849</v>
      </c>
      <c r="J351">
        <v>2021</v>
      </c>
      <c r="K351" t="s">
        <v>7838</v>
      </c>
      <c r="L351" t="s">
        <v>7837</v>
      </c>
    </row>
    <row r="352" spans="1:12">
      <c r="A352" t="s">
        <v>7830</v>
      </c>
      <c r="B352" t="s">
        <v>7831</v>
      </c>
      <c r="C352" t="s">
        <v>7832</v>
      </c>
      <c r="D352" t="s">
        <v>7833</v>
      </c>
      <c r="E352" t="s">
        <v>7834</v>
      </c>
      <c r="F352">
        <v>48249006</v>
      </c>
      <c r="G352">
        <v>100615</v>
      </c>
      <c r="H352">
        <v>274557</v>
      </c>
      <c r="I352" t="s">
        <v>7849</v>
      </c>
      <c r="J352">
        <v>2021</v>
      </c>
      <c r="K352" t="s">
        <v>7839</v>
      </c>
      <c r="L352" t="s">
        <v>7837</v>
      </c>
    </row>
    <row r="353" spans="1:12">
      <c r="A353" t="s">
        <v>7830</v>
      </c>
      <c r="B353" t="s">
        <v>7831</v>
      </c>
      <c r="C353" t="s">
        <v>7832</v>
      </c>
      <c r="D353" t="s">
        <v>7833</v>
      </c>
      <c r="E353" t="s">
        <v>7834</v>
      </c>
      <c r="F353">
        <v>45435416</v>
      </c>
      <c r="G353">
        <v>119292</v>
      </c>
      <c r="H353">
        <v>279262</v>
      </c>
      <c r="I353" t="s">
        <v>7849</v>
      </c>
      <c r="J353">
        <v>2021</v>
      </c>
      <c r="K353" t="s">
        <v>7840</v>
      </c>
      <c r="L353" t="s">
        <v>7837</v>
      </c>
    </row>
    <row r="354" spans="1:12">
      <c r="A354" t="s">
        <v>7830</v>
      </c>
      <c r="B354" t="s">
        <v>7831</v>
      </c>
      <c r="C354" t="s">
        <v>7832</v>
      </c>
      <c r="D354" t="s">
        <v>7833</v>
      </c>
      <c r="E354" t="s">
        <v>7834</v>
      </c>
      <c r="F354">
        <v>53238088</v>
      </c>
      <c r="G354">
        <v>84476</v>
      </c>
      <c r="H354">
        <v>263468</v>
      </c>
      <c r="I354" t="s">
        <v>7849</v>
      </c>
      <c r="J354">
        <v>2021</v>
      </c>
      <c r="K354" t="s">
        <v>7841</v>
      </c>
      <c r="L354" t="s">
        <v>7837</v>
      </c>
    </row>
    <row r="355" spans="1:12">
      <c r="A355" t="s">
        <v>7830</v>
      </c>
      <c r="B355" t="s">
        <v>7831</v>
      </c>
      <c r="C355" t="s">
        <v>7832</v>
      </c>
      <c r="D355" t="s">
        <v>7833</v>
      </c>
      <c r="E355" t="s">
        <v>7834</v>
      </c>
      <c r="F355">
        <v>46340090</v>
      </c>
      <c r="G355">
        <v>96698</v>
      </c>
      <c r="H355">
        <v>277298</v>
      </c>
      <c r="I355" t="s">
        <v>7849</v>
      </c>
      <c r="J355">
        <v>2021</v>
      </c>
      <c r="K355" t="s">
        <v>7842</v>
      </c>
      <c r="L355" t="s">
        <v>7837</v>
      </c>
    </row>
    <row r="356" spans="1:12">
      <c r="A356" t="s">
        <v>7830</v>
      </c>
      <c r="B356" t="s">
        <v>7831</v>
      </c>
      <c r="C356" t="s">
        <v>7832</v>
      </c>
      <c r="D356" t="s">
        <v>7833</v>
      </c>
      <c r="E356" t="s">
        <v>7834</v>
      </c>
      <c r="F356">
        <v>34368817</v>
      </c>
      <c r="G356">
        <v>70713</v>
      </c>
      <c r="H356">
        <v>172946</v>
      </c>
      <c r="I356" t="s">
        <v>7849</v>
      </c>
      <c r="J356">
        <v>2021</v>
      </c>
      <c r="K356" t="s">
        <v>7843</v>
      </c>
      <c r="L356" t="s">
        <v>7837</v>
      </c>
    </row>
    <row r="357" spans="1:12">
      <c r="A357" t="s">
        <v>7830</v>
      </c>
      <c r="B357" t="s">
        <v>7831</v>
      </c>
      <c r="C357" t="s">
        <v>7832</v>
      </c>
      <c r="D357" t="s">
        <v>7833</v>
      </c>
      <c r="E357" t="s">
        <v>7834</v>
      </c>
      <c r="F357">
        <v>47734848</v>
      </c>
      <c r="G357">
        <v>82457</v>
      </c>
      <c r="H357">
        <v>232856</v>
      </c>
      <c r="I357" t="s">
        <v>7849</v>
      </c>
      <c r="J357">
        <v>2021</v>
      </c>
      <c r="K357" t="s">
        <v>7844</v>
      </c>
      <c r="L357" t="s">
        <v>7837</v>
      </c>
    </row>
    <row r="358" spans="1:12">
      <c r="A358" t="s">
        <v>7830</v>
      </c>
      <c r="B358" t="s">
        <v>7831</v>
      </c>
      <c r="C358" t="s">
        <v>7832</v>
      </c>
      <c r="D358" t="s">
        <v>7833</v>
      </c>
      <c r="E358" t="s">
        <v>7834</v>
      </c>
      <c r="F358">
        <v>39625722</v>
      </c>
      <c r="G358">
        <v>101235</v>
      </c>
      <c r="H358">
        <v>254473</v>
      </c>
      <c r="I358" t="s">
        <v>7849</v>
      </c>
      <c r="J358">
        <v>2021</v>
      </c>
      <c r="K358" t="s">
        <v>7845</v>
      </c>
      <c r="L358" t="s">
        <v>7837</v>
      </c>
    </row>
    <row r="359" spans="1:12">
      <c r="A359" t="s">
        <v>7830</v>
      </c>
      <c r="B359" t="s">
        <v>7831</v>
      </c>
      <c r="C359" t="s">
        <v>7832</v>
      </c>
      <c r="D359" t="s">
        <v>7833</v>
      </c>
      <c r="E359" t="s">
        <v>7834</v>
      </c>
      <c r="F359">
        <v>40625810</v>
      </c>
      <c r="G359">
        <v>438853</v>
      </c>
      <c r="H359">
        <v>164108</v>
      </c>
      <c r="I359" t="s">
        <v>7849</v>
      </c>
      <c r="J359">
        <v>2021</v>
      </c>
      <c r="K359" t="s">
        <v>7846</v>
      </c>
      <c r="L359" t="s">
        <v>7837</v>
      </c>
    </row>
    <row r="360" spans="1:12">
      <c r="A360" t="s">
        <v>7830</v>
      </c>
      <c r="B360" t="s">
        <v>7831</v>
      </c>
      <c r="C360" t="s">
        <v>7832</v>
      </c>
      <c r="D360" t="s">
        <v>7833</v>
      </c>
      <c r="E360" t="s">
        <v>7834</v>
      </c>
      <c r="F360">
        <v>42127583</v>
      </c>
      <c r="G360">
        <v>386681</v>
      </c>
      <c r="H360">
        <v>207592</v>
      </c>
      <c r="I360" t="s">
        <v>7849</v>
      </c>
      <c r="J360">
        <v>2021</v>
      </c>
      <c r="K360" t="s">
        <v>7847</v>
      </c>
      <c r="L360" t="s">
        <v>7837</v>
      </c>
    </row>
    <row r="361" spans="1:12">
      <c r="A361" t="s">
        <v>7830</v>
      </c>
      <c r="B361" t="s">
        <v>7831</v>
      </c>
      <c r="C361" t="s">
        <v>7832</v>
      </c>
      <c r="D361" t="s">
        <v>7833</v>
      </c>
      <c r="E361" t="s">
        <v>7834</v>
      </c>
      <c r="F361">
        <v>39033828</v>
      </c>
      <c r="G361">
        <v>66654</v>
      </c>
      <c r="H361">
        <v>163502</v>
      </c>
      <c r="I361" t="s">
        <v>7849</v>
      </c>
      <c r="J361">
        <v>2021</v>
      </c>
      <c r="K361" t="s">
        <v>7848</v>
      </c>
      <c r="L361" t="s">
        <v>7837</v>
      </c>
    </row>
    <row r="362" spans="1:12">
      <c r="A362" t="s">
        <v>7830</v>
      </c>
      <c r="B362" t="s">
        <v>7831</v>
      </c>
      <c r="C362" t="s">
        <v>7832</v>
      </c>
      <c r="D362" t="s">
        <v>7833</v>
      </c>
      <c r="E362" t="s">
        <v>7834</v>
      </c>
      <c r="F362">
        <v>16086887</v>
      </c>
      <c r="G362">
        <v>105883</v>
      </c>
      <c r="H362">
        <v>247529</v>
      </c>
      <c r="I362" t="s">
        <v>7850</v>
      </c>
      <c r="J362">
        <v>2007</v>
      </c>
      <c r="K362" t="s">
        <v>7836</v>
      </c>
      <c r="L362" t="s">
        <v>7837</v>
      </c>
    </row>
    <row r="363" spans="1:12">
      <c r="A363" t="s">
        <v>7830</v>
      </c>
      <c r="B363" t="s">
        <v>7831</v>
      </c>
      <c r="C363" t="s">
        <v>7832</v>
      </c>
      <c r="D363" t="s">
        <v>7833</v>
      </c>
      <c r="E363" t="s">
        <v>7834</v>
      </c>
      <c r="F363">
        <v>15567285</v>
      </c>
      <c r="G363">
        <v>103328</v>
      </c>
      <c r="H363">
        <v>235435</v>
      </c>
      <c r="I363" t="s">
        <v>7850</v>
      </c>
      <c r="J363">
        <v>2007</v>
      </c>
      <c r="K363" t="s">
        <v>7838</v>
      </c>
      <c r="L363" t="s">
        <v>7837</v>
      </c>
    </row>
    <row r="364" spans="1:12">
      <c r="A364" t="s">
        <v>7830</v>
      </c>
      <c r="B364" t="s">
        <v>7831</v>
      </c>
      <c r="C364" t="s">
        <v>7832</v>
      </c>
      <c r="D364" t="s">
        <v>7833</v>
      </c>
      <c r="E364" t="s">
        <v>7834</v>
      </c>
      <c r="F364">
        <v>30531935</v>
      </c>
      <c r="G364">
        <v>212644</v>
      </c>
      <c r="H364">
        <v>485147</v>
      </c>
      <c r="I364" t="s">
        <v>7850</v>
      </c>
      <c r="J364">
        <v>2007</v>
      </c>
      <c r="K364" t="s">
        <v>7839</v>
      </c>
      <c r="L364" t="s">
        <v>7837</v>
      </c>
    </row>
    <row r="365" spans="1:12">
      <c r="A365" t="s">
        <v>7830</v>
      </c>
      <c r="B365" t="s">
        <v>7831</v>
      </c>
      <c r="C365" t="s">
        <v>7832</v>
      </c>
      <c r="D365" t="s">
        <v>7833</v>
      </c>
      <c r="E365" t="s">
        <v>7834</v>
      </c>
      <c r="F365">
        <v>17530965</v>
      </c>
      <c r="G365">
        <v>118324</v>
      </c>
      <c r="H365">
        <v>304996</v>
      </c>
      <c r="I365" t="s">
        <v>7850</v>
      </c>
      <c r="J365">
        <v>2007</v>
      </c>
      <c r="K365" t="s">
        <v>7840</v>
      </c>
      <c r="L365" t="s">
        <v>7837</v>
      </c>
    </row>
    <row r="366" spans="1:12">
      <c r="A366" t="s">
        <v>7830</v>
      </c>
      <c r="B366" t="s">
        <v>7831</v>
      </c>
      <c r="C366" t="s">
        <v>7832</v>
      </c>
      <c r="D366" t="s">
        <v>7833</v>
      </c>
      <c r="E366" t="s">
        <v>7834</v>
      </c>
      <c r="F366">
        <v>15287435</v>
      </c>
      <c r="G366">
        <v>96057</v>
      </c>
      <c r="H366">
        <v>393604</v>
      </c>
      <c r="I366" t="s">
        <v>7850</v>
      </c>
      <c r="J366">
        <v>2007</v>
      </c>
      <c r="K366" t="s">
        <v>7841</v>
      </c>
      <c r="L366" t="s">
        <v>7837</v>
      </c>
    </row>
    <row r="367" spans="1:12">
      <c r="A367" t="s">
        <v>7830</v>
      </c>
      <c r="B367" t="s">
        <v>7831</v>
      </c>
      <c r="C367" t="s">
        <v>7832</v>
      </c>
      <c r="D367" t="s">
        <v>7833</v>
      </c>
      <c r="E367" t="s">
        <v>7834</v>
      </c>
      <c r="F367">
        <v>14374983</v>
      </c>
      <c r="G367">
        <v>97844</v>
      </c>
      <c r="H367">
        <v>566258</v>
      </c>
      <c r="I367" t="s">
        <v>7850</v>
      </c>
      <c r="J367">
        <v>2007</v>
      </c>
      <c r="K367" t="s">
        <v>7842</v>
      </c>
      <c r="L367" t="s">
        <v>7837</v>
      </c>
    </row>
    <row r="368" spans="1:12">
      <c r="A368" t="s">
        <v>7830</v>
      </c>
      <c r="B368" t="s">
        <v>7831</v>
      </c>
      <c r="C368" t="s">
        <v>7832</v>
      </c>
      <c r="D368" t="s">
        <v>7833</v>
      </c>
      <c r="E368" t="s">
        <v>7834</v>
      </c>
      <c r="F368">
        <v>16430555</v>
      </c>
      <c r="G368">
        <v>96026</v>
      </c>
      <c r="H368">
        <v>226045</v>
      </c>
      <c r="I368" t="s">
        <v>7850</v>
      </c>
      <c r="J368">
        <v>2007</v>
      </c>
      <c r="K368" t="s">
        <v>7843</v>
      </c>
      <c r="L368" t="s">
        <v>7837</v>
      </c>
    </row>
    <row r="369" spans="1:12">
      <c r="A369" t="s">
        <v>7830</v>
      </c>
      <c r="B369" t="s">
        <v>7831</v>
      </c>
      <c r="C369" t="s">
        <v>7832</v>
      </c>
      <c r="D369" t="s">
        <v>7833</v>
      </c>
      <c r="E369" t="s">
        <v>7834</v>
      </c>
      <c r="F369">
        <v>10865698</v>
      </c>
      <c r="G369">
        <v>68450</v>
      </c>
      <c r="H369">
        <v>205112</v>
      </c>
      <c r="I369" t="s">
        <v>7850</v>
      </c>
      <c r="J369">
        <v>2007</v>
      </c>
      <c r="K369" t="s">
        <v>7844</v>
      </c>
      <c r="L369" t="s">
        <v>7837</v>
      </c>
    </row>
    <row r="370" spans="1:12">
      <c r="A370" t="s">
        <v>7830</v>
      </c>
      <c r="B370" t="s">
        <v>7831</v>
      </c>
      <c r="C370" t="s">
        <v>7832</v>
      </c>
      <c r="D370" t="s">
        <v>7833</v>
      </c>
      <c r="E370" t="s">
        <v>7834</v>
      </c>
      <c r="F370">
        <v>13208035</v>
      </c>
      <c r="G370">
        <v>79163</v>
      </c>
      <c r="H370">
        <v>290646</v>
      </c>
      <c r="I370" t="s">
        <v>7850</v>
      </c>
      <c r="J370">
        <v>2007</v>
      </c>
      <c r="K370" t="s">
        <v>7845</v>
      </c>
      <c r="L370" t="s">
        <v>7837</v>
      </c>
    </row>
    <row r="371" spans="1:12">
      <c r="A371" t="s">
        <v>7830</v>
      </c>
      <c r="B371" t="s">
        <v>7831</v>
      </c>
      <c r="C371" t="s">
        <v>7832</v>
      </c>
      <c r="D371" t="s">
        <v>7833</v>
      </c>
      <c r="E371" t="s">
        <v>7834</v>
      </c>
      <c r="F371">
        <v>15881267</v>
      </c>
      <c r="G371">
        <v>83991</v>
      </c>
      <c r="H371">
        <v>220698</v>
      </c>
      <c r="I371" t="s">
        <v>7850</v>
      </c>
      <c r="J371">
        <v>2007</v>
      </c>
      <c r="K371" t="s">
        <v>7846</v>
      </c>
      <c r="L371" t="s">
        <v>7837</v>
      </c>
    </row>
    <row r="372" spans="1:12">
      <c r="A372" t="s">
        <v>7830</v>
      </c>
      <c r="B372" t="s">
        <v>7831</v>
      </c>
      <c r="C372" t="s">
        <v>7832</v>
      </c>
      <c r="D372" t="s">
        <v>7833</v>
      </c>
      <c r="E372" t="s">
        <v>7834</v>
      </c>
      <c r="F372">
        <v>14348623</v>
      </c>
      <c r="G372">
        <v>74217</v>
      </c>
      <c r="H372">
        <v>178809</v>
      </c>
      <c r="I372" t="s">
        <v>7850</v>
      </c>
      <c r="J372">
        <v>2007</v>
      </c>
      <c r="K372" t="s">
        <v>7847</v>
      </c>
      <c r="L372" t="s">
        <v>7837</v>
      </c>
    </row>
    <row r="373" spans="1:12">
      <c r="A373" t="s">
        <v>7830</v>
      </c>
      <c r="B373" t="s">
        <v>7831</v>
      </c>
      <c r="C373" t="s">
        <v>7832</v>
      </c>
      <c r="D373" t="s">
        <v>7833</v>
      </c>
      <c r="E373" t="s">
        <v>7834</v>
      </c>
      <c r="F373">
        <v>13837540</v>
      </c>
      <c r="G373">
        <v>70326</v>
      </c>
      <c r="H373">
        <v>213886</v>
      </c>
      <c r="I373" t="s">
        <v>7850</v>
      </c>
      <c r="J373">
        <v>2007</v>
      </c>
      <c r="K373" t="s">
        <v>7848</v>
      </c>
      <c r="L373" t="s">
        <v>7837</v>
      </c>
    </row>
    <row r="374" spans="1:12">
      <c r="A374" t="s">
        <v>7830</v>
      </c>
      <c r="B374" t="s">
        <v>7831</v>
      </c>
      <c r="C374" t="s">
        <v>7832</v>
      </c>
      <c r="D374" t="s">
        <v>7833</v>
      </c>
      <c r="E374" t="s">
        <v>7834</v>
      </c>
      <c r="F374">
        <v>11911153</v>
      </c>
      <c r="G374">
        <v>60369</v>
      </c>
      <c r="H374">
        <v>174954</v>
      </c>
      <c r="I374" t="s">
        <v>7850</v>
      </c>
      <c r="J374">
        <v>2008</v>
      </c>
      <c r="K374" t="s">
        <v>7836</v>
      </c>
      <c r="L374" t="s">
        <v>7837</v>
      </c>
    </row>
    <row r="375" spans="1:12">
      <c r="A375" t="s">
        <v>7830</v>
      </c>
      <c r="B375" t="s">
        <v>7831</v>
      </c>
      <c r="C375" t="s">
        <v>7832</v>
      </c>
      <c r="D375" t="s">
        <v>7833</v>
      </c>
      <c r="E375" t="s">
        <v>7834</v>
      </c>
      <c r="F375">
        <v>15014550</v>
      </c>
      <c r="G375">
        <v>87871</v>
      </c>
      <c r="H375">
        <v>232404</v>
      </c>
      <c r="I375" t="s">
        <v>7850</v>
      </c>
      <c r="J375">
        <v>2008</v>
      </c>
      <c r="K375" t="s">
        <v>7838</v>
      </c>
      <c r="L375" t="s">
        <v>7837</v>
      </c>
    </row>
    <row r="376" spans="1:12">
      <c r="A376" t="s">
        <v>7830</v>
      </c>
      <c r="B376" t="s">
        <v>7831</v>
      </c>
      <c r="C376" t="s">
        <v>7832</v>
      </c>
      <c r="D376" t="s">
        <v>7833</v>
      </c>
      <c r="E376" t="s">
        <v>7834</v>
      </c>
      <c r="F376">
        <v>23847745</v>
      </c>
      <c r="G376">
        <v>120296</v>
      </c>
      <c r="H376">
        <v>373467</v>
      </c>
      <c r="I376" t="s">
        <v>7850</v>
      </c>
      <c r="J376">
        <v>2008</v>
      </c>
      <c r="K376" t="s">
        <v>7839</v>
      </c>
      <c r="L376" t="s">
        <v>7837</v>
      </c>
    </row>
    <row r="377" spans="1:12">
      <c r="A377" t="s">
        <v>7830</v>
      </c>
      <c r="B377" t="s">
        <v>7831</v>
      </c>
      <c r="C377" t="s">
        <v>7832</v>
      </c>
      <c r="D377" t="s">
        <v>7833</v>
      </c>
      <c r="E377" t="s">
        <v>7834</v>
      </c>
      <c r="F377">
        <v>21276223</v>
      </c>
      <c r="G377">
        <v>121188</v>
      </c>
      <c r="H377">
        <v>405616</v>
      </c>
      <c r="I377" t="s">
        <v>7850</v>
      </c>
      <c r="J377">
        <v>2008</v>
      </c>
      <c r="K377" t="s">
        <v>7840</v>
      </c>
      <c r="L377" t="s">
        <v>7837</v>
      </c>
    </row>
    <row r="378" spans="1:12">
      <c r="A378" t="s">
        <v>7830</v>
      </c>
      <c r="B378" t="s">
        <v>7831</v>
      </c>
      <c r="C378" t="s">
        <v>7832</v>
      </c>
      <c r="D378" t="s">
        <v>7833</v>
      </c>
      <c r="E378" t="s">
        <v>7834</v>
      </c>
      <c r="F378">
        <v>19218256</v>
      </c>
      <c r="G378">
        <v>106563</v>
      </c>
      <c r="H378">
        <v>330579</v>
      </c>
      <c r="I378" t="s">
        <v>7850</v>
      </c>
      <c r="J378">
        <v>2008</v>
      </c>
      <c r="K378" t="s">
        <v>7841</v>
      </c>
      <c r="L378" t="s">
        <v>7837</v>
      </c>
    </row>
    <row r="379" spans="1:12">
      <c r="A379" t="s">
        <v>7830</v>
      </c>
      <c r="B379" t="s">
        <v>7831</v>
      </c>
      <c r="C379" t="s">
        <v>7832</v>
      </c>
      <c r="D379" t="s">
        <v>7833</v>
      </c>
      <c r="E379" t="s">
        <v>7834</v>
      </c>
      <c r="F379">
        <v>26598395</v>
      </c>
      <c r="G379">
        <v>131467</v>
      </c>
      <c r="H379">
        <v>349456</v>
      </c>
      <c r="I379" t="s">
        <v>7850</v>
      </c>
      <c r="J379">
        <v>2008</v>
      </c>
      <c r="K379" t="s">
        <v>7842</v>
      </c>
      <c r="L379" t="s">
        <v>7837</v>
      </c>
    </row>
    <row r="380" spans="1:12">
      <c r="A380" t="s">
        <v>7830</v>
      </c>
      <c r="B380" t="s">
        <v>7831</v>
      </c>
      <c r="C380" t="s">
        <v>7832</v>
      </c>
      <c r="D380" t="s">
        <v>7833</v>
      </c>
      <c r="E380" t="s">
        <v>7834</v>
      </c>
      <c r="F380">
        <v>27093265</v>
      </c>
      <c r="G380">
        <v>141315</v>
      </c>
      <c r="H380">
        <v>427564</v>
      </c>
      <c r="I380" t="s">
        <v>7850</v>
      </c>
      <c r="J380">
        <v>2008</v>
      </c>
      <c r="K380" t="s">
        <v>7843</v>
      </c>
      <c r="L380" t="s">
        <v>7837</v>
      </c>
    </row>
    <row r="381" spans="1:12">
      <c r="A381" t="s">
        <v>7830</v>
      </c>
      <c r="B381" t="s">
        <v>7831</v>
      </c>
      <c r="C381" t="s">
        <v>7832</v>
      </c>
      <c r="D381" t="s">
        <v>7833</v>
      </c>
      <c r="E381" t="s">
        <v>7834</v>
      </c>
      <c r="F381">
        <v>26032481</v>
      </c>
      <c r="G381">
        <v>149102</v>
      </c>
      <c r="H381">
        <v>340977</v>
      </c>
      <c r="I381" t="s">
        <v>7850</v>
      </c>
      <c r="J381">
        <v>2008</v>
      </c>
      <c r="K381" t="s">
        <v>7844</v>
      </c>
      <c r="L381" t="s">
        <v>7837</v>
      </c>
    </row>
    <row r="382" spans="1:12">
      <c r="A382" t="s">
        <v>7830</v>
      </c>
      <c r="B382" t="s">
        <v>7831</v>
      </c>
      <c r="C382" t="s">
        <v>7832</v>
      </c>
      <c r="D382" t="s">
        <v>7833</v>
      </c>
      <c r="E382" t="s">
        <v>7834</v>
      </c>
      <c r="F382">
        <v>34633120</v>
      </c>
      <c r="G382">
        <v>192605</v>
      </c>
      <c r="H382">
        <v>664544</v>
      </c>
      <c r="I382" t="s">
        <v>7850</v>
      </c>
      <c r="J382">
        <v>2008</v>
      </c>
      <c r="K382" t="s">
        <v>7845</v>
      </c>
      <c r="L382" t="s">
        <v>7837</v>
      </c>
    </row>
    <row r="383" spans="1:12">
      <c r="A383" t="s">
        <v>7830</v>
      </c>
      <c r="B383" t="s">
        <v>7831</v>
      </c>
      <c r="C383" t="s">
        <v>7832</v>
      </c>
      <c r="D383" t="s">
        <v>7833</v>
      </c>
      <c r="E383" t="s">
        <v>7834</v>
      </c>
      <c r="F383">
        <v>38397971</v>
      </c>
      <c r="G383">
        <v>173221</v>
      </c>
      <c r="H383">
        <v>505658</v>
      </c>
      <c r="I383" t="s">
        <v>7850</v>
      </c>
      <c r="J383">
        <v>2008</v>
      </c>
      <c r="K383" t="s">
        <v>7846</v>
      </c>
      <c r="L383" t="s">
        <v>7837</v>
      </c>
    </row>
    <row r="384" spans="1:12">
      <c r="A384" t="s">
        <v>7830</v>
      </c>
      <c r="B384" t="s">
        <v>7831</v>
      </c>
      <c r="C384" t="s">
        <v>7832</v>
      </c>
      <c r="D384" t="s">
        <v>7833</v>
      </c>
      <c r="E384" t="s">
        <v>7834</v>
      </c>
      <c r="F384">
        <v>32304463</v>
      </c>
      <c r="G384">
        <v>146400</v>
      </c>
      <c r="H384">
        <v>417381</v>
      </c>
      <c r="I384" t="s">
        <v>7850</v>
      </c>
      <c r="J384">
        <v>2008</v>
      </c>
      <c r="K384" t="s">
        <v>7847</v>
      </c>
      <c r="L384" t="s">
        <v>7837</v>
      </c>
    </row>
    <row r="385" spans="1:12">
      <c r="A385" t="s">
        <v>7830</v>
      </c>
      <c r="B385" t="s">
        <v>7831</v>
      </c>
      <c r="C385" t="s">
        <v>7832</v>
      </c>
      <c r="D385" t="s">
        <v>7833</v>
      </c>
      <c r="E385" t="s">
        <v>7834</v>
      </c>
      <c r="F385">
        <v>51834874</v>
      </c>
      <c r="G385">
        <v>236492</v>
      </c>
      <c r="H385">
        <v>609705</v>
      </c>
      <c r="I385" t="s">
        <v>7850</v>
      </c>
      <c r="J385">
        <v>2008</v>
      </c>
      <c r="K385" t="s">
        <v>7848</v>
      </c>
      <c r="L385" t="s">
        <v>7837</v>
      </c>
    </row>
    <row r="386" spans="1:12">
      <c r="A386" t="s">
        <v>7830</v>
      </c>
      <c r="B386" t="s">
        <v>7831</v>
      </c>
      <c r="C386" t="s">
        <v>7832</v>
      </c>
      <c r="D386" t="s">
        <v>7833</v>
      </c>
      <c r="E386" t="s">
        <v>7834</v>
      </c>
      <c r="F386">
        <v>37733037</v>
      </c>
      <c r="G386">
        <v>171765</v>
      </c>
      <c r="H386">
        <v>413538</v>
      </c>
      <c r="I386" t="s">
        <v>7850</v>
      </c>
      <c r="J386">
        <v>2009</v>
      </c>
      <c r="K386" t="s">
        <v>7836</v>
      </c>
      <c r="L386" t="s">
        <v>7837</v>
      </c>
    </row>
    <row r="387" spans="1:12">
      <c r="A387" t="s">
        <v>7830</v>
      </c>
      <c r="B387" t="s">
        <v>7831</v>
      </c>
      <c r="C387" t="s">
        <v>7832</v>
      </c>
      <c r="D387" t="s">
        <v>7833</v>
      </c>
      <c r="E387" t="s">
        <v>7834</v>
      </c>
      <c r="F387">
        <v>72352513</v>
      </c>
      <c r="G387">
        <v>328101</v>
      </c>
      <c r="H387">
        <v>660757</v>
      </c>
      <c r="I387" t="s">
        <v>7850</v>
      </c>
      <c r="J387">
        <v>2009</v>
      </c>
      <c r="K387" t="s">
        <v>7838</v>
      </c>
      <c r="L387" t="s">
        <v>7837</v>
      </c>
    </row>
    <row r="388" spans="1:12">
      <c r="A388" t="s">
        <v>7830</v>
      </c>
      <c r="B388" t="s">
        <v>7831</v>
      </c>
      <c r="C388" t="s">
        <v>7832</v>
      </c>
      <c r="D388" t="s">
        <v>7833</v>
      </c>
      <c r="E388" t="s">
        <v>7834</v>
      </c>
      <c r="F388">
        <v>58397724</v>
      </c>
      <c r="G388">
        <v>259982</v>
      </c>
      <c r="H388">
        <v>668764</v>
      </c>
      <c r="I388" t="s">
        <v>7850</v>
      </c>
      <c r="J388">
        <v>2009</v>
      </c>
      <c r="K388" t="s">
        <v>7839</v>
      </c>
      <c r="L388" t="s">
        <v>7837</v>
      </c>
    </row>
    <row r="389" spans="1:12">
      <c r="A389" t="s">
        <v>7830</v>
      </c>
      <c r="B389" t="s">
        <v>7831</v>
      </c>
      <c r="C389" t="s">
        <v>7832</v>
      </c>
      <c r="D389" t="s">
        <v>7833</v>
      </c>
      <c r="E389" t="s">
        <v>7834</v>
      </c>
      <c r="F389">
        <v>40320677</v>
      </c>
      <c r="G389">
        <v>151433</v>
      </c>
      <c r="H389">
        <v>491692</v>
      </c>
      <c r="I389" t="s">
        <v>7850</v>
      </c>
      <c r="J389">
        <v>2009</v>
      </c>
      <c r="K389" t="s">
        <v>7840</v>
      </c>
      <c r="L389" t="s">
        <v>7837</v>
      </c>
    </row>
    <row r="390" spans="1:12">
      <c r="A390" t="s">
        <v>7830</v>
      </c>
      <c r="B390" t="s">
        <v>7831</v>
      </c>
      <c r="C390" t="s">
        <v>7832</v>
      </c>
      <c r="D390" t="s">
        <v>7833</v>
      </c>
      <c r="E390" t="s">
        <v>7834</v>
      </c>
      <c r="F390">
        <v>51183060</v>
      </c>
      <c r="G390">
        <v>190436</v>
      </c>
      <c r="H390">
        <v>457018</v>
      </c>
      <c r="I390" t="s">
        <v>7850</v>
      </c>
      <c r="J390">
        <v>2009</v>
      </c>
      <c r="K390" t="s">
        <v>7841</v>
      </c>
      <c r="L390" t="s">
        <v>7837</v>
      </c>
    </row>
    <row r="391" spans="1:12">
      <c r="A391" t="s">
        <v>7830</v>
      </c>
      <c r="B391" t="s">
        <v>7831</v>
      </c>
      <c r="C391" t="s">
        <v>7832</v>
      </c>
      <c r="D391" t="s">
        <v>7833</v>
      </c>
      <c r="E391" t="s">
        <v>7834</v>
      </c>
      <c r="F391">
        <v>45575865</v>
      </c>
      <c r="G391">
        <v>155718</v>
      </c>
      <c r="H391">
        <v>423097</v>
      </c>
      <c r="I391" t="s">
        <v>7850</v>
      </c>
      <c r="J391">
        <v>2009</v>
      </c>
      <c r="K391" t="s">
        <v>7842</v>
      </c>
      <c r="L391" t="s">
        <v>7837</v>
      </c>
    </row>
    <row r="392" spans="1:12">
      <c r="A392" t="s">
        <v>7830</v>
      </c>
      <c r="B392" t="s">
        <v>7831</v>
      </c>
      <c r="C392" t="s">
        <v>7832</v>
      </c>
      <c r="D392" t="s">
        <v>7833</v>
      </c>
      <c r="E392" t="s">
        <v>7834</v>
      </c>
      <c r="F392">
        <v>41234144</v>
      </c>
      <c r="G392">
        <v>152327</v>
      </c>
      <c r="H392">
        <v>369762</v>
      </c>
      <c r="I392" t="s">
        <v>7850</v>
      </c>
      <c r="J392">
        <v>2009</v>
      </c>
      <c r="K392" t="s">
        <v>7843</v>
      </c>
      <c r="L392" t="s">
        <v>7837</v>
      </c>
    </row>
    <row r="393" spans="1:12">
      <c r="A393" t="s">
        <v>7830</v>
      </c>
      <c r="B393" t="s">
        <v>7831</v>
      </c>
      <c r="C393" t="s">
        <v>7832</v>
      </c>
      <c r="D393" t="s">
        <v>7833</v>
      </c>
      <c r="E393" t="s">
        <v>7834</v>
      </c>
      <c r="F393">
        <v>33441087</v>
      </c>
      <c r="G393">
        <v>117788</v>
      </c>
      <c r="H393">
        <v>439154</v>
      </c>
      <c r="I393" t="s">
        <v>7850</v>
      </c>
      <c r="J393">
        <v>2009</v>
      </c>
      <c r="K393" t="s">
        <v>7844</v>
      </c>
      <c r="L393" t="s">
        <v>7837</v>
      </c>
    </row>
    <row r="394" spans="1:12">
      <c r="A394" t="s">
        <v>7830</v>
      </c>
      <c r="B394" t="s">
        <v>7831</v>
      </c>
      <c r="C394" t="s">
        <v>7832</v>
      </c>
      <c r="D394" t="s">
        <v>7833</v>
      </c>
      <c r="E394" t="s">
        <v>7834</v>
      </c>
      <c r="F394">
        <v>37508491</v>
      </c>
      <c r="G394">
        <v>121058</v>
      </c>
      <c r="H394">
        <v>428512</v>
      </c>
      <c r="I394" t="s">
        <v>7850</v>
      </c>
      <c r="J394">
        <v>2009</v>
      </c>
      <c r="K394" t="s">
        <v>7845</v>
      </c>
      <c r="L394" t="s">
        <v>7837</v>
      </c>
    </row>
    <row r="395" spans="1:12">
      <c r="A395" t="s">
        <v>7830</v>
      </c>
      <c r="B395" t="s">
        <v>7831</v>
      </c>
      <c r="C395" t="s">
        <v>7832</v>
      </c>
      <c r="D395" t="s">
        <v>7833</v>
      </c>
      <c r="E395" t="s">
        <v>7834</v>
      </c>
      <c r="F395">
        <v>42982411</v>
      </c>
      <c r="G395">
        <v>138715</v>
      </c>
      <c r="H395">
        <v>406417</v>
      </c>
      <c r="I395" t="s">
        <v>7850</v>
      </c>
      <c r="J395">
        <v>2009</v>
      </c>
      <c r="K395" t="s">
        <v>7846</v>
      </c>
      <c r="L395" t="s">
        <v>7837</v>
      </c>
    </row>
    <row r="396" spans="1:12">
      <c r="A396" t="s">
        <v>7830</v>
      </c>
      <c r="B396" t="s">
        <v>7831</v>
      </c>
      <c r="C396" t="s">
        <v>7832</v>
      </c>
      <c r="D396" t="s">
        <v>7833</v>
      </c>
      <c r="E396" t="s">
        <v>7834</v>
      </c>
      <c r="F396">
        <v>37852265</v>
      </c>
      <c r="G396">
        <v>111869</v>
      </c>
      <c r="H396">
        <v>364677</v>
      </c>
      <c r="I396" t="s">
        <v>7850</v>
      </c>
      <c r="J396">
        <v>2009</v>
      </c>
      <c r="K396" t="s">
        <v>7847</v>
      </c>
      <c r="L396" t="s">
        <v>7837</v>
      </c>
    </row>
    <row r="397" spans="1:12">
      <c r="A397" t="s">
        <v>7830</v>
      </c>
      <c r="B397" t="s">
        <v>7831</v>
      </c>
      <c r="C397" t="s">
        <v>7832</v>
      </c>
      <c r="D397" t="s">
        <v>7833</v>
      </c>
      <c r="E397" t="s">
        <v>7834</v>
      </c>
      <c r="F397">
        <v>64151653</v>
      </c>
      <c r="G397">
        <v>223502</v>
      </c>
      <c r="H397">
        <v>823876</v>
      </c>
      <c r="I397" t="s">
        <v>7850</v>
      </c>
      <c r="J397">
        <v>2009</v>
      </c>
      <c r="K397" t="s">
        <v>7848</v>
      </c>
      <c r="L397" t="s">
        <v>7837</v>
      </c>
    </row>
    <row r="398" spans="1:12">
      <c r="A398" t="s">
        <v>7830</v>
      </c>
      <c r="B398" t="s">
        <v>7831</v>
      </c>
      <c r="C398" t="s">
        <v>7832</v>
      </c>
      <c r="D398" t="s">
        <v>7833</v>
      </c>
      <c r="E398" t="s">
        <v>7834</v>
      </c>
      <c r="F398">
        <v>41877722</v>
      </c>
      <c r="G398">
        <v>148388</v>
      </c>
      <c r="H398">
        <v>742854</v>
      </c>
      <c r="I398" t="s">
        <v>7850</v>
      </c>
      <c r="J398">
        <v>2010</v>
      </c>
      <c r="K398" t="s">
        <v>7836</v>
      </c>
      <c r="L398" t="s">
        <v>7837</v>
      </c>
    </row>
    <row r="399" spans="1:12">
      <c r="A399" t="s">
        <v>7830</v>
      </c>
      <c r="B399" t="s">
        <v>7831</v>
      </c>
      <c r="C399" t="s">
        <v>7832</v>
      </c>
      <c r="D399" t="s">
        <v>7833</v>
      </c>
      <c r="E399" t="s">
        <v>7834</v>
      </c>
      <c r="F399">
        <v>40891740</v>
      </c>
      <c r="G399">
        <v>146549</v>
      </c>
      <c r="H399">
        <v>415610</v>
      </c>
      <c r="I399" t="s">
        <v>7850</v>
      </c>
      <c r="J399">
        <v>2010</v>
      </c>
      <c r="K399" t="s">
        <v>7838</v>
      </c>
      <c r="L399" t="s">
        <v>7837</v>
      </c>
    </row>
    <row r="400" spans="1:12">
      <c r="A400" t="s">
        <v>7830</v>
      </c>
      <c r="B400" t="s">
        <v>7831</v>
      </c>
      <c r="C400" t="s">
        <v>7832</v>
      </c>
      <c r="D400" t="s">
        <v>7833</v>
      </c>
      <c r="E400" t="s">
        <v>7834</v>
      </c>
      <c r="F400">
        <v>69483948</v>
      </c>
      <c r="G400">
        <v>257072</v>
      </c>
      <c r="H400">
        <v>967686</v>
      </c>
      <c r="I400" t="s">
        <v>7850</v>
      </c>
      <c r="J400">
        <v>2010</v>
      </c>
      <c r="K400" t="s">
        <v>7839</v>
      </c>
      <c r="L400" t="s">
        <v>7837</v>
      </c>
    </row>
    <row r="401" spans="1:12">
      <c r="A401" t="s">
        <v>7830</v>
      </c>
      <c r="B401" t="s">
        <v>7831</v>
      </c>
      <c r="C401" t="s">
        <v>7832</v>
      </c>
      <c r="D401" t="s">
        <v>7833</v>
      </c>
      <c r="E401" t="s">
        <v>7834</v>
      </c>
      <c r="F401">
        <v>52735451</v>
      </c>
      <c r="G401">
        <v>201430</v>
      </c>
      <c r="H401">
        <v>587673</v>
      </c>
      <c r="I401" t="s">
        <v>7850</v>
      </c>
      <c r="J401">
        <v>2010</v>
      </c>
      <c r="K401" t="s">
        <v>7840</v>
      </c>
      <c r="L401" t="s">
        <v>7837</v>
      </c>
    </row>
    <row r="402" spans="1:12">
      <c r="A402" t="s">
        <v>7830</v>
      </c>
      <c r="B402" t="s">
        <v>7831</v>
      </c>
      <c r="C402" t="s">
        <v>7832</v>
      </c>
      <c r="D402" t="s">
        <v>7833</v>
      </c>
      <c r="E402" t="s">
        <v>7834</v>
      </c>
      <c r="F402">
        <v>63345653</v>
      </c>
      <c r="G402">
        <v>205349</v>
      </c>
      <c r="H402">
        <v>636497</v>
      </c>
      <c r="I402" t="s">
        <v>7850</v>
      </c>
      <c r="J402">
        <v>2010</v>
      </c>
      <c r="K402" t="s">
        <v>7841</v>
      </c>
      <c r="L402" t="s">
        <v>7837</v>
      </c>
    </row>
    <row r="403" spans="1:12">
      <c r="A403" t="s">
        <v>7830</v>
      </c>
      <c r="B403" t="s">
        <v>7831</v>
      </c>
      <c r="C403" t="s">
        <v>7832</v>
      </c>
      <c r="D403" t="s">
        <v>7833</v>
      </c>
      <c r="E403" t="s">
        <v>7834</v>
      </c>
      <c r="F403">
        <v>66496506</v>
      </c>
      <c r="G403">
        <v>233499</v>
      </c>
      <c r="H403">
        <v>713462</v>
      </c>
      <c r="I403" t="s">
        <v>7850</v>
      </c>
      <c r="J403">
        <v>2010</v>
      </c>
      <c r="K403" t="s">
        <v>7842</v>
      </c>
      <c r="L403" t="s">
        <v>7837</v>
      </c>
    </row>
    <row r="404" spans="1:12">
      <c r="A404" t="s">
        <v>7830</v>
      </c>
      <c r="B404" t="s">
        <v>7831</v>
      </c>
      <c r="C404" t="s">
        <v>7832</v>
      </c>
      <c r="D404" t="s">
        <v>7833</v>
      </c>
      <c r="E404" t="s">
        <v>7834</v>
      </c>
      <c r="F404">
        <v>52532089</v>
      </c>
      <c r="G404">
        <v>171841</v>
      </c>
      <c r="H404">
        <v>742784</v>
      </c>
      <c r="I404" t="s">
        <v>7850</v>
      </c>
      <c r="J404">
        <v>2010</v>
      </c>
      <c r="K404" t="s">
        <v>7843</v>
      </c>
      <c r="L404" t="s">
        <v>7837</v>
      </c>
    </row>
    <row r="405" spans="1:12">
      <c r="A405" t="s">
        <v>7830</v>
      </c>
      <c r="B405" t="s">
        <v>7831</v>
      </c>
      <c r="C405" t="s">
        <v>7832</v>
      </c>
      <c r="D405" t="s">
        <v>7833</v>
      </c>
      <c r="E405" t="s">
        <v>7834</v>
      </c>
      <c r="F405">
        <v>49827746</v>
      </c>
      <c r="G405">
        <v>146668</v>
      </c>
      <c r="H405">
        <v>449079</v>
      </c>
      <c r="I405" t="s">
        <v>7850</v>
      </c>
      <c r="J405">
        <v>2010</v>
      </c>
      <c r="K405" t="s">
        <v>7844</v>
      </c>
      <c r="L405" t="s">
        <v>7837</v>
      </c>
    </row>
    <row r="406" spans="1:12">
      <c r="A406" t="s">
        <v>7830</v>
      </c>
      <c r="B406" t="s">
        <v>7831</v>
      </c>
      <c r="C406" t="s">
        <v>7832</v>
      </c>
      <c r="D406" t="s">
        <v>7833</v>
      </c>
      <c r="E406" t="s">
        <v>7834</v>
      </c>
      <c r="F406">
        <v>53077803</v>
      </c>
      <c r="G406">
        <v>158175</v>
      </c>
      <c r="H406">
        <v>494033</v>
      </c>
      <c r="I406" t="s">
        <v>7850</v>
      </c>
      <c r="J406">
        <v>2010</v>
      </c>
      <c r="K406" t="s">
        <v>7845</v>
      </c>
      <c r="L406" t="s">
        <v>7837</v>
      </c>
    </row>
    <row r="407" spans="1:12">
      <c r="A407" t="s">
        <v>7830</v>
      </c>
      <c r="B407" t="s">
        <v>7831</v>
      </c>
      <c r="C407" t="s">
        <v>7832</v>
      </c>
      <c r="D407" t="s">
        <v>7833</v>
      </c>
      <c r="E407" t="s">
        <v>7834</v>
      </c>
      <c r="F407">
        <v>46267265</v>
      </c>
      <c r="G407">
        <v>127094</v>
      </c>
      <c r="H407">
        <v>360204</v>
      </c>
      <c r="I407" t="s">
        <v>7850</v>
      </c>
      <c r="J407">
        <v>2010</v>
      </c>
      <c r="K407" t="s">
        <v>7846</v>
      </c>
      <c r="L407" t="s">
        <v>7837</v>
      </c>
    </row>
    <row r="408" spans="1:12">
      <c r="A408" t="s">
        <v>7830</v>
      </c>
      <c r="B408" t="s">
        <v>7831</v>
      </c>
      <c r="C408" t="s">
        <v>7832</v>
      </c>
      <c r="D408" t="s">
        <v>7833</v>
      </c>
      <c r="E408" t="s">
        <v>7834</v>
      </c>
      <c r="F408">
        <v>46453598</v>
      </c>
      <c r="G408">
        <v>123327</v>
      </c>
      <c r="H408">
        <v>467716</v>
      </c>
      <c r="I408" t="s">
        <v>7850</v>
      </c>
      <c r="J408">
        <v>2010</v>
      </c>
      <c r="K408" t="s">
        <v>7847</v>
      </c>
      <c r="L408" t="s">
        <v>7837</v>
      </c>
    </row>
    <row r="409" spans="1:12">
      <c r="A409" t="s">
        <v>7830</v>
      </c>
      <c r="B409" t="s">
        <v>7831</v>
      </c>
      <c r="C409" t="s">
        <v>7832</v>
      </c>
      <c r="D409" t="s">
        <v>7833</v>
      </c>
      <c r="E409" t="s">
        <v>7834</v>
      </c>
      <c r="F409">
        <v>76844429</v>
      </c>
      <c r="G409">
        <v>226416</v>
      </c>
      <c r="H409">
        <v>596754</v>
      </c>
      <c r="I409" t="s">
        <v>7850</v>
      </c>
      <c r="J409">
        <v>2010</v>
      </c>
      <c r="K409" t="s">
        <v>7848</v>
      </c>
      <c r="L409" t="s">
        <v>7837</v>
      </c>
    </row>
    <row r="410" spans="1:12">
      <c r="A410" t="s">
        <v>7830</v>
      </c>
      <c r="B410" t="s">
        <v>7831</v>
      </c>
      <c r="C410" t="s">
        <v>7832</v>
      </c>
      <c r="D410" t="s">
        <v>7833</v>
      </c>
      <c r="E410" t="s">
        <v>7834</v>
      </c>
      <c r="F410">
        <v>71686988</v>
      </c>
      <c r="G410">
        <v>166593</v>
      </c>
      <c r="H410">
        <v>514006</v>
      </c>
      <c r="I410" t="s">
        <v>7850</v>
      </c>
      <c r="J410">
        <v>2011</v>
      </c>
      <c r="K410" t="s">
        <v>7836</v>
      </c>
      <c r="L410" t="s">
        <v>7837</v>
      </c>
    </row>
    <row r="411" spans="1:12">
      <c r="A411" t="s">
        <v>7830</v>
      </c>
      <c r="B411" t="s">
        <v>7831</v>
      </c>
      <c r="C411" t="s">
        <v>7832</v>
      </c>
      <c r="D411" t="s">
        <v>7833</v>
      </c>
      <c r="E411" t="s">
        <v>7834</v>
      </c>
      <c r="F411">
        <v>83731591</v>
      </c>
      <c r="G411">
        <v>201303</v>
      </c>
      <c r="H411">
        <v>693202</v>
      </c>
      <c r="I411" t="s">
        <v>7850</v>
      </c>
      <c r="J411">
        <v>2011</v>
      </c>
      <c r="K411" t="s">
        <v>7838</v>
      </c>
      <c r="L411" t="s">
        <v>7837</v>
      </c>
    </row>
    <row r="412" spans="1:12">
      <c r="A412" t="s">
        <v>7830</v>
      </c>
      <c r="B412" t="s">
        <v>7831</v>
      </c>
      <c r="C412" t="s">
        <v>7832</v>
      </c>
      <c r="D412" t="s">
        <v>7833</v>
      </c>
      <c r="E412" t="s">
        <v>7834</v>
      </c>
      <c r="F412">
        <v>88371149</v>
      </c>
      <c r="G412">
        <v>213371</v>
      </c>
      <c r="H412">
        <v>754763</v>
      </c>
      <c r="I412" t="s">
        <v>7850</v>
      </c>
      <c r="J412">
        <v>2011</v>
      </c>
      <c r="K412" t="s">
        <v>7839</v>
      </c>
      <c r="L412" t="s">
        <v>7837</v>
      </c>
    </row>
    <row r="413" spans="1:12">
      <c r="A413" t="s">
        <v>7830</v>
      </c>
      <c r="B413" t="s">
        <v>7831</v>
      </c>
      <c r="C413" t="s">
        <v>7832</v>
      </c>
      <c r="D413" t="s">
        <v>7833</v>
      </c>
      <c r="E413" t="s">
        <v>7834</v>
      </c>
      <c r="F413">
        <v>55309652</v>
      </c>
      <c r="G413">
        <v>136334</v>
      </c>
      <c r="H413">
        <v>474928</v>
      </c>
      <c r="I413" t="s">
        <v>7850</v>
      </c>
      <c r="J413">
        <v>2011</v>
      </c>
      <c r="K413" t="s">
        <v>7840</v>
      </c>
      <c r="L413" t="s">
        <v>7837</v>
      </c>
    </row>
    <row r="414" spans="1:12">
      <c r="A414" t="s">
        <v>7830</v>
      </c>
      <c r="B414" t="s">
        <v>7831</v>
      </c>
      <c r="C414" t="s">
        <v>7832</v>
      </c>
      <c r="D414" t="s">
        <v>7833</v>
      </c>
      <c r="E414" t="s">
        <v>7834</v>
      </c>
      <c r="F414">
        <v>40809226</v>
      </c>
      <c r="G414">
        <v>115448</v>
      </c>
      <c r="H414">
        <v>493183</v>
      </c>
      <c r="I414" t="s">
        <v>7850</v>
      </c>
      <c r="J414">
        <v>2011</v>
      </c>
      <c r="K414" t="s">
        <v>7841</v>
      </c>
      <c r="L414" t="s">
        <v>7837</v>
      </c>
    </row>
    <row r="415" spans="1:12">
      <c r="A415" t="s">
        <v>7830</v>
      </c>
      <c r="B415" t="s">
        <v>7831</v>
      </c>
      <c r="C415" t="s">
        <v>7832</v>
      </c>
      <c r="D415" t="s">
        <v>7833</v>
      </c>
      <c r="E415" t="s">
        <v>7834</v>
      </c>
      <c r="F415">
        <v>45763310</v>
      </c>
      <c r="G415">
        <v>147672</v>
      </c>
      <c r="H415">
        <v>525934</v>
      </c>
      <c r="I415" t="s">
        <v>7850</v>
      </c>
      <c r="J415">
        <v>2011</v>
      </c>
      <c r="K415" t="s">
        <v>7842</v>
      </c>
      <c r="L415" t="s">
        <v>7837</v>
      </c>
    </row>
    <row r="416" spans="1:12">
      <c r="A416" t="s">
        <v>7830</v>
      </c>
      <c r="B416" t="s">
        <v>7831</v>
      </c>
      <c r="C416" t="s">
        <v>7832</v>
      </c>
      <c r="D416" t="s">
        <v>7833</v>
      </c>
      <c r="E416" t="s">
        <v>7834</v>
      </c>
      <c r="F416">
        <v>55141422</v>
      </c>
      <c r="G416">
        <v>146920</v>
      </c>
      <c r="H416">
        <v>959076</v>
      </c>
      <c r="I416" t="s">
        <v>7850</v>
      </c>
      <c r="J416">
        <v>2011</v>
      </c>
      <c r="K416" t="s">
        <v>7843</v>
      </c>
      <c r="L416" t="s">
        <v>7837</v>
      </c>
    </row>
    <row r="417" spans="1:12">
      <c r="A417" t="s">
        <v>7830</v>
      </c>
      <c r="B417" t="s">
        <v>7831</v>
      </c>
      <c r="C417" t="s">
        <v>7832</v>
      </c>
      <c r="D417" t="s">
        <v>7833</v>
      </c>
      <c r="E417" t="s">
        <v>7834</v>
      </c>
      <c r="F417">
        <v>37931648</v>
      </c>
      <c r="G417">
        <v>116455</v>
      </c>
      <c r="H417">
        <v>520821</v>
      </c>
      <c r="I417" t="s">
        <v>7850</v>
      </c>
      <c r="J417">
        <v>2011</v>
      </c>
      <c r="K417" t="s">
        <v>7844</v>
      </c>
      <c r="L417" t="s">
        <v>7837</v>
      </c>
    </row>
    <row r="418" spans="1:12">
      <c r="A418" t="s">
        <v>7830</v>
      </c>
      <c r="B418" t="s">
        <v>7831</v>
      </c>
      <c r="C418" t="s">
        <v>7832</v>
      </c>
      <c r="D418" t="s">
        <v>7833</v>
      </c>
      <c r="E418" t="s">
        <v>7834</v>
      </c>
      <c r="F418">
        <v>46688421</v>
      </c>
      <c r="G418">
        <v>139737</v>
      </c>
      <c r="H418">
        <v>549568</v>
      </c>
      <c r="I418" t="s">
        <v>7850</v>
      </c>
      <c r="J418">
        <v>2011</v>
      </c>
      <c r="K418" t="s">
        <v>7845</v>
      </c>
      <c r="L418" t="s">
        <v>7837</v>
      </c>
    </row>
    <row r="419" spans="1:12">
      <c r="A419" t="s">
        <v>7830</v>
      </c>
      <c r="B419" t="s">
        <v>7831</v>
      </c>
      <c r="C419" t="s">
        <v>7832</v>
      </c>
      <c r="D419" t="s">
        <v>7833</v>
      </c>
      <c r="E419" t="s">
        <v>7834</v>
      </c>
      <c r="F419">
        <v>72735326</v>
      </c>
      <c r="G419">
        <v>162715</v>
      </c>
      <c r="H419">
        <v>578398</v>
      </c>
      <c r="I419" t="s">
        <v>7850</v>
      </c>
      <c r="J419">
        <v>2011</v>
      </c>
      <c r="K419" t="s">
        <v>7846</v>
      </c>
      <c r="L419" t="s">
        <v>7837</v>
      </c>
    </row>
    <row r="420" spans="1:12">
      <c r="A420" t="s">
        <v>7830</v>
      </c>
      <c r="B420" t="s">
        <v>7831</v>
      </c>
      <c r="C420" t="s">
        <v>7832</v>
      </c>
      <c r="D420" t="s">
        <v>7833</v>
      </c>
      <c r="E420" t="s">
        <v>7834</v>
      </c>
      <c r="F420">
        <v>112611757</v>
      </c>
      <c r="G420">
        <v>196097</v>
      </c>
      <c r="H420">
        <v>831870</v>
      </c>
      <c r="I420" t="s">
        <v>7850</v>
      </c>
      <c r="J420">
        <v>2011</v>
      </c>
      <c r="K420" t="s">
        <v>7847</v>
      </c>
      <c r="L420" t="s">
        <v>7837</v>
      </c>
    </row>
    <row r="421" spans="1:12">
      <c r="A421" t="s">
        <v>7830</v>
      </c>
      <c r="B421" t="s">
        <v>7831</v>
      </c>
      <c r="C421" t="s">
        <v>7832</v>
      </c>
      <c r="D421" t="s">
        <v>7833</v>
      </c>
      <c r="E421" t="s">
        <v>7834</v>
      </c>
      <c r="F421">
        <v>91129672</v>
      </c>
      <c r="G421">
        <v>191945</v>
      </c>
      <c r="H421">
        <v>734458</v>
      </c>
      <c r="I421" t="s">
        <v>7850</v>
      </c>
      <c r="J421">
        <v>2011</v>
      </c>
      <c r="K421" t="s">
        <v>7848</v>
      </c>
      <c r="L421" t="s">
        <v>7837</v>
      </c>
    </row>
    <row r="422" spans="1:12">
      <c r="A422" t="s">
        <v>7830</v>
      </c>
      <c r="B422" t="s">
        <v>7831</v>
      </c>
      <c r="C422" t="s">
        <v>7832</v>
      </c>
      <c r="D422" t="s">
        <v>7833</v>
      </c>
      <c r="E422" t="s">
        <v>7834</v>
      </c>
      <c r="F422">
        <v>61859962</v>
      </c>
      <c r="G422">
        <v>134040</v>
      </c>
      <c r="H422">
        <v>493301</v>
      </c>
      <c r="I422" t="s">
        <v>7850</v>
      </c>
      <c r="J422">
        <v>2012</v>
      </c>
      <c r="K422" t="s">
        <v>7836</v>
      </c>
      <c r="L422" t="s">
        <v>7837</v>
      </c>
    </row>
    <row r="423" spans="1:12">
      <c r="A423" t="s">
        <v>7830</v>
      </c>
      <c r="B423" t="s">
        <v>7831</v>
      </c>
      <c r="C423" t="s">
        <v>7832</v>
      </c>
      <c r="D423" t="s">
        <v>7833</v>
      </c>
      <c r="E423" t="s">
        <v>7834</v>
      </c>
      <c r="F423">
        <v>64725901</v>
      </c>
      <c r="G423">
        <v>143331</v>
      </c>
      <c r="H423">
        <v>697410</v>
      </c>
      <c r="I423" t="s">
        <v>7850</v>
      </c>
      <c r="J423">
        <v>2012</v>
      </c>
      <c r="K423" t="s">
        <v>7838</v>
      </c>
      <c r="L423" t="s">
        <v>7837</v>
      </c>
    </row>
    <row r="424" spans="1:12">
      <c r="A424" t="s">
        <v>7830</v>
      </c>
      <c r="B424" t="s">
        <v>7831</v>
      </c>
      <c r="C424" t="s">
        <v>7832</v>
      </c>
      <c r="D424" t="s">
        <v>7833</v>
      </c>
      <c r="E424" t="s">
        <v>7834</v>
      </c>
      <c r="F424">
        <v>50420403</v>
      </c>
      <c r="G424">
        <v>152717</v>
      </c>
      <c r="H424">
        <v>931118</v>
      </c>
      <c r="I424" t="s">
        <v>7850</v>
      </c>
      <c r="J424">
        <v>2012</v>
      </c>
      <c r="K424" t="s">
        <v>7839</v>
      </c>
      <c r="L424" t="s">
        <v>7837</v>
      </c>
    </row>
    <row r="425" spans="1:12">
      <c r="A425" t="s">
        <v>7830</v>
      </c>
      <c r="B425" t="s">
        <v>7831</v>
      </c>
      <c r="C425" t="s">
        <v>7832</v>
      </c>
      <c r="D425" t="s">
        <v>7833</v>
      </c>
      <c r="E425" t="s">
        <v>7834</v>
      </c>
      <c r="F425">
        <v>45602438</v>
      </c>
      <c r="G425">
        <v>109250</v>
      </c>
      <c r="H425">
        <v>451573</v>
      </c>
      <c r="I425" t="s">
        <v>7850</v>
      </c>
      <c r="J425">
        <v>2012</v>
      </c>
      <c r="K425" t="s">
        <v>7840</v>
      </c>
      <c r="L425" t="s">
        <v>7837</v>
      </c>
    </row>
    <row r="426" spans="1:12">
      <c r="A426" t="s">
        <v>7830</v>
      </c>
      <c r="B426" t="s">
        <v>7831</v>
      </c>
      <c r="C426" t="s">
        <v>7832</v>
      </c>
      <c r="D426" t="s">
        <v>7833</v>
      </c>
      <c r="E426" t="s">
        <v>7834</v>
      </c>
      <c r="F426">
        <v>52623757</v>
      </c>
      <c r="G426">
        <v>133610</v>
      </c>
      <c r="H426">
        <v>606029</v>
      </c>
      <c r="I426" t="s">
        <v>7850</v>
      </c>
      <c r="J426">
        <v>2012</v>
      </c>
      <c r="K426" t="s">
        <v>7841</v>
      </c>
      <c r="L426" t="s">
        <v>7837</v>
      </c>
    </row>
    <row r="427" spans="1:12">
      <c r="A427" t="s">
        <v>7830</v>
      </c>
      <c r="B427" t="s">
        <v>7831</v>
      </c>
      <c r="C427" t="s">
        <v>7832</v>
      </c>
      <c r="D427" t="s">
        <v>7833</v>
      </c>
      <c r="E427" t="s">
        <v>7834</v>
      </c>
      <c r="F427">
        <v>54976579</v>
      </c>
      <c r="G427">
        <v>151510</v>
      </c>
      <c r="H427">
        <v>549638</v>
      </c>
      <c r="I427" t="s">
        <v>7850</v>
      </c>
      <c r="J427">
        <v>2012</v>
      </c>
      <c r="K427" t="s">
        <v>7842</v>
      </c>
      <c r="L427" t="s">
        <v>7837</v>
      </c>
    </row>
    <row r="428" spans="1:12">
      <c r="A428" t="s">
        <v>7830</v>
      </c>
      <c r="B428" t="s">
        <v>7831</v>
      </c>
      <c r="C428" t="s">
        <v>7832</v>
      </c>
      <c r="D428" t="s">
        <v>7833</v>
      </c>
      <c r="E428" t="s">
        <v>7834</v>
      </c>
      <c r="F428">
        <v>69066685</v>
      </c>
      <c r="G428">
        <v>168919</v>
      </c>
      <c r="H428">
        <v>632909</v>
      </c>
      <c r="I428" t="s">
        <v>7850</v>
      </c>
      <c r="J428">
        <v>2012</v>
      </c>
      <c r="K428" t="s">
        <v>7843</v>
      </c>
      <c r="L428" t="s">
        <v>7837</v>
      </c>
    </row>
    <row r="429" spans="1:12">
      <c r="A429" t="s">
        <v>7830</v>
      </c>
      <c r="B429" t="s">
        <v>7831</v>
      </c>
      <c r="C429" t="s">
        <v>7832</v>
      </c>
      <c r="D429" t="s">
        <v>7833</v>
      </c>
      <c r="E429" t="s">
        <v>7834</v>
      </c>
      <c r="F429">
        <v>42924269</v>
      </c>
      <c r="G429">
        <v>117841</v>
      </c>
      <c r="H429">
        <v>391325</v>
      </c>
      <c r="I429" t="s">
        <v>7850</v>
      </c>
      <c r="J429">
        <v>2012</v>
      </c>
      <c r="K429" t="s">
        <v>7844</v>
      </c>
      <c r="L429" t="s">
        <v>7837</v>
      </c>
    </row>
    <row r="430" spans="1:12">
      <c r="A430" t="s">
        <v>7830</v>
      </c>
      <c r="B430" t="s">
        <v>7831</v>
      </c>
      <c r="C430" t="s">
        <v>7832</v>
      </c>
      <c r="D430" t="s">
        <v>7833</v>
      </c>
      <c r="E430" t="s">
        <v>7834</v>
      </c>
      <c r="F430">
        <v>66634101</v>
      </c>
      <c r="G430">
        <v>142290</v>
      </c>
      <c r="H430">
        <v>476541</v>
      </c>
      <c r="I430" t="s">
        <v>7850</v>
      </c>
      <c r="J430">
        <v>2012</v>
      </c>
      <c r="K430" t="s">
        <v>7845</v>
      </c>
      <c r="L430" t="s">
        <v>7837</v>
      </c>
    </row>
    <row r="431" spans="1:12">
      <c r="A431" t="s">
        <v>7830</v>
      </c>
      <c r="B431" t="s">
        <v>7831</v>
      </c>
      <c r="C431" t="s">
        <v>7832</v>
      </c>
      <c r="D431" t="s">
        <v>7833</v>
      </c>
      <c r="E431" t="s">
        <v>7834</v>
      </c>
      <c r="F431">
        <v>56718396</v>
      </c>
      <c r="G431">
        <v>130088</v>
      </c>
      <c r="H431">
        <v>495444</v>
      </c>
      <c r="I431" t="s">
        <v>7850</v>
      </c>
      <c r="J431">
        <v>2012</v>
      </c>
      <c r="K431" t="s">
        <v>7846</v>
      </c>
      <c r="L431" t="s">
        <v>7837</v>
      </c>
    </row>
    <row r="432" spans="1:12">
      <c r="A432" t="s">
        <v>7830</v>
      </c>
      <c r="B432" t="s">
        <v>7831</v>
      </c>
      <c r="C432" t="s">
        <v>7832</v>
      </c>
      <c r="D432" t="s">
        <v>7833</v>
      </c>
      <c r="E432" t="s">
        <v>7834</v>
      </c>
      <c r="F432">
        <v>58974173</v>
      </c>
      <c r="G432">
        <v>129685</v>
      </c>
      <c r="H432">
        <v>435070</v>
      </c>
      <c r="I432" t="s">
        <v>7850</v>
      </c>
      <c r="J432">
        <v>2012</v>
      </c>
      <c r="K432" t="s">
        <v>7847</v>
      </c>
      <c r="L432" t="s">
        <v>7837</v>
      </c>
    </row>
    <row r="433" spans="1:12">
      <c r="A433" t="s">
        <v>7830</v>
      </c>
      <c r="B433" t="s">
        <v>7831</v>
      </c>
      <c r="C433" t="s">
        <v>7832</v>
      </c>
      <c r="D433" t="s">
        <v>7833</v>
      </c>
      <c r="E433" t="s">
        <v>7834</v>
      </c>
      <c r="F433">
        <v>67175838</v>
      </c>
      <c r="G433">
        <v>146634</v>
      </c>
      <c r="H433">
        <v>401176</v>
      </c>
      <c r="I433" t="s">
        <v>7850</v>
      </c>
      <c r="J433">
        <v>2012</v>
      </c>
      <c r="K433" t="s">
        <v>7848</v>
      </c>
      <c r="L433" t="s">
        <v>7837</v>
      </c>
    </row>
    <row r="434" spans="1:12">
      <c r="A434" t="s">
        <v>7830</v>
      </c>
      <c r="B434" t="s">
        <v>7831</v>
      </c>
      <c r="C434" t="s">
        <v>7832</v>
      </c>
      <c r="D434" t="s">
        <v>7833</v>
      </c>
      <c r="E434" t="s">
        <v>7834</v>
      </c>
      <c r="F434">
        <v>32368739</v>
      </c>
      <c r="G434">
        <v>82954</v>
      </c>
      <c r="H434">
        <v>431494</v>
      </c>
      <c r="I434" t="s">
        <v>7850</v>
      </c>
      <c r="J434">
        <v>2013</v>
      </c>
      <c r="K434" t="s">
        <v>7836</v>
      </c>
      <c r="L434" t="s">
        <v>7837</v>
      </c>
    </row>
    <row r="435" spans="1:12">
      <c r="A435" t="s">
        <v>7830</v>
      </c>
      <c r="B435" t="s">
        <v>7831</v>
      </c>
      <c r="C435" t="s">
        <v>7832</v>
      </c>
      <c r="D435" t="s">
        <v>7833</v>
      </c>
      <c r="E435" t="s">
        <v>7834</v>
      </c>
      <c r="F435">
        <v>42089796</v>
      </c>
      <c r="G435">
        <v>73799</v>
      </c>
      <c r="H435">
        <v>247766</v>
      </c>
      <c r="I435" t="s">
        <v>7850</v>
      </c>
      <c r="J435">
        <v>2013</v>
      </c>
      <c r="K435" t="s">
        <v>7838</v>
      </c>
      <c r="L435" t="s">
        <v>7837</v>
      </c>
    </row>
    <row r="436" spans="1:12">
      <c r="A436" t="s">
        <v>7830</v>
      </c>
      <c r="B436" t="s">
        <v>7831</v>
      </c>
      <c r="C436" t="s">
        <v>7832</v>
      </c>
      <c r="D436" t="s">
        <v>7833</v>
      </c>
      <c r="E436" t="s">
        <v>7834</v>
      </c>
      <c r="F436">
        <v>72656919</v>
      </c>
      <c r="G436">
        <v>134061</v>
      </c>
      <c r="H436">
        <v>435511</v>
      </c>
      <c r="I436" t="s">
        <v>7850</v>
      </c>
      <c r="J436">
        <v>2013</v>
      </c>
      <c r="K436" t="s">
        <v>7839</v>
      </c>
      <c r="L436" t="s">
        <v>7837</v>
      </c>
    </row>
    <row r="437" spans="1:12">
      <c r="A437" t="s">
        <v>7830</v>
      </c>
      <c r="B437" t="s">
        <v>7831</v>
      </c>
      <c r="C437" t="s">
        <v>7832</v>
      </c>
      <c r="D437" t="s">
        <v>7833</v>
      </c>
      <c r="E437" t="s">
        <v>7834</v>
      </c>
      <c r="F437">
        <v>43430232</v>
      </c>
      <c r="G437">
        <v>93254</v>
      </c>
      <c r="H437">
        <v>335517</v>
      </c>
      <c r="I437" t="s">
        <v>7850</v>
      </c>
      <c r="J437">
        <v>2013</v>
      </c>
      <c r="K437" t="s">
        <v>7840</v>
      </c>
      <c r="L437" t="s">
        <v>7837</v>
      </c>
    </row>
    <row r="438" spans="1:12">
      <c r="A438" t="s">
        <v>7830</v>
      </c>
      <c r="B438" t="s">
        <v>7831</v>
      </c>
      <c r="C438" t="s">
        <v>7832</v>
      </c>
      <c r="D438" t="s">
        <v>7833</v>
      </c>
      <c r="E438" t="s">
        <v>7834</v>
      </c>
      <c r="F438">
        <v>55093590</v>
      </c>
      <c r="G438">
        <v>119439</v>
      </c>
      <c r="H438">
        <v>433900</v>
      </c>
      <c r="I438" t="s">
        <v>7850</v>
      </c>
      <c r="J438">
        <v>2013</v>
      </c>
      <c r="K438" t="s">
        <v>7841</v>
      </c>
      <c r="L438" t="s">
        <v>7837</v>
      </c>
    </row>
    <row r="439" spans="1:12">
      <c r="A439" t="s">
        <v>7830</v>
      </c>
      <c r="B439" t="s">
        <v>7831</v>
      </c>
      <c r="C439" t="s">
        <v>7832</v>
      </c>
      <c r="D439" t="s">
        <v>7833</v>
      </c>
      <c r="E439" t="s">
        <v>7834</v>
      </c>
      <c r="F439">
        <v>52940419</v>
      </c>
      <c r="G439">
        <v>131934</v>
      </c>
      <c r="H439">
        <v>426355</v>
      </c>
      <c r="I439" t="s">
        <v>7850</v>
      </c>
      <c r="J439">
        <v>2013</v>
      </c>
      <c r="K439" t="s">
        <v>7842</v>
      </c>
      <c r="L439" t="s">
        <v>7837</v>
      </c>
    </row>
    <row r="440" spans="1:12">
      <c r="A440" t="s">
        <v>7830</v>
      </c>
      <c r="B440" t="s">
        <v>7831</v>
      </c>
      <c r="C440" t="s">
        <v>7832</v>
      </c>
      <c r="D440" t="s">
        <v>7833</v>
      </c>
      <c r="E440" t="s">
        <v>7834</v>
      </c>
      <c r="F440">
        <v>47483271</v>
      </c>
      <c r="G440">
        <v>120006</v>
      </c>
      <c r="H440">
        <v>425694</v>
      </c>
      <c r="I440" t="s">
        <v>7850</v>
      </c>
      <c r="J440">
        <v>2013</v>
      </c>
      <c r="K440" t="s">
        <v>7843</v>
      </c>
      <c r="L440" t="s">
        <v>7837</v>
      </c>
    </row>
    <row r="441" spans="1:12">
      <c r="A441" t="s">
        <v>7830</v>
      </c>
      <c r="B441" t="s">
        <v>7831</v>
      </c>
      <c r="C441" t="s">
        <v>7832</v>
      </c>
      <c r="D441" t="s">
        <v>7833</v>
      </c>
      <c r="E441" t="s">
        <v>7834</v>
      </c>
      <c r="F441">
        <v>38870257</v>
      </c>
      <c r="G441">
        <v>77179</v>
      </c>
      <c r="H441">
        <v>309540</v>
      </c>
      <c r="I441" t="s">
        <v>7850</v>
      </c>
      <c r="J441">
        <v>2013</v>
      </c>
      <c r="K441" t="s">
        <v>7844</v>
      </c>
      <c r="L441" t="s">
        <v>7837</v>
      </c>
    </row>
    <row r="442" spans="1:12">
      <c r="A442" t="s">
        <v>7830</v>
      </c>
      <c r="B442" t="s">
        <v>7831</v>
      </c>
      <c r="C442" t="s">
        <v>7832</v>
      </c>
      <c r="D442" t="s">
        <v>7833</v>
      </c>
      <c r="E442" t="s">
        <v>7834</v>
      </c>
      <c r="F442">
        <v>38408573</v>
      </c>
      <c r="G442">
        <v>73990</v>
      </c>
      <c r="H442">
        <v>325081</v>
      </c>
      <c r="I442" t="s">
        <v>7850</v>
      </c>
      <c r="J442">
        <v>2013</v>
      </c>
      <c r="K442" t="s">
        <v>7845</v>
      </c>
      <c r="L442" t="s">
        <v>7837</v>
      </c>
    </row>
    <row r="443" spans="1:12">
      <c r="A443" t="s">
        <v>7830</v>
      </c>
      <c r="B443" t="s">
        <v>7831</v>
      </c>
      <c r="C443" t="s">
        <v>7832</v>
      </c>
      <c r="D443" t="s">
        <v>7833</v>
      </c>
      <c r="E443" t="s">
        <v>7834</v>
      </c>
      <c r="F443">
        <v>40108011</v>
      </c>
      <c r="G443">
        <v>79802</v>
      </c>
      <c r="H443">
        <v>316190</v>
      </c>
      <c r="I443" t="s">
        <v>7850</v>
      </c>
      <c r="J443">
        <v>2013</v>
      </c>
      <c r="K443" t="s">
        <v>7846</v>
      </c>
      <c r="L443" t="s">
        <v>7837</v>
      </c>
    </row>
    <row r="444" spans="1:12">
      <c r="A444" t="s">
        <v>7830</v>
      </c>
      <c r="B444" t="s">
        <v>7831</v>
      </c>
      <c r="C444" t="s">
        <v>7832</v>
      </c>
      <c r="D444" t="s">
        <v>7833</v>
      </c>
      <c r="E444" t="s">
        <v>7834</v>
      </c>
      <c r="F444">
        <v>38253406</v>
      </c>
      <c r="G444">
        <v>70604</v>
      </c>
      <c r="H444">
        <v>341466</v>
      </c>
      <c r="I444" t="s">
        <v>7850</v>
      </c>
      <c r="J444">
        <v>2013</v>
      </c>
      <c r="K444" t="s">
        <v>7847</v>
      </c>
      <c r="L444" t="s">
        <v>7837</v>
      </c>
    </row>
    <row r="445" spans="1:12">
      <c r="A445" t="s">
        <v>7830</v>
      </c>
      <c r="B445" t="s">
        <v>7831</v>
      </c>
      <c r="C445" t="s">
        <v>7832</v>
      </c>
      <c r="D445" t="s">
        <v>7833</v>
      </c>
      <c r="E445" t="s">
        <v>7834</v>
      </c>
      <c r="F445">
        <v>39132582</v>
      </c>
      <c r="G445">
        <v>64601</v>
      </c>
      <c r="H445">
        <v>296561</v>
      </c>
      <c r="I445" t="s">
        <v>7850</v>
      </c>
      <c r="J445">
        <v>2013</v>
      </c>
      <c r="K445" t="s">
        <v>7848</v>
      </c>
      <c r="L445" t="s">
        <v>7837</v>
      </c>
    </row>
    <row r="446" spans="1:12">
      <c r="A446" t="s">
        <v>7830</v>
      </c>
      <c r="B446" t="s">
        <v>7831</v>
      </c>
      <c r="C446" t="s">
        <v>7832</v>
      </c>
      <c r="D446" t="s">
        <v>7833</v>
      </c>
      <c r="E446" t="s">
        <v>7834</v>
      </c>
      <c r="F446">
        <v>33466848</v>
      </c>
      <c r="G446">
        <v>52548</v>
      </c>
      <c r="H446">
        <v>236394</v>
      </c>
      <c r="I446" t="s">
        <v>7850</v>
      </c>
      <c r="J446">
        <v>2014</v>
      </c>
      <c r="K446" t="s">
        <v>7836</v>
      </c>
      <c r="L446" t="s">
        <v>7837</v>
      </c>
    </row>
    <row r="447" spans="1:12">
      <c r="A447" t="s">
        <v>7830</v>
      </c>
      <c r="B447" t="s">
        <v>7831</v>
      </c>
      <c r="C447" t="s">
        <v>7832</v>
      </c>
      <c r="D447" t="s">
        <v>7833</v>
      </c>
      <c r="E447" t="s">
        <v>7834</v>
      </c>
      <c r="F447">
        <v>27272488</v>
      </c>
      <c r="G447">
        <v>58174</v>
      </c>
      <c r="H447">
        <v>216197</v>
      </c>
      <c r="I447" t="s">
        <v>7850</v>
      </c>
      <c r="J447">
        <v>2014</v>
      </c>
      <c r="K447" t="s">
        <v>7838</v>
      </c>
      <c r="L447" t="s">
        <v>7837</v>
      </c>
    </row>
    <row r="448" spans="1:12">
      <c r="A448" t="s">
        <v>7830</v>
      </c>
      <c r="B448" t="s">
        <v>7831</v>
      </c>
      <c r="C448" t="s">
        <v>7832</v>
      </c>
      <c r="D448" t="s">
        <v>7833</v>
      </c>
      <c r="E448" t="s">
        <v>7834</v>
      </c>
      <c r="F448">
        <v>29840410</v>
      </c>
      <c r="G448">
        <v>73070</v>
      </c>
      <c r="H448">
        <v>331919</v>
      </c>
      <c r="I448" t="s">
        <v>7850</v>
      </c>
      <c r="J448">
        <v>2014</v>
      </c>
      <c r="K448" t="s">
        <v>7839</v>
      </c>
      <c r="L448" t="s">
        <v>7837</v>
      </c>
    </row>
    <row r="449" spans="1:12">
      <c r="A449" t="s">
        <v>7830</v>
      </c>
      <c r="B449" t="s">
        <v>7831</v>
      </c>
      <c r="C449" t="s">
        <v>7832</v>
      </c>
      <c r="D449" t="s">
        <v>7833</v>
      </c>
      <c r="E449" t="s">
        <v>7834</v>
      </c>
      <c r="F449">
        <v>28770606</v>
      </c>
      <c r="G449">
        <v>52875</v>
      </c>
      <c r="H449">
        <v>295850</v>
      </c>
      <c r="I449" t="s">
        <v>7850</v>
      </c>
      <c r="J449">
        <v>2014</v>
      </c>
      <c r="K449" t="s">
        <v>7840</v>
      </c>
      <c r="L449" t="s">
        <v>7837</v>
      </c>
    </row>
    <row r="450" spans="1:12">
      <c r="A450" t="s">
        <v>7830</v>
      </c>
      <c r="B450" t="s">
        <v>7831</v>
      </c>
      <c r="C450" t="s">
        <v>7832</v>
      </c>
      <c r="D450" t="s">
        <v>7833</v>
      </c>
      <c r="E450" t="s">
        <v>7834</v>
      </c>
      <c r="F450">
        <v>37161696</v>
      </c>
      <c r="G450">
        <v>70804</v>
      </c>
      <c r="H450">
        <v>450263</v>
      </c>
      <c r="I450" t="s">
        <v>7850</v>
      </c>
      <c r="J450">
        <v>2014</v>
      </c>
      <c r="K450" t="s">
        <v>7841</v>
      </c>
      <c r="L450" t="s">
        <v>7837</v>
      </c>
    </row>
    <row r="451" spans="1:12">
      <c r="A451" t="s">
        <v>7830</v>
      </c>
      <c r="B451" t="s">
        <v>7831</v>
      </c>
      <c r="C451" t="s">
        <v>7832</v>
      </c>
      <c r="D451" t="s">
        <v>7833</v>
      </c>
      <c r="E451" t="s">
        <v>7834</v>
      </c>
      <c r="F451">
        <v>34788778</v>
      </c>
      <c r="G451">
        <v>55685</v>
      </c>
      <c r="H451">
        <v>209681</v>
      </c>
      <c r="I451" t="s">
        <v>7850</v>
      </c>
      <c r="J451">
        <v>2014</v>
      </c>
      <c r="K451" t="s">
        <v>7842</v>
      </c>
      <c r="L451" t="s">
        <v>7837</v>
      </c>
    </row>
    <row r="452" spans="1:12">
      <c r="A452" t="s">
        <v>7830</v>
      </c>
      <c r="B452" t="s">
        <v>7831</v>
      </c>
      <c r="C452" t="s">
        <v>7832</v>
      </c>
      <c r="D452" t="s">
        <v>7833</v>
      </c>
      <c r="E452" t="s">
        <v>7834</v>
      </c>
      <c r="F452">
        <v>57442871</v>
      </c>
      <c r="G452">
        <v>83958</v>
      </c>
      <c r="H452">
        <v>416561</v>
      </c>
      <c r="I452" t="s">
        <v>7850</v>
      </c>
      <c r="J452">
        <v>2014</v>
      </c>
      <c r="K452" t="s">
        <v>7843</v>
      </c>
      <c r="L452" t="s">
        <v>7837</v>
      </c>
    </row>
    <row r="453" spans="1:12">
      <c r="A453" t="s">
        <v>7830</v>
      </c>
      <c r="B453" t="s">
        <v>7831</v>
      </c>
      <c r="C453" t="s">
        <v>7832</v>
      </c>
      <c r="D453" t="s">
        <v>7833</v>
      </c>
      <c r="E453" t="s">
        <v>7834</v>
      </c>
      <c r="F453">
        <v>36297315</v>
      </c>
      <c r="G453">
        <v>60885</v>
      </c>
      <c r="H453">
        <v>289956</v>
      </c>
      <c r="I453" t="s">
        <v>7850</v>
      </c>
      <c r="J453">
        <v>2014</v>
      </c>
      <c r="K453" t="s">
        <v>7844</v>
      </c>
      <c r="L453" t="s">
        <v>7837</v>
      </c>
    </row>
    <row r="454" spans="1:12">
      <c r="A454" t="s">
        <v>7830</v>
      </c>
      <c r="B454" t="s">
        <v>7831</v>
      </c>
      <c r="C454" t="s">
        <v>7832</v>
      </c>
      <c r="D454" t="s">
        <v>7833</v>
      </c>
      <c r="E454" t="s">
        <v>7834</v>
      </c>
      <c r="F454">
        <v>39761031</v>
      </c>
      <c r="G454">
        <v>66349</v>
      </c>
      <c r="H454">
        <v>245794</v>
      </c>
      <c r="I454" t="s">
        <v>7850</v>
      </c>
      <c r="J454">
        <v>2014</v>
      </c>
      <c r="K454" t="s">
        <v>7845</v>
      </c>
      <c r="L454" t="s">
        <v>7837</v>
      </c>
    </row>
    <row r="455" spans="1:12">
      <c r="A455" t="s">
        <v>7830</v>
      </c>
      <c r="B455" t="s">
        <v>7831</v>
      </c>
      <c r="C455" t="s">
        <v>7832</v>
      </c>
      <c r="D455" t="s">
        <v>7833</v>
      </c>
      <c r="E455" t="s">
        <v>7834</v>
      </c>
      <c r="F455">
        <v>45444169</v>
      </c>
      <c r="G455">
        <v>69643</v>
      </c>
      <c r="H455">
        <v>312951</v>
      </c>
      <c r="I455" t="s">
        <v>7850</v>
      </c>
      <c r="J455">
        <v>2014</v>
      </c>
      <c r="K455" t="s">
        <v>7846</v>
      </c>
      <c r="L455" t="s">
        <v>7837</v>
      </c>
    </row>
    <row r="456" spans="1:12">
      <c r="A456" t="s">
        <v>7830</v>
      </c>
      <c r="B456" t="s">
        <v>7831</v>
      </c>
      <c r="C456" t="s">
        <v>7832</v>
      </c>
      <c r="D456" t="s">
        <v>7833</v>
      </c>
      <c r="E456" t="s">
        <v>7834</v>
      </c>
      <c r="F456">
        <v>28094972</v>
      </c>
      <c r="G456">
        <v>43475</v>
      </c>
      <c r="H456">
        <v>177414</v>
      </c>
      <c r="I456" t="s">
        <v>7850</v>
      </c>
      <c r="J456">
        <v>2014</v>
      </c>
      <c r="K456" t="s">
        <v>7847</v>
      </c>
      <c r="L456" t="s">
        <v>7837</v>
      </c>
    </row>
    <row r="457" spans="1:12">
      <c r="A457" t="s">
        <v>7830</v>
      </c>
      <c r="B457" t="s">
        <v>7831</v>
      </c>
      <c r="C457" t="s">
        <v>7832</v>
      </c>
      <c r="D457" t="s">
        <v>7833</v>
      </c>
      <c r="E457" t="s">
        <v>7834</v>
      </c>
      <c r="F457">
        <v>38968293</v>
      </c>
      <c r="G457">
        <v>50281</v>
      </c>
      <c r="H457">
        <v>246925</v>
      </c>
      <c r="I457" t="s">
        <v>7850</v>
      </c>
      <c r="J457">
        <v>2014</v>
      </c>
      <c r="K457" t="s">
        <v>7848</v>
      </c>
      <c r="L457" t="s">
        <v>7837</v>
      </c>
    </row>
    <row r="458" spans="1:12">
      <c r="A458" t="s">
        <v>7830</v>
      </c>
      <c r="B458" t="s">
        <v>7831</v>
      </c>
      <c r="C458" t="s">
        <v>7832</v>
      </c>
      <c r="D458" t="s">
        <v>7833</v>
      </c>
      <c r="E458" t="s">
        <v>7834</v>
      </c>
      <c r="F458">
        <v>39196033</v>
      </c>
      <c r="G458">
        <v>59054</v>
      </c>
      <c r="H458">
        <v>241741</v>
      </c>
      <c r="I458" t="s">
        <v>7850</v>
      </c>
      <c r="J458">
        <v>2015</v>
      </c>
      <c r="K458" t="s">
        <v>7836</v>
      </c>
      <c r="L458" t="s">
        <v>7837</v>
      </c>
    </row>
    <row r="459" spans="1:12">
      <c r="A459" t="s">
        <v>7830</v>
      </c>
      <c r="B459" t="s">
        <v>7831</v>
      </c>
      <c r="C459" t="s">
        <v>7832</v>
      </c>
      <c r="D459" t="s">
        <v>7833</v>
      </c>
      <c r="E459" t="s">
        <v>7834</v>
      </c>
      <c r="F459">
        <v>40843957</v>
      </c>
      <c r="G459">
        <v>61934</v>
      </c>
      <c r="H459">
        <v>296907</v>
      </c>
      <c r="I459" t="s">
        <v>7850</v>
      </c>
      <c r="J459">
        <v>2015</v>
      </c>
      <c r="K459" t="s">
        <v>7838</v>
      </c>
      <c r="L459" t="s">
        <v>7837</v>
      </c>
    </row>
    <row r="460" spans="1:12">
      <c r="A460" t="s">
        <v>7830</v>
      </c>
      <c r="B460" t="s">
        <v>7831</v>
      </c>
      <c r="C460" t="s">
        <v>7832</v>
      </c>
      <c r="D460" t="s">
        <v>7833</v>
      </c>
      <c r="E460" t="s">
        <v>7834</v>
      </c>
      <c r="F460">
        <v>52169416</v>
      </c>
      <c r="G460">
        <v>94586</v>
      </c>
      <c r="H460">
        <v>582624</v>
      </c>
      <c r="I460" t="s">
        <v>7850</v>
      </c>
      <c r="J460">
        <v>2015</v>
      </c>
      <c r="K460" t="s">
        <v>7839</v>
      </c>
      <c r="L460" t="s">
        <v>7837</v>
      </c>
    </row>
    <row r="461" spans="1:12">
      <c r="A461" t="s">
        <v>7830</v>
      </c>
      <c r="B461" t="s">
        <v>7831</v>
      </c>
      <c r="C461" t="s">
        <v>7832</v>
      </c>
      <c r="D461" t="s">
        <v>7833</v>
      </c>
      <c r="E461" t="s">
        <v>7834</v>
      </c>
      <c r="F461">
        <v>36963534</v>
      </c>
      <c r="G461">
        <v>57073</v>
      </c>
      <c r="H461">
        <v>286037</v>
      </c>
      <c r="I461" t="s">
        <v>7850</v>
      </c>
      <c r="J461">
        <v>2015</v>
      </c>
      <c r="K461" t="s">
        <v>7840</v>
      </c>
      <c r="L461" t="s">
        <v>7837</v>
      </c>
    </row>
    <row r="462" spans="1:12">
      <c r="A462" t="s">
        <v>7830</v>
      </c>
      <c r="B462" t="s">
        <v>7831</v>
      </c>
      <c r="C462" t="s">
        <v>7832</v>
      </c>
      <c r="D462" t="s">
        <v>7833</v>
      </c>
      <c r="E462" t="s">
        <v>7834</v>
      </c>
      <c r="F462">
        <v>54842245</v>
      </c>
      <c r="G462">
        <v>67722</v>
      </c>
      <c r="H462">
        <v>272837</v>
      </c>
      <c r="I462" t="s">
        <v>7850</v>
      </c>
      <c r="J462">
        <v>2015</v>
      </c>
      <c r="K462" t="s">
        <v>7841</v>
      </c>
      <c r="L462" t="s">
        <v>7837</v>
      </c>
    </row>
    <row r="463" spans="1:12">
      <c r="A463" t="s">
        <v>7830</v>
      </c>
      <c r="B463" t="s">
        <v>7831</v>
      </c>
      <c r="C463" t="s">
        <v>7832</v>
      </c>
      <c r="D463" t="s">
        <v>7833</v>
      </c>
      <c r="E463" t="s">
        <v>7834</v>
      </c>
      <c r="F463">
        <v>48460860</v>
      </c>
      <c r="G463">
        <v>64654</v>
      </c>
      <c r="H463">
        <v>272159</v>
      </c>
      <c r="I463" t="s">
        <v>7850</v>
      </c>
      <c r="J463">
        <v>2015</v>
      </c>
      <c r="K463" t="s">
        <v>7842</v>
      </c>
      <c r="L463" t="s">
        <v>7837</v>
      </c>
    </row>
    <row r="464" spans="1:12">
      <c r="A464" t="s">
        <v>7830</v>
      </c>
      <c r="B464" t="s">
        <v>7831</v>
      </c>
      <c r="C464" t="s">
        <v>7832</v>
      </c>
      <c r="D464" t="s">
        <v>7833</v>
      </c>
      <c r="E464" t="s">
        <v>7834</v>
      </c>
      <c r="F464">
        <v>50392902</v>
      </c>
      <c r="G464">
        <v>72293</v>
      </c>
      <c r="H464">
        <v>306483</v>
      </c>
      <c r="I464" t="s">
        <v>7850</v>
      </c>
      <c r="J464">
        <v>2015</v>
      </c>
      <c r="K464" t="s">
        <v>7843</v>
      </c>
      <c r="L464" t="s">
        <v>7837</v>
      </c>
    </row>
    <row r="465" spans="1:12">
      <c r="A465" t="s">
        <v>7830</v>
      </c>
      <c r="B465" t="s">
        <v>7831</v>
      </c>
      <c r="C465" t="s">
        <v>7832</v>
      </c>
      <c r="D465" t="s">
        <v>7833</v>
      </c>
      <c r="E465" t="s">
        <v>7834</v>
      </c>
      <c r="F465">
        <v>43990428</v>
      </c>
      <c r="G465">
        <v>52389</v>
      </c>
      <c r="H465">
        <v>259182</v>
      </c>
      <c r="I465" t="s">
        <v>7850</v>
      </c>
      <c r="J465">
        <v>2015</v>
      </c>
      <c r="K465" t="s">
        <v>7844</v>
      </c>
      <c r="L465" t="s">
        <v>7837</v>
      </c>
    </row>
    <row r="466" spans="1:12">
      <c r="A466" t="s">
        <v>7830</v>
      </c>
      <c r="B466" t="s">
        <v>7831</v>
      </c>
      <c r="C466" t="s">
        <v>7832</v>
      </c>
      <c r="D466" t="s">
        <v>7833</v>
      </c>
      <c r="E466" t="s">
        <v>7834</v>
      </c>
      <c r="F466">
        <v>27652628</v>
      </c>
      <c r="G466">
        <v>56388</v>
      </c>
      <c r="H466">
        <v>230901</v>
      </c>
      <c r="I466" t="s">
        <v>7850</v>
      </c>
      <c r="J466">
        <v>2015</v>
      </c>
      <c r="K466" t="s">
        <v>7845</v>
      </c>
      <c r="L466" t="s">
        <v>7837</v>
      </c>
    </row>
    <row r="467" spans="1:12">
      <c r="A467" t="s">
        <v>7830</v>
      </c>
      <c r="B467" t="s">
        <v>7831</v>
      </c>
      <c r="C467" t="s">
        <v>7832</v>
      </c>
      <c r="D467" t="s">
        <v>7833</v>
      </c>
      <c r="E467" t="s">
        <v>7834</v>
      </c>
      <c r="F467">
        <v>34946630</v>
      </c>
      <c r="G467">
        <v>54066</v>
      </c>
      <c r="H467">
        <v>250355</v>
      </c>
      <c r="I467" t="s">
        <v>7850</v>
      </c>
      <c r="J467">
        <v>2015</v>
      </c>
      <c r="K467" t="s">
        <v>7846</v>
      </c>
      <c r="L467" t="s">
        <v>7837</v>
      </c>
    </row>
    <row r="468" spans="1:12">
      <c r="A468" t="s">
        <v>7830</v>
      </c>
      <c r="B468" t="s">
        <v>7831</v>
      </c>
      <c r="C468" t="s">
        <v>7832</v>
      </c>
      <c r="D468" t="s">
        <v>7833</v>
      </c>
      <c r="E468" t="s">
        <v>7834</v>
      </c>
      <c r="F468">
        <v>40601836</v>
      </c>
      <c r="G468">
        <v>59162</v>
      </c>
      <c r="H468">
        <v>329750</v>
      </c>
      <c r="I468" t="s">
        <v>7850</v>
      </c>
      <c r="J468">
        <v>2015</v>
      </c>
      <c r="K468" t="s">
        <v>7847</v>
      </c>
      <c r="L468" t="s">
        <v>7837</v>
      </c>
    </row>
    <row r="469" spans="1:12">
      <c r="A469" t="s">
        <v>7830</v>
      </c>
      <c r="B469" t="s">
        <v>7831</v>
      </c>
      <c r="C469" t="s">
        <v>7832</v>
      </c>
      <c r="D469" t="s">
        <v>7833</v>
      </c>
      <c r="E469" t="s">
        <v>7834</v>
      </c>
      <c r="F469">
        <v>41973316</v>
      </c>
      <c r="G469">
        <v>64766</v>
      </c>
      <c r="H469">
        <v>274770</v>
      </c>
      <c r="I469" t="s">
        <v>7850</v>
      </c>
      <c r="J469">
        <v>2015</v>
      </c>
      <c r="K469" t="s">
        <v>7848</v>
      </c>
      <c r="L469" t="s">
        <v>7837</v>
      </c>
    </row>
    <row r="470" spans="1:12">
      <c r="A470" t="s">
        <v>7830</v>
      </c>
      <c r="B470" t="s">
        <v>7831</v>
      </c>
      <c r="C470" t="s">
        <v>7832</v>
      </c>
      <c r="D470" t="s">
        <v>7833</v>
      </c>
      <c r="E470" t="s">
        <v>7834</v>
      </c>
      <c r="F470">
        <v>51595395</v>
      </c>
      <c r="G470">
        <v>88658</v>
      </c>
      <c r="H470">
        <v>460889</v>
      </c>
      <c r="I470" t="s">
        <v>7850</v>
      </c>
      <c r="J470">
        <v>2016</v>
      </c>
      <c r="K470" t="s">
        <v>7836</v>
      </c>
      <c r="L470" t="s">
        <v>7837</v>
      </c>
    </row>
    <row r="471" spans="1:12">
      <c r="A471" t="s">
        <v>7830</v>
      </c>
      <c r="B471" t="s">
        <v>7831</v>
      </c>
      <c r="C471" t="s">
        <v>7832</v>
      </c>
      <c r="D471" t="s">
        <v>7833</v>
      </c>
      <c r="E471" t="s">
        <v>7834</v>
      </c>
      <c r="F471">
        <v>43685013</v>
      </c>
      <c r="G471">
        <v>58592</v>
      </c>
      <c r="H471">
        <v>253113</v>
      </c>
      <c r="I471" t="s">
        <v>7850</v>
      </c>
      <c r="J471">
        <v>2016</v>
      </c>
      <c r="K471" t="s">
        <v>7838</v>
      </c>
      <c r="L471" t="s">
        <v>7837</v>
      </c>
    </row>
    <row r="472" spans="1:12">
      <c r="A472" t="s">
        <v>7830</v>
      </c>
      <c r="B472" t="s">
        <v>7831</v>
      </c>
      <c r="C472" t="s">
        <v>7832</v>
      </c>
      <c r="D472" t="s">
        <v>7833</v>
      </c>
      <c r="E472" t="s">
        <v>7834</v>
      </c>
      <c r="F472">
        <v>62072263</v>
      </c>
      <c r="G472">
        <v>87696</v>
      </c>
      <c r="H472">
        <v>331622</v>
      </c>
      <c r="I472" t="s">
        <v>7850</v>
      </c>
      <c r="J472">
        <v>2016</v>
      </c>
      <c r="K472" t="s">
        <v>7839</v>
      </c>
      <c r="L472" t="s">
        <v>7837</v>
      </c>
    </row>
    <row r="473" spans="1:12">
      <c r="A473" t="s">
        <v>7830</v>
      </c>
      <c r="B473" t="s">
        <v>7831</v>
      </c>
      <c r="C473" t="s">
        <v>7832</v>
      </c>
      <c r="D473" t="s">
        <v>7833</v>
      </c>
      <c r="E473" t="s">
        <v>7834</v>
      </c>
      <c r="F473">
        <v>55006951</v>
      </c>
      <c r="G473">
        <v>78862</v>
      </c>
      <c r="H473">
        <v>290284</v>
      </c>
      <c r="I473" t="s">
        <v>7850</v>
      </c>
      <c r="J473">
        <v>2016</v>
      </c>
      <c r="K473" t="s">
        <v>7840</v>
      </c>
      <c r="L473" t="s">
        <v>7837</v>
      </c>
    </row>
    <row r="474" spans="1:12">
      <c r="A474" t="s">
        <v>7830</v>
      </c>
      <c r="B474" t="s">
        <v>7831</v>
      </c>
      <c r="C474" t="s">
        <v>7832</v>
      </c>
      <c r="D474" t="s">
        <v>7833</v>
      </c>
      <c r="E474" t="s">
        <v>7834</v>
      </c>
      <c r="F474">
        <v>43038834</v>
      </c>
      <c r="G474">
        <v>64621</v>
      </c>
      <c r="H474">
        <v>227219</v>
      </c>
      <c r="I474" t="s">
        <v>7850</v>
      </c>
      <c r="J474">
        <v>2016</v>
      </c>
      <c r="K474" t="s">
        <v>7841</v>
      </c>
      <c r="L474" t="s">
        <v>7837</v>
      </c>
    </row>
    <row r="475" spans="1:12">
      <c r="A475" t="s">
        <v>7830</v>
      </c>
      <c r="B475" t="s">
        <v>7831</v>
      </c>
      <c r="C475" t="s">
        <v>7832</v>
      </c>
      <c r="D475" t="s">
        <v>7833</v>
      </c>
      <c r="E475" t="s">
        <v>7834</v>
      </c>
      <c r="F475">
        <v>47287141</v>
      </c>
      <c r="G475">
        <v>89413</v>
      </c>
      <c r="H475">
        <v>273665</v>
      </c>
      <c r="I475" t="s">
        <v>7850</v>
      </c>
      <c r="J475">
        <v>2016</v>
      </c>
      <c r="K475" t="s">
        <v>7842</v>
      </c>
      <c r="L475" t="s">
        <v>7837</v>
      </c>
    </row>
    <row r="476" spans="1:12">
      <c r="A476" t="s">
        <v>7830</v>
      </c>
      <c r="B476" t="s">
        <v>7831</v>
      </c>
      <c r="C476" t="s">
        <v>7832</v>
      </c>
      <c r="D476" t="s">
        <v>7833</v>
      </c>
      <c r="E476" t="s">
        <v>7834</v>
      </c>
      <c r="F476">
        <v>56338725</v>
      </c>
      <c r="G476">
        <v>99205</v>
      </c>
      <c r="H476">
        <v>300608</v>
      </c>
      <c r="I476" t="s">
        <v>7850</v>
      </c>
      <c r="J476">
        <v>2016</v>
      </c>
      <c r="K476" t="s">
        <v>7843</v>
      </c>
      <c r="L476" t="s">
        <v>7837</v>
      </c>
    </row>
    <row r="477" spans="1:12">
      <c r="A477" t="s">
        <v>7830</v>
      </c>
      <c r="B477" t="s">
        <v>7831</v>
      </c>
      <c r="C477" t="s">
        <v>7832</v>
      </c>
      <c r="D477" t="s">
        <v>7833</v>
      </c>
      <c r="E477" t="s">
        <v>7834</v>
      </c>
      <c r="F477">
        <v>55421894</v>
      </c>
      <c r="G477">
        <v>91393</v>
      </c>
      <c r="H477">
        <v>210622</v>
      </c>
      <c r="I477" t="s">
        <v>7850</v>
      </c>
      <c r="J477">
        <v>2016</v>
      </c>
      <c r="K477" t="s">
        <v>7844</v>
      </c>
      <c r="L477" t="s">
        <v>7837</v>
      </c>
    </row>
    <row r="478" spans="1:12">
      <c r="A478" t="s">
        <v>7830</v>
      </c>
      <c r="B478" t="s">
        <v>7831</v>
      </c>
      <c r="C478" t="s">
        <v>7832</v>
      </c>
      <c r="D478" t="s">
        <v>7833</v>
      </c>
      <c r="E478" t="s">
        <v>7834</v>
      </c>
      <c r="F478">
        <v>35372929</v>
      </c>
      <c r="G478">
        <v>51234</v>
      </c>
      <c r="H478">
        <v>204265</v>
      </c>
      <c r="I478" t="s">
        <v>7850</v>
      </c>
      <c r="J478">
        <v>2016</v>
      </c>
      <c r="K478" t="s">
        <v>7845</v>
      </c>
      <c r="L478" t="s">
        <v>7837</v>
      </c>
    </row>
    <row r="479" spans="1:12">
      <c r="A479" t="s">
        <v>7830</v>
      </c>
      <c r="B479" t="s">
        <v>7831</v>
      </c>
      <c r="C479" t="s">
        <v>7832</v>
      </c>
      <c r="D479" t="s">
        <v>7833</v>
      </c>
      <c r="E479" t="s">
        <v>7834</v>
      </c>
      <c r="F479">
        <v>48336853</v>
      </c>
      <c r="G479">
        <v>82001</v>
      </c>
      <c r="H479">
        <v>198618</v>
      </c>
      <c r="I479" t="s">
        <v>7850</v>
      </c>
      <c r="J479">
        <v>2016</v>
      </c>
      <c r="K479" t="s">
        <v>7846</v>
      </c>
      <c r="L479" t="s">
        <v>7837</v>
      </c>
    </row>
    <row r="480" spans="1:12">
      <c r="A480" t="s">
        <v>7830</v>
      </c>
      <c r="B480" t="s">
        <v>7831</v>
      </c>
      <c r="C480" t="s">
        <v>7832</v>
      </c>
      <c r="D480" t="s">
        <v>7833</v>
      </c>
      <c r="E480" t="s">
        <v>7834</v>
      </c>
      <c r="F480">
        <v>56688316</v>
      </c>
      <c r="G480">
        <v>86246</v>
      </c>
      <c r="H480">
        <v>241946</v>
      </c>
      <c r="I480" t="s">
        <v>7850</v>
      </c>
      <c r="J480">
        <v>2016</v>
      </c>
      <c r="K480" t="s">
        <v>7847</v>
      </c>
      <c r="L480" t="s">
        <v>7837</v>
      </c>
    </row>
    <row r="481" spans="1:12">
      <c r="A481" t="s">
        <v>7830</v>
      </c>
      <c r="B481" t="s">
        <v>7831</v>
      </c>
      <c r="C481" t="s">
        <v>7832</v>
      </c>
      <c r="D481" t="s">
        <v>7833</v>
      </c>
      <c r="E481" t="s">
        <v>7834</v>
      </c>
      <c r="F481">
        <v>72882467</v>
      </c>
      <c r="G481">
        <v>97327</v>
      </c>
      <c r="H481">
        <v>235315</v>
      </c>
      <c r="I481" t="s">
        <v>7850</v>
      </c>
      <c r="J481">
        <v>2016</v>
      </c>
      <c r="K481" t="s">
        <v>7848</v>
      </c>
      <c r="L481" t="s">
        <v>7837</v>
      </c>
    </row>
    <row r="482" spans="1:12">
      <c r="A482" t="s">
        <v>7830</v>
      </c>
      <c r="B482" t="s">
        <v>7831</v>
      </c>
      <c r="C482" t="s">
        <v>7832</v>
      </c>
      <c r="D482" t="s">
        <v>7833</v>
      </c>
      <c r="E482" t="s">
        <v>7834</v>
      </c>
      <c r="F482">
        <v>64453438</v>
      </c>
      <c r="G482">
        <v>81497</v>
      </c>
      <c r="H482">
        <v>213960</v>
      </c>
      <c r="I482" t="s">
        <v>7850</v>
      </c>
      <c r="J482">
        <v>2017</v>
      </c>
      <c r="K482" t="s">
        <v>7836</v>
      </c>
      <c r="L482" t="s">
        <v>7837</v>
      </c>
    </row>
    <row r="483" spans="1:12">
      <c r="A483" t="s">
        <v>7830</v>
      </c>
      <c r="B483" t="s">
        <v>7831</v>
      </c>
      <c r="C483" t="s">
        <v>7832</v>
      </c>
      <c r="D483" t="s">
        <v>7833</v>
      </c>
      <c r="E483" t="s">
        <v>7834</v>
      </c>
      <c r="F483">
        <v>76866160</v>
      </c>
      <c r="G483">
        <v>110021</v>
      </c>
      <c r="H483">
        <v>266967</v>
      </c>
      <c r="I483" t="s">
        <v>7850</v>
      </c>
      <c r="J483">
        <v>2017</v>
      </c>
      <c r="K483" t="s">
        <v>7838</v>
      </c>
      <c r="L483" t="s">
        <v>7837</v>
      </c>
    </row>
    <row r="484" spans="1:12">
      <c r="A484" t="s">
        <v>7830</v>
      </c>
      <c r="B484" t="s">
        <v>7831</v>
      </c>
      <c r="C484" t="s">
        <v>7832</v>
      </c>
      <c r="D484" t="s">
        <v>7833</v>
      </c>
      <c r="E484" t="s">
        <v>7834</v>
      </c>
      <c r="F484">
        <v>73681486</v>
      </c>
      <c r="G484">
        <v>99331</v>
      </c>
      <c r="H484">
        <v>300010</v>
      </c>
      <c r="I484" t="s">
        <v>7850</v>
      </c>
      <c r="J484">
        <v>2017</v>
      </c>
      <c r="K484" t="s">
        <v>7839</v>
      </c>
      <c r="L484" t="s">
        <v>7837</v>
      </c>
    </row>
    <row r="485" spans="1:12">
      <c r="A485" t="s">
        <v>7830</v>
      </c>
      <c r="B485" t="s">
        <v>7831</v>
      </c>
      <c r="C485" t="s">
        <v>7832</v>
      </c>
      <c r="D485" t="s">
        <v>7833</v>
      </c>
      <c r="E485" t="s">
        <v>7834</v>
      </c>
      <c r="F485">
        <v>77988571</v>
      </c>
      <c r="G485">
        <v>121004</v>
      </c>
      <c r="H485">
        <v>336945</v>
      </c>
      <c r="I485" t="s">
        <v>7850</v>
      </c>
      <c r="J485">
        <v>2017</v>
      </c>
      <c r="K485" t="s">
        <v>7840</v>
      </c>
      <c r="L485" t="s">
        <v>7837</v>
      </c>
    </row>
    <row r="486" spans="1:12">
      <c r="A486" t="s">
        <v>7830</v>
      </c>
      <c r="B486" t="s">
        <v>7831</v>
      </c>
      <c r="C486" t="s">
        <v>7832</v>
      </c>
      <c r="D486" t="s">
        <v>7833</v>
      </c>
      <c r="E486" t="s">
        <v>7834</v>
      </c>
      <c r="F486">
        <v>42098163</v>
      </c>
      <c r="G486">
        <v>56597</v>
      </c>
      <c r="H486">
        <v>197344</v>
      </c>
      <c r="I486" t="s">
        <v>7850</v>
      </c>
      <c r="J486">
        <v>2017</v>
      </c>
      <c r="K486" t="s">
        <v>7841</v>
      </c>
      <c r="L486" t="s">
        <v>7837</v>
      </c>
    </row>
    <row r="487" spans="1:12">
      <c r="A487" t="s">
        <v>7830</v>
      </c>
      <c r="B487" t="s">
        <v>7831</v>
      </c>
      <c r="C487" t="s">
        <v>7832</v>
      </c>
      <c r="D487" t="s">
        <v>7833</v>
      </c>
      <c r="E487" t="s">
        <v>7834</v>
      </c>
      <c r="F487">
        <v>45374407</v>
      </c>
      <c r="G487">
        <v>81884</v>
      </c>
      <c r="H487">
        <v>227183</v>
      </c>
      <c r="I487" t="s">
        <v>7850</v>
      </c>
      <c r="J487">
        <v>2017</v>
      </c>
      <c r="K487" t="s">
        <v>7842</v>
      </c>
      <c r="L487" t="s">
        <v>7837</v>
      </c>
    </row>
    <row r="488" spans="1:12">
      <c r="A488" t="s">
        <v>7830</v>
      </c>
      <c r="B488" t="s">
        <v>7831</v>
      </c>
      <c r="C488" t="s">
        <v>7832</v>
      </c>
      <c r="D488" t="s">
        <v>7833</v>
      </c>
      <c r="E488" t="s">
        <v>7834</v>
      </c>
      <c r="F488">
        <v>35606929</v>
      </c>
      <c r="G488">
        <v>62340</v>
      </c>
      <c r="H488">
        <v>239514</v>
      </c>
      <c r="I488" t="s">
        <v>7850</v>
      </c>
      <c r="J488">
        <v>2017</v>
      </c>
      <c r="K488" t="s">
        <v>7843</v>
      </c>
      <c r="L488" t="s">
        <v>7837</v>
      </c>
    </row>
    <row r="489" spans="1:12">
      <c r="A489" t="s">
        <v>7830</v>
      </c>
      <c r="B489" t="s">
        <v>7831</v>
      </c>
      <c r="C489" t="s">
        <v>7832</v>
      </c>
      <c r="D489" t="s">
        <v>7833</v>
      </c>
      <c r="E489" t="s">
        <v>7834</v>
      </c>
      <c r="F489">
        <v>17253870</v>
      </c>
      <c r="G489">
        <v>43000</v>
      </c>
      <c r="H489">
        <v>162837</v>
      </c>
      <c r="I489" t="s">
        <v>7850</v>
      </c>
      <c r="J489">
        <v>2017</v>
      </c>
      <c r="K489" t="s">
        <v>7844</v>
      </c>
      <c r="L489" t="s">
        <v>7837</v>
      </c>
    </row>
    <row r="490" spans="1:12">
      <c r="A490" t="s">
        <v>7830</v>
      </c>
      <c r="B490" t="s">
        <v>7831</v>
      </c>
      <c r="C490" t="s">
        <v>7832</v>
      </c>
      <c r="D490" t="s">
        <v>7833</v>
      </c>
      <c r="E490" t="s">
        <v>7834</v>
      </c>
      <c r="F490">
        <v>29389959</v>
      </c>
      <c r="G490">
        <v>92086</v>
      </c>
      <c r="H490">
        <v>329945</v>
      </c>
      <c r="I490" t="s">
        <v>7850</v>
      </c>
      <c r="J490">
        <v>2017</v>
      </c>
      <c r="K490" t="s">
        <v>7845</v>
      </c>
      <c r="L490" t="s">
        <v>7837</v>
      </c>
    </row>
    <row r="491" spans="1:12">
      <c r="A491" t="s">
        <v>7830</v>
      </c>
      <c r="B491" t="s">
        <v>7831</v>
      </c>
      <c r="C491" t="s">
        <v>7832</v>
      </c>
      <c r="D491" t="s">
        <v>7833</v>
      </c>
      <c r="E491" t="s">
        <v>7834</v>
      </c>
      <c r="F491">
        <v>21700066</v>
      </c>
      <c r="G491">
        <v>60627</v>
      </c>
      <c r="H491">
        <v>183908</v>
      </c>
      <c r="I491" t="s">
        <v>7850</v>
      </c>
      <c r="J491">
        <v>2017</v>
      </c>
      <c r="K491" t="s">
        <v>7846</v>
      </c>
      <c r="L491" t="s">
        <v>7837</v>
      </c>
    </row>
    <row r="492" spans="1:12">
      <c r="A492" t="s">
        <v>7830</v>
      </c>
      <c r="B492" t="s">
        <v>7831</v>
      </c>
      <c r="C492" t="s">
        <v>7832</v>
      </c>
      <c r="D492" t="s">
        <v>7833</v>
      </c>
      <c r="E492" t="s">
        <v>7834</v>
      </c>
      <c r="F492">
        <v>30725809</v>
      </c>
      <c r="G492">
        <v>68627</v>
      </c>
      <c r="H492">
        <v>259748</v>
      </c>
      <c r="I492" t="s">
        <v>7850</v>
      </c>
      <c r="J492">
        <v>2017</v>
      </c>
      <c r="K492" t="s">
        <v>7847</v>
      </c>
      <c r="L492" t="s">
        <v>7837</v>
      </c>
    </row>
    <row r="493" spans="1:12">
      <c r="A493" t="s">
        <v>7830</v>
      </c>
      <c r="B493" t="s">
        <v>7831</v>
      </c>
      <c r="C493" t="s">
        <v>7832</v>
      </c>
      <c r="D493" t="s">
        <v>7833</v>
      </c>
      <c r="E493" t="s">
        <v>7834</v>
      </c>
      <c r="F493">
        <v>27254850</v>
      </c>
      <c r="G493">
        <v>62695</v>
      </c>
      <c r="H493">
        <v>166175</v>
      </c>
      <c r="I493" t="s">
        <v>7850</v>
      </c>
      <c r="J493">
        <v>2017</v>
      </c>
      <c r="K493" t="s">
        <v>7848</v>
      </c>
      <c r="L493" t="s">
        <v>7837</v>
      </c>
    </row>
    <row r="494" spans="1:12">
      <c r="A494" t="s">
        <v>7830</v>
      </c>
      <c r="B494" t="s">
        <v>7831</v>
      </c>
      <c r="C494" t="s">
        <v>7832</v>
      </c>
      <c r="D494" t="s">
        <v>7833</v>
      </c>
      <c r="E494" t="s">
        <v>7834</v>
      </c>
      <c r="F494">
        <v>15804772</v>
      </c>
      <c r="G494">
        <v>41463</v>
      </c>
      <c r="H494">
        <v>153649</v>
      </c>
      <c r="I494" t="s">
        <v>7850</v>
      </c>
      <c r="J494">
        <v>2018</v>
      </c>
      <c r="K494" t="s">
        <v>7836</v>
      </c>
      <c r="L494" t="s">
        <v>7837</v>
      </c>
    </row>
    <row r="495" spans="1:12">
      <c r="A495" t="s">
        <v>7830</v>
      </c>
      <c r="B495" t="s">
        <v>7831</v>
      </c>
      <c r="C495" t="s">
        <v>7832</v>
      </c>
      <c r="D495" t="s">
        <v>7833</v>
      </c>
      <c r="E495" t="s">
        <v>7834</v>
      </c>
      <c r="F495">
        <v>12451606</v>
      </c>
      <c r="G495">
        <v>32607</v>
      </c>
      <c r="H495">
        <v>125489</v>
      </c>
      <c r="I495" t="s">
        <v>7850</v>
      </c>
      <c r="J495">
        <v>2018</v>
      </c>
      <c r="K495" t="s">
        <v>7838</v>
      </c>
      <c r="L495" t="s">
        <v>7837</v>
      </c>
    </row>
    <row r="496" spans="1:12">
      <c r="A496" t="s">
        <v>7830</v>
      </c>
      <c r="B496" t="s">
        <v>7831</v>
      </c>
      <c r="C496" t="s">
        <v>7832</v>
      </c>
      <c r="D496" t="s">
        <v>7833</v>
      </c>
      <c r="E496" t="s">
        <v>7834</v>
      </c>
      <c r="F496">
        <v>15722518</v>
      </c>
      <c r="G496">
        <v>45242</v>
      </c>
      <c r="H496">
        <v>167615</v>
      </c>
      <c r="I496" t="s">
        <v>7850</v>
      </c>
      <c r="J496">
        <v>2018</v>
      </c>
      <c r="K496" t="s">
        <v>7839</v>
      </c>
      <c r="L496" t="s">
        <v>7837</v>
      </c>
    </row>
    <row r="497" spans="1:12">
      <c r="A497" t="s">
        <v>7830</v>
      </c>
      <c r="B497" t="s">
        <v>7831</v>
      </c>
      <c r="C497" t="s">
        <v>7832</v>
      </c>
      <c r="D497" t="s">
        <v>7833</v>
      </c>
      <c r="E497" t="s">
        <v>7834</v>
      </c>
      <c r="F497">
        <v>14331493</v>
      </c>
      <c r="G497">
        <v>28709</v>
      </c>
      <c r="H497">
        <v>118372</v>
      </c>
      <c r="I497" t="s">
        <v>7850</v>
      </c>
      <c r="J497">
        <v>2018</v>
      </c>
      <c r="K497" t="s">
        <v>7840</v>
      </c>
      <c r="L497" t="s">
        <v>7837</v>
      </c>
    </row>
    <row r="498" spans="1:12">
      <c r="A498" t="s">
        <v>7830</v>
      </c>
      <c r="B498" t="s">
        <v>7831</v>
      </c>
      <c r="C498" t="s">
        <v>7832</v>
      </c>
      <c r="D498" t="s">
        <v>7833</v>
      </c>
      <c r="E498" t="s">
        <v>7834</v>
      </c>
      <c r="F498">
        <v>26313893</v>
      </c>
      <c r="G498">
        <v>41163</v>
      </c>
      <c r="H498">
        <v>150429</v>
      </c>
      <c r="I498" t="s">
        <v>7850</v>
      </c>
      <c r="J498">
        <v>2018</v>
      </c>
      <c r="K498" t="s">
        <v>7841</v>
      </c>
      <c r="L498" t="s">
        <v>7837</v>
      </c>
    </row>
    <row r="499" spans="1:12">
      <c r="A499" t="s">
        <v>7830</v>
      </c>
      <c r="B499" t="s">
        <v>7831</v>
      </c>
      <c r="C499" t="s">
        <v>7832</v>
      </c>
      <c r="D499" t="s">
        <v>7833</v>
      </c>
      <c r="E499" t="s">
        <v>7834</v>
      </c>
      <c r="F499">
        <v>25774927</v>
      </c>
      <c r="G499">
        <v>38634</v>
      </c>
      <c r="H499">
        <v>177543</v>
      </c>
      <c r="I499" t="s">
        <v>7850</v>
      </c>
      <c r="J499">
        <v>2018</v>
      </c>
      <c r="K499" t="s">
        <v>7842</v>
      </c>
      <c r="L499" t="s">
        <v>7837</v>
      </c>
    </row>
    <row r="500" spans="1:12">
      <c r="A500" t="s">
        <v>7830</v>
      </c>
      <c r="B500" t="s">
        <v>7831</v>
      </c>
      <c r="C500" t="s">
        <v>7832</v>
      </c>
      <c r="D500" t="s">
        <v>7833</v>
      </c>
      <c r="E500" t="s">
        <v>7834</v>
      </c>
      <c r="F500">
        <v>51290837</v>
      </c>
      <c r="G500">
        <v>56084</v>
      </c>
      <c r="H500">
        <v>254872</v>
      </c>
      <c r="I500" t="s">
        <v>7850</v>
      </c>
      <c r="J500">
        <v>2018</v>
      </c>
      <c r="K500" t="s">
        <v>7843</v>
      </c>
      <c r="L500" t="s">
        <v>7837</v>
      </c>
    </row>
    <row r="501" spans="1:12">
      <c r="A501" t="s">
        <v>7830</v>
      </c>
      <c r="B501" t="s">
        <v>7831</v>
      </c>
      <c r="C501" t="s">
        <v>7832</v>
      </c>
      <c r="D501" t="s">
        <v>7833</v>
      </c>
      <c r="E501" t="s">
        <v>7834</v>
      </c>
      <c r="F501">
        <v>12406063</v>
      </c>
      <c r="G501">
        <v>27889</v>
      </c>
      <c r="H501">
        <v>131086</v>
      </c>
      <c r="I501" t="s">
        <v>7850</v>
      </c>
      <c r="J501">
        <v>2018</v>
      </c>
      <c r="K501" t="s">
        <v>7844</v>
      </c>
      <c r="L501" t="s">
        <v>7837</v>
      </c>
    </row>
    <row r="502" spans="1:12">
      <c r="A502" t="s">
        <v>7830</v>
      </c>
      <c r="B502" t="s">
        <v>7831</v>
      </c>
      <c r="C502" t="s">
        <v>7832</v>
      </c>
      <c r="D502" t="s">
        <v>7833</v>
      </c>
      <c r="E502" t="s">
        <v>7834</v>
      </c>
      <c r="F502">
        <v>17842237</v>
      </c>
      <c r="G502">
        <v>33411</v>
      </c>
      <c r="H502">
        <v>154967</v>
      </c>
      <c r="I502" t="s">
        <v>7850</v>
      </c>
      <c r="J502">
        <v>2018</v>
      </c>
      <c r="K502" t="s">
        <v>7845</v>
      </c>
      <c r="L502" t="s">
        <v>7837</v>
      </c>
    </row>
    <row r="503" spans="1:12">
      <c r="A503" t="s">
        <v>7830</v>
      </c>
      <c r="B503" t="s">
        <v>7831</v>
      </c>
      <c r="C503" t="s">
        <v>7832</v>
      </c>
      <c r="D503" t="s">
        <v>7833</v>
      </c>
      <c r="E503" t="s">
        <v>7834</v>
      </c>
      <c r="F503">
        <v>12366951</v>
      </c>
      <c r="G503">
        <v>31901</v>
      </c>
      <c r="H503">
        <v>130987</v>
      </c>
      <c r="I503" t="s">
        <v>7850</v>
      </c>
      <c r="J503">
        <v>2018</v>
      </c>
      <c r="K503" t="s">
        <v>7846</v>
      </c>
      <c r="L503" t="s">
        <v>7837</v>
      </c>
    </row>
    <row r="504" spans="1:12">
      <c r="A504" t="s">
        <v>7830</v>
      </c>
      <c r="B504" t="s">
        <v>7831</v>
      </c>
      <c r="C504" t="s">
        <v>7832</v>
      </c>
      <c r="D504" t="s">
        <v>7833</v>
      </c>
      <c r="E504" t="s">
        <v>7834</v>
      </c>
      <c r="F504">
        <v>12888776</v>
      </c>
      <c r="G504">
        <v>35821</v>
      </c>
      <c r="H504">
        <v>157153</v>
      </c>
      <c r="I504" t="s">
        <v>7850</v>
      </c>
      <c r="J504">
        <v>2018</v>
      </c>
      <c r="K504" t="s">
        <v>7847</v>
      </c>
      <c r="L504" t="s">
        <v>7837</v>
      </c>
    </row>
    <row r="505" spans="1:12">
      <c r="A505" t="s">
        <v>7830</v>
      </c>
      <c r="B505" t="s">
        <v>7831</v>
      </c>
      <c r="C505" t="s">
        <v>7832</v>
      </c>
      <c r="D505" t="s">
        <v>7833</v>
      </c>
      <c r="E505" t="s">
        <v>7834</v>
      </c>
      <c r="F505">
        <v>29049786</v>
      </c>
      <c r="G505">
        <v>44191</v>
      </c>
      <c r="H505">
        <v>169611</v>
      </c>
      <c r="I505" t="s">
        <v>7850</v>
      </c>
      <c r="J505">
        <v>2018</v>
      </c>
      <c r="K505" t="s">
        <v>7848</v>
      </c>
      <c r="L505" t="s">
        <v>7837</v>
      </c>
    </row>
    <row r="506" spans="1:12">
      <c r="A506" t="s">
        <v>7830</v>
      </c>
      <c r="B506" t="s">
        <v>7831</v>
      </c>
      <c r="C506" t="s">
        <v>7832</v>
      </c>
      <c r="D506" t="s">
        <v>7833</v>
      </c>
      <c r="E506" t="s">
        <v>7834</v>
      </c>
      <c r="F506">
        <v>42180465</v>
      </c>
      <c r="G506">
        <v>50358</v>
      </c>
      <c r="H506">
        <v>216120</v>
      </c>
      <c r="I506" t="s">
        <v>7850</v>
      </c>
      <c r="J506">
        <v>2019</v>
      </c>
      <c r="K506" t="s">
        <v>7836</v>
      </c>
      <c r="L506" t="s">
        <v>7837</v>
      </c>
    </row>
    <row r="507" spans="1:12">
      <c r="A507" t="s">
        <v>7830</v>
      </c>
      <c r="B507" t="s">
        <v>7831</v>
      </c>
      <c r="C507" t="s">
        <v>7832</v>
      </c>
      <c r="D507" t="s">
        <v>7833</v>
      </c>
      <c r="E507" t="s">
        <v>7834</v>
      </c>
      <c r="F507">
        <v>30371128</v>
      </c>
      <c r="G507">
        <v>46348</v>
      </c>
      <c r="H507">
        <v>193123</v>
      </c>
      <c r="I507" t="s">
        <v>7850</v>
      </c>
      <c r="J507">
        <v>2019</v>
      </c>
      <c r="K507" t="s">
        <v>7838</v>
      </c>
      <c r="L507" t="s">
        <v>7837</v>
      </c>
    </row>
    <row r="508" spans="1:12">
      <c r="A508" t="s">
        <v>7830</v>
      </c>
      <c r="B508" t="s">
        <v>7831</v>
      </c>
      <c r="C508" t="s">
        <v>7832</v>
      </c>
      <c r="D508" t="s">
        <v>7833</v>
      </c>
      <c r="E508" t="s">
        <v>7834</v>
      </c>
      <c r="F508">
        <v>43596759</v>
      </c>
      <c r="G508">
        <v>95993</v>
      </c>
      <c r="H508">
        <v>225517</v>
      </c>
      <c r="I508" t="s">
        <v>7850</v>
      </c>
      <c r="J508">
        <v>2019</v>
      </c>
      <c r="K508" t="s">
        <v>7839</v>
      </c>
      <c r="L508" t="s">
        <v>7837</v>
      </c>
    </row>
    <row r="509" spans="1:12">
      <c r="A509" t="s">
        <v>7830</v>
      </c>
      <c r="B509" t="s">
        <v>7831</v>
      </c>
      <c r="C509" t="s">
        <v>7832</v>
      </c>
      <c r="D509" t="s">
        <v>7833</v>
      </c>
      <c r="E509" t="s">
        <v>7834</v>
      </c>
      <c r="F509">
        <v>22362850</v>
      </c>
      <c r="G509">
        <v>50840</v>
      </c>
      <c r="H509">
        <v>178192</v>
      </c>
      <c r="I509" t="s">
        <v>7850</v>
      </c>
      <c r="J509">
        <v>2019</v>
      </c>
      <c r="K509" t="s">
        <v>7840</v>
      </c>
      <c r="L509" t="s">
        <v>7837</v>
      </c>
    </row>
    <row r="510" spans="1:12">
      <c r="A510" t="s">
        <v>7830</v>
      </c>
      <c r="B510" t="s">
        <v>7831</v>
      </c>
      <c r="C510" t="s">
        <v>7832</v>
      </c>
      <c r="D510" t="s">
        <v>7833</v>
      </c>
      <c r="E510" t="s">
        <v>7834</v>
      </c>
      <c r="F510">
        <v>17178917</v>
      </c>
      <c r="G510">
        <v>40103</v>
      </c>
      <c r="H510">
        <v>141942</v>
      </c>
      <c r="I510" t="s">
        <v>7850</v>
      </c>
      <c r="J510">
        <v>2019</v>
      </c>
      <c r="K510" t="s">
        <v>7841</v>
      </c>
      <c r="L510" t="s">
        <v>7837</v>
      </c>
    </row>
    <row r="511" spans="1:12">
      <c r="A511" t="s">
        <v>7830</v>
      </c>
      <c r="B511" t="s">
        <v>7831</v>
      </c>
      <c r="C511" t="s">
        <v>7832</v>
      </c>
      <c r="D511" t="s">
        <v>7833</v>
      </c>
      <c r="E511" t="s">
        <v>7834</v>
      </c>
      <c r="F511">
        <v>11056047</v>
      </c>
      <c r="G511">
        <v>31338</v>
      </c>
      <c r="H511">
        <v>133303</v>
      </c>
      <c r="I511" t="s">
        <v>7850</v>
      </c>
      <c r="J511">
        <v>2019</v>
      </c>
      <c r="K511" t="s">
        <v>7842</v>
      </c>
      <c r="L511" t="s">
        <v>7837</v>
      </c>
    </row>
    <row r="512" spans="1:12">
      <c r="A512" t="s">
        <v>7830</v>
      </c>
      <c r="B512" t="s">
        <v>7831</v>
      </c>
      <c r="C512" t="s">
        <v>7832</v>
      </c>
      <c r="D512" t="s">
        <v>7833</v>
      </c>
      <c r="E512" t="s">
        <v>7834</v>
      </c>
      <c r="F512">
        <v>21712061</v>
      </c>
      <c r="G512">
        <v>51553</v>
      </c>
      <c r="H512">
        <v>186630</v>
      </c>
      <c r="I512" t="s">
        <v>7850</v>
      </c>
      <c r="J512">
        <v>2019</v>
      </c>
      <c r="K512" t="s">
        <v>7843</v>
      </c>
      <c r="L512" t="s">
        <v>7837</v>
      </c>
    </row>
    <row r="513" spans="1:12">
      <c r="A513" t="s">
        <v>7830</v>
      </c>
      <c r="B513" t="s">
        <v>7831</v>
      </c>
      <c r="C513" t="s">
        <v>7832</v>
      </c>
      <c r="D513" t="s">
        <v>7833</v>
      </c>
      <c r="E513" t="s">
        <v>7834</v>
      </c>
      <c r="F513">
        <v>17063349</v>
      </c>
      <c r="G513">
        <v>36038</v>
      </c>
      <c r="H513">
        <v>143716</v>
      </c>
      <c r="I513" t="s">
        <v>7850</v>
      </c>
      <c r="J513">
        <v>2019</v>
      </c>
      <c r="K513" t="s">
        <v>7844</v>
      </c>
      <c r="L513" t="s">
        <v>7837</v>
      </c>
    </row>
    <row r="514" spans="1:12">
      <c r="A514" t="s">
        <v>7830</v>
      </c>
      <c r="B514" t="s">
        <v>7831</v>
      </c>
      <c r="C514" t="s">
        <v>7832</v>
      </c>
      <c r="D514" t="s">
        <v>7833</v>
      </c>
      <c r="E514" t="s">
        <v>7834</v>
      </c>
      <c r="F514">
        <v>17974823</v>
      </c>
      <c r="G514">
        <v>38850</v>
      </c>
      <c r="H514">
        <v>139463</v>
      </c>
      <c r="I514" t="s">
        <v>7850</v>
      </c>
      <c r="J514">
        <v>2019</v>
      </c>
      <c r="K514" t="s">
        <v>7845</v>
      </c>
      <c r="L514" t="s">
        <v>7837</v>
      </c>
    </row>
    <row r="515" spans="1:12">
      <c r="A515" t="s">
        <v>7830</v>
      </c>
      <c r="B515" t="s">
        <v>7831</v>
      </c>
      <c r="C515" t="s">
        <v>7832</v>
      </c>
      <c r="D515" t="s">
        <v>7833</v>
      </c>
      <c r="E515" t="s">
        <v>7834</v>
      </c>
      <c r="F515">
        <v>16846717</v>
      </c>
      <c r="G515">
        <v>57284</v>
      </c>
      <c r="H515">
        <v>171058</v>
      </c>
      <c r="I515" t="s">
        <v>7850</v>
      </c>
      <c r="J515">
        <v>2019</v>
      </c>
      <c r="K515" t="s">
        <v>7846</v>
      </c>
      <c r="L515" t="s">
        <v>7837</v>
      </c>
    </row>
    <row r="516" spans="1:12">
      <c r="A516" t="s">
        <v>7830</v>
      </c>
      <c r="B516" t="s">
        <v>7831</v>
      </c>
      <c r="C516" t="s">
        <v>7832</v>
      </c>
      <c r="D516" t="s">
        <v>7833</v>
      </c>
      <c r="E516" t="s">
        <v>7834</v>
      </c>
      <c r="F516">
        <v>18732553</v>
      </c>
      <c r="G516">
        <v>50243</v>
      </c>
      <c r="H516">
        <v>285035</v>
      </c>
      <c r="I516" t="s">
        <v>7850</v>
      </c>
      <c r="J516">
        <v>2019</v>
      </c>
      <c r="K516" t="s">
        <v>7847</v>
      </c>
      <c r="L516" t="s">
        <v>7837</v>
      </c>
    </row>
    <row r="517" spans="1:12">
      <c r="A517" t="s">
        <v>7830</v>
      </c>
      <c r="B517" t="s">
        <v>7831</v>
      </c>
      <c r="C517" t="s">
        <v>7832</v>
      </c>
      <c r="D517" t="s">
        <v>7833</v>
      </c>
      <c r="E517" t="s">
        <v>7834</v>
      </c>
      <c r="F517">
        <v>15802161</v>
      </c>
      <c r="G517">
        <v>34411</v>
      </c>
      <c r="H517">
        <v>122018</v>
      </c>
      <c r="I517" t="s">
        <v>7850</v>
      </c>
      <c r="J517">
        <v>2019</v>
      </c>
      <c r="K517" t="s">
        <v>7848</v>
      </c>
      <c r="L517" t="s">
        <v>7837</v>
      </c>
    </row>
    <row r="518" spans="1:12">
      <c r="A518" t="s">
        <v>7830</v>
      </c>
      <c r="B518" t="s">
        <v>7831</v>
      </c>
      <c r="C518" t="s">
        <v>7832</v>
      </c>
      <c r="D518" t="s">
        <v>7833</v>
      </c>
      <c r="E518" t="s">
        <v>7834</v>
      </c>
      <c r="F518">
        <v>11402056</v>
      </c>
      <c r="G518">
        <v>25873</v>
      </c>
      <c r="H518">
        <v>78562</v>
      </c>
      <c r="I518" t="s">
        <v>7850</v>
      </c>
      <c r="J518">
        <v>2020</v>
      </c>
      <c r="K518" t="s">
        <v>7836</v>
      </c>
      <c r="L518" t="s">
        <v>7837</v>
      </c>
    </row>
    <row r="519" spans="1:12">
      <c r="A519" t="s">
        <v>7830</v>
      </c>
      <c r="B519" t="s">
        <v>7831</v>
      </c>
      <c r="C519" t="s">
        <v>7832</v>
      </c>
      <c r="D519" t="s">
        <v>7833</v>
      </c>
      <c r="E519" t="s">
        <v>7834</v>
      </c>
      <c r="F519">
        <v>12120705</v>
      </c>
      <c r="G519">
        <v>30122</v>
      </c>
      <c r="H519">
        <v>105357</v>
      </c>
      <c r="I519" t="s">
        <v>7850</v>
      </c>
      <c r="J519">
        <v>2020</v>
      </c>
      <c r="K519" t="s">
        <v>7838</v>
      </c>
      <c r="L519" t="s">
        <v>7837</v>
      </c>
    </row>
    <row r="520" spans="1:12">
      <c r="A520" t="s">
        <v>7830</v>
      </c>
      <c r="B520" t="s">
        <v>7831</v>
      </c>
      <c r="C520" t="s">
        <v>7832</v>
      </c>
      <c r="D520" t="s">
        <v>7833</v>
      </c>
      <c r="E520" t="s">
        <v>7834</v>
      </c>
      <c r="F520">
        <v>14587820</v>
      </c>
      <c r="G520">
        <v>37087</v>
      </c>
      <c r="H520">
        <v>93987</v>
      </c>
      <c r="I520" t="s">
        <v>7850</v>
      </c>
      <c r="J520">
        <v>2020</v>
      </c>
      <c r="K520" t="s">
        <v>7839</v>
      </c>
      <c r="L520" t="s">
        <v>7837</v>
      </c>
    </row>
    <row r="521" spans="1:12">
      <c r="A521" t="s">
        <v>7830</v>
      </c>
      <c r="B521" t="s">
        <v>7831</v>
      </c>
      <c r="C521" t="s">
        <v>7832</v>
      </c>
      <c r="D521" t="s">
        <v>7833</v>
      </c>
      <c r="E521" t="s">
        <v>7834</v>
      </c>
      <c r="F521">
        <v>10881507</v>
      </c>
      <c r="G521">
        <v>23996</v>
      </c>
      <c r="H521">
        <v>55901</v>
      </c>
      <c r="I521" t="s">
        <v>7850</v>
      </c>
      <c r="J521">
        <v>2020</v>
      </c>
      <c r="K521" t="s">
        <v>7840</v>
      </c>
      <c r="L521" t="s">
        <v>7837</v>
      </c>
    </row>
    <row r="522" spans="1:12">
      <c r="A522" t="s">
        <v>7830</v>
      </c>
      <c r="B522" t="s">
        <v>7831</v>
      </c>
      <c r="C522" t="s">
        <v>7832</v>
      </c>
      <c r="D522" t="s">
        <v>7833</v>
      </c>
      <c r="E522" t="s">
        <v>7834</v>
      </c>
      <c r="F522">
        <v>8873479</v>
      </c>
      <c r="G522">
        <v>21482</v>
      </c>
      <c r="H522">
        <v>67684</v>
      </c>
      <c r="I522" t="s">
        <v>7850</v>
      </c>
      <c r="J522">
        <v>2020</v>
      </c>
      <c r="K522" t="s">
        <v>7841</v>
      </c>
      <c r="L522" t="s">
        <v>7837</v>
      </c>
    </row>
    <row r="523" spans="1:12">
      <c r="A523" t="s">
        <v>7830</v>
      </c>
      <c r="B523" t="s">
        <v>7831</v>
      </c>
      <c r="C523" t="s">
        <v>7832</v>
      </c>
      <c r="D523" t="s">
        <v>7833</v>
      </c>
      <c r="E523" t="s">
        <v>7834</v>
      </c>
      <c r="F523">
        <v>18741360</v>
      </c>
      <c r="G523">
        <v>42051</v>
      </c>
      <c r="H523">
        <v>116322</v>
      </c>
      <c r="I523" t="s">
        <v>7850</v>
      </c>
      <c r="J523">
        <v>2020</v>
      </c>
      <c r="K523" t="s">
        <v>7842</v>
      </c>
      <c r="L523" t="s">
        <v>7837</v>
      </c>
    </row>
    <row r="524" spans="1:12">
      <c r="A524" t="s">
        <v>7830</v>
      </c>
      <c r="B524" t="s">
        <v>7831</v>
      </c>
      <c r="C524" t="s">
        <v>7832</v>
      </c>
      <c r="D524" t="s">
        <v>7833</v>
      </c>
      <c r="E524" t="s">
        <v>7834</v>
      </c>
      <c r="F524">
        <v>28765439</v>
      </c>
      <c r="G524">
        <v>68880</v>
      </c>
      <c r="H524">
        <v>360465</v>
      </c>
      <c r="I524" t="s">
        <v>7850</v>
      </c>
      <c r="J524">
        <v>2020</v>
      </c>
      <c r="K524" t="s">
        <v>7843</v>
      </c>
      <c r="L524" t="s">
        <v>7837</v>
      </c>
    </row>
    <row r="525" spans="1:12">
      <c r="A525" t="s">
        <v>7830</v>
      </c>
      <c r="B525" t="s">
        <v>7831</v>
      </c>
      <c r="C525" t="s">
        <v>7832</v>
      </c>
      <c r="D525" t="s">
        <v>7833</v>
      </c>
      <c r="E525" t="s">
        <v>7834</v>
      </c>
      <c r="F525">
        <v>10363704</v>
      </c>
      <c r="G525">
        <v>20515</v>
      </c>
      <c r="H525">
        <v>71543</v>
      </c>
      <c r="I525" t="s">
        <v>7850</v>
      </c>
      <c r="J525">
        <v>2020</v>
      </c>
      <c r="K525" t="s">
        <v>7844</v>
      </c>
      <c r="L525" t="s">
        <v>7837</v>
      </c>
    </row>
    <row r="526" spans="1:12">
      <c r="A526" t="s">
        <v>7830</v>
      </c>
      <c r="B526" t="s">
        <v>7831</v>
      </c>
      <c r="C526" t="s">
        <v>7832</v>
      </c>
      <c r="D526" t="s">
        <v>7833</v>
      </c>
      <c r="E526" t="s">
        <v>7834</v>
      </c>
      <c r="F526">
        <v>16185580</v>
      </c>
      <c r="G526">
        <v>29453</v>
      </c>
      <c r="H526">
        <v>96328</v>
      </c>
      <c r="I526" t="s">
        <v>7850</v>
      </c>
      <c r="J526">
        <v>2020</v>
      </c>
      <c r="K526" t="s">
        <v>7845</v>
      </c>
      <c r="L526" t="s">
        <v>7837</v>
      </c>
    </row>
    <row r="527" spans="1:12">
      <c r="A527" t="s">
        <v>7830</v>
      </c>
      <c r="B527" t="s">
        <v>7831</v>
      </c>
      <c r="C527" t="s">
        <v>7832</v>
      </c>
      <c r="D527" t="s">
        <v>7833</v>
      </c>
      <c r="E527" t="s">
        <v>7834</v>
      </c>
      <c r="F527">
        <v>15652730</v>
      </c>
      <c r="G527">
        <v>29048</v>
      </c>
      <c r="H527">
        <v>96245</v>
      </c>
      <c r="I527" t="s">
        <v>7850</v>
      </c>
      <c r="J527">
        <v>2020</v>
      </c>
      <c r="K527" t="s">
        <v>7846</v>
      </c>
      <c r="L527" t="s">
        <v>7837</v>
      </c>
    </row>
    <row r="528" spans="1:12">
      <c r="A528" t="s">
        <v>7830</v>
      </c>
      <c r="B528" t="s">
        <v>7831</v>
      </c>
      <c r="C528" t="s">
        <v>7832</v>
      </c>
      <c r="D528" t="s">
        <v>7833</v>
      </c>
      <c r="E528" t="s">
        <v>7834</v>
      </c>
      <c r="F528">
        <v>21414544</v>
      </c>
      <c r="G528">
        <v>39281</v>
      </c>
      <c r="H528">
        <v>128882</v>
      </c>
      <c r="I528" t="s">
        <v>7850</v>
      </c>
      <c r="J528">
        <v>2020</v>
      </c>
      <c r="K528" t="s">
        <v>7847</v>
      </c>
      <c r="L528" t="s">
        <v>7837</v>
      </c>
    </row>
    <row r="529" spans="1:12">
      <c r="A529" t="s">
        <v>7830</v>
      </c>
      <c r="B529" t="s">
        <v>7831</v>
      </c>
      <c r="C529" t="s">
        <v>7832</v>
      </c>
      <c r="D529" t="s">
        <v>7833</v>
      </c>
      <c r="E529" t="s">
        <v>7834</v>
      </c>
      <c r="F529">
        <v>13915590</v>
      </c>
      <c r="G529">
        <v>48412</v>
      </c>
      <c r="H529">
        <v>87113</v>
      </c>
      <c r="I529" t="s">
        <v>7850</v>
      </c>
      <c r="J529">
        <v>2020</v>
      </c>
      <c r="K529" t="s">
        <v>7848</v>
      </c>
      <c r="L529" t="s">
        <v>7837</v>
      </c>
    </row>
    <row r="530" spans="1:12">
      <c r="A530" t="s">
        <v>7830</v>
      </c>
      <c r="B530" t="s">
        <v>7831</v>
      </c>
      <c r="C530" t="s">
        <v>7832</v>
      </c>
      <c r="D530" t="s">
        <v>7833</v>
      </c>
      <c r="E530" t="s">
        <v>7834</v>
      </c>
      <c r="F530">
        <v>24977707</v>
      </c>
      <c r="G530">
        <v>32405</v>
      </c>
      <c r="H530">
        <v>96659</v>
      </c>
      <c r="I530" t="s">
        <v>7850</v>
      </c>
      <c r="J530">
        <v>2021</v>
      </c>
      <c r="K530" t="s">
        <v>7836</v>
      </c>
      <c r="L530" t="s">
        <v>7837</v>
      </c>
    </row>
    <row r="531" spans="1:12">
      <c r="A531" t="s">
        <v>7830</v>
      </c>
      <c r="B531" t="s">
        <v>7831</v>
      </c>
      <c r="C531" t="s">
        <v>7832</v>
      </c>
      <c r="D531" t="s">
        <v>7833</v>
      </c>
      <c r="E531" t="s">
        <v>7834</v>
      </c>
      <c r="F531">
        <v>9786194</v>
      </c>
      <c r="G531">
        <v>25939</v>
      </c>
      <c r="H531">
        <v>68614</v>
      </c>
      <c r="I531" t="s">
        <v>7850</v>
      </c>
      <c r="J531">
        <v>2021</v>
      </c>
      <c r="K531" t="s">
        <v>7838</v>
      </c>
      <c r="L531" t="s">
        <v>7837</v>
      </c>
    </row>
    <row r="532" spans="1:12">
      <c r="A532" t="s">
        <v>7830</v>
      </c>
      <c r="B532" t="s">
        <v>7831</v>
      </c>
      <c r="C532" t="s">
        <v>7832</v>
      </c>
      <c r="D532" t="s">
        <v>7833</v>
      </c>
      <c r="E532" t="s">
        <v>7834</v>
      </c>
      <c r="F532">
        <v>13753588</v>
      </c>
      <c r="G532">
        <v>34107</v>
      </c>
      <c r="H532">
        <v>80419</v>
      </c>
      <c r="I532" t="s">
        <v>7850</v>
      </c>
      <c r="J532">
        <v>2021</v>
      </c>
      <c r="K532" t="s">
        <v>7839</v>
      </c>
      <c r="L532" t="s">
        <v>7837</v>
      </c>
    </row>
    <row r="533" spans="1:12">
      <c r="A533" t="s">
        <v>7830</v>
      </c>
      <c r="B533" t="s">
        <v>7831</v>
      </c>
      <c r="C533" t="s">
        <v>7832</v>
      </c>
      <c r="D533" t="s">
        <v>7833</v>
      </c>
      <c r="E533" t="s">
        <v>7834</v>
      </c>
      <c r="F533">
        <v>8759821</v>
      </c>
      <c r="G533">
        <v>21911</v>
      </c>
      <c r="H533">
        <v>70159</v>
      </c>
      <c r="I533" t="s">
        <v>7850</v>
      </c>
      <c r="J533">
        <v>2021</v>
      </c>
      <c r="K533" t="s">
        <v>7840</v>
      </c>
      <c r="L533" t="s">
        <v>7837</v>
      </c>
    </row>
    <row r="534" spans="1:12">
      <c r="A534" t="s">
        <v>7830</v>
      </c>
      <c r="B534" t="s">
        <v>7831</v>
      </c>
      <c r="C534" t="s">
        <v>7832</v>
      </c>
      <c r="D534" t="s">
        <v>7833</v>
      </c>
      <c r="E534" t="s">
        <v>7834</v>
      </c>
      <c r="F534">
        <v>9554721</v>
      </c>
      <c r="G534">
        <v>25224</v>
      </c>
      <c r="H534">
        <v>106713</v>
      </c>
      <c r="I534" t="s">
        <v>7850</v>
      </c>
      <c r="J534">
        <v>2021</v>
      </c>
      <c r="K534" t="s">
        <v>7841</v>
      </c>
      <c r="L534" t="s">
        <v>7837</v>
      </c>
    </row>
    <row r="535" spans="1:12">
      <c r="A535" t="s">
        <v>7830</v>
      </c>
      <c r="B535" t="s">
        <v>7831</v>
      </c>
      <c r="C535" t="s">
        <v>7832</v>
      </c>
      <c r="D535" t="s">
        <v>7833</v>
      </c>
      <c r="E535" t="s">
        <v>7834</v>
      </c>
      <c r="F535">
        <v>22548552</v>
      </c>
      <c r="G535">
        <v>37176</v>
      </c>
      <c r="H535">
        <v>111043</v>
      </c>
      <c r="I535" t="s">
        <v>7850</v>
      </c>
      <c r="J535">
        <v>2021</v>
      </c>
      <c r="K535" t="s">
        <v>7842</v>
      </c>
      <c r="L535" t="s">
        <v>7837</v>
      </c>
    </row>
    <row r="536" spans="1:12">
      <c r="A536" t="s">
        <v>7830</v>
      </c>
      <c r="B536" t="s">
        <v>7831</v>
      </c>
      <c r="C536" t="s">
        <v>7832</v>
      </c>
      <c r="D536" t="s">
        <v>7833</v>
      </c>
      <c r="E536" t="s">
        <v>7834</v>
      </c>
      <c r="F536">
        <v>15524853</v>
      </c>
      <c r="G536">
        <v>30150</v>
      </c>
      <c r="H536">
        <v>98758</v>
      </c>
      <c r="I536" t="s">
        <v>7850</v>
      </c>
      <c r="J536">
        <v>2021</v>
      </c>
      <c r="K536" t="s">
        <v>7843</v>
      </c>
      <c r="L536" t="s">
        <v>7837</v>
      </c>
    </row>
    <row r="537" spans="1:12">
      <c r="A537" t="s">
        <v>7830</v>
      </c>
      <c r="B537" t="s">
        <v>7831</v>
      </c>
      <c r="C537" t="s">
        <v>7832</v>
      </c>
      <c r="D537" t="s">
        <v>7833</v>
      </c>
      <c r="E537" t="s">
        <v>7834</v>
      </c>
      <c r="F537">
        <v>11022127</v>
      </c>
      <c r="G537">
        <v>24751</v>
      </c>
      <c r="H537">
        <v>80900</v>
      </c>
      <c r="I537" t="s">
        <v>7850</v>
      </c>
      <c r="J537">
        <v>2021</v>
      </c>
      <c r="K537" t="s">
        <v>7844</v>
      </c>
      <c r="L537" t="s">
        <v>7837</v>
      </c>
    </row>
    <row r="538" spans="1:12">
      <c r="A538" t="s">
        <v>7830</v>
      </c>
      <c r="B538" t="s">
        <v>7831</v>
      </c>
      <c r="C538" t="s">
        <v>7832</v>
      </c>
      <c r="D538" t="s">
        <v>7833</v>
      </c>
      <c r="E538" t="s">
        <v>7834</v>
      </c>
      <c r="F538">
        <v>9026348</v>
      </c>
      <c r="G538">
        <v>29299</v>
      </c>
      <c r="H538">
        <v>88330</v>
      </c>
      <c r="I538" t="s">
        <v>7850</v>
      </c>
      <c r="J538">
        <v>2021</v>
      </c>
      <c r="K538" t="s">
        <v>7845</v>
      </c>
      <c r="L538" t="s">
        <v>7837</v>
      </c>
    </row>
    <row r="539" spans="1:12">
      <c r="A539" t="s">
        <v>7830</v>
      </c>
      <c r="B539" t="s">
        <v>7831</v>
      </c>
      <c r="C539" t="s">
        <v>7832</v>
      </c>
      <c r="D539" t="s">
        <v>7833</v>
      </c>
      <c r="E539" t="s">
        <v>7834</v>
      </c>
      <c r="F539">
        <v>27859925</v>
      </c>
      <c r="G539">
        <v>50092</v>
      </c>
      <c r="H539">
        <v>119175</v>
      </c>
      <c r="I539" t="s">
        <v>7850</v>
      </c>
      <c r="J539">
        <v>2021</v>
      </c>
      <c r="K539" t="s">
        <v>7846</v>
      </c>
      <c r="L539" t="s">
        <v>7837</v>
      </c>
    </row>
    <row r="540" spans="1:12">
      <c r="A540" t="s">
        <v>7830</v>
      </c>
      <c r="B540" t="s">
        <v>7831</v>
      </c>
      <c r="C540" t="s">
        <v>7832</v>
      </c>
      <c r="D540" t="s">
        <v>7833</v>
      </c>
      <c r="E540" t="s">
        <v>7834</v>
      </c>
      <c r="F540">
        <v>13986877</v>
      </c>
      <c r="G540">
        <v>28880</v>
      </c>
      <c r="H540">
        <v>75849</v>
      </c>
      <c r="I540" t="s">
        <v>7850</v>
      </c>
      <c r="J540">
        <v>2021</v>
      </c>
      <c r="K540" t="s">
        <v>7847</v>
      </c>
      <c r="L540" t="s">
        <v>7837</v>
      </c>
    </row>
    <row r="541" spans="1:12">
      <c r="A541" t="s">
        <v>7830</v>
      </c>
      <c r="B541" t="s">
        <v>7831</v>
      </c>
      <c r="C541" t="s">
        <v>7832</v>
      </c>
      <c r="D541" t="s">
        <v>7833</v>
      </c>
      <c r="E541" t="s">
        <v>7834</v>
      </c>
      <c r="F541">
        <v>17656567</v>
      </c>
      <c r="G541">
        <v>38679</v>
      </c>
      <c r="H541">
        <v>101933</v>
      </c>
      <c r="I541" t="s">
        <v>7850</v>
      </c>
      <c r="J541">
        <v>2021</v>
      </c>
      <c r="K541" t="s">
        <v>7848</v>
      </c>
      <c r="L541" t="s">
        <v>7837</v>
      </c>
    </row>
    <row r="542" spans="1:12">
      <c r="A542" t="s">
        <v>7830</v>
      </c>
      <c r="B542" t="s">
        <v>7831</v>
      </c>
      <c r="C542" t="s">
        <v>7832</v>
      </c>
      <c r="D542" t="s">
        <v>7833</v>
      </c>
      <c r="E542" t="s">
        <v>7834</v>
      </c>
      <c r="F542">
        <v>60453208</v>
      </c>
      <c r="G542">
        <v>350389</v>
      </c>
      <c r="H542">
        <v>647262</v>
      </c>
      <c r="I542" t="s">
        <v>7851</v>
      </c>
      <c r="J542">
        <v>2007</v>
      </c>
      <c r="K542" t="s">
        <v>7836</v>
      </c>
      <c r="L542" t="s">
        <v>7837</v>
      </c>
    </row>
    <row r="543" spans="1:12">
      <c r="A543" t="s">
        <v>7830</v>
      </c>
      <c r="B543" t="s">
        <v>7831</v>
      </c>
      <c r="C543" t="s">
        <v>7832</v>
      </c>
      <c r="D543" t="s">
        <v>7833</v>
      </c>
      <c r="E543" t="s">
        <v>7834</v>
      </c>
      <c r="F543">
        <v>61999370</v>
      </c>
      <c r="G543">
        <v>364195</v>
      </c>
      <c r="H543">
        <v>723233</v>
      </c>
      <c r="I543" t="s">
        <v>7851</v>
      </c>
      <c r="J543">
        <v>2007</v>
      </c>
      <c r="K543" t="s">
        <v>7838</v>
      </c>
      <c r="L543" t="s">
        <v>7837</v>
      </c>
    </row>
    <row r="544" spans="1:12">
      <c r="A544" t="s">
        <v>7830</v>
      </c>
      <c r="B544" t="s">
        <v>7831</v>
      </c>
      <c r="C544" t="s">
        <v>7832</v>
      </c>
      <c r="D544" t="s">
        <v>7833</v>
      </c>
      <c r="E544" t="s">
        <v>7834</v>
      </c>
      <c r="F544">
        <v>66888843</v>
      </c>
      <c r="G544">
        <v>437529</v>
      </c>
      <c r="H544">
        <v>939049</v>
      </c>
      <c r="I544" t="s">
        <v>7851</v>
      </c>
      <c r="J544">
        <v>2007</v>
      </c>
      <c r="K544" t="s">
        <v>7839</v>
      </c>
      <c r="L544" t="s">
        <v>7837</v>
      </c>
    </row>
    <row r="545" spans="1:12">
      <c r="A545" t="s">
        <v>7830</v>
      </c>
      <c r="B545" t="s">
        <v>7831</v>
      </c>
      <c r="C545" t="s">
        <v>7832</v>
      </c>
      <c r="D545" t="s">
        <v>7833</v>
      </c>
      <c r="E545" t="s">
        <v>7834</v>
      </c>
      <c r="F545">
        <v>66394603</v>
      </c>
      <c r="G545">
        <v>366624</v>
      </c>
      <c r="H545">
        <v>791866</v>
      </c>
      <c r="I545" t="s">
        <v>7851</v>
      </c>
      <c r="J545">
        <v>2007</v>
      </c>
      <c r="K545" t="s">
        <v>7840</v>
      </c>
      <c r="L545" t="s">
        <v>7837</v>
      </c>
    </row>
    <row r="546" spans="1:12">
      <c r="A546" t="s">
        <v>7830</v>
      </c>
      <c r="B546" t="s">
        <v>7831</v>
      </c>
      <c r="C546" t="s">
        <v>7832</v>
      </c>
      <c r="D546" t="s">
        <v>7833</v>
      </c>
      <c r="E546" t="s">
        <v>7834</v>
      </c>
      <c r="F546">
        <v>58414205</v>
      </c>
      <c r="G546">
        <v>339360</v>
      </c>
      <c r="H546">
        <v>683623</v>
      </c>
      <c r="I546" t="s">
        <v>7851</v>
      </c>
      <c r="J546">
        <v>2007</v>
      </c>
      <c r="K546" t="s">
        <v>7841</v>
      </c>
      <c r="L546" t="s">
        <v>7837</v>
      </c>
    </row>
    <row r="547" spans="1:12">
      <c r="A547" t="s">
        <v>7830</v>
      </c>
      <c r="B547" t="s">
        <v>7831</v>
      </c>
      <c r="C547" t="s">
        <v>7832</v>
      </c>
      <c r="D547" t="s">
        <v>7833</v>
      </c>
      <c r="E547" t="s">
        <v>7834</v>
      </c>
      <c r="F547">
        <v>82185939</v>
      </c>
      <c r="G547">
        <v>423248</v>
      </c>
      <c r="H547">
        <v>871576</v>
      </c>
      <c r="I547" t="s">
        <v>7851</v>
      </c>
      <c r="J547">
        <v>2007</v>
      </c>
      <c r="K547" t="s">
        <v>7842</v>
      </c>
      <c r="L547" t="s">
        <v>7837</v>
      </c>
    </row>
    <row r="548" spans="1:12">
      <c r="A548" t="s">
        <v>7830</v>
      </c>
      <c r="B548" t="s">
        <v>7831</v>
      </c>
      <c r="C548" t="s">
        <v>7832</v>
      </c>
      <c r="D548" t="s">
        <v>7833</v>
      </c>
      <c r="E548" t="s">
        <v>7834</v>
      </c>
      <c r="F548">
        <v>83500506</v>
      </c>
      <c r="G548">
        <v>511546</v>
      </c>
      <c r="H548">
        <v>1029708</v>
      </c>
      <c r="I548" t="s">
        <v>7851</v>
      </c>
      <c r="J548">
        <v>2007</v>
      </c>
      <c r="K548" t="s">
        <v>7843</v>
      </c>
      <c r="L548" t="s">
        <v>7837</v>
      </c>
    </row>
    <row r="549" spans="1:12">
      <c r="A549" t="s">
        <v>7830</v>
      </c>
      <c r="B549" t="s">
        <v>7831</v>
      </c>
      <c r="C549" t="s">
        <v>7832</v>
      </c>
      <c r="D549" t="s">
        <v>7833</v>
      </c>
      <c r="E549" t="s">
        <v>7834</v>
      </c>
      <c r="F549">
        <v>68572825</v>
      </c>
      <c r="G549">
        <v>425660</v>
      </c>
      <c r="H549">
        <v>910662</v>
      </c>
      <c r="I549" t="s">
        <v>7851</v>
      </c>
      <c r="J549">
        <v>2007</v>
      </c>
      <c r="K549" t="s">
        <v>7844</v>
      </c>
      <c r="L549" t="s">
        <v>7837</v>
      </c>
    </row>
    <row r="550" spans="1:12">
      <c r="A550" t="s">
        <v>7830</v>
      </c>
      <c r="B550" t="s">
        <v>7831</v>
      </c>
      <c r="C550" t="s">
        <v>7832</v>
      </c>
      <c r="D550" t="s">
        <v>7833</v>
      </c>
      <c r="E550" t="s">
        <v>7834</v>
      </c>
      <c r="F550">
        <v>115708479</v>
      </c>
      <c r="G550">
        <v>680559</v>
      </c>
      <c r="H550">
        <v>1469361</v>
      </c>
      <c r="I550" t="s">
        <v>7851</v>
      </c>
      <c r="J550">
        <v>2007</v>
      </c>
      <c r="K550" t="s">
        <v>7845</v>
      </c>
      <c r="L550" t="s">
        <v>7837</v>
      </c>
    </row>
    <row r="551" spans="1:12">
      <c r="A551" t="s">
        <v>7830</v>
      </c>
      <c r="B551" t="s">
        <v>7831</v>
      </c>
      <c r="C551" t="s">
        <v>7832</v>
      </c>
      <c r="D551" t="s">
        <v>7833</v>
      </c>
      <c r="E551" t="s">
        <v>7834</v>
      </c>
      <c r="F551">
        <v>108534999</v>
      </c>
      <c r="G551">
        <v>656149</v>
      </c>
      <c r="H551">
        <v>1385724</v>
      </c>
      <c r="I551" t="s">
        <v>7851</v>
      </c>
      <c r="J551">
        <v>2007</v>
      </c>
      <c r="K551" t="s">
        <v>7846</v>
      </c>
      <c r="L551" t="s">
        <v>7837</v>
      </c>
    </row>
    <row r="552" spans="1:12">
      <c r="A552" t="s">
        <v>7830</v>
      </c>
      <c r="B552" t="s">
        <v>7831</v>
      </c>
      <c r="C552" t="s">
        <v>7832</v>
      </c>
      <c r="D552" t="s">
        <v>7833</v>
      </c>
      <c r="E552" t="s">
        <v>7834</v>
      </c>
      <c r="F552">
        <v>196688440</v>
      </c>
      <c r="G552">
        <v>1004149</v>
      </c>
      <c r="H552">
        <v>2082754</v>
      </c>
      <c r="I552" t="s">
        <v>7851</v>
      </c>
      <c r="J552">
        <v>2007</v>
      </c>
      <c r="K552" t="s">
        <v>7847</v>
      </c>
      <c r="L552" t="s">
        <v>7837</v>
      </c>
    </row>
    <row r="553" spans="1:12">
      <c r="A553" t="s">
        <v>7830</v>
      </c>
      <c r="B553" t="s">
        <v>7831</v>
      </c>
      <c r="C553" t="s">
        <v>7832</v>
      </c>
      <c r="D553" t="s">
        <v>7833</v>
      </c>
      <c r="E553" t="s">
        <v>7834</v>
      </c>
      <c r="F553">
        <v>83539000</v>
      </c>
      <c r="G553">
        <v>476952</v>
      </c>
      <c r="H553">
        <v>965904</v>
      </c>
      <c r="I553" t="s">
        <v>7851</v>
      </c>
      <c r="J553">
        <v>2007</v>
      </c>
      <c r="K553" t="s">
        <v>7848</v>
      </c>
      <c r="L553" t="s">
        <v>7837</v>
      </c>
    </row>
    <row r="554" spans="1:12">
      <c r="A554" t="s">
        <v>7830</v>
      </c>
      <c r="B554" t="s">
        <v>7831</v>
      </c>
      <c r="C554" t="s">
        <v>7832</v>
      </c>
      <c r="D554" t="s">
        <v>7833</v>
      </c>
      <c r="E554" t="s">
        <v>7834</v>
      </c>
      <c r="F554">
        <v>82993674</v>
      </c>
      <c r="G554">
        <v>479912</v>
      </c>
      <c r="H554">
        <v>895765</v>
      </c>
      <c r="I554" t="s">
        <v>7851</v>
      </c>
      <c r="J554">
        <v>2008</v>
      </c>
      <c r="K554" t="s">
        <v>7836</v>
      </c>
      <c r="L554" t="s">
        <v>7837</v>
      </c>
    </row>
    <row r="555" spans="1:12">
      <c r="A555" t="s">
        <v>7830</v>
      </c>
      <c r="B555" t="s">
        <v>7831</v>
      </c>
      <c r="C555" t="s">
        <v>7832</v>
      </c>
      <c r="D555" t="s">
        <v>7833</v>
      </c>
      <c r="E555" t="s">
        <v>7834</v>
      </c>
      <c r="F555">
        <v>92417130</v>
      </c>
      <c r="G555">
        <v>446191</v>
      </c>
      <c r="H555">
        <v>901789</v>
      </c>
      <c r="I555" t="s">
        <v>7851</v>
      </c>
      <c r="J555">
        <v>2008</v>
      </c>
      <c r="K555" t="s">
        <v>7838</v>
      </c>
      <c r="L555" t="s">
        <v>7837</v>
      </c>
    </row>
    <row r="556" spans="1:12">
      <c r="A556" t="s">
        <v>7830</v>
      </c>
      <c r="B556" t="s">
        <v>7831</v>
      </c>
      <c r="C556" t="s">
        <v>7832</v>
      </c>
      <c r="D556" t="s">
        <v>7833</v>
      </c>
      <c r="E556" t="s">
        <v>7834</v>
      </c>
      <c r="F556">
        <v>80302369</v>
      </c>
      <c r="G556">
        <v>406438</v>
      </c>
      <c r="H556">
        <v>806065</v>
      </c>
      <c r="I556" t="s">
        <v>7851</v>
      </c>
      <c r="J556">
        <v>2008</v>
      </c>
      <c r="K556" t="s">
        <v>7839</v>
      </c>
      <c r="L556" t="s">
        <v>7837</v>
      </c>
    </row>
    <row r="557" spans="1:12">
      <c r="A557" t="s">
        <v>7830</v>
      </c>
      <c r="B557" t="s">
        <v>7831</v>
      </c>
      <c r="C557" t="s">
        <v>7832</v>
      </c>
      <c r="D557" t="s">
        <v>7833</v>
      </c>
      <c r="E557" t="s">
        <v>7834</v>
      </c>
      <c r="F557">
        <v>83362523</v>
      </c>
      <c r="G557">
        <v>409131</v>
      </c>
      <c r="H557">
        <v>1005304</v>
      </c>
      <c r="I557" t="s">
        <v>7851</v>
      </c>
      <c r="J557">
        <v>2008</v>
      </c>
      <c r="K557" t="s">
        <v>7840</v>
      </c>
      <c r="L557" t="s">
        <v>7837</v>
      </c>
    </row>
    <row r="558" spans="1:12">
      <c r="A558" t="s">
        <v>7830</v>
      </c>
      <c r="B558" t="s">
        <v>7831</v>
      </c>
      <c r="C558" t="s">
        <v>7832</v>
      </c>
      <c r="D558" t="s">
        <v>7833</v>
      </c>
      <c r="E558" t="s">
        <v>7834</v>
      </c>
      <c r="F558">
        <v>137942474</v>
      </c>
      <c r="G558">
        <v>527318</v>
      </c>
      <c r="H558">
        <v>1327941</v>
      </c>
      <c r="I558" t="s">
        <v>7851</v>
      </c>
      <c r="J558">
        <v>2008</v>
      </c>
      <c r="K558" t="s">
        <v>7841</v>
      </c>
      <c r="L558" t="s">
        <v>7837</v>
      </c>
    </row>
    <row r="559" spans="1:12">
      <c r="A559" t="s">
        <v>7830</v>
      </c>
      <c r="B559" t="s">
        <v>7831</v>
      </c>
      <c r="C559" t="s">
        <v>7832</v>
      </c>
      <c r="D559" t="s">
        <v>7833</v>
      </c>
      <c r="E559" t="s">
        <v>7834</v>
      </c>
      <c r="F559">
        <v>104498375</v>
      </c>
      <c r="G559">
        <v>461407</v>
      </c>
      <c r="H559">
        <v>1071955</v>
      </c>
      <c r="I559" t="s">
        <v>7851</v>
      </c>
      <c r="J559">
        <v>2008</v>
      </c>
      <c r="K559" t="s">
        <v>7842</v>
      </c>
      <c r="L559" t="s">
        <v>7837</v>
      </c>
    </row>
    <row r="560" spans="1:12">
      <c r="A560" t="s">
        <v>7830</v>
      </c>
      <c r="B560" t="s">
        <v>7831</v>
      </c>
      <c r="C560" t="s">
        <v>7832</v>
      </c>
      <c r="D560" t="s">
        <v>7833</v>
      </c>
      <c r="E560" t="s">
        <v>7834</v>
      </c>
      <c r="F560">
        <v>101164157</v>
      </c>
      <c r="G560">
        <v>426629</v>
      </c>
      <c r="H560">
        <v>1191747</v>
      </c>
      <c r="I560" t="s">
        <v>7851</v>
      </c>
      <c r="J560">
        <v>2008</v>
      </c>
      <c r="K560" t="s">
        <v>7843</v>
      </c>
      <c r="L560" t="s">
        <v>7837</v>
      </c>
    </row>
    <row r="561" spans="1:12">
      <c r="A561" t="s">
        <v>7830</v>
      </c>
      <c r="B561" t="s">
        <v>7831</v>
      </c>
      <c r="C561" t="s">
        <v>7832</v>
      </c>
      <c r="D561" t="s">
        <v>7833</v>
      </c>
      <c r="E561" t="s">
        <v>7834</v>
      </c>
      <c r="F561">
        <v>92225461</v>
      </c>
      <c r="G561">
        <v>318815</v>
      </c>
      <c r="H561">
        <v>1111337</v>
      </c>
      <c r="I561" t="s">
        <v>7851</v>
      </c>
      <c r="J561">
        <v>2008</v>
      </c>
      <c r="K561" t="s">
        <v>7844</v>
      </c>
      <c r="L561" t="s">
        <v>7837</v>
      </c>
    </row>
    <row r="562" spans="1:12">
      <c r="A562" t="s">
        <v>7830</v>
      </c>
      <c r="B562" t="s">
        <v>7831</v>
      </c>
      <c r="C562" t="s">
        <v>7832</v>
      </c>
      <c r="D562" t="s">
        <v>7833</v>
      </c>
      <c r="E562" t="s">
        <v>7834</v>
      </c>
      <c r="F562">
        <v>112579260</v>
      </c>
      <c r="G562">
        <v>418439</v>
      </c>
      <c r="H562">
        <v>1392905</v>
      </c>
      <c r="I562" t="s">
        <v>7851</v>
      </c>
      <c r="J562">
        <v>2008</v>
      </c>
      <c r="K562" t="s">
        <v>7845</v>
      </c>
      <c r="L562" t="s">
        <v>7837</v>
      </c>
    </row>
    <row r="563" spans="1:12">
      <c r="A563" t="s">
        <v>7830</v>
      </c>
      <c r="B563" t="s">
        <v>7831</v>
      </c>
      <c r="C563" t="s">
        <v>7832</v>
      </c>
      <c r="D563" t="s">
        <v>7833</v>
      </c>
      <c r="E563" t="s">
        <v>7834</v>
      </c>
      <c r="F563">
        <v>143159345</v>
      </c>
      <c r="G563">
        <v>488151</v>
      </c>
      <c r="H563">
        <v>1808016</v>
      </c>
      <c r="I563" t="s">
        <v>7851</v>
      </c>
      <c r="J563">
        <v>2008</v>
      </c>
      <c r="K563" t="s">
        <v>7846</v>
      </c>
      <c r="L563" t="s">
        <v>7837</v>
      </c>
    </row>
    <row r="564" spans="1:12">
      <c r="A564" t="s">
        <v>7830</v>
      </c>
      <c r="B564" t="s">
        <v>7831</v>
      </c>
      <c r="C564" t="s">
        <v>7832</v>
      </c>
      <c r="D564" t="s">
        <v>7833</v>
      </c>
      <c r="E564" t="s">
        <v>7834</v>
      </c>
      <c r="F564">
        <v>169861087</v>
      </c>
      <c r="G564">
        <v>515712</v>
      </c>
      <c r="H564">
        <v>2165570</v>
      </c>
      <c r="I564" t="s">
        <v>7851</v>
      </c>
      <c r="J564">
        <v>2008</v>
      </c>
      <c r="K564" t="s">
        <v>7847</v>
      </c>
      <c r="L564" t="s">
        <v>7837</v>
      </c>
    </row>
    <row r="565" spans="1:12">
      <c r="A565" t="s">
        <v>7830</v>
      </c>
      <c r="B565" t="s">
        <v>7831</v>
      </c>
      <c r="C565" t="s">
        <v>7832</v>
      </c>
      <c r="D565" t="s">
        <v>7833</v>
      </c>
      <c r="E565" t="s">
        <v>7834</v>
      </c>
      <c r="F565">
        <v>106779572</v>
      </c>
      <c r="G565">
        <v>330028</v>
      </c>
      <c r="H565">
        <v>1037921</v>
      </c>
      <c r="I565" t="s">
        <v>7851</v>
      </c>
      <c r="J565">
        <v>2008</v>
      </c>
      <c r="K565" t="s">
        <v>7848</v>
      </c>
      <c r="L565" t="s">
        <v>7837</v>
      </c>
    </row>
    <row r="566" spans="1:12">
      <c r="A566" t="s">
        <v>7830</v>
      </c>
      <c r="B566" t="s">
        <v>7831</v>
      </c>
      <c r="C566" t="s">
        <v>7832</v>
      </c>
      <c r="D566" t="s">
        <v>7833</v>
      </c>
      <c r="E566" t="s">
        <v>7834</v>
      </c>
      <c r="F566">
        <v>111885094</v>
      </c>
      <c r="G566">
        <v>432287</v>
      </c>
      <c r="H566">
        <v>1185026</v>
      </c>
      <c r="I566" t="s">
        <v>7851</v>
      </c>
      <c r="J566">
        <v>2009</v>
      </c>
      <c r="K566" t="s">
        <v>7836</v>
      </c>
      <c r="L566" t="s">
        <v>7837</v>
      </c>
    </row>
    <row r="567" spans="1:12">
      <c r="A567" t="s">
        <v>7830</v>
      </c>
      <c r="B567" t="s">
        <v>7831</v>
      </c>
      <c r="C567" t="s">
        <v>7832</v>
      </c>
      <c r="D567" t="s">
        <v>7833</v>
      </c>
      <c r="E567" t="s">
        <v>7834</v>
      </c>
      <c r="F567">
        <v>139925264</v>
      </c>
      <c r="G567">
        <v>592113</v>
      </c>
      <c r="H567">
        <v>1446998</v>
      </c>
      <c r="I567" t="s">
        <v>7851</v>
      </c>
      <c r="J567">
        <v>2009</v>
      </c>
      <c r="K567" t="s">
        <v>7838</v>
      </c>
      <c r="L567" t="s">
        <v>7837</v>
      </c>
    </row>
    <row r="568" spans="1:12">
      <c r="A568" t="s">
        <v>7830</v>
      </c>
      <c r="B568" t="s">
        <v>7831</v>
      </c>
      <c r="C568" t="s">
        <v>7832</v>
      </c>
      <c r="D568" t="s">
        <v>7833</v>
      </c>
      <c r="E568" t="s">
        <v>7834</v>
      </c>
      <c r="F568">
        <v>162977776</v>
      </c>
      <c r="G568">
        <v>611641</v>
      </c>
      <c r="H568">
        <v>1483968</v>
      </c>
      <c r="I568" t="s">
        <v>7851</v>
      </c>
      <c r="J568">
        <v>2009</v>
      </c>
      <c r="K568" t="s">
        <v>7839</v>
      </c>
      <c r="L568" t="s">
        <v>7837</v>
      </c>
    </row>
    <row r="569" spans="1:12">
      <c r="A569" t="s">
        <v>7830</v>
      </c>
      <c r="B569" t="s">
        <v>7831</v>
      </c>
      <c r="C569" t="s">
        <v>7832</v>
      </c>
      <c r="D569" t="s">
        <v>7833</v>
      </c>
      <c r="E569" t="s">
        <v>7834</v>
      </c>
      <c r="F569">
        <v>150726309</v>
      </c>
      <c r="G569">
        <v>482411</v>
      </c>
      <c r="H569">
        <v>1411576</v>
      </c>
      <c r="I569" t="s">
        <v>7851</v>
      </c>
      <c r="J569">
        <v>2009</v>
      </c>
      <c r="K569" t="s">
        <v>7840</v>
      </c>
      <c r="L569" t="s">
        <v>7837</v>
      </c>
    </row>
    <row r="570" spans="1:12">
      <c r="A570" t="s">
        <v>7830</v>
      </c>
      <c r="B570" t="s">
        <v>7831</v>
      </c>
      <c r="C570" t="s">
        <v>7832</v>
      </c>
      <c r="D570" t="s">
        <v>7833</v>
      </c>
      <c r="E570" t="s">
        <v>7834</v>
      </c>
      <c r="F570">
        <v>112789065</v>
      </c>
      <c r="G570">
        <v>367756</v>
      </c>
      <c r="H570">
        <v>1119231</v>
      </c>
      <c r="I570" t="s">
        <v>7851</v>
      </c>
      <c r="J570">
        <v>2009</v>
      </c>
      <c r="K570" t="s">
        <v>7841</v>
      </c>
      <c r="L570" t="s">
        <v>7837</v>
      </c>
    </row>
    <row r="571" spans="1:12">
      <c r="A571" t="s">
        <v>7830</v>
      </c>
      <c r="B571" t="s">
        <v>7831</v>
      </c>
      <c r="C571" t="s">
        <v>7832</v>
      </c>
      <c r="D571" t="s">
        <v>7833</v>
      </c>
      <c r="E571" t="s">
        <v>7834</v>
      </c>
      <c r="F571">
        <v>125411079</v>
      </c>
      <c r="G571">
        <v>381642</v>
      </c>
      <c r="H571">
        <v>1245543</v>
      </c>
      <c r="I571" t="s">
        <v>7851</v>
      </c>
      <c r="J571">
        <v>2009</v>
      </c>
      <c r="K571" t="s">
        <v>7842</v>
      </c>
      <c r="L571" t="s">
        <v>7837</v>
      </c>
    </row>
    <row r="572" spans="1:12">
      <c r="A572" t="s">
        <v>7830</v>
      </c>
      <c r="B572" t="s">
        <v>7831</v>
      </c>
      <c r="C572" t="s">
        <v>7832</v>
      </c>
      <c r="D572" t="s">
        <v>7833</v>
      </c>
      <c r="E572" t="s">
        <v>7834</v>
      </c>
      <c r="F572">
        <v>108919360</v>
      </c>
      <c r="G572">
        <v>349287</v>
      </c>
      <c r="H572">
        <v>1254109</v>
      </c>
      <c r="I572" t="s">
        <v>7851</v>
      </c>
      <c r="J572">
        <v>2009</v>
      </c>
      <c r="K572" t="s">
        <v>7843</v>
      </c>
      <c r="L572" t="s">
        <v>7837</v>
      </c>
    </row>
    <row r="573" spans="1:12">
      <c r="A573" t="s">
        <v>7830</v>
      </c>
      <c r="B573" t="s">
        <v>7831</v>
      </c>
      <c r="C573" t="s">
        <v>7832</v>
      </c>
      <c r="D573" t="s">
        <v>7833</v>
      </c>
      <c r="E573" t="s">
        <v>7834</v>
      </c>
      <c r="F573">
        <v>132402409</v>
      </c>
      <c r="G573">
        <v>466562</v>
      </c>
      <c r="H573">
        <v>1529457</v>
      </c>
      <c r="I573" t="s">
        <v>7851</v>
      </c>
      <c r="J573">
        <v>2009</v>
      </c>
      <c r="K573" t="s">
        <v>7844</v>
      </c>
      <c r="L573" t="s">
        <v>7837</v>
      </c>
    </row>
    <row r="574" spans="1:12">
      <c r="A574" t="s">
        <v>7830</v>
      </c>
      <c r="B574" t="s">
        <v>7831</v>
      </c>
      <c r="C574" t="s">
        <v>7832</v>
      </c>
      <c r="D574" t="s">
        <v>7833</v>
      </c>
      <c r="E574" t="s">
        <v>7834</v>
      </c>
      <c r="F574">
        <v>139679969</v>
      </c>
      <c r="G574">
        <v>561806</v>
      </c>
      <c r="H574">
        <v>1949433</v>
      </c>
      <c r="I574" t="s">
        <v>7851</v>
      </c>
      <c r="J574">
        <v>2009</v>
      </c>
      <c r="K574" t="s">
        <v>7845</v>
      </c>
      <c r="L574" t="s">
        <v>7837</v>
      </c>
    </row>
    <row r="575" spans="1:12">
      <c r="A575" t="s">
        <v>7830</v>
      </c>
      <c r="B575" t="s">
        <v>7831</v>
      </c>
      <c r="C575" t="s">
        <v>7832</v>
      </c>
      <c r="D575" t="s">
        <v>7833</v>
      </c>
      <c r="E575" t="s">
        <v>7834</v>
      </c>
      <c r="F575">
        <v>149400462</v>
      </c>
      <c r="G575">
        <v>595310</v>
      </c>
      <c r="H575">
        <v>2292313</v>
      </c>
      <c r="I575" t="s">
        <v>7851</v>
      </c>
      <c r="J575">
        <v>2009</v>
      </c>
      <c r="K575" t="s">
        <v>7846</v>
      </c>
      <c r="L575" t="s">
        <v>7837</v>
      </c>
    </row>
    <row r="576" spans="1:12">
      <c r="A576" t="s">
        <v>7830</v>
      </c>
      <c r="B576" t="s">
        <v>7831</v>
      </c>
      <c r="C576" t="s">
        <v>7832</v>
      </c>
      <c r="D576" t="s">
        <v>7833</v>
      </c>
      <c r="E576" t="s">
        <v>7834</v>
      </c>
      <c r="F576">
        <v>171715052</v>
      </c>
      <c r="G576">
        <v>633827</v>
      </c>
      <c r="H576">
        <v>2446649</v>
      </c>
      <c r="I576" t="s">
        <v>7851</v>
      </c>
      <c r="J576">
        <v>2009</v>
      </c>
      <c r="K576" t="s">
        <v>7847</v>
      </c>
      <c r="L576" t="s">
        <v>7837</v>
      </c>
    </row>
    <row r="577" spans="1:12">
      <c r="A577" t="s">
        <v>7830</v>
      </c>
      <c r="B577" t="s">
        <v>7831</v>
      </c>
      <c r="C577" t="s">
        <v>7832</v>
      </c>
      <c r="D577" t="s">
        <v>7833</v>
      </c>
      <c r="E577" t="s">
        <v>7834</v>
      </c>
      <c r="F577">
        <v>153121114</v>
      </c>
      <c r="G577">
        <v>557809</v>
      </c>
      <c r="H577">
        <v>1906376</v>
      </c>
      <c r="I577" t="s">
        <v>7851</v>
      </c>
      <c r="J577">
        <v>2009</v>
      </c>
      <c r="K577" t="s">
        <v>7848</v>
      </c>
      <c r="L577" t="s">
        <v>7837</v>
      </c>
    </row>
    <row r="578" spans="1:12">
      <c r="A578" t="s">
        <v>7830</v>
      </c>
      <c r="B578" t="s">
        <v>7831</v>
      </c>
      <c r="C578" t="s">
        <v>7832</v>
      </c>
      <c r="D578" t="s">
        <v>7833</v>
      </c>
      <c r="E578" t="s">
        <v>7834</v>
      </c>
      <c r="F578">
        <v>159725129</v>
      </c>
      <c r="G578">
        <v>497304</v>
      </c>
      <c r="H578">
        <v>1787742</v>
      </c>
      <c r="I578" t="s">
        <v>7851</v>
      </c>
      <c r="J578">
        <v>2010</v>
      </c>
      <c r="K578" t="s">
        <v>7836</v>
      </c>
      <c r="L578" t="s">
        <v>7837</v>
      </c>
    </row>
    <row r="579" spans="1:12">
      <c r="A579" t="s">
        <v>7830</v>
      </c>
      <c r="B579" t="s">
        <v>7831</v>
      </c>
      <c r="C579" t="s">
        <v>7832</v>
      </c>
      <c r="D579" t="s">
        <v>7833</v>
      </c>
      <c r="E579" t="s">
        <v>7834</v>
      </c>
      <c r="F579">
        <v>102124528</v>
      </c>
      <c r="G579">
        <v>334708</v>
      </c>
      <c r="H579">
        <v>1074450</v>
      </c>
      <c r="I579" t="s">
        <v>7851</v>
      </c>
      <c r="J579">
        <v>2010</v>
      </c>
      <c r="K579" t="s">
        <v>7838</v>
      </c>
      <c r="L579" t="s">
        <v>7837</v>
      </c>
    </row>
    <row r="580" spans="1:12">
      <c r="A580" t="s">
        <v>7830</v>
      </c>
      <c r="B580" t="s">
        <v>7831</v>
      </c>
      <c r="C580" t="s">
        <v>7832</v>
      </c>
      <c r="D580" t="s">
        <v>7833</v>
      </c>
      <c r="E580" t="s">
        <v>7834</v>
      </c>
      <c r="F580">
        <v>76778726</v>
      </c>
      <c r="G580">
        <v>316790</v>
      </c>
      <c r="H580">
        <v>948120</v>
      </c>
      <c r="I580" t="s">
        <v>7851</v>
      </c>
      <c r="J580">
        <v>2010</v>
      </c>
      <c r="K580" t="s">
        <v>7839</v>
      </c>
      <c r="L580" t="s">
        <v>7837</v>
      </c>
    </row>
    <row r="581" spans="1:12">
      <c r="A581" t="s">
        <v>7830</v>
      </c>
      <c r="B581" t="s">
        <v>7831</v>
      </c>
      <c r="C581" t="s">
        <v>7832</v>
      </c>
      <c r="D581" t="s">
        <v>7833</v>
      </c>
      <c r="E581" t="s">
        <v>7834</v>
      </c>
      <c r="F581">
        <v>131319261</v>
      </c>
      <c r="G581">
        <v>431557</v>
      </c>
      <c r="H581">
        <v>1582847</v>
      </c>
      <c r="I581" t="s">
        <v>7851</v>
      </c>
      <c r="J581">
        <v>2010</v>
      </c>
      <c r="K581" t="s">
        <v>7840</v>
      </c>
      <c r="L581" t="s">
        <v>7837</v>
      </c>
    </row>
    <row r="582" spans="1:12">
      <c r="A582" t="s">
        <v>7830</v>
      </c>
      <c r="B582" t="s">
        <v>7831</v>
      </c>
      <c r="C582" t="s">
        <v>7832</v>
      </c>
      <c r="D582" t="s">
        <v>7833</v>
      </c>
      <c r="E582" t="s">
        <v>7834</v>
      </c>
      <c r="F582">
        <v>139274396</v>
      </c>
      <c r="G582">
        <v>454142</v>
      </c>
      <c r="H582">
        <v>1497115</v>
      </c>
      <c r="I582" t="s">
        <v>7851</v>
      </c>
      <c r="J582">
        <v>2010</v>
      </c>
      <c r="K582" t="s">
        <v>7841</v>
      </c>
      <c r="L582" t="s">
        <v>7837</v>
      </c>
    </row>
    <row r="583" spans="1:12">
      <c r="A583" t="s">
        <v>7830</v>
      </c>
      <c r="B583" t="s">
        <v>7831</v>
      </c>
      <c r="C583" t="s">
        <v>7832</v>
      </c>
      <c r="D583" t="s">
        <v>7833</v>
      </c>
      <c r="E583" t="s">
        <v>7834</v>
      </c>
      <c r="F583">
        <v>184214919</v>
      </c>
      <c r="G583">
        <v>487927</v>
      </c>
      <c r="H583">
        <v>1733758</v>
      </c>
      <c r="I583" t="s">
        <v>7851</v>
      </c>
      <c r="J583">
        <v>2010</v>
      </c>
      <c r="K583" t="s">
        <v>7842</v>
      </c>
      <c r="L583" t="s">
        <v>7837</v>
      </c>
    </row>
    <row r="584" spans="1:12">
      <c r="A584" t="s">
        <v>7830</v>
      </c>
      <c r="B584" t="s">
        <v>7831</v>
      </c>
      <c r="C584" t="s">
        <v>7832</v>
      </c>
      <c r="D584" t="s">
        <v>7833</v>
      </c>
      <c r="E584" t="s">
        <v>7834</v>
      </c>
      <c r="F584">
        <v>105674962</v>
      </c>
      <c r="G584">
        <v>358691</v>
      </c>
      <c r="H584">
        <v>1253010</v>
      </c>
      <c r="I584" t="s">
        <v>7851</v>
      </c>
      <c r="J584">
        <v>2010</v>
      </c>
      <c r="K584" t="s">
        <v>7843</v>
      </c>
      <c r="L584" t="s">
        <v>7837</v>
      </c>
    </row>
    <row r="585" spans="1:12">
      <c r="A585" t="s">
        <v>7830</v>
      </c>
      <c r="B585" t="s">
        <v>7831</v>
      </c>
      <c r="C585" t="s">
        <v>7832</v>
      </c>
      <c r="D585" t="s">
        <v>7833</v>
      </c>
      <c r="E585" t="s">
        <v>7834</v>
      </c>
      <c r="F585">
        <v>119398178</v>
      </c>
      <c r="G585">
        <v>375591</v>
      </c>
      <c r="H585">
        <v>1534990</v>
      </c>
      <c r="I585" t="s">
        <v>7851</v>
      </c>
      <c r="J585">
        <v>2010</v>
      </c>
      <c r="K585" t="s">
        <v>7844</v>
      </c>
      <c r="L585" t="s">
        <v>7837</v>
      </c>
    </row>
    <row r="586" spans="1:12">
      <c r="A586" t="s">
        <v>7830</v>
      </c>
      <c r="B586" t="s">
        <v>7831</v>
      </c>
      <c r="C586" t="s">
        <v>7832</v>
      </c>
      <c r="D586" t="s">
        <v>7833</v>
      </c>
      <c r="E586" t="s">
        <v>7834</v>
      </c>
      <c r="F586">
        <v>149595899</v>
      </c>
      <c r="G586">
        <v>442251</v>
      </c>
      <c r="H586">
        <v>1753713</v>
      </c>
      <c r="I586" t="s">
        <v>7851</v>
      </c>
      <c r="J586">
        <v>2010</v>
      </c>
      <c r="K586" t="s">
        <v>7845</v>
      </c>
      <c r="L586" t="s">
        <v>7837</v>
      </c>
    </row>
    <row r="587" spans="1:12">
      <c r="A587" t="s">
        <v>7830</v>
      </c>
      <c r="B587" t="s">
        <v>7831</v>
      </c>
      <c r="C587" t="s">
        <v>7832</v>
      </c>
      <c r="D587" t="s">
        <v>7833</v>
      </c>
      <c r="E587" t="s">
        <v>7834</v>
      </c>
      <c r="F587">
        <v>199508600</v>
      </c>
      <c r="G587">
        <v>641157</v>
      </c>
      <c r="H587">
        <v>2455772</v>
      </c>
      <c r="I587" t="s">
        <v>7851</v>
      </c>
      <c r="J587">
        <v>2010</v>
      </c>
      <c r="K587" t="s">
        <v>7846</v>
      </c>
      <c r="L587" t="s">
        <v>7837</v>
      </c>
    </row>
    <row r="588" spans="1:12">
      <c r="A588" t="s">
        <v>7830</v>
      </c>
      <c r="B588" t="s">
        <v>7831</v>
      </c>
      <c r="C588" t="s">
        <v>7832</v>
      </c>
      <c r="D588" t="s">
        <v>7833</v>
      </c>
      <c r="E588" t="s">
        <v>7834</v>
      </c>
      <c r="F588">
        <v>234917311</v>
      </c>
      <c r="G588">
        <v>848800</v>
      </c>
      <c r="H588">
        <v>2530424</v>
      </c>
      <c r="I588" t="s">
        <v>7851</v>
      </c>
      <c r="J588">
        <v>2010</v>
      </c>
      <c r="K588" t="s">
        <v>7847</v>
      </c>
      <c r="L588" t="s">
        <v>7837</v>
      </c>
    </row>
    <row r="589" spans="1:12">
      <c r="A589" t="s">
        <v>7830</v>
      </c>
      <c r="B589" t="s">
        <v>7831</v>
      </c>
      <c r="C589" t="s">
        <v>7832</v>
      </c>
      <c r="D589" t="s">
        <v>7833</v>
      </c>
      <c r="E589" t="s">
        <v>7834</v>
      </c>
      <c r="F589">
        <v>193087259</v>
      </c>
      <c r="G589">
        <v>457612</v>
      </c>
      <c r="H589">
        <v>1817158</v>
      </c>
      <c r="I589" t="s">
        <v>7851</v>
      </c>
      <c r="J589">
        <v>2010</v>
      </c>
      <c r="K589" t="s">
        <v>7848</v>
      </c>
      <c r="L589" t="s">
        <v>7837</v>
      </c>
    </row>
    <row r="590" spans="1:12">
      <c r="A590" t="s">
        <v>7830</v>
      </c>
      <c r="B590" t="s">
        <v>7831</v>
      </c>
      <c r="C590" t="s">
        <v>7832</v>
      </c>
      <c r="D590" t="s">
        <v>7833</v>
      </c>
      <c r="E590" t="s">
        <v>7834</v>
      </c>
      <c r="F590">
        <v>249934425</v>
      </c>
      <c r="G590">
        <v>646452</v>
      </c>
      <c r="H590">
        <v>2308436</v>
      </c>
      <c r="I590" t="s">
        <v>7851</v>
      </c>
      <c r="J590">
        <v>2011</v>
      </c>
      <c r="K590" t="s">
        <v>7836</v>
      </c>
      <c r="L590" t="s">
        <v>7837</v>
      </c>
    </row>
    <row r="591" spans="1:12">
      <c r="A591" t="s">
        <v>7830</v>
      </c>
      <c r="B591" t="s">
        <v>7831</v>
      </c>
      <c r="C591" t="s">
        <v>7832</v>
      </c>
      <c r="D591" t="s">
        <v>7833</v>
      </c>
      <c r="E591" t="s">
        <v>7834</v>
      </c>
      <c r="F591">
        <v>142012436</v>
      </c>
      <c r="G591">
        <v>350703</v>
      </c>
      <c r="H591">
        <v>1133641</v>
      </c>
      <c r="I591" t="s">
        <v>7851</v>
      </c>
      <c r="J591">
        <v>2011</v>
      </c>
      <c r="K591" t="s">
        <v>7838</v>
      </c>
      <c r="L591" t="s">
        <v>7837</v>
      </c>
    </row>
    <row r="592" spans="1:12">
      <c r="A592" t="s">
        <v>7830</v>
      </c>
      <c r="B592" t="s">
        <v>7831</v>
      </c>
      <c r="C592" t="s">
        <v>7832</v>
      </c>
      <c r="D592" t="s">
        <v>7833</v>
      </c>
      <c r="E592" t="s">
        <v>7834</v>
      </c>
      <c r="F592">
        <v>186362514</v>
      </c>
      <c r="G592">
        <v>465874</v>
      </c>
      <c r="H592">
        <v>1479179</v>
      </c>
      <c r="I592" t="s">
        <v>7851</v>
      </c>
      <c r="J592">
        <v>2011</v>
      </c>
      <c r="K592" t="s">
        <v>7839</v>
      </c>
      <c r="L592" t="s">
        <v>7837</v>
      </c>
    </row>
    <row r="593" spans="1:12">
      <c r="A593" t="s">
        <v>7830</v>
      </c>
      <c r="B593" t="s">
        <v>7831</v>
      </c>
      <c r="C593" t="s">
        <v>7832</v>
      </c>
      <c r="D593" t="s">
        <v>7833</v>
      </c>
      <c r="E593" t="s">
        <v>7834</v>
      </c>
      <c r="F593">
        <v>175594440</v>
      </c>
      <c r="G593">
        <v>438097</v>
      </c>
      <c r="H593">
        <v>1365185</v>
      </c>
      <c r="I593" t="s">
        <v>7851</v>
      </c>
      <c r="J593">
        <v>2011</v>
      </c>
      <c r="K593" t="s">
        <v>7840</v>
      </c>
      <c r="L593" t="s">
        <v>7837</v>
      </c>
    </row>
    <row r="594" spans="1:12">
      <c r="A594" t="s">
        <v>7830</v>
      </c>
      <c r="B594" t="s">
        <v>7831</v>
      </c>
      <c r="C594" t="s">
        <v>7832</v>
      </c>
      <c r="D594" t="s">
        <v>7833</v>
      </c>
      <c r="E594" t="s">
        <v>7834</v>
      </c>
      <c r="F594">
        <v>258919964</v>
      </c>
      <c r="G594">
        <v>671585</v>
      </c>
      <c r="H594">
        <v>2211384</v>
      </c>
      <c r="I594" t="s">
        <v>7851</v>
      </c>
      <c r="J594">
        <v>2011</v>
      </c>
      <c r="K594" t="s">
        <v>7841</v>
      </c>
      <c r="L594" t="s">
        <v>7837</v>
      </c>
    </row>
    <row r="595" spans="1:12">
      <c r="A595" t="s">
        <v>7830</v>
      </c>
      <c r="B595" t="s">
        <v>7831</v>
      </c>
      <c r="C595" t="s">
        <v>7832</v>
      </c>
      <c r="D595" t="s">
        <v>7833</v>
      </c>
      <c r="E595" t="s">
        <v>7834</v>
      </c>
      <c r="F595">
        <v>201857774</v>
      </c>
      <c r="G595">
        <v>499349</v>
      </c>
      <c r="H595">
        <v>1587411</v>
      </c>
      <c r="I595" t="s">
        <v>7851</v>
      </c>
      <c r="J595">
        <v>2011</v>
      </c>
      <c r="K595" t="s">
        <v>7842</v>
      </c>
      <c r="L595" t="s">
        <v>7837</v>
      </c>
    </row>
    <row r="596" spans="1:12">
      <c r="A596" t="s">
        <v>7830</v>
      </c>
      <c r="B596" t="s">
        <v>7831</v>
      </c>
      <c r="C596" t="s">
        <v>7832</v>
      </c>
      <c r="D596" t="s">
        <v>7833</v>
      </c>
      <c r="E596" t="s">
        <v>7834</v>
      </c>
      <c r="F596">
        <v>229046928</v>
      </c>
      <c r="G596">
        <v>594663</v>
      </c>
      <c r="H596">
        <v>2252414</v>
      </c>
      <c r="I596" t="s">
        <v>7851</v>
      </c>
      <c r="J596">
        <v>2011</v>
      </c>
      <c r="K596" t="s">
        <v>7843</v>
      </c>
      <c r="L596" t="s">
        <v>7837</v>
      </c>
    </row>
    <row r="597" spans="1:12">
      <c r="A597" t="s">
        <v>7830</v>
      </c>
      <c r="B597" t="s">
        <v>7831</v>
      </c>
      <c r="C597" t="s">
        <v>7832</v>
      </c>
      <c r="D597" t="s">
        <v>7833</v>
      </c>
      <c r="E597" t="s">
        <v>7834</v>
      </c>
      <c r="F597">
        <v>194566384</v>
      </c>
      <c r="G597">
        <v>555454</v>
      </c>
      <c r="H597">
        <v>1954326</v>
      </c>
      <c r="I597" t="s">
        <v>7851</v>
      </c>
      <c r="J597">
        <v>2011</v>
      </c>
      <c r="K597" t="s">
        <v>7844</v>
      </c>
      <c r="L597" t="s">
        <v>7837</v>
      </c>
    </row>
    <row r="598" spans="1:12">
      <c r="A598" t="s">
        <v>7830</v>
      </c>
      <c r="B598" t="s">
        <v>7831</v>
      </c>
      <c r="C598" t="s">
        <v>7832</v>
      </c>
      <c r="D598" t="s">
        <v>7833</v>
      </c>
      <c r="E598" t="s">
        <v>7834</v>
      </c>
      <c r="F598">
        <v>171158546</v>
      </c>
      <c r="G598">
        <v>538255</v>
      </c>
      <c r="H598">
        <v>1940249</v>
      </c>
      <c r="I598" t="s">
        <v>7851</v>
      </c>
      <c r="J598">
        <v>2011</v>
      </c>
      <c r="K598" t="s">
        <v>7845</v>
      </c>
      <c r="L598" t="s">
        <v>7837</v>
      </c>
    </row>
    <row r="599" spans="1:12">
      <c r="A599" t="s">
        <v>7830</v>
      </c>
      <c r="B599" t="s">
        <v>7831</v>
      </c>
      <c r="C599" t="s">
        <v>7832</v>
      </c>
      <c r="D599" t="s">
        <v>7833</v>
      </c>
      <c r="E599" t="s">
        <v>7834</v>
      </c>
      <c r="F599">
        <v>536366945</v>
      </c>
      <c r="G599">
        <v>1159197</v>
      </c>
      <c r="H599">
        <v>4136496</v>
      </c>
      <c r="I599" t="s">
        <v>7851</v>
      </c>
      <c r="J599">
        <v>2011</v>
      </c>
      <c r="K599" t="s">
        <v>7846</v>
      </c>
      <c r="L599" t="s">
        <v>7837</v>
      </c>
    </row>
    <row r="600" spans="1:12">
      <c r="A600" t="s">
        <v>7830</v>
      </c>
      <c r="B600" t="s">
        <v>7831</v>
      </c>
      <c r="C600" t="s">
        <v>7832</v>
      </c>
      <c r="D600" t="s">
        <v>7833</v>
      </c>
      <c r="E600" t="s">
        <v>7834</v>
      </c>
      <c r="F600">
        <v>352104206</v>
      </c>
      <c r="G600">
        <v>1003445</v>
      </c>
      <c r="H600">
        <v>3397690</v>
      </c>
      <c r="I600" t="s">
        <v>7851</v>
      </c>
      <c r="J600">
        <v>2011</v>
      </c>
      <c r="K600" t="s">
        <v>7847</v>
      </c>
      <c r="L600" t="s">
        <v>7837</v>
      </c>
    </row>
    <row r="601" spans="1:12">
      <c r="A601" t="s">
        <v>7830</v>
      </c>
      <c r="B601" t="s">
        <v>7831</v>
      </c>
      <c r="C601" t="s">
        <v>7832</v>
      </c>
      <c r="D601" t="s">
        <v>7833</v>
      </c>
      <c r="E601" t="s">
        <v>7834</v>
      </c>
      <c r="F601">
        <v>243577872</v>
      </c>
      <c r="G601">
        <v>770624</v>
      </c>
      <c r="H601">
        <v>2588703</v>
      </c>
      <c r="I601" t="s">
        <v>7851</v>
      </c>
      <c r="J601">
        <v>2011</v>
      </c>
      <c r="K601" t="s">
        <v>7848</v>
      </c>
      <c r="L601" t="s">
        <v>7837</v>
      </c>
    </row>
    <row r="602" spans="1:12">
      <c r="A602" t="s">
        <v>7830</v>
      </c>
      <c r="B602" t="s">
        <v>7831</v>
      </c>
      <c r="C602" t="s">
        <v>7832</v>
      </c>
      <c r="D602" t="s">
        <v>7833</v>
      </c>
      <c r="E602" t="s">
        <v>7834</v>
      </c>
      <c r="F602">
        <v>264455797</v>
      </c>
      <c r="G602">
        <v>701905</v>
      </c>
      <c r="H602">
        <v>2512967</v>
      </c>
      <c r="I602" t="s">
        <v>7851</v>
      </c>
      <c r="J602">
        <v>2012</v>
      </c>
      <c r="K602" t="s">
        <v>7836</v>
      </c>
      <c r="L602" t="s">
        <v>7837</v>
      </c>
    </row>
    <row r="603" spans="1:12">
      <c r="A603" t="s">
        <v>7830</v>
      </c>
      <c r="B603" t="s">
        <v>7831</v>
      </c>
      <c r="C603" t="s">
        <v>7832</v>
      </c>
      <c r="D603" t="s">
        <v>7833</v>
      </c>
      <c r="E603" t="s">
        <v>7834</v>
      </c>
      <c r="F603">
        <v>201147287</v>
      </c>
      <c r="G603">
        <v>612077</v>
      </c>
      <c r="H603">
        <v>2087379</v>
      </c>
      <c r="I603" t="s">
        <v>7851</v>
      </c>
      <c r="J603">
        <v>2012</v>
      </c>
      <c r="K603" t="s">
        <v>7838</v>
      </c>
      <c r="L603" t="s">
        <v>7837</v>
      </c>
    </row>
    <row r="604" spans="1:12">
      <c r="A604" t="s">
        <v>7830</v>
      </c>
      <c r="B604" t="s">
        <v>7831</v>
      </c>
      <c r="C604" t="s">
        <v>7832</v>
      </c>
      <c r="D604" t="s">
        <v>7833</v>
      </c>
      <c r="E604" t="s">
        <v>7834</v>
      </c>
      <c r="F604">
        <v>250846355</v>
      </c>
      <c r="G604">
        <v>634142</v>
      </c>
      <c r="H604">
        <v>2281200</v>
      </c>
      <c r="I604" t="s">
        <v>7851</v>
      </c>
      <c r="J604">
        <v>2012</v>
      </c>
      <c r="K604" t="s">
        <v>7839</v>
      </c>
      <c r="L604" t="s">
        <v>7837</v>
      </c>
    </row>
    <row r="605" spans="1:12">
      <c r="A605" t="s">
        <v>7830</v>
      </c>
      <c r="B605" t="s">
        <v>7831</v>
      </c>
      <c r="C605" t="s">
        <v>7832</v>
      </c>
      <c r="D605" t="s">
        <v>7833</v>
      </c>
      <c r="E605" t="s">
        <v>7834</v>
      </c>
      <c r="F605">
        <v>278436570</v>
      </c>
      <c r="G605">
        <v>746432</v>
      </c>
      <c r="H605">
        <v>2282126</v>
      </c>
      <c r="I605" t="s">
        <v>7851</v>
      </c>
      <c r="J605">
        <v>2012</v>
      </c>
      <c r="K605" t="s">
        <v>7840</v>
      </c>
      <c r="L605" t="s">
        <v>7837</v>
      </c>
    </row>
    <row r="606" spans="1:12">
      <c r="A606" t="s">
        <v>7830</v>
      </c>
      <c r="B606" t="s">
        <v>7831</v>
      </c>
      <c r="C606" t="s">
        <v>7832</v>
      </c>
      <c r="D606" t="s">
        <v>7833</v>
      </c>
      <c r="E606" t="s">
        <v>7834</v>
      </c>
      <c r="F606">
        <v>175982305</v>
      </c>
      <c r="G606">
        <v>476206</v>
      </c>
      <c r="H606">
        <v>1754335</v>
      </c>
      <c r="I606" t="s">
        <v>7851</v>
      </c>
      <c r="J606">
        <v>2012</v>
      </c>
      <c r="K606" t="s">
        <v>7841</v>
      </c>
      <c r="L606" t="s">
        <v>7837</v>
      </c>
    </row>
    <row r="607" spans="1:12">
      <c r="A607" t="s">
        <v>7830</v>
      </c>
      <c r="B607" t="s">
        <v>7831</v>
      </c>
      <c r="C607" t="s">
        <v>7832</v>
      </c>
      <c r="D607" t="s">
        <v>7833</v>
      </c>
      <c r="E607" t="s">
        <v>7834</v>
      </c>
      <c r="F607">
        <v>285647959</v>
      </c>
      <c r="G607">
        <v>625506</v>
      </c>
      <c r="H607">
        <v>2315619</v>
      </c>
      <c r="I607" t="s">
        <v>7851</v>
      </c>
      <c r="J607">
        <v>2012</v>
      </c>
      <c r="K607" t="s">
        <v>7842</v>
      </c>
      <c r="L607" t="s">
        <v>7837</v>
      </c>
    </row>
    <row r="608" spans="1:12">
      <c r="A608" t="s">
        <v>7830</v>
      </c>
      <c r="B608" t="s">
        <v>7831</v>
      </c>
      <c r="C608" t="s">
        <v>7832</v>
      </c>
      <c r="D608" t="s">
        <v>7833</v>
      </c>
      <c r="E608" t="s">
        <v>7834</v>
      </c>
      <c r="F608">
        <v>255906591</v>
      </c>
      <c r="G608">
        <v>650518</v>
      </c>
      <c r="H608">
        <v>2344308</v>
      </c>
      <c r="I608" t="s">
        <v>7851</v>
      </c>
      <c r="J608">
        <v>2012</v>
      </c>
      <c r="K608" t="s">
        <v>7843</v>
      </c>
      <c r="L608" t="s">
        <v>7837</v>
      </c>
    </row>
    <row r="609" spans="1:12">
      <c r="A609" t="s">
        <v>7830</v>
      </c>
      <c r="B609" t="s">
        <v>7831</v>
      </c>
      <c r="C609" t="s">
        <v>7832</v>
      </c>
      <c r="D609" t="s">
        <v>7833</v>
      </c>
      <c r="E609" t="s">
        <v>7834</v>
      </c>
      <c r="F609">
        <v>232459024</v>
      </c>
      <c r="G609">
        <v>595630</v>
      </c>
      <c r="H609">
        <v>2183250</v>
      </c>
      <c r="I609" t="s">
        <v>7851</v>
      </c>
      <c r="J609">
        <v>2012</v>
      </c>
      <c r="K609" t="s">
        <v>7844</v>
      </c>
      <c r="L609" t="s">
        <v>7837</v>
      </c>
    </row>
    <row r="610" spans="1:12">
      <c r="A610" t="s">
        <v>7830</v>
      </c>
      <c r="B610" t="s">
        <v>7831</v>
      </c>
      <c r="C610" t="s">
        <v>7832</v>
      </c>
      <c r="D610" t="s">
        <v>7833</v>
      </c>
      <c r="E610" t="s">
        <v>7834</v>
      </c>
      <c r="F610">
        <v>347422319</v>
      </c>
      <c r="G610">
        <v>920495</v>
      </c>
      <c r="H610">
        <v>2986103</v>
      </c>
      <c r="I610" t="s">
        <v>7851</v>
      </c>
      <c r="J610">
        <v>2012</v>
      </c>
      <c r="K610" t="s">
        <v>7845</v>
      </c>
      <c r="L610" t="s">
        <v>7837</v>
      </c>
    </row>
    <row r="611" spans="1:12">
      <c r="A611" t="s">
        <v>7830</v>
      </c>
      <c r="B611" t="s">
        <v>7831</v>
      </c>
      <c r="C611" t="s">
        <v>7832</v>
      </c>
      <c r="D611" t="s">
        <v>7833</v>
      </c>
      <c r="E611" t="s">
        <v>7834</v>
      </c>
      <c r="F611">
        <v>268727319</v>
      </c>
      <c r="G611">
        <v>779954</v>
      </c>
      <c r="H611">
        <v>2657415</v>
      </c>
      <c r="I611" t="s">
        <v>7851</v>
      </c>
      <c r="J611">
        <v>2012</v>
      </c>
      <c r="K611" t="s">
        <v>7846</v>
      </c>
      <c r="L611" t="s">
        <v>7837</v>
      </c>
    </row>
    <row r="612" spans="1:12">
      <c r="A612" t="s">
        <v>7830</v>
      </c>
      <c r="B612" t="s">
        <v>7831</v>
      </c>
      <c r="C612" t="s">
        <v>7832</v>
      </c>
      <c r="D612" t="s">
        <v>7833</v>
      </c>
      <c r="E612" t="s">
        <v>7834</v>
      </c>
      <c r="F612">
        <v>216861135</v>
      </c>
      <c r="G612">
        <v>710608</v>
      </c>
      <c r="H612">
        <v>2473585</v>
      </c>
      <c r="I612" t="s">
        <v>7851</v>
      </c>
      <c r="J612">
        <v>2012</v>
      </c>
      <c r="K612" t="s">
        <v>7847</v>
      </c>
      <c r="L612" t="s">
        <v>7837</v>
      </c>
    </row>
    <row r="613" spans="1:12">
      <c r="A613" t="s">
        <v>7830</v>
      </c>
      <c r="B613" t="s">
        <v>7831</v>
      </c>
      <c r="C613" t="s">
        <v>7832</v>
      </c>
      <c r="D613" t="s">
        <v>7833</v>
      </c>
      <c r="E613" t="s">
        <v>7834</v>
      </c>
      <c r="F613">
        <v>274640263</v>
      </c>
      <c r="G613">
        <v>780222</v>
      </c>
      <c r="H613">
        <v>2722042</v>
      </c>
      <c r="I613" t="s">
        <v>7851</v>
      </c>
      <c r="J613">
        <v>2012</v>
      </c>
      <c r="K613" t="s">
        <v>7848</v>
      </c>
      <c r="L613" t="s">
        <v>7837</v>
      </c>
    </row>
    <row r="614" spans="1:12">
      <c r="A614" t="s">
        <v>7830</v>
      </c>
      <c r="B614" t="s">
        <v>7831</v>
      </c>
      <c r="C614" t="s">
        <v>7832</v>
      </c>
      <c r="D614" t="s">
        <v>7833</v>
      </c>
      <c r="E614" t="s">
        <v>7834</v>
      </c>
      <c r="F614">
        <v>306875063</v>
      </c>
      <c r="G614">
        <v>778987</v>
      </c>
      <c r="H614">
        <v>2373569</v>
      </c>
      <c r="I614" t="s">
        <v>7851</v>
      </c>
      <c r="J614">
        <v>2013</v>
      </c>
      <c r="K614" t="s">
        <v>7836</v>
      </c>
      <c r="L614" t="s">
        <v>7837</v>
      </c>
    </row>
    <row r="615" spans="1:12">
      <c r="A615" t="s">
        <v>7830</v>
      </c>
      <c r="B615" t="s">
        <v>7831</v>
      </c>
      <c r="C615" t="s">
        <v>7832</v>
      </c>
      <c r="D615" t="s">
        <v>7833</v>
      </c>
      <c r="E615" t="s">
        <v>7834</v>
      </c>
      <c r="F615">
        <v>145142281</v>
      </c>
      <c r="G615">
        <v>444578</v>
      </c>
      <c r="H615">
        <v>1403971</v>
      </c>
      <c r="I615" t="s">
        <v>7851</v>
      </c>
      <c r="J615">
        <v>2013</v>
      </c>
      <c r="K615" t="s">
        <v>7838</v>
      </c>
      <c r="L615" t="s">
        <v>7837</v>
      </c>
    </row>
    <row r="616" spans="1:12">
      <c r="A616" t="s">
        <v>7830</v>
      </c>
      <c r="B616" t="s">
        <v>7831</v>
      </c>
      <c r="C616" t="s">
        <v>7832</v>
      </c>
      <c r="D616" t="s">
        <v>7833</v>
      </c>
      <c r="E616" t="s">
        <v>7834</v>
      </c>
      <c r="F616">
        <v>229503626</v>
      </c>
      <c r="G616">
        <v>506686</v>
      </c>
      <c r="H616">
        <v>1727629</v>
      </c>
      <c r="I616" t="s">
        <v>7851</v>
      </c>
      <c r="J616">
        <v>2013</v>
      </c>
      <c r="K616" t="s">
        <v>7839</v>
      </c>
      <c r="L616" t="s">
        <v>7837</v>
      </c>
    </row>
    <row r="617" spans="1:12">
      <c r="A617" t="s">
        <v>7830</v>
      </c>
      <c r="B617" t="s">
        <v>7831</v>
      </c>
      <c r="C617" t="s">
        <v>7832</v>
      </c>
      <c r="D617" t="s">
        <v>7833</v>
      </c>
      <c r="E617" t="s">
        <v>7834</v>
      </c>
      <c r="F617">
        <v>285216665</v>
      </c>
      <c r="G617">
        <v>532637</v>
      </c>
      <c r="H617">
        <v>2077397</v>
      </c>
      <c r="I617" t="s">
        <v>7851</v>
      </c>
      <c r="J617">
        <v>2013</v>
      </c>
      <c r="K617" t="s">
        <v>7840</v>
      </c>
      <c r="L617" t="s">
        <v>7837</v>
      </c>
    </row>
    <row r="618" spans="1:12">
      <c r="A618" t="s">
        <v>7830</v>
      </c>
      <c r="B618" t="s">
        <v>7831</v>
      </c>
      <c r="C618" t="s">
        <v>7832</v>
      </c>
      <c r="D618" t="s">
        <v>7833</v>
      </c>
      <c r="E618" t="s">
        <v>7834</v>
      </c>
      <c r="F618">
        <v>384550849</v>
      </c>
      <c r="G618">
        <v>570523</v>
      </c>
      <c r="H618">
        <v>2212336</v>
      </c>
      <c r="I618" t="s">
        <v>7851</v>
      </c>
      <c r="J618">
        <v>2013</v>
      </c>
      <c r="K618" t="s">
        <v>7841</v>
      </c>
      <c r="L618" t="s">
        <v>7837</v>
      </c>
    </row>
    <row r="619" spans="1:12">
      <c r="A619" t="s">
        <v>7830</v>
      </c>
      <c r="B619" t="s">
        <v>7831</v>
      </c>
      <c r="C619" t="s">
        <v>7832</v>
      </c>
      <c r="D619" t="s">
        <v>7833</v>
      </c>
      <c r="E619" t="s">
        <v>7834</v>
      </c>
      <c r="F619">
        <v>292917780</v>
      </c>
      <c r="G619">
        <v>503721</v>
      </c>
      <c r="H619">
        <v>1803298</v>
      </c>
      <c r="I619" t="s">
        <v>7851</v>
      </c>
      <c r="J619">
        <v>2013</v>
      </c>
      <c r="K619" t="s">
        <v>7842</v>
      </c>
      <c r="L619" t="s">
        <v>7837</v>
      </c>
    </row>
    <row r="620" spans="1:12">
      <c r="A620" t="s">
        <v>7830</v>
      </c>
      <c r="B620" t="s">
        <v>7831</v>
      </c>
      <c r="C620" t="s">
        <v>7832</v>
      </c>
      <c r="D620" t="s">
        <v>7833</v>
      </c>
      <c r="E620" t="s">
        <v>7834</v>
      </c>
      <c r="F620">
        <v>305475293</v>
      </c>
      <c r="G620">
        <v>576320</v>
      </c>
      <c r="H620">
        <v>2123129</v>
      </c>
      <c r="I620" t="s">
        <v>7851</v>
      </c>
      <c r="J620">
        <v>2013</v>
      </c>
      <c r="K620" t="s">
        <v>7843</v>
      </c>
      <c r="L620" t="s">
        <v>7837</v>
      </c>
    </row>
    <row r="621" spans="1:12">
      <c r="A621" t="s">
        <v>7830</v>
      </c>
      <c r="B621" t="s">
        <v>7831</v>
      </c>
      <c r="C621" t="s">
        <v>7832</v>
      </c>
      <c r="D621" t="s">
        <v>7833</v>
      </c>
      <c r="E621" t="s">
        <v>7834</v>
      </c>
      <c r="F621">
        <v>254444939</v>
      </c>
      <c r="G621">
        <v>522177</v>
      </c>
      <c r="H621">
        <v>1903013</v>
      </c>
      <c r="I621" t="s">
        <v>7851</v>
      </c>
      <c r="J621">
        <v>2013</v>
      </c>
      <c r="K621" t="s">
        <v>7844</v>
      </c>
      <c r="L621" t="s">
        <v>7837</v>
      </c>
    </row>
    <row r="622" spans="1:12">
      <c r="A622" t="s">
        <v>7830</v>
      </c>
      <c r="B622" t="s">
        <v>7831</v>
      </c>
      <c r="C622" t="s">
        <v>7832</v>
      </c>
      <c r="D622" t="s">
        <v>7833</v>
      </c>
      <c r="E622" t="s">
        <v>7834</v>
      </c>
      <c r="F622">
        <v>395672501</v>
      </c>
      <c r="G622">
        <v>827836</v>
      </c>
      <c r="H622">
        <v>2751938</v>
      </c>
      <c r="I622" t="s">
        <v>7851</v>
      </c>
      <c r="J622">
        <v>2013</v>
      </c>
      <c r="K622" t="s">
        <v>7845</v>
      </c>
      <c r="L622" t="s">
        <v>7837</v>
      </c>
    </row>
    <row r="623" spans="1:12">
      <c r="A623" t="s">
        <v>7830</v>
      </c>
      <c r="B623" t="s">
        <v>7831</v>
      </c>
      <c r="C623" t="s">
        <v>7832</v>
      </c>
      <c r="D623" t="s">
        <v>7833</v>
      </c>
      <c r="E623" t="s">
        <v>7834</v>
      </c>
      <c r="F623">
        <v>271672731</v>
      </c>
      <c r="G623">
        <v>658113</v>
      </c>
      <c r="H623">
        <v>2296896</v>
      </c>
      <c r="I623" t="s">
        <v>7851</v>
      </c>
      <c r="J623">
        <v>2013</v>
      </c>
      <c r="K623" t="s">
        <v>7846</v>
      </c>
      <c r="L623" t="s">
        <v>7837</v>
      </c>
    </row>
    <row r="624" spans="1:12">
      <c r="A624" t="s">
        <v>7830</v>
      </c>
      <c r="B624" t="s">
        <v>7831</v>
      </c>
      <c r="C624" t="s">
        <v>7832</v>
      </c>
      <c r="D624" t="s">
        <v>7833</v>
      </c>
      <c r="E624" t="s">
        <v>7834</v>
      </c>
      <c r="F624">
        <v>326347921</v>
      </c>
      <c r="G624">
        <v>864502</v>
      </c>
      <c r="H624">
        <v>2955531</v>
      </c>
      <c r="I624" t="s">
        <v>7851</v>
      </c>
      <c r="J624">
        <v>2013</v>
      </c>
      <c r="K624" t="s">
        <v>7847</v>
      </c>
      <c r="L624" t="s">
        <v>7837</v>
      </c>
    </row>
    <row r="625" spans="1:12">
      <c r="A625" t="s">
        <v>7830</v>
      </c>
      <c r="B625" t="s">
        <v>7831</v>
      </c>
      <c r="C625" t="s">
        <v>7832</v>
      </c>
      <c r="D625" t="s">
        <v>7833</v>
      </c>
      <c r="E625" t="s">
        <v>7834</v>
      </c>
      <c r="F625">
        <v>264390268</v>
      </c>
      <c r="G625">
        <v>655770</v>
      </c>
      <c r="H625">
        <v>2668595</v>
      </c>
      <c r="I625" t="s">
        <v>7851</v>
      </c>
      <c r="J625">
        <v>2013</v>
      </c>
      <c r="K625" t="s">
        <v>7848</v>
      </c>
      <c r="L625" t="s">
        <v>7837</v>
      </c>
    </row>
    <row r="626" spans="1:12">
      <c r="A626" t="s">
        <v>7830</v>
      </c>
      <c r="B626" t="s">
        <v>7831</v>
      </c>
      <c r="C626" t="s">
        <v>7832</v>
      </c>
      <c r="D626" t="s">
        <v>7833</v>
      </c>
      <c r="E626" t="s">
        <v>7834</v>
      </c>
      <c r="F626">
        <v>322330440</v>
      </c>
      <c r="G626">
        <v>738417</v>
      </c>
      <c r="H626">
        <v>2777929</v>
      </c>
      <c r="I626" t="s">
        <v>7851</v>
      </c>
      <c r="J626">
        <v>2014</v>
      </c>
      <c r="K626" t="s">
        <v>7836</v>
      </c>
      <c r="L626" t="s">
        <v>7837</v>
      </c>
    </row>
    <row r="627" spans="1:12">
      <c r="A627" t="s">
        <v>7830</v>
      </c>
      <c r="B627" t="s">
        <v>7831</v>
      </c>
      <c r="C627" t="s">
        <v>7832</v>
      </c>
      <c r="D627" t="s">
        <v>7833</v>
      </c>
      <c r="E627" t="s">
        <v>7834</v>
      </c>
      <c r="F627">
        <v>219302141</v>
      </c>
      <c r="G627">
        <v>526937</v>
      </c>
      <c r="H627">
        <v>1817301</v>
      </c>
      <c r="I627" t="s">
        <v>7851</v>
      </c>
      <c r="J627">
        <v>2014</v>
      </c>
      <c r="K627" t="s">
        <v>7838</v>
      </c>
      <c r="L627" t="s">
        <v>7837</v>
      </c>
    </row>
    <row r="628" spans="1:12">
      <c r="A628" t="s">
        <v>7830</v>
      </c>
      <c r="B628" t="s">
        <v>7831</v>
      </c>
      <c r="C628" t="s">
        <v>7832</v>
      </c>
      <c r="D628" t="s">
        <v>7833</v>
      </c>
      <c r="E628" t="s">
        <v>7834</v>
      </c>
      <c r="F628">
        <v>279585388</v>
      </c>
      <c r="G628">
        <v>627664</v>
      </c>
      <c r="H628">
        <v>2299493</v>
      </c>
      <c r="I628" t="s">
        <v>7851</v>
      </c>
      <c r="J628">
        <v>2014</v>
      </c>
      <c r="K628" t="s">
        <v>7839</v>
      </c>
      <c r="L628" t="s">
        <v>7837</v>
      </c>
    </row>
    <row r="629" spans="1:12">
      <c r="A629" t="s">
        <v>7830</v>
      </c>
      <c r="B629" t="s">
        <v>7831</v>
      </c>
      <c r="C629" t="s">
        <v>7832</v>
      </c>
      <c r="D629" t="s">
        <v>7833</v>
      </c>
      <c r="E629" t="s">
        <v>7834</v>
      </c>
      <c r="F629">
        <v>294411921</v>
      </c>
      <c r="G629">
        <v>603484</v>
      </c>
      <c r="H629">
        <v>2114025</v>
      </c>
      <c r="I629" t="s">
        <v>7851</v>
      </c>
      <c r="J629">
        <v>2014</v>
      </c>
      <c r="K629" t="s">
        <v>7840</v>
      </c>
      <c r="L629" t="s">
        <v>7837</v>
      </c>
    </row>
    <row r="630" spans="1:12">
      <c r="A630" t="s">
        <v>7830</v>
      </c>
      <c r="B630" t="s">
        <v>7831</v>
      </c>
      <c r="C630" t="s">
        <v>7832</v>
      </c>
      <c r="D630" t="s">
        <v>7833</v>
      </c>
      <c r="E630" t="s">
        <v>7834</v>
      </c>
      <c r="F630">
        <v>291364336</v>
      </c>
      <c r="G630">
        <v>579459</v>
      </c>
      <c r="H630">
        <v>1918811</v>
      </c>
      <c r="I630" t="s">
        <v>7851</v>
      </c>
      <c r="J630">
        <v>2014</v>
      </c>
      <c r="K630" t="s">
        <v>7841</v>
      </c>
      <c r="L630" t="s">
        <v>7837</v>
      </c>
    </row>
    <row r="631" spans="1:12">
      <c r="A631" t="s">
        <v>7830</v>
      </c>
      <c r="B631" t="s">
        <v>7831</v>
      </c>
      <c r="C631" t="s">
        <v>7832</v>
      </c>
      <c r="D631" t="s">
        <v>7833</v>
      </c>
      <c r="E631" t="s">
        <v>7834</v>
      </c>
      <c r="F631">
        <v>233030485</v>
      </c>
      <c r="G631">
        <v>625676</v>
      </c>
      <c r="H631">
        <v>1967961</v>
      </c>
      <c r="I631" t="s">
        <v>7851</v>
      </c>
      <c r="J631">
        <v>2014</v>
      </c>
      <c r="K631" t="s">
        <v>7842</v>
      </c>
      <c r="L631" t="s">
        <v>7837</v>
      </c>
    </row>
    <row r="632" spans="1:12">
      <c r="A632" t="s">
        <v>7830</v>
      </c>
      <c r="B632" t="s">
        <v>7831</v>
      </c>
      <c r="C632" t="s">
        <v>7832</v>
      </c>
      <c r="D632" t="s">
        <v>7833</v>
      </c>
      <c r="E632" t="s">
        <v>7834</v>
      </c>
      <c r="F632">
        <v>203522938</v>
      </c>
      <c r="G632">
        <v>563629</v>
      </c>
      <c r="H632">
        <v>2013377</v>
      </c>
      <c r="I632" t="s">
        <v>7851</v>
      </c>
      <c r="J632">
        <v>2014</v>
      </c>
      <c r="K632" t="s">
        <v>7843</v>
      </c>
      <c r="L632" t="s">
        <v>7837</v>
      </c>
    </row>
    <row r="633" spans="1:12">
      <c r="A633" t="s">
        <v>7830</v>
      </c>
      <c r="B633" t="s">
        <v>7831</v>
      </c>
      <c r="C633" t="s">
        <v>7832</v>
      </c>
      <c r="D633" t="s">
        <v>7833</v>
      </c>
      <c r="E633" t="s">
        <v>7834</v>
      </c>
      <c r="F633">
        <v>144891557</v>
      </c>
      <c r="G633">
        <v>474722</v>
      </c>
      <c r="H633">
        <v>1818719</v>
      </c>
      <c r="I633" t="s">
        <v>7851</v>
      </c>
      <c r="J633">
        <v>2014</v>
      </c>
      <c r="K633" t="s">
        <v>7844</v>
      </c>
      <c r="L633" t="s">
        <v>7837</v>
      </c>
    </row>
    <row r="634" spans="1:12">
      <c r="A634" t="s">
        <v>7830</v>
      </c>
      <c r="B634" t="s">
        <v>7831</v>
      </c>
      <c r="C634" t="s">
        <v>7832</v>
      </c>
      <c r="D634" t="s">
        <v>7833</v>
      </c>
      <c r="E634" t="s">
        <v>7834</v>
      </c>
      <c r="F634">
        <v>356000516</v>
      </c>
      <c r="G634">
        <v>884720</v>
      </c>
      <c r="H634">
        <v>3040686</v>
      </c>
      <c r="I634" t="s">
        <v>7851</v>
      </c>
      <c r="J634">
        <v>2014</v>
      </c>
      <c r="K634" t="s">
        <v>7845</v>
      </c>
      <c r="L634" t="s">
        <v>7837</v>
      </c>
    </row>
    <row r="635" spans="1:12">
      <c r="A635" t="s">
        <v>7830</v>
      </c>
      <c r="B635" t="s">
        <v>7831</v>
      </c>
      <c r="C635" t="s">
        <v>7832</v>
      </c>
      <c r="D635" t="s">
        <v>7833</v>
      </c>
      <c r="E635" t="s">
        <v>7834</v>
      </c>
      <c r="F635">
        <v>320894245</v>
      </c>
      <c r="G635">
        <v>1136945</v>
      </c>
      <c r="H635">
        <v>3408697</v>
      </c>
      <c r="I635" t="s">
        <v>7851</v>
      </c>
      <c r="J635">
        <v>2014</v>
      </c>
      <c r="K635" t="s">
        <v>7846</v>
      </c>
      <c r="L635" t="s">
        <v>7837</v>
      </c>
    </row>
    <row r="636" spans="1:12">
      <c r="A636" t="s">
        <v>7830</v>
      </c>
      <c r="B636" t="s">
        <v>7831</v>
      </c>
      <c r="C636" t="s">
        <v>7832</v>
      </c>
      <c r="D636" t="s">
        <v>7833</v>
      </c>
      <c r="E636" t="s">
        <v>7834</v>
      </c>
      <c r="F636">
        <v>251732374</v>
      </c>
      <c r="G636">
        <v>824585</v>
      </c>
      <c r="H636">
        <v>2839146</v>
      </c>
      <c r="I636" t="s">
        <v>7851</v>
      </c>
      <c r="J636">
        <v>2014</v>
      </c>
      <c r="K636" t="s">
        <v>7847</v>
      </c>
      <c r="L636" t="s">
        <v>7837</v>
      </c>
    </row>
    <row r="637" spans="1:12">
      <c r="A637" t="s">
        <v>7830</v>
      </c>
      <c r="B637" t="s">
        <v>7831</v>
      </c>
      <c r="C637" t="s">
        <v>7832</v>
      </c>
      <c r="D637" t="s">
        <v>7833</v>
      </c>
      <c r="E637" t="s">
        <v>7834</v>
      </c>
      <c r="F637">
        <v>269033451</v>
      </c>
      <c r="G637">
        <v>781780</v>
      </c>
      <c r="H637">
        <v>2449317</v>
      </c>
      <c r="I637" t="s">
        <v>7851</v>
      </c>
      <c r="J637">
        <v>2014</v>
      </c>
      <c r="K637" t="s">
        <v>7848</v>
      </c>
      <c r="L637" t="s">
        <v>7837</v>
      </c>
    </row>
    <row r="638" spans="1:12">
      <c r="A638" t="s">
        <v>7830</v>
      </c>
      <c r="B638" t="s">
        <v>7831</v>
      </c>
      <c r="C638" t="s">
        <v>7832</v>
      </c>
      <c r="D638" t="s">
        <v>7833</v>
      </c>
      <c r="E638" t="s">
        <v>7834</v>
      </c>
      <c r="F638">
        <v>277336716</v>
      </c>
      <c r="G638">
        <v>650726</v>
      </c>
      <c r="H638">
        <v>1928238</v>
      </c>
      <c r="I638" t="s">
        <v>7851</v>
      </c>
      <c r="J638">
        <v>2015</v>
      </c>
      <c r="K638" t="s">
        <v>7836</v>
      </c>
      <c r="L638" t="s">
        <v>7837</v>
      </c>
    </row>
    <row r="639" spans="1:12">
      <c r="A639" t="s">
        <v>7830</v>
      </c>
      <c r="B639" t="s">
        <v>7831</v>
      </c>
      <c r="C639" t="s">
        <v>7832</v>
      </c>
      <c r="D639" t="s">
        <v>7833</v>
      </c>
      <c r="E639" t="s">
        <v>7834</v>
      </c>
      <c r="F639">
        <v>201627202</v>
      </c>
      <c r="G639">
        <v>554074</v>
      </c>
      <c r="H639">
        <v>1718077</v>
      </c>
      <c r="I639" t="s">
        <v>7851</v>
      </c>
      <c r="J639">
        <v>2015</v>
      </c>
      <c r="K639" t="s">
        <v>7838</v>
      </c>
      <c r="L639" t="s">
        <v>7837</v>
      </c>
    </row>
    <row r="640" spans="1:12">
      <c r="A640" t="s">
        <v>7830</v>
      </c>
      <c r="B640" t="s">
        <v>7831</v>
      </c>
      <c r="C640" t="s">
        <v>7832</v>
      </c>
      <c r="D640" t="s">
        <v>7833</v>
      </c>
      <c r="E640" t="s">
        <v>7834</v>
      </c>
      <c r="F640">
        <v>260743766</v>
      </c>
      <c r="G640">
        <v>614269</v>
      </c>
      <c r="H640">
        <v>2018271</v>
      </c>
      <c r="I640" t="s">
        <v>7851</v>
      </c>
      <c r="J640">
        <v>2015</v>
      </c>
      <c r="K640" t="s">
        <v>7839</v>
      </c>
      <c r="L640" t="s">
        <v>7837</v>
      </c>
    </row>
    <row r="641" spans="1:12">
      <c r="A641" t="s">
        <v>7830</v>
      </c>
      <c r="B641" t="s">
        <v>7831</v>
      </c>
      <c r="C641" t="s">
        <v>7832</v>
      </c>
      <c r="D641" t="s">
        <v>7833</v>
      </c>
      <c r="E641" t="s">
        <v>7834</v>
      </c>
      <c r="F641">
        <v>346358055</v>
      </c>
      <c r="G641">
        <v>716555</v>
      </c>
      <c r="H641">
        <v>2254579</v>
      </c>
      <c r="I641" t="s">
        <v>7851</v>
      </c>
      <c r="J641">
        <v>2015</v>
      </c>
      <c r="K641" t="s">
        <v>7840</v>
      </c>
      <c r="L641" t="s">
        <v>7837</v>
      </c>
    </row>
    <row r="642" spans="1:12">
      <c r="A642" t="s">
        <v>7830</v>
      </c>
      <c r="B642" t="s">
        <v>7831</v>
      </c>
      <c r="C642" t="s">
        <v>7832</v>
      </c>
      <c r="D642" t="s">
        <v>7833</v>
      </c>
      <c r="E642" t="s">
        <v>7834</v>
      </c>
      <c r="F642">
        <v>203716054</v>
      </c>
      <c r="G642">
        <v>476203</v>
      </c>
      <c r="H642">
        <v>1568474</v>
      </c>
      <c r="I642" t="s">
        <v>7851</v>
      </c>
      <c r="J642">
        <v>2015</v>
      </c>
      <c r="K642" t="s">
        <v>7841</v>
      </c>
      <c r="L642" t="s">
        <v>7837</v>
      </c>
    </row>
    <row r="643" spans="1:12">
      <c r="A643" t="s">
        <v>7830</v>
      </c>
      <c r="B643" t="s">
        <v>7831</v>
      </c>
      <c r="C643" t="s">
        <v>7832</v>
      </c>
      <c r="D643" t="s">
        <v>7833</v>
      </c>
      <c r="E643" t="s">
        <v>7834</v>
      </c>
      <c r="F643">
        <v>274408105</v>
      </c>
      <c r="G643">
        <v>608434</v>
      </c>
      <c r="H643">
        <v>2060293</v>
      </c>
      <c r="I643" t="s">
        <v>7851</v>
      </c>
      <c r="J643">
        <v>2015</v>
      </c>
      <c r="K643" t="s">
        <v>7842</v>
      </c>
      <c r="L643" t="s">
        <v>7837</v>
      </c>
    </row>
    <row r="644" spans="1:12">
      <c r="A644" t="s">
        <v>7830</v>
      </c>
      <c r="B644" t="s">
        <v>7831</v>
      </c>
      <c r="C644" t="s">
        <v>7832</v>
      </c>
      <c r="D644" t="s">
        <v>7833</v>
      </c>
      <c r="E644" t="s">
        <v>7834</v>
      </c>
      <c r="F644">
        <v>226497505</v>
      </c>
      <c r="G644">
        <v>562182</v>
      </c>
      <c r="H644">
        <v>2085996</v>
      </c>
      <c r="I644" t="s">
        <v>7851</v>
      </c>
      <c r="J644">
        <v>2015</v>
      </c>
      <c r="K644" t="s">
        <v>7843</v>
      </c>
      <c r="L644" t="s">
        <v>7837</v>
      </c>
    </row>
    <row r="645" spans="1:12">
      <c r="A645" t="s">
        <v>7830</v>
      </c>
      <c r="B645" t="s">
        <v>7831</v>
      </c>
      <c r="C645" t="s">
        <v>7832</v>
      </c>
      <c r="D645" t="s">
        <v>7833</v>
      </c>
      <c r="E645" t="s">
        <v>7834</v>
      </c>
      <c r="F645">
        <v>185941195</v>
      </c>
      <c r="G645">
        <v>513164</v>
      </c>
      <c r="H645">
        <v>1974315</v>
      </c>
      <c r="I645" t="s">
        <v>7851</v>
      </c>
      <c r="J645">
        <v>2015</v>
      </c>
      <c r="K645" t="s">
        <v>7844</v>
      </c>
      <c r="L645" t="s">
        <v>7837</v>
      </c>
    </row>
    <row r="646" spans="1:12">
      <c r="A646" t="s">
        <v>7830</v>
      </c>
      <c r="B646" t="s">
        <v>7831</v>
      </c>
      <c r="C646" t="s">
        <v>7832</v>
      </c>
      <c r="D646" t="s">
        <v>7833</v>
      </c>
      <c r="E646" t="s">
        <v>7834</v>
      </c>
      <c r="F646">
        <v>409855497</v>
      </c>
      <c r="G646">
        <v>920894</v>
      </c>
      <c r="H646">
        <v>2970259</v>
      </c>
      <c r="I646" t="s">
        <v>7851</v>
      </c>
      <c r="J646">
        <v>2015</v>
      </c>
      <c r="K646" t="s">
        <v>7845</v>
      </c>
      <c r="L646" t="s">
        <v>7837</v>
      </c>
    </row>
    <row r="647" spans="1:12">
      <c r="A647" t="s">
        <v>7830</v>
      </c>
      <c r="B647" t="s">
        <v>7831</v>
      </c>
      <c r="C647" t="s">
        <v>7832</v>
      </c>
      <c r="D647" t="s">
        <v>7833</v>
      </c>
      <c r="E647" t="s">
        <v>7834</v>
      </c>
      <c r="F647">
        <v>470705321</v>
      </c>
      <c r="G647">
        <v>1034112</v>
      </c>
      <c r="H647">
        <v>3052688</v>
      </c>
      <c r="I647" t="s">
        <v>7851</v>
      </c>
      <c r="J647">
        <v>2015</v>
      </c>
      <c r="K647" t="s">
        <v>7846</v>
      </c>
      <c r="L647" t="s">
        <v>7837</v>
      </c>
    </row>
    <row r="648" spans="1:12">
      <c r="A648" t="s">
        <v>7830</v>
      </c>
      <c r="B648" t="s">
        <v>7831</v>
      </c>
      <c r="C648" t="s">
        <v>7832</v>
      </c>
      <c r="D648" t="s">
        <v>7833</v>
      </c>
      <c r="E648" t="s">
        <v>7834</v>
      </c>
      <c r="F648">
        <v>327144609</v>
      </c>
      <c r="G648">
        <v>850058</v>
      </c>
      <c r="H648">
        <v>2404008</v>
      </c>
      <c r="I648" t="s">
        <v>7851</v>
      </c>
      <c r="J648">
        <v>2015</v>
      </c>
      <c r="K648" t="s">
        <v>7847</v>
      </c>
      <c r="L648" t="s">
        <v>7837</v>
      </c>
    </row>
    <row r="649" spans="1:12">
      <c r="A649" t="s">
        <v>7830</v>
      </c>
      <c r="B649" t="s">
        <v>7831</v>
      </c>
      <c r="C649" t="s">
        <v>7832</v>
      </c>
      <c r="D649" t="s">
        <v>7833</v>
      </c>
      <c r="E649" t="s">
        <v>7834</v>
      </c>
      <c r="F649">
        <v>334751087</v>
      </c>
      <c r="G649">
        <v>911988</v>
      </c>
      <c r="H649">
        <v>2671899</v>
      </c>
      <c r="I649" t="s">
        <v>7851</v>
      </c>
      <c r="J649">
        <v>2015</v>
      </c>
      <c r="K649" t="s">
        <v>7848</v>
      </c>
      <c r="L649" t="s">
        <v>7837</v>
      </c>
    </row>
    <row r="650" spans="1:12">
      <c r="A650" t="s">
        <v>7830</v>
      </c>
      <c r="B650" t="s">
        <v>7831</v>
      </c>
      <c r="C650" t="s">
        <v>7832</v>
      </c>
      <c r="D650" t="s">
        <v>7833</v>
      </c>
      <c r="E650" t="s">
        <v>7834</v>
      </c>
      <c r="F650">
        <v>273468768</v>
      </c>
      <c r="G650">
        <v>732431</v>
      </c>
      <c r="H650">
        <v>2009364</v>
      </c>
      <c r="I650" t="s">
        <v>7851</v>
      </c>
      <c r="J650">
        <v>2016</v>
      </c>
      <c r="K650" t="s">
        <v>7836</v>
      </c>
      <c r="L650" t="s">
        <v>7837</v>
      </c>
    </row>
    <row r="651" spans="1:12">
      <c r="A651" t="s">
        <v>7830</v>
      </c>
      <c r="B651" t="s">
        <v>7831</v>
      </c>
      <c r="C651" t="s">
        <v>7832</v>
      </c>
      <c r="D651" t="s">
        <v>7833</v>
      </c>
      <c r="E651" t="s">
        <v>7834</v>
      </c>
      <c r="F651">
        <v>203674425</v>
      </c>
      <c r="G651">
        <v>523913</v>
      </c>
      <c r="H651">
        <v>1502781</v>
      </c>
      <c r="I651" t="s">
        <v>7851</v>
      </c>
      <c r="J651">
        <v>2016</v>
      </c>
      <c r="K651" t="s">
        <v>7838</v>
      </c>
      <c r="L651" t="s">
        <v>7837</v>
      </c>
    </row>
    <row r="652" spans="1:12">
      <c r="A652" t="s">
        <v>7830</v>
      </c>
      <c r="B652" t="s">
        <v>7831</v>
      </c>
      <c r="C652" t="s">
        <v>7832</v>
      </c>
      <c r="D652" t="s">
        <v>7833</v>
      </c>
      <c r="E652" t="s">
        <v>7834</v>
      </c>
      <c r="F652">
        <v>262527441</v>
      </c>
      <c r="G652">
        <v>558187</v>
      </c>
      <c r="H652">
        <v>1683563</v>
      </c>
      <c r="I652" t="s">
        <v>7851</v>
      </c>
      <c r="J652">
        <v>2016</v>
      </c>
      <c r="K652" t="s">
        <v>7839</v>
      </c>
      <c r="L652" t="s">
        <v>7837</v>
      </c>
    </row>
    <row r="653" spans="1:12">
      <c r="A653" t="s">
        <v>7830</v>
      </c>
      <c r="B653" t="s">
        <v>7831</v>
      </c>
      <c r="C653" t="s">
        <v>7832</v>
      </c>
      <c r="D653" t="s">
        <v>7833</v>
      </c>
      <c r="E653" t="s">
        <v>7834</v>
      </c>
      <c r="F653">
        <v>381895034</v>
      </c>
      <c r="G653">
        <v>706063</v>
      </c>
      <c r="H653">
        <v>2172200</v>
      </c>
      <c r="I653" t="s">
        <v>7851</v>
      </c>
      <c r="J653">
        <v>2016</v>
      </c>
      <c r="K653" t="s">
        <v>7840</v>
      </c>
      <c r="L653" t="s">
        <v>7837</v>
      </c>
    </row>
    <row r="654" spans="1:12">
      <c r="A654" t="s">
        <v>7830</v>
      </c>
      <c r="B654" t="s">
        <v>7831</v>
      </c>
      <c r="C654" t="s">
        <v>7832</v>
      </c>
      <c r="D654" t="s">
        <v>7833</v>
      </c>
      <c r="E654" t="s">
        <v>7834</v>
      </c>
      <c r="F654">
        <v>310528116</v>
      </c>
      <c r="G654">
        <v>650907</v>
      </c>
      <c r="H654">
        <v>2007115</v>
      </c>
      <c r="I654" t="s">
        <v>7851</v>
      </c>
      <c r="J654">
        <v>2016</v>
      </c>
      <c r="K654" t="s">
        <v>7841</v>
      </c>
      <c r="L654" t="s">
        <v>7837</v>
      </c>
    </row>
    <row r="655" spans="1:12">
      <c r="A655" t="s">
        <v>7830</v>
      </c>
      <c r="B655" t="s">
        <v>7831</v>
      </c>
      <c r="C655" t="s">
        <v>7832</v>
      </c>
      <c r="D655" t="s">
        <v>7833</v>
      </c>
      <c r="E655" t="s">
        <v>7834</v>
      </c>
      <c r="F655">
        <v>388657576</v>
      </c>
      <c r="G655">
        <v>677341</v>
      </c>
      <c r="H655">
        <v>2041393</v>
      </c>
      <c r="I655" t="s">
        <v>7851</v>
      </c>
      <c r="J655">
        <v>2016</v>
      </c>
      <c r="K655" t="s">
        <v>7842</v>
      </c>
      <c r="L655" t="s">
        <v>7837</v>
      </c>
    </row>
    <row r="656" spans="1:12">
      <c r="A656" t="s">
        <v>7830</v>
      </c>
      <c r="B656" t="s">
        <v>7831</v>
      </c>
      <c r="C656" t="s">
        <v>7832</v>
      </c>
      <c r="D656" t="s">
        <v>7833</v>
      </c>
      <c r="E656" t="s">
        <v>7834</v>
      </c>
      <c r="F656">
        <v>244235029</v>
      </c>
      <c r="G656">
        <v>522671</v>
      </c>
      <c r="H656">
        <v>1644217</v>
      </c>
      <c r="I656" t="s">
        <v>7851</v>
      </c>
      <c r="J656">
        <v>2016</v>
      </c>
      <c r="K656" t="s">
        <v>7843</v>
      </c>
      <c r="L656" t="s">
        <v>7837</v>
      </c>
    </row>
    <row r="657" spans="1:12">
      <c r="A657" t="s">
        <v>7830</v>
      </c>
      <c r="B657" t="s">
        <v>7831</v>
      </c>
      <c r="C657" t="s">
        <v>7832</v>
      </c>
      <c r="D657" t="s">
        <v>7833</v>
      </c>
      <c r="E657" t="s">
        <v>7834</v>
      </c>
      <c r="F657">
        <v>285105699</v>
      </c>
      <c r="G657">
        <v>543990</v>
      </c>
      <c r="H657">
        <v>1656612</v>
      </c>
      <c r="I657" t="s">
        <v>7851</v>
      </c>
      <c r="J657">
        <v>2016</v>
      </c>
      <c r="K657" t="s">
        <v>7844</v>
      </c>
      <c r="L657" t="s">
        <v>7837</v>
      </c>
    </row>
    <row r="658" spans="1:12">
      <c r="A658" t="s">
        <v>7830</v>
      </c>
      <c r="B658" t="s">
        <v>7831</v>
      </c>
      <c r="C658" t="s">
        <v>7832</v>
      </c>
      <c r="D658" t="s">
        <v>7833</v>
      </c>
      <c r="E658" t="s">
        <v>7834</v>
      </c>
      <c r="F658">
        <v>364818559</v>
      </c>
      <c r="G658">
        <v>661775</v>
      </c>
      <c r="H658">
        <v>2008132</v>
      </c>
      <c r="I658" t="s">
        <v>7851</v>
      </c>
      <c r="J658">
        <v>2016</v>
      </c>
      <c r="K658" t="s">
        <v>7845</v>
      </c>
      <c r="L658" t="s">
        <v>7837</v>
      </c>
    </row>
    <row r="659" spans="1:12">
      <c r="A659" t="s">
        <v>7830</v>
      </c>
      <c r="B659" t="s">
        <v>7831</v>
      </c>
      <c r="C659" t="s">
        <v>7832</v>
      </c>
      <c r="D659" t="s">
        <v>7833</v>
      </c>
      <c r="E659" t="s">
        <v>7834</v>
      </c>
      <c r="F659">
        <v>420001754</v>
      </c>
      <c r="G659">
        <v>693422</v>
      </c>
      <c r="H659">
        <v>2087423</v>
      </c>
      <c r="I659" t="s">
        <v>7851</v>
      </c>
      <c r="J659">
        <v>2016</v>
      </c>
      <c r="K659" t="s">
        <v>7846</v>
      </c>
      <c r="L659" t="s">
        <v>7837</v>
      </c>
    </row>
    <row r="660" spans="1:12">
      <c r="A660" t="s">
        <v>7830</v>
      </c>
      <c r="B660" t="s">
        <v>7831</v>
      </c>
      <c r="C660" t="s">
        <v>7832</v>
      </c>
      <c r="D660" t="s">
        <v>7833</v>
      </c>
      <c r="E660" t="s">
        <v>7834</v>
      </c>
      <c r="F660">
        <v>542276738</v>
      </c>
      <c r="G660">
        <v>881597</v>
      </c>
      <c r="H660">
        <v>2653996</v>
      </c>
      <c r="I660" t="s">
        <v>7851</v>
      </c>
      <c r="J660">
        <v>2016</v>
      </c>
      <c r="K660" t="s">
        <v>7847</v>
      </c>
      <c r="L660" t="s">
        <v>7837</v>
      </c>
    </row>
    <row r="661" spans="1:12">
      <c r="A661" t="s">
        <v>7830</v>
      </c>
      <c r="B661" t="s">
        <v>7831</v>
      </c>
      <c r="C661" t="s">
        <v>7832</v>
      </c>
      <c r="D661" t="s">
        <v>7833</v>
      </c>
      <c r="E661" t="s">
        <v>7834</v>
      </c>
      <c r="F661">
        <v>542214656</v>
      </c>
      <c r="G661">
        <v>749749</v>
      </c>
      <c r="H661">
        <v>2219023</v>
      </c>
      <c r="I661" t="s">
        <v>7851</v>
      </c>
      <c r="J661">
        <v>2016</v>
      </c>
      <c r="K661" t="s">
        <v>7848</v>
      </c>
      <c r="L661" t="s">
        <v>7837</v>
      </c>
    </row>
    <row r="662" spans="1:12">
      <c r="A662" t="s">
        <v>7830</v>
      </c>
      <c r="B662" t="s">
        <v>7831</v>
      </c>
      <c r="C662" t="s">
        <v>7832</v>
      </c>
      <c r="D662" t="s">
        <v>7833</v>
      </c>
      <c r="E662" t="s">
        <v>7834</v>
      </c>
      <c r="F662">
        <v>564234467</v>
      </c>
      <c r="G662">
        <v>704151</v>
      </c>
      <c r="H662">
        <v>2006856</v>
      </c>
      <c r="I662" t="s">
        <v>7851</v>
      </c>
      <c r="J662">
        <v>2017</v>
      </c>
      <c r="K662" t="s">
        <v>7836</v>
      </c>
      <c r="L662" t="s">
        <v>7837</v>
      </c>
    </row>
    <row r="663" spans="1:12">
      <c r="A663" t="s">
        <v>7830</v>
      </c>
      <c r="B663" t="s">
        <v>7831</v>
      </c>
      <c r="C663" t="s">
        <v>7832</v>
      </c>
      <c r="D663" t="s">
        <v>7833</v>
      </c>
      <c r="E663" t="s">
        <v>7834</v>
      </c>
      <c r="F663">
        <v>312527124</v>
      </c>
      <c r="G663">
        <v>425322</v>
      </c>
      <c r="H663">
        <v>1219500</v>
      </c>
      <c r="I663" t="s">
        <v>7851</v>
      </c>
      <c r="J663">
        <v>2017</v>
      </c>
      <c r="K663" t="s">
        <v>7838</v>
      </c>
      <c r="L663" t="s">
        <v>7837</v>
      </c>
    </row>
    <row r="664" spans="1:12">
      <c r="A664" t="s">
        <v>7830</v>
      </c>
      <c r="B664" t="s">
        <v>7831</v>
      </c>
      <c r="C664" t="s">
        <v>7832</v>
      </c>
      <c r="D664" t="s">
        <v>7833</v>
      </c>
      <c r="E664" t="s">
        <v>7834</v>
      </c>
      <c r="F664">
        <v>355262422</v>
      </c>
      <c r="G664">
        <v>500379</v>
      </c>
      <c r="H664">
        <v>1509131</v>
      </c>
      <c r="I664" t="s">
        <v>7851</v>
      </c>
      <c r="J664">
        <v>2017</v>
      </c>
      <c r="K664" t="s">
        <v>7839</v>
      </c>
      <c r="L664" t="s">
        <v>7837</v>
      </c>
    </row>
    <row r="665" spans="1:12">
      <c r="A665" t="s">
        <v>7830</v>
      </c>
      <c r="B665" t="s">
        <v>7831</v>
      </c>
      <c r="C665" t="s">
        <v>7832</v>
      </c>
      <c r="D665" t="s">
        <v>7833</v>
      </c>
      <c r="E665" t="s">
        <v>7834</v>
      </c>
      <c r="F665">
        <v>555557860</v>
      </c>
      <c r="G665">
        <v>618974</v>
      </c>
      <c r="H665">
        <v>1943533</v>
      </c>
      <c r="I665" t="s">
        <v>7851</v>
      </c>
      <c r="J665">
        <v>2017</v>
      </c>
      <c r="K665" t="s">
        <v>7840</v>
      </c>
      <c r="L665" t="s">
        <v>7837</v>
      </c>
    </row>
    <row r="666" spans="1:12">
      <c r="A666" t="s">
        <v>7830</v>
      </c>
      <c r="B666" t="s">
        <v>7831</v>
      </c>
      <c r="C666" t="s">
        <v>7832</v>
      </c>
      <c r="D666" t="s">
        <v>7833</v>
      </c>
      <c r="E666" t="s">
        <v>7834</v>
      </c>
      <c r="F666">
        <v>438841637</v>
      </c>
      <c r="G666">
        <v>569136</v>
      </c>
      <c r="H666">
        <v>1866636</v>
      </c>
      <c r="I666" t="s">
        <v>7851</v>
      </c>
      <c r="J666">
        <v>2017</v>
      </c>
      <c r="K666" t="s">
        <v>7841</v>
      </c>
      <c r="L666" t="s">
        <v>7837</v>
      </c>
    </row>
    <row r="667" spans="1:12">
      <c r="A667" t="s">
        <v>7830</v>
      </c>
      <c r="B667" t="s">
        <v>7831</v>
      </c>
      <c r="C667" t="s">
        <v>7832</v>
      </c>
      <c r="D667" t="s">
        <v>7833</v>
      </c>
      <c r="E667" t="s">
        <v>7834</v>
      </c>
      <c r="F667">
        <v>279154279</v>
      </c>
      <c r="G667">
        <v>458360</v>
      </c>
      <c r="H667">
        <v>1436575</v>
      </c>
      <c r="I667" t="s">
        <v>7851</v>
      </c>
      <c r="J667">
        <v>2017</v>
      </c>
      <c r="K667" t="s">
        <v>7842</v>
      </c>
      <c r="L667" t="s">
        <v>7837</v>
      </c>
    </row>
    <row r="668" spans="1:12">
      <c r="A668" t="s">
        <v>7830</v>
      </c>
      <c r="B668" t="s">
        <v>7831</v>
      </c>
      <c r="C668" t="s">
        <v>7832</v>
      </c>
      <c r="D668" t="s">
        <v>7833</v>
      </c>
      <c r="E668" t="s">
        <v>7834</v>
      </c>
      <c r="F668">
        <v>319681261</v>
      </c>
      <c r="G668">
        <v>442596</v>
      </c>
      <c r="H668">
        <v>1388177</v>
      </c>
      <c r="I668" t="s">
        <v>7851</v>
      </c>
      <c r="J668">
        <v>2017</v>
      </c>
      <c r="K668" t="s">
        <v>7843</v>
      </c>
      <c r="L668" t="s">
        <v>7837</v>
      </c>
    </row>
    <row r="669" spans="1:12">
      <c r="A669" t="s">
        <v>7830</v>
      </c>
      <c r="B669" t="s">
        <v>7831</v>
      </c>
      <c r="C669" t="s">
        <v>7832</v>
      </c>
      <c r="D669" t="s">
        <v>7833</v>
      </c>
      <c r="E669" t="s">
        <v>7834</v>
      </c>
      <c r="F669">
        <v>284874333</v>
      </c>
      <c r="G669">
        <v>436801</v>
      </c>
      <c r="H669">
        <v>1610338</v>
      </c>
      <c r="I669" t="s">
        <v>7851</v>
      </c>
      <c r="J669">
        <v>2017</v>
      </c>
      <c r="K669" t="s">
        <v>7844</v>
      </c>
      <c r="L669" t="s">
        <v>7837</v>
      </c>
    </row>
    <row r="670" spans="1:12">
      <c r="A670" t="s">
        <v>7830</v>
      </c>
      <c r="B670" t="s">
        <v>7831</v>
      </c>
      <c r="C670" t="s">
        <v>7832</v>
      </c>
      <c r="D670" t="s">
        <v>7833</v>
      </c>
      <c r="E670" t="s">
        <v>7834</v>
      </c>
      <c r="F670">
        <v>570467971</v>
      </c>
      <c r="G670">
        <v>689660</v>
      </c>
      <c r="H670">
        <v>2131748</v>
      </c>
      <c r="I670" t="s">
        <v>7851</v>
      </c>
      <c r="J670">
        <v>2017</v>
      </c>
      <c r="K670" t="s">
        <v>7845</v>
      </c>
      <c r="L670" t="s">
        <v>7837</v>
      </c>
    </row>
    <row r="671" spans="1:12">
      <c r="A671" t="s">
        <v>7830</v>
      </c>
      <c r="B671" t="s">
        <v>7831</v>
      </c>
      <c r="C671" t="s">
        <v>7832</v>
      </c>
      <c r="D671" t="s">
        <v>7833</v>
      </c>
      <c r="E671" t="s">
        <v>7834</v>
      </c>
      <c r="F671">
        <v>486196081</v>
      </c>
      <c r="G671">
        <v>671821</v>
      </c>
      <c r="H671">
        <v>2066371</v>
      </c>
      <c r="I671" t="s">
        <v>7851</v>
      </c>
      <c r="J671">
        <v>2017</v>
      </c>
      <c r="K671" t="s">
        <v>7846</v>
      </c>
      <c r="L671" t="s">
        <v>7837</v>
      </c>
    </row>
    <row r="672" spans="1:12">
      <c r="A672" t="s">
        <v>7830</v>
      </c>
      <c r="B672" t="s">
        <v>7831</v>
      </c>
      <c r="C672" t="s">
        <v>7832</v>
      </c>
      <c r="D672" t="s">
        <v>7833</v>
      </c>
      <c r="E672" t="s">
        <v>7834</v>
      </c>
      <c r="F672">
        <v>701686709</v>
      </c>
      <c r="G672">
        <v>826977</v>
      </c>
      <c r="H672">
        <v>2274315</v>
      </c>
      <c r="I672" t="s">
        <v>7851</v>
      </c>
      <c r="J672">
        <v>2017</v>
      </c>
      <c r="K672" t="s">
        <v>7847</v>
      </c>
      <c r="L672" t="s">
        <v>7837</v>
      </c>
    </row>
    <row r="673" spans="1:12">
      <c r="A673" t="s">
        <v>7830</v>
      </c>
      <c r="B673" t="s">
        <v>7831</v>
      </c>
      <c r="C673" t="s">
        <v>7832</v>
      </c>
      <c r="D673" t="s">
        <v>7833</v>
      </c>
      <c r="E673" t="s">
        <v>7834</v>
      </c>
      <c r="F673">
        <v>488998509</v>
      </c>
      <c r="G673">
        <v>531547</v>
      </c>
      <c r="H673">
        <v>1616462</v>
      </c>
      <c r="I673" t="s">
        <v>7851</v>
      </c>
      <c r="J673">
        <v>2017</v>
      </c>
      <c r="K673" t="s">
        <v>7848</v>
      </c>
      <c r="L673" t="s">
        <v>7837</v>
      </c>
    </row>
    <row r="674" spans="1:12">
      <c r="A674" t="s">
        <v>7830</v>
      </c>
      <c r="B674" t="s">
        <v>7831</v>
      </c>
      <c r="C674" t="s">
        <v>7832</v>
      </c>
      <c r="D674" t="s">
        <v>7833</v>
      </c>
      <c r="E674" t="s">
        <v>7834</v>
      </c>
      <c r="F674">
        <v>438433686</v>
      </c>
      <c r="G674">
        <v>549804</v>
      </c>
      <c r="H674">
        <v>1585524</v>
      </c>
      <c r="I674" t="s">
        <v>7851</v>
      </c>
      <c r="J674">
        <v>2018</v>
      </c>
      <c r="K674" t="s">
        <v>7836</v>
      </c>
      <c r="L674" t="s">
        <v>7837</v>
      </c>
    </row>
    <row r="675" spans="1:12">
      <c r="A675" t="s">
        <v>7830</v>
      </c>
      <c r="B675" t="s">
        <v>7831</v>
      </c>
      <c r="C675" t="s">
        <v>7832</v>
      </c>
      <c r="D675" t="s">
        <v>7833</v>
      </c>
      <c r="E675" t="s">
        <v>7834</v>
      </c>
      <c r="F675">
        <v>247918730</v>
      </c>
      <c r="G675">
        <v>340784</v>
      </c>
      <c r="H675">
        <v>1094869</v>
      </c>
      <c r="I675" t="s">
        <v>7851</v>
      </c>
      <c r="J675">
        <v>2018</v>
      </c>
      <c r="K675" t="s">
        <v>7838</v>
      </c>
      <c r="L675" t="s">
        <v>7837</v>
      </c>
    </row>
    <row r="676" spans="1:12">
      <c r="A676" t="s">
        <v>7830</v>
      </c>
      <c r="B676" t="s">
        <v>7831</v>
      </c>
      <c r="C676" t="s">
        <v>7832</v>
      </c>
      <c r="D676" t="s">
        <v>7833</v>
      </c>
      <c r="E676" t="s">
        <v>7834</v>
      </c>
      <c r="F676">
        <v>389991327</v>
      </c>
      <c r="G676">
        <v>468763</v>
      </c>
      <c r="H676">
        <v>1458678</v>
      </c>
      <c r="I676" t="s">
        <v>7851</v>
      </c>
      <c r="J676">
        <v>2018</v>
      </c>
      <c r="K676" t="s">
        <v>7839</v>
      </c>
      <c r="L676" t="s">
        <v>7837</v>
      </c>
    </row>
    <row r="677" spans="1:12">
      <c r="A677" t="s">
        <v>7830</v>
      </c>
      <c r="B677" t="s">
        <v>7831</v>
      </c>
      <c r="C677" t="s">
        <v>7832</v>
      </c>
      <c r="D677" t="s">
        <v>7833</v>
      </c>
      <c r="E677" t="s">
        <v>7834</v>
      </c>
      <c r="F677">
        <v>441593445</v>
      </c>
      <c r="G677">
        <v>552563</v>
      </c>
      <c r="H677">
        <v>1736886</v>
      </c>
      <c r="I677" t="s">
        <v>7851</v>
      </c>
      <c r="J677">
        <v>2018</v>
      </c>
      <c r="K677" t="s">
        <v>7840</v>
      </c>
      <c r="L677" t="s">
        <v>7837</v>
      </c>
    </row>
    <row r="678" spans="1:12">
      <c r="A678" t="s">
        <v>7830</v>
      </c>
      <c r="B678" t="s">
        <v>7831</v>
      </c>
      <c r="C678" t="s">
        <v>7832</v>
      </c>
      <c r="D678" t="s">
        <v>7833</v>
      </c>
      <c r="E678" t="s">
        <v>7834</v>
      </c>
      <c r="F678">
        <v>405661606</v>
      </c>
      <c r="G678">
        <v>539689</v>
      </c>
      <c r="H678">
        <v>1564823</v>
      </c>
      <c r="I678" t="s">
        <v>7851</v>
      </c>
      <c r="J678">
        <v>2018</v>
      </c>
      <c r="K678" t="s">
        <v>7841</v>
      </c>
      <c r="L678" t="s">
        <v>7837</v>
      </c>
    </row>
    <row r="679" spans="1:12">
      <c r="A679" t="s">
        <v>7830</v>
      </c>
      <c r="B679" t="s">
        <v>7831</v>
      </c>
      <c r="C679" t="s">
        <v>7832</v>
      </c>
      <c r="D679" t="s">
        <v>7833</v>
      </c>
      <c r="E679" t="s">
        <v>7834</v>
      </c>
      <c r="F679">
        <v>412492951</v>
      </c>
      <c r="G679">
        <v>487128</v>
      </c>
      <c r="H679">
        <v>1471678</v>
      </c>
      <c r="I679" t="s">
        <v>7851</v>
      </c>
      <c r="J679">
        <v>2018</v>
      </c>
      <c r="K679" t="s">
        <v>7842</v>
      </c>
      <c r="L679" t="s">
        <v>7837</v>
      </c>
    </row>
    <row r="680" spans="1:12">
      <c r="A680" t="s">
        <v>7830</v>
      </c>
      <c r="B680" t="s">
        <v>7831</v>
      </c>
      <c r="C680" t="s">
        <v>7832</v>
      </c>
      <c r="D680" t="s">
        <v>7833</v>
      </c>
      <c r="E680" t="s">
        <v>7834</v>
      </c>
      <c r="F680">
        <v>449627787</v>
      </c>
      <c r="G680">
        <v>593936</v>
      </c>
      <c r="H680">
        <v>1725152</v>
      </c>
      <c r="I680" t="s">
        <v>7851</v>
      </c>
      <c r="J680">
        <v>2018</v>
      </c>
      <c r="K680" t="s">
        <v>7843</v>
      </c>
      <c r="L680" t="s">
        <v>7837</v>
      </c>
    </row>
    <row r="681" spans="1:12">
      <c r="A681" t="s">
        <v>7830</v>
      </c>
      <c r="B681" t="s">
        <v>7831</v>
      </c>
      <c r="C681" t="s">
        <v>7832</v>
      </c>
      <c r="D681" t="s">
        <v>7833</v>
      </c>
      <c r="E681" t="s">
        <v>7834</v>
      </c>
      <c r="F681">
        <v>495080497</v>
      </c>
      <c r="G681">
        <v>610370</v>
      </c>
      <c r="H681">
        <v>1785437</v>
      </c>
      <c r="I681" t="s">
        <v>7851</v>
      </c>
      <c r="J681">
        <v>2018</v>
      </c>
      <c r="K681" t="s">
        <v>7844</v>
      </c>
      <c r="L681" t="s">
        <v>7837</v>
      </c>
    </row>
    <row r="682" spans="1:12">
      <c r="A682" t="s">
        <v>7830</v>
      </c>
      <c r="B682" t="s">
        <v>7831</v>
      </c>
      <c r="C682" t="s">
        <v>7832</v>
      </c>
      <c r="D682" t="s">
        <v>7833</v>
      </c>
      <c r="E682" t="s">
        <v>7834</v>
      </c>
      <c r="F682">
        <v>773151765</v>
      </c>
      <c r="G682">
        <v>680606</v>
      </c>
      <c r="H682">
        <v>2091947</v>
      </c>
      <c r="I682" t="s">
        <v>7851</v>
      </c>
      <c r="J682">
        <v>2018</v>
      </c>
      <c r="K682" t="s">
        <v>7845</v>
      </c>
      <c r="L682" t="s">
        <v>7837</v>
      </c>
    </row>
    <row r="683" spans="1:12">
      <c r="A683" t="s">
        <v>7830</v>
      </c>
      <c r="B683" t="s">
        <v>7831</v>
      </c>
      <c r="C683" t="s">
        <v>7832</v>
      </c>
      <c r="D683" t="s">
        <v>7833</v>
      </c>
      <c r="E683" t="s">
        <v>7834</v>
      </c>
      <c r="F683">
        <v>684641073</v>
      </c>
      <c r="G683">
        <v>792576</v>
      </c>
      <c r="H683">
        <v>2156775</v>
      </c>
      <c r="I683" t="s">
        <v>7851</v>
      </c>
      <c r="J683">
        <v>2018</v>
      </c>
      <c r="K683" t="s">
        <v>7846</v>
      </c>
      <c r="L683" t="s">
        <v>7837</v>
      </c>
    </row>
    <row r="684" spans="1:12">
      <c r="A684" t="s">
        <v>7830</v>
      </c>
      <c r="B684" t="s">
        <v>7831</v>
      </c>
      <c r="C684" t="s">
        <v>7832</v>
      </c>
      <c r="D684" t="s">
        <v>7833</v>
      </c>
      <c r="E684" t="s">
        <v>7834</v>
      </c>
      <c r="F684">
        <v>837026320</v>
      </c>
      <c r="G684">
        <v>950908</v>
      </c>
      <c r="H684">
        <v>2551209</v>
      </c>
      <c r="I684" t="s">
        <v>7851</v>
      </c>
      <c r="J684">
        <v>2018</v>
      </c>
      <c r="K684" t="s">
        <v>7847</v>
      </c>
      <c r="L684" t="s">
        <v>7837</v>
      </c>
    </row>
    <row r="685" spans="1:12">
      <c r="A685" t="s">
        <v>7830</v>
      </c>
      <c r="B685" t="s">
        <v>7831</v>
      </c>
      <c r="C685" t="s">
        <v>7832</v>
      </c>
      <c r="D685" t="s">
        <v>7833</v>
      </c>
      <c r="E685" t="s">
        <v>7834</v>
      </c>
      <c r="F685">
        <v>606770039</v>
      </c>
      <c r="G685">
        <v>712944</v>
      </c>
      <c r="H685">
        <v>2054573</v>
      </c>
      <c r="I685" t="s">
        <v>7851</v>
      </c>
      <c r="J685">
        <v>2018</v>
      </c>
      <c r="K685" t="s">
        <v>7848</v>
      </c>
      <c r="L685" t="s">
        <v>7837</v>
      </c>
    </row>
    <row r="686" spans="1:12">
      <c r="A686" t="s">
        <v>7830</v>
      </c>
      <c r="B686" t="s">
        <v>7831</v>
      </c>
      <c r="C686" t="s">
        <v>7832</v>
      </c>
      <c r="D686" t="s">
        <v>7833</v>
      </c>
      <c r="E686" t="s">
        <v>7834</v>
      </c>
      <c r="F686">
        <v>671700681</v>
      </c>
      <c r="G686">
        <v>743292</v>
      </c>
      <c r="H686">
        <v>1941799</v>
      </c>
      <c r="I686" t="s">
        <v>7851</v>
      </c>
      <c r="J686">
        <v>2019</v>
      </c>
      <c r="K686" t="s">
        <v>7836</v>
      </c>
      <c r="L686" t="s">
        <v>7837</v>
      </c>
    </row>
    <row r="687" spans="1:12">
      <c r="A687" t="s">
        <v>7830</v>
      </c>
      <c r="B687" t="s">
        <v>7831</v>
      </c>
      <c r="C687" t="s">
        <v>7832</v>
      </c>
      <c r="D687" t="s">
        <v>7833</v>
      </c>
      <c r="E687" t="s">
        <v>7834</v>
      </c>
      <c r="F687">
        <v>337598652</v>
      </c>
      <c r="G687">
        <v>445909</v>
      </c>
      <c r="H687">
        <v>1227963</v>
      </c>
      <c r="I687" t="s">
        <v>7851</v>
      </c>
      <c r="J687">
        <v>2019</v>
      </c>
      <c r="K687" t="s">
        <v>7838</v>
      </c>
      <c r="L687" t="s">
        <v>7837</v>
      </c>
    </row>
    <row r="688" spans="1:12">
      <c r="A688" t="s">
        <v>7830</v>
      </c>
      <c r="B688" t="s">
        <v>7831</v>
      </c>
      <c r="C688" t="s">
        <v>7832</v>
      </c>
      <c r="D688" t="s">
        <v>7833</v>
      </c>
      <c r="E688" t="s">
        <v>7834</v>
      </c>
      <c r="F688">
        <v>773463998</v>
      </c>
      <c r="G688">
        <v>866782</v>
      </c>
      <c r="H688">
        <v>2308092</v>
      </c>
      <c r="I688" t="s">
        <v>7851</v>
      </c>
      <c r="J688">
        <v>2019</v>
      </c>
      <c r="K688" t="s">
        <v>7839</v>
      </c>
      <c r="L688" t="s">
        <v>7837</v>
      </c>
    </row>
    <row r="689" spans="1:12">
      <c r="A689" t="s">
        <v>7830</v>
      </c>
      <c r="B689" t="s">
        <v>7831</v>
      </c>
      <c r="C689" t="s">
        <v>7832</v>
      </c>
      <c r="D689" t="s">
        <v>7833</v>
      </c>
      <c r="E689" t="s">
        <v>7834</v>
      </c>
      <c r="F689">
        <v>449071665</v>
      </c>
      <c r="G689">
        <v>574239</v>
      </c>
      <c r="H689">
        <v>1549354</v>
      </c>
      <c r="I689" t="s">
        <v>7851</v>
      </c>
      <c r="J689">
        <v>2019</v>
      </c>
      <c r="K689" t="s">
        <v>7840</v>
      </c>
      <c r="L689" t="s">
        <v>7837</v>
      </c>
    </row>
    <row r="690" spans="1:12">
      <c r="A690" t="s">
        <v>7830</v>
      </c>
      <c r="B690" t="s">
        <v>7831</v>
      </c>
      <c r="C690" t="s">
        <v>7832</v>
      </c>
      <c r="D690" t="s">
        <v>7833</v>
      </c>
      <c r="E690" t="s">
        <v>7834</v>
      </c>
      <c r="F690">
        <v>376521863</v>
      </c>
      <c r="G690">
        <v>460856</v>
      </c>
      <c r="H690">
        <v>1268004</v>
      </c>
      <c r="I690" t="s">
        <v>7851</v>
      </c>
      <c r="J690">
        <v>2019</v>
      </c>
      <c r="K690" t="s">
        <v>7841</v>
      </c>
      <c r="L690" t="s">
        <v>7837</v>
      </c>
    </row>
    <row r="691" spans="1:12">
      <c r="A691" t="s">
        <v>7830</v>
      </c>
      <c r="B691" t="s">
        <v>7831</v>
      </c>
      <c r="C691" t="s">
        <v>7832</v>
      </c>
      <c r="D691" t="s">
        <v>7833</v>
      </c>
      <c r="E691" t="s">
        <v>7834</v>
      </c>
      <c r="F691">
        <v>483456028</v>
      </c>
      <c r="G691">
        <v>560806</v>
      </c>
      <c r="H691">
        <v>1632826</v>
      </c>
      <c r="I691" t="s">
        <v>7851</v>
      </c>
      <c r="J691">
        <v>2019</v>
      </c>
      <c r="K691" t="s">
        <v>7842</v>
      </c>
      <c r="L691" t="s">
        <v>7837</v>
      </c>
    </row>
    <row r="692" spans="1:12">
      <c r="A692" t="s">
        <v>7830</v>
      </c>
      <c r="B692" t="s">
        <v>7831</v>
      </c>
      <c r="C692" t="s">
        <v>7832</v>
      </c>
      <c r="D692" t="s">
        <v>7833</v>
      </c>
      <c r="E692" t="s">
        <v>7834</v>
      </c>
      <c r="F692">
        <v>442233432</v>
      </c>
      <c r="G692">
        <v>572156</v>
      </c>
      <c r="H692">
        <v>1837588</v>
      </c>
      <c r="I692" t="s">
        <v>7851</v>
      </c>
      <c r="J692">
        <v>2019</v>
      </c>
      <c r="K692" t="s">
        <v>7843</v>
      </c>
      <c r="L692" t="s">
        <v>7837</v>
      </c>
    </row>
    <row r="693" spans="1:12">
      <c r="A693" t="s">
        <v>7830</v>
      </c>
      <c r="B693" t="s">
        <v>7831</v>
      </c>
      <c r="C693" t="s">
        <v>7832</v>
      </c>
      <c r="D693" t="s">
        <v>7833</v>
      </c>
      <c r="E693" t="s">
        <v>7834</v>
      </c>
      <c r="F693">
        <v>482805922</v>
      </c>
      <c r="G693">
        <v>541620</v>
      </c>
      <c r="H693">
        <v>1716327</v>
      </c>
      <c r="I693" t="s">
        <v>7851</v>
      </c>
      <c r="J693">
        <v>2019</v>
      </c>
      <c r="K693" t="s">
        <v>7844</v>
      </c>
      <c r="L693" t="s">
        <v>7837</v>
      </c>
    </row>
    <row r="694" spans="1:12">
      <c r="A694" t="s">
        <v>7830</v>
      </c>
      <c r="B694" t="s">
        <v>7831</v>
      </c>
      <c r="C694" t="s">
        <v>7832</v>
      </c>
      <c r="D694" t="s">
        <v>7833</v>
      </c>
      <c r="E694" t="s">
        <v>7834</v>
      </c>
      <c r="F694">
        <v>400385006</v>
      </c>
      <c r="G694">
        <v>557679</v>
      </c>
      <c r="H694">
        <v>1557929</v>
      </c>
      <c r="I694" t="s">
        <v>7851</v>
      </c>
      <c r="J694">
        <v>2019</v>
      </c>
      <c r="K694" t="s">
        <v>7845</v>
      </c>
      <c r="L694" t="s">
        <v>7837</v>
      </c>
    </row>
    <row r="695" spans="1:12">
      <c r="A695" t="s">
        <v>7830</v>
      </c>
      <c r="B695" t="s">
        <v>7831</v>
      </c>
      <c r="C695" t="s">
        <v>7832</v>
      </c>
      <c r="D695" t="s">
        <v>7833</v>
      </c>
      <c r="E695" t="s">
        <v>7834</v>
      </c>
      <c r="F695">
        <v>1160333106</v>
      </c>
      <c r="G695">
        <v>1320317</v>
      </c>
      <c r="H695">
        <v>3209028</v>
      </c>
      <c r="I695" t="s">
        <v>7851</v>
      </c>
      <c r="J695">
        <v>2019</v>
      </c>
      <c r="K695" t="s">
        <v>7846</v>
      </c>
      <c r="L695" t="s">
        <v>7837</v>
      </c>
    </row>
    <row r="696" spans="1:12">
      <c r="A696" t="s">
        <v>7830</v>
      </c>
      <c r="B696" t="s">
        <v>7831</v>
      </c>
      <c r="C696" t="s">
        <v>7832</v>
      </c>
      <c r="D696" t="s">
        <v>7833</v>
      </c>
      <c r="E696" t="s">
        <v>7834</v>
      </c>
      <c r="F696">
        <v>735478922</v>
      </c>
      <c r="G696">
        <v>891215</v>
      </c>
      <c r="H696">
        <v>2313194</v>
      </c>
      <c r="I696" t="s">
        <v>7851</v>
      </c>
      <c r="J696">
        <v>2019</v>
      </c>
      <c r="K696" t="s">
        <v>7847</v>
      </c>
      <c r="L696" t="s">
        <v>7837</v>
      </c>
    </row>
    <row r="697" spans="1:12">
      <c r="A697" t="s">
        <v>7830</v>
      </c>
      <c r="B697" t="s">
        <v>7831</v>
      </c>
      <c r="C697" t="s">
        <v>7832</v>
      </c>
      <c r="D697" t="s">
        <v>7833</v>
      </c>
      <c r="E697" t="s">
        <v>7834</v>
      </c>
      <c r="F697">
        <v>481778201</v>
      </c>
      <c r="G697">
        <v>681604</v>
      </c>
      <c r="H697">
        <v>1822739</v>
      </c>
      <c r="I697" t="s">
        <v>7851</v>
      </c>
      <c r="J697">
        <v>2019</v>
      </c>
      <c r="K697" t="s">
        <v>7848</v>
      </c>
      <c r="L697" t="s">
        <v>7837</v>
      </c>
    </row>
    <row r="698" spans="1:12">
      <c r="A698" t="s">
        <v>7830</v>
      </c>
      <c r="B698" t="s">
        <v>7831</v>
      </c>
      <c r="C698" t="s">
        <v>7832</v>
      </c>
      <c r="D698" t="s">
        <v>7833</v>
      </c>
      <c r="E698" t="s">
        <v>7834</v>
      </c>
      <c r="F698">
        <v>431569211</v>
      </c>
      <c r="G698">
        <v>748786</v>
      </c>
      <c r="H698">
        <v>1799098</v>
      </c>
      <c r="I698" t="s">
        <v>7851</v>
      </c>
      <c r="J698">
        <v>2020</v>
      </c>
      <c r="K698" t="s">
        <v>7836</v>
      </c>
      <c r="L698" t="s">
        <v>7837</v>
      </c>
    </row>
    <row r="699" spans="1:12">
      <c r="A699" t="s">
        <v>7830</v>
      </c>
      <c r="B699" t="s">
        <v>7831</v>
      </c>
      <c r="C699" t="s">
        <v>7832</v>
      </c>
      <c r="D699" t="s">
        <v>7833</v>
      </c>
      <c r="E699" t="s">
        <v>7834</v>
      </c>
      <c r="F699">
        <v>346174523</v>
      </c>
      <c r="G699">
        <v>430840</v>
      </c>
      <c r="H699">
        <v>1173606</v>
      </c>
      <c r="I699" t="s">
        <v>7851</v>
      </c>
      <c r="J699">
        <v>2020</v>
      </c>
      <c r="K699" t="s">
        <v>7838</v>
      </c>
      <c r="L699" t="s">
        <v>7837</v>
      </c>
    </row>
    <row r="700" spans="1:12">
      <c r="A700" t="s">
        <v>7830</v>
      </c>
      <c r="B700" t="s">
        <v>7831</v>
      </c>
      <c r="C700" t="s">
        <v>7832</v>
      </c>
      <c r="D700" t="s">
        <v>7833</v>
      </c>
      <c r="E700" t="s">
        <v>7834</v>
      </c>
      <c r="F700">
        <v>420711870</v>
      </c>
      <c r="G700">
        <v>486672</v>
      </c>
      <c r="H700">
        <v>1326419</v>
      </c>
      <c r="I700" t="s">
        <v>7851</v>
      </c>
      <c r="J700">
        <v>2020</v>
      </c>
      <c r="K700" t="s">
        <v>7839</v>
      </c>
      <c r="L700" t="s">
        <v>7837</v>
      </c>
    </row>
    <row r="701" spans="1:12">
      <c r="A701" t="s">
        <v>7830</v>
      </c>
      <c r="B701" t="s">
        <v>7831</v>
      </c>
      <c r="C701" t="s">
        <v>7832</v>
      </c>
      <c r="D701" t="s">
        <v>7833</v>
      </c>
      <c r="E701" t="s">
        <v>7834</v>
      </c>
      <c r="F701">
        <v>414134809</v>
      </c>
      <c r="G701">
        <v>599578</v>
      </c>
      <c r="H701">
        <v>1435920</v>
      </c>
      <c r="I701" t="s">
        <v>7851</v>
      </c>
      <c r="J701">
        <v>2020</v>
      </c>
      <c r="K701" t="s">
        <v>7840</v>
      </c>
      <c r="L701" t="s">
        <v>7837</v>
      </c>
    </row>
    <row r="702" spans="1:12">
      <c r="A702" t="s">
        <v>7830</v>
      </c>
      <c r="B702" t="s">
        <v>7831</v>
      </c>
      <c r="C702" t="s">
        <v>7832</v>
      </c>
      <c r="D702" t="s">
        <v>7833</v>
      </c>
      <c r="E702" t="s">
        <v>7834</v>
      </c>
      <c r="F702">
        <v>370693462</v>
      </c>
      <c r="G702">
        <v>659274</v>
      </c>
      <c r="H702">
        <v>1500523</v>
      </c>
      <c r="I702" t="s">
        <v>7851</v>
      </c>
      <c r="J702">
        <v>2020</v>
      </c>
      <c r="K702" t="s">
        <v>7841</v>
      </c>
      <c r="L702" t="s">
        <v>7837</v>
      </c>
    </row>
    <row r="703" spans="1:12">
      <c r="A703" t="s">
        <v>7830</v>
      </c>
      <c r="B703" t="s">
        <v>7831</v>
      </c>
      <c r="C703" t="s">
        <v>7832</v>
      </c>
      <c r="D703" t="s">
        <v>7833</v>
      </c>
      <c r="E703" t="s">
        <v>7834</v>
      </c>
      <c r="F703">
        <v>466971901</v>
      </c>
      <c r="G703">
        <v>748480</v>
      </c>
      <c r="H703">
        <v>1782969</v>
      </c>
      <c r="I703" t="s">
        <v>7851</v>
      </c>
      <c r="J703">
        <v>2020</v>
      </c>
      <c r="K703" t="s">
        <v>7842</v>
      </c>
      <c r="L703" t="s">
        <v>7837</v>
      </c>
    </row>
    <row r="704" spans="1:12">
      <c r="A704" t="s">
        <v>7830</v>
      </c>
      <c r="B704" t="s">
        <v>7831</v>
      </c>
      <c r="C704" t="s">
        <v>7832</v>
      </c>
      <c r="D704" t="s">
        <v>7833</v>
      </c>
      <c r="E704" t="s">
        <v>7834</v>
      </c>
      <c r="F704">
        <v>584953825</v>
      </c>
      <c r="G704">
        <v>871101</v>
      </c>
      <c r="H704">
        <v>2151544</v>
      </c>
      <c r="I704" t="s">
        <v>7851</v>
      </c>
      <c r="J704">
        <v>2020</v>
      </c>
      <c r="K704" t="s">
        <v>7843</v>
      </c>
      <c r="L704" t="s">
        <v>7837</v>
      </c>
    </row>
    <row r="705" spans="1:12">
      <c r="A705" t="s">
        <v>7830</v>
      </c>
      <c r="B705" t="s">
        <v>7831</v>
      </c>
      <c r="C705" t="s">
        <v>7832</v>
      </c>
      <c r="D705" t="s">
        <v>7833</v>
      </c>
      <c r="E705" t="s">
        <v>7834</v>
      </c>
      <c r="F705">
        <v>488061039</v>
      </c>
      <c r="G705">
        <v>675787</v>
      </c>
      <c r="H705">
        <v>1715683</v>
      </c>
      <c r="I705" t="s">
        <v>7851</v>
      </c>
      <c r="J705">
        <v>2020</v>
      </c>
      <c r="K705" t="s">
        <v>7844</v>
      </c>
      <c r="L705" t="s">
        <v>7837</v>
      </c>
    </row>
    <row r="706" spans="1:12">
      <c r="A706" t="s">
        <v>7830</v>
      </c>
      <c r="B706" t="s">
        <v>7831</v>
      </c>
      <c r="C706" t="s">
        <v>7832</v>
      </c>
      <c r="D706" t="s">
        <v>7833</v>
      </c>
      <c r="E706" t="s">
        <v>7834</v>
      </c>
      <c r="F706">
        <v>475193315</v>
      </c>
      <c r="G706">
        <v>719767</v>
      </c>
      <c r="H706">
        <v>1875052</v>
      </c>
      <c r="I706" t="s">
        <v>7851</v>
      </c>
      <c r="J706">
        <v>2020</v>
      </c>
      <c r="K706" t="s">
        <v>7845</v>
      </c>
      <c r="L706" t="s">
        <v>7837</v>
      </c>
    </row>
    <row r="707" spans="1:12">
      <c r="A707" t="s">
        <v>7830</v>
      </c>
      <c r="B707" t="s">
        <v>7831</v>
      </c>
      <c r="C707" t="s">
        <v>7832</v>
      </c>
      <c r="D707" t="s">
        <v>7833</v>
      </c>
      <c r="E707" t="s">
        <v>7834</v>
      </c>
      <c r="F707">
        <v>503693387</v>
      </c>
      <c r="G707">
        <v>748128</v>
      </c>
      <c r="H707">
        <v>1939851</v>
      </c>
      <c r="I707" t="s">
        <v>7851</v>
      </c>
      <c r="J707">
        <v>2020</v>
      </c>
      <c r="K707" t="s">
        <v>7846</v>
      </c>
      <c r="L707" t="s">
        <v>7837</v>
      </c>
    </row>
    <row r="708" spans="1:12">
      <c r="A708" t="s">
        <v>7830</v>
      </c>
      <c r="B708" t="s">
        <v>7831</v>
      </c>
      <c r="C708" t="s">
        <v>7832</v>
      </c>
      <c r="D708" t="s">
        <v>7833</v>
      </c>
      <c r="E708" t="s">
        <v>7834</v>
      </c>
      <c r="F708">
        <v>1190089415</v>
      </c>
      <c r="G708">
        <v>1097904</v>
      </c>
      <c r="H708">
        <v>3294856</v>
      </c>
      <c r="I708" t="s">
        <v>7851</v>
      </c>
      <c r="J708">
        <v>2020</v>
      </c>
      <c r="K708" t="s">
        <v>7847</v>
      </c>
      <c r="L708" t="s">
        <v>7837</v>
      </c>
    </row>
    <row r="709" spans="1:12">
      <c r="A709" t="s">
        <v>7830</v>
      </c>
      <c r="B709" t="s">
        <v>7831</v>
      </c>
      <c r="C709" t="s">
        <v>7832</v>
      </c>
      <c r="D709" t="s">
        <v>7833</v>
      </c>
      <c r="E709" t="s">
        <v>7834</v>
      </c>
      <c r="F709">
        <v>703986061</v>
      </c>
      <c r="G709">
        <v>716669</v>
      </c>
      <c r="H709">
        <v>2149190</v>
      </c>
      <c r="I709" t="s">
        <v>7851</v>
      </c>
      <c r="J709">
        <v>2020</v>
      </c>
      <c r="K709" t="s">
        <v>7848</v>
      </c>
      <c r="L709" t="s">
        <v>7837</v>
      </c>
    </row>
    <row r="710" spans="1:12">
      <c r="A710" t="s">
        <v>7830</v>
      </c>
      <c r="B710" t="s">
        <v>7831</v>
      </c>
      <c r="C710" t="s">
        <v>7832</v>
      </c>
      <c r="D710" t="s">
        <v>7833</v>
      </c>
      <c r="E710" t="s">
        <v>7834</v>
      </c>
      <c r="F710">
        <v>762917485</v>
      </c>
      <c r="G710">
        <v>664619</v>
      </c>
      <c r="H710">
        <v>2174561</v>
      </c>
      <c r="I710" t="s">
        <v>7851</v>
      </c>
      <c r="J710">
        <v>2021</v>
      </c>
      <c r="K710" t="s">
        <v>7836</v>
      </c>
      <c r="L710" t="s">
        <v>7837</v>
      </c>
    </row>
    <row r="711" spans="1:12">
      <c r="A711" t="s">
        <v>7830</v>
      </c>
      <c r="B711" t="s">
        <v>7831</v>
      </c>
      <c r="C711" t="s">
        <v>7832</v>
      </c>
      <c r="D711" t="s">
        <v>7833</v>
      </c>
      <c r="E711" t="s">
        <v>7834</v>
      </c>
      <c r="F711">
        <v>376333502</v>
      </c>
      <c r="G711">
        <v>399909</v>
      </c>
      <c r="H711">
        <v>1129614</v>
      </c>
      <c r="I711" t="s">
        <v>7851</v>
      </c>
      <c r="J711">
        <v>2021</v>
      </c>
      <c r="K711" t="s">
        <v>7838</v>
      </c>
      <c r="L711" t="s">
        <v>7837</v>
      </c>
    </row>
    <row r="712" spans="1:12">
      <c r="A712" t="s">
        <v>7830</v>
      </c>
      <c r="B712" t="s">
        <v>7831</v>
      </c>
      <c r="C712" t="s">
        <v>7832</v>
      </c>
      <c r="D712" t="s">
        <v>7833</v>
      </c>
      <c r="E712" t="s">
        <v>7834</v>
      </c>
      <c r="F712">
        <v>454341097</v>
      </c>
      <c r="G712">
        <v>562522</v>
      </c>
      <c r="H712">
        <v>1791033</v>
      </c>
      <c r="I712" t="s">
        <v>7851</v>
      </c>
      <c r="J712">
        <v>2021</v>
      </c>
      <c r="K712" t="s">
        <v>7839</v>
      </c>
      <c r="L712" t="s">
        <v>7837</v>
      </c>
    </row>
    <row r="713" spans="1:12">
      <c r="A713" t="s">
        <v>7830</v>
      </c>
      <c r="B713" t="s">
        <v>7831</v>
      </c>
      <c r="C713" t="s">
        <v>7832</v>
      </c>
      <c r="D713" t="s">
        <v>7833</v>
      </c>
      <c r="E713" t="s">
        <v>7834</v>
      </c>
      <c r="F713">
        <v>604776710</v>
      </c>
      <c r="G713">
        <v>778945</v>
      </c>
      <c r="H713">
        <v>1774779</v>
      </c>
      <c r="I713" t="s">
        <v>7851</v>
      </c>
      <c r="J713">
        <v>2021</v>
      </c>
      <c r="K713" t="s">
        <v>7840</v>
      </c>
      <c r="L713" t="s">
        <v>7837</v>
      </c>
    </row>
    <row r="714" spans="1:12">
      <c r="A714" t="s">
        <v>7830</v>
      </c>
      <c r="B714" t="s">
        <v>7831</v>
      </c>
      <c r="C714" t="s">
        <v>7832</v>
      </c>
      <c r="D714" t="s">
        <v>7833</v>
      </c>
      <c r="E714" t="s">
        <v>7834</v>
      </c>
      <c r="F714">
        <v>382241199</v>
      </c>
      <c r="G714">
        <v>483042</v>
      </c>
      <c r="H714">
        <v>1393477</v>
      </c>
      <c r="I714" t="s">
        <v>7851</v>
      </c>
      <c r="J714">
        <v>2021</v>
      </c>
      <c r="K714" t="s">
        <v>7841</v>
      </c>
      <c r="L714" t="s">
        <v>7837</v>
      </c>
    </row>
    <row r="715" spans="1:12">
      <c r="A715" t="s">
        <v>7830</v>
      </c>
      <c r="B715" t="s">
        <v>7831</v>
      </c>
      <c r="C715" t="s">
        <v>7832</v>
      </c>
      <c r="D715" t="s">
        <v>7833</v>
      </c>
      <c r="E715" t="s">
        <v>7834</v>
      </c>
      <c r="F715">
        <v>493151390</v>
      </c>
      <c r="G715">
        <v>600868</v>
      </c>
      <c r="H715">
        <v>1761852</v>
      </c>
      <c r="I715" t="s">
        <v>7851</v>
      </c>
      <c r="J715">
        <v>2021</v>
      </c>
      <c r="K715" t="s">
        <v>7842</v>
      </c>
      <c r="L715" t="s">
        <v>7837</v>
      </c>
    </row>
    <row r="716" spans="1:12">
      <c r="A716" t="s">
        <v>7830</v>
      </c>
      <c r="B716" t="s">
        <v>7831</v>
      </c>
      <c r="C716" t="s">
        <v>7832</v>
      </c>
      <c r="D716" t="s">
        <v>7833</v>
      </c>
      <c r="E716" t="s">
        <v>7834</v>
      </c>
      <c r="F716">
        <v>476820658</v>
      </c>
      <c r="G716">
        <v>620212</v>
      </c>
      <c r="H716">
        <v>1784742</v>
      </c>
      <c r="I716" t="s">
        <v>7851</v>
      </c>
      <c r="J716">
        <v>2021</v>
      </c>
      <c r="K716" t="s">
        <v>7843</v>
      </c>
      <c r="L716" t="s">
        <v>7837</v>
      </c>
    </row>
    <row r="717" spans="1:12">
      <c r="A717" t="s">
        <v>7830</v>
      </c>
      <c r="B717" t="s">
        <v>7831</v>
      </c>
      <c r="C717" t="s">
        <v>7832</v>
      </c>
      <c r="D717" t="s">
        <v>7833</v>
      </c>
      <c r="E717" t="s">
        <v>7834</v>
      </c>
      <c r="F717">
        <v>381467297</v>
      </c>
      <c r="G717">
        <v>549391</v>
      </c>
      <c r="H717">
        <v>1550646</v>
      </c>
      <c r="I717" t="s">
        <v>7851</v>
      </c>
      <c r="J717">
        <v>2021</v>
      </c>
      <c r="K717" t="s">
        <v>7844</v>
      </c>
      <c r="L717" t="s">
        <v>7837</v>
      </c>
    </row>
    <row r="718" spans="1:12">
      <c r="A718" t="s">
        <v>7830</v>
      </c>
      <c r="B718" t="s">
        <v>7831</v>
      </c>
      <c r="C718" t="s">
        <v>7832</v>
      </c>
      <c r="D718" t="s">
        <v>7833</v>
      </c>
      <c r="E718" t="s">
        <v>7834</v>
      </c>
      <c r="F718">
        <v>829405063</v>
      </c>
      <c r="G718">
        <v>879252</v>
      </c>
      <c r="H718">
        <v>2496558</v>
      </c>
      <c r="I718" t="s">
        <v>7851</v>
      </c>
      <c r="J718">
        <v>2021</v>
      </c>
      <c r="K718" t="s">
        <v>7845</v>
      </c>
      <c r="L718" t="s">
        <v>7837</v>
      </c>
    </row>
    <row r="719" spans="1:12">
      <c r="A719" t="s">
        <v>7830</v>
      </c>
      <c r="B719" t="s">
        <v>7831</v>
      </c>
      <c r="C719" t="s">
        <v>7832</v>
      </c>
      <c r="D719" t="s">
        <v>7833</v>
      </c>
      <c r="E719" t="s">
        <v>7834</v>
      </c>
      <c r="F719">
        <v>636053874</v>
      </c>
      <c r="G719">
        <v>743304</v>
      </c>
      <c r="H719">
        <v>2102451</v>
      </c>
      <c r="I719" t="s">
        <v>7851</v>
      </c>
      <c r="J719">
        <v>2021</v>
      </c>
      <c r="K719" t="s">
        <v>7846</v>
      </c>
      <c r="L719" t="s">
        <v>7837</v>
      </c>
    </row>
    <row r="720" spans="1:12">
      <c r="A720" t="s">
        <v>7830</v>
      </c>
      <c r="B720" t="s">
        <v>7831</v>
      </c>
      <c r="C720" t="s">
        <v>7832</v>
      </c>
      <c r="D720" t="s">
        <v>7833</v>
      </c>
      <c r="E720" t="s">
        <v>7834</v>
      </c>
      <c r="F720">
        <v>803313902</v>
      </c>
      <c r="G720">
        <v>871819</v>
      </c>
      <c r="H720">
        <v>2471447</v>
      </c>
      <c r="I720" t="s">
        <v>7851</v>
      </c>
      <c r="J720">
        <v>2021</v>
      </c>
      <c r="K720" t="s">
        <v>7847</v>
      </c>
      <c r="L720" t="s">
        <v>7837</v>
      </c>
    </row>
    <row r="721" spans="1:12">
      <c r="A721" t="s">
        <v>7830</v>
      </c>
      <c r="B721" t="s">
        <v>7831</v>
      </c>
      <c r="C721" t="s">
        <v>7832</v>
      </c>
      <c r="D721" t="s">
        <v>7833</v>
      </c>
      <c r="E721" t="s">
        <v>7834</v>
      </c>
      <c r="F721">
        <v>987657666</v>
      </c>
      <c r="G721">
        <v>933599</v>
      </c>
      <c r="H721">
        <v>2695115</v>
      </c>
      <c r="I721" t="s">
        <v>7851</v>
      </c>
      <c r="J721">
        <v>2021</v>
      </c>
      <c r="K721" t="s">
        <v>7848</v>
      </c>
      <c r="L721" t="s">
        <v>7837</v>
      </c>
    </row>
    <row r="722" spans="1:12">
      <c r="A722" t="s">
        <v>7830</v>
      </c>
      <c r="B722" t="s">
        <v>7852</v>
      </c>
      <c r="C722" t="s">
        <v>7853</v>
      </c>
      <c r="D722" t="s">
        <v>7854</v>
      </c>
      <c r="E722" t="s">
        <v>7855</v>
      </c>
      <c r="F722">
        <v>40193049</v>
      </c>
      <c r="G722">
        <v>262741</v>
      </c>
      <c r="H722">
        <v>69915</v>
      </c>
      <c r="I722" t="s">
        <v>7835</v>
      </c>
      <c r="J722">
        <v>2000</v>
      </c>
      <c r="K722" t="s">
        <v>7836</v>
      </c>
      <c r="L722" t="s">
        <v>7837</v>
      </c>
    </row>
    <row r="723" spans="1:12">
      <c r="A723" t="s">
        <v>7830</v>
      </c>
      <c r="B723" t="s">
        <v>7852</v>
      </c>
      <c r="C723" t="s">
        <v>7853</v>
      </c>
      <c r="D723" t="s">
        <v>7854</v>
      </c>
      <c r="E723" t="s">
        <v>7855</v>
      </c>
      <c r="F723">
        <v>49047139</v>
      </c>
      <c r="G723">
        <v>339224</v>
      </c>
      <c r="H723">
        <v>67413</v>
      </c>
      <c r="I723" t="s">
        <v>7835</v>
      </c>
      <c r="J723">
        <v>2000</v>
      </c>
      <c r="K723" t="s">
        <v>7838</v>
      </c>
      <c r="L723" t="s">
        <v>7837</v>
      </c>
    </row>
    <row r="724" spans="1:12">
      <c r="A724" t="s">
        <v>7830</v>
      </c>
      <c r="B724" t="s">
        <v>7852</v>
      </c>
      <c r="C724" t="s">
        <v>7853</v>
      </c>
      <c r="D724" t="s">
        <v>7854</v>
      </c>
      <c r="E724" t="s">
        <v>7855</v>
      </c>
      <c r="F724">
        <v>59195824</v>
      </c>
      <c r="G724">
        <v>331012</v>
      </c>
      <c r="H724">
        <v>77788</v>
      </c>
      <c r="I724" t="s">
        <v>7835</v>
      </c>
      <c r="J724">
        <v>2000</v>
      </c>
      <c r="K724" t="s">
        <v>7839</v>
      </c>
      <c r="L724" t="s">
        <v>7837</v>
      </c>
    </row>
    <row r="725" spans="1:12">
      <c r="A725" t="s">
        <v>7830</v>
      </c>
      <c r="B725" t="s">
        <v>7852</v>
      </c>
      <c r="C725" t="s">
        <v>7853</v>
      </c>
      <c r="D725" t="s">
        <v>7854</v>
      </c>
      <c r="E725" t="s">
        <v>7855</v>
      </c>
      <c r="F725">
        <v>50142516</v>
      </c>
      <c r="G725">
        <v>378372</v>
      </c>
      <c r="H725">
        <v>92734</v>
      </c>
      <c r="I725" t="s">
        <v>7835</v>
      </c>
      <c r="J725">
        <v>2000</v>
      </c>
      <c r="K725" t="s">
        <v>7840</v>
      </c>
      <c r="L725" t="s">
        <v>7837</v>
      </c>
    </row>
    <row r="726" spans="1:12">
      <c r="A726" t="s">
        <v>7830</v>
      </c>
      <c r="B726" t="s">
        <v>7852</v>
      </c>
      <c r="C726" t="s">
        <v>7853</v>
      </c>
      <c r="D726" t="s">
        <v>7854</v>
      </c>
      <c r="E726" t="s">
        <v>7855</v>
      </c>
      <c r="F726">
        <v>41121792</v>
      </c>
      <c r="G726">
        <v>267750</v>
      </c>
      <c r="H726">
        <v>66369</v>
      </c>
      <c r="I726" t="s">
        <v>7835</v>
      </c>
      <c r="J726">
        <v>2000</v>
      </c>
      <c r="K726" t="s">
        <v>7841</v>
      </c>
      <c r="L726" t="s">
        <v>7837</v>
      </c>
    </row>
    <row r="727" spans="1:12">
      <c r="A727" t="s">
        <v>7830</v>
      </c>
      <c r="B727" t="s">
        <v>7852</v>
      </c>
      <c r="C727" t="s">
        <v>7853</v>
      </c>
      <c r="D727" t="s">
        <v>7854</v>
      </c>
      <c r="E727" t="s">
        <v>7855</v>
      </c>
      <c r="F727">
        <v>58733562</v>
      </c>
      <c r="G727">
        <v>329580</v>
      </c>
      <c r="H727">
        <v>79675</v>
      </c>
      <c r="I727" t="s">
        <v>7835</v>
      </c>
      <c r="J727">
        <v>2000</v>
      </c>
      <c r="K727" t="s">
        <v>7842</v>
      </c>
      <c r="L727" t="s">
        <v>7837</v>
      </c>
    </row>
    <row r="728" spans="1:12">
      <c r="A728" t="s">
        <v>7830</v>
      </c>
      <c r="B728" t="s">
        <v>7852</v>
      </c>
      <c r="C728" t="s">
        <v>7853</v>
      </c>
      <c r="D728" t="s">
        <v>7854</v>
      </c>
      <c r="E728" t="s">
        <v>7855</v>
      </c>
      <c r="F728">
        <v>44491066</v>
      </c>
      <c r="G728">
        <v>249741</v>
      </c>
      <c r="H728">
        <v>67409</v>
      </c>
      <c r="I728" t="s">
        <v>7835</v>
      </c>
      <c r="J728">
        <v>2000</v>
      </c>
      <c r="K728" t="s">
        <v>7843</v>
      </c>
      <c r="L728" t="s">
        <v>7837</v>
      </c>
    </row>
    <row r="729" spans="1:12">
      <c r="A729" t="s">
        <v>7830</v>
      </c>
      <c r="B729" t="s">
        <v>7852</v>
      </c>
      <c r="C729" t="s">
        <v>7853</v>
      </c>
      <c r="D729" t="s">
        <v>7854</v>
      </c>
      <c r="E729" t="s">
        <v>7855</v>
      </c>
      <c r="F729">
        <v>52835008</v>
      </c>
      <c r="G729">
        <v>279280</v>
      </c>
      <c r="H729">
        <v>81536</v>
      </c>
      <c r="I729" t="s">
        <v>7835</v>
      </c>
      <c r="J729">
        <v>2000</v>
      </c>
      <c r="K729" t="s">
        <v>7844</v>
      </c>
      <c r="L729" t="s">
        <v>7837</v>
      </c>
    </row>
    <row r="730" spans="1:12">
      <c r="A730" t="s">
        <v>7830</v>
      </c>
      <c r="B730" t="s">
        <v>7852</v>
      </c>
      <c r="C730" t="s">
        <v>7853</v>
      </c>
      <c r="D730" t="s">
        <v>7854</v>
      </c>
      <c r="E730" t="s">
        <v>7855</v>
      </c>
      <c r="F730">
        <v>62919399</v>
      </c>
      <c r="G730">
        <v>331068</v>
      </c>
      <c r="H730">
        <v>109930</v>
      </c>
      <c r="I730" t="s">
        <v>7835</v>
      </c>
      <c r="J730">
        <v>2000</v>
      </c>
      <c r="K730" t="s">
        <v>7845</v>
      </c>
      <c r="L730" t="s">
        <v>7837</v>
      </c>
    </row>
    <row r="731" spans="1:12">
      <c r="A731" t="s">
        <v>7830</v>
      </c>
      <c r="B731" t="s">
        <v>7852</v>
      </c>
      <c r="C731" t="s">
        <v>7853</v>
      </c>
      <c r="D731" t="s">
        <v>7854</v>
      </c>
      <c r="E731" t="s">
        <v>7855</v>
      </c>
      <c r="F731">
        <v>65437584</v>
      </c>
      <c r="G731">
        <v>342229</v>
      </c>
      <c r="H731">
        <v>116983</v>
      </c>
      <c r="I731" t="s">
        <v>7835</v>
      </c>
      <c r="J731">
        <v>2000</v>
      </c>
      <c r="K731" t="s">
        <v>7846</v>
      </c>
      <c r="L731" t="s">
        <v>7837</v>
      </c>
    </row>
    <row r="732" spans="1:12">
      <c r="A732" t="s">
        <v>7830</v>
      </c>
      <c r="B732" t="s">
        <v>7852</v>
      </c>
      <c r="C732" t="s">
        <v>7853</v>
      </c>
      <c r="D732" t="s">
        <v>7854</v>
      </c>
      <c r="E732" t="s">
        <v>7855</v>
      </c>
      <c r="F732">
        <v>52581724</v>
      </c>
      <c r="G732">
        <v>256052</v>
      </c>
      <c r="H732">
        <v>99921</v>
      </c>
      <c r="I732" t="s">
        <v>7835</v>
      </c>
      <c r="J732">
        <v>2000</v>
      </c>
      <c r="K732" t="s">
        <v>7847</v>
      </c>
      <c r="L732" t="s">
        <v>7837</v>
      </c>
    </row>
    <row r="733" spans="1:12">
      <c r="A733" t="s">
        <v>7830</v>
      </c>
      <c r="B733" t="s">
        <v>7852</v>
      </c>
      <c r="C733" t="s">
        <v>7853</v>
      </c>
      <c r="D733" t="s">
        <v>7854</v>
      </c>
      <c r="E733" t="s">
        <v>7855</v>
      </c>
      <c r="F733">
        <v>105720930</v>
      </c>
      <c r="G733">
        <v>484441</v>
      </c>
      <c r="H733">
        <v>139723</v>
      </c>
      <c r="I733" t="s">
        <v>7835</v>
      </c>
      <c r="J733">
        <v>2000</v>
      </c>
      <c r="K733" t="s">
        <v>7848</v>
      </c>
      <c r="L733" t="s">
        <v>7837</v>
      </c>
    </row>
    <row r="734" spans="1:12">
      <c r="A734" t="s">
        <v>7830</v>
      </c>
      <c r="B734" t="s">
        <v>7852</v>
      </c>
      <c r="C734" t="s">
        <v>7853</v>
      </c>
      <c r="D734" t="s">
        <v>7854</v>
      </c>
      <c r="E734" t="s">
        <v>7855</v>
      </c>
      <c r="F734">
        <v>92215551</v>
      </c>
      <c r="G734">
        <v>631767</v>
      </c>
      <c r="H734">
        <v>310716</v>
      </c>
      <c r="I734" t="s">
        <v>7835</v>
      </c>
      <c r="J734">
        <v>2001</v>
      </c>
      <c r="K734" t="s">
        <v>7836</v>
      </c>
      <c r="L734" t="s">
        <v>7837</v>
      </c>
    </row>
    <row r="735" spans="1:12">
      <c r="A735" t="s">
        <v>7830</v>
      </c>
      <c r="B735" t="s">
        <v>7852</v>
      </c>
      <c r="C735" t="s">
        <v>7853</v>
      </c>
      <c r="D735" t="s">
        <v>7854</v>
      </c>
      <c r="E735" t="s">
        <v>7855</v>
      </c>
      <c r="F735">
        <v>50688276</v>
      </c>
      <c r="G735">
        <v>283663</v>
      </c>
      <c r="H735">
        <v>111280</v>
      </c>
      <c r="I735" t="s">
        <v>7835</v>
      </c>
      <c r="J735">
        <v>2001</v>
      </c>
      <c r="K735" t="s">
        <v>7838</v>
      </c>
      <c r="L735" t="s">
        <v>7837</v>
      </c>
    </row>
    <row r="736" spans="1:12">
      <c r="A736" t="s">
        <v>7830</v>
      </c>
      <c r="B736" t="s">
        <v>7852</v>
      </c>
      <c r="C736" t="s">
        <v>7853</v>
      </c>
      <c r="D736" t="s">
        <v>7854</v>
      </c>
      <c r="E736" t="s">
        <v>7855</v>
      </c>
      <c r="F736">
        <v>71383852</v>
      </c>
      <c r="G736">
        <v>360490</v>
      </c>
      <c r="H736">
        <v>128608</v>
      </c>
      <c r="I736" t="s">
        <v>7835</v>
      </c>
      <c r="J736">
        <v>2001</v>
      </c>
      <c r="K736" t="s">
        <v>7839</v>
      </c>
      <c r="L736" t="s">
        <v>7837</v>
      </c>
    </row>
    <row r="737" spans="1:12">
      <c r="A737" t="s">
        <v>7830</v>
      </c>
      <c r="B737" t="s">
        <v>7852</v>
      </c>
      <c r="C737" t="s">
        <v>7853</v>
      </c>
      <c r="D737" t="s">
        <v>7854</v>
      </c>
      <c r="E737" t="s">
        <v>7855</v>
      </c>
      <c r="F737">
        <v>37931380</v>
      </c>
      <c r="G737">
        <v>316981</v>
      </c>
      <c r="H737">
        <v>175757</v>
      </c>
      <c r="I737" t="s">
        <v>7835</v>
      </c>
      <c r="J737">
        <v>2001</v>
      </c>
      <c r="K737" t="s">
        <v>7840</v>
      </c>
      <c r="L737" t="s">
        <v>7837</v>
      </c>
    </row>
    <row r="738" spans="1:12">
      <c r="A738" t="s">
        <v>7830</v>
      </c>
      <c r="B738" t="s">
        <v>7852</v>
      </c>
      <c r="C738" t="s">
        <v>7853</v>
      </c>
      <c r="D738" t="s">
        <v>7854</v>
      </c>
      <c r="E738" t="s">
        <v>7855</v>
      </c>
      <c r="F738">
        <v>43333778</v>
      </c>
      <c r="G738">
        <v>223923</v>
      </c>
      <c r="H738">
        <v>63315</v>
      </c>
      <c r="I738" t="s">
        <v>7835</v>
      </c>
      <c r="J738">
        <v>2001</v>
      </c>
      <c r="K738" t="s">
        <v>7841</v>
      </c>
      <c r="L738" t="s">
        <v>7837</v>
      </c>
    </row>
    <row r="739" spans="1:12">
      <c r="A739" t="s">
        <v>7830</v>
      </c>
      <c r="B739" t="s">
        <v>7852</v>
      </c>
      <c r="C739" t="s">
        <v>7853</v>
      </c>
      <c r="D739" t="s">
        <v>7854</v>
      </c>
      <c r="E739" t="s">
        <v>7855</v>
      </c>
      <c r="F739">
        <v>82744412</v>
      </c>
      <c r="G739">
        <v>1162507</v>
      </c>
      <c r="H739">
        <v>947778</v>
      </c>
      <c r="I739" t="s">
        <v>7835</v>
      </c>
      <c r="J739">
        <v>2001</v>
      </c>
      <c r="K739" t="s">
        <v>7842</v>
      </c>
      <c r="L739" t="s">
        <v>7837</v>
      </c>
    </row>
    <row r="740" spans="1:12">
      <c r="A740" t="s">
        <v>7830</v>
      </c>
      <c r="B740" t="s">
        <v>7852</v>
      </c>
      <c r="C740" t="s">
        <v>7853</v>
      </c>
      <c r="D740" t="s">
        <v>7854</v>
      </c>
      <c r="E740" t="s">
        <v>7855</v>
      </c>
      <c r="F740">
        <v>35483374</v>
      </c>
      <c r="G740">
        <v>225630</v>
      </c>
      <c r="H740">
        <v>97509</v>
      </c>
      <c r="I740" t="s">
        <v>7835</v>
      </c>
      <c r="J740">
        <v>2001</v>
      </c>
      <c r="K740" t="s">
        <v>7843</v>
      </c>
      <c r="L740" t="s">
        <v>7837</v>
      </c>
    </row>
    <row r="741" spans="1:12">
      <c r="A741" t="s">
        <v>7830</v>
      </c>
      <c r="B741" t="s">
        <v>7852</v>
      </c>
      <c r="C741" t="s">
        <v>7853</v>
      </c>
      <c r="D741" t="s">
        <v>7854</v>
      </c>
      <c r="E741" t="s">
        <v>7855</v>
      </c>
      <c r="F741">
        <v>42536550</v>
      </c>
      <c r="G741">
        <v>221928</v>
      </c>
      <c r="H741">
        <v>69897</v>
      </c>
      <c r="I741" t="s">
        <v>7835</v>
      </c>
      <c r="J741">
        <v>2001</v>
      </c>
      <c r="K741" t="s">
        <v>7844</v>
      </c>
      <c r="L741" t="s">
        <v>7837</v>
      </c>
    </row>
    <row r="742" spans="1:12">
      <c r="A742" t="s">
        <v>7830</v>
      </c>
      <c r="B742" t="s">
        <v>7852</v>
      </c>
      <c r="C742" t="s">
        <v>7853</v>
      </c>
      <c r="D742" t="s">
        <v>7854</v>
      </c>
      <c r="E742" t="s">
        <v>7855</v>
      </c>
      <c r="F742">
        <v>36689142</v>
      </c>
      <c r="G742">
        <v>187878</v>
      </c>
      <c r="H742">
        <v>51894</v>
      </c>
      <c r="I742" t="s">
        <v>7835</v>
      </c>
      <c r="J742">
        <v>2001</v>
      </c>
      <c r="K742" t="s">
        <v>7845</v>
      </c>
      <c r="L742" t="s">
        <v>7837</v>
      </c>
    </row>
    <row r="743" spans="1:12">
      <c r="A743" t="s">
        <v>7830</v>
      </c>
      <c r="B743" t="s">
        <v>7852</v>
      </c>
      <c r="C743" t="s">
        <v>7853</v>
      </c>
      <c r="D743" t="s">
        <v>7854</v>
      </c>
      <c r="E743" t="s">
        <v>7855</v>
      </c>
      <c r="F743">
        <v>67749439</v>
      </c>
      <c r="G743">
        <v>348615</v>
      </c>
      <c r="H743">
        <v>99552</v>
      </c>
      <c r="I743" t="s">
        <v>7835</v>
      </c>
      <c r="J743">
        <v>2001</v>
      </c>
      <c r="K743" t="s">
        <v>7846</v>
      </c>
      <c r="L743" t="s">
        <v>7837</v>
      </c>
    </row>
    <row r="744" spans="1:12">
      <c r="A744" t="s">
        <v>7830</v>
      </c>
      <c r="B744" t="s">
        <v>7852</v>
      </c>
      <c r="C744" t="s">
        <v>7853</v>
      </c>
      <c r="D744" t="s">
        <v>7854</v>
      </c>
      <c r="E744" t="s">
        <v>7855</v>
      </c>
      <c r="F744">
        <v>59049396</v>
      </c>
      <c r="G744">
        <v>761286</v>
      </c>
      <c r="H744">
        <v>561707</v>
      </c>
      <c r="I744" t="s">
        <v>7835</v>
      </c>
      <c r="J744">
        <v>2001</v>
      </c>
      <c r="K744" t="s">
        <v>7847</v>
      </c>
      <c r="L744" t="s">
        <v>7837</v>
      </c>
    </row>
    <row r="745" spans="1:12">
      <c r="A745" t="s">
        <v>7830</v>
      </c>
      <c r="B745" t="s">
        <v>7852</v>
      </c>
      <c r="C745" t="s">
        <v>7853</v>
      </c>
      <c r="D745" t="s">
        <v>7854</v>
      </c>
      <c r="E745" t="s">
        <v>7855</v>
      </c>
      <c r="F745">
        <v>75531272</v>
      </c>
      <c r="G745">
        <v>410156</v>
      </c>
      <c r="H745">
        <v>153114</v>
      </c>
      <c r="I745" t="s">
        <v>7835</v>
      </c>
      <c r="J745">
        <v>2001</v>
      </c>
      <c r="K745" t="s">
        <v>7848</v>
      </c>
      <c r="L745" t="s">
        <v>7837</v>
      </c>
    </row>
    <row r="746" spans="1:12">
      <c r="A746" t="s">
        <v>7830</v>
      </c>
      <c r="B746" t="s">
        <v>7852</v>
      </c>
      <c r="C746" t="s">
        <v>7853</v>
      </c>
      <c r="D746" t="s">
        <v>7854</v>
      </c>
      <c r="E746" t="s">
        <v>7855</v>
      </c>
      <c r="F746">
        <v>38025639</v>
      </c>
      <c r="G746">
        <v>200404</v>
      </c>
      <c r="H746">
        <v>65349</v>
      </c>
      <c r="I746" t="s">
        <v>7835</v>
      </c>
      <c r="J746">
        <v>2002</v>
      </c>
      <c r="K746" t="s">
        <v>7836</v>
      </c>
      <c r="L746" t="s">
        <v>7837</v>
      </c>
    </row>
    <row r="747" spans="1:12">
      <c r="A747" t="s">
        <v>7830</v>
      </c>
      <c r="B747" t="s">
        <v>7852</v>
      </c>
      <c r="C747" t="s">
        <v>7853</v>
      </c>
      <c r="D747" t="s">
        <v>7854</v>
      </c>
      <c r="E747" t="s">
        <v>7855</v>
      </c>
      <c r="F747">
        <v>49011155</v>
      </c>
      <c r="G747">
        <v>233198</v>
      </c>
      <c r="H747">
        <v>101213</v>
      </c>
      <c r="I747" t="s">
        <v>7835</v>
      </c>
      <c r="J747">
        <v>2002</v>
      </c>
      <c r="K747" t="s">
        <v>7838</v>
      </c>
      <c r="L747" t="s">
        <v>7837</v>
      </c>
    </row>
    <row r="748" spans="1:12">
      <c r="A748" t="s">
        <v>7830</v>
      </c>
      <c r="B748" t="s">
        <v>7852</v>
      </c>
      <c r="C748" t="s">
        <v>7853</v>
      </c>
      <c r="D748" t="s">
        <v>7854</v>
      </c>
      <c r="E748" t="s">
        <v>7855</v>
      </c>
      <c r="F748">
        <v>69692778</v>
      </c>
      <c r="G748">
        <v>276000</v>
      </c>
      <c r="H748">
        <v>103251</v>
      </c>
      <c r="I748" t="s">
        <v>7835</v>
      </c>
      <c r="J748">
        <v>2002</v>
      </c>
      <c r="K748" t="s">
        <v>7839</v>
      </c>
      <c r="L748" t="s">
        <v>7837</v>
      </c>
    </row>
    <row r="749" spans="1:12">
      <c r="A749" t="s">
        <v>7830</v>
      </c>
      <c r="B749" t="s">
        <v>7852</v>
      </c>
      <c r="C749" t="s">
        <v>7853</v>
      </c>
      <c r="D749" t="s">
        <v>7854</v>
      </c>
      <c r="E749" t="s">
        <v>7855</v>
      </c>
      <c r="F749">
        <v>42546361</v>
      </c>
      <c r="G749">
        <v>194680</v>
      </c>
      <c r="H749">
        <v>81111</v>
      </c>
      <c r="I749" t="s">
        <v>7835</v>
      </c>
      <c r="J749">
        <v>2002</v>
      </c>
      <c r="K749" t="s">
        <v>7840</v>
      </c>
      <c r="L749" t="s">
        <v>7837</v>
      </c>
    </row>
    <row r="750" spans="1:12">
      <c r="A750" t="s">
        <v>7830</v>
      </c>
      <c r="B750" t="s">
        <v>7852</v>
      </c>
      <c r="C750" t="s">
        <v>7853</v>
      </c>
      <c r="D750" t="s">
        <v>7854</v>
      </c>
      <c r="E750" t="s">
        <v>7855</v>
      </c>
      <c r="F750">
        <v>42455205</v>
      </c>
      <c r="G750">
        <v>188539</v>
      </c>
      <c r="H750">
        <v>68282</v>
      </c>
      <c r="I750" t="s">
        <v>7835</v>
      </c>
      <c r="J750">
        <v>2002</v>
      </c>
      <c r="K750" t="s">
        <v>7841</v>
      </c>
      <c r="L750" t="s">
        <v>7837</v>
      </c>
    </row>
    <row r="751" spans="1:12">
      <c r="A751" t="s">
        <v>7830</v>
      </c>
      <c r="B751" t="s">
        <v>7852</v>
      </c>
      <c r="C751" t="s">
        <v>7853</v>
      </c>
      <c r="D751" t="s">
        <v>7854</v>
      </c>
      <c r="E751" t="s">
        <v>7855</v>
      </c>
      <c r="F751">
        <v>59103522</v>
      </c>
      <c r="G751">
        <v>274979</v>
      </c>
      <c r="H751">
        <v>89590</v>
      </c>
      <c r="I751" t="s">
        <v>7835</v>
      </c>
      <c r="J751">
        <v>2002</v>
      </c>
      <c r="K751" t="s">
        <v>7842</v>
      </c>
      <c r="L751" t="s">
        <v>7837</v>
      </c>
    </row>
    <row r="752" spans="1:12">
      <c r="A752" t="s">
        <v>7830</v>
      </c>
      <c r="B752" t="s">
        <v>7852</v>
      </c>
      <c r="C752" t="s">
        <v>7853</v>
      </c>
      <c r="D752" t="s">
        <v>7854</v>
      </c>
      <c r="E752" t="s">
        <v>7855</v>
      </c>
      <c r="F752">
        <v>50791864</v>
      </c>
      <c r="G752">
        <v>266484</v>
      </c>
      <c r="H752">
        <v>85516</v>
      </c>
      <c r="I752" t="s">
        <v>7835</v>
      </c>
      <c r="J752">
        <v>2002</v>
      </c>
      <c r="K752" t="s">
        <v>7843</v>
      </c>
      <c r="L752" t="s">
        <v>7837</v>
      </c>
    </row>
    <row r="753" spans="1:12">
      <c r="A753" t="s">
        <v>7830</v>
      </c>
      <c r="B753" t="s">
        <v>7852</v>
      </c>
      <c r="C753" t="s">
        <v>7853</v>
      </c>
      <c r="D753" t="s">
        <v>7854</v>
      </c>
      <c r="E753" t="s">
        <v>7855</v>
      </c>
      <c r="F753">
        <v>43329748</v>
      </c>
      <c r="G753">
        <v>189211</v>
      </c>
      <c r="H753">
        <v>63692</v>
      </c>
      <c r="I753" t="s">
        <v>7835</v>
      </c>
      <c r="J753">
        <v>2002</v>
      </c>
      <c r="K753" t="s">
        <v>7844</v>
      </c>
      <c r="L753" t="s">
        <v>7837</v>
      </c>
    </row>
    <row r="754" spans="1:12">
      <c r="A754" t="s">
        <v>7830</v>
      </c>
      <c r="B754" t="s">
        <v>7852</v>
      </c>
      <c r="C754" t="s">
        <v>7853</v>
      </c>
      <c r="D754" t="s">
        <v>7854</v>
      </c>
      <c r="E754" t="s">
        <v>7855</v>
      </c>
      <c r="F754">
        <v>43436439</v>
      </c>
      <c r="G754">
        <v>214306</v>
      </c>
      <c r="H754">
        <v>70105</v>
      </c>
      <c r="I754" t="s">
        <v>7835</v>
      </c>
      <c r="J754">
        <v>2002</v>
      </c>
      <c r="K754" t="s">
        <v>7845</v>
      </c>
      <c r="L754" t="s">
        <v>7837</v>
      </c>
    </row>
    <row r="755" spans="1:12">
      <c r="A755" t="s">
        <v>7830</v>
      </c>
      <c r="B755" t="s">
        <v>7852</v>
      </c>
      <c r="C755" t="s">
        <v>7853</v>
      </c>
      <c r="D755" t="s">
        <v>7854</v>
      </c>
      <c r="E755" t="s">
        <v>7855</v>
      </c>
      <c r="F755">
        <v>39106312</v>
      </c>
      <c r="G755">
        <v>194417</v>
      </c>
      <c r="H755">
        <v>69362</v>
      </c>
      <c r="I755" t="s">
        <v>7835</v>
      </c>
      <c r="J755">
        <v>2002</v>
      </c>
      <c r="K755" t="s">
        <v>7846</v>
      </c>
      <c r="L755" t="s">
        <v>7837</v>
      </c>
    </row>
    <row r="756" spans="1:12">
      <c r="A756" t="s">
        <v>7830</v>
      </c>
      <c r="B756" t="s">
        <v>7852</v>
      </c>
      <c r="C756" t="s">
        <v>7853</v>
      </c>
      <c r="D756" t="s">
        <v>7854</v>
      </c>
      <c r="E756" t="s">
        <v>7855</v>
      </c>
      <c r="F756">
        <v>41505595</v>
      </c>
      <c r="G756">
        <v>250766</v>
      </c>
      <c r="H756">
        <v>69391</v>
      </c>
      <c r="I756" t="s">
        <v>7835</v>
      </c>
      <c r="J756">
        <v>2002</v>
      </c>
      <c r="K756" t="s">
        <v>7847</v>
      </c>
      <c r="L756" t="s">
        <v>7837</v>
      </c>
    </row>
    <row r="757" spans="1:12">
      <c r="A757" t="s">
        <v>7830</v>
      </c>
      <c r="B757" t="s">
        <v>7852</v>
      </c>
      <c r="C757" t="s">
        <v>7853</v>
      </c>
      <c r="D757" t="s">
        <v>7854</v>
      </c>
      <c r="E757" t="s">
        <v>7855</v>
      </c>
      <c r="F757">
        <v>40960642</v>
      </c>
      <c r="G757">
        <v>198656</v>
      </c>
      <c r="H757">
        <v>77352</v>
      </c>
      <c r="I757" t="s">
        <v>7835</v>
      </c>
      <c r="J757">
        <v>2002</v>
      </c>
      <c r="K757" t="s">
        <v>7848</v>
      </c>
      <c r="L757" t="s">
        <v>7837</v>
      </c>
    </row>
    <row r="758" spans="1:12">
      <c r="A758" t="s">
        <v>7830</v>
      </c>
      <c r="B758" t="s">
        <v>7852</v>
      </c>
      <c r="C758" t="s">
        <v>7853</v>
      </c>
      <c r="D758" t="s">
        <v>7854</v>
      </c>
      <c r="E758" t="s">
        <v>7855</v>
      </c>
      <c r="F758">
        <v>37182210</v>
      </c>
      <c r="G758">
        <v>202377</v>
      </c>
      <c r="H758">
        <v>55721</v>
      </c>
      <c r="I758" t="s">
        <v>7835</v>
      </c>
      <c r="J758">
        <v>2003</v>
      </c>
      <c r="K758" t="s">
        <v>7836</v>
      </c>
      <c r="L758" t="s">
        <v>7837</v>
      </c>
    </row>
    <row r="759" spans="1:12">
      <c r="A759" t="s">
        <v>7830</v>
      </c>
      <c r="B759" t="s">
        <v>7852</v>
      </c>
      <c r="C759" t="s">
        <v>7853</v>
      </c>
      <c r="D759" t="s">
        <v>7854</v>
      </c>
      <c r="E759" t="s">
        <v>7855</v>
      </c>
      <c r="F759">
        <v>25150099</v>
      </c>
      <c r="G759">
        <v>121092</v>
      </c>
      <c r="H759">
        <v>42849</v>
      </c>
      <c r="I759" t="s">
        <v>7835</v>
      </c>
      <c r="J759">
        <v>2003</v>
      </c>
      <c r="K759" t="s">
        <v>7838</v>
      </c>
      <c r="L759" t="s">
        <v>7837</v>
      </c>
    </row>
    <row r="760" spans="1:12">
      <c r="A760" t="s">
        <v>7830</v>
      </c>
      <c r="B760" t="s">
        <v>7852</v>
      </c>
      <c r="C760" t="s">
        <v>7853</v>
      </c>
      <c r="D760" t="s">
        <v>7854</v>
      </c>
      <c r="E760" t="s">
        <v>7855</v>
      </c>
      <c r="F760">
        <v>40911669</v>
      </c>
      <c r="G760">
        <v>212957</v>
      </c>
      <c r="H760">
        <v>60366</v>
      </c>
      <c r="I760" t="s">
        <v>7835</v>
      </c>
      <c r="J760">
        <v>2003</v>
      </c>
      <c r="K760" t="s">
        <v>7839</v>
      </c>
      <c r="L760" t="s">
        <v>7837</v>
      </c>
    </row>
    <row r="761" spans="1:12">
      <c r="A761" t="s">
        <v>7830</v>
      </c>
      <c r="B761" t="s">
        <v>7852</v>
      </c>
      <c r="C761" t="s">
        <v>7853</v>
      </c>
      <c r="D761" t="s">
        <v>7854</v>
      </c>
      <c r="E761" t="s">
        <v>7855</v>
      </c>
      <c r="F761">
        <v>29365751</v>
      </c>
      <c r="G761">
        <v>168184</v>
      </c>
      <c r="H761">
        <v>52480</v>
      </c>
      <c r="I761" t="s">
        <v>7835</v>
      </c>
      <c r="J761">
        <v>2003</v>
      </c>
      <c r="K761" t="s">
        <v>7840</v>
      </c>
      <c r="L761" t="s">
        <v>7837</v>
      </c>
    </row>
    <row r="762" spans="1:12">
      <c r="A762" t="s">
        <v>7830</v>
      </c>
      <c r="B762" t="s">
        <v>7852</v>
      </c>
      <c r="C762" t="s">
        <v>7853</v>
      </c>
      <c r="D762" t="s">
        <v>7854</v>
      </c>
      <c r="E762" t="s">
        <v>7855</v>
      </c>
      <c r="F762">
        <v>27796492</v>
      </c>
      <c r="G762">
        <v>154506</v>
      </c>
      <c r="H762">
        <v>45445</v>
      </c>
      <c r="I762" t="s">
        <v>7835</v>
      </c>
      <c r="J762">
        <v>2003</v>
      </c>
      <c r="K762" t="s">
        <v>7841</v>
      </c>
      <c r="L762" t="s">
        <v>7837</v>
      </c>
    </row>
    <row r="763" spans="1:12">
      <c r="A763" t="s">
        <v>7830</v>
      </c>
      <c r="B763" t="s">
        <v>7852</v>
      </c>
      <c r="C763" t="s">
        <v>7853</v>
      </c>
      <c r="D763" t="s">
        <v>7854</v>
      </c>
      <c r="E763" t="s">
        <v>7855</v>
      </c>
      <c r="F763">
        <v>38672394</v>
      </c>
      <c r="G763">
        <v>161255</v>
      </c>
      <c r="H763">
        <v>59534</v>
      </c>
      <c r="I763" t="s">
        <v>7835</v>
      </c>
      <c r="J763">
        <v>2003</v>
      </c>
      <c r="K763" t="s">
        <v>7842</v>
      </c>
      <c r="L763" t="s">
        <v>7837</v>
      </c>
    </row>
    <row r="764" spans="1:12">
      <c r="A764" t="s">
        <v>7830</v>
      </c>
      <c r="B764" t="s">
        <v>7852</v>
      </c>
      <c r="C764" t="s">
        <v>7853</v>
      </c>
      <c r="D764" t="s">
        <v>7854</v>
      </c>
      <c r="E764" t="s">
        <v>7855</v>
      </c>
      <c r="F764">
        <v>36712060</v>
      </c>
      <c r="G764">
        <v>189088</v>
      </c>
      <c r="H764">
        <v>65948</v>
      </c>
      <c r="I764" t="s">
        <v>7835</v>
      </c>
      <c r="J764">
        <v>2003</v>
      </c>
      <c r="K764" t="s">
        <v>7843</v>
      </c>
      <c r="L764" t="s">
        <v>7837</v>
      </c>
    </row>
    <row r="765" spans="1:12">
      <c r="A765" t="s">
        <v>7830</v>
      </c>
      <c r="B765" t="s">
        <v>7852</v>
      </c>
      <c r="C765" t="s">
        <v>7853</v>
      </c>
      <c r="D765" t="s">
        <v>7854</v>
      </c>
      <c r="E765" t="s">
        <v>7855</v>
      </c>
      <c r="F765">
        <v>23378441</v>
      </c>
      <c r="G765">
        <v>119894</v>
      </c>
      <c r="H765">
        <v>44654</v>
      </c>
      <c r="I765" t="s">
        <v>7835</v>
      </c>
      <c r="J765">
        <v>2003</v>
      </c>
      <c r="K765" t="s">
        <v>7844</v>
      </c>
      <c r="L765" t="s">
        <v>7837</v>
      </c>
    </row>
    <row r="766" spans="1:12">
      <c r="A766" t="s">
        <v>7830</v>
      </c>
      <c r="B766" t="s">
        <v>7852</v>
      </c>
      <c r="C766" t="s">
        <v>7853</v>
      </c>
      <c r="D766" t="s">
        <v>7854</v>
      </c>
      <c r="E766" t="s">
        <v>7855</v>
      </c>
      <c r="F766">
        <v>49880255</v>
      </c>
      <c r="G766">
        <v>233339</v>
      </c>
      <c r="H766">
        <v>73772</v>
      </c>
      <c r="I766" t="s">
        <v>7835</v>
      </c>
      <c r="J766">
        <v>2003</v>
      </c>
      <c r="K766" t="s">
        <v>7845</v>
      </c>
      <c r="L766" t="s">
        <v>7837</v>
      </c>
    </row>
    <row r="767" spans="1:12">
      <c r="A767" t="s">
        <v>7830</v>
      </c>
      <c r="B767" t="s">
        <v>7852</v>
      </c>
      <c r="C767" t="s">
        <v>7853</v>
      </c>
      <c r="D767" t="s">
        <v>7854</v>
      </c>
      <c r="E767" t="s">
        <v>7855</v>
      </c>
      <c r="F767">
        <v>28996179</v>
      </c>
      <c r="G767">
        <v>284381</v>
      </c>
      <c r="H767">
        <v>97042</v>
      </c>
      <c r="I767" t="s">
        <v>7835</v>
      </c>
      <c r="J767">
        <v>2003</v>
      </c>
      <c r="K767" t="s">
        <v>7846</v>
      </c>
      <c r="L767" t="s">
        <v>7837</v>
      </c>
    </row>
    <row r="768" spans="1:12">
      <c r="A768" t="s">
        <v>7830</v>
      </c>
      <c r="B768" t="s">
        <v>7852</v>
      </c>
      <c r="C768" t="s">
        <v>7853</v>
      </c>
      <c r="D768" t="s">
        <v>7854</v>
      </c>
      <c r="E768" t="s">
        <v>7855</v>
      </c>
      <c r="F768">
        <v>30858596</v>
      </c>
      <c r="G768">
        <v>177259</v>
      </c>
      <c r="H768">
        <v>88746</v>
      </c>
      <c r="I768" t="s">
        <v>7835</v>
      </c>
      <c r="J768">
        <v>2003</v>
      </c>
      <c r="K768" t="s">
        <v>7847</v>
      </c>
      <c r="L768" t="s">
        <v>7837</v>
      </c>
    </row>
    <row r="769" spans="1:12">
      <c r="A769" t="s">
        <v>7830</v>
      </c>
      <c r="B769" t="s">
        <v>7852</v>
      </c>
      <c r="C769" t="s">
        <v>7853</v>
      </c>
      <c r="D769" t="s">
        <v>7854</v>
      </c>
      <c r="E769" t="s">
        <v>7855</v>
      </c>
      <c r="F769">
        <v>21623576</v>
      </c>
      <c r="G769">
        <v>133904</v>
      </c>
      <c r="H769">
        <v>45190</v>
      </c>
      <c r="I769" t="s">
        <v>7835</v>
      </c>
      <c r="J769">
        <v>2003</v>
      </c>
      <c r="K769" t="s">
        <v>7848</v>
      </c>
      <c r="L769" t="s">
        <v>7837</v>
      </c>
    </row>
    <row r="770" spans="1:12">
      <c r="A770" t="s">
        <v>7830</v>
      </c>
      <c r="B770" t="s">
        <v>7852</v>
      </c>
      <c r="C770" t="s">
        <v>7853</v>
      </c>
      <c r="D770" t="s">
        <v>7854</v>
      </c>
      <c r="E770" t="s">
        <v>7855</v>
      </c>
      <c r="F770">
        <v>15769480</v>
      </c>
      <c r="G770">
        <v>101841</v>
      </c>
      <c r="H770">
        <v>38645</v>
      </c>
      <c r="I770" t="s">
        <v>7835</v>
      </c>
      <c r="J770">
        <v>2004</v>
      </c>
      <c r="K770" t="s">
        <v>7836</v>
      </c>
      <c r="L770" t="s">
        <v>7837</v>
      </c>
    </row>
    <row r="771" spans="1:12">
      <c r="A771" t="s">
        <v>7830</v>
      </c>
      <c r="B771" t="s">
        <v>7852</v>
      </c>
      <c r="C771" t="s">
        <v>7853</v>
      </c>
      <c r="D771" t="s">
        <v>7854</v>
      </c>
      <c r="E771" t="s">
        <v>7855</v>
      </c>
      <c r="F771">
        <v>16473594</v>
      </c>
      <c r="G771">
        <v>93883</v>
      </c>
      <c r="H771">
        <v>41774</v>
      </c>
      <c r="I771" t="s">
        <v>7835</v>
      </c>
      <c r="J771">
        <v>2004</v>
      </c>
      <c r="K771" t="s">
        <v>7838</v>
      </c>
      <c r="L771" t="s">
        <v>7837</v>
      </c>
    </row>
    <row r="772" spans="1:12">
      <c r="A772" t="s">
        <v>7830</v>
      </c>
      <c r="B772" t="s">
        <v>7852</v>
      </c>
      <c r="C772" t="s">
        <v>7853</v>
      </c>
      <c r="D772" t="s">
        <v>7854</v>
      </c>
      <c r="E772" t="s">
        <v>7855</v>
      </c>
      <c r="F772">
        <v>17445289</v>
      </c>
      <c r="G772">
        <v>94099</v>
      </c>
      <c r="H772">
        <v>44496</v>
      </c>
      <c r="I772" t="s">
        <v>7835</v>
      </c>
      <c r="J772">
        <v>2004</v>
      </c>
      <c r="K772" t="s">
        <v>7839</v>
      </c>
      <c r="L772" t="s">
        <v>7837</v>
      </c>
    </row>
    <row r="773" spans="1:12">
      <c r="A773" t="s">
        <v>7830</v>
      </c>
      <c r="B773" t="s">
        <v>7852</v>
      </c>
      <c r="C773" t="s">
        <v>7853</v>
      </c>
      <c r="D773" t="s">
        <v>7854</v>
      </c>
      <c r="E773" t="s">
        <v>7855</v>
      </c>
      <c r="F773">
        <v>12312429</v>
      </c>
      <c r="G773">
        <v>98899</v>
      </c>
      <c r="H773">
        <v>32824</v>
      </c>
      <c r="I773" t="s">
        <v>7835</v>
      </c>
      <c r="J773">
        <v>2004</v>
      </c>
      <c r="K773" t="s">
        <v>7840</v>
      </c>
      <c r="L773" t="s">
        <v>7837</v>
      </c>
    </row>
    <row r="774" spans="1:12">
      <c r="A774" t="s">
        <v>7830</v>
      </c>
      <c r="B774" t="s">
        <v>7852</v>
      </c>
      <c r="C774" t="s">
        <v>7853</v>
      </c>
      <c r="D774" t="s">
        <v>7854</v>
      </c>
      <c r="E774" t="s">
        <v>7855</v>
      </c>
      <c r="F774">
        <v>14302602</v>
      </c>
      <c r="G774">
        <v>105891</v>
      </c>
      <c r="H774">
        <v>41214</v>
      </c>
      <c r="I774" t="s">
        <v>7835</v>
      </c>
      <c r="J774">
        <v>2004</v>
      </c>
      <c r="K774" t="s">
        <v>7841</v>
      </c>
      <c r="L774" t="s">
        <v>7837</v>
      </c>
    </row>
    <row r="775" spans="1:12">
      <c r="A775" t="s">
        <v>7830</v>
      </c>
      <c r="B775" t="s">
        <v>7852</v>
      </c>
      <c r="C775" t="s">
        <v>7853</v>
      </c>
      <c r="D775" t="s">
        <v>7854</v>
      </c>
      <c r="E775" t="s">
        <v>7855</v>
      </c>
      <c r="F775">
        <v>12879671</v>
      </c>
      <c r="G775">
        <v>105002</v>
      </c>
      <c r="H775">
        <v>43035</v>
      </c>
      <c r="I775" t="s">
        <v>7835</v>
      </c>
      <c r="J775">
        <v>2004</v>
      </c>
      <c r="K775" t="s">
        <v>7842</v>
      </c>
      <c r="L775" t="s">
        <v>7837</v>
      </c>
    </row>
    <row r="776" spans="1:12">
      <c r="A776" t="s">
        <v>7830</v>
      </c>
      <c r="B776" t="s">
        <v>7852</v>
      </c>
      <c r="C776" t="s">
        <v>7853</v>
      </c>
      <c r="D776" t="s">
        <v>7854</v>
      </c>
      <c r="E776" t="s">
        <v>7855</v>
      </c>
      <c r="F776">
        <v>14315011</v>
      </c>
      <c r="G776">
        <v>155371</v>
      </c>
      <c r="H776">
        <v>38658</v>
      </c>
      <c r="I776" t="s">
        <v>7835</v>
      </c>
      <c r="J776">
        <v>2004</v>
      </c>
      <c r="K776" t="s">
        <v>7843</v>
      </c>
      <c r="L776" t="s">
        <v>7837</v>
      </c>
    </row>
    <row r="777" spans="1:12">
      <c r="A777" t="s">
        <v>7830</v>
      </c>
      <c r="B777" t="s">
        <v>7852</v>
      </c>
      <c r="C777" t="s">
        <v>7853</v>
      </c>
      <c r="D777" t="s">
        <v>7854</v>
      </c>
      <c r="E777" t="s">
        <v>7855</v>
      </c>
      <c r="F777">
        <v>13099373</v>
      </c>
      <c r="G777">
        <v>95969</v>
      </c>
      <c r="H777">
        <v>31868</v>
      </c>
      <c r="I777" t="s">
        <v>7835</v>
      </c>
      <c r="J777">
        <v>2004</v>
      </c>
      <c r="K777" t="s">
        <v>7844</v>
      </c>
      <c r="L777" t="s">
        <v>7837</v>
      </c>
    </row>
    <row r="778" spans="1:12">
      <c r="A778" t="s">
        <v>7830</v>
      </c>
      <c r="B778" t="s">
        <v>7852</v>
      </c>
      <c r="C778" t="s">
        <v>7853</v>
      </c>
      <c r="D778" t="s">
        <v>7854</v>
      </c>
      <c r="E778" t="s">
        <v>7855</v>
      </c>
      <c r="F778">
        <v>15806116</v>
      </c>
      <c r="G778">
        <v>151229</v>
      </c>
      <c r="H778">
        <v>45060</v>
      </c>
      <c r="I778" t="s">
        <v>7835</v>
      </c>
      <c r="J778">
        <v>2004</v>
      </c>
      <c r="K778" t="s">
        <v>7845</v>
      </c>
      <c r="L778" t="s">
        <v>7837</v>
      </c>
    </row>
    <row r="779" spans="1:12">
      <c r="A779" t="s">
        <v>7830</v>
      </c>
      <c r="B779" t="s">
        <v>7852</v>
      </c>
      <c r="C779" t="s">
        <v>7853</v>
      </c>
      <c r="D779" t="s">
        <v>7854</v>
      </c>
      <c r="E779" t="s">
        <v>7855</v>
      </c>
      <c r="F779">
        <v>17494182</v>
      </c>
      <c r="G779">
        <v>144655</v>
      </c>
      <c r="H779">
        <v>45937</v>
      </c>
      <c r="I779" t="s">
        <v>7835</v>
      </c>
      <c r="J779">
        <v>2004</v>
      </c>
      <c r="K779" t="s">
        <v>7846</v>
      </c>
      <c r="L779" t="s">
        <v>7837</v>
      </c>
    </row>
    <row r="780" spans="1:12">
      <c r="A780" t="s">
        <v>7830</v>
      </c>
      <c r="B780" t="s">
        <v>7852</v>
      </c>
      <c r="C780" t="s">
        <v>7853</v>
      </c>
      <c r="D780" t="s">
        <v>7854</v>
      </c>
      <c r="E780" t="s">
        <v>7855</v>
      </c>
      <c r="F780">
        <v>15567936</v>
      </c>
      <c r="G780">
        <v>172721</v>
      </c>
      <c r="H780">
        <v>37158</v>
      </c>
      <c r="I780" t="s">
        <v>7835</v>
      </c>
      <c r="J780">
        <v>2004</v>
      </c>
      <c r="K780" t="s">
        <v>7847</v>
      </c>
      <c r="L780" t="s">
        <v>7837</v>
      </c>
    </row>
    <row r="781" spans="1:12">
      <c r="A781" t="s">
        <v>7830</v>
      </c>
      <c r="B781" t="s">
        <v>7852</v>
      </c>
      <c r="C781" t="s">
        <v>7853</v>
      </c>
      <c r="D781" t="s">
        <v>7854</v>
      </c>
      <c r="E781" t="s">
        <v>7855</v>
      </c>
      <c r="F781">
        <v>21618391</v>
      </c>
      <c r="G781">
        <v>191896</v>
      </c>
      <c r="H781">
        <v>43962</v>
      </c>
      <c r="I781" t="s">
        <v>7835</v>
      </c>
      <c r="J781">
        <v>2004</v>
      </c>
      <c r="K781" t="s">
        <v>7848</v>
      </c>
      <c r="L781" t="s">
        <v>7837</v>
      </c>
    </row>
    <row r="782" spans="1:12">
      <c r="A782" t="s">
        <v>7830</v>
      </c>
      <c r="B782" t="s">
        <v>7852</v>
      </c>
      <c r="C782" t="s">
        <v>7853</v>
      </c>
      <c r="D782" t="s">
        <v>7854</v>
      </c>
      <c r="E782" t="s">
        <v>7855</v>
      </c>
      <c r="F782">
        <v>6967043</v>
      </c>
      <c r="G782">
        <v>69565</v>
      </c>
      <c r="H782">
        <v>24626</v>
      </c>
      <c r="I782" t="s">
        <v>7835</v>
      </c>
      <c r="J782">
        <v>2005</v>
      </c>
      <c r="K782" t="s">
        <v>7836</v>
      </c>
      <c r="L782" t="s">
        <v>7837</v>
      </c>
    </row>
    <row r="783" spans="1:12">
      <c r="A783" t="s">
        <v>7830</v>
      </c>
      <c r="B783" t="s">
        <v>7852</v>
      </c>
      <c r="C783" t="s">
        <v>7853</v>
      </c>
      <c r="D783" t="s">
        <v>7854</v>
      </c>
      <c r="E783" t="s">
        <v>7855</v>
      </c>
      <c r="F783">
        <v>9911878</v>
      </c>
      <c r="G783">
        <v>148123</v>
      </c>
      <c r="H783">
        <v>33903</v>
      </c>
      <c r="I783" t="s">
        <v>7835</v>
      </c>
      <c r="J783">
        <v>2005</v>
      </c>
      <c r="K783" t="s">
        <v>7838</v>
      </c>
      <c r="L783" t="s">
        <v>7837</v>
      </c>
    </row>
    <row r="784" spans="1:12">
      <c r="A784" t="s">
        <v>7830</v>
      </c>
      <c r="B784" t="s">
        <v>7852</v>
      </c>
      <c r="C784" t="s">
        <v>7853</v>
      </c>
      <c r="D784" t="s">
        <v>7854</v>
      </c>
      <c r="E784" t="s">
        <v>7855</v>
      </c>
      <c r="F784">
        <v>11555971</v>
      </c>
      <c r="G784">
        <v>229678</v>
      </c>
      <c r="H784">
        <v>26642</v>
      </c>
      <c r="I784" t="s">
        <v>7835</v>
      </c>
      <c r="J784">
        <v>2005</v>
      </c>
      <c r="K784" t="s">
        <v>7839</v>
      </c>
      <c r="L784" t="s">
        <v>7837</v>
      </c>
    </row>
    <row r="785" spans="1:12">
      <c r="A785" t="s">
        <v>7830</v>
      </c>
      <c r="B785" t="s">
        <v>7852</v>
      </c>
      <c r="C785" t="s">
        <v>7853</v>
      </c>
      <c r="D785" t="s">
        <v>7854</v>
      </c>
      <c r="E785" t="s">
        <v>7855</v>
      </c>
      <c r="F785">
        <v>9285635</v>
      </c>
      <c r="G785">
        <v>245508</v>
      </c>
      <c r="H785">
        <v>22904</v>
      </c>
      <c r="I785" t="s">
        <v>7835</v>
      </c>
      <c r="J785">
        <v>2005</v>
      </c>
      <c r="K785" t="s">
        <v>7840</v>
      </c>
      <c r="L785" t="s">
        <v>7837</v>
      </c>
    </row>
    <row r="786" spans="1:12">
      <c r="A786" t="s">
        <v>7830</v>
      </c>
      <c r="B786" t="s">
        <v>7852</v>
      </c>
      <c r="C786" t="s">
        <v>7853</v>
      </c>
      <c r="D786" t="s">
        <v>7854</v>
      </c>
      <c r="E786" t="s">
        <v>7855</v>
      </c>
      <c r="F786">
        <v>12505992</v>
      </c>
      <c r="G786">
        <v>193005</v>
      </c>
      <c r="H786">
        <v>31534</v>
      </c>
      <c r="I786" t="s">
        <v>7835</v>
      </c>
      <c r="J786">
        <v>2005</v>
      </c>
      <c r="K786" t="s">
        <v>7841</v>
      </c>
      <c r="L786" t="s">
        <v>7837</v>
      </c>
    </row>
    <row r="787" spans="1:12">
      <c r="A787" t="s">
        <v>7830</v>
      </c>
      <c r="B787" t="s">
        <v>7852</v>
      </c>
      <c r="C787" t="s">
        <v>7853</v>
      </c>
      <c r="D787" t="s">
        <v>7854</v>
      </c>
      <c r="E787" t="s">
        <v>7855</v>
      </c>
      <c r="F787">
        <v>15937775</v>
      </c>
      <c r="G787">
        <v>101269</v>
      </c>
      <c r="H787">
        <v>28945</v>
      </c>
      <c r="I787" t="s">
        <v>7835</v>
      </c>
      <c r="J787">
        <v>2005</v>
      </c>
      <c r="K787" t="s">
        <v>7842</v>
      </c>
      <c r="L787" t="s">
        <v>7837</v>
      </c>
    </row>
    <row r="788" spans="1:12">
      <c r="A788" t="s">
        <v>7830</v>
      </c>
      <c r="B788" t="s">
        <v>7852</v>
      </c>
      <c r="C788" t="s">
        <v>7853</v>
      </c>
      <c r="D788" t="s">
        <v>7854</v>
      </c>
      <c r="E788" t="s">
        <v>7855</v>
      </c>
      <c r="F788">
        <v>14564791</v>
      </c>
      <c r="G788">
        <v>134682</v>
      </c>
      <c r="H788">
        <v>47366</v>
      </c>
      <c r="I788" t="s">
        <v>7835</v>
      </c>
      <c r="J788">
        <v>2005</v>
      </c>
      <c r="K788" t="s">
        <v>7843</v>
      </c>
      <c r="L788" t="s">
        <v>7837</v>
      </c>
    </row>
    <row r="789" spans="1:12">
      <c r="A789" t="s">
        <v>7830</v>
      </c>
      <c r="B789" t="s">
        <v>7852</v>
      </c>
      <c r="C789" t="s">
        <v>7853</v>
      </c>
      <c r="D789" t="s">
        <v>7854</v>
      </c>
      <c r="E789" t="s">
        <v>7855</v>
      </c>
      <c r="F789">
        <v>22848475</v>
      </c>
      <c r="G789">
        <v>290241</v>
      </c>
      <c r="H789">
        <v>438616</v>
      </c>
      <c r="I789" t="s">
        <v>7835</v>
      </c>
      <c r="J789">
        <v>2005</v>
      </c>
      <c r="K789" t="s">
        <v>7844</v>
      </c>
      <c r="L789" t="s">
        <v>7837</v>
      </c>
    </row>
    <row r="790" spans="1:12">
      <c r="A790" t="s">
        <v>7830</v>
      </c>
      <c r="B790" t="s">
        <v>7852</v>
      </c>
      <c r="C790" t="s">
        <v>7853</v>
      </c>
      <c r="D790" t="s">
        <v>7854</v>
      </c>
      <c r="E790" t="s">
        <v>7855</v>
      </c>
      <c r="F790">
        <v>17751012</v>
      </c>
      <c r="G790">
        <v>239050</v>
      </c>
      <c r="H790">
        <v>38463</v>
      </c>
      <c r="I790" t="s">
        <v>7835</v>
      </c>
      <c r="J790">
        <v>2005</v>
      </c>
      <c r="K790" t="s">
        <v>7845</v>
      </c>
      <c r="L790" t="s">
        <v>7837</v>
      </c>
    </row>
    <row r="791" spans="1:12">
      <c r="A791" t="s">
        <v>7830</v>
      </c>
      <c r="B791" t="s">
        <v>7852</v>
      </c>
      <c r="C791" t="s">
        <v>7853</v>
      </c>
      <c r="D791" t="s">
        <v>7854</v>
      </c>
      <c r="E791" t="s">
        <v>7855</v>
      </c>
      <c r="F791">
        <v>47341578</v>
      </c>
      <c r="G791">
        <v>462377</v>
      </c>
      <c r="H791">
        <v>159334</v>
      </c>
      <c r="I791" t="s">
        <v>7835</v>
      </c>
      <c r="J791">
        <v>2005</v>
      </c>
      <c r="K791" t="s">
        <v>7846</v>
      </c>
      <c r="L791" t="s">
        <v>7837</v>
      </c>
    </row>
    <row r="792" spans="1:12">
      <c r="A792" t="s">
        <v>7830</v>
      </c>
      <c r="B792" t="s">
        <v>7852</v>
      </c>
      <c r="C792" t="s">
        <v>7853</v>
      </c>
      <c r="D792" t="s">
        <v>7854</v>
      </c>
      <c r="E792" t="s">
        <v>7855</v>
      </c>
      <c r="F792">
        <v>28670588</v>
      </c>
      <c r="G792">
        <v>535881</v>
      </c>
      <c r="H792">
        <v>96497</v>
      </c>
      <c r="I792" t="s">
        <v>7835</v>
      </c>
      <c r="J792">
        <v>2005</v>
      </c>
      <c r="K792" t="s">
        <v>7847</v>
      </c>
      <c r="L792" t="s">
        <v>7837</v>
      </c>
    </row>
    <row r="793" spans="1:12">
      <c r="A793" t="s">
        <v>7830</v>
      </c>
      <c r="B793" t="s">
        <v>7852</v>
      </c>
      <c r="C793" t="s">
        <v>7853</v>
      </c>
      <c r="D793" t="s">
        <v>7854</v>
      </c>
      <c r="E793" t="s">
        <v>7855</v>
      </c>
      <c r="F793">
        <v>30438950</v>
      </c>
      <c r="G793">
        <v>488044</v>
      </c>
      <c r="H793">
        <v>72040</v>
      </c>
      <c r="I793" t="s">
        <v>7835</v>
      </c>
      <c r="J793">
        <v>2005</v>
      </c>
      <c r="K793" t="s">
        <v>7848</v>
      </c>
      <c r="L793" t="s">
        <v>7837</v>
      </c>
    </row>
    <row r="794" spans="1:12">
      <c r="A794" t="s">
        <v>7830</v>
      </c>
      <c r="B794" t="s">
        <v>7852</v>
      </c>
      <c r="C794" t="s">
        <v>7853</v>
      </c>
      <c r="D794" t="s">
        <v>7854</v>
      </c>
      <c r="E794" t="s">
        <v>7855</v>
      </c>
      <c r="F794">
        <v>34168476</v>
      </c>
      <c r="G794">
        <v>518511</v>
      </c>
      <c r="H794">
        <v>100245</v>
      </c>
      <c r="I794" t="s">
        <v>7835</v>
      </c>
      <c r="J794">
        <v>2006</v>
      </c>
      <c r="K794" t="s">
        <v>7836</v>
      </c>
      <c r="L794" t="s">
        <v>7837</v>
      </c>
    </row>
    <row r="795" spans="1:12">
      <c r="A795" t="s">
        <v>7830</v>
      </c>
      <c r="B795" t="s">
        <v>7852</v>
      </c>
      <c r="C795" t="s">
        <v>7853</v>
      </c>
      <c r="D795" t="s">
        <v>7854</v>
      </c>
      <c r="E795" t="s">
        <v>7855</v>
      </c>
      <c r="F795">
        <v>39306777</v>
      </c>
      <c r="G795">
        <v>556113</v>
      </c>
      <c r="H795">
        <v>153174</v>
      </c>
      <c r="I795" t="s">
        <v>7835</v>
      </c>
      <c r="J795">
        <v>2006</v>
      </c>
      <c r="K795" t="s">
        <v>7838</v>
      </c>
      <c r="L795" t="s">
        <v>7837</v>
      </c>
    </row>
    <row r="796" spans="1:12">
      <c r="A796" t="s">
        <v>7830</v>
      </c>
      <c r="B796" t="s">
        <v>7852</v>
      </c>
      <c r="C796" t="s">
        <v>7853</v>
      </c>
      <c r="D796" t="s">
        <v>7854</v>
      </c>
      <c r="E796" t="s">
        <v>7855</v>
      </c>
      <c r="F796">
        <v>64113502</v>
      </c>
      <c r="G796">
        <v>534127</v>
      </c>
      <c r="H796">
        <v>119655</v>
      </c>
      <c r="I796" t="s">
        <v>7835</v>
      </c>
      <c r="J796">
        <v>2006</v>
      </c>
      <c r="K796" t="s">
        <v>7839</v>
      </c>
      <c r="L796" t="s">
        <v>7837</v>
      </c>
    </row>
    <row r="797" spans="1:12">
      <c r="A797" t="s">
        <v>7830</v>
      </c>
      <c r="B797" t="s">
        <v>7852</v>
      </c>
      <c r="C797" t="s">
        <v>7853</v>
      </c>
      <c r="D797" t="s">
        <v>7854</v>
      </c>
      <c r="E797" t="s">
        <v>7855</v>
      </c>
      <c r="F797">
        <v>52131358</v>
      </c>
      <c r="G797">
        <v>220251</v>
      </c>
      <c r="H797">
        <v>87456</v>
      </c>
      <c r="I797" t="s">
        <v>7835</v>
      </c>
      <c r="J797">
        <v>2006</v>
      </c>
      <c r="K797" t="s">
        <v>7840</v>
      </c>
      <c r="L797" t="s">
        <v>7837</v>
      </c>
    </row>
    <row r="798" spans="1:12">
      <c r="A798" t="s">
        <v>7830</v>
      </c>
      <c r="B798" t="s">
        <v>7852</v>
      </c>
      <c r="C798" t="s">
        <v>7853</v>
      </c>
      <c r="D798" t="s">
        <v>7854</v>
      </c>
      <c r="E798" t="s">
        <v>7855</v>
      </c>
      <c r="F798">
        <v>62981257</v>
      </c>
      <c r="G798">
        <v>382214</v>
      </c>
      <c r="H798">
        <v>123747</v>
      </c>
      <c r="I798" t="s">
        <v>7835</v>
      </c>
      <c r="J798">
        <v>2006</v>
      </c>
      <c r="K798" t="s">
        <v>7841</v>
      </c>
      <c r="L798" t="s">
        <v>7837</v>
      </c>
    </row>
    <row r="799" spans="1:12">
      <c r="A799" t="s">
        <v>7830</v>
      </c>
      <c r="B799" t="s">
        <v>7852</v>
      </c>
      <c r="C799" t="s">
        <v>7853</v>
      </c>
      <c r="D799" t="s">
        <v>7854</v>
      </c>
      <c r="E799" t="s">
        <v>7855</v>
      </c>
      <c r="F799">
        <v>172919371</v>
      </c>
      <c r="G799">
        <v>229765</v>
      </c>
      <c r="H799">
        <v>229434</v>
      </c>
      <c r="I799" t="s">
        <v>7835</v>
      </c>
      <c r="J799">
        <v>2006</v>
      </c>
      <c r="K799" t="s">
        <v>7842</v>
      </c>
      <c r="L799" t="s">
        <v>7837</v>
      </c>
    </row>
    <row r="800" spans="1:12">
      <c r="A800" t="s">
        <v>7830</v>
      </c>
      <c r="B800" t="s">
        <v>7852</v>
      </c>
      <c r="C800" t="s">
        <v>7853</v>
      </c>
      <c r="D800" t="s">
        <v>7854</v>
      </c>
      <c r="E800" t="s">
        <v>7855</v>
      </c>
      <c r="F800">
        <v>23631585</v>
      </c>
      <c r="G800">
        <v>201764</v>
      </c>
      <c r="H800">
        <v>76552</v>
      </c>
      <c r="I800" t="s">
        <v>7835</v>
      </c>
      <c r="J800">
        <v>2006</v>
      </c>
      <c r="K800" t="s">
        <v>7843</v>
      </c>
      <c r="L800" t="s">
        <v>7837</v>
      </c>
    </row>
    <row r="801" spans="1:12">
      <c r="A801" t="s">
        <v>7830</v>
      </c>
      <c r="B801" t="s">
        <v>7852</v>
      </c>
      <c r="C801" t="s">
        <v>7853</v>
      </c>
      <c r="D801" t="s">
        <v>7854</v>
      </c>
      <c r="E801" t="s">
        <v>7855</v>
      </c>
      <c r="F801">
        <v>27277733</v>
      </c>
      <c r="G801">
        <v>201600</v>
      </c>
      <c r="H801">
        <v>53541</v>
      </c>
      <c r="I801" t="s">
        <v>7835</v>
      </c>
      <c r="J801">
        <v>2006</v>
      </c>
      <c r="K801" t="s">
        <v>7844</v>
      </c>
      <c r="L801" t="s">
        <v>7837</v>
      </c>
    </row>
    <row r="802" spans="1:12">
      <c r="A802" t="s">
        <v>7830</v>
      </c>
      <c r="B802" t="s">
        <v>7852</v>
      </c>
      <c r="C802" t="s">
        <v>7853</v>
      </c>
      <c r="D802" t="s">
        <v>7854</v>
      </c>
      <c r="E802" t="s">
        <v>7855</v>
      </c>
      <c r="F802">
        <v>67953813</v>
      </c>
      <c r="G802">
        <v>681739</v>
      </c>
      <c r="H802">
        <v>127659</v>
      </c>
      <c r="I802" t="s">
        <v>7835</v>
      </c>
      <c r="J802">
        <v>2006</v>
      </c>
      <c r="K802" t="s">
        <v>7845</v>
      </c>
      <c r="L802" t="s">
        <v>7837</v>
      </c>
    </row>
    <row r="803" spans="1:12">
      <c r="A803" t="s">
        <v>7830</v>
      </c>
      <c r="B803" t="s">
        <v>7852</v>
      </c>
      <c r="C803" t="s">
        <v>7853</v>
      </c>
      <c r="D803" t="s">
        <v>7854</v>
      </c>
      <c r="E803" t="s">
        <v>7855</v>
      </c>
      <c r="F803">
        <v>64560939</v>
      </c>
      <c r="G803">
        <v>415489</v>
      </c>
      <c r="H803">
        <v>111834</v>
      </c>
      <c r="I803" t="s">
        <v>7835</v>
      </c>
      <c r="J803">
        <v>2006</v>
      </c>
      <c r="K803" t="s">
        <v>7846</v>
      </c>
      <c r="L803" t="s">
        <v>7837</v>
      </c>
    </row>
    <row r="804" spans="1:12">
      <c r="A804" t="s">
        <v>7830</v>
      </c>
      <c r="B804" t="s">
        <v>7852</v>
      </c>
      <c r="C804" t="s">
        <v>7853</v>
      </c>
      <c r="D804" t="s">
        <v>7854</v>
      </c>
      <c r="E804" t="s">
        <v>7855</v>
      </c>
      <c r="F804">
        <v>20822270</v>
      </c>
      <c r="G804">
        <v>714542</v>
      </c>
      <c r="H804">
        <v>78855</v>
      </c>
      <c r="I804" t="s">
        <v>7835</v>
      </c>
      <c r="J804">
        <v>2006</v>
      </c>
      <c r="K804" t="s">
        <v>7847</v>
      </c>
      <c r="L804" t="s">
        <v>7837</v>
      </c>
    </row>
    <row r="805" spans="1:12">
      <c r="A805" t="s">
        <v>7830</v>
      </c>
      <c r="B805" t="s">
        <v>7852</v>
      </c>
      <c r="C805" t="s">
        <v>7853</v>
      </c>
      <c r="D805" t="s">
        <v>7854</v>
      </c>
      <c r="E805" t="s">
        <v>7855</v>
      </c>
      <c r="F805">
        <v>23861333</v>
      </c>
      <c r="G805">
        <v>166541</v>
      </c>
      <c r="H805">
        <v>67047</v>
      </c>
      <c r="I805" t="s">
        <v>7835</v>
      </c>
      <c r="J805">
        <v>2006</v>
      </c>
      <c r="K805" t="s">
        <v>7848</v>
      </c>
      <c r="L805" t="s">
        <v>7837</v>
      </c>
    </row>
    <row r="806" spans="1:12">
      <c r="A806" t="s">
        <v>7830</v>
      </c>
      <c r="B806" t="s">
        <v>7852</v>
      </c>
      <c r="C806" t="s">
        <v>7853</v>
      </c>
      <c r="D806" t="s">
        <v>7854</v>
      </c>
      <c r="E806" t="s">
        <v>7855</v>
      </c>
      <c r="F806">
        <v>14241352</v>
      </c>
      <c r="G806">
        <v>414311</v>
      </c>
      <c r="H806">
        <v>52305</v>
      </c>
      <c r="I806" t="s">
        <v>7835</v>
      </c>
      <c r="J806">
        <v>2007</v>
      </c>
      <c r="K806" t="s">
        <v>7836</v>
      </c>
      <c r="L806" t="s">
        <v>7837</v>
      </c>
    </row>
    <row r="807" spans="1:12">
      <c r="A807" t="s">
        <v>7830</v>
      </c>
      <c r="B807" t="s">
        <v>7852</v>
      </c>
      <c r="C807" t="s">
        <v>7853</v>
      </c>
      <c r="D807" t="s">
        <v>7854</v>
      </c>
      <c r="E807" t="s">
        <v>7855</v>
      </c>
      <c r="F807">
        <v>14225486</v>
      </c>
      <c r="G807">
        <v>317616</v>
      </c>
      <c r="H807">
        <v>71613</v>
      </c>
      <c r="I807" t="s">
        <v>7835</v>
      </c>
      <c r="J807">
        <v>2007</v>
      </c>
      <c r="K807" t="s">
        <v>7838</v>
      </c>
      <c r="L807" t="s">
        <v>7837</v>
      </c>
    </row>
    <row r="808" spans="1:12">
      <c r="A808" t="s">
        <v>7830</v>
      </c>
      <c r="B808" t="s">
        <v>7852</v>
      </c>
      <c r="C808" t="s">
        <v>7853</v>
      </c>
      <c r="D808" t="s">
        <v>7854</v>
      </c>
      <c r="E808" t="s">
        <v>7855</v>
      </c>
      <c r="F808">
        <v>17907812</v>
      </c>
      <c r="G808">
        <v>458926</v>
      </c>
      <c r="H808">
        <v>77686</v>
      </c>
      <c r="I808" t="s">
        <v>7835</v>
      </c>
      <c r="J808">
        <v>2007</v>
      </c>
      <c r="K808" t="s">
        <v>7839</v>
      </c>
      <c r="L808" t="s">
        <v>7837</v>
      </c>
    </row>
    <row r="809" spans="1:12">
      <c r="A809" t="s">
        <v>7830</v>
      </c>
      <c r="B809" t="s">
        <v>7852</v>
      </c>
      <c r="C809" t="s">
        <v>7853</v>
      </c>
      <c r="D809" t="s">
        <v>7854</v>
      </c>
      <c r="E809" t="s">
        <v>7855</v>
      </c>
      <c r="F809">
        <v>19591334</v>
      </c>
      <c r="G809">
        <v>284481</v>
      </c>
      <c r="H809">
        <v>74552</v>
      </c>
      <c r="I809" t="s">
        <v>7835</v>
      </c>
      <c r="J809">
        <v>2007</v>
      </c>
      <c r="K809" t="s">
        <v>7840</v>
      </c>
      <c r="L809" t="s">
        <v>7837</v>
      </c>
    </row>
    <row r="810" spans="1:12">
      <c r="A810" t="s">
        <v>7830</v>
      </c>
      <c r="B810" t="s">
        <v>7852</v>
      </c>
      <c r="C810" t="s">
        <v>7853</v>
      </c>
      <c r="D810" t="s">
        <v>7854</v>
      </c>
      <c r="E810" t="s">
        <v>7855</v>
      </c>
      <c r="F810">
        <v>12495606</v>
      </c>
      <c r="G810">
        <v>138621</v>
      </c>
      <c r="H810">
        <v>41263</v>
      </c>
      <c r="I810" t="s">
        <v>7835</v>
      </c>
      <c r="J810">
        <v>2007</v>
      </c>
      <c r="K810" t="s">
        <v>7841</v>
      </c>
      <c r="L810" t="s">
        <v>7837</v>
      </c>
    </row>
    <row r="811" spans="1:12">
      <c r="A811" t="s">
        <v>7830</v>
      </c>
      <c r="B811" t="s">
        <v>7852</v>
      </c>
      <c r="C811" t="s">
        <v>7853</v>
      </c>
      <c r="D811" t="s">
        <v>7854</v>
      </c>
      <c r="E811" t="s">
        <v>7855</v>
      </c>
      <c r="F811">
        <v>18415757</v>
      </c>
      <c r="G811">
        <v>369793</v>
      </c>
      <c r="H811">
        <v>58727</v>
      </c>
      <c r="I811" t="s">
        <v>7835</v>
      </c>
      <c r="J811">
        <v>2007</v>
      </c>
      <c r="K811" t="s">
        <v>7842</v>
      </c>
      <c r="L811" t="s">
        <v>7837</v>
      </c>
    </row>
    <row r="812" spans="1:12">
      <c r="A812" t="s">
        <v>7830</v>
      </c>
      <c r="B812" t="s">
        <v>7852</v>
      </c>
      <c r="C812" t="s">
        <v>7853</v>
      </c>
      <c r="D812" t="s">
        <v>7854</v>
      </c>
      <c r="E812" t="s">
        <v>7855</v>
      </c>
      <c r="F812">
        <v>17010465</v>
      </c>
      <c r="G812">
        <v>383073</v>
      </c>
      <c r="H812">
        <v>57649</v>
      </c>
      <c r="I812" t="s">
        <v>7835</v>
      </c>
      <c r="J812">
        <v>2007</v>
      </c>
      <c r="K812" t="s">
        <v>7843</v>
      </c>
      <c r="L812" t="s">
        <v>7837</v>
      </c>
    </row>
    <row r="813" spans="1:12">
      <c r="A813" t="s">
        <v>7830</v>
      </c>
      <c r="B813" t="s">
        <v>7852</v>
      </c>
      <c r="C813" t="s">
        <v>7853</v>
      </c>
      <c r="D813" t="s">
        <v>7854</v>
      </c>
      <c r="E813" t="s">
        <v>7855</v>
      </c>
      <c r="F813">
        <v>17921802</v>
      </c>
      <c r="G813">
        <v>226558</v>
      </c>
      <c r="H813">
        <v>68089</v>
      </c>
      <c r="I813" t="s">
        <v>7835</v>
      </c>
      <c r="J813">
        <v>2007</v>
      </c>
      <c r="K813" t="s">
        <v>7844</v>
      </c>
      <c r="L813" t="s">
        <v>7837</v>
      </c>
    </row>
    <row r="814" spans="1:12">
      <c r="A814" t="s">
        <v>7830</v>
      </c>
      <c r="B814" t="s">
        <v>7852</v>
      </c>
      <c r="C814" t="s">
        <v>7853</v>
      </c>
      <c r="D814" t="s">
        <v>7854</v>
      </c>
      <c r="E814" t="s">
        <v>7855</v>
      </c>
      <c r="F814">
        <v>18675992</v>
      </c>
      <c r="G814">
        <v>209285</v>
      </c>
      <c r="H814">
        <v>93006</v>
      </c>
      <c r="I814" t="s">
        <v>7835</v>
      </c>
      <c r="J814">
        <v>2007</v>
      </c>
      <c r="K814" t="s">
        <v>7845</v>
      </c>
      <c r="L814" t="s">
        <v>7837</v>
      </c>
    </row>
    <row r="815" spans="1:12">
      <c r="A815" t="s">
        <v>7830</v>
      </c>
      <c r="B815" t="s">
        <v>7852</v>
      </c>
      <c r="C815" t="s">
        <v>7853</v>
      </c>
      <c r="D815" t="s">
        <v>7854</v>
      </c>
      <c r="E815" t="s">
        <v>7855</v>
      </c>
      <c r="F815">
        <v>17003793</v>
      </c>
      <c r="G815">
        <v>208942</v>
      </c>
      <c r="H815">
        <v>50387</v>
      </c>
      <c r="I815" t="s">
        <v>7835</v>
      </c>
      <c r="J815">
        <v>2007</v>
      </c>
      <c r="K815" t="s">
        <v>7846</v>
      </c>
      <c r="L815" t="s">
        <v>7837</v>
      </c>
    </row>
    <row r="816" spans="1:12">
      <c r="A816" t="s">
        <v>7830</v>
      </c>
      <c r="B816" t="s">
        <v>7852</v>
      </c>
      <c r="C816" t="s">
        <v>7853</v>
      </c>
      <c r="D816" t="s">
        <v>7854</v>
      </c>
      <c r="E816" t="s">
        <v>7855</v>
      </c>
      <c r="F816">
        <v>23973834</v>
      </c>
      <c r="G816">
        <v>341460</v>
      </c>
      <c r="H816">
        <v>89121</v>
      </c>
      <c r="I816" t="s">
        <v>7835</v>
      </c>
      <c r="J816">
        <v>2007</v>
      </c>
      <c r="K816" t="s">
        <v>7847</v>
      </c>
      <c r="L816" t="s">
        <v>7837</v>
      </c>
    </row>
    <row r="817" spans="1:12">
      <c r="A817" t="s">
        <v>7830</v>
      </c>
      <c r="B817" t="s">
        <v>7852</v>
      </c>
      <c r="C817" t="s">
        <v>7853</v>
      </c>
      <c r="D817" t="s">
        <v>7854</v>
      </c>
      <c r="E817" t="s">
        <v>7855</v>
      </c>
      <c r="F817">
        <v>29434365</v>
      </c>
      <c r="G817">
        <v>298943</v>
      </c>
      <c r="H817">
        <v>92305</v>
      </c>
      <c r="I817" t="s">
        <v>7835</v>
      </c>
      <c r="J817">
        <v>2007</v>
      </c>
      <c r="K817" t="s">
        <v>7848</v>
      </c>
      <c r="L817" t="s">
        <v>7837</v>
      </c>
    </row>
    <row r="818" spans="1:12">
      <c r="A818" t="s">
        <v>7830</v>
      </c>
      <c r="B818" t="s">
        <v>7852</v>
      </c>
      <c r="C818" t="s">
        <v>7853</v>
      </c>
      <c r="D818" t="s">
        <v>7854</v>
      </c>
      <c r="E818" t="s">
        <v>7855</v>
      </c>
      <c r="F818">
        <v>17978289</v>
      </c>
      <c r="G818">
        <v>242709</v>
      </c>
      <c r="H818">
        <v>74364</v>
      </c>
      <c r="I818" t="s">
        <v>7835</v>
      </c>
      <c r="J818">
        <v>2008</v>
      </c>
      <c r="K818" t="s">
        <v>7836</v>
      </c>
      <c r="L818" t="s">
        <v>7837</v>
      </c>
    </row>
    <row r="819" spans="1:12">
      <c r="A819" t="s">
        <v>7830</v>
      </c>
      <c r="B819" t="s">
        <v>7852</v>
      </c>
      <c r="C819" t="s">
        <v>7853</v>
      </c>
      <c r="D819" t="s">
        <v>7854</v>
      </c>
      <c r="E819" t="s">
        <v>7855</v>
      </c>
      <c r="F819">
        <v>21265714</v>
      </c>
      <c r="G819">
        <v>210070</v>
      </c>
      <c r="H819">
        <v>98809</v>
      </c>
      <c r="I819" t="s">
        <v>7835</v>
      </c>
      <c r="J819">
        <v>2008</v>
      </c>
      <c r="K819" t="s">
        <v>7838</v>
      </c>
      <c r="L819" t="s">
        <v>7837</v>
      </c>
    </row>
    <row r="820" spans="1:12">
      <c r="A820" t="s">
        <v>7830</v>
      </c>
      <c r="B820" t="s">
        <v>7852</v>
      </c>
      <c r="C820" t="s">
        <v>7853</v>
      </c>
      <c r="D820" t="s">
        <v>7854</v>
      </c>
      <c r="E820" t="s">
        <v>7855</v>
      </c>
      <c r="F820">
        <v>30154140</v>
      </c>
      <c r="G820">
        <v>637770</v>
      </c>
      <c r="H820">
        <v>81004</v>
      </c>
      <c r="I820" t="s">
        <v>7835</v>
      </c>
      <c r="J820">
        <v>2008</v>
      </c>
      <c r="K820" t="s">
        <v>7839</v>
      </c>
      <c r="L820" t="s">
        <v>7837</v>
      </c>
    </row>
    <row r="821" spans="1:12">
      <c r="A821" t="s">
        <v>7830</v>
      </c>
      <c r="B821" t="s">
        <v>7852</v>
      </c>
      <c r="C821" t="s">
        <v>7853</v>
      </c>
      <c r="D821" t="s">
        <v>7854</v>
      </c>
      <c r="E821" t="s">
        <v>7855</v>
      </c>
      <c r="F821">
        <v>24139413</v>
      </c>
      <c r="G821">
        <v>225741</v>
      </c>
      <c r="H821">
        <v>127307</v>
      </c>
      <c r="I821" t="s">
        <v>7835</v>
      </c>
      <c r="J821">
        <v>2008</v>
      </c>
      <c r="K821" t="s">
        <v>7840</v>
      </c>
      <c r="L821" t="s">
        <v>7837</v>
      </c>
    </row>
    <row r="822" spans="1:12">
      <c r="A822" t="s">
        <v>7830</v>
      </c>
      <c r="B822" t="s">
        <v>7852</v>
      </c>
      <c r="C822" t="s">
        <v>7853</v>
      </c>
      <c r="D822" t="s">
        <v>7854</v>
      </c>
      <c r="E822" t="s">
        <v>7855</v>
      </c>
      <c r="F822">
        <v>20503819</v>
      </c>
      <c r="G822">
        <v>182911</v>
      </c>
      <c r="H822">
        <v>104502</v>
      </c>
      <c r="I822" t="s">
        <v>7835</v>
      </c>
      <c r="J822">
        <v>2008</v>
      </c>
      <c r="K822" t="s">
        <v>7841</v>
      </c>
      <c r="L822" t="s">
        <v>7837</v>
      </c>
    </row>
    <row r="823" spans="1:12">
      <c r="A823" t="s">
        <v>7830</v>
      </c>
      <c r="B823" t="s">
        <v>7852</v>
      </c>
      <c r="C823" t="s">
        <v>7853</v>
      </c>
      <c r="D823" t="s">
        <v>7854</v>
      </c>
      <c r="E823" t="s">
        <v>7855</v>
      </c>
      <c r="F823">
        <v>26848986</v>
      </c>
      <c r="G823">
        <v>207299</v>
      </c>
      <c r="H823">
        <v>101700</v>
      </c>
      <c r="I823" t="s">
        <v>7835</v>
      </c>
      <c r="J823">
        <v>2008</v>
      </c>
      <c r="K823" t="s">
        <v>7842</v>
      </c>
      <c r="L823" t="s">
        <v>7837</v>
      </c>
    </row>
    <row r="824" spans="1:12">
      <c r="A824" t="s">
        <v>7830</v>
      </c>
      <c r="B824" t="s">
        <v>7852</v>
      </c>
      <c r="C824" t="s">
        <v>7853</v>
      </c>
      <c r="D824" t="s">
        <v>7854</v>
      </c>
      <c r="E824" t="s">
        <v>7855</v>
      </c>
      <c r="F824">
        <v>15468257</v>
      </c>
      <c r="G824">
        <v>133312</v>
      </c>
      <c r="H824">
        <v>55280</v>
      </c>
      <c r="I824" t="s">
        <v>7835</v>
      </c>
      <c r="J824">
        <v>2008</v>
      </c>
      <c r="K824" t="s">
        <v>7843</v>
      </c>
      <c r="L824" t="s">
        <v>7837</v>
      </c>
    </row>
    <row r="825" spans="1:12">
      <c r="A825" t="s">
        <v>7830</v>
      </c>
      <c r="B825" t="s">
        <v>7852</v>
      </c>
      <c r="C825" t="s">
        <v>7853</v>
      </c>
      <c r="D825" t="s">
        <v>7854</v>
      </c>
      <c r="E825" t="s">
        <v>7855</v>
      </c>
      <c r="F825">
        <v>16770476</v>
      </c>
      <c r="G825">
        <v>149415</v>
      </c>
      <c r="H825">
        <v>67798</v>
      </c>
      <c r="I825" t="s">
        <v>7835</v>
      </c>
      <c r="J825">
        <v>2008</v>
      </c>
      <c r="K825" t="s">
        <v>7844</v>
      </c>
      <c r="L825" t="s">
        <v>7837</v>
      </c>
    </row>
    <row r="826" spans="1:12">
      <c r="A826" t="s">
        <v>7830</v>
      </c>
      <c r="B826" t="s">
        <v>7852</v>
      </c>
      <c r="C826" t="s">
        <v>7853</v>
      </c>
      <c r="D826" t="s">
        <v>7854</v>
      </c>
      <c r="E826" t="s">
        <v>7855</v>
      </c>
      <c r="F826">
        <v>32285960</v>
      </c>
      <c r="G826">
        <v>255294</v>
      </c>
      <c r="H826">
        <v>94270</v>
      </c>
      <c r="I826" t="s">
        <v>7835</v>
      </c>
      <c r="J826">
        <v>2008</v>
      </c>
      <c r="K826" t="s">
        <v>7845</v>
      </c>
      <c r="L826" t="s">
        <v>7837</v>
      </c>
    </row>
    <row r="827" spans="1:12">
      <c r="A827" t="s">
        <v>7830</v>
      </c>
      <c r="B827" t="s">
        <v>7852</v>
      </c>
      <c r="C827" t="s">
        <v>7853</v>
      </c>
      <c r="D827" t="s">
        <v>7854</v>
      </c>
      <c r="E827" t="s">
        <v>7855</v>
      </c>
      <c r="F827">
        <v>21433328</v>
      </c>
      <c r="G827">
        <v>219886</v>
      </c>
      <c r="H827">
        <v>104904</v>
      </c>
      <c r="I827" t="s">
        <v>7835</v>
      </c>
      <c r="J827">
        <v>2008</v>
      </c>
      <c r="K827" t="s">
        <v>7846</v>
      </c>
      <c r="L827" t="s">
        <v>7837</v>
      </c>
    </row>
    <row r="828" spans="1:12">
      <c r="A828" t="s">
        <v>7830</v>
      </c>
      <c r="B828" t="s">
        <v>7852</v>
      </c>
      <c r="C828" t="s">
        <v>7853</v>
      </c>
      <c r="D828" t="s">
        <v>7854</v>
      </c>
      <c r="E828" t="s">
        <v>7855</v>
      </c>
      <c r="F828">
        <v>28424031</v>
      </c>
      <c r="G828">
        <v>292472</v>
      </c>
      <c r="H828">
        <v>88895</v>
      </c>
      <c r="I828" t="s">
        <v>7835</v>
      </c>
      <c r="J828">
        <v>2008</v>
      </c>
      <c r="K828" t="s">
        <v>7847</v>
      </c>
      <c r="L828" t="s">
        <v>7837</v>
      </c>
    </row>
    <row r="829" spans="1:12">
      <c r="A829" t="s">
        <v>7830</v>
      </c>
      <c r="B829" t="s">
        <v>7852</v>
      </c>
      <c r="C829" t="s">
        <v>7853</v>
      </c>
      <c r="D829" t="s">
        <v>7854</v>
      </c>
      <c r="E829" t="s">
        <v>7855</v>
      </c>
      <c r="F829">
        <v>23526944</v>
      </c>
      <c r="G829">
        <v>203928</v>
      </c>
      <c r="H829">
        <v>81137</v>
      </c>
      <c r="I829" t="s">
        <v>7835</v>
      </c>
      <c r="J829">
        <v>2008</v>
      </c>
      <c r="K829" t="s">
        <v>7848</v>
      </c>
      <c r="L829" t="s">
        <v>7837</v>
      </c>
    </row>
    <row r="830" spans="1:12">
      <c r="A830" t="s">
        <v>7830</v>
      </c>
      <c r="B830" t="s">
        <v>7852</v>
      </c>
      <c r="C830" t="s">
        <v>7853</v>
      </c>
      <c r="D830" t="s">
        <v>7854</v>
      </c>
      <c r="E830" t="s">
        <v>7855</v>
      </c>
      <c r="F830">
        <v>20133107</v>
      </c>
      <c r="G830">
        <v>169411</v>
      </c>
      <c r="H830">
        <v>66848</v>
      </c>
      <c r="I830" t="s">
        <v>7835</v>
      </c>
      <c r="J830">
        <v>2009</v>
      </c>
      <c r="K830" t="s">
        <v>7836</v>
      </c>
      <c r="L830" t="s">
        <v>7837</v>
      </c>
    </row>
    <row r="831" spans="1:12">
      <c r="A831" t="s">
        <v>7830</v>
      </c>
      <c r="B831" t="s">
        <v>7852</v>
      </c>
      <c r="C831" t="s">
        <v>7853</v>
      </c>
      <c r="D831" t="s">
        <v>7854</v>
      </c>
      <c r="E831" t="s">
        <v>7855</v>
      </c>
      <c r="F831">
        <v>19644128</v>
      </c>
      <c r="G831">
        <v>213053</v>
      </c>
      <c r="H831">
        <v>74986</v>
      </c>
      <c r="I831" t="s">
        <v>7835</v>
      </c>
      <c r="J831">
        <v>2009</v>
      </c>
      <c r="K831" t="s">
        <v>7838</v>
      </c>
      <c r="L831" t="s">
        <v>7837</v>
      </c>
    </row>
    <row r="832" spans="1:12">
      <c r="A832" t="s">
        <v>7830</v>
      </c>
      <c r="B832" t="s">
        <v>7852</v>
      </c>
      <c r="C832" t="s">
        <v>7853</v>
      </c>
      <c r="D832" t="s">
        <v>7854</v>
      </c>
      <c r="E832" t="s">
        <v>7855</v>
      </c>
      <c r="F832">
        <v>23903610</v>
      </c>
      <c r="G832">
        <v>297573</v>
      </c>
      <c r="H832">
        <v>74020</v>
      </c>
      <c r="I832" t="s">
        <v>7835</v>
      </c>
      <c r="J832">
        <v>2009</v>
      </c>
      <c r="K832" t="s">
        <v>7839</v>
      </c>
      <c r="L832" t="s">
        <v>7837</v>
      </c>
    </row>
    <row r="833" spans="1:12">
      <c r="A833" t="s">
        <v>7830</v>
      </c>
      <c r="B833" t="s">
        <v>7852</v>
      </c>
      <c r="C833" t="s">
        <v>7853</v>
      </c>
      <c r="D833" t="s">
        <v>7854</v>
      </c>
      <c r="E833" t="s">
        <v>7855</v>
      </c>
      <c r="F833">
        <v>20598159</v>
      </c>
      <c r="G833">
        <v>252222</v>
      </c>
      <c r="H833">
        <v>71658</v>
      </c>
      <c r="I833" t="s">
        <v>7835</v>
      </c>
      <c r="J833">
        <v>2009</v>
      </c>
      <c r="K833" t="s">
        <v>7840</v>
      </c>
      <c r="L833" t="s">
        <v>7837</v>
      </c>
    </row>
    <row r="834" spans="1:12">
      <c r="A834" t="s">
        <v>7830</v>
      </c>
      <c r="B834" t="s">
        <v>7852</v>
      </c>
      <c r="C834" t="s">
        <v>7853</v>
      </c>
      <c r="D834" t="s">
        <v>7854</v>
      </c>
      <c r="E834" t="s">
        <v>7855</v>
      </c>
      <c r="F834">
        <v>21011833</v>
      </c>
      <c r="G834">
        <v>213838</v>
      </c>
      <c r="H834">
        <v>75099</v>
      </c>
      <c r="I834" t="s">
        <v>7835</v>
      </c>
      <c r="J834">
        <v>2009</v>
      </c>
      <c r="K834" t="s">
        <v>7841</v>
      </c>
      <c r="L834" t="s">
        <v>7837</v>
      </c>
    </row>
    <row r="835" spans="1:12">
      <c r="A835" t="s">
        <v>7830</v>
      </c>
      <c r="B835" t="s">
        <v>7852</v>
      </c>
      <c r="C835" t="s">
        <v>7853</v>
      </c>
      <c r="D835" t="s">
        <v>7854</v>
      </c>
      <c r="E835" t="s">
        <v>7855</v>
      </c>
      <c r="F835">
        <v>20980081</v>
      </c>
      <c r="G835">
        <v>210094</v>
      </c>
      <c r="H835">
        <v>65640</v>
      </c>
      <c r="I835" t="s">
        <v>7835</v>
      </c>
      <c r="J835">
        <v>2009</v>
      </c>
      <c r="K835" t="s">
        <v>7842</v>
      </c>
      <c r="L835" t="s">
        <v>7837</v>
      </c>
    </row>
    <row r="836" spans="1:12">
      <c r="A836" t="s">
        <v>7830</v>
      </c>
      <c r="B836" t="s">
        <v>7852</v>
      </c>
      <c r="C836" t="s">
        <v>7853</v>
      </c>
      <c r="D836" t="s">
        <v>7854</v>
      </c>
      <c r="E836" t="s">
        <v>7855</v>
      </c>
      <c r="F836">
        <v>17550640</v>
      </c>
      <c r="G836">
        <v>178889</v>
      </c>
      <c r="H836">
        <v>52174</v>
      </c>
      <c r="I836" t="s">
        <v>7835</v>
      </c>
      <c r="J836">
        <v>2009</v>
      </c>
      <c r="K836" t="s">
        <v>7843</v>
      </c>
      <c r="L836" t="s">
        <v>7837</v>
      </c>
    </row>
    <row r="837" spans="1:12">
      <c r="A837" t="s">
        <v>7830</v>
      </c>
      <c r="B837" t="s">
        <v>7852</v>
      </c>
      <c r="C837" t="s">
        <v>7853</v>
      </c>
      <c r="D837" t="s">
        <v>7854</v>
      </c>
      <c r="E837" t="s">
        <v>7855</v>
      </c>
      <c r="F837">
        <v>17672112</v>
      </c>
      <c r="G837">
        <v>167217</v>
      </c>
      <c r="H837">
        <v>58538</v>
      </c>
      <c r="I837" t="s">
        <v>7835</v>
      </c>
      <c r="J837">
        <v>2009</v>
      </c>
      <c r="K837" t="s">
        <v>7844</v>
      </c>
      <c r="L837" t="s">
        <v>7837</v>
      </c>
    </row>
    <row r="838" spans="1:12">
      <c r="A838" t="s">
        <v>7830</v>
      </c>
      <c r="B838" t="s">
        <v>7852</v>
      </c>
      <c r="C838" t="s">
        <v>7853</v>
      </c>
      <c r="D838" t="s">
        <v>7854</v>
      </c>
      <c r="E838" t="s">
        <v>7855</v>
      </c>
      <c r="F838">
        <v>28489694</v>
      </c>
      <c r="G838">
        <v>214286</v>
      </c>
      <c r="H838">
        <v>81625</v>
      </c>
      <c r="I838" t="s">
        <v>7835</v>
      </c>
      <c r="J838">
        <v>2009</v>
      </c>
      <c r="K838" t="s">
        <v>7845</v>
      </c>
      <c r="L838" t="s">
        <v>7837</v>
      </c>
    </row>
    <row r="839" spans="1:12">
      <c r="A839" t="s">
        <v>7830</v>
      </c>
      <c r="B839" t="s">
        <v>7852</v>
      </c>
      <c r="C839" t="s">
        <v>7853</v>
      </c>
      <c r="D839" t="s">
        <v>7854</v>
      </c>
      <c r="E839" t="s">
        <v>7855</v>
      </c>
      <c r="F839">
        <v>21679109</v>
      </c>
      <c r="G839">
        <v>177668</v>
      </c>
      <c r="H839">
        <v>57851</v>
      </c>
      <c r="I839" t="s">
        <v>7835</v>
      </c>
      <c r="J839">
        <v>2009</v>
      </c>
      <c r="K839" t="s">
        <v>7846</v>
      </c>
      <c r="L839" t="s">
        <v>7837</v>
      </c>
    </row>
    <row r="840" spans="1:12">
      <c r="A840" t="s">
        <v>7830</v>
      </c>
      <c r="B840" t="s">
        <v>7852</v>
      </c>
      <c r="C840" t="s">
        <v>7853</v>
      </c>
      <c r="D840" t="s">
        <v>7854</v>
      </c>
      <c r="E840" t="s">
        <v>7855</v>
      </c>
      <c r="F840">
        <v>36027621</v>
      </c>
      <c r="G840">
        <v>295599</v>
      </c>
      <c r="H840">
        <v>104312</v>
      </c>
      <c r="I840" t="s">
        <v>7835</v>
      </c>
      <c r="J840">
        <v>2009</v>
      </c>
      <c r="K840" t="s">
        <v>7847</v>
      </c>
      <c r="L840" t="s">
        <v>7837</v>
      </c>
    </row>
    <row r="841" spans="1:12">
      <c r="A841" t="s">
        <v>7830</v>
      </c>
      <c r="B841" t="s">
        <v>7852</v>
      </c>
      <c r="C841" t="s">
        <v>7853</v>
      </c>
      <c r="D841" t="s">
        <v>7854</v>
      </c>
      <c r="E841" t="s">
        <v>7855</v>
      </c>
      <c r="F841">
        <v>32648061</v>
      </c>
      <c r="G841">
        <v>290023</v>
      </c>
      <c r="H841">
        <v>97339</v>
      </c>
      <c r="I841" t="s">
        <v>7835</v>
      </c>
      <c r="J841">
        <v>2009</v>
      </c>
      <c r="K841" t="s">
        <v>7848</v>
      </c>
      <c r="L841" t="s">
        <v>7837</v>
      </c>
    </row>
    <row r="842" spans="1:12">
      <c r="A842" t="s">
        <v>7830</v>
      </c>
      <c r="B842" t="s">
        <v>7852</v>
      </c>
      <c r="C842" t="s">
        <v>7853</v>
      </c>
      <c r="D842" t="s">
        <v>7854</v>
      </c>
      <c r="E842" t="s">
        <v>7855</v>
      </c>
      <c r="F842">
        <v>19985923</v>
      </c>
      <c r="G842">
        <v>206274</v>
      </c>
      <c r="H842">
        <v>64265</v>
      </c>
      <c r="I842" t="s">
        <v>7835</v>
      </c>
      <c r="J842">
        <v>2010</v>
      </c>
      <c r="K842" t="s">
        <v>7836</v>
      </c>
      <c r="L842" t="s">
        <v>7837</v>
      </c>
    </row>
    <row r="843" spans="1:12">
      <c r="A843" t="s">
        <v>7830</v>
      </c>
      <c r="B843" t="s">
        <v>7852</v>
      </c>
      <c r="C843" t="s">
        <v>7853</v>
      </c>
      <c r="D843" t="s">
        <v>7854</v>
      </c>
      <c r="E843" t="s">
        <v>7855</v>
      </c>
      <c r="F843">
        <v>22391476</v>
      </c>
      <c r="G843">
        <v>632571</v>
      </c>
      <c r="H843">
        <v>76486</v>
      </c>
      <c r="I843" t="s">
        <v>7835</v>
      </c>
      <c r="J843">
        <v>2010</v>
      </c>
      <c r="K843" t="s">
        <v>7838</v>
      </c>
      <c r="L843" t="s">
        <v>7837</v>
      </c>
    </row>
    <row r="844" spans="1:12">
      <c r="A844" t="s">
        <v>7830</v>
      </c>
      <c r="B844" t="s">
        <v>7852</v>
      </c>
      <c r="C844" t="s">
        <v>7853</v>
      </c>
      <c r="D844" t="s">
        <v>7854</v>
      </c>
      <c r="E844" t="s">
        <v>7855</v>
      </c>
      <c r="F844">
        <v>26632628</v>
      </c>
      <c r="G844">
        <v>1537612</v>
      </c>
      <c r="H844">
        <v>80335</v>
      </c>
      <c r="I844" t="s">
        <v>7835</v>
      </c>
      <c r="J844">
        <v>2010</v>
      </c>
      <c r="K844" t="s">
        <v>7839</v>
      </c>
      <c r="L844" t="s">
        <v>7837</v>
      </c>
    </row>
    <row r="845" spans="1:12">
      <c r="A845" t="s">
        <v>7830</v>
      </c>
      <c r="B845" t="s">
        <v>7852</v>
      </c>
      <c r="C845" t="s">
        <v>7853</v>
      </c>
      <c r="D845" t="s">
        <v>7854</v>
      </c>
      <c r="E845" t="s">
        <v>7855</v>
      </c>
      <c r="F845">
        <v>18886943</v>
      </c>
      <c r="G845">
        <v>865462</v>
      </c>
      <c r="H845">
        <v>56476</v>
      </c>
      <c r="I845" t="s">
        <v>7835</v>
      </c>
      <c r="J845">
        <v>2010</v>
      </c>
      <c r="K845" t="s">
        <v>7840</v>
      </c>
      <c r="L845" t="s">
        <v>7837</v>
      </c>
    </row>
    <row r="846" spans="1:12">
      <c r="A846" t="s">
        <v>7830</v>
      </c>
      <c r="B846" t="s">
        <v>7852</v>
      </c>
      <c r="C846" t="s">
        <v>7853</v>
      </c>
      <c r="D846" t="s">
        <v>7854</v>
      </c>
      <c r="E846" t="s">
        <v>7855</v>
      </c>
      <c r="F846">
        <v>20889608</v>
      </c>
      <c r="G846">
        <v>161816</v>
      </c>
      <c r="H846">
        <v>62337</v>
      </c>
      <c r="I846" t="s">
        <v>7835</v>
      </c>
      <c r="J846">
        <v>2010</v>
      </c>
      <c r="K846" t="s">
        <v>7841</v>
      </c>
      <c r="L846" t="s">
        <v>7837</v>
      </c>
    </row>
    <row r="847" spans="1:12">
      <c r="A847" t="s">
        <v>7830</v>
      </c>
      <c r="B847" t="s">
        <v>7852</v>
      </c>
      <c r="C847" t="s">
        <v>7853</v>
      </c>
      <c r="D847" t="s">
        <v>7854</v>
      </c>
      <c r="E847" t="s">
        <v>7855</v>
      </c>
      <c r="F847">
        <v>23328519</v>
      </c>
      <c r="G847">
        <v>256979</v>
      </c>
      <c r="H847">
        <v>72257</v>
      </c>
      <c r="I847" t="s">
        <v>7835</v>
      </c>
      <c r="J847">
        <v>2010</v>
      </c>
      <c r="K847" t="s">
        <v>7842</v>
      </c>
      <c r="L847" t="s">
        <v>7837</v>
      </c>
    </row>
    <row r="848" spans="1:12">
      <c r="A848" t="s">
        <v>7830</v>
      </c>
      <c r="B848" t="s">
        <v>7852</v>
      </c>
      <c r="C848" t="s">
        <v>7853</v>
      </c>
      <c r="D848" t="s">
        <v>7854</v>
      </c>
      <c r="E848" t="s">
        <v>7855</v>
      </c>
      <c r="F848">
        <v>19639128</v>
      </c>
      <c r="G848">
        <v>192972</v>
      </c>
      <c r="H848">
        <v>65146</v>
      </c>
      <c r="I848" t="s">
        <v>7835</v>
      </c>
      <c r="J848">
        <v>2010</v>
      </c>
      <c r="K848" t="s">
        <v>7843</v>
      </c>
      <c r="L848" t="s">
        <v>7837</v>
      </c>
    </row>
    <row r="849" spans="1:12">
      <c r="A849" t="s">
        <v>7830</v>
      </c>
      <c r="B849" t="s">
        <v>7852</v>
      </c>
      <c r="C849" t="s">
        <v>7853</v>
      </c>
      <c r="D849" t="s">
        <v>7854</v>
      </c>
      <c r="E849" t="s">
        <v>7855</v>
      </c>
      <c r="F849">
        <v>25524147</v>
      </c>
      <c r="G849">
        <v>289528</v>
      </c>
      <c r="H849">
        <v>87297</v>
      </c>
      <c r="I849" t="s">
        <v>7835</v>
      </c>
      <c r="J849">
        <v>2010</v>
      </c>
      <c r="K849" t="s">
        <v>7844</v>
      </c>
      <c r="L849" t="s">
        <v>7837</v>
      </c>
    </row>
    <row r="850" spans="1:12">
      <c r="A850" t="s">
        <v>7830</v>
      </c>
      <c r="B850" t="s">
        <v>7852</v>
      </c>
      <c r="C850" t="s">
        <v>7853</v>
      </c>
      <c r="D850" t="s">
        <v>7854</v>
      </c>
      <c r="E850" t="s">
        <v>7855</v>
      </c>
      <c r="F850">
        <v>37365722</v>
      </c>
      <c r="G850">
        <v>509409</v>
      </c>
      <c r="H850">
        <v>321402</v>
      </c>
      <c r="I850" t="s">
        <v>7835</v>
      </c>
      <c r="J850">
        <v>2010</v>
      </c>
      <c r="K850" t="s">
        <v>7845</v>
      </c>
      <c r="L850" t="s">
        <v>7837</v>
      </c>
    </row>
    <row r="851" spans="1:12">
      <c r="A851" t="s">
        <v>7830</v>
      </c>
      <c r="B851" t="s">
        <v>7852</v>
      </c>
      <c r="C851" t="s">
        <v>7853</v>
      </c>
      <c r="D851" t="s">
        <v>7854</v>
      </c>
      <c r="E851" t="s">
        <v>7855</v>
      </c>
      <c r="F851">
        <v>30035311</v>
      </c>
      <c r="G851">
        <v>310107</v>
      </c>
      <c r="H851">
        <v>96135</v>
      </c>
      <c r="I851" t="s">
        <v>7835</v>
      </c>
      <c r="J851">
        <v>2010</v>
      </c>
      <c r="K851" t="s">
        <v>7846</v>
      </c>
      <c r="L851" t="s">
        <v>7837</v>
      </c>
    </row>
    <row r="852" spans="1:12">
      <c r="A852" t="s">
        <v>7830</v>
      </c>
      <c r="B852" t="s">
        <v>7852</v>
      </c>
      <c r="C852" t="s">
        <v>7853</v>
      </c>
      <c r="D852" t="s">
        <v>7854</v>
      </c>
      <c r="E852" t="s">
        <v>7855</v>
      </c>
      <c r="F852">
        <v>33576467</v>
      </c>
      <c r="G852">
        <v>419976</v>
      </c>
      <c r="H852">
        <v>122313</v>
      </c>
      <c r="I852" t="s">
        <v>7835</v>
      </c>
      <c r="J852">
        <v>2010</v>
      </c>
      <c r="K852" t="s">
        <v>7847</v>
      </c>
      <c r="L852" t="s">
        <v>7837</v>
      </c>
    </row>
    <row r="853" spans="1:12">
      <c r="A853" t="s">
        <v>7830</v>
      </c>
      <c r="B853" t="s">
        <v>7852</v>
      </c>
      <c r="C853" t="s">
        <v>7853</v>
      </c>
      <c r="D853" t="s">
        <v>7854</v>
      </c>
      <c r="E853" t="s">
        <v>7855</v>
      </c>
      <c r="F853">
        <v>44337444</v>
      </c>
      <c r="G853">
        <v>457245</v>
      </c>
      <c r="H853">
        <v>155713</v>
      </c>
      <c r="I853" t="s">
        <v>7835</v>
      </c>
      <c r="J853">
        <v>2010</v>
      </c>
      <c r="K853" t="s">
        <v>7848</v>
      </c>
      <c r="L853" t="s">
        <v>7837</v>
      </c>
    </row>
    <row r="854" spans="1:12">
      <c r="A854" t="s">
        <v>7830</v>
      </c>
      <c r="B854" t="s">
        <v>7852</v>
      </c>
      <c r="C854" t="s">
        <v>7853</v>
      </c>
      <c r="D854" t="s">
        <v>7854</v>
      </c>
      <c r="E854" t="s">
        <v>7855</v>
      </c>
      <c r="F854">
        <v>20991837</v>
      </c>
      <c r="G854">
        <v>768082</v>
      </c>
      <c r="H854">
        <v>81649</v>
      </c>
      <c r="I854" t="s">
        <v>7835</v>
      </c>
      <c r="J854">
        <v>2011</v>
      </c>
      <c r="K854" t="s">
        <v>7836</v>
      </c>
      <c r="L854" t="s">
        <v>7837</v>
      </c>
    </row>
    <row r="855" spans="1:12">
      <c r="A855" t="s">
        <v>7830</v>
      </c>
      <c r="B855" t="s">
        <v>7852</v>
      </c>
      <c r="C855" t="s">
        <v>7853</v>
      </c>
      <c r="D855" t="s">
        <v>7854</v>
      </c>
      <c r="E855" t="s">
        <v>7855</v>
      </c>
      <c r="F855">
        <v>20708737</v>
      </c>
      <c r="G855">
        <v>369960</v>
      </c>
      <c r="H855">
        <v>89095</v>
      </c>
      <c r="I855" t="s">
        <v>7835</v>
      </c>
      <c r="J855">
        <v>2011</v>
      </c>
      <c r="K855" t="s">
        <v>7838</v>
      </c>
      <c r="L855" t="s">
        <v>7837</v>
      </c>
    </row>
    <row r="856" spans="1:12">
      <c r="A856" t="s">
        <v>7830</v>
      </c>
      <c r="B856" t="s">
        <v>7852</v>
      </c>
      <c r="C856" t="s">
        <v>7853</v>
      </c>
      <c r="D856" t="s">
        <v>7854</v>
      </c>
      <c r="E856" t="s">
        <v>7855</v>
      </c>
      <c r="F856">
        <v>24541579</v>
      </c>
      <c r="G856">
        <v>725864</v>
      </c>
      <c r="H856">
        <v>81084</v>
      </c>
      <c r="I856" t="s">
        <v>7835</v>
      </c>
      <c r="J856">
        <v>2011</v>
      </c>
      <c r="K856" t="s">
        <v>7839</v>
      </c>
      <c r="L856" t="s">
        <v>7837</v>
      </c>
    </row>
    <row r="857" spans="1:12">
      <c r="A857" t="s">
        <v>7830</v>
      </c>
      <c r="B857" t="s">
        <v>7852</v>
      </c>
      <c r="C857" t="s">
        <v>7853</v>
      </c>
      <c r="D857" t="s">
        <v>7854</v>
      </c>
      <c r="E857" t="s">
        <v>7855</v>
      </c>
      <c r="F857">
        <v>19063735</v>
      </c>
      <c r="G857">
        <v>234118</v>
      </c>
      <c r="H857">
        <v>69562</v>
      </c>
      <c r="I857" t="s">
        <v>7835</v>
      </c>
      <c r="J857">
        <v>2011</v>
      </c>
      <c r="K857" t="s">
        <v>7840</v>
      </c>
      <c r="L857" t="s">
        <v>7837</v>
      </c>
    </row>
    <row r="858" spans="1:12">
      <c r="A858" t="s">
        <v>7830</v>
      </c>
      <c r="B858" t="s">
        <v>7852</v>
      </c>
      <c r="C858" t="s">
        <v>7853</v>
      </c>
      <c r="D858" t="s">
        <v>7854</v>
      </c>
      <c r="E858" t="s">
        <v>7855</v>
      </c>
      <c r="F858">
        <v>26228846</v>
      </c>
      <c r="G858">
        <v>555398</v>
      </c>
      <c r="H858">
        <v>94154</v>
      </c>
      <c r="I858" t="s">
        <v>7835</v>
      </c>
      <c r="J858">
        <v>2011</v>
      </c>
      <c r="K858" t="s">
        <v>7841</v>
      </c>
      <c r="L858" t="s">
        <v>7837</v>
      </c>
    </row>
    <row r="859" spans="1:12">
      <c r="A859" t="s">
        <v>7830</v>
      </c>
      <c r="B859" t="s">
        <v>7852</v>
      </c>
      <c r="C859" t="s">
        <v>7853</v>
      </c>
      <c r="D859" t="s">
        <v>7854</v>
      </c>
      <c r="E859" t="s">
        <v>7855</v>
      </c>
      <c r="F859">
        <v>35515156</v>
      </c>
      <c r="G859">
        <v>434530</v>
      </c>
      <c r="H859">
        <v>106285</v>
      </c>
      <c r="I859" t="s">
        <v>7835</v>
      </c>
      <c r="J859">
        <v>2011</v>
      </c>
      <c r="K859" t="s">
        <v>7842</v>
      </c>
      <c r="L859" t="s">
        <v>7837</v>
      </c>
    </row>
    <row r="860" spans="1:12">
      <c r="A860" t="s">
        <v>7830</v>
      </c>
      <c r="B860" t="s">
        <v>7852</v>
      </c>
      <c r="C860" t="s">
        <v>7853</v>
      </c>
      <c r="D860" t="s">
        <v>7854</v>
      </c>
      <c r="E860" t="s">
        <v>7855</v>
      </c>
      <c r="F860">
        <v>33744400</v>
      </c>
      <c r="G860">
        <v>506736</v>
      </c>
      <c r="H860">
        <v>106911</v>
      </c>
      <c r="I860" t="s">
        <v>7835</v>
      </c>
      <c r="J860">
        <v>2011</v>
      </c>
      <c r="K860" t="s">
        <v>7843</v>
      </c>
      <c r="L860" t="s">
        <v>7837</v>
      </c>
    </row>
    <row r="861" spans="1:12">
      <c r="A861" t="s">
        <v>7830</v>
      </c>
      <c r="B861" t="s">
        <v>7852</v>
      </c>
      <c r="C861" t="s">
        <v>7853</v>
      </c>
      <c r="D861" t="s">
        <v>7854</v>
      </c>
      <c r="E861" t="s">
        <v>7855</v>
      </c>
      <c r="F861">
        <v>28789225</v>
      </c>
      <c r="G861">
        <v>323762</v>
      </c>
      <c r="H861">
        <v>97602</v>
      </c>
      <c r="I861" t="s">
        <v>7835</v>
      </c>
      <c r="J861">
        <v>2011</v>
      </c>
      <c r="K861" t="s">
        <v>7844</v>
      </c>
      <c r="L861" t="s">
        <v>7837</v>
      </c>
    </row>
    <row r="862" spans="1:12">
      <c r="A862" t="s">
        <v>7830</v>
      </c>
      <c r="B862" t="s">
        <v>7852</v>
      </c>
      <c r="C862" t="s">
        <v>7853</v>
      </c>
      <c r="D862" t="s">
        <v>7854</v>
      </c>
      <c r="E862" t="s">
        <v>7855</v>
      </c>
      <c r="F862">
        <v>54240944</v>
      </c>
      <c r="G862">
        <v>476563</v>
      </c>
      <c r="H862">
        <v>190931</v>
      </c>
      <c r="I862" t="s">
        <v>7835</v>
      </c>
      <c r="J862">
        <v>2011</v>
      </c>
      <c r="K862" t="s">
        <v>7845</v>
      </c>
      <c r="L862" t="s">
        <v>7837</v>
      </c>
    </row>
    <row r="863" spans="1:12">
      <c r="A863" t="s">
        <v>7830</v>
      </c>
      <c r="B863" t="s">
        <v>7852</v>
      </c>
      <c r="C863" t="s">
        <v>7853</v>
      </c>
      <c r="D863" t="s">
        <v>7854</v>
      </c>
      <c r="E863" t="s">
        <v>7855</v>
      </c>
      <c r="F863">
        <v>49388927</v>
      </c>
      <c r="G863">
        <v>568678</v>
      </c>
      <c r="H863">
        <v>177361</v>
      </c>
      <c r="I863" t="s">
        <v>7835</v>
      </c>
      <c r="J863">
        <v>2011</v>
      </c>
      <c r="K863" t="s">
        <v>7846</v>
      </c>
      <c r="L863" t="s">
        <v>7837</v>
      </c>
    </row>
    <row r="864" spans="1:12">
      <c r="A864" t="s">
        <v>7830</v>
      </c>
      <c r="B864" t="s">
        <v>7852</v>
      </c>
      <c r="C864" t="s">
        <v>7853</v>
      </c>
      <c r="D864" t="s">
        <v>7854</v>
      </c>
      <c r="E864" t="s">
        <v>7855</v>
      </c>
      <c r="F864">
        <v>44972059</v>
      </c>
      <c r="G864">
        <v>781308</v>
      </c>
      <c r="H864">
        <v>172460</v>
      </c>
      <c r="I864" t="s">
        <v>7835</v>
      </c>
      <c r="J864">
        <v>2011</v>
      </c>
      <c r="K864" t="s">
        <v>7847</v>
      </c>
      <c r="L864" t="s">
        <v>7837</v>
      </c>
    </row>
    <row r="865" spans="1:12">
      <c r="A865" t="s">
        <v>7830</v>
      </c>
      <c r="B865" t="s">
        <v>7852</v>
      </c>
      <c r="C865" t="s">
        <v>7853</v>
      </c>
      <c r="D865" t="s">
        <v>7854</v>
      </c>
      <c r="E865" t="s">
        <v>7855</v>
      </c>
      <c r="F865">
        <v>46446436</v>
      </c>
      <c r="G865">
        <v>620018</v>
      </c>
      <c r="H865">
        <v>137215</v>
      </c>
      <c r="I865" t="s">
        <v>7835</v>
      </c>
      <c r="J865">
        <v>2011</v>
      </c>
      <c r="K865" t="s">
        <v>7848</v>
      </c>
      <c r="L865" t="s">
        <v>7837</v>
      </c>
    </row>
    <row r="866" spans="1:12">
      <c r="A866" t="s">
        <v>7830</v>
      </c>
      <c r="B866" t="s">
        <v>7852</v>
      </c>
      <c r="C866" t="s">
        <v>7853</v>
      </c>
      <c r="D866" t="s">
        <v>7854</v>
      </c>
      <c r="E866" t="s">
        <v>7855</v>
      </c>
      <c r="F866">
        <v>40036250</v>
      </c>
      <c r="G866">
        <v>395846</v>
      </c>
      <c r="H866">
        <v>124897</v>
      </c>
      <c r="I866" t="s">
        <v>7835</v>
      </c>
      <c r="J866">
        <v>2012</v>
      </c>
      <c r="K866" t="s">
        <v>7836</v>
      </c>
      <c r="L866" t="s">
        <v>7837</v>
      </c>
    </row>
    <row r="867" spans="1:12">
      <c r="A867" t="s">
        <v>7830</v>
      </c>
      <c r="B867" t="s">
        <v>7852</v>
      </c>
      <c r="C867" t="s">
        <v>7853</v>
      </c>
      <c r="D867" t="s">
        <v>7854</v>
      </c>
      <c r="E867" t="s">
        <v>7855</v>
      </c>
      <c r="F867">
        <v>28257919</v>
      </c>
      <c r="G867">
        <v>307372</v>
      </c>
      <c r="H867">
        <v>88807</v>
      </c>
      <c r="I867" t="s">
        <v>7835</v>
      </c>
      <c r="J867">
        <v>2012</v>
      </c>
      <c r="K867" t="s">
        <v>7838</v>
      </c>
      <c r="L867" t="s">
        <v>7837</v>
      </c>
    </row>
    <row r="868" spans="1:12">
      <c r="A868" t="s">
        <v>7830</v>
      </c>
      <c r="B868" t="s">
        <v>7852</v>
      </c>
      <c r="C868" t="s">
        <v>7853</v>
      </c>
      <c r="D868" t="s">
        <v>7854</v>
      </c>
      <c r="E868" t="s">
        <v>7855</v>
      </c>
      <c r="F868">
        <v>29980523</v>
      </c>
      <c r="G868">
        <v>354718</v>
      </c>
      <c r="H868">
        <v>103854</v>
      </c>
      <c r="I868" t="s">
        <v>7835</v>
      </c>
      <c r="J868">
        <v>2012</v>
      </c>
      <c r="K868" t="s">
        <v>7839</v>
      </c>
      <c r="L868" t="s">
        <v>7837</v>
      </c>
    </row>
    <row r="869" spans="1:12">
      <c r="A869" t="s">
        <v>7830</v>
      </c>
      <c r="B869" t="s">
        <v>7852</v>
      </c>
      <c r="C869" t="s">
        <v>7853</v>
      </c>
      <c r="D869" t="s">
        <v>7854</v>
      </c>
      <c r="E869" t="s">
        <v>7855</v>
      </c>
      <c r="F869">
        <v>33677302</v>
      </c>
      <c r="G869">
        <v>249516</v>
      </c>
      <c r="H869">
        <v>145175</v>
      </c>
      <c r="I869" t="s">
        <v>7835</v>
      </c>
      <c r="J869">
        <v>2012</v>
      </c>
      <c r="K869" t="s">
        <v>7840</v>
      </c>
      <c r="L869" t="s">
        <v>7837</v>
      </c>
    </row>
    <row r="870" spans="1:12">
      <c r="A870" t="s">
        <v>7830</v>
      </c>
      <c r="B870" t="s">
        <v>7852</v>
      </c>
      <c r="C870" t="s">
        <v>7853</v>
      </c>
      <c r="D870" t="s">
        <v>7854</v>
      </c>
      <c r="E870" t="s">
        <v>7855</v>
      </c>
      <c r="F870">
        <v>46685108</v>
      </c>
      <c r="G870">
        <v>336248</v>
      </c>
      <c r="H870">
        <v>134515</v>
      </c>
      <c r="I870" t="s">
        <v>7835</v>
      </c>
      <c r="J870">
        <v>2012</v>
      </c>
      <c r="K870" t="s">
        <v>7841</v>
      </c>
      <c r="L870" t="s">
        <v>7837</v>
      </c>
    </row>
    <row r="871" spans="1:12">
      <c r="A871" t="s">
        <v>7830</v>
      </c>
      <c r="B871" t="s">
        <v>7852</v>
      </c>
      <c r="C871" t="s">
        <v>7853</v>
      </c>
      <c r="D871" t="s">
        <v>7854</v>
      </c>
      <c r="E871" t="s">
        <v>7855</v>
      </c>
      <c r="F871">
        <v>46111579</v>
      </c>
      <c r="G871">
        <v>301352</v>
      </c>
      <c r="H871">
        <v>129235</v>
      </c>
      <c r="I871" t="s">
        <v>7835</v>
      </c>
      <c r="J871">
        <v>2012</v>
      </c>
      <c r="K871" t="s">
        <v>7842</v>
      </c>
      <c r="L871" t="s">
        <v>7837</v>
      </c>
    </row>
    <row r="872" spans="1:12">
      <c r="A872" t="s">
        <v>7830</v>
      </c>
      <c r="B872" t="s">
        <v>7852</v>
      </c>
      <c r="C872" t="s">
        <v>7853</v>
      </c>
      <c r="D872" t="s">
        <v>7854</v>
      </c>
      <c r="E872" t="s">
        <v>7855</v>
      </c>
      <c r="F872">
        <v>49618322</v>
      </c>
      <c r="G872">
        <v>330653</v>
      </c>
      <c r="H872">
        <v>133544</v>
      </c>
      <c r="I872" t="s">
        <v>7835</v>
      </c>
      <c r="J872">
        <v>2012</v>
      </c>
      <c r="K872" t="s">
        <v>7843</v>
      </c>
      <c r="L872" t="s">
        <v>7837</v>
      </c>
    </row>
    <row r="873" spans="1:12">
      <c r="A873" t="s">
        <v>7830</v>
      </c>
      <c r="B873" t="s">
        <v>7852</v>
      </c>
      <c r="C873" t="s">
        <v>7853</v>
      </c>
      <c r="D873" t="s">
        <v>7854</v>
      </c>
      <c r="E873" t="s">
        <v>7855</v>
      </c>
      <c r="F873">
        <v>48738345</v>
      </c>
      <c r="G873">
        <v>314107</v>
      </c>
      <c r="H873">
        <v>178339</v>
      </c>
      <c r="I873" t="s">
        <v>7835</v>
      </c>
      <c r="J873">
        <v>2012</v>
      </c>
      <c r="K873" t="s">
        <v>7844</v>
      </c>
      <c r="L873" t="s">
        <v>7837</v>
      </c>
    </row>
    <row r="874" spans="1:12">
      <c r="A874" t="s">
        <v>7830</v>
      </c>
      <c r="B874" t="s">
        <v>7852</v>
      </c>
      <c r="C874" t="s">
        <v>7853</v>
      </c>
      <c r="D874" t="s">
        <v>7854</v>
      </c>
      <c r="E874" t="s">
        <v>7855</v>
      </c>
      <c r="F874">
        <v>57379994</v>
      </c>
      <c r="G874">
        <v>405069</v>
      </c>
      <c r="H874">
        <v>196452</v>
      </c>
      <c r="I874" t="s">
        <v>7835</v>
      </c>
      <c r="J874">
        <v>2012</v>
      </c>
      <c r="K874" t="s">
        <v>7845</v>
      </c>
      <c r="L874" t="s">
        <v>7837</v>
      </c>
    </row>
    <row r="875" spans="1:12">
      <c r="A875" t="s">
        <v>7830</v>
      </c>
      <c r="B875" t="s">
        <v>7852</v>
      </c>
      <c r="C875" t="s">
        <v>7853</v>
      </c>
      <c r="D875" t="s">
        <v>7854</v>
      </c>
      <c r="E875" t="s">
        <v>7855</v>
      </c>
      <c r="F875">
        <v>55607072</v>
      </c>
      <c r="G875">
        <v>546056</v>
      </c>
      <c r="H875">
        <v>232772</v>
      </c>
      <c r="I875" t="s">
        <v>7835</v>
      </c>
      <c r="J875">
        <v>2012</v>
      </c>
      <c r="K875" t="s">
        <v>7846</v>
      </c>
      <c r="L875" t="s">
        <v>7837</v>
      </c>
    </row>
    <row r="876" spans="1:12">
      <c r="A876" t="s">
        <v>7830</v>
      </c>
      <c r="B876" t="s">
        <v>7852</v>
      </c>
      <c r="C876" t="s">
        <v>7853</v>
      </c>
      <c r="D876" t="s">
        <v>7854</v>
      </c>
      <c r="E876" t="s">
        <v>7855</v>
      </c>
      <c r="F876">
        <v>65142237</v>
      </c>
      <c r="G876">
        <v>1103977</v>
      </c>
      <c r="H876">
        <v>529900</v>
      </c>
      <c r="I876" t="s">
        <v>7835</v>
      </c>
      <c r="J876">
        <v>2012</v>
      </c>
      <c r="K876" t="s">
        <v>7847</v>
      </c>
      <c r="L876" t="s">
        <v>7837</v>
      </c>
    </row>
    <row r="877" spans="1:12">
      <c r="A877" t="s">
        <v>7830</v>
      </c>
      <c r="B877" t="s">
        <v>7852</v>
      </c>
      <c r="C877" t="s">
        <v>7853</v>
      </c>
      <c r="D877" t="s">
        <v>7854</v>
      </c>
      <c r="E877" t="s">
        <v>7855</v>
      </c>
      <c r="F877">
        <v>50536909</v>
      </c>
      <c r="G877">
        <v>439037</v>
      </c>
      <c r="H877">
        <v>358350</v>
      </c>
      <c r="I877" t="s">
        <v>7835</v>
      </c>
      <c r="J877">
        <v>2012</v>
      </c>
      <c r="K877" t="s">
        <v>7848</v>
      </c>
      <c r="L877" t="s">
        <v>7837</v>
      </c>
    </row>
    <row r="878" spans="1:12">
      <c r="A878" t="s">
        <v>7830</v>
      </c>
      <c r="B878" t="s">
        <v>7852</v>
      </c>
      <c r="C878" t="s">
        <v>7853</v>
      </c>
      <c r="D878" t="s">
        <v>7854</v>
      </c>
      <c r="E878" t="s">
        <v>7855</v>
      </c>
      <c r="F878">
        <v>34436798</v>
      </c>
      <c r="G878">
        <v>337624</v>
      </c>
      <c r="H878">
        <v>135918</v>
      </c>
      <c r="I878" t="s">
        <v>7835</v>
      </c>
      <c r="J878">
        <v>2013</v>
      </c>
      <c r="K878" t="s">
        <v>7836</v>
      </c>
      <c r="L878" t="s">
        <v>7837</v>
      </c>
    </row>
    <row r="879" spans="1:12">
      <c r="A879" t="s">
        <v>7830</v>
      </c>
      <c r="B879" t="s">
        <v>7852</v>
      </c>
      <c r="C879" t="s">
        <v>7853</v>
      </c>
      <c r="D879" t="s">
        <v>7854</v>
      </c>
      <c r="E879" t="s">
        <v>7855</v>
      </c>
      <c r="F879">
        <v>37638245</v>
      </c>
      <c r="G879">
        <v>855260</v>
      </c>
      <c r="H879">
        <v>141042</v>
      </c>
      <c r="I879" t="s">
        <v>7835</v>
      </c>
      <c r="J879">
        <v>2013</v>
      </c>
      <c r="K879" t="s">
        <v>7838</v>
      </c>
      <c r="L879" t="s">
        <v>7837</v>
      </c>
    </row>
    <row r="880" spans="1:12">
      <c r="A880" t="s">
        <v>7830</v>
      </c>
      <c r="B880" t="s">
        <v>7852</v>
      </c>
      <c r="C880" t="s">
        <v>7853</v>
      </c>
      <c r="D880" t="s">
        <v>7854</v>
      </c>
      <c r="E880" t="s">
        <v>7855</v>
      </c>
      <c r="F880">
        <v>33854280</v>
      </c>
      <c r="G880">
        <v>202709</v>
      </c>
      <c r="H880">
        <v>159373</v>
      </c>
      <c r="I880" t="s">
        <v>7835</v>
      </c>
      <c r="J880">
        <v>2013</v>
      </c>
      <c r="K880" t="s">
        <v>7839</v>
      </c>
      <c r="L880" t="s">
        <v>7837</v>
      </c>
    </row>
    <row r="881" spans="1:12">
      <c r="A881" t="s">
        <v>7830</v>
      </c>
      <c r="B881" t="s">
        <v>7852</v>
      </c>
      <c r="C881" t="s">
        <v>7853</v>
      </c>
      <c r="D881" t="s">
        <v>7854</v>
      </c>
      <c r="E881" t="s">
        <v>7855</v>
      </c>
      <c r="F881">
        <v>32437922</v>
      </c>
      <c r="G881">
        <v>248221</v>
      </c>
      <c r="H881">
        <v>111796</v>
      </c>
      <c r="I881" t="s">
        <v>7835</v>
      </c>
      <c r="J881">
        <v>2013</v>
      </c>
      <c r="K881" t="s">
        <v>7840</v>
      </c>
      <c r="L881" t="s">
        <v>7837</v>
      </c>
    </row>
    <row r="882" spans="1:12">
      <c r="A882" t="s">
        <v>7830</v>
      </c>
      <c r="B882" t="s">
        <v>7852</v>
      </c>
      <c r="C882" t="s">
        <v>7853</v>
      </c>
      <c r="D882" t="s">
        <v>7854</v>
      </c>
      <c r="E882" t="s">
        <v>7855</v>
      </c>
      <c r="F882">
        <v>30086382</v>
      </c>
      <c r="G882">
        <v>264843</v>
      </c>
      <c r="H882">
        <v>152951</v>
      </c>
      <c r="I882" t="s">
        <v>7835</v>
      </c>
      <c r="J882">
        <v>2013</v>
      </c>
      <c r="K882" t="s">
        <v>7841</v>
      </c>
      <c r="L882" t="s">
        <v>7837</v>
      </c>
    </row>
    <row r="883" spans="1:12">
      <c r="A883" t="s">
        <v>7830</v>
      </c>
      <c r="B883" t="s">
        <v>7852</v>
      </c>
      <c r="C883" t="s">
        <v>7853</v>
      </c>
      <c r="D883" t="s">
        <v>7854</v>
      </c>
      <c r="E883" t="s">
        <v>7855</v>
      </c>
      <c r="F883">
        <v>40775663</v>
      </c>
      <c r="G883">
        <v>332203</v>
      </c>
      <c r="H883">
        <v>182883</v>
      </c>
      <c r="I883" t="s">
        <v>7835</v>
      </c>
      <c r="J883">
        <v>2013</v>
      </c>
      <c r="K883" t="s">
        <v>7842</v>
      </c>
      <c r="L883" t="s">
        <v>7837</v>
      </c>
    </row>
    <row r="884" spans="1:12">
      <c r="A884" t="s">
        <v>7830</v>
      </c>
      <c r="B884" t="s">
        <v>7852</v>
      </c>
      <c r="C884" t="s">
        <v>7853</v>
      </c>
      <c r="D884" t="s">
        <v>7854</v>
      </c>
      <c r="E884" t="s">
        <v>7855</v>
      </c>
      <c r="F884">
        <v>33036156</v>
      </c>
      <c r="G884">
        <v>227904</v>
      </c>
      <c r="H884">
        <v>120120</v>
      </c>
      <c r="I884" t="s">
        <v>7835</v>
      </c>
      <c r="J884">
        <v>2013</v>
      </c>
      <c r="K884" t="s">
        <v>7843</v>
      </c>
      <c r="L884" t="s">
        <v>7837</v>
      </c>
    </row>
    <row r="885" spans="1:12">
      <c r="A885" t="s">
        <v>7830</v>
      </c>
      <c r="B885" t="s">
        <v>7852</v>
      </c>
      <c r="C885" t="s">
        <v>7853</v>
      </c>
      <c r="D885" t="s">
        <v>7854</v>
      </c>
      <c r="E885" t="s">
        <v>7855</v>
      </c>
      <c r="F885">
        <v>32520361</v>
      </c>
      <c r="G885">
        <v>248256</v>
      </c>
      <c r="H885">
        <v>114452</v>
      </c>
      <c r="I885" t="s">
        <v>7835</v>
      </c>
      <c r="J885">
        <v>2013</v>
      </c>
      <c r="K885" t="s">
        <v>7844</v>
      </c>
      <c r="L885" t="s">
        <v>7837</v>
      </c>
    </row>
    <row r="886" spans="1:12">
      <c r="A886" t="s">
        <v>7830</v>
      </c>
      <c r="B886" t="s">
        <v>7852</v>
      </c>
      <c r="C886" t="s">
        <v>7853</v>
      </c>
      <c r="D886" t="s">
        <v>7854</v>
      </c>
      <c r="E886" t="s">
        <v>7855</v>
      </c>
      <c r="F886">
        <v>36690117</v>
      </c>
      <c r="G886">
        <v>305025</v>
      </c>
      <c r="H886">
        <v>119598</v>
      </c>
      <c r="I886" t="s">
        <v>7835</v>
      </c>
      <c r="J886">
        <v>2013</v>
      </c>
      <c r="K886" t="s">
        <v>7845</v>
      </c>
      <c r="L886" t="s">
        <v>7837</v>
      </c>
    </row>
    <row r="887" spans="1:12">
      <c r="A887" t="s">
        <v>7830</v>
      </c>
      <c r="B887" t="s">
        <v>7852</v>
      </c>
      <c r="C887" t="s">
        <v>7853</v>
      </c>
      <c r="D887" t="s">
        <v>7854</v>
      </c>
      <c r="E887" t="s">
        <v>7855</v>
      </c>
      <c r="F887">
        <v>43794023</v>
      </c>
      <c r="G887">
        <v>293716</v>
      </c>
      <c r="H887">
        <v>161674</v>
      </c>
      <c r="I887" t="s">
        <v>7835</v>
      </c>
      <c r="J887">
        <v>2013</v>
      </c>
      <c r="K887" t="s">
        <v>7846</v>
      </c>
      <c r="L887" t="s">
        <v>7837</v>
      </c>
    </row>
    <row r="888" spans="1:12">
      <c r="A888" t="s">
        <v>7830</v>
      </c>
      <c r="B888" t="s">
        <v>7852</v>
      </c>
      <c r="C888" t="s">
        <v>7853</v>
      </c>
      <c r="D888" t="s">
        <v>7854</v>
      </c>
      <c r="E888" t="s">
        <v>7855</v>
      </c>
      <c r="F888">
        <v>56998769</v>
      </c>
      <c r="G888">
        <v>866579</v>
      </c>
      <c r="H888">
        <v>520222</v>
      </c>
      <c r="I888" t="s">
        <v>7835</v>
      </c>
      <c r="J888">
        <v>2013</v>
      </c>
      <c r="K888" t="s">
        <v>7847</v>
      </c>
      <c r="L888" t="s">
        <v>7837</v>
      </c>
    </row>
    <row r="889" spans="1:12">
      <c r="A889" t="s">
        <v>7830</v>
      </c>
      <c r="B889" t="s">
        <v>7852</v>
      </c>
      <c r="C889" t="s">
        <v>7853</v>
      </c>
      <c r="D889" t="s">
        <v>7854</v>
      </c>
      <c r="E889" t="s">
        <v>7855</v>
      </c>
      <c r="F889">
        <v>56946481</v>
      </c>
      <c r="G889">
        <v>341992</v>
      </c>
      <c r="H889">
        <v>266652</v>
      </c>
      <c r="I889" t="s">
        <v>7835</v>
      </c>
      <c r="J889">
        <v>2013</v>
      </c>
      <c r="K889" t="s">
        <v>7848</v>
      </c>
      <c r="L889" t="s">
        <v>7837</v>
      </c>
    </row>
    <row r="890" spans="1:12">
      <c r="A890" t="s">
        <v>7830</v>
      </c>
      <c r="B890" t="s">
        <v>7852</v>
      </c>
      <c r="C890" t="s">
        <v>7853</v>
      </c>
      <c r="D890" t="s">
        <v>7854</v>
      </c>
      <c r="E890" t="s">
        <v>7855</v>
      </c>
      <c r="F890">
        <v>45826513</v>
      </c>
      <c r="G890">
        <v>348397</v>
      </c>
      <c r="H890">
        <v>168344</v>
      </c>
      <c r="I890" t="s">
        <v>7835</v>
      </c>
      <c r="J890">
        <v>2014</v>
      </c>
      <c r="K890" t="s">
        <v>7836</v>
      </c>
      <c r="L890" t="s">
        <v>7837</v>
      </c>
    </row>
    <row r="891" spans="1:12">
      <c r="A891" t="s">
        <v>7830</v>
      </c>
      <c r="B891" t="s">
        <v>7852</v>
      </c>
      <c r="C891" t="s">
        <v>7853</v>
      </c>
      <c r="D891" t="s">
        <v>7854</v>
      </c>
      <c r="E891" t="s">
        <v>7855</v>
      </c>
      <c r="F891">
        <v>33865839</v>
      </c>
      <c r="G891">
        <v>291035</v>
      </c>
      <c r="H891">
        <v>130543</v>
      </c>
      <c r="I891" t="s">
        <v>7835</v>
      </c>
      <c r="J891">
        <v>2014</v>
      </c>
      <c r="K891" t="s">
        <v>7838</v>
      </c>
      <c r="L891" t="s">
        <v>7837</v>
      </c>
    </row>
    <row r="892" spans="1:12">
      <c r="A892" t="s">
        <v>7830</v>
      </c>
      <c r="B892" t="s">
        <v>7852</v>
      </c>
      <c r="C892" t="s">
        <v>7853</v>
      </c>
      <c r="D892" t="s">
        <v>7854</v>
      </c>
      <c r="E892" t="s">
        <v>7855</v>
      </c>
      <c r="F892">
        <v>30266323</v>
      </c>
      <c r="G892">
        <v>261357</v>
      </c>
      <c r="H892">
        <v>122995</v>
      </c>
      <c r="I892" t="s">
        <v>7835</v>
      </c>
      <c r="J892">
        <v>2014</v>
      </c>
      <c r="K892" t="s">
        <v>7839</v>
      </c>
      <c r="L892" t="s">
        <v>7837</v>
      </c>
    </row>
    <row r="893" spans="1:12">
      <c r="A893" t="s">
        <v>7830</v>
      </c>
      <c r="B893" t="s">
        <v>7852</v>
      </c>
      <c r="C893" t="s">
        <v>7853</v>
      </c>
      <c r="D893" t="s">
        <v>7854</v>
      </c>
      <c r="E893" t="s">
        <v>7855</v>
      </c>
      <c r="F893">
        <v>36728959</v>
      </c>
      <c r="G893">
        <v>394863</v>
      </c>
      <c r="H893">
        <v>129981</v>
      </c>
      <c r="I893" t="s">
        <v>7835</v>
      </c>
      <c r="J893">
        <v>2014</v>
      </c>
      <c r="K893" t="s">
        <v>7840</v>
      </c>
      <c r="L893" t="s">
        <v>7837</v>
      </c>
    </row>
    <row r="894" spans="1:12">
      <c r="A894" t="s">
        <v>7830</v>
      </c>
      <c r="B894" t="s">
        <v>7852</v>
      </c>
      <c r="C894" t="s">
        <v>7853</v>
      </c>
      <c r="D894" t="s">
        <v>7854</v>
      </c>
      <c r="E894" t="s">
        <v>7855</v>
      </c>
      <c r="F894">
        <v>36404230</v>
      </c>
      <c r="G894">
        <v>286686</v>
      </c>
      <c r="H894">
        <v>110866</v>
      </c>
      <c r="I894" t="s">
        <v>7835</v>
      </c>
      <c r="J894">
        <v>2014</v>
      </c>
      <c r="K894" t="s">
        <v>7841</v>
      </c>
      <c r="L894" t="s">
        <v>7837</v>
      </c>
    </row>
    <row r="895" spans="1:12">
      <c r="A895" t="s">
        <v>7830</v>
      </c>
      <c r="B895" t="s">
        <v>7852</v>
      </c>
      <c r="C895" t="s">
        <v>7853</v>
      </c>
      <c r="D895" t="s">
        <v>7854</v>
      </c>
      <c r="E895" t="s">
        <v>7855</v>
      </c>
      <c r="F895">
        <v>36224798</v>
      </c>
      <c r="G895">
        <v>301715</v>
      </c>
      <c r="H895">
        <v>144284</v>
      </c>
      <c r="I895" t="s">
        <v>7835</v>
      </c>
      <c r="J895">
        <v>2014</v>
      </c>
      <c r="K895" t="s">
        <v>7842</v>
      </c>
      <c r="L895" t="s">
        <v>7837</v>
      </c>
    </row>
    <row r="896" spans="1:12">
      <c r="A896" t="s">
        <v>7830</v>
      </c>
      <c r="B896" t="s">
        <v>7852</v>
      </c>
      <c r="C896" t="s">
        <v>7853</v>
      </c>
      <c r="D896" t="s">
        <v>7854</v>
      </c>
      <c r="E896" t="s">
        <v>7855</v>
      </c>
      <c r="F896">
        <v>31675554</v>
      </c>
      <c r="G896">
        <v>324551</v>
      </c>
      <c r="H896">
        <v>127699</v>
      </c>
      <c r="I896" t="s">
        <v>7835</v>
      </c>
      <c r="J896">
        <v>2014</v>
      </c>
      <c r="K896" t="s">
        <v>7843</v>
      </c>
      <c r="L896" t="s">
        <v>7837</v>
      </c>
    </row>
    <row r="897" spans="1:12">
      <c r="A897" t="s">
        <v>7830</v>
      </c>
      <c r="B897" t="s">
        <v>7852</v>
      </c>
      <c r="C897" t="s">
        <v>7853</v>
      </c>
      <c r="D897" t="s">
        <v>7854</v>
      </c>
      <c r="E897" t="s">
        <v>7855</v>
      </c>
      <c r="F897">
        <v>27210942</v>
      </c>
      <c r="G897">
        <v>1064219</v>
      </c>
      <c r="H897">
        <v>92528</v>
      </c>
      <c r="I897" t="s">
        <v>7835</v>
      </c>
      <c r="J897">
        <v>2014</v>
      </c>
      <c r="K897" t="s">
        <v>7844</v>
      </c>
      <c r="L897" t="s">
        <v>7837</v>
      </c>
    </row>
    <row r="898" spans="1:12">
      <c r="A898" t="s">
        <v>7830</v>
      </c>
      <c r="B898" t="s">
        <v>7852</v>
      </c>
      <c r="C898" t="s">
        <v>7853</v>
      </c>
      <c r="D898" t="s">
        <v>7854</v>
      </c>
      <c r="E898" t="s">
        <v>7855</v>
      </c>
      <c r="F898">
        <v>32186070</v>
      </c>
      <c r="G898">
        <v>836698</v>
      </c>
      <c r="H898">
        <v>114438</v>
      </c>
      <c r="I898" t="s">
        <v>7835</v>
      </c>
      <c r="J898">
        <v>2014</v>
      </c>
      <c r="K898" t="s">
        <v>7845</v>
      </c>
      <c r="L898" t="s">
        <v>7837</v>
      </c>
    </row>
    <row r="899" spans="1:12">
      <c r="A899" t="s">
        <v>7830</v>
      </c>
      <c r="B899" t="s">
        <v>7852</v>
      </c>
      <c r="C899" t="s">
        <v>7853</v>
      </c>
      <c r="D899" t="s">
        <v>7854</v>
      </c>
      <c r="E899" t="s">
        <v>7855</v>
      </c>
      <c r="F899">
        <v>42204767</v>
      </c>
      <c r="G899">
        <v>374492</v>
      </c>
      <c r="H899">
        <v>156016</v>
      </c>
      <c r="I899" t="s">
        <v>7835</v>
      </c>
      <c r="J899">
        <v>2014</v>
      </c>
      <c r="K899" t="s">
        <v>7846</v>
      </c>
      <c r="L899" t="s">
        <v>7837</v>
      </c>
    </row>
    <row r="900" spans="1:12">
      <c r="A900" t="s">
        <v>7830</v>
      </c>
      <c r="B900" t="s">
        <v>7852</v>
      </c>
      <c r="C900" t="s">
        <v>7853</v>
      </c>
      <c r="D900" t="s">
        <v>7854</v>
      </c>
      <c r="E900" t="s">
        <v>7855</v>
      </c>
      <c r="F900">
        <v>47782151</v>
      </c>
      <c r="G900">
        <v>552535</v>
      </c>
      <c r="H900">
        <v>202982</v>
      </c>
      <c r="I900" t="s">
        <v>7835</v>
      </c>
      <c r="J900">
        <v>2014</v>
      </c>
      <c r="K900" t="s">
        <v>7847</v>
      </c>
      <c r="L900" t="s">
        <v>7837</v>
      </c>
    </row>
    <row r="901" spans="1:12">
      <c r="A901" t="s">
        <v>7830</v>
      </c>
      <c r="B901" t="s">
        <v>7852</v>
      </c>
      <c r="C901" t="s">
        <v>7853</v>
      </c>
      <c r="D901" t="s">
        <v>7854</v>
      </c>
      <c r="E901" t="s">
        <v>7855</v>
      </c>
      <c r="F901">
        <v>45137064</v>
      </c>
      <c r="G901">
        <v>1347892</v>
      </c>
      <c r="H901">
        <v>202159</v>
      </c>
      <c r="I901" t="s">
        <v>7835</v>
      </c>
      <c r="J901">
        <v>2014</v>
      </c>
      <c r="K901" t="s">
        <v>7848</v>
      </c>
      <c r="L901" t="s">
        <v>7837</v>
      </c>
    </row>
    <row r="902" spans="1:12">
      <c r="A902" t="s">
        <v>7830</v>
      </c>
      <c r="B902" t="s">
        <v>7852</v>
      </c>
      <c r="C902" t="s">
        <v>7853</v>
      </c>
      <c r="D902" t="s">
        <v>7854</v>
      </c>
      <c r="E902" t="s">
        <v>7855</v>
      </c>
      <c r="F902">
        <v>27492971</v>
      </c>
      <c r="G902">
        <v>356852</v>
      </c>
      <c r="H902">
        <v>101220</v>
      </c>
      <c r="I902" t="s">
        <v>7835</v>
      </c>
      <c r="J902">
        <v>2015</v>
      </c>
      <c r="K902" t="s">
        <v>7836</v>
      </c>
      <c r="L902" t="s">
        <v>7837</v>
      </c>
    </row>
    <row r="903" spans="1:12">
      <c r="A903" t="s">
        <v>7830</v>
      </c>
      <c r="B903" t="s">
        <v>7852</v>
      </c>
      <c r="C903" t="s">
        <v>7853</v>
      </c>
      <c r="D903" t="s">
        <v>7854</v>
      </c>
      <c r="E903" t="s">
        <v>7855</v>
      </c>
      <c r="F903">
        <v>30708588</v>
      </c>
      <c r="G903">
        <v>972406</v>
      </c>
      <c r="H903">
        <v>107671</v>
      </c>
      <c r="I903" t="s">
        <v>7835</v>
      </c>
      <c r="J903">
        <v>2015</v>
      </c>
      <c r="K903" t="s">
        <v>7838</v>
      </c>
      <c r="L903" t="s">
        <v>7837</v>
      </c>
    </row>
    <row r="904" spans="1:12">
      <c r="A904" t="s">
        <v>7830</v>
      </c>
      <c r="B904" t="s">
        <v>7852</v>
      </c>
      <c r="C904" t="s">
        <v>7853</v>
      </c>
      <c r="D904" t="s">
        <v>7854</v>
      </c>
      <c r="E904" t="s">
        <v>7855</v>
      </c>
      <c r="F904">
        <v>27017073</v>
      </c>
      <c r="G904">
        <v>314505</v>
      </c>
      <c r="H904">
        <v>117626</v>
      </c>
      <c r="I904" t="s">
        <v>7835</v>
      </c>
      <c r="J904">
        <v>2015</v>
      </c>
      <c r="K904" t="s">
        <v>7839</v>
      </c>
      <c r="L904" t="s">
        <v>7837</v>
      </c>
    </row>
    <row r="905" spans="1:12">
      <c r="A905" t="s">
        <v>7830</v>
      </c>
      <c r="B905" t="s">
        <v>7852</v>
      </c>
      <c r="C905" t="s">
        <v>7853</v>
      </c>
      <c r="D905" t="s">
        <v>7854</v>
      </c>
      <c r="E905" t="s">
        <v>7855</v>
      </c>
      <c r="F905">
        <v>33982206</v>
      </c>
      <c r="G905">
        <v>236118</v>
      </c>
      <c r="H905">
        <v>108166</v>
      </c>
      <c r="I905" t="s">
        <v>7835</v>
      </c>
      <c r="J905">
        <v>2015</v>
      </c>
      <c r="K905" t="s">
        <v>7840</v>
      </c>
      <c r="L905" t="s">
        <v>7837</v>
      </c>
    </row>
    <row r="906" spans="1:12">
      <c r="A906" t="s">
        <v>7830</v>
      </c>
      <c r="B906" t="s">
        <v>7852</v>
      </c>
      <c r="C906" t="s">
        <v>7853</v>
      </c>
      <c r="D906" t="s">
        <v>7854</v>
      </c>
      <c r="E906" t="s">
        <v>7855</v>
      </c>
      <c r="F906">
        <v>29021454</v>
      </c>
      <c r="G906">
        <v>238075</v>
      </c>
      <c r="H906">
        <v>102065</v>
      </c>
      <c r="I906" t="s">
        <v>7835</v>
      </c>
      <c r="J906">
        <v>2015</v>
      </c>
      <c r="K906" t="s">
        <v>7841</v>
      </c>
      <c r="L906" t="s">
        <v>7837</v>
      </c>
    </row>
    <row r="907" spans="1:12">
      <c r="A907" t="s">
        <v>7830</v>
      </c>
      <c r="B907" t="s">
        <v>7852</v>
      </c>
      <c r="C907" t="s">
        <v>7853</v>
      </c>
      <c r="D907" t="s">
        <v>7854</v>
      </c>
      <c r="E907" t="s">
        <v>7855</v>
      </c>
      <c r="F907">
        <v>34577935</v>
      </c>
      <c r="G907">
        <v>264748</v>
      </c>
      <c r="H907">
        <v>119885</v>
      </c>
      <c r="I907" t="s">
        <v>7835</v>
      </c>
      <c r="J907">
        <v>2015</v>
      </c>
      <c r="K907" t="s">
        <v>7842</v>
      </c>
      <c r="L907" t="s">
        <v>7837</v>
      </c>
    </row>
    <row r="908" spans="1:12">
      <c r="A908" t="s">
        <v>7830</v>
      </c>
      <c r="B908" t="s">
        <v>7852</v>
      </c>
      <c r="C908" t="s">
        <v>7853</v>
      </c>
      <c r="D908" t="s">
        <v>7854</v>
      </c>
      <c r="E908" t="s">
        <v>7855</v>
      </c>
      <c r="F908">
        <v>28457474</v>
      </c>
      <c r="G908">
        <v>221803</v>
      </c>
      <c r="H908">
        <v>109774</v>
      </c>
      <c r="I908" t="s">
        <v>7835</v>
      </c>
      <c r="J908">
        <v>2015</v>
      </c>
      <c r="K908" t="s">
        <v>7843</v>
      </c>
      <c r="L908" t="s">
        <v>7837</v>
      </c>
    </row>
    <row r="909" spans="1:12">
      <c r="A909" t="s">
        <v>7830</v>
      </c>
      <c r="B909" t="s">
        <v>7852</v>
      </c>
      <c r="C909" t="s">
        <v>7853</v>
      </c>
      <c r="D909" t="s">
        <v>7854</v>
      </c>
      <c r="E909" t="s">
        <v>7855</v>
      </c>
      <c r="F909">
        <v>31781664</v>
      </c>
      <c r="G909">
        <v>348207</v>
      </c>
      <c r="H909">
        <v>175182</v>
      </c>
      <c r="I909" t="s">
        <v>7835</v>
      </c>
      <c r="J909">
        <v>2015</v>
      </c>
      <c r="K909" t="s">
        <v>7844</v>
      </c>
      <c r="L909" t="s">
        <v>7837</v>
      </c>
    </row>
    <row r="910" spans="1:12">
      <c r="A910" t="s">
        <v>7830</v>
      </c>
      <c r="B910" t="s">
        <v>7852</v>
      </c>
      <c r="C910" t="s">
        <v>7853</v>
      </c>
      <c r="D910" t="s">
        <v>7854</v>
      </c>
      <c r="E910" t="s">
        <v>7855</v>
      </c>
      <c r="F910">
        <v>37815242</v>
      </c>
      <c r="G910">
        <v>280925</v>
      </c>
      <c r="H910">
        <v>119963</v>
      </c>
      <c r="I910" t="s">
        <v>7835</v>
      </c>
      <c r="J910">
        <v>2015</v>
      </c>
      <c r="K910" t="s">
        <v>7845</v>
      </c>
      <c r="L910" t="s">
        <v>7837</v>
      </c>
    </row>
    <row r="911" spans="1:12">
      <c r="A911" t="s">
        <v>7830</v>
      </c>
      <c r="B911" t="s">
        <v>7852</v>
      </c>
      <c r="C911" t="s">
        <v>7853</v>
      </c>
      <c r="D911" t="s">
        <v>7854</v>
      </c>
      <c r="E911" t="s">
        <v>7855</v>
      </c>
      <c r="F911">
        <v>38529099</v>
      </c>
      <c r="G911">
        <v>334764</v>
      </c>
      <c r="H911">
        <v>149580</v>
      </c>
      <c r="I911" t="s">
        <v>7835</v>
      </c>
      <c r="J911">
        <v>2015</v>
      </c>
      <c r="K911" t="s">
        <v>7846</v>
      </c>
      <c r="L911" t="s">
        <v>7837</v>
      </c>
    </row>
    <row r="912" spans="1:12">
      <c r="A912" t="s">
        <v>7830</v>
      </c>
      <c r="B912" t="s">
        <v>7852</v>
      </c>
      <c r="C912" t="s">
        <v>7853</v>
      </c>
      <c r="D912" t="s">
        <v>7854</v>
      </c>
      <c r="E912" t="s">
        <v>7855</v>
      </c>
      <c r="F912">
        <v>55170086</v>
      </c>
      <c r="G912">
        <v>407306</v>
      </c>
      <c r="H912">
        <v>214106</v>
      </c>
      <c r="I912" t="s">
        <v>7835</v>
      </c>
      <c r="J912">
        <v>2015</v>
      </c>
      <c r="K912" t="s">
        <v>7847</v>
      </c>
      <c r="L912" t="s">
        <v>7837</v>
      </c>
    </row>
    <row r="913" spans="1:12">
      <c r="A913" t="s">
        <v>7830</v>
      </c>
      <c r="B913" t="s">
        <v>7852</v>
      </c>
      <c r="C913" t="s">
        <v>7853</v>
      </c>
      <c r="D913" t="s">
        <v>7854</v>
      </c>
      <c r="E913" t="s">
        <v>7855</v>
      </c>
      <c r="F913">
        <v>50130824</v>
      </c>
      <c r="G913">
        <v>355379</v>
      </c>
      <c r="H913">
        <v>217417</v>
      </c>
      <c r="I913" t="s">
        <v>7835</v>
      </c>
      <c r="J913">
        <v>2015</v>
      </c>
      <c r="K913" t="s">
        <v>7848</v>
      </c>
      <c r="L913" t="s">
        <v>7837</v>
      </c>
    </row>
    <row r="914" spans="1:12">
      <c r="A914" t="s">
        <v>7830</v>
      </c>
      <c r="B914" t="s">
        <v>7852</v>
      </c>
      <c r="C914" t="s">
        <v>7853</v>
      </c>
      <c r="D914" t="s">
        <v>7854</v>
      </c>
      <c r="E914" t="s">
        <v>7855</v>
      </c>
      <c r="F914">
        <v>33382189</v>
      </c>
      <c r="G914">
        <v>241756</v>
      </c>
      <c r="H914">
        <v>114095</v>
      </c>
      <c r="I914" t="s">
        <v>7835</v>
      </c>
      <c r="J914">
        <v>2016</v>
      </c>
      <c r="K914" t="s">
        <v>7836</v>
      </c>
      <c r="L914" t="s">
        <v>7837</v>
      </c>
    </row>
    <row r="915" spans="1:12">
      <c r="A915" t="s">
        <v>7830</v>
      </c>
      <c r="B915" t="s">
        <v>7852</v>
      </c>
      <c r="C915" t="s">
        <v>7853</v>
      </c>
      <c r="D915" t="s">
        <v>7854</v>
      </c>
      <c r="E915" t="s">
        <v>7855</v>
      </c>
      <c r="F915">
        <v>37820745</v>
      </c>
      <c r="G915">
        <v>292962</v>
      </c>
      <c r="H915">
        <v>114568</v>
      </c>
      <c r="I915" t="s">
        <v>7835</v>
      </c>
      <c r="J915">
        <v>2016</v>
      </c>
      <c r="K915" t="s">
        <v>7838</v>
      </c>
      <c r="L915" t="s">
        <v>7837</v>
      </c>
    </row>
    <row r="916" spans="1:12">
      <c r="A916" t="s">
        <v>7830</v>
      </c>
      <c r="B916" t="s">
        <v>7852</v>
      </c>
      <c r="C916" t="s">
        <v>7853</v>
      </c>
      <c r="D916" t="s">
        <v>7854</v>
      </c>
      <c r="E916" t="s">
        <v>7855</v>
      </c>
      <c r="F916">
        <v>35229435</v>
      </c>
      <c r="G916">
        <v>345352</v>
      </c>
      <c r="H916">
        <v>134492</v>
      </c>
      <c r="I916" t="s">
        <v>7835</v>
      </c>
      <c r="J916">
        <v>2016</v>
      </c>
      <c r="K916" t="s">
        <v>7839</v>
      </c>
      <c r="L916" t="s">
        <v>7837</v>
      </c>
    </row>
    <row r="917" spans="1:12">
      <c r="A917" t="s">
        <v>7830</v>
      </c>
      <c r="B917" t="s">
        <v>7852</v>
      </c>
      <c r="C917" t="s">
        <v>7853</v>
      </c>
      <c r="D917" t="s">
        <v>7854</v>
      </c>
      <c r="E917" t="s">
        <v>7855</v>
      </c>
      <c r="F917">
        <v>39918213</v>
      </c>
      <c r="G917">
        <v>287606</v>
      </c>
      <c r="H917">
        <v>129949</v>
      </c>
      <c r="I917" t="s">
        <v>7835</v>
      </c>
      <c r="J917">
        <v>2016</v>
      </c>
      <c r="K917" t="s">
        <v>7840</v>
      </c>
      <c r="L917" t="s">
        <v>7837</v>
      </c>
    </row>
    <row r="918" spans="1:12">
      <c r="A918" t="s">
        <v>7830</v>
      </c>
      <c r="B918" t="s">
        <v>7852</v>
      </c>
      <c r="C918" t="s">
        <v>7853</v>
      </c>
      <c r="D918" t="s">
        <v>7854</v>
      </c>
      <c r="E918" t="s">
        <v>7855</v>
      </c>
      <c r="F918">
        <v>47150990</v>
      </c>
      <c r="G918">
        <v>359416</v>
      </c>
      <c r="H918">
        <v>147503</v>
      </c>
      <c r="I918" t="s">
        <v>7835</v>
      </c>
      <c r="J918">
        <v>2016</v>
      </c>
      <c r="K918" t="s">
        <v>7841</v>
      </c>
      <c r="L918" t="s">
        <v>7837</v>
      </c>
    </row>
    <row r="919" spans="1:12">
      <c r="A919" t="s">
        <v>7830</v>
      </c>
      <c r="B919" t="s">
        <v>7852</v>
      </c>
      <c r="C919" t="s">
        <v>7853</v>
      </c>
      <c r="D919" t="s">
        <v>7854</v>
      </c>
      <c r="E919" t="s">
        <v>7855</v>
      </c>
      <c r="F919">
        <v>35666472</v>
      </c>
      <c r="G919">
        <v>278901</v>
      </c>
      <c r="H919">
        <v>139659</v>
      </c>
      <c r="I919" t="s">
        <v>7835</v>
      </c>
      <c r="J919">
        <v>2016</v>
      </c>
      <c r="K919" t="s">
        <v>7842</v>
      </c>
      <c r="L919" t="s">
        <v>7837</v>
      </c>
    </row>
    <row r="920" spans="1:12">
      <c r="A920" t="s">
        <v>7830</v>
      </c>
      <c r="B920" t="s">
        <v>7852</v>
      </c>
      <c r="C920" t="s">
        <v>7853</v>
      </c>
      <c r="D920" t="s">
        <v>7854</v>
      </c>
      <c r="E920" t="s">
        <v>7855</v>
      </c>
      <c r="F920">
        <v>33912853</v>
      </c>
      <c r="G920">
        <v>309399</v>
      </c>
      <c r="H920">
        <v>134628</v>
      </c>
      <c r="I920" t="s">
        <v>7835</v>
      </c>
      <c r="J920">
        <v>2016</v>
      </c>
      <c r="K920" t="s">
        <v>7843</v>
      </c>
      <c r="L920" t="s">
        <v>7837</v>
      </c>
    </row>
    <row r="921" spans="1:12">
      <c r="A921" t="s">
        <v>7830</v>
      </c>
      <c r="B921" t="s">
        <v>7852</v>
      </c>
      <c r="C921" t="s">
        <v>7853</v>
      </c>
      <c r="D921" t="s">
        <v>7854</v>
      </c>
      <c r="E921" t="s">
        <v>7855</v>
      </c>
      <c r="F921">
        <v>41500138</v>
      </c>
      <c r="G921">
        <v>295692</v>
      </c>
      <c r="H921">
        <v>132346</v>
      </c>
      <c r="I921" t="s">
        <v>7835</v>
      </c>
      <c r="J921">
        <v>2016</v>
      </c>
      <c r="K921" t="s">
        <v>7844</v>
      </c>
      <c r="L921" t="s">
        <v>7837</v>
      </c>
    </row>
    <row r="922" spans="1:12">
      <c r="A922" t="s">
        <v>7830</v>
      </c>
      <c r="B922" t="s">
        <v>7852</v>
      </c>
      <c r="C922" t="s">
        <v>7853</v>
      </c>
      <c r="D922" t="s">
        <v>7854</v>
      </c>
      <c r="E922" t="s">
        <v>7855</v>
      </c>
      <c r="F922">
        <v>43940239</v>
      </c>
      <c r="G922">
        <v>404599</v>
      </c>
      <c r="H922">
        <v>203041</v>
      </c>
      <c r="I922" t="s">
        <v>7835</v>
      </c>
      <c r="J922">
        <v>2016</v>
      </c>
      <c r="K922" t="s">
        <v>7845</v>
      </c>
      <c r="L922" t="s">
        <v>7837</v>
      </c>
    </row>
    <row r="923" spans="1:12">
      <c r="A923" t="s">
        <v>7830</v>
      </c>
      <c r="B923" t="s">
        <v>7852</v>
      </c>
      <c r="C923" t="s">
        <v>7853</v>
      </c>
      <c r="D923" t="s">
        <v>7854</v>
      </c>
      <c r="E923" t="s">
        <v>7855</v>
      </c>
      <c r="F923">
        <v>54191752</v>
      </c>
      <c r="G923">
        <v>482819</v>
      </c>
      <c r="H923">
        <v>212893</v>
      </c>
      <c r="I923" t="s">
        <v>7835</v>
      </c>
      <c r="J923">
        <v>2016</v>
      </c>
      <c r="K923" t="s">
        <v>7846</v>
      </c>
      <c r="L923" t="s">
        <v>7837</v>
      </c>
    </row>
    <row r="924" spans="1:12">
      <c r="A924" t="s">
        <v>7830</v>
      </c>
      <c r="B924" t="s">
        <v>7852</v>
      </c>
      <c r="C924" t="s">
        <v>7853</v>
      </c>
      <c r="D924" t="s">
        <v>7854</v>
      </c>
      <c r="E924" t="s">
        <v>7855</v>
      </c>
      <c r="F924">
        <v>50562454</v>
      </c>
      <c r="G924">
        <v>669437</v>
      </c>
      <c r="H924">
        <v>230032</v>
      </c>
      <c r="I924" t="s">
        <v>7835</v>
      </c>
      <c r="J924">
        <v>2016</v>
      </c>
      <c r="K924" t="s">
        <v>7847</v>
      </c>
      <c r="L924" t="s">
        <v>7837</v>
      </c>
    </row>
    <row r="925" spans="1:12">
      <c r="A925" t="s">
        <v>7830</v>
      </c>
      <c r="B925" t="s">
        <v>7852</v>
      </c>
      <c r="C925" t="s">
        <v>7853</v>
      </c>
      <c r="D925" t="s">
        <v>7854</v>
      </c>
      <c r="E925" t="s">
        <v>7855</v>
      </c>
      <c r="F925">
        <v>39808557</v>
      </c>
      <c r="G925">
        <v>478549</v>
      </c>
      <c r="H925">
        <v>200332</v>
      </c>
      <c r="I925" t="s">
        <v>7835</v>
      </c>
      <c r="J925">
        <v>2016</v>
      </c>
      <c r="K925" t="s">
        <v>7848</v>
      </c>
      <c r="L925" t="s">
        <v>7837</v>
      </c>
    </row>
    <row r="926" spans="1:12">
      <c r="A926" t="s">
        <v>7830</v>
      </c>
      <c r="B926" t="s">
        <v>7852</v>
      </c>
      <c r="C926" t="s">
        <v>7853</v>
      </c>
      <c r="D926" t="s">
        <v>7854</v>
      </c>
      <c r="E926" t="s">
        <v>7855</v>
      </c>
      <c r="F926">
        <v>32811656</v>
      </c>
      <c r="G926">
        <v>698958</v>
      </c>
      <c r="H926">
        <v>168458</v>
      </c>
      <c r="I926" t="s">
        <v>7835</v>
      </c>
      <c r="J926">
        <v>2017</v>
      </c>
      <c r="K926" t="s">
        <v>7836</v>
      </c>
      <c r="L926" t="s">
        <v>7837</v>
      </c>
    </row>
    <row r="927" spans="1:12">
      <c r="A927" t="s">
        <v>7830</v>
      </c>
      <c r="B927" t="s">
        <v>7852</v>
      </c>
      <c r="C927" t="s">
        <v>7853</v>
      </c>
      <c r="D927" t="s">
        <v>7854</v>
      </c>
      <c r="E927" t="s">
        <v>7855</v>
      </c>
      <c r="F927">
        <v>35873428</v>
      </c>
      <c r="G927">
        <v>289109</v>
      </c>
      <c r="H927">
        <v>163272</v>
      </c>
      <c r="I927" t="s">
        <v>7835</v>
      </c>
      <c r="J927">
        <v>2017</v>
      </c>
      <c r="K927" t="s">
        <v>7838</v>
      </c>
      <c r="L927" t="s">
        <v>7837</v>
      </c>
    </row>
    <row r="928" spans="1:12">
      <c r="A928" t="s">
        <v>7830</v>
      </c>
      <c r="B928" t="s">
        <v>7852</v>
      </c>
      <c r="C928" t="s">
        <v>7853</v>
      </c>
      <c r="D928" t="s">
        <v>7854</v>
      </c>
      <c r="E928" t="s">
        <v>7855</v>
      </c>
      <c r="F928">
        <v>47639701</v>
      </c>
      <c r="G928">
        <v>1304303</v>
      </c>
      <c r="H928">
        <v>167916</v>
      </c>
      <c r="I928" t="s">
        <v>7835</v>
      </c>
      <c r="J928">
        <v>2017</v>
      </c>
      <c r="K928" t="s">
        <v>7839</v>
      </c>
      <c r="L928" t="s">
        <v>7837</v>
      </c>
    </row>
    <row r="929" spans="1:12">
      <c r="A929" t="s">
        <v>7830</v>
      </c>
      <c r="B929" t="s">
        <v>7852</v>
      </c>
      <c r="C929" t="s">
        <v>7853</v>
      </c>
      <c r="D929" t="s">
        <v>7854</v>
      </c>
      <c r="E929" t="s">
        <v>7855</v>
      </c>
      <c r="F929">
        <v>34393408</v>
      </c>
      <c r="G929">
        <v>294487</v>
      </c>
      <c r="H929">
        <v>111441</v>
      </c>
      <c r="I929" t="s">
        <v>7835</v>
      </c>
      <c r="J929">
        <v>2017</v>
      </c>
      <c r="K929" t="s">
        <v>7840</v>
      </c>
      <c r="L929" t="s">
        <v>7837</v>
      </c>
    </row>
    <row r="930" spans="1:12">
      <c r="A930" t="s">
        <v>7830</v>
      </c>
      <c r="B930" t="s">
        <v>7852</v>
      </c>
      <c r="C930" t="s">
        <v>7853</v>
      </c>
      <c r="D930" t="s">
        <v>7854</v>
      </c>
      <c r="E930" t="s">
        <v>7855</v>
      </c>
      <c r="F930">
        <v>32688969</v>
      </c>
      <c r="G930">
        <v>295862</v>
      </c>
      <c r="H930">
        <v>133979</v>
      </c>
      <c r="I930" t="s">
        <v>7835</v>
      </c>
      <c r="J930">
        <v>2017</v>
      </c>
      <c r="K930" t="s">
        <v>7841</v>
      </c>
      <c r="L930" t="s">
        <v>7837</v>
      </c>
    </row>
    <row r="931" spans="1:12">
      <c r="A931" t="s">
        <v>7830</v>
      </c>
      <c r="B931" t="s">
        <v>7852</v>
      </c>
      <c r="C931" t="s">
        <v>7853</v>
      </c>
      <c r="D931" t="s">
        <v>7854</v>
      </c>
      <c r="E931" t="s">
        <v>7855</v>
      </c>
      <c r="F931">
        <v>45803062</v>
      </c>
      <c r="G931">
        <v>367303</v>
      </c>
      <c r="H931">
        <v>173560</v>
      </c>
      <c r="I931" t="s">
        <v>7835</v>
      </c>
      <c r="J931">
        <v>2017</v>
      </c>
      <c r="K931" t="s">
        <v>7842</v>
      </c>
      <c r="L931" t="s">
        <v>7837</v>
      </c>
    </row>
    <row r="932" spans="1:12">
      <c r="A932" t="s">
        <v>7830</v>
      </c>
      <c r="B932" t="s">
        <v>7852</v>
      </c>
      <c r="C932" t="s">
        <v>7853</v>
      </c>
      <c r="D932" t="s">
        <v>7854</v>
      </c>
      <c r="E932" t="s">
        <v>7855</v>
      </c>
      <c r="F932">
        <v>41770368</v>
      </c>
      <c r="G932">
        <v>317787</v>
      </c>
      <c r="H932">
        <v>145685</v>
      </c>
      <c r="I932" t="s">
        <v>7835</v>
      </c>
      <c r="J932">
        <v>2017</v>
      </c>
      <c r="K932" t="s">
        <v>7843</v>
      </c>
      <c r="L932" t="s">
        <v>7837</v>
      </c>
    </row>
    <row r="933" spans="1:12">
      <c r="A933" t="s">
        <v>7830</v>
      </c>
      <c r="B933" t="s">
        <v>7852</v>
      </c>
      <c r="C933" t="s">
        <v>7853</v>
      </c>
      <c r="D933" t="s">
        <v>7854</v>
      </c>
      <c r="E933" t="s">
        <v>7855</v>
      </c>
      <c r="F933">
        <v>45042516</v>
      </c>
      <c r="G933">
        <v>410404</v>
      </c>
      <c r="H933">
        <v>162579</v>
      </c>
      <c r="I933" t="s">
        <v>7835</v>
      </c>
      <c r="J933">
        <v>2017</v>
      </c>
      <c r="K933" t="s">
        <v>7844</v>
      </c>
      <c r="L933" t="s">
        <v>7837</v>
      </c>
    </row>
    <row r="934" spans="1:12">
      <c r="A934" t="s">
        <v>7830</v>
      </c>
      <c r="B934" t="s">
        <v>7852</v>
      </c>
      <c r="C934" t="s">
        <v>7853</v>
      </c>
      <c r="D934" t="s">
        <v>7854</v>
      </c>
      <c r="E934" t="s">
        <v>7855</v>
      </c>
      <c r="F934">
        <v>46314658</v>
      </c>
      <c r="G934">
        <v>4346109</v>
      </c>
      <c r="H934">
        <v>1042129</v>
      </c>
      <c r="I934" t="s">
        <v>7835</v>
      </c>
      <c r="J934">
        <v>2017</v>
      </c>
      <c r="K934" t="s">
        <v>7845</v>
      </c>
      <c r="L934" t="s">
        <v>7837</v>
      </c>
    </row>
    <row r="935" spans="1:12">
      <c r="A935" t="s">
        <v>7830</v>
      </c>
      <c r="B935" t="s">
        <v>7852</v>
      </c>
      <c r="C935" t="s">
        <v>7853</v>
      </c>
      <c r="D935" t="s">
        <v>7854</v>
      </c>
      <c r="E935" t="s">
        <v>7855</v>
      </c>
      <c r="F935">
        <v>51665779</v>
      </c>
      <c r="G935">
        <v>506000</v>
      </c>
      <c r="H935">
        <v>215977</v>
      </c>
      <c r="I935" t="s">
        <v>7835</v>
      </c>
      <c r="J935">
        <v>2017</v>
      </c>
      <c r="K935" t="s">
        <v>7846</v>
      </c>
      <c r="L935" t="s">
        <v>7837</v>
      </c>
    </row>
    <row r="936" spans="1:12">
      <c r="A936" t="s">
        <v>7830</v>
      </c>
      <c r="B936" t="s">
        <v>7852</v>
      </c>
      <c r="C936" t="s">
        <v>7853</v>
      </c>
      <c r="D936" t="s">
        <v>7854</v>
      </c>
      <c r="E936" t="s">
        <v>7855</v>
      </c>
      <c r="F936">
        <v>60574950</v>
      </c>
      <c r="G936">
        <v>545704</v>
      </c>
      <c r="H936">
        <v>313771</v>
      </c>
      <c r="I936" t="s">
        <v>7835</v>
      </c>
      <c r="J936">
        <v>2017</v>
      </c>
      <c r="K936" t="s">
        <v>7847</v>
      </c>
      <c r="L936" t="s">
        <v>7837</v>
      </c>
    </row>
    <row r="937" spans="1:12">
      <c r="A937" t="s">
        <v>7830</v>
      </c>
      <c r="B937" t="s">
        <v>7852</v>
      </c>
      <c r="C937" t="s">
        <v>7853</v>
      </c>
      <c r="D937" t="s">
        <v>7854</v>
      </c>
      <c r="E937" t="s">
        <v>7855</v>
      </c>
      <c r="F937">
        <v>46939462</v>
      </c>
      <c r="G937">
        <v>497037</v>
      </c>
      <c r="H937">
        <v>216897</v>
      </c>
      <c r="I937" t="s">
        <v>7835</v>
      </c>
      <c r="J937">
        <v>2017</v>
      </c>
      <c r="K937" t="s">
        <v>7848</v>
      </c>
      <c r="L937" t="s">
        <v>7837</v>
      </c>
    </row>
    <row r="938" spans="1:12">
      <c r="A938" t="s">
        <v>7830</v>
      </c>
      <c r="B938" t="s">
        <v>7852</v>
      </c>
      <c r="C938" t="s">
        <v>7853</v>
      </c>
      <c r="D938" t="s">
        <v>7854</v>
      </c>
      <c r="E938" t="s">
        <v>7855</v>
      </c>
      <c r="F938">
        <v>48422405</v>
      </c>
      <c r="G938">
        <v>449259</v>
      </c>
      <c r="H938">
        <v>170859</v>
      </c>
      <c r="I938" t="s">
        <v>7835</v>
      </c>
      <c r="J938">
        <v>2018</v>
      </c>
      <c r="K938" t="s">
        <v>7836</v>
      </c>
      <c r="L938" t="s">
        <v>7837</v>
      </c>
    </row>
    <row r="939" spans="1:12">
      <c r="A939" t="s">
        <v>7830</v>
      </c>
      <c r="B939" t="s">
        <v>7852</v>
      </c>
      <c r="C939" t="s">
        <v>7853</v>
      </c>
      <c r="D939" t="s">
        <v>7854</v>
      </c>
      <c r="E939" t="s">
        <v>7855</v>
      </c>
      <c r="F939">
        <v>43438672</v>
      </c>
      <c r="G939">
        <v>476798</v>
      </c>
      <c r="H939">
        <v>157430</v>
      </c>
      <c r="I939" t="s">
        <v>7835</v>
      </c>
      <c r="J939">
        <v>2018</v>
      </c>
      <c r="K939" t="s">
        <v>7838</v>
      </c>
      <c r="L939" t="s">
        <v>7837</v>
      </c>
    </row>
    <row r="940" spans="1:12">
      <c r="A940" t="s">
        <v>7830</v>
      </c>
      <c r="B940" t="s">
        <v>7852</v>
      </c>
      <c r="C940" t="s">
        <v>7853</v>
      </c>
      <c r="D940" t="s">
        <v>7854</v>
      </c>
      <c r="E940" t="s">
        <v>7855</v>
      </c>
      <c r="F940">
        <v>45427327</v>
      </c>
      <c r="G940">
        <v>446036</v>
      </c>
      <c r="H940">
        <v>155019</v>
      </c>
      <c r="I940" t="s">
        <v>7835</v>
      </c>
      <c r="J940">
        <v>2018</v>
      </c>
      <c r="K940" t="s">
        <v>7839</v>
      </c>
      <c r="L940" t="s">
        <v>7837</v>
      </c>
    </row>
    <row r="941" spans="1:12">
      <c r="A941" t="s">
        <v>7830</v>
      </c>
      <c r="B941" t="s">
        <v>7852</v>
      </c>
      <c r="C941" t="s">
        <v>7853</v>
      </c>
      <c r="D941" t="s">
        <v>7854</v>
      </c>
      <c r="E941" t="s">
        <v>7855</v>
      </c>
      <c r="F941">
        <v>48434528</v>
      </c>
      <c r="G941">
        <v>382961</v>
      </c>
      <c r="H941">
        <v>149251</v>
      </c>
      <c r="I941" t="s">
        <v>7835</v>
      </c>
      <c r="J941">
        <v>2018</v>
      </c>
      <c r="K941" t="s">
        <v>7840</v>
      </c>
      <c r="L941" t="s">
        <v>7837</v>
      </c>
    </row>
    <row r="942" spans="1:12">
      <c r="A942" t="s">
        <v>7830</v>
      </c>
      <c r="B942" t="s">
        <v>7852</v>
      </c>
      <c r="C942" t="s">
        <v>7853</v>
      </c>
      <c r="D942" t="s">
        <v>7854</v>
      </c>
      <c r="E942" t="s">
        <v>7855</v>
      </c>
      <c r="F942">
        <v>40754192</v>
      </c>
      <c r="G942">
        <v>365527</v>
      </c>
      <c r="H942">
        <v>133696</v>
      </c>
      <c r="I942" t="s">
        <v>7835</v>
      </c>
      <c r="J942">
        <v>2018</v>
      </c>
      <c r="K942" t="s">
        <v>7841</v>
      </c>
      <c r="L942" t="s">
        <v>7837</v>
      </c>
    </row>
    <row r="943" spans="1:12">
      <c r="A943" t="s">
        <v>7830</v>
      </c>
      <c r="B943" t="s">
        <v>7852</v>
      </c>
      <c r="C943" t="s">
        <v>7853</v>
      </c>
      <c r="D943" t="s">
        <v>7854</v>
      </c>
      <c r="E943" t="s">
        <v>7855</v>
      </c>
      <c r="F943">
        <v>41083245</v>
      </c>
      <c r="G943">
        <v>421240</v>
      </c>
      <c r="H943">
        <v>145019</v>
      </c>
      <c r="I943" t="s">
        <v>7835</v>
      </c>
      <c r="J943">
        <v>2018</v>
      </c>
      <c r="K943" t="s">
        <v>7842</v>
      </c>
      <c r="L943" t="s">
        <v>7837</v>
      </c>
    </row>
    <row r="944" spans="1:12">
      <c r="A944" t="s">
        <v>7830</v>
      </c>
      <c r="B944" t="s">
        <v>7852</v>
      </c>
      <c r="C944" t="s">
        <v>7853</v>
      </c>
      <c r="D944" t="s">
        <v>7854</v>
      </c>
      <c r="E944" t="s">
        <v>7855</v>
      </c>
      <c r="F944">
        <v>48555580</v>
      </c>
      <c r="G944">
        <v>472465</v>
      </c>
      <c r="H944">
        <v>184954</v>
      </c>
      <c r="I944" t="s">
        <v>7835</v>
      </c>
      <c r="J944">
        <v>2018</v>
      </c>
      <c r="K944" t="s">
        <v>7843</v>
      </c>
      <c r="L944" t="s">
        <v>7837</v>
      </c>
    </row>
    <row r="945" spans="1:12">
      <c r="A945" t="s">
        <v>7830</v>
      </c>
      <c r="B945" t="s">
        <v>7852</v>
      </c>
      <c r="C945" t="s">
        <v>7853</v>
      </c>
      <c r="D945" t="s">
        <v>7854</v>
      </c>
      <c r="E945" t="s">
        <v>7855</v>
      </c>
      <c r="F945">
        <v>44457927</v>
      </c>
      <c r="G945">
        <v>368779</v>
      </c>
      <c r="H945">
        <v>145335</v>
      </c>
      <c r="I945" t="s">
        <v>7835</v>
      </c>
      <c r="J945">
        <v>2018</v>
      </c>
      <c r="K945" t="s">
        <v>7844</v>
      </c>
      <c r="L945" t="s">
        <v>7837</v>
      </c>
    </row>
    <row r="946" spans="1:12">
      <c r="A946" t="s">
        <v>7830</v>
      </c>
      <c r="B946" t="s">
        <v>7852</v>
      </c>
      <c r="C946" t="s">
        <v>7853</v>
      </c>
      <c r="D946" t="s">
        <v>7854</v>
      </c>
      <c r="E946" t="s">
        <v>7855</v>
      </c>
      <c r="F946">
        <v>52940052</v>
      </c>
      <c r="G946">
        <v>448905</v>
      </c>
      <c r="H946">
        <v>170168</v>
      </c>
      <c r="I946" t="s">
        <v>7835</v>
      </c>
      <c r="J946">
        <v>2018</v>
      </c>
      <c r="K946" t="s">
        <v>7845</v>
      </c>
      <c r="L946" t="s">
        <v>7837</v>
      </c>
    </row>
    <row r="947" spans="1:12">
      <c r="A947" t="s">
        <v>7830</v>
      </c>
      <c r="B947" t="s">
        <v>7852</v>
      </c>
      <c r="C947" t="s">
        <v>7853</v>
      </c>
      <c r="D947" t="s">
        <v>7854</v>
      </c>
      <c r="E947" t="s">
        <v>7855</v>
      </c>
      <c r="F947">
        <v>53282230</v>
      </c>
      <c r="G947">
        <v>452177</v>
      </c>
      <c r="H947">
        <v>188274</v>
      </c>
      <c r="I947" t="s">
        <v>7835</v>
      </c>
      <c r="J947">
        <v>2018</v>
      </c>
      <c r="K947" t="s">
        <v>7846</v>
      </c>
      <c r="L947" t="s">
        <v>7837</v>
      </c>
    </row>
    <row r="948" spans="1:12">
      <c r="A948" t="s">
        <v>7830</v>
      </c>
      <c r="B948" t="s">
        <v>7852</v>
      </c>
      <c r="C948" t="s">
        <v>7853</v>
      </c>
      <c r="D948" t="s">
        <v>7854</v>
      </c>
      <c r="E948" t="s">
        <v>7855</v>
      </c>
      <c r="F948">
        <v>65120213</v>
      </c>
      <c r="G948">
        <v>585733</v>
      </c>
      <c r="H948">
        <v>283052</v>
      </c>
      <c r="I948" t="s">
        <v>7835</v>
      </c>
      <c r="J948">
        <v>2018</v>
      </c>
      <c r="K948" t="s">
        <v>7847</v>
      </c>
      <c r="L948" t="s">
        <v>7837</v>
      </c>
    </row>
    <row r="949" spans="1:12">
      <c r="A949" t="s">
        <v>7830</v>
      </c>
      <c r="B949" t="s">
        <v>7852</v>
      </c>
      <c r="C949" t="s">
        <v>7853</v>
      </c>
      <c r="D949" t="s">
        <v>7854</v>
      </c>
      <c r="E949" t="s">
        <v>7855</v>
      </c>
      <c r="F949">
        <v>56810695</v>
      </c>
      <c r="G949">
        <v>794370</v>
      </c>
      <c r="H949">
        <v>226966</v>
      </c>
      <c r="I949" t="s">
        <v>7835</v>
      </c>
      <c r="J949">
        <v>2018</v>
      </c>
      <c r="K949" t="s">
        <v>7848</v>
      </c>
      <c r="L949" t="s">
        <v>7837</v>
      </c>
    </row>
    <row r="950" spans="1:12">
      <c r="A950" t="s">
        <v>7830</v>
      </c>
      <c r="B950" t="s">
        <v>7852</v>
      </c>
      <c r="C950" t="s">
        <v>7853</v>
      </c>
      <c r="D950" t="s">
        <v>7854</v>
      </c>
      <c r="E950" t="s">
        <v>7855</v>
      </c>
      <c r="F950">
        <v>56806389</v>
      </c>
      <c r="G950">
        <v>467862</v>
      </c>
      <c r="H950">
        <v>171092</v>
      </c>
      <c r="I950" t="s">
        <v>7835</v>
      </c>
      <c r="J950">
        <v>2019</v>
      </c>
      <c r="K950" t="s">
        <v>7836</v>
      </c>
      <c r="L950" t="s">
        <v>7837</v>
      </c>
    </row>
    <row r="951" spans="1:12">
      <c r="A951" t="s">
        <v>7830</v>
      </c>
      <c r="B951" t="s">
        <v>7852</v>
      </c>
      <c r="C951" t="s">
        <v>7853</v>
      </c>
      <c r="D951" t="s">
        <v>7854</v>
      </c>
      <c r="E951" t="s">
        <v>7855</v>
      </c>
      <c r="F951">
        <v>46871674</v>
      </c>
      <c r="G951">
        <v>490017</v>
      </c>
      <c r="H951">
        <v>161274</v>
      </c>
      <c r="I951" t="s">
        <v>7835</v>
      </c>
      <c r="J951">
        <v>2019</v>
      </c>
      <c r="K951" t="s">
        <v>7838</v>
      </c>
      <c r="L951" t="s">
        <v>7837</v>
      </c>
    </row>
    <row r="952" spans="1:12">
      <c r="A952" t="s">
        <v>7830</v>
      </c>
      <c r="B952" t="s">
        <v>7852</v>
      </c>
      <c r="C952" t="s">
        <v>7853</v>
      </c>
      <c r="D952" t="s">
        <v>7854</v>
      </c>
      <c r="E952" t="s">
        <v>7855</v>
      </c>
      <c r="F952">
        <v>56060289</v>
      </c>
      <c r="G952">
        <v>438938</v>
      </c>
      <c r="H952">
        <v>169997</v>
      </c>
      <c r="I952" t="s">
        <v>7835</v>
      </c>
      <c r="J952">
        <v>2019</v>
      </c>
      <c r="K952" t="s">
        <v>7839</v>
      </c>
      <c r="L952" t="s">
        <v>7837</v>
      </c>
    </row>
    <row r="953" spans="1:12">
      <c r="A953" t="s">
        <v>7830</v>
      </c>
      <c r="B953" t="s">
        <v>7852</v>
      </c>
      <c r="C953" t="s">
        <v>7853</v>
      </c>
      <c r="D953" t="s">
        <v>7854</v>
      </c>
      <c r="E953" t="s">
        <v>7855</v>
      </c>
      <c r="F953">
        <v>52647356</v>
      </c>
      <c r="G953">
        <v>387373</v>
      </c>
      <c r="H953">
        <v>158912</v>
      </c>
      <c r="I953" t="s">
        <v>7835</v>
      </c>
      <c r="J953">
        <v>2019</v>
      </c>
      <c r="K953" t="s">
        <v>7840</v>
      </c>
      <c r="L953" t="s">
        <v>7837</v>
      </c>
    </row>
    <row r="954" spans="1:12">
      <c r="A954" t="s">
        <v>7830</v>
      </c>
      <c r="B954" t="s">
        <v>7852</v>
      </c>
      <c r="C954" t="s">
        <v>7853</v>
      </c>
      <c r="D954" t="s">
        <v>7854</v>
      </c>
      <c r="E954" t="s">
        <v>7855</v>
      </c>
      <c r="F954">
        <v>48244301</v>
      </c>
      <c r="G954">
        <v>396754</v>
      </c>
      <c r="H954">
        <v>149024</v>
      </c>
      <c r="I954" t="s">
        <v>7835</v>
      </c>
      <c r="J954">
        <v>2019</v>
      </c>
      <c r="K954" t="s">
        <v>7841</v>
      </c>
      <c r="L954" t="s">
        <v>7837</v>
      </c>
    </row>
    <row r="955" spans="1:12">
      <c r="A955" t="s">
        <v>7830</v>
      </c>
      <c r="B955" t="s">
        <v>7852</v>
      </c>
      <c r="C955" t="s">
        <v>7853</v>
      </c>
      <c r="D955" t="s">
        <v>7854</v>
      </c>
      <c r="E955" t="s">
        <v>7855</v>
      </c>
      <c r="F955">
        <v>54136981</v>
      </c>
      <c r="G955">
        <v>353599</v>
      </c>
      <c r="H955">
        <v>144536</v>
      </c>
      <c r="I955" t="s">
        <v>7835</v>
      </c>
      <c r="J955">
        <v>2019</v>
      </c>
      <c r="K955" t="s">
        <v>7842</v>
      </c>
      <c r="L955" t="s">
        <v>7837</v>
      </c>
    </row>
    <row r="956" spans="1:12">
      <c r="A956" t="s">
        <v>7830</v>
      </c>
      <c r="B956" t="s">
        <v>7852</v>
      </c>
      <c r="C956" t="s">
        <v>7853</v>
      </c>
      <c r="D956" t="s">
        <v>7854</v>
      </c>
      <c r="E956" t="s">
        <v>7855</v>
      </c>
      <c r="F956">
        <v>50753277</v>
      </c>
      <c r="G956">
        <v>374266</v>
      </c>
      <c r="H956">
        <v>193233</v>
      </c>
      <c r="I956" t="s">
        <v>7835</v>
      </c>
      <c r="J956">
        <v>2019</v>
      </c>
      <c r="K956" t="s">
        <v>7843</v>
      </c>
      <c r="L956" t="s">
        <v>7837</v>
      </c>
    </row>
    <row r="957" spans="1:12">
      <c r="A957" t="s">
        <v>7830</v>
      </c>
      <c r="B957" t="s">
        <v>7852</v>
      </c>
      <c r="C957" t="s">
        <v>7853</v>
      </c>
      <c r="D957" t="s">
        <v>7854</v>
      </c>
      <c r="E957" t="s">
        <v>7855</v>
      </c>
      <c r="F957">
        <v>50635706</v>
      </c>
      <c r="G957">
        <v>352934</v>
      </c>
      <c r="H957">
        <v>138711</v>
      </c>
      <c r="I957" t="s">
        <v>7835</v>
      </c>
      <c r="J957">
        <v>2019</v>
      </c>
      <c r="K957" t="s">
        <v>7844</v>
      </c>
      <c r="L957" t="s">
        <v>7837</v>
      </c>
    </row>
    <row r="958" spans="1:12">
      <c r="A958" t="s">
        <v>7830</v>
      </c>
      <c r="B958" t="s">
        <v>7852</v>
      </c>
      <c r="C958" t="s">
        <v>7853</v>
      </c>
      <c r="D958" t="s">
        <v>7854</v>
      </c>
      <c r="E958" t="s">
        <v>7855</v>
      </c>
      <c r="F958">
        <v>58799207</v>
      </c>
      <c r="G958">
        <v>406786</v>
      </c>
      <c r="H958">
        <v>161322</v>
      </c>
      <c r="I958" t="s">
        <v>7835</v>
      </c>
      <c r="J958">
        <v>2019</v>
      </c>
      <c r="K958" t="s">
        <v>7845</v>
      </c>
      <c r="L958" t="s">
        <v>7837</v>
      </c>
    </row>
    <row r="959" spans="1:12">
      <c r="A959" t="s">
        <v>7830</v>
      </c>
      <c r="B959" t="s">
        <v>7852</v>
      </c>
      <c r="C959" t="s">
        <v>7853</v>
      </c>
      <c r="D959" t="s">
        <v>7854</v>
      </c>
      <c r="E959" t="s">
        <v>7855</v>
      </c>
      <c r="F959">
        <v>68317190</v>
      </c>
      <c r="G959">
        <v>461287</v>
      </c>
      <c r="H959">
        <v>207696</v>
      </c>
      <c r="I959" t="s">
        <v>7835</v>
      </c>
      <c r="J959">
        <v>2019</v>
      </c>
      <c r="K959" t="s">
        <v>7846</v>
      </c>
      <c r="L959" t="s">
        <v>7837</v>
      </c>
    </row>
    <row r="960" spans="1:12">
      <c r="A960" t="s">
        <v>7830</v>
      </c>
      <c r="B960" t="s">
        <v>7852</v>
      </c>
      <c r="C960" t="s">
        <v>7853</v>
      </c>
      <c r="D960" t="s">
        <v>7854</v>
      </c>
      <c r="E960" t="s">
        <v>7855</v>
      </c>
      <c r="F960">
        <v>78638755</v>
      </c>
      <c r="G960">
        <v>530372</v>
      </c>
      <c r="H960">
        <v>221501</v>
      </c>
      <c r="I960" t="s">
        <v>7835</v>
      </c>
      <c r="J960">
        <v>2019</v>
      </c>
      <c r="K960" t="s">
        <v>7847</v>
      </c>
      <c r="L960" t="s">
        <v>7837</v>
      </c>
    </row>
    <row r="961" spans="1:12">
      <c r="A961" t="s">
        <v>7830</v>
      </c>
      <c r="B961" t="s">
        <v>7852</v>
      </c>
      <c r="C961" t="s">
        <v>7853</v>
      </c>
      <c r="D961" t="s">
        <v>7854</v>
      </c>
      <c r="E961" t="s">
        <v>7855</v>
      </c>
      <c r="F961">
        <v>56488059</v>
      </c>
      <c r="G961">
        <v>432319</v>
      </c>
      <c r="H961">
        <v>207419</v>
      </c>
      <c r="I961" t="s">
        <v>7835</v>
      </c>
      <c r="J961">
        <v>2019</v>
      </c>
      <c r="K961" t="s">
        <v>7848</v>
      </c>
      <c r="L961" t="s">
        <v>7837</v>
      </c>
    </row>
    <row r="962" spans="1:12">
      <c r="A962" t="s">
        <v>7830</v>
      </c>
      <c r="B962" t="s">
        <v>7852</v>
      </c>
      <c r="C962" t="s">
        <v>7853</v>
      </c>
      <c r="D962" t="s">
        <v>7854</v>
      </c>
      <c r="E962" t="s">
        <v>7855</v>
      </c>
      <c r="F962">
        <v>47627485</v>
      </c>
      <c r="G962">
        <v>362318</v>
      </c>
      <c r="H962">
        <v>159391</v>
      </c>
      <c r="I962" t="s">
        <v>7835</v>
      </c>
      <c r="J962">
        <v>2020</v>
      </c>
      <c r="K962" t="s">
        <v>7836</v>
      </c>
      <c r="L962" t="s">
        <v>7837</v>
      </c>
    </row>
    <row r="963" spans="1:12">
      <c r="A963" t="s">
        <v>7830</v>
      </c>
      <c r="B963" t="s">
        <v>7852</v>
      </c>
      <c r="C963" t="s">
        <v>7853</v>
      </c>
      <c r="D963" t="s">
        <v>7854</v>
      </c>
      <c r="E963" t="s">
        <v>7855</v>
      </c>
      <c r="F963">
        <v>35259350</v>
      </c>
      <c r="G963">
        <v>329595</v>
      </c>
      <c r="H963">
        <v>115887</v>
      </c>
      <c r="I963" t="s">
        <v>7835</v>
      </c>
      <c r="J963">
        <v>2020</v>
      </c>
      <c r="K963" t="s">
        <v>7838</v>
      </c>
      <c r="L963" t="s">
        <v>7837</v>
      </c>
    </row>
    <row r="964" spans="1:12">
      <c r="A964" t="s">
        <v>7830</v>
      </c>
      <c r="B964" t="s">
        <v>7852</v>
      </c>
      <c r="C964" t="s">
        <v>7853</v>
      </c>
      <c r="D964" t="s">
        <v>7854</v>
      </c>
      <c r="E964" t="s">
        <v>7855</v>
      </c>
      <c r="F964">
        <v>57423703</v>
      </c>
      <c r="G964">
        <v>673103</v>
      </c>
      <c r="H964">
        <v>207722</v>
      </c>
      <c r="I964" t="s">
        <v>7835</v>
      </c>
      <c r="J964">
        <v>2020</v>
      </c>
      <c r="K964" t="s">
        <v>7839</v>
      </c>
      <c r="L964" t="s">
        <v>7837</v>
      </c>
    </row>
    <row r="965" spans="1:12">
      <c r="A965" t="s">
        <v>7830</v>
      </c>
      <c r="B965" t="s">
        <v>7852</v>
      </c>
      <c r="C965" t="s">
        <v>7853</v>
      </c>
      <c r="D965" t="s">
        <v>7854</v>
      </c>
      <c r="E965" t="s">
        <v>7855</v>
      </c>
      <c r="F965">
        <v>51717862</v>
      </c>
      <c r="G965">
        <v>450976</v>
      </c>
      <c r="H965">
        <v>168755</v>
      </c>
      <c r="I965" t="s">
        <v>7835</v>
      </c>
      <c r="J965">
        <v>2020</v>
      </c>
      <c r="K965" t="s">
        <v>7840</v>
      </c>
      <c r="L965" t="s">
        <v>7837</v>
      </c>
    </row>
    <row r="966" spans="1:12">
      <c r="A966" t="s">
        <v>7830</v>
      </c>
      <c r="B966" t="s">
        <v>7852</v>
      </c>
      <c r="C966" t="s">
        <v>7853</v>
      </c>
      <c r="D966" t="s">
        <v>7854</v>
      </c>
      <c r="E966" t="s">
        <v>7855</v>
      </c>
      <c r="F966">
        <v>47550061</v>
      </c>
      <c r="G966">
        <v>485535</v>
      </c>
      <c r="H966">
        <v>175821</v>
      </c>
      <c r="I966" t="s">
        <v>7835</v>
      </c>
      <c r="J966">
        <v>2020</v>
      </c>
      <c r="K966" t="s">
        <v>7841</v>
      </c>
      <c r="L966" t="s">
        <v>7837</v>
      </c>
    </row>
    <row r="967" spans="1:12">
      <c r="A967" t="s">
        <v>7830</v>
      </c>
      <c r="B967" t="s">
        <v>7852</v>
      </c>
      <c r="C967" t="s">
        <v>7853</v>
      </c>
      <c r="D967" t="s">
        <v>7854</v>
      </c>
      <c r="E967" t="s">
        <v>7855</v>
      </c>
      <c r="F967">
        <v>53222564</v>
      </c>
      <c r="G967">
        <v>511514</v>
      </c>
      <c r="H967">
        <v>189003</v>
      </c>
      <c r="I967" t="s">
        <v>7835</v>
      </c>
      <c r="J967">
        <v>2020</v>
      </c>
      <c r="K967" t="s">
        <v>7842</v>
      </c>
      <c r="L967" t="s">
        <v>7837</v>
      </c>
    </row>
    <row r="968" spans="1:12">
      <c r="A968" t="s">
        <v>7830</v>
      </c>
      <c r="B968" t="s">
        <v>7852</v>
      </c>
      <c r="C968" t="s">
        <v>7853</v>
      </c>
      <c r="D968" t="s">
        <v>7854</v>
      </c>
      <c r="E968" t="s">
        <v>7855</v>
      </c>
      <c r="F968">
        <v>47977631</v>
      </c>
      <c r="G968">
        <v>395859</v>
      </c>
      <c r="H968">
        <v>159250</v>
      </c>
      <c r="I968" t="s">
        <v>7835</v>
      </c>
      <c r="J968">
        <v>2020</v>
      </c>
      <c r="K968" t="s">
        <v>7843</v>
      </c>
      <c r="L968" t="s">
        <v>7837</v>
      </c>
    </row>
    <row r="969" spans="1:12">
      <c r="A969" t="s">
        <v>7830</v>
      </c>
      <c r="B969" t="s">
        <v>7852</v>
      </c>
      <c r="C969" t="s">
        <v>7853</v>
      </c>
      <c r="D969" t="s">
        <v>7854</v>
      </c>
      <c r="E969" t="s">
        <v>7855</v>
      </c>
      <c r="F969">
        <v>45616182</v>
      </c>
      <c r="G969">
        <v>392838</v>
      </c>
      <c r="H969">
        <v>157182</v>
      </c>
      <c r="I969" t="s">
        <v>7835</v>
      </c>
      <c r="J969">
        <v>2020</v>
      </c>
      <c r="K969" t="s">
        <v>7844</v>
      </c>
      <c r="L969" t="s">
        <v>7837</v>
      </c>
    </row>
    <row r="970" spans="1:12">
      <c r="A970" t="s">
        <v>7830</v>
      </c>
      <c r="B970" t="s">
        <v>7852</v>
      </c>
      <c r="C970" t="s">
        <v>7853</v>
      </c>
      <c r="D970" t="s">
        <v>7854</v>
      </c>
      <c r="E970" t="s">
        <v>7855</v>
      </c>
      <c r="F970">
        <v>71761898</v>
      </c>
      <c r="G970">
        <v>634248</v>
      </c>
      <c r="H970">
        <v>221555</v>
      </c>
      <c r="I970" t="s">
        <v>7835</v>
      </c>
      <c r="J970">
        <v>2020</v>
      </c>
      <c r="K970" t="s">
        <v>7845</v>
      </c>
      <c r="L970" t="s">
        <v>7837</v>
      </c>
    </row>
    <row r="971" spans="1:12">
      <c r="A971" t="s">
        <v>7830</v>
      </c>
      <c r="B971" t="s">
        <v>7852</v>
      </c>
      <c r="C971" t="s">
        <v>7853</v>
      </c>
      <c r="D971" t="s">
        <v>7854</v>
      </c>
      <c r="E971" t="s">
        <v>7855</v>
      </c>
      <c r="F971">
        <v>79397262</v>
      </c>
      <c r="G971">
        <v>570193</v>
      </c>
      <c r="H971">
        <v>229629</v>
      </c>
      <c r="I971" t="s">
        <v>7835</v>
      </c>
      <c r="J971">
        <v>2020</v>
      </c>
      <c r="K971" t="s">
        <v>7846</v>
      </c>
      <c r="L971" t="s">
        <v>7837</v>
      </c>
    </row>
    <row r="972" spans="1:12">
      <c r="A972" t="s">
        <v>7830</v>
      </c>
      <c r="B972" t="s">
        <v>7852</v>
      </c>
      <c r="C972" t="s">
        <v>7853</v>
      </c>
      <c r="D972" t="s">
        <v>7854</v>
      </c>
      <c r="E972" t="s">
        <v>7855</v>
      </c>
      <c r="F972">
        <v>85535400</v>
      </c>
      <c r="G972">
        <v>676744</v>
      </c>
      <c r="H972">
        <v>279822</v>
      </c>
      <c r="I972" t="s">
        <v>7835</v>
      </c>
      <c r="J972">
        <v>2020</v>
      </c>
      <c r="K972" t="s">
        <v>7847</v>
      </c>
      <c r="L972" t="s">
        <v>7837</v>
      </c>
    </row>
    <row r="973" spans="1:12">
      <c r="A973" t="s">
        <v>7830</v>
      </c>
      <c r="B973" t="s">
        <v>7852</v>
      </c>
      <c r="C973" t="s">
        <v>7853</v>
      </c>
      <c r="D973" t="s">
        <v>7854</v>
      </c>
      <c r="E973" t="s">
        <v>7855</v>
      </c>
      <c r="F973">
        <v>69162291</v>
      </c>
      <c r="G973">
        <v>589554</v>
      </c>
      <c r="H973">
        <v>213432</v>
      </c>
      <c r="I973" t="s">
        <v>7835</v>
      </c>
      <c r="J973">
        <v>2020</v>
      </c>
      <c r="K973" t="s">
        <v>7848</v>
      </c>
      <c r="L973" t="s">
        <v>7837</v>
      </c>
    </row>
    <row r="974" spans="1:12">
      <c r="A974" t="s">
        <v>7830</v>
      </c>
      <c r="B974" t="s">
        <v>7852</v>
      </c>
      <c r="C974" t="s">
        <v>7853</v>
      </c>
      <c r="D974" t="s">
        <v>7854</v>
      </c>
      <c r="E974" t="s">
        <v>7855</v>
      </c>
      <c r="F974">
        <v>46360462</v>
      </c>
      <c r="G974">
        <v>738154</v>
      </c>
      <c r="H974">
        <v>87783</v>
      </c>
      <c r="I974" t="s">
        <v>7835</v>
      </c>
      <c r="J974">
        <v>2021</v>
      </c>
      <c r="K974" t="s">
        <v>7836</v>
      </c>
      <c r="L974" t="s">
        <v>7837</v>
      </c>
    </row>
    <row r="975" spans="1:12">
      <c r="A975" t="s">
        <v>7830</v>
      </c>
      <c r="B975" t="s">
        <v>7852</v>
      </c>
      <c r="C975" t="s">
        <v>7853</v>
      </c>
      <c r="D975" t="s">
        <v>7854</v>
      </c>
      <c r="E975" t="s">
        <v>7855</v>
      </c>
      <c r="F975">
        <v>61000629</v>
      </c>
      <c r="G975">
        <v>680316</v>
      </c>
      <c r="H975">
        <v>156522</v>
      </c>
      <c r="I975" t="s">
        <v>7835</v>
      </c>
      <c r="J975">
        <v>2021</v>
      </c>
      <c r="K975" t="s">
        <v>7838</v>
      </c>
      <c r="L975" t="s">
        <v>7837</v>
      </c>
    </row>
    <row r="976" spans="1:12">
      <c r="A976" t="s">
        <v>7830</v>
      </c>
      <c r="B976" t="s">
        <v>7852</v>
      </c>
      <c r="C976" t="s">
        <v>7853</v>
      </c>
      <c r="D976" t="s">
        <v>7854</v>
      </c>
      <c r="E976" t="s">
        <v>7855</v>
      </c>
      <c r="F976">
        <v>67325308</v>
      </c>
      <c r="G976">
        <v>525942</v>
      </c>
      <c r="H976">
        <v>608128</v>
      </c>
      <c r="I976" t="s">
        <v>7835</v>
      </c>
      <c r="J976">
        <v>2021</v>
      </c>
      <c r="K976" t="s">
        <v>7839</v>
      </c>
      <c r="L976" t="s">
        <v>7837</v>
      </c>
    </row>
    <row r="977" spans="1:12">
      <c r="A977" t="s">
        <v>7830</v>
      </c>
      <c r="B977" t="s">
        <v>7852</v>
      </c>
      <c r="C977" t="s">
        <v>7853</v>
      </c>
      <c r="D977" t="s">
        <v>7854</v>
      </c>
      <c r="E977" t="s">
        <v>7855</v>
      </c>
      <c r="F977">
        <v>51462055</v>
      </c>
      <c r="G977">
        <v>292618</v>
      </c>
      <c r="H977">
        <v>148573</v>
      </c>
      <c r="I977" t="s">
        <v>7835</v>
      </c>
      <c r="J977">
        <v>2021</v>
      </c>
      <c r="K977" t="s">
        <v>7840</v>
      </c>
      <c r="L977" t="s">
        <v>7837</v>
      </c>
    </row>
    <row r="978" spans="1:12">
      <c r="A978" t="s">
        <v>7830</v>
      </c>
      <c r="B978" t="s">
        <v>7852</v>
      </c>
      <c r="C978" t="s">
        <v>7853</v>
      </c>
      <c r="D978" t="s">
        <v>7854</v>
      </c>
      <c r="E978" t="s">
        <v>7855</v>
      </c>
      <c r="F978">
        <v>64254657</v>
      </c>
      <c r="G978">
        <v>288853</v>
      </c>
      <c r="H978">
        <v>149809</v>
      </c>
      <c r="I978" t="s">
        <v>7835</v>
      </c>
      <c r="J978">
        <v>2021</v>
      </c>
      <c r="K978" t="s">
        <v>7841</v>
      </c>
      <c r="L978" t="s">
        <v>7837</v>
      </c>
    </row>
    <row r="979" spans="1:12">
      <c r="A979" t="s">
        <v>7830</v>
      </c>
      <c r="B979" t="s">
        <v>7852</v>
      </c>
      <c r="C979" t="s">
        <v>7853</v>
      </c>
      <c r="D979" t="s">
        <v>7854</v>
      </c>
      <c r="E979" t="s">
        <v>7855</v>
      </c>
      <c r="F979">
        <v>52284584</v>
      </c>
      <c r="G979">
        <v>421053</v>
      </c>
      <c r="H979">
        <v>736981</v>
      </c>
      <c r="I979" t="s">
        <v>7835</v>
      </c>
      <c r="J979">
        <v>2021</v>
      </c>
      <c r="K979" t="s">
        <v>7842</v>
      </c>
      <c r="L979" t="s">
        <v>7837</v>
      </c>
    </row>
    <row r="980" spans="1:12">
      <c r="A980" t="s">
        <v>7830</v>
      </c>
      <c r="B980" t="s">
        <v>7852</v>
      </c>
      <c r="C980" t="s">
        <v>7853</v>
      </c>
      <c r="D980" t="s">
        <v>7854</v>
      </c>
      <c r="E980" t="s">
        <v>7855</v>
      </c>
      <c r="F980">
        <v>47156634</v>
      </c>
      <c r="G980">
        <v>278552</v>
      </c>
      <c r="H980">
        <v>97985</v>
      </c>
      <c r="I980" t="s">
        <v>7835</v>
      </c>
      <c r="J980">
        <v>2021</v>
      </c>
      <c r="K980" t="s">
        <v>7843</v>
      </c>
      <c r="L980" t="s">
        <v>7837</v>
      </c>
    </row>
    <row r="981" spans="1:12">
      <c r="A981" t="s">
        <v>7830</v>
      </c>
      <c r="B981" t="s">
        <v>7852</v>
      </c>
      <c r="C981" t="s">
        <v>7853</v>
      </c>
      <c r="D981" t="s">
        <v>7854</v>
      </c>
      <c r="E981" t="s">
        <v>7855</v>
      </c>
      <c r="F981">
        <v>54120241</v>
      </c>
      <c r="G981">
        <v>296640</v>
      </c>
      <c r="H981">
        <v>121326</v>
      </c>
      <c r="I981" t="s">
        <v>7835</v>
      </c>
      <c r="J981">
        <v>2021</v>
      </c>
      <c r="K981" t="s">
        <v>7844</v>
      </c>
      <c r="L981" t="s">
        <v>7837</v>
      </c>
    </row>
    <row r="982" spans="1:12">
      <c r="A982" t="s">
        <v>7830</v>
      </c>
      <c r="B982" t="s">
        <v>7852</v>
      </c>
      <c r="C982" t="s">
        <v>7853</v>
      </c>
      <c r="D982" t="s">
        <v>7854</v>
      </c>
      <c r="E982" t="s">
        <v>7855</v>
      </c>
      <c r="F982">
        <v>61330001</v>
      </c>
      <c r="G982">
        <v>328574</v>
      </c>
      <c r="H982">
        <v>114358</v>
      </c>
      <c r="I982" t="s">
        <v>7835</v>
      </c>
      <c r="J982">
        <v>2021</v>
      </c>
      <c r="K982" t="s">
        <v>7845</v>
      </c>
      <c r="L982" t="s">
        <v>7837</v>
      </c>
    </row>
    <row r="983" spans="1:12">
      <c r="A983" t="s">
        <v>7830</v>
      </c>
      <c r="B983" t="s">
        <v>7852</v>
      </c>
      <c r="C983" t="s">
        <v>7853</v>
      </c>
      <c r="D983" t="s">
        <v>7854</v>
      </c>
      <c r="E983" t="s">
        <v>7855</v>
      </c>
      <c r="F983">
        <v>62613825</v>
      </c>
      <c r="G983">
        <v>390875</v>
      </c>
      <c r="H983">
        <v>138414</v>
      </c>
      <c r="I983" t="s">
        <v>7835</v>
      </c>
      <c r="J983">
        <v>2021</v>
      </c>
      <c r="K983" t="s">
        <v>7846</v>
      </c>
      <c r="L983" t="s">
        <v>7837</v>
      </c>
    </row>
    <row r="984" spans="1:12">
      <c r="A984" t="s">
        <v>7830</v>
      </c>
      <c r="B984" t="s">
        <v>7852</v>
      </c>
      <c r="C984" t="s">
        <v>7853</v>
      </c>
      <c r="D984" t="s">
        <v>7854</v>
      </c>
      <c r="E984" t="s">
        <v>7855</v>
      </c>
      <c r="F984">
        <v>67582894</v>
      </c>
      <c r="G984">
        <v>356946</v>
      </c>
      <c r="H984">
        <v>162389</v>
      </c>
      <c r="I984" t="s">
        <v>7835</v>
      </c>
      <c r="J984">
        <v>2021</v>
      </c>
      <c r="K984" t="s">
        <v>7847</v>
      </c>
      <c r="L984" t="s">
        <v>7837</v>
      </c>
    </row>
    <row r="985" spans="1:12">
      <c r="A985" t="s">
        <v>7830</v>
      </c>
      <c r="B985" t="s">
        <v>7852</v>
      </c>
      <c r="C985" t="s">
        <v>7853</v>
      </c>
      <c r="D985" t="s">
        <v>7854</v>
      </c>
      <c r="E985" t="s">
        <v>7855</v>
      </c>
      <c r="F985">
        <v>79141480</v>
      </c>
      <c r="G985">
        <v>389436</v>
      </c>
      <c r="H985">
        <v>186623</v>
      </c>
      <c r="I985" t="s">
        <v>7835</v>
      </c>
      <c r="J985">
        <v>2021</v>
      </c>
      <c r="K985" t="s">
        <v>7848</v>
      </c>
      <c r="L985" t="s">
        <v>7837</v>
      </c>
    </row>
    <row r="986" spans="1:12">
      <c r="A986" t="s">
        <v>7830</v>
      </c>
      <c r="B986" t="s">
        <v>7852</v>
      </c>
      <c r="C986" t="s">
        <v>7853</v>
      </c>
      <c r="D986" t="s">
        <v>7854</v>
      </c>
      <c r="E986" t="s">
        <v>7855</v>
      </c>
      <c r="F986">
        <v>58992669</v>
      </c>
      <c r="G986">
        <v>245981</v>
      </c>
      <c r="H986">
        <v>121021</v>
      </c>
      <c r="I986" t="s">
        <v>7835</v>
      </c>
      <c r="J986">
        <v>2022</v>
      </c>
      <c r="K986" t="s">
        <v>7836</v>
      </c>
      <c r="L986" t="s">
        <v>7837</v>
      </c>
    </row>
    <row r="987" spans="1:12">
      <c r="A987" t="s">
        <v>7830</v>
      </c>
      <c r="B987" t="s">
        <v>7852</v>
      </c>
      <c r="C987" t="s">
        <v>7853</v>
      </c>
      <c r="D987" t="s">
        <v>7854</v>
      </c>
      <c r="E987" t="s">
        <v>7855</v>
      </c>
      <c r="F987">
        <v>76488834</v>
      </c>
      <c r="G987">
        <v>804496</v>
      </c>
      <c r="H987">
        <v>179573</v>
      </c>
      <c r="I987" t="s">
        <v>7835</v>
      </c>
      <c r="J987">
        <v>2022</v>
      </c>
      <c r="K987" t="s">
        <v>7838</v>
      </c>
      <c r="L987" t="s">
        <v>7837</v>
      </c>
    </row>
    <row r="988" spans="1:12">
      <c r="A988" t="s">
        <v>7830</v>
      </c>
      <c r="B988" t="s">
        <v>7852</v>
      </c>
      <c r="C988" t="s">
        <v>7853</v>
      </c>
      <c r="D988" t="s">
        <v>7854</v>
      </c>
      <c r="E988" t="s">
        <v>7855</v>
      </c>
      <c r="F988">
        <v>73782488</v>
      </c>
      <c r="G988">
        <v>463992</v>
      </c>
      <c r="H988">
        <v>145052</v>
      </c>
      <c r="I988" t="s">
        <v>7835</v>
      </c>
      <c r="J988">
        <v>2022</v>
      </c>
      <c r="K988" t="s">
        <v>7839</v>
      </c>
      <c r="L988" t="s">
        <v>7837</v>
      </c>
    </row>
    <row r="989" spans="1:12">
      <c r="A989" t="s">
        <v>7830</v>
      </c>
      <c r="B989" t="s">
        <v>7852</v>
      </c>
      <c r="C989" t="s">
        <v>7853</v>
      </c>
      <c r="D989" t="s">
        <v>7854</v>
      </c>
      <c r="E989" t="s">
        <v>7855</v>
      </c>
      <c r="F989">
        <v>61778140</v>
      </c>
      <c r="G989">
        <v>285761</v>
      </c>
      <c r="H989">
        <v>127879</v>
      </c>
      <c r="I989" t="s">
        <v>7835</v>
      </c>
      <c r="J989">
        <v>2022</v>
      </c>
      <c r="K989" t="s">
        <v>7840</v>
      </c>
      <c r="L989" t="s">
        <v>7837</v>
      </c>
    </row>
    <row r="990" spans="1:12">
      <c r="A990" t="s">
        <v>7830</v>
      </c>
      <c r="B990" t="s">
        <v>7852</v>
      </c>
      <c r="C990" t="s">
        <v>7853</v>
      </c>
      <c r="D990" t="s">
        <v>7854</v>
      </c>
      <c r="E990" t="s">
        <v>7855</v>
      </c>
      <c r="F990">
        <v>63442708</v>
      </c>
      <c r="G990">
        <v>315192</v>
      </c>
      <c r="H990">
        <v>162552</v>
      </c>
      <c r="I990" t="s">
        <v>7835</v>
      </c>
      <c r="J990">
        <v>2022</v>
      </c>
      <c r="K990" t="s">
        <v>7841</v>
      </c>
      <c r="L990" t="s">
        <v>7837</v>
      </c>
    </row>
    <row r="991" spans="1:12">
      <c r="A991" t="s">
        <v>7830</v>
      </c>
      <c r="B991" t="s">
        <v>7852</v>
      </c>
      <c r="C991" t="s">
        <v>7853</v>
      </c>
      <c r="D991" t="s">
        <v>7854</v>
      </c>
      <c r="E991" t="s">
        <v>7855</v>
      </c>
      <c r="F991">
        <v>68430832</v>
      </c>
      <c r="G991">
        <v>316789</v>
      </c>
      <c r="H991">
        <v>156584</v>
      </c>
      <c r="I991" t="s">
        <v>7835</v>
      </c>
      <c r="J991">
        <v>2022</v>
      </c>
      <c r="K991" t="s">
        <v>7842</v>
      </c>
      <c r="L991" t="s">
        <v>7837</v>
      </c>
    </row>
    <row r="992" spans="1:12">
      <c r="A992" t="s">
        <v>7830</v>
      </c>
      <c r="B992" t="s">
        <v>7852</v>
      </c>
      <c r="C992" t="s">
        <v>7853</v>
      </c>
      <c r="D992" t="s">
        <v>7854</v>
      </c>
      <c r="E992" t="s">
        <v>7855</v>
      </c>
      <c r="F992">
        <v>55602891</v>
      </c>
      <c r="G992">
        <v>261182</v>
      </c>
      <c r="H992">
        <v>141480</v>
      </c>
      <c r="I992" t="s">
        <v>7835</v>
      </c>
      <c r="J992">
        <v>2022</v>
      </c>
      <c r="K992" t="s">
        <v>7843</v>
      </c>
      <c r="L992" t="s">
        <v>7837</v>
      </c>
    </row>
    <row r="993" spans="1:12">
      <c r="A993" t="s">
        <v>7830</v>
      </c>
      <c r="B993" t="s">
        <v>7852</v>
      </c>
      <c r="C993" t="s">
        <v>7853</v>
      </c>
      <c r="D993" t="s">
        <v>7854</v>
      </c>
      <c r="E993" t="s">
        <v>7855</v>
      </c>
      <c r="F993">
        <v>73215846</v>
      </c>
      <c r="G993">
        <v>321972</v>
      </c>
      <c r="H993">
        <v>136183</v>
      </c>
      <c r="I993" t="s">
        <v>7835</v>
      </c>
      <c r="J993">
        <v>2022</v>
      </c>
      <c r="K993" t="s">
        <v>7844</v>
      </c>
      <c r="L993" t="s">
        <v>7837</v>
      </c>
    </row>
    <row r="994" spans="1:12">
      <c r="A994" t="s">
        <v>7830</v>
      </c>
      <c r="B994" t="s">
        <v>7852</v>
      </c>
      <c r="C994" t="s">
        <v>7853</v>
      </c>
      <c r="D994" t="s">
        <v>7854</v>
      </c>
      <c r="E994" t="s">
        <v>7855</v>
      </c>
      <c r="F994">
        <v>66962057</v>
      </c>
      <c r="G994">
        <v>336120</v>
      </c>
      <c r="H994">
        <v>157989</v>
      </c>
      <c r="I994" t="s">
        <v>7835</v>
      </c>
      <c r="J994">
        <v>2022</v>
      </c>
      <c r="K994" t="s">
        <v>7845</v>
      </c>
      <c r="L994" t="s">
        <v>7837</v>
      </c>
    </row>
    <row r="995" spans="1:12">
      <c r="A995" t="s">
        <v>7830</v>
      </c>
      <c r="B995" t="s">
        <v>7852</v>
      </c>
      <c r="C995" t="s">
        <v>7853</v>
      </c>
      <c r="D995" t="s">
        <v>7854</v>
      </c>
      <c r="E995" t="s">
        <v>7855</v>
      </c>
      <c r="F995">
        <v>73955217</v>
      </c>
      <c r="G995">
        <v>413467</v>
      </c>
      <c r="H995">
        <v>174770</v>
      </c>
      <c r="I995" t="s">
        <v>7835</v>
      </c>
      <c r="J995">
        <v>2022</v>
      </c>
      <c r="K995" t="s">
        <v>7846</v>
      </c>
      <c r="L995" t="s">
        <v>7837</v>
      </c>
    </row>
    <row r="996" spans="1:12">
      <c r="A996" t="s">
        <v>7830</v>
      </c>
      <c r="B996" t="s">
        <v>7852</v>
      </c>
      <c r="C996" t="s">
        <v>7853</v>
      </c>
      <c r="D996" t="s">
        <v>7854</v>
      </c>
      <c r="E996" t="s">
        <v>7855</v>
      </c>
      <c r="F996">
        <v>79308164</v>
      </c>
      <c r="G996">
        <v>352917</v>
      </c>
      <c r="H996">
        <v>179372</v>
      </c>
      <c r="I996" t="s">
        <v>7835</v>
      </c>
      <c r="J996">
        <v>2022</v>
      </c>
      <c r="K996" t="s">
        <v>7847</v>
      </c>
      <c r="L996" t="s">
        <v>7837</v>
      </c>
    </row>
    <row r="997" spans="1:12">
      <c r="A997" t="s">
        <v>7830</v>
      </c>
      <c r="B997" t="s">
        <v>7852</v>
      </c>
      <c r="C997" t="s">
        <v>7853</v>
      </c>
      <c r="D997" t="s">
        <v>7854</v>
      </c>
      <c r="E997" t="s">
        <v>7855</v>
      </c>
      <c r="F997">
        <v>58826080</v>
      </c>
      <c r="G997">
        <v>288964</v>
      </c>
      <c r="H997">
        <v>128455</v>
      </c>
      <c r="I997" t="s">
        <v>7835</v>
      </c>
      <c r="J997">
        <v>2022</v>
      </c>
      <c r="K997" t="s">
        <v>7848</v>
      </c>
      <c r="L997" t="s">
        <v>7837</v>
      </c>
    </row>
    <row r="998" spans="1:12">
      <c r="A998" t="s">
        <v>7830</v>
      </c>
      <c r="B998" t="s">
        <v>7852</v>
      </c>
      <c r="C998" t="s">
        <v>7853</v>
      </c>
      <c r="D998" t="s">
        <v>7854</v>
      </c>
      <c r="E998" t="s">
        <v>7855</v>
      </c>
      <c r="F998">
        <v>48464676</v>
      </c>
      <c r="G998">
        <v>235295</v>
      </c>
      <c r="H998">
        <v>94938</v>
      </c>
      <c r="I998" t="s">
        <v>7835</v>
      </c>
      <c r="J998">
        <v>2023</v>
      </c>
      <c r="K998" t="s">
        <v>7836</v>
      </c>
      <c r="L998" t="s">
        <v>7837</v>
      </c>
    </row>
    <row r="999" spans="1:12">
      <c r="A999" t="s">
        <v>7830</v>
      </c>
      <c r="B999" t="s">
        <v>7852</v>
      </c>
      <c r="C999" t="s">
        <v>7853</v>
      </c>
      <c r="D999" t="s">
        <v>7854</v>
      </c>
      <c r="E999" t="s">
        <v>7855</v>
      </c>
      <c r="F999">
        <v>42664817</v>
      </c>
      <c r="G999">
        <v>321972</v>
      </c>
      <c r="H999">
        <v>54728</v>
      </c>
      <c r="I999" t="s">
        <v>7849</v>
      </c>
      <c r="J999">
        <v>2000</v>
      </c>
      <c r="K999" t="s">
        <v>7836</v>
      </c>
      <c r="L999" t="s">
        <v>7837</v>
      </c>
    </row>
    <row r="1000" spans="1:12">
      <c r="A1000" t="s">
        <v>7830</v>
      </c>
      <c r="B1000" t="s">
        <v>7852</v>
      </c>
      <c r="C1000" t="s">
        <v>7853</v>
      </c>
      <c r="D1000" t="s">
        <v>7854</v>
      </c>
      <c r="E1000" t="s">
        <v>7855</v>
      </c>
      <c r="F1000">
        <v>65482989</v>
      </c>
      <c r="G1000">
        <v>500373</v>
      </c>
      <c r="H1000">
        <v>94033</v>
      </c>
      <c r="I1000" t="s">
        <v>7849</v>
      </c>
      <c r="J1000">
        <v>2000</v>
      </c>
      <c r="K1000" t="s">
        <v>7838</v>
      </c>
      <c r="L1000" t="s">
        <v>7837</v>
      </c>
    </row>
    <row r="1001" spans="1:12">
      <c r="A1001" t="s">
        <v>7830</v>
      </c>
      <c r="B1001" t="s">
        <v>7852</v>
      </c>
      <c r="C1001" t="s">
        <v>7853</v>
      </c>
      <c r="D1001" t="s">
        <v>7854</v>
      </c>
      <c r="E1001" t="s">
        <v>7855</v>
      </c>
      <c r="F1001">
        <v>80639087</v>
      </c>
      <c r="G1001">
        <v>575364</v>
      </c>
      <c r="H1001">
        <v>108361</v>
      </c>
      <c r="I1001" t="s">
        <v>7849</v>
      </c>
      <c r="J1001">
        <v>2000</v>
      </c>
      <c r="K1001" t="s">
        <v>7839</v>
      </c>
      <c r="L1001" t="s">
        <v>7837</v>
      </c>
    </row>
    <row r="1002" spans="1:12">
      <c r="A1002" t="s">
        <v>7830</v>
      </c>
      <c r="B1002" t="s">
        <v>7852</v>
      </c>
      <c r="C1002" t="s">
        <v>7853</v>
      </c>
      <c r="D1002" t="s">
        <v>7854</v>
      </c>
      <c r="E1002" t="s">
        <v>7855</v>
      </c>
      <c r="F1002">
        <v>63334274</v>
      </c>
      <c r="G1002">
        <v>461677</v>
      </c>
      <c r="H1002">
        <v>97295</v>
      </c>
      <c r="I1002" t="s">
        <v>7849</v>
      </c>
      <c r="J1002">
        <v>2000</v>
      </c>
      <c r="K1002" t="s">
        <v>7840</v>
      </c>
      <c r="L1002" t="s">
        <v>7837</v>
      </c>
    </row>
    <row r="1003" spans="1:12">
      <c r="A1003" t="s">
        <v>7830</v>
      </c>
      <c r="B1003" t="s">
        <v>7852</v>
      </c>
      <c r="C1003" t="s">
        <v>7853</v>
      </c>
      <c r="D1003" t="s">
        <v>7854</v>
      </c>
      <c r="E1003" t="s">
        <v>7855</v>
      </c>
      <c r="F1003">
        <v>54679909</v>
      </c>
      <c r="G1003">
        <v>357492</v>
      </c>
      <c r="H1003">
        <v>89270</v>
      </c>
      <c r="I1003" t="s">
        <v>7849</v>
      </c>
      <c r="J1003">
        <v>2000</v>
      </c>
      <c r="K1003" t="s">
        <v>7841</v>
      </c>
      <c r="L1003" t="s">
        <v>7837</v>
      </c>
    </row>
    <row r="1004" spans="1:12">
      <c r="A1004" t="s">
        <v>7830</v>
      </c>
      <c r="B1004" t="s">
        <v>7852</v>
      </c>
      <c r="C1004" t="s">
        <v>7853</v>
      </c>
      <c r="D1004" t="s">
        <v>7854</v>
      </c>
      <c r="E1004" t="s">
        <v>7855</v>
      </c>
      <c r="F1004">
        <v>57774362</v>
      </c>
      <c r="G1004">
        <v>400408</v>
      </c>
      <c r="H1004">
        <v>78031</v>
      </c>
      <c r="I1004" t="s">
        <v>7849</v>
      </c>
      <c r="J1004">
        <v>2000</v>
      </c>
      <c r="K1004" t="s">
        <v>7842</v>
      </c>
      <c r="L1004" t="s">
        <v>7837</v>
      </c>
    </row>
    <row r="1005" spans="1:12">
      <c r="A1005" t="s">
        <v>7830</v>
      </c>
      <c r="B1005" t="s">
        <v>7852</v>
      </c>
      <c r="C1005" t="s">
        <v>7853</v>
      </c>
      <c r="D1005" t="s">
        <v>7854</v>
      </c>
      <c r="E1005" t="s">
        <v>7855</v>
      </c>
      <c r="F1005">
        <v>64223466</v>
      </c>
      <c r="G1005">
        <v>676544</v>
      </c>
      <c r="H1005">
        <v>100916</v>
      </c>
      <c r="I1005" t="s">
        <v>7849</v>
      </c>
      <c r="J1005">
        <v>2000</v>
      </c>
      <c r="K1005" t="s">
        <v>7843</v>
      </c>
      <c r="L1005" t="s">
        <v>7837</v>
      </c>
    </row>
    <row r="1006" spans="1:12">
      <c r="A1006" t="s">
        <v>7830</v>
      </c>
      <c r="B1006" t="s">
        <v>7852</v>
      </c>
      <c r="C1006" t="s">
        <v>7853</v>
      </c>
      <c r="D1006" t="s">
        <v>7854</v>
      </c>
      <c r="E1006" t="s">
        <v>7855</v>
      </c>
      <c r="F1006">
        <v>54962314</v>
      </c>
      <c r="G1006">
        <v>452609</v>
      </c>
      <c r="H1006">
        <v>78859</v>
      </c>
      <c r="I1006" t="s">
        <v>7849</v>
      </c>
      <c r="J1006">
        <v>2000</v>
      </c>
      <c r="K1006" t="s">
        <v>7844</v>
      </c>
      <c r="L1006" t="s">
        <v>7837</v>
      </c>
    </row>
    <row r="1007" spans="1:12">
      <c r="A1007" t="s">
        <v>7830</v>
      </c>
      <c r="B1007" t="s">
        <v>7852</v>
      </c>
      <c r="C1007" t="s">
        <v>7853</v>
      </c>
      <c r="D1007" t="s">
        <v>7854</v>
      </c>
      <c r="E1007" t="s">
        <v>7855</v>
      </c>
      <c r="F1007">
        <v>54254212</v>
      </c>
      <c r="G1007">
        <v>439013</v>
      </c>
      <c r="H1007">
        <v>74713</v>
      </c>
      <c r="I1007" t="s">
        <v>7849</v>
      </c>
      <c r="J1007">
        <v>2000</v>
      </c>
      <c r="K1007" t="s">
        <v>7845</v>
      </c>
      <c r="L1007" t="s">
        <v>7837</v>
      </c>
    </row>
    <row r="1008" spans="1:12">
      <c r="A1008" t="s">
        <v>7830</v>
      </c>
      <c r="B1008" t="s">
        <v>7852</v>
      </c>
      <c r="C1008" t="s">
        <v>7853</v>
      </c>
      <c r="D1008" t="s">
        <v>7854</v>
      </c>
      <c r="E1008" t="s">
        <v>7855</v>
      </c>
      <c r="F1008">
        <v>60449045</v>
      </c>
      <c r="G1008">
        <v>465300</v>
      </c>
      <c r="H1008">
        <v>79423</v>
      </c>
      <c r="I1008" t="s">
        <v>7849</v>
      </c>
      <c r="J1008">
        <v>2000</v>
      </c>
      <c r="K1008" t="s">
        <v>7846</v>
      </c>
      <c r="L1008" t="s">
        <v>7837</v>
      </c>
    </row>
    <row r="1009" spans="1:12">
      <c r="A1009" t="s">
        <v>7830</v>
      </c>
      <c r="B1009" t="s">
        <v>7852</v>
      </c>
      <c r="C1009" t="s">
        <v>7853</v>
      </c>
      <c r="D1009" t="s">
        <v>7854</v>
      </c>
      <c r="E1009" t="s">
        <v>7855</v>
      </c>
      <c r="F1009">
        <v>50205332</v>
      </c>
      <c r="G1009">
        <v>350155</v>
      </c>
      <c r="H1009">
        <v>68130</v>
      </c>
      <c r="I1009" t="s">
        <v>7849</v>
      </c>
      <c r="J1009">
        <v>2000</v>
      </c>
      <c r="K1009" t="s">
        <v>7847</v>
      </c>
      <c r="L1009" t="s">
        <v>7837</v>
      </c>
    </row>
    <row r="1010" spans="1:12">
      <c r="A1010" t="s">
        <v>7830</v>
      </c>
      <c r="B1010" t="s">
        <v>7852</v>
      </c>
      <c r="C1010" t="s">
        <v>7853</v>
      </c>
      <c r="D1010" t="s">
        <v>7854</v>
      </c>
      <c r="E1010" t="s">
        <v>7855</v>
      </c>
      <c r="F1010">
        <v>44639244</v>
      </c>
      <c r="G1010">
        <v>352497</v>
      </c>
      <c r="H1010">
        <v>57346</v>
      </c>
      <c r="I1010" t="s">
        <v>7849</v>
      </c>
      <c r="J1010">
        <v>2000</v>
      </c>
      <c r="K1010" t="s">
        <v>7848</v>
      </c>
      <c r="L1010" t="s">
        <v>7837</v>
      </c>
    </row>
    <row r="1011" spans="1:12">
      <c r="A1011" t="s">
        <v>7830</v>
      </c>
      <c r="B1011" t="s">
        <v>7852</v>
      </c>
      <c r="C1011" t="s">
        <v>7853</v>
      </c>
      <c r="D1011" t="s">
        <v>7854</v>
      </c>
      <c r="E1011" t="s">
        <v>7855</v>
      </c>
      <c r="F1011">
        <v>64800144</v>
      </c>
      <c r="G1011">
        <v>579693</v>
      </c>
      <c r="H1011">
        <v>97256</v>
      </c>
      <c r="I1011" t="s">
        <v>7849</v>
      </c>
      <c r="J1011">
        <v>2001</v>
      </c>
      <c r="K1011" t="s">
        <v>7836</v>
      </c>
      <c r="L1011" t="s">
        <v>7837</v>
      </c>
    </row>
    <row r="1012" spans="1:12">
      <c r="A1012" t="s">
        <v>7830</v>
      </c>
      <c r="B1012" t="s">
        <v>7852</v>
      </c>
      <c r="C1012" t="s">
        <v>7853</v>
      </c>
      <c r="D1012" t="s">
        <v>7854</v>
      </c>
      <c r="E1012" t="s">
        <v>7855</v>
      </c>
      <c r="F1012">
        <v>69366991</v>
      </c>
      <c r="G1012">
        <v>500916</v>
      </c>
      <c r="H1012">
        <v>92131</v>
      </c>
      <c r="I1012" t="s">
        <v>7849</v>
      </c>
      <c r="J1012">
        <v>2001</v>
      </c>
      <c r="K1012" t="s">
        <v>7838</v>
      </c>
      <c r="L1012" t="s">
        <v>7837</v>
      </c>
    </row>
    <row r="1013" spans="1:12">
      <c r="A1013" t="s">
        <v>7830</v>
      </c>
      <c r="B1013" t="s">
        <v>7852</v>
      </c>
      <c r="C1013" t="s">
        <v>7853</v>
      </c>
      <c r="D1013" t="s">
        <v>7854</v>
      </c>
      <c r="E1013" t="s">
        <v>7855</v>
      </c>
      <c r="F1013">
        <v>73314452</v>
      </c>
      <c r="G1013">
        <v>575374</v>
      </c>
      <c r="H1013">
        <v>103131</v>
      </c>
      <c r="I1013" t="s">
        <v>7849</v>
      </c>
      <c r="J1013">
        <v>2001</v>
      </c>
      <c r="K1013" t="s">
        <v>7839</v>
      </c>
      <c r="L1013" t="s">
        <v>7837</v>
      </c>
    </row>
    <row r="1014" spans="1:12">
      <c r="A1014" t="s">
        <v>7830</v>
      </c>
      <c r="B1014" t="s">
        <v>7852</v>
      </c>
      <c r="C1014" t="s">
        <v>7853</v>
      </c>
      <c r="D1014" t="s">
        <v>7854</v>
      </c>
      <c r="E1014" t="s">
        <v>7855</v>
      </c>
      <c r="F1014">
        <v>51181138</v>
      </c>
      <c r="G1014">
        <v>436859</v>
      </c>
      <c r="H1014">
        <v>83800</v>
      </c>
      <c r="I1014" t="s">
        <v>7849</v>
      </c>
      <c r="J1014">
        <v>2001</v>
      </c>
      <c r="K1014" t="s">
        <v>7840</v>
      </c>
      <c r="L1014" t="s">
        <v>7837</v>
      </c>
    </row>
    <row r="1015" spans="1:12">
      <c r="A1015" t="s">
        <v>7830</v>
      </c>
      <c r="B1015" t="s">
        <v>7852</v>
      </c>
      <c r="C1015" t="s">
        <v>7853</v>
      </c>
      <c r="D1015" t="s">
        <v>7854</v>
      </c>
      <c r="E1015" t="s">
        <v>7855</v>
      </c>
      <c r="F1015">
        <v>52957580</v>
      </c>
      <c r="G1015">
        <v>638804</v>
      </c>
      <c r="H1015">
        <v>83345</v>
      </c>
      <c r="I1015" t="s">
        <v>7849</v>
      </c>
      <c r="J1015">
        <v>2001</v>
      </c>
      <c r="K1015" t="s">
        <v>7841</v>
      </c>
      <c r="L1015" t="s">
        <v>7837</v>
      </c>
    </row>
    <row r="1016" spans="1:12">
      <c r="A1016" t="s">
        <v>7830</v>
      </c>
      <c r="B1016" t="s">
        <v>7852</v>
      </c>
      <c r="C1016" t="s">
        <v>7853</v>
      </c>
      <c r="D1016" t="s">
        <v>7854</v>
      </c>
      <c r="E1016" t="s">
        <v>7855</v>
      </c>
      <c r="F1016">
        <v>52102106</v>
      </c>
      <c r="G1016">
        <v>487584</v>
      </c>
      <c r="H1016">
        <v>107665</v>
      </c>
      <c r="I1016" t="s">
        <v>7849</v>
      </c>
      <c r="J1016">
        <v>2001</v>
      </c>
      <c r="K1016" t="s">
        <v>7842</v>
      </c>
      <c r="L1016" t="s">
        <v>7837</v>
      </c>
    </row>
    <row r="1017" spans="1:12">
      <c r="A1017" t="s">
        <v>7830</v>
      </c>
      <c r="B1017" t="s">
        <v>7852</v>
      </c>
      <c r="C1017" t="s">
        <v>7853</v>
      </c>
      <c r="D1017" t="s">
        <v>7854</v>
      </c>
      <c r="E1017" t="s">
        <v>7855</v>
      </c>
      <c r="F1017">
        <v>46388840</v>
      </c>
      <c r="G1017">
        <v>538855</v>
      </c>
      <c r="H1017">
        <v>82981</v>
      </c>
      <c r="I1017" t="s">
        <v>7849</v>
      </c>
      <c r="J1017">
        <v>2001</v>
      </c>
      <c r="K1017" t="s">
        <v>7843</v>
      </c>
      <c r="L1017" t="s">
        <v>7837</v>
      </c>
    </row>
    <row r="1018" spans="1:12">
      <c r="A1018" t="s">
        <v>7830</v>
      </c>
      <c r="B1018" t="s">
        <v>7852</v>
      </c>
      <c r="C1018" t="s">
        <v>7853</v>
      </c>
      <c r="D1018" t="s">
        <v>7854</v>
      </c>
      <c r="E1018" t="s">
        <v>7855</v>
      </c>
      <c r="F1018">
        <v>53059260</v>
      </c>
      <c r="G1018">
        <v>469993</v>
      </c>
      <c r="H1018">
        <v>87568</v>
      </c>
      <c r="I1018" t="s">
        <v>7849</v>
      </c>
      <c r="J1018">
        <v>2001</v>
      </c>
      <c r="K1018" t="s">
        <v>7844</v>
      </c>
      <c r="L1018" t="s">
        <v>7837</v>
      </c>
    </row>
    <row r="1019" spans="1:12">
      <c r="A1019" t="s">
        <v>7830</v>
      </c>
      <c r="B1019" t="s">
        <v>7852</v>
      </c>
      <c r="C1019" t="s">
        <v>7853</v>
      </c>
      <c r="D1019" t="s">
        <v>7854</v>
      </c>
      <c r="E1019" t="s">
        <v>7855</v>
      </c>
      <c r="F1019">
        <v>44547049</v>
      </c>
      <c r="G1019">
        <v>386601</v>
      </c>
      <c r="H1019">
        <v>83499</v>
      </c>
      <c r="I1019" t="s">
        <v>7849</v>
      </c>
      <c r="J1019">
        <v>2001</v>
      </c>
      <c r="K1019" t="s">
        <v>7845</v>
      </c>
      <c r="L1019" t="s">
        <v>7837</v>
      </c>
    </row>
    <row r="1020" spans="1:12">
      <c r="A1020" t="s">
        <v>7830</v>
      </c>
      <c r="B1020" t="s">
        <v>7852</v>
      </c>
      <c r="C1020" t="s">
        <v>7853</v>
      </c>
      <c r="D1020" t="s">
        <v>7854</v>
      </c>
      <c r="E1020" t="s">
        <v>7855</v>
      </c>
      <c r="F1020">
        <v>59034209</v>
      </c>
      <c r="G1020">
        <v>669703</v>
      </c>
      <c r="H1020">
        <v>163482</v>
      </c>
      <c r="I1020" t="s">
        <v>7849</v>
      </c>
      <c r="J1020">
        <v>2001</v>
      </c>
      <c r="K1020" t="s">
        <v>7846</v>
      </c>
      <c r="L1020" t="s">
        <v>7837</v>
      </c>
    </row>
    <row r="1021" spans="1:12">
      <c r="A1021" t="s">
        <v>7830</v>
      </c>
      <c r="B1021" t="s">
        <v>7852</v>
      </c>
      <c r="C1021" t="s">
        <v>7853</v>
      </c>
      <c r="D1021" t="s">
        <v>7854</v>
      </c>
      <c r="E1021" t="s">
        <v>7855</v>
      </c>
      <c r="F1021">
        <v>157727877</v>
      </c>
      <c r="G1021">
        <v>1163914</v>
      </c>
      <c r="H1021">
        <v>224956</v>
      </c>
      <c r="I1021" t="s">
        <v>7849</v>
      </c>
      <c r="J1021">
        <v>2001</v>
      </c>
      <c r="K1021" t="s">
        <v>7847</v>
      </c>
      <c r="L1021" t="s">
        <v>7837</v>
      </c>
    </row>
    <row r="1022" spans="1:12">
      <c r="A1022" t="s">
        <v>7830</v>
      </c>
      <c r="B1022" t="s">
        <v>7852</v>
      </c>
      <c r="C1022" t="s">
        <v>7853</v>
      </c>
      <c r="D1022" t="s">
        <v>7854</v>
      </c>
      <c r="E1022" t="s">
        <v>7855</v>
      </c>
      <c r="F1022">
        <v>42597169</v>
      </c>
      <c r="G1022">
        <v>433665</v>
      </c>
      <c r="H1022">
        <v>83073</v>
      </c>
      <c r="I1022" t="s">
        <v>7849</v>
      </c>
      <c r="J1022">
        <v>2001</v>
      </c>
      <c r="K1022" t="s">
        <v>7848</v>
      </c>
      <c r="L1022" t="s">
        <v>7837</v>
      </c>
    </row>
    <row r="1023" spans="1:12">
      <c r="A1023" t="s">
        <v>7830</v>
      </c>
      <c r="B1023" t="s">
        <v>7852</v>
      </c>
      <c r="C1023" t="s">
        <v>7853</v>
      </c>
      <c r="D1023" t="s">
        <v>7854</v>
      </c>
      <c r="E1023" t="s">
        <v>7855</v>
      </c>
      <c r="F1023">
        <v>46132367</v>
      </c>
      <c r="G1023">
        <v>483733</v>
      </c>
      <c r="H1023">
        <v>107700</v>
      </c>
      <c r="I1023" t="s">
        <v>7849</v>
      </c>
      <c r="J1023">
        <v>2002</v>
      </c>
      <c r="K1023" t="s">
        <v>7836</v>
      </c>
      <c r="L1023" t="s">
        <v>7837</v>
      </c>
    </row>
    <row r="1024" spans="1:12">
      <c r="A1024" t="s">
        <v>7830</v>
      </c>
      <c r="B1024" t="s">
        <v>7852</v>
      </c>
      <c r="C1024" t="s">
        <v>7853</v>
      </c>
      <c r="D1024" t="s">
        <v>7854</v>
      </c>
      <c r="E1024" t="s">
        <v>7855</v>
      </c>
      <c r="F1024">
        <v>50662062</v>
      </c>
      <c r="G1024">
        <v>457948</v>
      </c>
      <c r="H1024">
        <v>92719</v>
      </c>
      <c r="I1024" t="s">
        <v>7849</v>
      </c>
      <c r="J1024">
        <v>2002</v>
      </c>
      <c r="K1024" t="s">
        <v>7838</v>
      </c>
      <c r="L1024" t="s">
        <v>7837</v>
      </c>
    </row>
    <row r="1025" spans="1:12">
      <c r="A1025" t="s">
        <v>7830</v>
      </c>
      <c r="B1025" t="s">
        <v>7852</v>
      </c>
      <c r="C1025" t="s">
        <v>7853</v>
      </c>
      <c r="D1025" t="s">
        <v>7854</v>
      </c>
      <c r="E1025" t="s">
        <v>7855</v>
      </c>
      <c r="F1025">
        <v>76953725</v>
      </c>
      <c r="G1025">
        <v>787807</v>
      </c>
      <c r="H1025">
        <v>146444</v>
      </c>
      <c r="I1025" t="s">
        <v>7849</v>
      </c>
      <c r="J1025">
        <v>2002</v>
      </c>
      <c r="K1025" t="s">
        <v>7839</v>
      </c>
      <c r="L1025" t="s">
        <v>7837</v>
      </c>
    </row>
    <row r="1026" spans="1:12">
      <c r="A1026" t="s">
        <v>7830</v>
      </c>
      <c r="B1026" t="s">
        <v>7852</v>
      </c>
      <c r="C1026" t="s">
        <v>7853</v>
      </c>
      <c r="D1026" t="s">
        <v>7854</v>
      </c>
      <c r="E1026" t="s">
        <v>7855</v>
      </c>
      <c r="F1026">
        <v>49698512</v>
      </c>
      <c r="G1026">
        <v>434178</v>
      </c>
      <c r="H1026">
        <v>95613</v>
      </c>
      <c r="I1026" t="s">
        <v>7849</v>
      </c>
      <c r="J1026">
        <v>2002</v>
      </c>
      <c r="K1026" t="s">
        <v>7840</v>
      </c>
      <c r="L1026" t="s">
        <v>7837</v>
      </c>
    </row>
    <row r="1027" spans="1:12">
      <c r="A1027" t="s">
        <v>7830</v>
      </c>
      <c r="B1027" t="s">
        <v>7852</v>
      </c>
      <c r="C1027" t="s">
        <v>7853</v>
      </c>
      <c r="D1027" t="s">
        <v>7854</v>
      </c>
      <c r="E1027" t="s">
        <v>7855</v>
      </c>
      <c r="F1027">
        <v>37429096</v>
      </c>
      <c r="G1027">
        <v>347407</v>
      </c>
      <c r="H1027">
        <v>68342</v>
      </c>
      <c r="I1027" t="s">
        <v>7849</v>
      </c>
      <c r="J1027">
        <v>2002</v>
      </c>
      <c r="K1027" t="s">
        <v>7841</v>
      </c>
      <c r="L1027" t="s">
        <v>7837</v>
      </c>
    </row>
    <row r="1028" spans="1:12">
      <c r="A1028" t="s">
        <v>7830</v>
      </c>
      <c r="B1028" t="s">
        <v>7852</v>
      </c>
      <c r="C1028" t="s">
        <v>7853</v>
      </c>
      <c r="D1028" t="s">
        <v>7854</v>
      </c>
      <c r="E1028" t="s">
        <v>7855</v>
      </c>
      <c r="F1028">
        <v>40748321</v>
      </c>
      <c r="G1028">
        <v>1027103</v>
      </c>
      <c r="H1028">
        <v>75105</v>
      </c>
      <c r="I1028" t="s">
        <v>7849</v>
      </c>
      <c r="J1028">
        <v>2002</v>
      </c>
      <c r="K1028" t="s">
        <v>7842</v>
      </c>
      <c r="L1028" t="s">
        <v>7837</v>
      </c>
    </row>
    <row r="1029" spans="1:12">
      <c r="A1029" t="s">
        <v>7830</v>
      </c>
      <c r="B1029" t="s">
        <v>7852</v>
      </c>
      <c r="C1029" t="s">
        <v>7853</v>
      </c>
      <c r="D1029" t="s">
        <v>7854</v>
      </c>
      <c r="E1029" t="s">
        <v>7855</v>
      </c>
      <c r="F1029">
        <v>36539739</v>
      </c>
      <c r="G1029">
        <v>710598</v>
      </c>
      <c r="H1029">
        <v>165844</v>
      </c>
      <c r="I1029" t="s">
        <v>7849</v>
      </c>
      <c r="J1029">
        <v>2002</v>
      </c>
      <c r="K1029" t="s">
        <v>7843</v>
      </c>
      <c r="L1029" t="s">
        <v>7837</v>
      </c>
    </row>
    <row r="1030" spans="1:12">
      <c r="A1030" t="s">
        <v>7830</v>
      </c>
      <c r="B1030" t="s">
        <v>7852</v>
      </c>
      <c r="C1030" t="s">
        <v>7853</v>
      </c>
      <c r="D1030" t="s">
        <v>7854</v>
      </c>
      <c r="E1030" t="s">
        <v>7855</v>
      </c>
      <c r="F1030">
        <v>43969840</v>
      </c>
      <c r="G1030">
        <v>401278</v>
      </c>
      <c r="H1030">
        <v>74198</v>
      </c>
      <c r="I1030" t="s">
        <v>7849</v>
      </c>
      <c r="J1030">
        <v>2002</v>
      </c>
      <c r="K1030" t="s">
        <v>7844</v>
      </c>
      <c r="L1030" t="s">
        <v>7837</v>
      </c>
    </row>
    <row r="1031" spans="1:12">
      <c r="A1031" t="s">
        <v>7830</v>
      </c>
      <c r="B1031" t="s">
        <v>7852</v>
      </c>
      <c r="C1031" t="s">
        <v>7853</v>
      </c>
      <c r="D1031" t="s">
        <v>7854</v>
      </c>
      <c r="E1031" t="s">
        <v>7855</v>
      </c>
      <c r="F1031">
        <v>72930053</v>
      </c>
      <c r="G1031">
        <v>691558</v>
      </c>
      <c r="H1031">
        <v>122440</v>
      </c>
      <c r="I1031" t="s">
        <v>7849</v>
      </c>
      <c r="J1031">
        <v>2002</v>
      </c>
      <c r="K1031" t="s">
        <v>7845</v>
      </c>
      <c r="L1031" t="s">
        <v>7837</v>
      </c>
    </row>
    <row r="1032" spans="1:12">
      <c r="A1032" t="s">
        <v>7830</v>
      </c>
      <c r="B1032" t="s">
        <v>7852</v>
      </c>
      <c r="C1032" t="s">
        <v>7853</v>
      </c>
      <c r="D1032" t="s">
        <v>7854</v>
      </c>
      <c r="E1032" t="s">
        <v>7855</v>
      </c>
      <c r="F1032">
        <v>76511811</v>
      </c>
      <c r="G1032">
        <v>904343</v>
      </c>
      <c r="H1032">
        <v>150275</v>
      </c>
      <c r="I1032" t="s">
        <v>7849</v>
      </c>
      <c r="J1032">
        <v>2002</v>
      </c>
      <c r="K1032" t="s">
        <v>7846</v>
      </c>
      <c r="L1032" t="s">
        <v>7837</v>
      </c>
    </row>
    <row r="1033" spans="1:12">
      <c r="A1033" t="s">
        <v>7830</v>
      </c>
      <c r="B1033" t="s">
        <v>7852</v>
      </c>
      <c r="C1033" t="s">
        <v>7853</v>
      </c>
      <c r="D1033" t="s">
        <v>7854</v>
      </c>
      <c r="E1033" t="s">
        <v>7855</v>
      </c>
      <c r="F1033">
        <v>80820041</v>
      </c>
      <c r="G1033">
        <v>831391</v>
      </c>
      <c r="H1033">
        <v>154143</v>
      </c>
      <c r="I1033" t="s">
        <v>7849</v>
      </c>
      <c r="J1033">
        <v>2002</v>
      </c>
      <c r="K1033" t="s">
        <v>7847</v>
      </c>
      <c r="L1033" t="s">
        <v>7837</v>
      </c>
    </row>
    <row r="1034" spans="1:12">
      <c r="A1034" t="s">
        <v>7830</v>
      </c>
      <c r="B1034" t="s">
        <v>7852</v>
      </c>
      <c r="C1034" t="s">
        <v>7853</v>
      </c>
      <c r="D1034" t="s">
        <v>7854</v>
      </c>
      <c r="E1034" t="s">
        <v>7855</v>
      </c>
      <c r="F1034">
        <v>53717708</v>
      </c>
      <c r="G1034">
        <v>577966</v>
      </c>
      <c r="H1034">
        <v>100666</v>
      </c>
      <c r="I1034" t="s">
        <v>7849</v>
      </c>
      <c r="J1034">
        <v>2002</v>
      </c>
      <c r="K1034" t="s">
        <v>7848</v>
      </c>
      <c r="L1034" t="s">
        <v>7837</v>
      </c>
    </row>
    <row r="1035" spans="1:12">
      <c r="A1035" t="s">
        <v>7830</v>
      </c>
      <c r="B1035" t="s">
        <v>7852</v>
      </c>
      <c r="C1035" t="s">
        <v>7853</v>
      </c>
      <c r="D1035" t="s">
        <v>7854</v>
      </c>
      <c r="E1035" t="s">
        <v>7855</v>
      </c>
      <c r="F1035">
        <v>58406146</v>
      </c>
      <c r="G1035">
        <v>659969</v>
      </c>
      <c r="H1035">
        <v>212775</v>
      </c>
      <c r="I1035" t="s">
        <v>7849</v>
      </c>
      <c r="J1035">
        <v>2003</v>
      </c>
      <c r="K1035" t="s">
        <v>7836</v>
      </c>
      <c r="L1035" t="s">
        <v>7837</v>
      </c>
    </row>
    <row r="1036" spans="1:12">
      <c r="A1036" t="s">
        <v>7830</v>
      </c>
      <c r="B1036" t="s">
        <v>7852</v>
      </c>
      <c r="C1036" t="s">
        <v>7853</v>
      </c>
      <c r="D1036" t="s">
        <v>7854</v>
      </c>
      <c r="E1036" t="s">
        <v>7855</v>
      </c>
      <c r="F1036">
        <v>68955863</v>
      </c>
      <c r="G1036">
        <v>719612</v>
      </c>
      <c r="H1036">
        <v>207687</v>
      </c>
      <c r="I1036" t="s">
        <v>7849</v>
      </c>
      <c r="J1036">
        <v>2003</v>
      </c>
      <c r="K1036" t="s">
        <v>7838</v>
      </c>
      <c r="L1036" t="s">
        <v>7837</v>
      </c>
    </row>
    <row r="1037" spans="1:12">
      <c r="A1037" t="s">
        <v>7830</v>
      </c>
      <c r="B1037" t="s">
        <v>7852</v>
      </c>
      <c r="C1037" t="s">
        <v>7853</v>
      </c>
      <c r="D1037" t="s">
        <v>7854</v>
      </c>
      <c r="E1037" t="s">
        <v>7855</v>
      </c>
      <c r="F1037">
        <v>70933301</v>
      </c>
      <c r="G1037">
        <v>821868</v>
      </c>
      <c r="H1037">
        <v>215704</v>
      </c>
      <c r="I1037" t="s">
        <v>7849</v>
      </c>
      <c r="J1037">
        <v>2003</v>
      </c>
      <c r="K1037" t="s">
        <v>7839</v>
      </c>
      <c r="L1037" t="s">
        <v>7837</v>
      </c>
    </row>
    <row r="1038" spans="1:12">
      <c r="A1038" t="s">
        <v>7830</v>
      </c>
      <c r="B1038" t="s">
        <v>7852</v>
      </c>
      <c r="C1038" t="s">
        <v>7853</v>
      </c>
      <c r="D1038" t="s">
        <v>7854</v>
      </c>
      <c r="E1038" t="s">
        <v>7855</v>
      </c>
      <c r="F1038">
        <v>58975861</v>
      </c>
      <c r="G1038">
        <v>760721</v>
      </c>
      <c r="H1038">
        <v>251942</v>
      </c>
      <c r="I1038" t="s">
        <v>7849</v>
      </c>
      <c r="J1038">
        <v>2003</v>
      </c>
      <c r="K1038" t="s">
        <v>7840</v>
      </c>
      <c r="L1038" t="s">
        <v>7837</v>
      </c>
    </row>
    <row r="1039" spans="1:12">
      <c r="A1039" t="s">
        <v>7830</v>
      </c>
      <c r="B1039" t="s">
        <v>7852</v>
      </c>
      <c r="C1039" t="s">
        <v>7853</v>
      </c>
      <c r="D1039" t="s">
        <v>7854</v>
      </c>
      <c r="E1039" t="s">
        <v>7855</v>
      </c>
      <c r="F1039">
        <v>63882850</v>
      </c>
      <c r="G1039">
        <v>651948</v>
      </c>
      <c r="H1039">
        <v>191374</v>
      </c>
      <c r="I1039" t="s">
        <v>7849</v>
      </c>
      <c r="J1039">
        <v>2003</v>
      </c>
      <c r="K1039" t="s">
        <v>7841</v>
      </c>
      <c r="L1039" t="s">
        <v>7837</v>
      </c>
    </row>
    <row r="1040" spans="1:12">
      <c r="A1040" t="s">
        <v>7830</v>
      </c>
      <c r="B1040" t="s">
        <v>7852</v>
      </c>
      <c r="C1040" t="s">
        <v>7853</v>
      </c>
      <c r="D1040" t="s">
        <v>7854</v>
      </c>
      <c r="E1040" t="s">
        <v>7855</v>
      </c>
      <c r="F1040">
        <v>68812063</v>
      </c>
      <c r="G1040">
        <v>767185</v>
      </c>
      <c r="H1040">
        <v>154442</v>
      </c>
      <c r="I1040" t="s">
        <v>7849</v>
      </c>
      <c r="J1040">
        <v>2003</v>
      </c>
      <c r="K1040" t="s">
        <v>7842</v>
      </c>
      <c r="L1040" t="s">
        <v>7837</v>
      </c>
    </row>
    <row r="1041" spans="1:12">
      <c r="A1041" t="s">
        <v>7830</v>
      </c>
      <c r="B1041" t="s">
        <v>7852</v>
      </c>
      <c r="C1041" t="s">
        <v>7853</v>
      </c>
      <c r="D1041" t="s">
        <v>7854</v>
      </c>
      <c r="E1041" t="s">
        <v>7855</v>
      </c>
      <c r="F1041">
        <v>80133756</v>
      </c>
      <c r="G1041">
        <v>983204</v>
      </c>
      <c r="H1041">
        <v>181404</v>
      </c>
      <c r="I1041" t="s">
        <v>7849</v>
      </c>
      <c r="J1041">
        <v>2003</v>
      </c>
      <c r="K1041" t="s">
        <v>7843</v>
      </c>
      <c r="L1041" t="s">
        <v>7837</v>
      </c>
    </row>
    <row r="1042" spans="1:12">
      <c r="A1042" t="s">
        <v>7830</v>
      </c>
      <c r="B1042" t="s">
        <v>7852</v>
      </c>
      <c r="C1042" t="s">
        <v>7853</v>
      </c>
      <c r="D1042" t="s">
        <v>7854</v>
      </c>
      <c r="E1042" t="s">
        <v>7855</v>
      </c>
      <c r="F1042">
        <v>99597395</v>
      </c>
      <c r="G1042">
        <v>1009668</v>
      </c>
      <c r="H1042">
        <v>188671</v>
      </c>
      <c r="I1042" t="s">
        <v>7849</v>
      </c>
      <c r="J1042">
        <v>2003</v>
      </c>
      <c r="K1042" t="s">
        <v>7844</v>
      </c>
      <c r="L1042" t="s">
        <v>7837</v>
      </c>
    </row>
    <row r="1043" spans="1:12">
      <c r="A1043" t="s">
        <v>7830</v>
      </c>
      <c r="B1043" t="s">
        <v>7852</v>
      </c>
      <c r="C1043" t="s">
        <v>7853</v>
      </c>
      <c r="D1043" t="s">
        <v>7854</v>
      </c>
      <c r="E1043" t="s">
        <v>7855</v>
      </c>
      <c r="F1043">
        <v>102703662</v>
      </c>
      <c r="G1043">
        <v>1122916</v>
      </c>
      <c r="H1043">
        <v>198993</v>
      </c>
      <c r="I1043" t="s">
        <v>7849</v>
      </c>
      <c r="J1043">
        <v>2003</v>
      </c>
      <c r="K1043" t="s">
        <v>7845</v>
      </c>
      <c r="L1043" t="s">
        <v>7837</v>
      </c>
    </row>
    <row r="1044" spans="1:12">
      <c r="A1044" t="s">
        <v>7830</v>
      </c>
      <c r="B1044" t="s">
        <v>7852</v>
      </c>
      <c r="C1044" t="s">
        <v>7853</v>
      </c>
      <c r="D1044" t="s">
        <v>7854</v>
      </c>
      <c r="E1044" t="s">
        <v>7855</v>
      </c>
      <c r="F1044">
        <v>106128962</v>
      </c>
      <c r="G1044">
        <v>1160395</v>
      </c>
      <c r="H1044">
        <v>207166</v>
      </c>
      <c r="I1044" t="s">
        <v>7849</v>
      </c>
      <c r="J1044">
        <v>2003</v>
      </c>
      <c r="K1044" t="s">
        <v>7846</v>
      </c>
      <c r="L1044" t="s">
        <v>7837</v>
      </c>
    </row>
    <row r="1045" spans="1:12">
      <c r="A1045" t="s">
        <v>7830</v>
      </c>
      <c r="B1045" t="s">
        <v>7852</v>
      </c>
      <c r="C1045" t="s">
        <v>7853</v>
      </c>
      <c r="D1045" t="s">
        <v>7854</v>
      </c>
      <c r="E1045" t="s">
        <v>7855</v>
      </c>
      <c r="F1045">
        <v>115090731</v>
      </c>
      <c r="G1045">
        <v>1160318</v>
      </c>
      <c r="H1045">
        <v>232971</v>
      </c>
      <c r="I1045" t="s">
        <v>7849</v>
      </c>
      <c r="J1045">
        <v>2003</v>
      </c>
      <c r="K1045" t="s">
        <v>7847</v>
      </c>
      <c r="L1045" t="s">
        <v>7837</v>
      </c>
    </row>
    <row r="1046" spans="1:12">
      <c r="A1046" t="s">
        <v>7830</v>
      </c>
      <c r="B1046" t="s">
        <v>7852</v>
      </c>
      <c r="C1046" t="s">
        <v>7853</v>
      </c>
      <c r="D1046" t="s">
        <v>7854</v>
      </c>
      <c r="E1046" t="s">
        <v>7855</v>
      </c>
      <c r="F1046">
        <v>105260497</v>
      </c>
      <c r="G1046">
        <v>1041420</v>
      </c>
      <c r="H1046">
        <v>236874</v>
      </c>
      <c r="I1046" t="s">
        <v>7849</v>
      </c>
      <c r="J1046">
        <v>2003</v>
      </c>
      <c r="K1046" t="s">
        <v>7848</v>
      </c>
      <c r="L1046" t="s">
        <v>7837</v>
      </c>
    </row>
    <row r="1047" spans="1:12">
      <c r="A1047" t="s">
        <v>7830</v>
      </c>
      <c r="B1047" t="s">
        <v>7852</v>
      </c>
      <c r="C1047" t="s">
        <v>7853</v>
      </c>
      <c r="D1047" t="s">
        <v>7854</v>
      </c>
      <c r="E1047" t="s">
        <v>7855</v>
      </c>
      <c r="F1047">
        <v>128581611</v>
      </c>
      <c r="G1047">
        <v>759436</v>
      </c>
      <c r="H1047">
        <v>175994</v>
      </c>
      <c r="I1047" t="s">
        <v>7849</v>
      </c>
      <c r="J1047">
        <v>2004</v>
      </c>
      <c r="K1047" t="s">
        <v>7836</v>
      </c>
      <c r="L1047" t="s">
        <v>7837</v>
      </c>
    </row>
    <row r="1048" spans="1:12">
      <c r="A1048" t="s">
        <v>7830</v>
      </c>
      <c r="B1048" t="s">
        <v>7852</v>
      </c>
      <c r="C1048" t="s">
        <v>7853</v>
      </c>
      <c r="D1048" t="s">
        <v>7854</v>
      </c>
      <c r="E1048" t="s">
        <v>7855</v>
      </c>
      <c r="F1048">
        <v>115714821</v>
      </c>
      <c r="G1048">
        <v>904431</v>
      </c>
      <c r="H1048">
        <v>192502</v>
      </c>
      <c r="I1048" t="s">
        <v>7849</v>
      </c>
      <c r="J1048">
        <v>2004</v>
      </c>
      <c r="K1048" t="s">
        <v>7838</v>
      </c>
      <c r="L1048" t="s">
        <v>7837</v>
      </c>
    </row>
    <row r="1049" spans="1:12">
      <c r="A1049" t="s">
        <v>7830</v>
      </c>
      <c r="B1049" t="s">
        <v>7852</v>
      </c>
      <c r="C1049" t="s">
        <v>7853</v>
      </c>
      <c r="D1049" t="s">
        <v>7854</v>
      </c>
      <c r="E1049" t="s">
        <v>7855</v>
      </c>
      <c r="F1049">
        <v>142947253</v>
      </c>
      <c r="G1049">
        <v>1021826</v>
      </c>
      <c r="H1049">
        <v>297858</v>
      </c>
      <c r="I1049" t="s">
        <v>7849</v>
      </c>
      <c r="J1049">
        <v>2004</v>
      </c>
      <c r="K1049" t="s">
        <v>7839</v>
      </c>
      <c r="L1049" t="s">
        <v>7837</v>
      </c>
    </row>
    <row r="1050" spans="1:12">
      <c r="A1050" t="s">
        <v>7830</v>
      </c>
      <c r="B1050" t="s">
        <v>7852</v>
      </c>
      <c r="C1050" t="s">
        <v>7853</v>
      </c>
      <c r="D1050" t="s">
        <v>7854</v>
      </c>
      <c r="E1050" t="s">
        <v>7855</v>
      </c>
      <c r="F1050">
        <v>110377684</v>
      </c>
      <c r="G1050">
        <v>759291</v>
      </c>
      <c r="H1050">
        <v>205522</v>
      </c>
      <c r="I1050" t="s">
        <v>7849</v>
      </c>
      <c r="J1050">
        <v>2004</v>
      </c>
      <c r="K1050" t="s">
        <v>7840</v>
      </c>
      <c r="L1050" t="s">
        <v>7837</v>
      </c>
    </row>
    <row r="1051" spans="1:12">
      <c r="A1051" t="s">
        <v>7830</v>
      </c>
      <c r="B1051" t="s">
        <v>7852</v>
      </c>
      <c r="C1051" t="s">
        <v>7853</v>
      </c>
      <c r="D1051" t="s">
        <v>7854</v>
      </c>
      <c r="E1051" t="s">
        <v>7855</v>
      </c>
      <c r="F1051">
        <v>93883571</v>
      </c>
      <c r="G1051">
        <v>737365</v>
      </c>
      <c r="H1051">
        <v>177023</v>
      </c>
      <c r="I1051" t="s">
        <v>7849</v>
      </c>
      <c r="J1051">
        <v>2004</v>
      </c>
      <c r="K1051" t="s">
        <v>7841</v>
      </c>
      <c r="L1051" t="s">
        <v>7837</v>
      </c>
    </row>
    <row r="1052" spans="1:12">
      <c r="A1052" t="s">
        <v>7830</v>
      </c>
      <c r="B1052" t="s">
        <v>7852</v>
      </c>
      <c r="C1052" t="s">
        <v>7853</v>
      </c>
      <c r="D1052" t="s">
        <v>7854</v>
      </c>
      <c r="E1052" t="s">
        <v>7855</v>
      </c>
      <c r="F1052">
        <v>102928642</v>
      </c>
      <c r="G1052">
        <v>723421</v>
      </c>
      <c r="H1052">
        <v>172061</v>
      </c>
      <c r="I1052" t="s">
        <v>7849</v>
      </c>
      <c r="J1052">
        <v>2004</v>
      </c>
      <c r="K1052" t="s">
        <v>7842</v>
      </c>
      <c r="L1052" t="s">
        <v>7837</v>
      </c>
    </row>
    <row r="1053" spans="1:12">
      <c r="A1053" t="s">
        <v>7830</v>
      </c>
      <c r="B1053" t="s">
        <v>7852</v>
      </c>
      <c r="C1053" t="s">
        <v>7853</v>
      </c>
      <c r="D1053" t="s">
        <v>7854</v>
      </c>
      <c r="E1053" t="s">
        <v>7855</v>
      </c>
      <c r="F1053">
        <v>115810046</v>
      </c>
      <c r="G1053">
        <v>1002644</v>
      </c>
      <c r="H1053">
        <v>359170</v>
      </c>
      <c r="I1053" t="s">
        <v>7849</v>
      </c>
      <c r="J1053">
        <v>2004</v>
      </c>
      <c r="K1053" t="s">
        <v>7843</v>
      </c>
      <c r="L1053" t="s">
        <v>7837</v>
      </c>
    </row>
    <row r="1054" spans="1:12">
      <c r="A1054" t="s">
        <v>7830</v>
      </c>
      <c r="B1054" t="s">
        <v>7852</v>
      </c>
      <c r="C1054" t="s">
        <v>7853</v>
      </c>
      <c r="D1054" t="s">
        <v>7854</v>
      </c>
      <c r="E1054" t="s">
        <v>7855</v>
      </c>
      <c r="F1054">
        <v>166322463</v>
      </c>
      <c r="G1054">
        <v>741866</v>
      </c>
      <c r="H1054">
        <v>207036</v>
      </c>
      <c r="I1054" t="s">
        <v>7849</v>
      </c>
      <c r="J1054">
        <v>2004</v>
      </c>
      <c r="K1054" t="s">
        <v>7844</v>
      </c>
      <c r="L1054" t="s">
        <v>7837</v>
      </c>
    </row>
    <row r="1055" spans="1:12">
      <c r="A1055" t="s">
        <v>7830</v>
      </c>
      <c r="B1055" t="s">
        <v>7852</v>
      </c>
      <c r="C1055" t="s">
        <v>7853</v>
      </c>
      <c r="D1055" t="s">
        <v>7854</v>
      </c>
      <c r="E1055" t="s">
        <v>7855</v>
      </c>
      <c r="F1055">
        <v>89494339</v>
      </c>
      <c r="G1055">
        <v>821664</v>
      </c>
      <c r="H1055">
        <v>151214</v>
      </c>
      <c r="I1055" t="s">
        <v>7849</v>
      </c>
      <c r="J1055">
        <v>2004</v>
      </c>
      <c r="K1055" t="s">
        <v>7845</v>
      </c>
      <c r="L1055" t="s">
        <v>7837</v>
      </c>
    </row>
    <row r="1056" spans="1:12">
      <c r="A1056" t="s">
        <v>7830</v>
      </c>
      <c r="B1056" t="s">
        <v>7852</v>
      </c>
      <c r="C1056" t="s">
        <v>7853</v>
      </c>
      <c r="D1056" t="s">
        <v>7854</v>
      </c>
      <c r="E1056" t="s">
        <v>7855</v>
      </c>
      <c r="F1056">
        <v>143755425</v>
      </c>
      <c r="G1056">
        <v>1000622</v>
      </c>
      <c r="H1056">
        <v>275842</v>
      </c>
      <c r="I1056" t="s">
        <v>7849</v>
      </c>
      <c r="J1056">
        <v>2004</v>
      </c>
      <c r="K1056" t="s">
        <v>7846</v>
      </c>
      <c r="L1056" t="s">
        <v>7837</v>
      </c>
    </row>
    <row r="1057" spans="1:12">
      <c r="A1057" t="s">
        <v>7830</v>
      </c>
      <c r="B1057" t="s">
        <v>7852</v>
      </c>
      <c r="C1057" t="s">
        <v>7853</v>
      </c>
      <c r="D1057" t="s">
        <v>7854</v>
      </c>
      <c r="E1057" t="s">
        <v>7855</v>
      </c>
      <c r="F1057">
        <v>126090743</v>
      </c>
      <c r="G1057">
        <v>821762</v>
      </c>
      <c r="H1057">
        <v>228228</v>
      </c>
      <c r="I1057" t="s">
        <v>7849</v>
      </c>
      <c r="J1057">
        <v>2004</v>
      </c>
      <c r="K1057" t="s">
        <v>7847</v>
      </c>
      <c r="L1057" t="s">
        <v>7837</v>
      </c>
    </row>
    <row r="1058" spans="1:12">
      <c r="A1058" t="s">
        <v>7830</v>
      </c>
      <c r="B1058" t="s">
        <v>7852</v>
      </c>
      <c r="C1058" t="s">
        <v>7853</v>
      </c>
      <c r="D1058" t="s">
        <v>7854</v>
      </c>
      <c r="E1058" t="s">
        <v>7855</v>
      </c>
      <c r="F1058">
        <v>111506583</v>
      </c>
      <c r="G1058">
        <v>1084203</v>
      </c>
      <c r="H1058">
        <v>217453</v>
      </c>
      <c r="I1058" t="s">
        <v>7849</v>
      </c>
      <c r="J1058">
        <v>2004</v>
      </c>
      <c r="K1058" t="s">
        <v>7848</v>
      </c>
      <c r="L1058" t="s">
        <v>7837</v>
      </c>
    </row>
    <row r="1059" spans="1:12">
      <c r="A1059" t="s">
        <v>7830</v>
      </c>
      <c r="B1059" t="s">
        <v>7852</v>
      </c>
      <c r="C1059" t="s">
        <v>7853</v>
      </c>
      <c r="D1059" t="s">
        <v>7854</v>
      </c>
      <c r="E1059" t="s">
        <v>7855</v>
      </c>
      <c r="F1059">
        <v>112842939</v>
      </c>
      <c r="G1059">
        <v>1011098</v>
      </c>
      <c r="H1059">
        <v>221979</v>
      </c>
      <c r="I1059" t="s">
        <v>7849</v>
      </c>
      <c r="J1059">
        <v>2005</v>
      </c>
      <c r="K1059" t="s">
        <v>7836</v>
      </c>
      <c r="L1059" t="s">
        <v>7837</v>
      </c>
    </row>
    <row r="1060" spans="1:12">
      <c r="A1060" t="s">
        <v>7830</v>
      </c>
      <c r="B1060" t="s">
        <v>7852</v>
      </c>
      <c r="C1060" t="s">
        <v>7853</v>
      </c>
      <c r="D1060" t="s">
        <v>7854</v>
      </c>
      <c r="E1060" t="s">
        <v>7855</v>
      </c>
      <c r="F1060">
        <v>118175635</v>
      </c>
      <c r="G1060">
        <v>5391389</v>
      </c>
      <c r="H1060">
        <v>211617</v>
      </c>
      <c r="I1060" t="s">
        <v>7849</v>
      </c>
      <c r="J1060">
        <v>2005</v>
      </c>
      <c r="K1060" t="s">
        <v>7838</v>
      </c>
      <c r="L1060" t="s">
        <v>7837</v>
      </c>
    </row>
    <row r="1061" spans="1:12">
      <c r="A1061" t="s">
        <v>7830</v>
      </c>
      <c r="B1061" t="s">
        <v>7852</v>
      </c>
      <c r="C1061" t="s">
        <v>7853</v>
      </c>
      <c r="D1061" t="s">
        <v>7854</v>
      </c>
      <c r="E1061" t="s">
        <v>7855</v>
      </c>
      <c r="F1061">
        <v>140355722</v>
      </c>
      <c r="G1061">
        <v>6888001</v>
      </c>
      <c r="H1061">
        <v>280463</v>
      </c>
      <c r="I1061" t="s">
        <v>7849</v>
      </c>
      <c r="J1061">
        <v>2005</v>
      </c>
      <c r="K1061" t="s">
        <v>7839</v>
      </c>
      <c r="L1061" t="s">
        <v>7837</v>
      </c>
    </row>
    <row r="1062" spans="1:12">
      <c r="A1062" t="s">
        <v>7830</v>
      </c>
      <c r="B1062" t="s">
        <v>7852</v>
      </c>
      <c r="C1062" t="s">
        <v>7853</v>
      </c>
      <c r="D1062" t="s">
        <v>7854</v>
      </c>
      <c r="E1062" t="s">
        <v>7855</v>
      </c>
      <c r="F1062">
        <v>102574753</v>
      </c>
      <c r="G1062">
        <v>5326724</v>
      </c>
      <c r="H1062">
        <v>876163</v>
      </c>
      <c r="I1062" t="s">
        <v>7849</v>
      </c>
      <c r="J1062">
        <v>2005</v>
      </c>
      <c r="K1062" t="s">
        <v>7840</v>
      </c>
      <c r="L1062" t="s">
        <v>7837</v>
      </c>
    </row>
    <row r="1063" spans="1:12">
      <c r="A1063" t="s">
        <v>7830</v>
      </c>
      <c r="B1063" t="s">
        <v>7852</v>
      </c>
      <c r="C1063" t="s">
        <v>7853</v>
      </c>
      <c r="D1063" t="s">
        <v>7854</v>
      </c>
      <c r="E1063" t="s">
        <v>7855</v>
      </c>
      <c r="F1063">
        <v>105615255</v>
      </c>
      <c r="G1063">
        <v>832271</v>
      </c>
      <c r="H1063">
        <v>873548</v>
      </c>
      <c r="I1063" t="s">
        <v>7849</v>
      </c>
      <c r="J1063">
        <v>2005</v>
      </c>
      <c r="K1063" t="s">
        <v>7841</v>
      </c>
      <c r="L1063" t="s">
        <v>7837</v>
      </c>
    </row>
    <row r="1064" spans="1:12">
      <c r="A1064" t="s">
        <v>7830</v>
      </c>
      <c r="B1064" t="s">
        <v>7852</v>
      </c>
      <c r="C1064" t="s">
        <v>7853</v>
      </c>
      <c r="D1064" t="s">
        <v>7854</v>
      </c>
      <c r="E1064" t="s">
        <v>7855</v>
      </c>
      <c r="F1064">
        <v>111943129</v>
      </c>
      <c r="G1064">
        <v>935687</v>
      </c>
      <c r="H1064">
        <v>313035</v>
      </c>
      <c r="I1064" t="s">
        <v>7849</v>
      </c>
      <c r="J1064">
        <v>2005</v>
      </c>
      <c r="K1064" t="s">
        <v>7842</v>
      </c>
      <c r="L1064" t="s">
        <v>7837</v>
      </c>
    </row>
    <row r="1065" spans="1:12">
      <c r="A1065" t="s">
        <v>7830</v>
      </c>
      <c r="B1065" t="s">
        <v>7852</v>
      </c>
      <c r="C1065" t="s">
        <v>7853</v>
      </c>
      <c r="D1065" t="s">
        <v>7854</v>
      </c>
      <c r="E1065" t="s">
        <v>7855</v>
      </c>
      <c r="F1065">
        <v>109926870</v>
      </c>
      <c r="G1065">
        <v>938505</v>
      </c>
      <c r="H1065">
        <v>203431</v>
      </c>
      <c r="I1065" t="s">
        <v>7849</v>
      </c>
      <c r="J1065">
        <v>2005</v>
      </c>
      <c r="K1065" t="s">
        <v>7843</v>
      </c>
      <c r="L1065" t="s">
        <v>7837</v>
      </c>
    </row>
    <row r="1066" spans="1:12">
      <c r="A1066" t="s">
        <v>7830</v>
      </c>
      <c r="B1066" t="s">
        <v>7852</v>
      </c>
      <c r="C1066" t="s">
        <v>7853</v>
      </c>
      <c r="D1066" t="s">
        <v>7854</v>
      </c>
      <c r="E1066" t="s">
        <v>7855</v>
      </c>
      <c r="F1066">
        <v>148945818</v>
      </c>
      <c r="G1066">
        <v>1149656</v>
      </c>
      <c r="H1066">
        <v>276029</v>
      </c>
      <c r="I1066" t="s">
        <v>7849</v>
      </c>
      <c r="J1066">
        <v>2005</v>
      </c>
      <c r="K1066" t="s">
        <v>7844</v>
      </c>
      <c r="L1066" t="s">
        <v>7837</v>
      </c>
    </row>
    <row r="1067" spans="1:12">
      <c r="A1067" t="s">
        <v>7830</v>
      </c>
      <c r="B1067" t="s">
        <v>7852</v>
      </c>
      <c r="C1067" t="s">
        <v>7853</v>
      </c>
      <c r="D1067" t="s">
        <v>7854</v>
      </c>
      <c r="E1067" t="s">
        <v>7855</v>
      </c>
      <c r="F1067">
        <v>119591840</v>
      </c>
      <c r="G1067">
        <v>914729</v>
      </c>
      <c r="H1067">
        <v>205988</v>
      </c>
      <c r="I1067" t="s">
        <v>7849</v>
      </c>
      <c r="J1067">
        <v>2005</v>
      </c>
      <c r="K1067" t="s">
        <v>7845</v>
      </c>
      <c r="L1067" t="s">
        <v>7837</v>
      </c>
    </row>
    <row r="1068" spans="1:12">
      <c r="A1068" t="s">
        <v>7830</v>
      </c>
      <c r="B1068" t="s">
        <v>7852</v>
      </c>
      <c r="C1068" t="s">
        <v>7853</v>
      </c>
      <c r="D1068" t="s">
        <v>7854</v>
      </c>
      <c r="E1068" t="s">
        <v>7855</v>
      </c>
      <c r="F1068">
        <v>147089128</v>
      </c>
      <c r="G1068">
        <v>1304186</v>
      </c>
      <c r="H1068">
        <v>285167</v>
      </c>
      <c r="I1068" t="s">
        <v>7849</v>
      </c>
      <c r="J1068">
        <v>2005</v>
      </c>
      <c r="K1068" t="s">
        <v>7846</v>
      </c>
      <c r="L1068" t="s">
        <v>7837</v>
      </c>
    </row>
    <row r="1069" spans="1:12">
      <c r="A1069" t="s">
        <v>7830</v>
      </c>
      <c r="B1069" t="s">
        <v>7852</v>
      </c>
      <c r="C1069" t="s">
        <v>7853</v>
      </c>
      <c r="D1069" t="s">
        <v>7854</v>
      </c>
      <c r="E1069" t="s">
        <v>7855</v>
      </c>
      <c r="F1069">
        <v>156541334</v>
      </c>
      <c r="G1069">
        <v>1412394</v>
      </c>
      <c r="H1069">
        <v>299520</v>
      </c>
      <c r="I1069" t="s">
        <v>7849</v>
      </c>
      <c r="J1069">
        <v>2005</v>
      </c>
      <c r="K1069" t="s">
        <v>7847</v>
      </c>
      <c r="L1069" t="s">
        <v>7837</v>
      </c>
    </row>
    <row r="1070" spans="1:12">
      <c r="A1070" t="s">
        <v>7830</v>
      </c>
      <c r="B1070" t="s">
        <v>7852</v>
      </c>
      <c r="C1070" t="s">
        <v>7853</v>
      </c>
      <c r="D1070" t="s">
        <v>7854</v>
      </c>
      <c r="E1070" t="s">
        <v>7855</v>
      </c>
      <c r="F1070">
        <v>116213989</v>
      </c>
      <c r="G1070">
        <v>1141846</v>
      </c>
      <c r="H1070">
        <v>222087</v>
      </c>
      <c r="I1070" t="s">
        <v>7849</v>
      </c>
      <c r="J1070">
        <v>2005</v>
      </c>
      <c r="K1070" t="s">
        <v>7848</v>
      </c>
      <c r="L1070" t="s">
        <v>7837</v>
      </c>
    </row>
    <row r="1071" spans="1:12">
      <c r="A1071" t="s">
        <v>7830</v>
      </c>
      <c r="B1071" t="s">
        <v>7852</v>
      </c>
      <c r="C1071" t="s">
        <v>7853</v>
      </c>
      <c r="D1071" t="s">
        <v>7854</v>
      </c>
      <c r="E1071" t="s">
        <v>7855</v>
      </c>
      <c r="F1071">
        <v>97927755</v>
      </c>
      <c r="G1071">
        <v>858890</v>
      </c>
      <c r="H1071">
        <v>177372</v>
      </c>
      <c r="I1071" t="s">
        <v>7849</v>
      </c>
      <c r="J1071">
        <v>2006</v>
      </c>
      <c r="K1071" t="s">
        <v>7836</v>
      </c>
      <c r="L1071" t="s">
        <v>7837</v>
      </c>
    </row>
    <row r="1072" spans="1:12">
      <c r="A1072" t="s">
        <v>7830</v>
      </c>
      <c r="B1072" t="s">
        <v>7852</v>
      </c>
      <c r="C1072" t="s">
        <v>7853</v>
      </c>
      <c r="D1072" t="s">
        <v>7854</v>
      </c>
      <c r="E1072" t="s">
        <v>7855</v>
      </c>
      <c r="F1072">
        <v>109694691</v>
      </c>
      <c r="G1072">
        <v>993823</v>
      </c>
      <c r="H1072">
        <v>218575</v>
      </c>
      <c r="I1072" t="s">
        <v>7849</v>
      </c>
      <c r="J1072">
        <v>2006</v>
      </c>
      <c r="K1072" t="s">
        <v>7838</v>
      </c>
      <c r="L1072" t="s">
        <v>7837</v>
      </c>
    </row>
    <row r="1073" spans="1:12">
      <c r="A1073" t="s">
        <v>7830</v>
      </c>
      <c r="B1073" t="s">
        <v>7852</v>
      </c>
      <c r="C1073" t="s">
        <v>7853</v>
      </c>
      <c r="D1073" t="s">
        <v>7854</v>
      </c>
      <c r="E1073" t="s">
        <v>7855</v>
      </c>
      <c r="F1073">
        <v>136998450</v>
      </c>
      <c r="G1073">
        <v>11070803</v>
      </c>
      <c r="H1073">
        <v>248009</v>
      </c>
      <c r="I1073" t="s">
        <v>7849</v>
      </c>
      <c r="J1073">
        <v>2006</v>
      </c>
      <c r="K1073" t="s">
        <v>7839</v>
      </c>
      <c r="L1073" t="s">
        <v>7837</v>
      </c>
    </row>
    <row r="1074" spans="1:12">
      <c r="A1074" t="s">
        <v>7830</v>
      </c>
      <c r="B1074" t="s">
        <v>7852</v>
      </c>
      <c r="C1074" t="s">
        <v>7853</v>
      </c>
      <c r="D1074" t="s">
        <v>7854</v>
      </c>
      <c r="E1074" t="s">
        <v>7855</v>
      </c>
      <c r="F1074">
        <v>123059213</v>
      </c>
      <c r="G1074">
        <v>8788297</v>
      </c>
      <c r="H1074">
        <v>217683</v>
      </c>
      <c r="I1074" t="s">
        <v>7849</v>
      </c>
      <c r="J1074">
        <v>2006</v>
      </c>
      <c r="K1074" t="s">
        <v>7840</v>
      </c>
      <c r="L1074" t="s">
        <v>7837</v>
      </c>
    </row>
    <row r="1075" spans="1:12">
      <c r="A1075" t="s">
        <v>7830</v>
      </c>
      <c r="B1075" t="s">
        <v>7852</v>
      </c>
      <c r="C1075" t="s">
        <v>7853</v>
      </c>
      <c r="D1075" t="s">
        <v>7854</v>
      </c>
      <c r="E1075" t="s">
        <v>7855</v>
      </c>
      <c r="F1075">
        <v>116374636</v>
      </c>
      <c r="G1075">
        <v>10552643</v>
      </c>
      <c r="H1075">
        <v>282001</v>
      </c>
      <c r="I1075" t="s">
        <v>7849</v>
      </c>
      <c r="J1075">
        <v>2006</v>
      </c>
      <c r="K1075" t="s">
        <v>7841</v>
      </c>
      <c r="L1075" t="s">
        <v>7837</v>
      </c>
    </row>
    <row r="1076" spans="1:12">
      <c r="A1076" t="s">
        <v>7830</v>
      </c>
      <c r="B1076" t="s">
        <v>7852</v>
      </c>
      <c r="C1076" t="s">
        <v>7853</v>
      </c>
      <c r="D1076" t="s">
        <v>7854</v>
      </c>
      <c r="E1076" t="s">
        <v>7855</v>
      </c>
      <c r="F1076">
        <v>108913142</v>
      </c>
      <c r="G1076">
        <v>4353724</v>
      </c>
      <c r="H1076">
        <v>434276</v>
      </c>
      <c r="I1076" t="s">
        <v>7849</v>
      </c>
      <c r="J1076">
        <v>2006</v>
      </c>
      <c r="K1076" t="s">
        <v>7842</v>
      </c>
      <c r="L1076" t="s">
        <v>7837</v>
      </c>
    </row>
    <row r="1077" spans="1:12">
      <c r="A1077" t="s">
        <v>7830</v>
      </c>
      <c r="B1077" t="s">
        <v>7852</v>
      </c>
      <c r="C1077" t="s">
        <v>7853</v>
      </c>
      <c r="D1077" t="s">
        <v>7854</v>
      </c>
      <c r="E1077" t="s">
        <v>7855</v>
      </c>
      <c r="F1077">
        <v>132860000</v>
      </c>
      <c r="G1077">
        <v>6842891</v>
      </c>
      <c r="H1077">
        <v>567601</v>
      </c>
      <c r="I1077" t="s">
        <v>7849</v>
      </c>
      <c r="J1077">
        <v>2006</v>
      </c>
      <c r="K1077" t="s">
        <v>7843</v>
      </c>
      <c r="L1077" t="s">
        <v>7837</v>
      </c>
    </row>
    <row r="1078" spans="1:12">
      <c r="A1078" t="s">
        <v>7830</v>
      </c>
      <c r="B1078" t="s">
        <v>7852</v>
      </c>
      <c r="C1078" t="s">
        <v>7853</v>
      </c>
      <c r="D1078" t="s">
        <v>7854</v>
      </c>
      <c r="E1078" t="s">
        <v>7855</v>
      </c>
      <c r="F1078">
        <v>122513321</v>
      </c>
      <c r="G1078">
        <v>8436154</v>
      </c>
      <c r="H1078">
        <v>444646</v>
      </c>
      <c r="I1078" t="s">
        <v>7849</v>
      </c>
      <c r="J1078">
        <v>2006</v>
      </c>
      <c r="K1078" t="s">
        <v>7844</v>
      </c>
      <c r="L1078" t="s">
        <v>7837</v>
      </c>
    </row>
    <row r="1079" spans="1:12">
      <c r="A1079" t="s">
        <v>7830</v>
      </c>
      <c r="B1079" t="s">
        <v>7852</v>
      </c>
      <c r="C1079" t="s">
        <v>7853</v>
      </c>
      <c r="D1079" t="s">
        <v>7854</v>
      </c>
      <c r="E1079" t="s">
        <v>7855</v>
      </c>
      <c r="F1079">
        <v>138495095</v>
      </c>
      <c r="G1079">
        <v>7845225</v>
      </c>
      <c r="H1079">
        <v>523481</v>
      </c>
      <c r="I1079" t="s">
        <v>7849</v>
      </c>
      <c r="J1079">
        <v>2006</v>
      </c>
      <c r="K1079" t="s">
        <v>7845</v>
      </c>
      <c r="L1079" t="s">
        <v>7837</v>
      </c>
    </row>
    <row r="1080" spans="1:12">
      <c r="A1080" t="s">
        <v>7830</v>
      </c>
      <c r="B1080" t="s">
        <v>7852</v>
      </c>
      <c r="C1080" t="s">
        <v>7853</v>
      </c>
      <c r="D1080" t="s">
        <v>7854</v>
      </c>
      <c r="E1080" t="s">
        <v>7855</v>
      </c>
      <c r="F1080">
        <v>183905201</v>
      </c>
      <c r="G1080">
        <v>8323789</v>
      </c>
      <c r="H1080">
        <v>670265</v>
      </c>
      <c r="I1080" t="s">
        <v>7849</v>
      </c>
      <c r="J1080">
        <v>2006</v>
      </c>
      <c r="K1080" t="s">
        <v>7846</v>
      </c>
      <c r="L1080" t="s">
        <v>7837</v>
      </c>
    </row>
    <row r="1081" spans="1:12">
      <c r="A1081" t="s">
        <v>7830</v>
      </c>
      <c r="B1081" t="s">
        <v>7852</v>
      </c>
      <c r="C1081" t="s">
        <v>7853</v>
      </c>
      <c r="D1081" t="s">
        <v>7854</v>
      </c>
      <c r="E1081" t="s">
        <v>7855</v>
      </c>
      <c r="F1081">
        <v>157232536</v>
      </c>
      <c r="G1081">
        <v>10724580</v>
      </c>
      <c r="H1081">
        <v>374464</v>
      </c>
      <c r="I1081" t="s">
        <v>7849</v>
      </c>
      <c r="J1081">
        <v>2006</v>
      </c>
      <c r="K1081" t="s">
        <v>7847</v>
      </c>
      <c r="L1081" t="s">
        <v>7837</v>
      </c>
    </row>
    <row r="1082" spans="1:12">
      <c r="A1082" t="s">
        <v>7830</v>
      </c>
      <c r="B1082" t="s">
        <v>7852</v>
      </c>
      <c r="C1082" t="s">
        <v>7853</v>
      </c>
      <c r="D1082" t="s">
        <v>7854</v>
      </c>
      <c r="E1082" t="s">
        <v>7855</v>
      </c>
      <c r="F1082">
        <v>149531926</v>
      </c>
      <c r="G1082">
        <v>5480476</v>
      </c>
      <c r="H1082">
        <v>337180</v>
      </c>
      <c r="I1082" t="s">
        <v>7849</v>
      </c>
      <c r="J1082">
        <v>2006</v>
      </c>
      <c r="K1082" t="s">
        <v>7848</v>
      </c>
      <c r="L1082" t="s">
        <v>7837</v>
      </c>
    </row>
    <row r="1083" spans="1:12">
      <c r="A1083" t="s">
        <v>7830</v>
      </c>
      <c r="B1083" t="s">
        <v>7852</v>
      </c>
      <c r="C1083" t="s">
        <v>7853</v>
      </c>
      <c r="D1083" t="s">
        <v>7854</v>
      </c>
      <c r="E1083" t="s">
        <v>7855</v>
      </c>
      <c r="F1083">
        <v>94877145</v>
      </c>
      <c r="G1083">
        <v>863924</v>
      </c>
      <c r="H1083">
        <v>215282</v>
      </c>
      <c r="I1083" t="s">
        <v>7849</v>
      </c>
      <c r="J1083">
        <v>2007</v>
      </c>
      <c r="K1083" t="s">
        <v>7836</v>
      </c>
      <c r="L1083" t="s">
        <v>7837</v>
      </c>
    </row>
    <row r="1084" spans="1:12">
      <c r="A1084" t="s">
        <v>7830</v>
      </c>
      <c r="B1084" t="s">
        <v>7852</v>
      </c>
      <c r="C1084" t="s">
        <v>7853</v>
      </c>
      <c r="D1084" t="s">
        <v>7854</v>
      </c>
      <c r="E1084" t="s">
        <v>7855</v>
      </c>
      <c r="F1084">
        <v>140252688</v>
      </c>
      <c r="G1084">
        <v>8547717</v>
      </c>
      <c r="H1084">
        <v>300549</v>
      </c>
      <c r="I1084" t="s">
        <v>7849</v>
      </c>
      <c r="J1084">
        <v>2007</v>
      </c>
      <c r="K1084" t="s">
        <v>7838</v>
      </c>
      <c r="L1084" t="s">
        <v>7837</v>
      </c>
    </row>
    <row r="1085" spans="1:12">
      <c r="A1085" t="s">
        <v>7830</v>
      </c>
      <c r="B1085" t="s">
        <v>7852</v>
      </c>
      <c r="C1085" t="s">
        <v>7853</v>
      </c>
      <c r="D1085" t="s">
        <v>7854</v>
      </c>
      <c r="E1085" t="s">
        <v>7855</v>
      </c>
      <c r="F1085">
        <v>103541563</v>
      </c>
      <c r="G1085">
        <v>6077743</v>
      </c>
      <c r="H1085">
        <v>262169</v>
      </c>
      <c r="I1085" t="s">
        <v>7849</v>
      </c>
      <c r="J1085">
        <v>2007</v>
      </c>
      <c r="K1085" t="s">
        <v>7839</v>
      </c>
      <c r="L1085" t="s">
        <v>7837</v>
      </c>
    </row>
    <row r="1086" spans="1:12">
      <c r="A1086" t="s">
        <v>7830</v>
      </c>
      <c r="B1086" t="s">
        <v>7852</v>
      </c>
      <c r="C1086" t="s">
        <v>7853</v>
      </c>
      <c r="D1086" t="s">
        <v>7854</v>
      </c>
      <c r="E1086" t="s">
        <v>7855</v>
      </c>
      <c r="F1086">
        <v>59898200</v>
      </c>
      <c r="G1086">
        <v>7307464</v>
      </c>
      <c r="H1086">
        <v>142997</v>
      </c>
      <c r="I1086" t="s">
        <v>7849</v>
      </c>
      <c r="J1086">
        <v>2007</v>
      </c>
      <c r="K1086" t="s">
        <v>7840</v>
      </c>
      <c r="L1086" t="s">
        <v>7837</v>
      </c>
    </row>
    <row r="1087" spans="1:12">
      <c r="A1087" t="s">
        <v>7830</v>
      </c>
      <c r="B1087" t="s">
        <v>7852</v>
      </c>
      <c r="C1087" t="s">
        <v>7853</v>
      </c>
      <c r="D1087" t="s">
        <v>7854</v>
      </c>
      <c r="E1087" t="s">
        <v>7855</v>
      </c>
      <c r="F1087">
        <v>101720643</v>
      </c>
      <c r="G1087">
        <v>5989896</v>
      </c>
      <c r="H1087">
        <v>217446</v>
      </c>
      <c r="I1087" t="s">
        <v>7849</v>
      </c>
      <c r="J1087">
        <v>2007</v>
      </c>
      <c r="K1087" t="s">
        <v>7841</v>
      </c>
      <c r="L1087" t="s">
        <v>7837</v>
      </c>
    </row>
    <row r="1088" spans="1:12">
      <c r="A1088" t="s">
        <v>7830</v>
      </c>
      <c r="B1088" t="s">
        <v>7852</v>
      </c>
      <c r="C1088" t="s">
        <v>7853</v>
      </c>
      <c r="D1088" t="s">
        <v>7854</v>
      </c>
      <c r="E1088" t="s">
        <v>7855</v>
      </c>
      <c r="F1088">
        <v>116593128</v>
      </c>
      <c r="G1088">
        <v>8175121</v>
      </c>
      <c r="H1088">
        <v>269186</v>
      </c>
      <c r="I1088" t="s">
        <v>7849</v>
      </c>
      <c r="J1088">
        <v>2007</v>
      </c>
      <c r="K1088" t="s">
        <v>7842</v>
      </c>
      <c r="L1088" t="s">
        <v>7837</v>
      </c>
    </row>
    <row r="1089" spans="1:12">
      <c r="A1089" t="s">
        <v>7830</v>
      </c>
      <c r="B1089" t="s">
        <v>7852</v>
      </c>
      <c r="C1089" t="s">
        <v>7853</v>
      </c>
      <c r="D1089" t="s">
        <v>7854</v>
      </c>
      <c r="E1089" t="s">
        <v>7855</v>
      </c>
      <c r="F1089">
        <v>120827406</v>
      </c>
      <c r="G1089">
        <v>1585264</v>
      </c>
      <c r="H1089">
        <v>271893</v>
      </c>
      <c r="I1089" t="s">
        <v>7849</v>
      </c>
      <c r="J1089">
        <v>2007</v>
      </c>
      <c r="K1089" t="s">
        <v>7843</v>
      </c>
      <c r="L1089" t="s">
        <v>7837</v>
      </c>
    </row>
    <row r="1090" spans="1:12">
      <c r="A1090" t="s">
        <v>7830</v>
      </c>
      <c r="B1090" t="s">
        <v>7852</v>
      </c>
      <c r="C1090" t="s">
        <v>7853</v>
      </c>
      <c r="D1090" t="s">
        <v>7854</v>
      </c>
      <c r="E1090" t="s">
        <v>7855</v>
      </c>
      <c r="F1090">
        <v>153707465</v>
      </c>
      <c r="G1090">
        <v>2396219</v>
      </c>
      <c r="H1090">
        <v>404014</v>
      </c>
      <c r="I1090" t="s">
        <v>7849</v>
      </c>
      <c r="J1090">
        <v>2007</v>
      </c>
      <c r="K1090" t="s">
        <v>7844</v>
      </c>
      <c r="L1090" t="s">
        <v>7837</v>
      </c>
    </row>
    <row r="1091" spans="1:12">
      <c r="A1091" t="s">
        <v>7830</v>
      </c>
      <c r="B1091" t="s">
        <v>7852</v>
      </c>
      <c r="C1091" t="s">
        <v>7853</v>
      </c>
      <c r="D1091" t="s">
        <v>7854</v>
      </c>
      <c r="E1091" t="s">
        <v>7855</v>
      </c>
      <c r="F1091">
        <v>165022937</v>
      </c>
      <c r="G1091">
        <v>2642244</v>
      </c>
      <c r="H1091">
        <v>377284</v>
      </c>
      <c r="I1091" t="s">
        <v>7849</v>
      </c>
      <c r="J1091">
        <v>2007</v>
      </c>
      <c r="K1091" t="s">
        <v>7845</v>
      </c>
      <c r="L1091" t="s">
        <v>7837</v>
      </c>
    </row>
    <row r="1092" spans="1:12">
      <c r="A1092" t="s">
        <v>7830</v>
      </c>
      <c r="B1092" t="s">
        <v>7852</v>
      </c>
      <c r="C1092" t="s">
        <v>7853</v>
      </c>
      <c r="D1092" t="s">
        <v>7854</v>
      </c>
      <c r="E1092" t="s">
        <v>7855</v>
      </c>
      <c r="F1092">
        <v>172498873</v>
      </c>
      <c r="G1092">
        <v>3019177</v>
      </c>
      <c r="H1092">
        <v>390432</v>
      </c>
      <c r="I1092" t="s">
        <v>7849</v>
      </c>
      <c r="J1092">
        <v>2007</v>
      </c>
      <c r="K1092" t="s">
        <v>7846</v>
      </c>
      <c r="L1092" t="s">
        <v>7837</v>
      </c>
    </row>
    <row r="1093" spans="1:12">
      <c r="A1093" t="s">
        <v>7830</v>
      </c>
      <c r="B1093" t="s">
        <v>7852</v>
      </c>
      <c r="C1093" t="s">
        <v>7853</v>
      </c>
      <c r="D1093" t="s">
        <v>7854</v>
      </c>
      <c r="E1093" t="s">
        <v>7855</v>
      </c>
      <c r="F1093">
        <v>164718388</v>
      </c>
      <c r="G1093">
        <v>2388208</v>
      </c>
      <c r="H1093">
        <v>517271</v>
      </c>
      <c r="I1093" t="s">
        <v>7849</v>
      </c>
      <c r="J1093">
        <v>2007</v>
      </c>
      <c r="K1093" t="s">
        <v>7847</v>
      </c>
      <c r="L1093" t="s">
        <v>7837</v>
      </c>
    </row>
    <row r="1094" spans="1:12">
      <c r="A1094" t="s">
        <v>7830</v>
      </c>
      <c r="B1094" t="s">
        <v>7852</v>
      </c>
      <c r="C1094" t="s">
        <v>7853</v>
      </c>
      <c r="D1094" t="s">
        <v>7854</v>
      </c>
      <c r="E1094" t="s">
        <v>7855</v>
      </c>
      <c r="F1094">
        <v>154359937</v>
      </c>
      <c r="G1094">
        <v>3264858</v>
      </c>
      <c r="H1094">
        <v>423736</v>
      </c>
      <c r="I1094" t="s">
        <v>7849</v>
      </c>
      <c r="J1094">
        <v>2007</v>
      </c>
      <c r="K1094" t="s">
        <v>7848</v>
      </c>
      <c r="L1094" t="s">
        <v>7837</v>
      </c>
    </row>
    <row r="1095" spans="1:12">
      <c r="A1095" t="s">
        <v>7830</v>
      </c>
      <c r="B1095" t="s">
        <v>7852</v>
      </c>
      <c r="C1095" t="s">
        <v>7853</v>
      </c>
      <c r="D1095" t="s">
        <v>7854</v>
      </c>
      <c r="E1095" t="s">
        <v>7855</v>
      </c>
      <c r="F1095">
        <v>133199602</v>
      </c>
      <c r="G1095">
        <v>1724121</v>
      </c>
      <c r="H1095">
        <v>387565</v>
      </c>
      <c r="I1095" t="s">
        <v>7849</v>
      </c>
      <c r="J1095">
        <v>2008</v>
      </c>
      <c r="K1095" t="s">
        <v>7836</v>
      </c>
      <c r="L1095" t="s">
        <v>7837</v>
      </c>
    </row>
    <row r="1096" spans="1:12">
      <c r="A1096" t="s">
        <v>7830</v>
      </c>
      <c r="B1096" t="s">
        <v>7852</v>
      </c>
      <c r="C1096" t="s">
        <v>7853</v>
      </c>
      <c r="D1096" t="s">
        <v>7854</v>
      </c>
      <c r="E1096" t="s">
        <v>7855</v>
      </c>
      <c r="F1096">
        <v>125136383</v>
      </c>
      <c r="G1096">
        <v>1636288</v>
      </c>
      <c r="H1096">
        <v>347253</v>
      </c>
      <c r="I1096" t="s">
        <v>7849</v>
      </c>
      <c r="J1096">
        <v>2008</v>
      </c>
      <c r="K1096" t="s">
        <v>7838</v>
      </c>
      <c r="L1096" t="s">
        <v>7837</v>
      </c>
    </row>
    <row r="1097" spans="1:12">
      <c r="A1097" t="s">
        <v>7830</v>
      </c>
      <c r="B1097" t="s">
        <v>7852</v>
      </c>
      <c r="C1097" t="s">
        <v>7853</v>
      </c>
      <c r="D1097" t="s">
        <v>7854</v>
      </c>
      <c r="E1097" t="s">
        <v>7855</v>
      </c>
      <c r="F1097">
        <v>159581355</v>
      </c>
      <c r="G1097">
        <v>4194429</v>
      </c>
      <c r="H1097">
        <v>456600</v>
      </c>
      <c r="I1097" t="s">
        <v>7849</v>
      </c>
      <c r="J1097">
        <v>2008</v>
      </c>
      <c r="K1097" t="s">
        <v>7839</v>
      </c>
      <c r="L1097" t="s">
        <v>7837</v>
      </c>
    </row>
    <row r="1098" spans="1:12">
      <c r="A1098" t="s">
        <v>7830</v>
      </c>
      <c r="B1098" t="s">
        <v>7852</v>
      </c>
      <c r="C1098" t="s">
        <v>7853</v>
      </c>
      <c r="D1098" t="s">
        <v>7854</v>
      </c>
      <c r="E1098" t="s">
        <v>7855</v>
      </c>
      <c r="F1098">
        <v>127117689</v>
      </c>
      <c r="G1098">
        <v>1154229</v>
      </c>
      <c r="H1098">
        <v>355036</v>
      </c>
      <c r="I1098" t="s">
        <v>7849</v>
      </c>
      <c r="J1098">
        <v>2008</v>
      </c>
      <c r="K1098" t="s">
        <v>7840</v>
      </c>
      <c r="L1098" t="s">
        <v>7837</v>
      </c>
    </row>
    <row r="1099" spans="1:12">
      <c r="A1099" t="s">
        <v>7830</v>
      </c>
      <c r="B1099" t="s">
        <v>7852</v>
      </c>
      <c r="C1099" t="s">
        <v>7853</v>
      </c>
      <c r="D1099" t="s">
        <v>7854</v>
      </c>
      <c r="E1099" t="s">
        <v>7855</v>
      </c>
      <c r="F1099">
        <v>131392196</v>
      </c>
      <c r="G1099">
        <v>1214660</v>
      </c>
      <c r="H1099">
        <v>377227</v>
      </c>
      <c r="I1099" t="s">
        <v>7849</v>
      </c>
      <c r="J1099">
        <v>2008</v>
      </c>
      <c r="K1099" t="s">
        <v>7841</v>
      </c>
      <c r="L1099" t="s">
        <v>7837</v>
      </c>
    </row>
    <row r="1100" spans="1:12">
      <c r="A1100" t="s">
        <v>7830</v>
      </c>
      <c r="B1100" t="s">
        <v>7852</v>
      </c>
      <c r="C1100" t="s">
        <v>7853</v>
      </c>
      <c r="D1100" t="s">
        <v>7854</v>
      </c>
      <c r="E1100" t="s">
        <v>7855</v>
      </c>
      <c r="F1100">
        <v>130686677</v>
      </c>
      <c r="G1100">
        <v>1280559</v>
      </c>
      <c r="H1100">
        <v>387919</v>
      </c>
      <c r="I1100" t="s">
        <v>7849</v>
      </c>
      <c r="J1100">
        <v>2008</v>
      </c>
      <c r="K1100" t="s">
        <v>7842</v>
      </c>
      <c r="L1100" t="s">
        <v>7837</v>
      </c>
    </row>
    <row r="1101" spans="1:12">
      <c r="A1101" t="s">
        <v>7830</v>
      </c>
      <c r="B1101" t="s">
        <v>7852</v>
      </c>
      <c r="C1101" t="s">
        <v>7853</v>
      </c>
      <c r="D1101" t="s">
        <v>7854</v>
      </c>
      <c r="E1101" t="s">
        <v>7855</v>
      </c>
      <c r="F1101">
        <v>168242530</v>
      </c>
      <c r="G1101">
        <v>1678454</v>
      </c>
      <c r="H1101">
        <v>575609</v>
      </c>
      <c r="I1101" t="s">
        <v>7849</v>
      </c>
      <c r="J1101">
        <v>2008</v>
      </c>
      <c r="K1101" t="s">
        <v>7843</v>
      </c>
      <c r="L1101" t="s">
        <v>7837</v>
      </c>
    </row>
    <row r="1102" spans="1:12">
      <c r="A1102" t="s">
        <v>7830</v>
      </c>
      <c r="B1102" t="s">
        <v>7852</v>
      </c>
      <c r="C1102" t="s">
        <v>7853</v>
      </c>
      <c r="D1102" t="s">
        <v>7854</v>
      </c>
      <c r="E1102" t="s">
        <v>7855</v>
      </c>
      <c r="F1102">
        <v>158438431</v>
      </c>
      <c r="G1102">
        <v>1664298</v>
      </c>
      <c r="H1102">
        <v>496393</v>
      </c>
      <c r="I1102" t="s">
        <v>7849</v>
      </c>
      <c r="J1102">
        <v>2008</v>
      </c>
      <c r="K1102" t="s">
        <v>7844</v>
      </c>
      <c r="L1102" t="s">
        <v>7837</v>
      </c>
    </row>
    <row r="1103" spans="1:12">
      <c r="A1103" t="s">
        <v>7830</v>
      </c>
      <c r="B1103" t="s">
        <v>7852</v>
      </c>
      <c r="C1103" t="s">
        <v>7853</v>
      </c>
      <c r="D1103" t="s">
        <v>7854</v>
      </c>
      <c r="E1103" t="s">
        <v>7855</v>
      </c>
      <c r="F1103">
        <v>177172152</v>
      </c>
      <c r="G1103">
        <v>1687622</v>
      </c>
      <c r="H1103">
        <v>524464</v>
      </c>
      <c r="I1103" t="s">
        <v>7849</v>
      </c>
      <c r="J1103">
        <v>2008</v>
      </c>
      <c r="K1103" t="s">
        <v>7845</v>
      </c>
      <c r="L1103" t="s">
        <v>7837</v>
      </c>
    </row>
    <row r="1104" spans="1:12">
      <c r="A1104" t="s">
        <v>7830</v>
      </c>
      <c r="B1104" t="s">
        <v>7852</v>
      </c>
      <c r="C1104" t="s">
        <v>7853</v>
      </c>
      <c r="D1104" t="s">
        <v>7854</v>
      </c>
      <c r="E1104" t="s">
        <v>7855</v>
      </c>
      <c r="F1104">
        <v>154630720</v>
      </c>
      <c r="G1104">
        <v>1496537</v>
      </c>
      <c r="H1104">
        <v>450005</v>
      </c>
      <c r="I1104" t="s">
        <v>7849</v>
      </c>
      <c r="J1104">
        <v>2008</v>
      </c>
      <c r="K1104" t="s">
        <v>7846</v>
      </c>
      <c r="L1104" t="s">
        <v>7837</v>
      </c>
    </row>
    <row r="1105" spans="1:12">
      <c r="A1105" t="s">
        <v>7830</v>
      </c>
      <c r="B1105" t="s">
        <v>7852</v>
      </c>
      <c r="C1105" t="s">
        <v>7853</v>
      </c>
      <c r="D1105" t="s">
        <v>7854</v>
      </c>
      <c r="E1105" t="s">
        <v>7855</v>
      </c>
      <c r="F1105">
        <v>204036746</v>
      </c>
      <c r="G1105">
        <v>2006852</v>
      </c>
      <c r="H1105">
        <v>613598</v>
      </c>
      <c r="I1105" t="s">
        <v>7849</v>
      </c>
      <c r="J1105">
        <v>2008</v>
      </c>
      <c r="K1105" t="s">
        <v>7847</v>
      </c>
      <c r="L1105" t="s">
        <v>7837</v>
      </c>
    </row>
    <row r="1106" spans="1:12">
      <c r="A1106" t="s">
        <v>7830</v>
      </c>
      <c r="B1106" t="s">
        <v>7852</v>
      </c>
      <c r="C1106" t="s">
        <v>7853</v>
      </c>
      <c r="D1106" t="s">
        <v>7854</v>
      </c>
      <c r="E1106" t="s">
        <v>7855</v>
      </c>
      <c r="F1106">
        <v>159420489</v>
      </c>
      <c r="G1106">
        <v>1586885</v>
      </c>
      <c r="H1106">
        <v>527361</v>
      </c>
      <c r="I1106" t="s">
        <v>7849</v>
      </c>
      <c r="J1106">
        <v>2008</v>
      </c>
      <c r="K1106" t="s">
        <v>7848</v>
      </c>
      <c r="L1106" t="s">
        <v>7837</v>
      </c>
    </row>
    <row r="1107" spans="1:12">
      <c r="A1107" t="s">
        <v>7830</v>
      </c>
      <c r="B1107" t="s">
        <v>7852</v>
      </c>
      <c r="C1107" t="s">
        <v>7853</v>
      </c>
      <c r="D1107" t="s">
        <v>7854</v>
      </c>
      <c r="E1107" t="s">
        <v>7855</v>
      </c>
      <c r="F1107">
        <v>107700961</v>
      </c>
      <c r="G1107">
        <v>1058081</v>
      </c>
      <c r="H1107">
        <v>359761</v>
      </c>
      <c r="I1107" t="s">
        <v>7849</v>
      </c>
      <c r="J1107">
        <v>2009</v>
      </c>
      <c r="K1107" t="s">
        <v>7836</v>
      </c>
      <c r="L1107" t="s">
        <v>7837</v>
      </c>
    </row>
    <row r="1108" spans="1:12">
      <c r="A1108" t="s">
        <v>7830</v>
      </c>
      <c r="B1108" t="s">
        <v>7852</v>
      </c>
      <c r="C1108" t="s">
        <v>7853</v>
      </c>
      <c r="D1108" t="s">
        <v>7854</v>
      </c>
      <c r="E1108" t="s">
        <v>7855</v>
      </c>
      <c r="F1108">
        <v>118042477</v>
      </c>
      <c r="G1108">
        <v>1202257</v>
      </c>
      <c r="H1108">
        <v>366193</v>
      </c>
      <c r="I1108" t="s">
        <v>7849</v>
      </c>
      <c r="J1108">
        <v>2009</v>
      </c>
      <c r="K1108" t="s">
        <v>7838</v>
      </c>
      <c r="L1108" t="s">
        <v>7837</v>
      </c>
    </row>
    <row r="1109" spans="1:12">
      <c r="A1109" t="s">
        <v>7830</v>
      </c>
      <c r="B1109" t="s">
        <v>7852</v>
      </c>
      <c r="C1109" t="s">
        <v>7853</v>
      </c>
      <c r="D1109" t="s">
        <v>7854</v>
      </c>
      <c r="E1109" t="s">
        <v>7855</v>
      </c>
      <c r="F1109">
        <v>157664391</v>
      </c>
      <c r="G1109">
        <v>1432906</v>
      </c>
      <c r="H1109">
        <v>459174</v>
      </c>
      <c r="I1109" t="s">
        <v>7849</v>
      </c>
      <c r="J1109">
        <v>2009</v>
      </c>
      <c r="K1109" t="s">
        <v>7839</v>
      </c>
      <c r="L1109" t="s">
        <v>7837</v>
      </c>
    </row>
    <row r="1110" spans="1:12">
      <c r="A1110" t="s">
        <v>7830</v>
      </c>
      <c r="B1110" t="s">
        <v>7852</v>
      </c>
      <c r="C1110" t="s">
        <v>7853</v>
      </c>
      <c r="D1110" t="s">
        <v>7854</v>
      </c>
      <c r="E1110" t="s">
        <v>7855</v>
      </c>
      <c r="F1110">
        <v>112959969</v>
      </c>
      <c r="G1110">
        <v>1095197</v>
      </c>
      <c r="H1110">
        <v>342403</v>
      </c>
      <c r="I1110" t="s">
        <v>7849</v>
      </c>
      <c r="J1110">
        <v>2009</v>
      </c>
      <c r="K1110" t="s">
        <v>7840</v>
      </c>
      <c r="L1110" t="s">
        <v>7837</v>
      </c>
    </row>
    <row r="1111" spans="1:12">
      <c r="A1111" t="s">
        <v>7830</v>
      </c>
      <c r="B1111" t="s">
        <v>7852</v>
      </c>
      <c r="C1111" t="s">
        <v>7853</v>
      </c>
      <c r="D1111" t="s">
        <v>7854</v>
      </c>
      <c r="E1111" t="s">
        <v>7855</v>
      </c>
      <c r="F1111">
        <v>88498064</v>
      </c>
      <c r="G1111">
        <v>754702</v>
      </c>
      <c r="H1111">
        <v>251088</v>
      </c>
      <c r="I1111" t="s">
        <v>7849</v>
      </c>
      <c r="J1111">
        <v>2009</v>
      </c>
      <c r="K1111" t="s">
        <v>7841</v>
      </c>
      <c r="L1111" t="s">
        <v>7837</v>
      </c>
    </row>
    <row r="1112" spans="1:12">
      <c r="A1112" t="s">
        <v>7830</v>
      </c>
      <c r="B1112" t="s">
        <v>7852</v>
      </c>
      <c r="C1112" t="s">
        <v>7853</v>
      </c>
      <c r="D1112" t="s">
        <v>7854</v>
      </c>
      <c r="E1112" t="s">
        <v>7855</v>
      </c>
      <c r="F1112">
        <v>131519628</v>
      </c>
      <c r="G1112">
        <v>1009864</v>
      </c>
      <c r="H1112">
        <v>364801</v>
      </c>
      <c r="I1112" t="s">
        <v>7849</v>
      </c>
      <c r="J1112">
        <v>2009</v>
      </c>
      <c r="K1112" t="s">
        <v>7842</v>
      </c>
      <c r="L1112" t="s">
        <v>7837</v>
      </c>
    </row>
    <row r="1113" spans="1:12">
      <c r="A1113" t="s">
        <v>7830</v>
      </c>
      <c r="B1113" t="s">
        <v>7852</v>
      </c>
      <c r="C1113" t="s">
        <v>7853</v>
      </c>
      <c r="D1113" t="s">
        <v>7854</v>
      </c>
      <c r="E1113" t="s">
        <v>7855</v>
      </c>
      <c r="F1113">
        <v>109783901</v>
      </c>
      <c r="G1113">
        <v>998628</v>
      </c>
      <c r="H1113">
        <v>309865</v>
      </c>
      <c r="I1113" t="s">
        <v>7849</v>
      </c>
      <c r="J1113">
        <v>2009</v>
      </c>
      <c r="K1113" t="s">
        <v>7843</v>
      </c>
      <c r="L1113" t="s">
        <v>7837</v>
      </c>
    </row>
    <row r="1114" spans="1:12">
      <c r="A1114" t="s">
        <v>7830</v>
      </c>
      <c r="B1114" t="s">
        <v>7852</v>
      </c>
      <c r="C1114" t="s">
        <v>7853</v>
      </c>
      <c r="D1114" t="s">
        <v>7854</v>
      </c>
      <c r="E1114" t="s">
        <v>7855</v>
      </c>
      <c r="F1114">
        <v>94099406</v>
      </c>
      <c r="G1114">
        <v>805476</v>
      </c>
      <c r="H1114">
        <v>248079</v>
      </c>
      <c r="I1114" t="s">
        <v>7849</v>
      </c>
      <c r="J1114">
        <v>2009</v>
      </c>
      <c r="K1114" t="s">
        <v>7844</v>
      </c>
      <c r="L1114" t="s">
        <v>7837</v>
      </c>
    </row>
    <row r="1115" spans="1:12">
      <c r="A1115" t="s">
        <v>7830</v>
      </c>
      <c r="B1115" t="s">
        <v>7852</v>
      </c>
      <c r="C1115" t="s">
        <v>7853</v>
      </c>
      <c r="D1115" t="s">
        <v>7854</v>
      </c>
      <c r="E1115" t="s">
        <v>7855</v>
      </c>
      <c r="F1115">
        <v>95400613</v>
      </c>
      <c r="G1115">
        <v>786136</v>
      </c>
      <c r="H1115">
        <v>271147</v>
      </c>
      <c r="I1115" t="s">
        <v>7849</v>
      </c>
      <c r="J1115">
        <v>2009</v>
      </c>
      <c r="K1115" t="s">
        <v>7845</v>
      </c>
      <c r="L1115" t="s">
        <v>7837</v>
      </c>
    </row>
    <row r="1116" spans="1:12">
      <c r="A1116" t="s">
        <v>7830</v>
      </c>
      <c r="B1116" t="s">
        <v>7852</v>
      </c>
      <c r="C1116" t="s">
        <v>7853</v>
      </c>
      <c r="D1116" t="s">
        <v>7854</v>
      </c>
      <c r="E1116" t="s">
        <v>7855</v>
      </c>
      <c r="F1116">
        <v>123071936</v>
      </c>
      <c r="G1116">
        <v>1133026</v>
      </c>
      <c r="H1116">
        <v>398006</v>
      </c>
      <c r="I1116" t="s">
        <v>7849</v>
      </c>
      <c r="J1116">
        <v>2009</v>
      </c>
      <c r="K1116" t="s">
        <v>7846</v>
      </c>
      <c r="L1116" t="s">
        <v>7837</v>
      </c>
    </row>
    <row r="1117" spans="1:12">
      <c r="A1117" t="s">
        <v>7830</v>
      </c>
      <c r="B1117" t="s">
        <v>7852</v>
      </c>
      <c r="C1117" t="s">
        <v>7853</v>
      </c>
      <c r="D1117" t="s">
        <v>7854</v>
      </c>
      <c r="E1117" t="s">
        <v>7855</v>
      </c>
      <c r="F1117">
        <v>107492766</v>
      </c>
      <c r="G1117">
        <v>1064245</v>
      </c>
      <c r="H1117">
        <v>343770</v>
      </c>
      <c r="I1117" t="s">
        <v>7849</v>
      </c>
      <c r="J1117">
        <v>2009</v>
      </c>
      <c r="K1117" t="s">
        <v>7847</v>
      </c>
      <c r="L1117" t="s">
        <v>7837</v>
      </c>
    </row>
    <row r="1118" spans="1:12">
      <c r="A1118" t="s">
        <v>7830</v>
      </c>
      <c r="B1118" t="s">
        <v>7852</v>
      </c>
      <c r="C1118" t="s">
        <v>7853</v>
      </c>
      <c r="D1118" t="s">
        <v>7854</v>
      </c>
      <c r="E1118" t="s">
        <v>7855</v>
      </c>
      <c r="F1118">
        <v>117944614</v>
      </c>
      <c r="G1118">
        <v>1098050</v>
      </c>
      <c r="H1118">
        <v>333404</v>
      </c>
      <c r="I1118" t="s">
        <v>7849</v>
      </c>
      <c r="J1118">
        <v>2009</v>
      </c>
      <c r="K1118" t="s">
        <v>7848</v>
      </c>
      <c r="L1118" t="s">
        <v>7837</v>
      </c>
    </row>
    <row r="1119" spans="1:12">
      <c r="A1119" t="s">
        <v>7830</v>
      </c>
      <c r="B1119" t="s">
        <v>7852</v>
      </c>
      <c r="C1119" t="s">
        <v>7853</v>
      </c>
      <c r="D1119" t="s">
        <v>7854</v>
      </c>
      <c r="E1119" t="s">
        <v>7855</v>
      </c>
      <c r="F1119">
        <v>91244660</v>
      </c>
      <c r="G1119">
        <v>852423</v>
      </c>
      <c r="H1119">
        <v>274273</v>
      </c>
      <c r="I1119" t="s">
        <v>7849</v>
      </c>
      <c r="J1119">
        <v>2010</v>
      </c>
      <c r="K1119" t="s">
        <v>7836</v>
      </c>
      <c r="L1119" t="s">
        <v>7837</v>
      </c>
    </row>
    <row r="1120" spans="1:12">
      <c r="A1120" t="s">
        <v>7830</v>
      </c>
      <c r="B1120" t="s">
        <v>7852</v>
      </c>
      <c r="C1120" t="s">
        <v>7853</v>
      </c>
      <c r="D1120" t="s">
        <v>7854</v>
      </c>
      <c r="E1120" t="s">
        <v>7855</v>
      </c>
      <c r="F1120">
        <v>106165313</v>
      </c>
      <c r="G1120">
        <v>1086362</v>
      </c>
      <c r="H1120">
        <v>319995</v>
      </c>
      <c r="I1120" t="s">
        <v>7849</v>
      </c>
      <c r="J1120">
        <v>2010</v>
      </c>
      <c r="K1120" t="s">
        <v>7838</v>
      </c>
      <c r="L1120" t="s">
        <v>7837</v>
      </c>
    </row>
    <row r="1121" spans="1:12">
      <c r="A1121" t="s">
        <v>7830</v>
      </c>
      <c r="B1121" t="s">
        <v>7852</v>
      </c>
      <c r="C1121" t="s">
        <v>7853</v>
      </c>
      <c r="D1121" t="s">
        <v>7854</v>
      </c>
      <c r="E1121" t="s">
        <v>7855</v>
      </c>
      <c r="F1121">
        <v>111206375</v>
      </c>
      <c r="G1121">
        <v>1083425</v>
      </c>
      <c r="H1121">
        <v>335272</v>
      </c>
      <c r="I1121" t="s">
        <v>7849</v>
      </c>
      <c r="J1121">
        <v>2010</v>
      </c>
      <c r="K1121" t="s">
        <v>7839</v>
      </c>
      <c r="L1121" t="s">
        <v>7837</v>
      </c>
    </row>
    <row r="1122" spans="1:12">
      <c r="A1122" t="s">
        <v>7830</v>
      </c>
      <c r="B1122" t="s">
        <v>7852</v>
      </c>
      <c r="C1122" t="s">
        <v>7853</v>
      </c>
      <c r="D1122" t="s">
        <v>7854</v>
      </c>
      <c r="E1122" t="s">
        <v>7855</v>
      </c>
      <c r="F1122">
        <v>84188402</v>
      </c>
      <c r="G1122">
        <v>735398</v>
      </c>
      <c r="H1122">
        <v>218907</v>
      </c>
      <c r="I1122" t="s">
        <v>7849</v>
      </c>
      <c r="J1122">
        <v>2010</v>
      </c>
      <c r="K1122" t="s">
        <v>7840</v>
      </c>
      <c r="L1122" t="s">
        <v>7837</v>
      </c>
    </row>
    <row r="1123" spans="1:12">
      <c r="A1123" t="s">
        <v>7830</v>
      </c>
      <c r="B1123" t="s">
        <v>7852</v>
      </c>
      <c r="C1123" t="s">
        <v>7853</v>
      </c>
      <c r="D1123" t="s">
        <v>7854</v>
      </c>
      <c r="E1123" t="s">
        <v>7855</v>
      </c>
      <c r="F1123">
        <v>125001508</v>
      </c>
      <c r="G1123">
        <v>1074820</v>
      </c>
      <c r="H1123">
        <v>357093</v>
      </c>
      <c r="I1123" t="s">
        <v>7849</v>
      </c>
      <c r="J1123">
        <v>2010</v>
      </c>
      <c r="K1123" t="s">
        <v>7841</v>
      </c>
      <c r="L1123" t="s">
        <v>7837</v>
      </c>
    </row>
    <row r="1124" spans="1:12">
      <c r="A1124" t="s">
        <v>7830</v>
      </c>
      <c r="B1124" t="s">
        <v>7852</v>
      </c>
      <c r="C1124" t="s">
        <v>7853</v>
      </c>
      <c r="D1124" t="s">
        <v>7854</v>
      </c>
      <c r="E1124" t="s">
        <v>7855</v>
      </c>
      <c r="F1124">
        <v>92342122</v>
      </c>
      <c r="G1124">
        <v>822575</v>
      </c>
      <c r="H1124">
        <v>295448</v>
      </c>
      <c r="I1124" t="s">
        <v>7849</v>
      </c>
      <c r="J1124">
        <v>2010</v>
      </c>
      <c r="K1124" t="s">
        <v>7842</v>
      </c>
      <c r="L1124" t="s">
        <v>7837</v>
      </c>
    </row>
    <row r="1125" spans="1:12">
      <c r="A1125" t="s">
        <v>7830</v>
      </c>
      <c r="B1125" t="s">
        <v>7852</v>
      </c>
      <c r="C1125" t="s">
        <v>7853</v>
      </c>
      <c r="D1125" t="s">
        <v>7854</v>
      </c>
      <c r="E1125" t="s">
        <v>7855</v>
      </c>
      <c r="F1125">
        <v>91270571</v>
      </c>
      <c r="G1125">
        <v>1227670</v>
      </c>
      <c r="H1125">
        <v>284112</v>
      </c>
      <c r="I1125" t="s">
        <v>7849</v>
      </c>
      <c r="J1125">
        <v>2010</v>
      </c>
      <c r="K1125" t="s">
        <v>7843</v>
      </c>
      <c r="L1125" t="s">
        <v>7837</v>
      </c>
    </row>
    <row r="1126" spans="1:12">
      <c r="A1126" t="s">
        <v>7830</v>
      </c>
      <c r="B1126" t="s">
        <v>7852</v>
      </c>
      <c r="C1126" t="s">
        <v>7853</v>
      </c>
      <c r="D1126" t="s">
        <v>7854</v>
      </c>
      <c r="E1126" t="s">
        <v>7855</v>
      </c>
      <c r="F1126">
        <v>72109026</v>
      </c>
      <c r="G1126">
        <v>634168</v>
      </c>
      <c r="H1126">
        <v>226629</v>
      </c>
      <c r="I1126" t="s">
        <v>7849</v>
      </c>
      <c r="J1126">
        <v>2010</v>
      </c>
      <c r="K1126" t="s">
        <v>7844</v>
      </c>
      <c r="L1126" t="s">
        <v>7837</v>
      </c>
    </row>
    <row r="1127" spans="1:12">
      <c r="A1127" t="s">
        <v>7830</v>
      </c>
      <c r="B1127" t="s">
        <v>7852</v>
      </c>
      <c r="C1127" t="s">
        <v>7853</v>
      </c>
      <c r="D1127" t="s">
        <v>7854</v>
      </c>
      <c r="E1127" t="s">
        <v>7855</v>
      </c>
      <c r="F1127">
        <v>71691890</v>
      </c>
      <c r="G1127">
        <v>622973</v>
      </c>
      <c r="H1127">
        <v>219021</v>
      </c>
      <c r="I1127" t="s">
        <v>7849</v>
      </c>
      <c r="J1127">
        <v>2010</v>
      </c>
      <c r="K1127" t="s">
        <v>7845</v>
      </c>
      <c r="L1127" t="s">
        <v>7837</v>
      </c>
    </row>
    <row r="1128" spans="1:12">
      <c r="A1128" t="s">
        <v>7830</v>
      </c>
      <c r="B1128" t="s">
        <v>7852</v>
      </c>
      <c r="C1128" t="s">
        <v>7853</v>
      </c>
      <c r="D1128" t="s">
        <v>7854</v>
      </c>
      <c r="E1128" t="s">
        <v>7855</v>
      </c>
      <c r="F1128">
        <v>125180308</v>
      </c>
      <c r="G1128">
        <v>1162509</v>
      </c>
      <c r="H1128">
        <v>442652</v>
      </c>
      <c r="I1128" t="s">
        <v>7849</v>
      </c>
      <c r="J1128">
        <v>2010</v>
      </c>
      <c r="K1128" t="s">
        <v>7846</v>
      </c>
      <c r="L1128" t="s">
        <v>7837</v>
      </c>
    </row>
    <row r="1129" spans="1:12">
      <c r="A1129" t="s">
        <v>7830</v>
      </c>
      <c r="B1129" t="s">
        <v>7852</v>
      </c>
      <c r="C1129" t="s">
        <v>7853</v>
      </c>
      <c r="D1129" t="s">
        <v>7854</v>
      </c>
      <c r="E1129" t="s">
        <v>7855</v>
      </c>
      <c r="F1129">
        <v>155615928</v>
      </c>
      <c r="G1129">
        <v>1458572</v>
      </c>
      <c r="H1129">
        <v>548563</v>
      </c>
      <c r="I1129" t="s">
        <v>7849</v>
      </c>
      <c r="J1129">
        <v>2010</v>
      </c>
      <c r="K1129" t="s">
        <v>7847</v>
      </c>
      <c r="L1129" t="s">
        <v>7837</v>
      </c>
    </row>
    <row r="1130" spans="1:12">
      <c r="A1130" t="s">
        <v>7830</v>
      </c>
      <c r="B1130" t="s">
        <v>7852</v>
      </c>
      <c r="C1130" t="s">
        <v>7853</v>
      </c>
      <c r="D1130" t="s">
        <v>7854</v>
      </c>
      <c r="E1130" t="s">
        <v>7855</v>
      </c>
      <c r="F1130">
        <v>114322603</v>
      </c>
      <c r="G1130">
        <v>1148662</v>
      </c>
      <c r="H1130">
        <v>361945</v>
      </c>
      <c r="I1130" t="s">
        <v>7849</v>
      </c>
      <c r="J1130">
        <v>2010</v>
      </c>
      <c r="K1130" t="s">
        <v>7848</v>
      </c>
      <c r="L1130" t="s">
        <v>7837</v>
      </c>
    </row>
    <row r="1131" spans="1:12">
      <c r="A1131" t="s">
        <v>7830</v>
      </c>
      <c r="B1131" t="s">
        <v>7852</v>
      </c>
      <c r="C1131" t="s">
        <v>7853</v>
      </c>
      <c r="D1131" t="s">
        <v>7854</v>
      </c>
      <c r="E1131" t="s">
        <v>7855</v>
      </c>
      <c r="F1131">
        <v>92141655</v>
      </c>
      <c r="G1131">
        <v>870074</v>
      </c>
      <c r="H1131">
        <v>279715</v>
      </c>
      <c r="I1131" t="s">
        <v>7849</v>
      </c>
      <c r="J1131">
        <v>2011</v>
      </c>
      <c r="K1131" t="s">
        <v>7836</v>
      </c>
      <c r="L1131" t="s">
        <v>7837</v>
      </c>
    </row>
    <row r="1132" spans="1:12">
      <c r="A1132" t="s">
        <v>7830</v>
      </c>
      <c r="B1132" t="s">
        <v>7852</v>
      </c>
      <c r="C1132" t="s">
        <v>7853</v>
      </c>
      <c r="D1132" t="s">
        <v>7854</v>
      </c>
      <c r="E1132" t="s">
        <v>7855</v>
      </c>
      <c r="F1132">
        <v>71513632</v>
      </c>
      <c r="G1132">
        <v>724757</v>
      </c>
      <c r="H1132">
        <v>214759</v>
      </c>
      <c r="I1132" t="s">
        <v>7849</v>
      </c>
      <c r="J1132">
        <v>2011</v>
      </c>
      <c r="K1132" t="s">
        <v>7838</v>
      </c>
      <c r="L1132" t="s">
        <v>7837</v>
      </c>
    </row>
    <row r="1133" spans="1:12">
      <c r="A1133" t="s">
        <v>7830</v>
      </c>
      <c r="B1133" t="s">
        <v>7852</v>
      </c>
      <c r="C1133" t="s">
        <v>7853</v>
      </c>
      <c r="D1133" t="s">
        <v>7854</v>
      </c>
      <c r="E1133" t="s">
        <v>7855</v>
      </c>
      <c r="F1133">
        <v>95923569</v>
      </c>
      <c r="G1133">
        <v>1229439</v>
      </c>
      <c r="H1133">
        <v>308306</v>
      </c>
      <c r="I1133" t="s">
        <v>7849</v>
      </c>
      <c r="J1133">
        <v>2011</v>
      </c>
      <c r="K1133" t="s">
        <v>7839</v>
      </c>
      <c r="L1133" t="s">
        <v>7837</v>
      </c>
    </row>
    <row r="1134" spans="1:12">
      <c r="A1134" t="s">
        <v>7830</v>
      </c>
      <c r="B1134" t="s">
        <v>7852</v>
      </c>
      <c r="C1134" t="s">
        <v>7853</v>
      </c>
      <c r="D1134" t="s">
        <v>7854</v>
      </c>
      <c r="E1134" t="s">
        <v>7855</v>
      </c>
      <c r="F1134">
        <v>111209187</v>
      </c>
      <c r="G1134">
        <v>965925</v>
      </c>
      <c r="H1134">
        <v>335893</v>
      </c>
      <c r="I1134" t="s">
        <v>7849</v>
      </c>
      <c r="J1134">
        <v>2011</v>
      </c>
      <c r="K1134" t="s">
        <v>7840</v>
      </c>
      <c r="L1134" t="s">
        <v>7837</v>
      </c>
    </row>
    <row r="1135" spans="1:12">
      <c r="A1135" t="s">
        <v>7830</v>
      </c>
      <c r="B1135" t="s">
        <v>7852</v>
      </c>
      <c r="C1135" t="s">
        <v>7853</v>
      </c>
      <c r="D1135" t="s">
        <v>7854</v>
      </c>
      <c r="E1135" t="s">
        <v>7855</v>
      </c>
      <c r="F1135">
        <v>102161925</v>
      </c>
      <c r="G1135">
        <v>770724</v>
      </c>
      <c r="H1135">
        <v>510444</v>
      </c>
      <c r="I1135" t="s">
        <v>7849</v>
      </c>
      <c r="J1135">
        <v>2011</v>
      </c>
      <c r="K1135" t="s">
        <v>7841</v>
      </c>
      <c r="L1135" t="s">
        <v>7837</v>
      </c>
    </row>
    <row r="1136" spans="1:12">
      <c r="A1136" t="s">
        <v>7830</v>
      </c>
      <c r="B1136" t="s">
        <v>7852</v>
      </c>
      <c r="C1136" t="s">
        <v>7853</v>
      </c>
      <c r="D1136" t="s">
        <v>7854</v>
      </c>
      <c r="E1136" t="s">
        <v>7855</v>
      </c>
      <c r="F1136">
        <v>87786408</v>
      </c>
      <c r="G1136">
        <v>949647</v>
      </c>
      <c r="H1136">
        <v>268643</v>
      </c>
      <c r="I1136" t="s">
        <v>7849</v>
      </c>
      <c r="J1136">
        <v>2011</v>
      </c>
      <c r="K1136" t="s">
        <v>7842</v>
      </c>
      <c r="L1136" t="s">
        <v>7837</v>
      </c>
    </row>
    <row r="1137" spans="1:12">
      <c r="A1137" t="s">
        <v>7830</v>
      </c>
      <c r="B1137" t="s">
        <v>7852</v>
      </c>
      <c r="C1137" t="s">
        <v>7853</v>
      </c>
      <c r="D1137" t="s">
        <v>7854</v>
      </c>
      <c r="E1137" t="s">
        <v>7855</v>
      </c>
      <c r="F1137">
        <v>92243456</v>
      </c>
      <c r="G1137">
        <v>4861830</v>
      </c>
      <c r="H1137">
        <v>278290</v>
      </c>
      <c r="I1137" t="s">
        <v>7849</v>
      </c>
      <c r="J1137">
        <v>2011</v>
      </c>
      <c r="K1137" t="s">
        <v>7843</v>
      </c>
      <c r="L1137" t="s">
        <v>7837</v>
      </c>
    </row>
    <row r="1138" spans="1:12">
      <c r="A1138" t="s">
        <v>7830</v>
      </c>
      <c r="B1138" t="s">
        <v>7852</v>
      </c>
      <c r="C1138" t="s">
        <v>7853</v>
      </c>
      <c r="D1138" t="s">
        <v>7854</v>
      </c>
      <c r="E1138" t="s">
        <v>7855</v>
      </c>
      <c r="F1138">
        <v>83851149</v>
      </c>
      <c r="G1138">
        <v>826686</v>
      </c>
      <c r="H1138">
        <v>289734</v>
      </c>
      <c r="I1138" t="s">
        <v>7849</v>
      </c>
      <c r="J1138">
        <v>2011</v>
      </c>
      <c r="K1138" t="s">
        <v>7844</v>
      </c>
      <c r="L1138" t="s">
        <v>7837</v>
      </c>
    </row>
    <row r="1139" spans="1:12">
      <c r="A1139" t="s">
        <v>7830</v>
      </c>
      <c r="B1139" t="s">
        <v>7852</v>
      </c>
      <c r="C1139" t="s">
        <v>7853</v>
      </c>
      <c r="D1139" t="s">
        <v>7854</v>
      </c>
      <c r="E1139" t="s">
        <v>7855</v>
      </c>
      <c r="F1139">
        <v>92576630</v>
      </c>
      <c r="G1139">
        <v>841641</v>
      </c>
      <c r="H1139">
        <v>324045</v>
      </c>
      <c r="I1139" t="s">
        <v>7849</v>
      </c>
      <c r="J1139">
        <v>2011</v>
      </c>
      <c r="K1139" t="s">
        <v>7845</v>
      </c>
      <c r="L1139" t="s">
        <v>7837</v>
      </c>
    </row>
    <row r="1140" spans="1:12">
      <c r="A1140" t="s">
        <v>7830</v>
      </c>
      <c r="B1140" t="s">
        <v>7852</v>
      </c>
      <c r="C1140" t="s">
        <v>7853</v>
      </c>
      <c r="D1140" t="s">
        <v>7854</v>
      </c>
      <c r="E1140" t="s">
        <v>7855</v>
      </c>
      <c r="F1140">
        <v>92245087</v>
      </c>
      <c r="G1140">
        <v>897516</v>
      </c>
      <c r="H1140">
        <v>369319</v>
      </c>
      <c r="I1140" t="s">
        <v>7849</v>
      </c>
      <c r="J1140">
        <v>2011</v>
      </c>
      <c r="K1140" t="s">
        <v>7846</v>
      </c>
      <c r="L1140" t="s">
        <v>7837</v>
      </c>
    </row>
    <row r="1141" spans="1:12">
      <c r="A1141" t="s">
        <v>7830</v>
      </c>
      <c r="B1141" t="s">
        <v>7852</v>
      </c>
      <c r="C1141" t="s">
        <v>7853</v>
      </c>
      <c r="D1141" t="s">
        <v>7854</v>
      </c>
      <c r="E1141" t="s">
        <v>7855</v>
      </c>
      <c r="F1141">
        <v>112869113</v>
      </c>
      <c r="G1141">
        <v>1115405</v>
      </c>
      <c r="H1141">
        <v>441402</v>
      </c>
      <c r="I1141" t="s">
        <v>7849</v>
      </c>
      <c r="J1141">
        <v>2011</v>
      </c>
      <c r="K1141" t="s">
        <v>7847</v>
      </c>
      <c r="L1141" t="s">
        <v>7837</v>
      </c>
    </row>
    <row r="1142" spans="1:12">
      <c r="A1142" t="s">
        <v>7830</v>
      </c>
      <c r="B1142" t="s">
        <v>7852</v>
      </c>
      <c r="C1142" t="s">
        <v>7853</v>
      </c>
      <c r="D1142" t="s">
        <v>7854</v>
      </c>
      <c r="E1142" t="s">
        <v>7855</v>
      </c>
      <c r="F1142">
        <v>137249776</v>
      </c>
      <c r="G1142">
        <v>1135451</v>
      </c>
      <c r="H1142">
        <v>509438</v>
      </c>
      <c r="I1142" t="s">
        <v>7849</v>
      </c>
      <c r="J1142">
        <v>2011</v>
      </c>
      <c r="K1142" t="s">
        <v>7848</v>
      </c>
      <c r="L1142" t="s">
        <v>7837</v>
      </c>
    </row>
    <row r="1143" spans="1:12">
      <c r="A1143" t="s">
        <v>7830</v>
      </c>
      <c r="B1143" t="s">
        <v>7852</v>
      </c>
      <c r="C1143" t="s">
        <v>7853</v>
      </c>
      <c r="D1143" t="s">
        <v>7854</v>
      </c>
      <c r="E1143" t="s">
        <v>7855</v>
      </c>
      <c r="F1143">
        <v>84301694</v>
      </c>
      <c r="G1143">
        <v>791816</v>
      </c>
      <c r="H1143">
        <v>313147</v>
      </c>
      <c r="I1143" t="s">
        <v>7849</v>
      </c>
      <c r="J1143">
        <v>2012</v>
      </c>
      <c r="K1143" t="s">
        <v>7836</v>
      </c>
      <c r="L1143" t="s">
        <v>7837</v>
      </c>
    </row>
    <row r="1144" spans="1:12">
      <c r="A1144" t="s">
        <v>7830</v>
      </c>
      <c r="B1144" t="s">
        <v>7852</v>
      </c>
      <c r="C1144" t="s">
        <v>7853</v>
      </c>
      <c r="D1144" t="s">
        <v>7854</v>
      </c>
      <c r="E1144" t="s">
        <v>7855</v>
      </c>
      <c r="F1144">
        <v>108237701</v>
      </c>
      <c r="G1144">
        <v>848487</v>
      </c>
      <c r="H1144">
        <v>390003</v>
      </c>
      <c r="I1144" t="s">
        <v>7849</v>
      </c>
      <c r="J1144">
        <v>2012</v>
      </c>
      <c r="K1144" t="s">
        <v>7838</v>
      </c>
      <c r="L1144" t="s">
        <v>7837</v>
      </c>
    </row>
    <row r="1145" spans="1:12">
      <c r="A1145" t="s">
        <v>7830</v>
      </c>
      <c r="B1145" t="s">
        <v>7852</v>
      </c>
      <c r="C1145" t="s">
        <v>7853</v>
      </c>
      <c r="D1145" t="s">
        <v>7854</v>
      </c>
      <c r="E1145" t="s">
        <v>7855</v>
      </c>
      <c r="F1145">
        <v>109605076</v>
      </c>
      <c r="G1145">
        <v>829657</v>
      </c>
      <c r="H1145">
        <v>350966</v>
      </c>
      <c r="I1145" t="s">
        <v>7849</v>
      </c>
      <c r="J1145">
        <v>2012</v>
      </c>
      <c r="K1145" t="s">
        <v>7839</v>
      </c>
      <c r="L1145" t="s">
        <v>7837</v>
      </c>
    </row>
    <row r="1146" spans="1:12">
      <c r="A1146" t="s">
        <v>7830</v>
      </c>
      <c r="B1146" t="s">
        <v>7852</v>
      </c>
      <c r="C1146" t="s">
        <v>7853</v>
      </c>
      <c r="D1146" t="s">
        <v>7854</v>
      </c>
      <c r="E1146" t="s">
        <v>7855</v>
      </c>
      <c r="F1146">
        <v>85400126</v>
      </c>
      <c r="G1146">
        <v>6701294</v>
      </c>
      <c r="H1146">
        <v>319954</v>
      </c>
      <c r="I1146" t="s">
        <v>7849</v>
      </c>
      <c r="J1146">
        <v>2012</v>
      </c>
      <c r="K1146" t="s">
        <v>7840</v>
      </c>
      <c r="L1146" t="s">
        <v>7837</v>
      </c>
    </row>
    <row r="1147" spans="1:12">
      <c r="A1147" t="s">
        <v>7830</v>
      </c>
      <c r="B1147" t="s">
        <v>7852</v>
      </c>
      <c r="C1147" t="s">
        <v>7853</v>
      </c>
      <c r="D1147" t="s">
        <v>7854</v>
      </c>
      <c r="E1147" t="s">
        <v>7855</v>
      </c>
      <c r="F1147">
        <v>77911597</v>
      </c>
      <c r="G1147">
        <v>624859</v>
      </c>
      <c r="H1147">
        <v>283729</v>
      </c>
      <c r="I1147" t="s">
        <v>7849</v>
      </c>
      <c r="J1147">
        <v>2012</v>
      </c>
      <c r="K1147" t="s">
        <v>7841</v>
      </c>
      <c r="L1147" t="s">
        <v>7837</v>
      </c>
    </row>
    <row r="1148" spans="1:12">
      <c r="A1148" t="s">
        <v>7830</v>
      </c>
      <c r="B1148" t="s">
        <v>7852</v>
      </c>
      <c r="C1148" t="s">
        <v>7853</v>
      </c>
      <c r="D1148" t="s">
        <v>7854</v>
      </c>
      <c r="E1148" t="s">
        <v>7855</v>
      </c>
      <c r="F1148">
        <v>96125868</v>
      </c>
      <c r="G1148">
        <v>789246</v>
      </c>
      <c r="H1148">
        <v>328277</v>
      </c>
      <c r="I1148" t="s">
        <v>7849</v>
      </c>
      <c r="J1148">
        <v>2012</v>
      </c>
      <c r="K1148" t="s">
        <v>7842</v>
      </c>
      <c r="L1148" t="s">
        <v>7837</v>
      </c>
    </row>
    <row r="1149" spans="1:12">
      <c r="A1149" t="s">
        <v>7830</v>
      </c>
      <c r="B1149" t="s">
        <v>7852</v>
      </c>
      <c r="C1149" t="s">
        <v>7853</v>
      </c>
      <c r="D1149" t="s">
        <v>7854</v>
      </c>
      <c r="E1149" t="s">
        <v>7855</v>
      </c>
      <c r="F1149">
        <v>146560763</v>
      </c>
      <c r="G1149">
        <v>905482</v>
      </c>
      <c r="H1149">
        <v>447978</v>
      </c>
      <c r="I1149" t="s">
        <v>7849</v>
      </c>
      <c r="J1149">
        <v>2012</v>
      </c>
      <c r="K1149" t="s">
        <v>7843</v>
      </c>
      <c r="L1149" t="s">
        <v>7837</v>
      </c>
    </row>
    <row r="1150" spans="1:12">
      <c r="A1150" t="s">
        <v>7830</v>
      </c>
      <c r="B1150" t="s">
        <v>7852</v>
      </c>
      <c r="C1150" t="s">
        <v>7853</v>
      </c>
      <c r="D1150" t="s">
        <v>7854</v>
      </c>
      <c r="E1150" t="s">
        <v>7855</v>
      </c>
      <c r="F1150">
        <v>101479606</v>
      </c>
      <c r="G1150">
        <v>910760</v>
      </c>
      <c r="H1150">
        <v>389598</v>
      </c>
      <c r="I1150" t="s">
        <v>7849</v>
      </c>
      <c r="J1150">
        <v>2012</v>
      </c>
      <c r="K1150" t="s">
        <v>7844</v>
      </c>
      <c r="L1150" t="s">
        <v>7837</v>
      </c>
    </row>
    <row r="1151" spans="1:12">
      <c r="A1151" t="s">
        <v>7830</v>
      </c>
      <c r="B1151" t="s">
        <v>7852</v>
      </c>
      <c r="C1151" t="s">
        <v>7853</v>
      </c>
      <c r="D1151" t="s">
        <v>7854</v>
      </c>
      <c r="E1151" t="s">
        <v>7855</v>
      </c>
      <c r="F1151">
        <v>108526185</v>
      </c>
      <c r="G1151">
        <v>787048</v>
      </c>
      <c r="H1151">
        <v>366266</v>
      </c>
      <c r="I1151" t="s">
        <v>7849</v>
      </c>
      <c r="J1151">
        <v>2012</v>
      </c>
      <c r="K1151" t="s">
        <v>7845</v>
      </c>
      <c r="L1151" t="s">
        <v>7837</v>
      </c>
    </row>
    <row r="1152" spans="1:12">
      <c r="A1152" t="s">
        <v>7830</v>
      </c>
      <c r="B1152" t="s">
        <v>7852</v>
      </c>
      <c r="C1152" t="s">
        <v>7853</v>
      </c>
      <c r="D1152" t="s">
        <v>7854</v>
      </c>
      <c r="E1152" t="s">
        <v>7855</v>
      </c>
      <c r="F1152">
        <v>96060582</v>
      </c>
      <c r="G1152">
        <v>862933</v>
      </c>
      <c r="H1152">
        <v>376479</v>
      </c>
      <c r="I1152" t="s">
        <v>7849</v>
      </c>
      <c r="J1152">
        <v>2012</v>
      </c>
      <c r="K1152" t="s">
        <v>7846</v>
      </c>
      <c r="L1152" t="s">
        <v>7837</v>
      </c>
    </row>
    <row r="1153" spans="1:12">
      <c r="A1153" t="s">
        <v>7830</v>
      </c>
      <c r="B1153" t="s">
        <v>7852</v>
      </c>
      <c r="C1153" t="s">
        <v>7853</v>
      </c>
      <c r="D1153" t="s">
        <v>7854</v>
      </c>
      <c r="E1153" t="s">
        <v>7855</v>
      </c>
      <c r="F1153">
        <v>145348771</v>
      </c>
      <c r="G1153">
        <v>1200496</v>
      </c>
      <c r="H1153">
        <v>714407</v>
      </c>
      <c r="I1153" t="s">
        <v>7849</v>
      </c>
      <c r="J1153">
        <v>2012</v>
      </c>
      <c r="K1153" t="s">
        <v>7847</v>
      </c>
      <c r="L1153" t="s">
        <v>7837</v>
      </c>
    </row>
    <row r="1154" spans="1:12">
      <c r="A1154" t="s">
        <v>7830</v>
      </c>
      <c r="B1154" t="s">
        <v>7852</v>
      </c>
      <c r="C1154" t="s">
        <v>7853</v>
      </c>
      <c r="D1154" t="s">
        <v>7854</v>
      </c>
      <c r="E1154" t="s">
        <v>7855</v>
      </c>
      <c r="F1154">
        <v>158988445</v>
      </c>
      <c r="G1154">
        <v>1226296</v>
      </c>
      <c r="H1154">
        <v>674419</v>
      </c>
      <c r="I1154" t="s">
        <v>7849</v>
      </c>
      <c r="J1154">
        <v>2012</v>
      </c>
      <c r="K1154" t="s">
        <v>7848</v>
      </c>
      <c r="L1154" t="s">
        <v>7837</v>
      </c>
    </row>
    <row r="1155" spans="1:12">
      <c r="A1155" t="s">
        <v>7830</v>
      </c>
      <c r="B1155" t="s">
        <v>7852</v>
      </c>
      <c r="C1155" t="s">
        <v>7853</v>
      </c>
      <c r="D1155" t="s">
        <v>7854</v>
      </c>
      <c r="E1155" t="s">
        <v>7855</v>
      </c>
      <c r="F1155">
        <v>99244829</v>
      </c>
      <c r="G1155">
        <v>879095</v>
      </c>
      <c r="H1155">
        <v>453110</v>
      </c>
      <c r="I1155" t="s">
        <v>7849</v>
      </c>
      <c r="J1155">
        <v>2013</v>
      </c>
      <c r="K1155" t="s">
        <v>7836</v>
      </c>
      <c r="L1155" t="s">
        <v>7837</v>
      </c>
    </row>
    <row r="1156" spans="1:12">
      <c r="A1156" t="s">
        <v>7830</v>
      </c>
      <c r="B1156" t="s">
        <v>7852</v>
      </c>
      <c r="C1156" t="s">
        <v>7853</v>
      </c>
      <c r="D1156" t="s">
        <v>7854</v>
      </c>
      <c r="E1156" t="s">
        <v>7855</v>
      </c>
      <c r="F1156">
        <v>73629001</v>
      </c>
      <c r="G1156">
        <v>632939</v>
      </c>
      <c r="H1156">
        <v>249483</v>
      </c>
      <c r="I1156" t="s">
        <v>7849</v>
      </c>
      <c r="J1156">
        <v>2013</v>
      </c>
      <c r="K1156" t="s">
        <v>7838</v>
      </c>
      <c r="L1156" t="s">
        <v>7837</v>
      </c>
    </row>
    <row r="1157" spans="1:12">
      <c r="A1157" t="s">
        <v>7830</v>
      </c>
      <c r="B1157" t="s">
        <v>7852</v>
      </c>
      <c r="C1157" t="s">
        <v>7853</v>
      </c>
      <c r="D1157" t="s">
        <v>7854</v>
      </c>
      <c r="E1157" t="s">
        <v>7855</v>
      </c>
      <c r="F1157">
        <v>119340551</v>
      </c>
      <c r="G1157">
        <v>895358</v>
      </c>
      <c r="H1157">
        <v>399546</v>
      </c>
      <c r="I1157" t="s">
        <v>7849</v>
      </c>
      <c r="J1157">
        <v>2013</v>
      </c>
      <c r="K1157" t="s">
        <v>7839</v>
      </c>
      <c r="L1157" t="s">
        <v>7837</v>
      </c>
    </row>
    <row r="1158" spans="1:12">
      <c r="A1158" t="s">
        <v>7830</v>
      </c>
      <c r="B1158" t="s">
        <v>7852</v>
      </c>
      <c r="C1158" t="s">
        <v>7853</v>
      </c>
      <c r="D1158" t="s">
        <v>7854</v>
      </c>
      <c r="E1158" t="s">
        <v>7855</v>
      </c>
      <c r="F1158">
        <v>79757231</v>
      </c>
      <c r="G1158">
        <v>628337</v>
      </c>
      <c r="H1158">
        <v>284631</v>
      </c>
      <c r="I1158" t="s">
        <v>7849</v>
      </c>
      <c r="J1158">
        <v>2013</v>
      </c>
      <c r="K1158" t="s">
        <v>7840</v>
      </c>
      <c r="L1158" t="s">
        <v>7837</v>
      </c>
    </row>
    <row r="1159" spans="1:12">
      <c r="A1159" t="s">
        <v>7830</v>
      </c>
      <c r="B1159" t="s">
        <v>7852</v>
      </c>
      <c r="C1159" t="s">
        <v>7853</v>
      </c>
      <c r="D1159" t="s">
        <v>7854</v>
      </c>
      <c r="E1159" t="s">
        <v>7855</v>
      </c>
      <c r="F1159">
        <v>49932788</v>
      </c>
      <c r="G1159">
        <v>362584</v>
      </c>
      <c r="H1159">
        <v>173716</v>
      </c>
      <c r="I1159" t="s">
        <v>7849</v>
      </c>
      <c r="J1159">
        <v>2013</v>
      </c>
      <c r="K1159" t="s">
        <v>7841</v>
      </c>
      <c r="L1159" t="s">
        <v>7837</v>
      </c>
    </row>
    <row r="1160" spans="1:12">
      <c r="A1160" t="s">
        <v>7830</v>
      </c>
      <c r="B1160" t="s">
        <v>7852</v>
      </c>
      <c r="C1160" t="s">
        <v>7853</v>
      </c>
      <c r="D1160" t="s">
        <v>7854</v>
      </c>
      <c r="E1160" t="s">
        <v>7855</v>
      </c>
      <c r="F1160">
        <v>85569572</v>
      </c>
      <c r="G1160">
        <v>771578</v>
      </c>
      <c r="H1160">
        <v>298748</v>
      </c>
      <c r="I1160" t="s">
        <v>7849</v>
      </c>
      <c r="J1160">
        <v>2013</v>
      </c>
      <c r="K1160" t="s">
        <v>7842</v>
      </c>
      <c r="L1160" t="s">
        <v>7837</v>
      </c>
    </row>
    <row r="1161" spans="1:12">
      <c r="A1161" t="s">
        <v>7830</v>
      </c>
      <c r="B1161" t="s">
        <v>7852</v>
      </c>
      <c r="C1161" t="s">
        <v>7853</v>
      </c>
      <c r="D1161" t="s">
        <v>7854</v>
      </c>
      <c r="E1161" t="s">
        <v>7855</v>
      </c>
      <c r="F1161">
        <v>82155420</v>
      </c>
      <c r="G1161">
        <v>531266</v>
      </c>
      <c r="H1161">
        <v>284128</v>
      </c>
      <c r="I1161" t="s">
        <v>7849</v>
      </c>
      <c r="J1161">
        <v>2013</v>
      </c>
      <c r="K1161" t="s">
        <v>7843</v>
      </c>
      <c r="L1161" t="s">
        <v>7837</v>
      </c>
    </row>
    <row r="1162" spans="1:12">
      <c r="A1162" t="s">
        <v>7830</v>
      </c>
      <c r="B1162" t="s">
        <v>7852</v>
      </c>
      <c r="C1162" t="s">
        <v>7853</v>
      </c>
      <c r="D1162" t="s">
        <v>7854</v>
      </c>
      <c r="E1162" t="s">
        <v>7855</v>
      </c>
      <c r="F1162">
        <v>75862189</v>
      </c>
      <c r="G1162">
        <v>690498</v>
      </c>
      <c r="H1162">
        <v>265368</v>
      </c>
      <c r="I1162" t="s">
        <v>7849</v>
      </c>
      <c r="J1162">
        <v>2013</v>
      </c>
      <c r="K1162" t="s">
        <v>7844</v>
      </c>
      <c r="L1162" t="s">
        <v>7837</v>
      </c>
    </row>
    <row r="1163" spans="1:12">
      <c r="A1163" t="s">
        <v>7830</v>
      </c>
      <c r="B1163" t="s">
        <v>7852</v>
      </c>
      <c r="C1163" t="s">
        <v>7853</v>
      </c>
      <c r="D1163" t="s">
        <v>7854</v>
      </c>
      <c r="E1163" t="s">
        <v>7855</v>
      </c>
      <c r="F1163">
        <v>91652426</v>
      </c>
      <c r="G1163">
        <v>905901</v>
      </c>
      <c r="H1163">
        <v>314711</v>
      </c>
      <c r="I1163" t="s">
        <v>7849</v>
      </c>
      <c r="J1163">
        <v>2013</v>
      </c>
      <c r="K1163" t="s">
        <v>7845</v>
      </c>
      <c r="L1163" t="s">
        <v>7837</v>
      </c>
    </row>
    <row r="1164" spans="1:12">
      <c r="A1164" t="s">
        <v>7830</v>
      </c>
      <c r="B1164" t="s">
        <v>7852</v>
      </c>
      <c r="C1164" t="s">
        <v>7853</v>
      </c>
      <c r="D1164" t="s">
        <v>7854</v>
      </c>
      <c r="E1164" t="s">
        <v>7855</v>
      </c>
      <c r="F1164">
        <v>108482114</v>
      </c>
      <c r="G1164">
        <v>929920</v>
      </c>
      <c r="H1164">
        <v>392760</v>
      </c>
      <c r="I1164" t="s">
        <v>7849</v>
      </c>
      <c r="J1164">
        <v>2013</v>
      </c>
      <c r="K1164" t="s">
        <v>7846</v>
      </c>
      <c r="L1164" t="s">
        <v>7837</v>
      </c>
    </row>
    <row r="1165" spans="1:12">
      <c r="A1165" t="s">
        <v>7830</v>
      </c>
      <c r="B1165" t="s">
        <v>7852</v>
      </c>
      <c r="C1165" t="s">
        <v>7853</v>
      </c>
      <c r="D1165" t="s">
        <v>7854</v>
      </c>
      <c r="E1165" t="s">
        <v>7855</v>
      </c>
      <c r="F1165">
        <v>140347663</v>
      </c>
      <c r="G1165">
        <v>2263882</v>
      </c>
      <c r="H1165">
        <v>599139</v>
      </c>
      <c r="I1165" t="s">
        <v>7849</v>
      </c>
      <c r="J1165">
        <v>2013</v>
      </c>
      <c r="K1165" t="s">
        <v>7847</v>
      </c>
      <c r="L1165" t="s">
        <v>7837</v>
      </c>
    </row>
    <row r="1166" spans="1:12">
      <c r="A1166" t="s">
        <v>7830</v>
      </c>
      <c r="B1166" t="s">
        <v>7852</v>
      </c>
      <c r="C1166" t="s">
        <v>7853</v>
      </c>
      <c r="D1166" t="s">
        <v>7854</v>
      </c>
      <c r="E1166" t="s">
        <v>7855</v>
      </c>
      <c r="F1166">
        <v>124984577</v>
      </c>
      <c r="G1166">
        <v>1051805</v>
      </c>
      <c r="H1166">
        <v>484692</v>
      </c>
      <c r="I1166" t="s">
        <v>7849</v>
      </c>
      <c r="J1166">
        <v>2013</v>
      </c>
      <c r="K1166" t="s">
        <v>7848</v>
      </c>
      <c r="L1166" t="s">
        <v>7837</v>
      </c>
    </row>
    <row r="1167" spans="1:12">
      <c r="A1167" t="s">
        <v>7830</v>
      </c>
      <c r="B1167" t="s">
        <v>7852</v>
      </c>
      <c r="C1167" t="s">
        <v>7853</v>
      </c>
      <c r="D1167" t="s">
        <v>7854</v>
      </c>
      <c r="E1167" t="s">
        <v>7855</v>
      </c>
      <c r="F1167">
        <v>87719546</v>
      </c>
      <c r="G1167">
        <v>892390</v>
      </c>
      <c r="H1167">
        <v>308613</v>
      </c>
      <c r="I1167" t="s">
        <v>7849</v>
      </c>
      <c r="J1167">
        <v>2014</v>
      </c>
      <c r="K1167" t="s">
        <v>7836</v>
      </c>
      <c r="L1167" t="s">
        <v>7837</v>
      </c>
    </row>
    <row r="1168" spans="1:12">
      <c r="A1168" t="s">
        <v>7830</v>
      </c>
      <c r="B1168" t="s">
        <v>7852</v>
      </c>
      <c r="C1168" t="s">
        <v>7853</v>
      </c>
      <c r="D1168" t="s">
        <v>7854</v>
      </c>
      <c r="E1168" t="s">
        <v>7855</v>
      </c>
      <c r="F1168">
        <v>78758884</v>
      </c>
      <c r="G1168">
        <v>610632</v>
      </c>
      <c r="H1168">
        <v>250002</v>
      </c>
      <c r="I1168" t="s">
        <v>7849</v>
      </c>
      <c r="J1168">
        <v>2014</v>
      </c>
      <c r="K1168" t="s">
        <v>7838</v>
      </c>
      <c r="L1168" t="s">
        <v>7837</v>
      </c>
    </row>
    <row r="1169" spans="1:12">
      <c r="A1169" t="s">
        <v>7830</v>
      </c>
      <c r="B1169" t="s">
        <v>7852</v>
      </c>
      <c r="C1169" t="s">
        <v>7853</v>
      </c>
      <c r="D1169" t="s">
        <v>7854</v>
      </c>
      <c r="E1169" t="s">
        <v>7855</v>
      </c>
      <c r="F1169">
        <v>93256828</v>
      </c>
      <c r="G1169">
        <v>767228</v>
      </c>
      <c r="H1169">
        <v>395491</v>
      </c>
      <c r="I1169" t="s">
        <v>7849</v>
      </c>
      <c r="J1169">
        <v>2014</v>
      </c>
      <c r="K1169" t="s">
        <v>7839</v>
      </c>
      <c r="L1169" t="s">
        <v>7837</v>
      </c>
    </row>
    <row r="1170" spans="1:12">
      <c r="A1170" t="s">
        <v>7830</v>
      </c>
      <c r="B1170" t="s">
        <v>7852</v>
      </c>
      <c r="C1170" t="s">
        <v>7853</v>
      </c>
      <c r="D1170" t="s">
        <v>7854</v>
      </c>
      <c r="E1170" t="s">
        <v>7855</v>
      </c>
      <c r="F1170">
        <v>99380293</v>
      </c>
      <c r="G1170">
        <v>807523</v>
      </c>
      <c r="H1170">
        <v>349359</v>
      </c>
      <c r="I1170" t="s">
        <v>7849</v>
      </c>
      <c r="J1170">
        <v>2014</v>
      </c>
      <c r="K1170" t="s">
        <v>7840</v>
      </c>
      <c r="L1170" t="s">
        <v>7837</v>
      </c>
    </row>
    <row r="1171" spans="1:12">
      <c r="A1171" t="s">
        <v>7830</v>
      </c>
      <c r="B1171" t="s">
        <v>7852</v>
      </c>
      <c r="C1171" t="s">
        <v>7853</v>
      </c>
      <c r="D1171" t="s">
        <v>7854</v>
      </c>
      <c r="E1171" t="s">
        <v>7855</v>
      </c>
      <c r="F1171">
        <v>86795101</v>
      </c>
      <c r="G1171">
        <v>673996</v>
      </c>
      <c r="H1171">
        <v>285602</v>
      </c>
      <c r="I1171" t="s">
        <v>7849</v>
      </c>
      <c r="J1171">
        <v>2014</v>
      </c>
      <c r="K1171" t="s">
        <v>7841</v>
      </c>
      <c r="L1171" t="s">
        <v>7837</v>
      </c>
    </row>
    <row r="1172" spans="1:12">
      <c r="A1172" t="s">
        <v>7830</v>
      </c>
      <c r="B1172" t="s">
        <v>7852</v>
      </c>
      <c r="C1172" t="s">
        <v>7853</v>
      </c>
      <c r="D1172" t="s">
        <v>7854</v>
      </c>
      <c r="E1172" t="s">
        <v>7855</v>
      </c>
      <c r="F1172">
        <v>95231079</v>
      </c>
      <c r="G1172">
        <v>720193</v>
      </c>
      <c r="H1172">
        <v>304712</v>
      </c>
      <c r="I1172" t="s">
        <v>7849</v>
      </c>
      <c r="J1172">
        <v>2014</v>
      </c>
      <c r="K1172" t="s">
        <v>7842</v>
      </c>
      <c r="L1172" t="s">
        <v>7837</v>
      </c>
    </row>
    <row r="1173" spans="1:12">
      <c r="A1173" t="s">
        <v>7830</v>
      </c>
      <c r="B1173" t="s">
        <v>7852</v>
      </c>
      <c r="C1173" t="s">
        <v>7853</v>
      </c>
      <c r="D1173" t="s">
        <v>7854</v>
      </c>
      <c r="E1173" t="s">
        <v>7855</v>
      </c>
      <c r="F1173">
        <v>89413382</v>
      </c>
      <c r="G1173">
        <v>692269</v>
      </c>
      <c r="H1173">
        <v>288572</v>
      </c>
      <c r="I1173" t="s">
        <v>7849</v>
      </c>
      <c r="J1173">
        <v>2014</v>
      </c>
      <c r="K1173" t="s">
        <v>7843</v>
      </c>
      <c r="L1173" t="s">
        <v>7837</v>
      </c>
    </row>
    <row r="1174" spans="1:12">
      <c r="A1174" t="s">
        <v>7830</v>
      </c>
      <c r="B1174" t="s">
        <v>7852</v>
      </c>
      <c r="C1174" t="s">
        <v>7853</v>
      </c>
      <c r="D1174" t="s">
        <v>7854</v>
      </c>
      <c r="E1174" t="s">
        <v>7855</v>
      </c>
      <c r="F1174">
        <v>98164977</v>
      </c>
      <c r="G1174">
        <v>878814</v>
      </c>
      <c r="H1174">
        <v>349409</v>
      </c>
      <c r="I1174" t="s">
        <v>7849</v>
      </c>
      <c r="J1174">
        <v>2014</v>
      </c>
      <c r="K1174" t="s">
        <v>7844</v>
      </c>
      <c r="L1174" t="s">
        <v>7837</v>
      </c>
    </row>
    <row r="1175" spans="1:12">
      <c r="A1175" t="s">
        <v>7830</v>
      </c>
      <c r="B1175" t="s">
        <v>7852</v>
      </c>
      <c r="C1175" t="s">
        <v>7853</v>
      </c>
      <c r="D1175" t="s">
        <v>7854</v>
      </c>
      <c r="E1175" t="s">
        <v>7855</v>
      </c>
      <c r="F1175">
        <v>125182029</v>
      </c>
      <c r="G1175">
        <v>1127086</v>
      </c>
      <c r="H1175">
        <v>386948</v>
      </c>
      <c r="I1175" t="s">
        <v>7849</v>
      </c>
      <c r="J1175">
        <v>2014</v>
      </c>
      <c r="K1175" t="s">
        <v>7845</v>
      </c>
      <c r="L1175" t="s">
        <v>7837</v>
      </c>
    </row>
    <row r="1176" spans="1:12">
      <c r="A1176" t="s">
        <v>7830</v>
      </c>
      <c r="B1176" t="s">
        <v>7852</v>
      </c>
      <c r="C1176" t="s">
        <v>7853</v>
      </c>
      <c r="D1176" t="s">
        <v>7854</v>
      </c>
      <c r="E1176" t="s">
        <v>7855</v>
      </c>
      <c r="F1176">
        <v>109772142</v>
      </c>
      <c r="G1176">
        <v>1153705</v>
      </c>
      <c r="H1176">
        <v>520559</v>
      </c>
      <c r="I1176" t="s">
        <v>7849</v>
      </c>
      <c r="J1176">
        <v>2014</v>
      </c>
      <c r="K1176" t="s">
        <v>7846</v>
      </c>
      <c r="L1176" t="s">
        <v>7837</v>
      </c>
    </row>
    <row r="1177" spans="1:12">
      <c r="A1177" t="s">
        <v>7830</v>
      </c>
      <c r="B1177" t="s">
        <v>7852</v>
      </c>
      <c r="C1177" t="s">
        <v>7853</v>
      </c>
      <c r="D1177" t="s">
        <v>7854</v>
      </c>
      <c r="E1177" t="s">
        <v>7855</v>
      </c>
      <c r="F1177">
        <v>137421073</v>
      </c>
      <c r="G1177">
        <v>1366173</v>
      </c>
      <c r="H1177">
        <v>610064</v>
      </c>
      <c r="I1177" t="s">
        <v>7849</v>
      </c>
      <c r="J1177">
        <v>2014</v>
      </c>
      <c r="K1177" t="s">
        <v>7847</v>
      </c>
      <c r="L1177" t="s">
        <v>7837</v>
      </c>
    </row>
    <row r="1178" spans="1:12">
      <c r="A1178" t="s">
        <v>7830</v>
      </c>
      <c r="B1178" t="s">
        <v>7852</v>
      </c>
      <c r="C1178" t="s">
        <v>7853</v>
      </c>
      <c r="D1178" t="s">
        <v>7854</v>
      </c>
      <c r="E1178" t="s">
        <v>7855</v>
      </c>
      <c r="F1178">
        <v>89296882</v>
      </c>
      <c r="G1178">
        <v>812196</v>
      </c>
      <c r="H1178">
        <v>386388</v>
      </c>
      <c r="I1178" t="s">
        <v>7849</v>
      </c>
      <c r="J1178">
        <v>2014</v>
      </c>
      <c r="K1178" t="s">
        <v>7848</v>
      </c>
      <c r="L1178" t="s">
        <v>7837</v>
      </c>
    </row>
    <row r="1179" spans="1:12">
      <c r="A1179" t="s">
        <v>7830</v>
      </c>
      <c r="B1179" t="s">
        <v>7852</v>
      </c>
      <c r="C1179" t="s">
        <v>7853</v>
      </c>
      <c r="D1179" t="s">
        <v>7854</v>
      </c>
      <c r="E1179" t="s">
        <v>7855</v>
      </c>
      <c r="F1179">
        <v>98270500</v>
      </c>
      <c r="G1179">
        <v>3960371</v>
      </c>
      <c r="H1179">
        <v>443618</v>
      </c>
      <c r="I1179" t="s">
        <v>7849</v>
      </c>
      <c r="J1179">
        <v>2015</v>
      </c>
      <c r="K1179" t="s">
        <v>7836</v>
      </c>
      <c r="L1179" t="s">
        <v>7837</v>
      </c>
    </row>
    <row r="1180" spans="1:12">
      <c r="A1180" t="s">
        <v>7830</v>
      </c>
      <c r="B1180" t="s">
        <v>7852</v>
      </c>
      <c r="C1180" t="s">
        <v>7853</v>
      </c>
      <c r="D1180" t="s">
        <v>7854</v>
      </c>
      <c r="E1180" t="s">
        <v>7855</v>
      </c>
      <c r="F1180">
        <v>69073086</v>
      </c>
      <c r="G1180">
        <v>583290</v>
      </c>
      <c r="H1180">
        <v>271495</v>
      </c>
      <c r="I1180" t="s">
        <v>7849</v>
      </c>
      <c r="J1180">
        <v>2015</v>
      </c>
      <c r="K1180" t="s">
        <v>7838</v>
      </c>
      <c r="L1180" t="s">
        <v>7837</v>
      </c>
    </row>
    <row r="1181" spans="1:12">
      <c r="A1181" t="s">
        <v>7830</v>
      </c>
      <c r="B1181" t="s">
        <v>7852</v>
      </c>
      <c r="C1181" t="s">
        <v>7853</v>
      </c>
      <c r="D1181" t="s">
        <v>7854</v>
      </c>
      <c r="E1181" t="s">
        <v>7855</v>
      </c>
      <c r="F1181">
        <v>95645180</v>
      </c>
      <c r="G1181">
        <v>839369</v>
      </c>
      <c r="H1181">
        <v>390959</v>
      </c>
      <c r="I1181" t="s">
        <v>7849</v>
      </c>
      <c r="J1181">
        <v>2015</v>
      </c>
      <c r="K1181" t="s">
        <v>7839</v>
      </c>
      <c r="L1181" t="s">
        <v>7837</v>
      </c>
    </row>
    <row r="1182" spans="1:12">
      <c r="A1182" t="s">
        <v>7830</v>
      </c>
      <c r="B1182" t="s">
        <v>7852</v>
      </c>
      <c r="C1182" t="s">
        <v>7853</v>
      </c>
      <c r="D1182" t="s">
        <v>7854</v>
      </c>
      <c r="E1182" t="s">
        <v>7855</v>
      </c>
      <c r="F1182">
        <v>84670390</v>
      </c>
      <c r="G1182">
        <v>725208</v>
      </c>
      <c r="H1182">
        <v>294667</v>
      </c>
      <c r="I1182" t="s">
        <v>7849</v>
      </c>
      <c r="J1182">
        <v>2015</v>
      </c>
      <c r="K1182" t="s">
        <v>7840</v>
      </c>
      <c r="L1182" t="s">
        <v>7837</v>
      </c>
    </row>
    <row r="1183" spans="1:12">
      <c r="A1183" t="s">
        <v>7830</v>
      </c>
      <c r="B1183" t="s">
        <v>7852</v>
      </c>
      <c r="C1183" t="s">
        <v>7853</v>
      </c>
      <c r="D1183" t="s">
        <v>7854</v>
      </c>
      <c r="E1183" t="s">
        <v>7855</v>
      </c>
      <c r="F1183">
        <v>66581117</v>
      </c>
      <c r="G1183">
        <v>516879</v>
      </c>
      <c r="H1183">
        <v>220595</v>
      </c>
      <c r="I1183" t="s">
        <v>7849</v>
      </c>
      <c r="J1183">
        <v>2015</v>
      </c>
      <c r="K1183" t="s">
        <v>7841</v>
      </c>
      <c r="L1183" t="s">
        <v>7837</v>
      </c>
    </row>
    <row r="1184" spans="1:12">
      <c r="A1184" t="s">
        <v>7830</v>
      </c>
      <c r="B1184" t="s">
        <v>7852</v>
      </c>
      <c r="C1184" t="s">
        <v>7853</v>
      </c>
      <c r="D1184" t="s">
        <v>7854</v>
      </c>
      <c r="E1184" t="s">
        <v>7855</v>
      </c>
      <c r="F1184">
        <v>104122140</v>
      </c>
      <c r="G1184">
        <v>865241</v>
      </c>
      <c r="H1184">
        <v>369633</v>
      </c>
      <c r="I1184" t="s">
        <v>7849</v>
      </c>
      <c r="J1184">
        <v>2015</v>
      </c>
      <c r="K1184" t="s">
        <v>7842</v>
      </c>
      <c r="L1184" t="s">
        <v>7837</v>
      </c>
    </row>
    <row r="1185" spans="1:12">
      <c r="A1185" t="s">
        <v>7830</v>
      </c>
      <c r="B1185" t="s">
        <v>7852</v>
      </c>
      <c r="C1185" t="s">
        <v>7853</v>
      </c>
      <c r="D1185" t="s">
        <v>7854</v>
      </c>
      <c r="E1185" t="s">
        <v>7855</v>
      </c>
      <c r="F1185">
        <v>107865834</v>
      </c>
      <c r="G1185">
        <v>1083534</v>
      </c>
      <c r="H1185">
        <v>497263</v>
      </c>
      <c r="I1185" t="s">
        <v>7849</v>
      </c>
      <c r="J1185">
        <v>2015</v>
      </c>
      <c r="K1185" t="s">
        <v>7843</v>
      </c>
      <c r="L1185" t="s">
        <v>7837</v>
      </c>
    </row>
    <row r="1186" spans="1:12">
      <c r="A1186" t="s">
        <v>7830</v>
      </c>
      <c r="B1186" t="s">
        <v>7852</v>
      </c>
      <c r="C1186" t="s">
        <v>7853</v>
      </c>
      <c r="D1186" t="s">
        <v>7854</v>
      </c>
      <c r="E1186" t="s">
        <v>7855</v>
      </c>
      <c r="F1186">
        <v>61588240</v>
      </c>
      <c r="G1186">
        <v>726291</v>
      </c>
      <c r="H1186">
        <v>324569</v>
      </c>
      <c r="I1186" t="s">
        <v>7849</v>
      </c>
      <c r="J1186">
        <v>2015</v>
      </c>
      <c r="K1186" t="s">
        <v>7844</v>
      </c>
      <c r="L1186" t="s">
        <v>7837</v>
      </c>
    </row>
    <row r="1187" spans="1:12">
      <c r="A1187" t="s">
        <v>7830</v>
      </c>
      <c r="B1187" t="s">
        <v>7852</v>
      </c>
      <c r="C1187" t="s">
        <v>7853</v>
      </c>
      <c r="D1187" t="s">
        <v>7854</v>
      </c>
      <c r="E1187" t="s">
        <v>7855</v>
      </c>
      <c r="F1187">
        <v>119975786</v>
      </c>
      <c r="G1187">
        <v>1015515</v>
      </c>
      <c r="H1187">
        <v>442345</v>
      </c>
      <c r="I1187" t="s">
        <v>7849</v>
      </c>
      <c r="J1187">
        <v>2015</v>
      </c>
      <c r="K1187" t="s">
        <v>7845</v>
      </c>
      <c r="L1187" t="s">
        <v>7837</v>
      </c>
    </row>
    <row r="1188" spans="1:12">
      <c r="A1188" t="s">
        <v>7830</v>
      </c>
      <c r="B1188" t="s">
        <v>7852</v>
      </c>
      <c r="C1188" t="s">
        <v>7853</v>
      </c>
      <c r="D1188" t="s">
        <v>7854</v>
      </c>
      <c r="E1188" t="s">
        <v>7855</v>
      </c>
      <c r="F1188">
        <v>116493847</v>
      </c>
      <c r="G1188">
        <v>1075684</v>
      </c>
      <c r="H1188">
        <v>457656</v>
      </c>
      <c r="I1188" t="s">
        <v>7849</v>
      </c>
      <c r="J1188">
        <v>2015</v>
      </c>
      <c r="K1188" t="s">
        <v>7846</v>
      </c>
      <c r="L1188" t="s">
        <v>7837</v>
      </c>
    </row>
    <row r="1189" spans="1:12">
      <c r="A1189" t="s">
        <v>7830</v>
      </c>
      <c r="B1189" t="s">
        <v>7852</v>
      </c>
      <c r="C1189" t="s">
        <v>7853</v>
      </c>
      <c r="D1189" t="s">
        <v>7854</v>
      </c>
      <c r="E1189" t="s">
        <v>7855</v>
      </c>
      <c r="F1189">
        <v>105770526</v>
      </c>
      <c r="G1189">
        <v>996334</v>
      </c>
      <c r="H1189">
        <v>470040</v>
      </c>
      <c r="I1189" t="s">
        <v>7849</v>
      </c>
      <c r="J1189">
        <v>2015</v>
      </c>
      <c r="K1189" t="s">
        <v>7847</v>
      </c>
      <c r="L1189" t="s">
        <v>7837</v>
      </c>
    </row>
    <row r="1190" spans="1:12">
      <c r="A1190" t="s">
        <v>7830</v>
      </c>
      <c r="B1190" t="s">
        <v>7852</v>
      </c>
      <c r="C1190" t="s">
        <v>7853</v>
      </c>
      <c r="D1190" t="s">
        <v>7854</v>
      </c>
      <c r="E1190" t="s">
        <v>7855</v>
      </c>
      <c r="F1190">
        <v>98453933</v>
      </c>
      <c r="G1190">
        <v>799989</v>
      </c>
      <c r="H1190">
        <v>377136</v>
      </c>
      <c r="I1190" t="s">
        <v>7849</v>
      </c>
      <c r="J1190">
        <v>2015</v>
      </c>
      <c r="K1190" t="s">
        <v>7848</v>
      </c>
      <c r="L1190" t="s">
        <v>7837</v>
      </c>
    </row>
    <row r="1191" spans="1:12">
      <c r="A1191" t="s">
        <v>7830</v>
      </c>
      <c r="B1191" t="s">
        <v>7852</v>
      </c>
      <c r="C1191" t="s">
        <v>7853</v>
      </c>
      <c r="D1191" t="s">
        <v>7854</v>
      </c>
      <c r="E1191" t="s">
        <v>7855</v>
      </c>
      <c r="F1191">
        <v>84806725</v>
      </c>
      <c r="G1191">
        <v>882898</v>
      </c>
      <c r="H1191">
        <v>450562</v>
      </c>
      <c r="I1191" t="s">
        <v>7849</v>
      </c>
      <c r="J1191">
        <v>2016</v>
      </c>
      <c r="K1191" t="s">
        <v>7836</v>
      </c>
      <c r="L1191" t="s">
        <v>7837</v>
      </c>
    </row>
    <row r="1192" spans="1:12">
      <c r="A1192" t="s">
        <v>7830</v>
      </c>
      <c r="B1192" t="s">
        <v>7852</v>
      </c>
      <c r="C1192" t="s">
        <v>7853</v>
      </c>
      <c r="D1192" t="s">
        <v>7854</v>
      </c>
      <c r="E1192" t="s">
        <v>7855</v>
      </c>
      <c r="F1192">
        <v>74132764</v>
      </c>
      <c r="G1192">
        <v>683502</v>
      </c>
      <c r="H1192">
        <v>315193</v>
      </c>
      <c r="I1192" t="s">
        <v>7849</v>
      </c>
      <c r="J1192">
        <v>2016</v>
      </c>
      <c r="K1192" t="s">
        <v>7838</v>
      </c>
      <c r="L1192" t="s">
        <v>7837</v>
      </c>
    </row>
    <row r="1193" spans="1:12">
      <c r="A1193" t="s">
        <v>7830</v>
      </c>
      <c r="B1193" t="s">
        <v>7852</v>
      </c>
      <c r="C1193" t="s">
        <v>7853</v>
      </c>
      <c r="D1193" t="s">
        <v>7854</v>
      </c>
      <c r="E1193" t="s">
        <v>7855</v>
      </c>
      <c r="F1193">
        <v>89976139</v>
      </c>
      <c r="G1193">
        <v>729420</v>
      </c>
      <c r="H1193">
        <v>352289</v>
      </c>
      <c r="I1193" t="s">
        <v>7849</v>
      </c>
      <c r="J1193">
        <v>2016</v>
      </c>
      <c r="K1193" t="s">
        <v>7839</v>
      </c>
      <c r="L1193" t="s">
        <v>7837</v>
      </c>
    </row>
    <row r="1194" spans="1:12">
      <c r="A1194" t="s">
        <v>7830</v>
      </c>
      <c r="B1194" t="s">
        <v>7852</v>
      </c>
      <c r="C1194" t="s">
        <v>7853</v>
      </c>
      <c r="D1194" t="s">
        <v>7854</v>
      </c>
      <c r="E1194" t="s">
        <v>7855</v>
      </c>
      <c r="F1194">
        <v>72200631</v>
      </c>
      <c r="G1194">
        <v>648106</v>
      </c>
      <c r="H1194">
        <v>325949</v>
      </c>
      <c r="I1194" t="s">
        <v>7849</v>
      </c>
      <c r="J1194">
        <v>2016</v>
      </c>
      <c r="K1194" t="s">
        <v>7840</v>
      </c>
      <c r="L1194" t="s">
        <v>7837</v>
      </c>
    </row>
    <row r="1195" spans="1:12">
      <c r="A1195" t="s">
        <v>7830</v>
      </c>
      <c r="B1195" t="s">
        <v>7852</v>
      </c>
      <c r="C1195" t="s">
        <v>7853</v>
      </c>
      <c r="D1195" t="s">
        <v>7854</v>
      </c>
      <c r="E1195" t="s">
        <v>7855</v>
      </c>
      <c r="F1195">
        <v>69540067</v>
      </c>
      <c r="G1195">
        <v>601943</v>
      </c>
      <c r="H1195">
        <v>316660</v>
      </c>
      <c r="I1195" t="s">
        <v>7849</v>
      </c>
      <c r="J1195">
        <v>2016</v>
      </c>
      <c r="K1195" t="s">
        <v>7841</v>
      </c>
      <c r="L1195" t="s">
        <v>7837</v>
      </c>
    </row>
    <row r="1196" spans="1:12">
      <c r="A1196" t="s">
        <v>7830</v>
      </c>
      <c r="B1196" t="s">
        <v>7852</v>
      </c>
      <c r="C1196" t="s">
        <v>7853</v>
      </c>
      <c r="D1196" t="s">
        <v>7854</v>
      </c>
      <c r="E1196" t="s">
        <v>7855</v>
      </c>
      <c r="F1196">
        <v>97721919</v>
      </c>
      <c r="G1196">
        <v>901518</v>
      </c>
      <c r="H1196">
        <v>516200</v>
      </c>
      <c r="I1196" t="s">
        <v>7849</v>
      </c>
      <c r="J1196">
        <v>2016</v>
      </c>
      <c r="K1196" t="s">
        <v>7842</v>
      </c>
      <c r="L1196" t="s">
        <v>7837</v>
      </c>
    </row>
    <row r="1197" spans="1:12">
      <c r="A1197" t="s">
        <v>7830</v>
      </c>
      <c r="B1197" t="s">
        <v>7852</v>
      </c>
      <c r="C1197" t="s">
        <v>7853</v>
      </c>
      <c r="D1197" t="s">
        <v>7854</v>
      </c>
      <c r="E1197" t="s">
        <v>7855</v>
      </c>
      <c r="F1197">
        <v>86262460</v>
      </c>
      <c r="G1197">
        <v>775941</v>
      </c>
      <c r="H1197">
        <v>391893</v>
      </c>
      <c r="I1197" t="s">
        <v>7849</v>
      </c>
      <c r="J1197">
        <v>2016</v>
      </c>
      <c r="K1197" t="s">
        <v>7843</v>
      </c>
      <c r="L1197" t="s">
        <v>7837</v>
      </c>
    </row>
    <row r="1198" spans="1:12">
      <c r="A1198" t="s">
        <v>7830</v>
      </c>
      <c r="B1198" t="s">
        <v>7852</v>
      </c>
      <c r="C1198" t="s">
        <v>7853</v>
      </c>
      <c r="D1198" t="s">
        <v>7854</v>
      </c>
      <c r="E1198" t="s">
        <v>7855</v>
      </c>
      <c r="F1198">
        <v>87684863</v>
      </c>
      <c r="G1198">
        <v>715066</v>
      </c>
      <c r="H1198">
        <v>350278</v>
      </c>
      <c r="I1198" t="s">
        <v>7849</v>
      </c>
      <c r="J1198">
        <v>2016</v>
      </c>
      <c r="K1198" t="s">
        <v>7844</v>
      </c>
      <c r="L1198" t="s">
        <v>7837</v>
      </c>
    </row>
    <row r="1199" spans="1:12">
      <c r="A1199" t="s">
        <v>7830</v>
      </c>
      <c r="B1199" t="s">
        <v>7852</v>
      </c>
      <c r="C1199" t="s">
        <v>7853</v>
      </c>
      <c r="D1199" t="s">
        <v>7854</v>
      </c>
      <c r="E1199" t="s">
        <v>7855</v>
      </c>
      <c r="F1199">
        <v>112313499</v>
      </c>
      <c r="G1199">
        <v>1321564</v>
      </c>
      <c r="H1199">
        <v>610373</v>
      </c>
      <c r="I1199" t="s">
        <v>7849</v>
      </c>
      <c r="J1199">
        <v>2016</v>
      </c>
      <c r="K1199" t="s">
        <v>7845</v>
      </c>
      <c r="L1199" t="s">
        <v>7837</v>
      </c>
    </row>
    <row r="1200" spans="1:12">
      <c r="A1200" t="s">
        <v>7830</v>
      </c>
      <c r="B1200" t="s">
        <v>7852</v>
      </c>
      <c r="C1200" t="s">
        <v>7853</v>
      </c>
      <c r="D1200" t="s">
        <v>7854</v>
      </c>
      <c r="E1200" t="s">
        <v>7855</v>
      </c>
      <c r="F1200">
        <v>100328481</v>
      </c>
      <c r="G1200">
        <v>758669</v>
      </c>
      <c r="H1200">
        <v>451249</v>
      </c>
      <c r="I1200" t="s">
        <v>7849</v>
      </c>
      <c r="J1200">
        <v>2016</v>
      </c>
      <c r="K1200" t="s">
        <v>7846</v>
      </c>
      <c r="L1200" t="s">
        <v>7837</v>
      </c>
    </row>
    <row r="1201" spans="1:12">
      <c r="A1201" t="s">
        <v>7830</v>
      </c>
      <c r="B1201" t="s">
        <v>7852</v>
      </c>
      <c r="C1201" t="s">
        <v>7853</v>
      </c>
      <c r="D1201" t="s">
        <v>7854</v>
      </c>
      <c r="E1201" t="s">
        <v>7855</v>
      </c>
      <c r="F1201">
        <v>114188271</v>
      </c>
      <c r="G1201">
        <v>792219</v>
      </c>
      <c r="H1201">
        <v>413844</v>
      </c>
      <c r="I1201" t="s">
        <v>7849</v>
      </c>
      <c r="J1201">
        <v>2016</v>
      </c>
      <c r="K1201" t="s">
        <v>7847</v>
      </c>
      <c r="L1201" t="s">
        <v>7837</v>
      </c>
    </row>
    <row r="1202" spans="1:12">
      <c r="A1202" t="s">
        <v>7830</v>
      </c>
      <c r="B1202" t="s">
        <v>7852</v>
      </c>
      <c r="C1202" t="s">
        <v>7853</v>
      </c>
      <c r="D1202" t="s">
        <v>7854</v>
      </c>
      <c r="E1202" t="s">
        <v>7855</v>
      </c>
      <c r="F1202">
        <v>146792473</v>
      </c>
      <c r="G1202">
        <v>1056984</v>
      </c>
      <c r="H1202">
        <v>604214</v>
      </c>
      <c r="I1202" t="s">
        <v>7849</v>
      </c>
      <c r="J1202">
        <v>2016</v>
      </c>
      <c r="K1202" t="s">
        <v>7848</v>
      </c>
      <c r="L1202" t="s">
        <v>7837</v>
      </c>
    </row>
    <row r="1203" spans="1:12">
      <c r="A1203" t="s">
        <v>7830</v>
      </c>
      <c r="B1203" t="s">
        <v>7852</v>
      </c>
      <c r="C1203" t="s">
        <v>7853</v>
      </c>
      <c r="D1203" t="s">
        <v>7854</v>
      </c>
      <c r="E1203" t="s">
        <v>7855</v>
      </c>
      <c r="F1203">
        <v>97191583</v>
      </c>
      <c r="G1203">
        <v>567815</v>
      </c>
      <c r="H1203">
        <v>329152</v>
      </c>
      <c r="I1203" t="s">
        <v>7849</v>
      </c>
      <c r="J1203">
        <v>2017</v>
      </c>
      <c r="K1203" t="s">
        <v>7836</v>
      </c>
      <c r="L1203" t="s">
        <v>7837</v>
      </c>
    </row>
    <row r="1204" spans="1:12">
      <c r="A1204" t="s">
        <v>7830</v>
      </c>
      <c r="B1204" t="s">
        <v>7852</v>
      </c>
      <c r="C1204" t="s">
        <v>7853</v>
      </c>
      <c r="D1204" t="s">
        <v>7854</v>
      </c>
      <c r="E1204" t="s">
        <v>7855</v>
      </c>
      <c r="F1204">
        <v>95786614</v>
      </c>
      <c r="G1204">
        <v>559220</v>
      </c>
      <c r="H1204">
        <v>277315</v>
      </c>
      <c r="I1204" t="s">
        <v>7849</v>
      </c>
      <c r="J1204">
        <v>2017</v>
      </c>
      <c r="K1204" t="s">
        <v>7838</v>
      </c>
      <c r="L1204" t="s">
        <v>7837</v>
      </c>
    </row>
    <row r="1205" spans="1:12">
      <c r="A1205" t="s">
        <v>7830</v>
      </c>
      <c r="B1205" t="s">
        <v>7852</v>
      </c>
      <c r="C1205" t="s">
        <v>7853</v>
      </c>
      <c r="D1205" t="s">
        <v>7854</v>
      </c>
      <c r="E1205" t="s">
        <v>7855</v>
      </c>
      <c r="F1205">
        <v>131022495</v>
      </c>
      <c r="G1205">
        <v>734735</v>
      </c>
      <c r="H1205">
        <v>365230</v>
      </c>
      <c r="I1205" t="s">
        <v>7849</v>
      </c>
      <c r="J1205">
        <v>2017</v>
      </c>
      <c r="K1205" t="s">
        <v>7839</v>
      </c>
      <c r="L1205" t="s">
        <v>7837</v>
      </c>
    </row>
    <row r="1206" spans="1:12">
      <c r="A1206" t="s">
        <v>7830</v>
      </c>
      <c r="B1206" t="s">
        <v>7852</v>
      </c>
      <c r="C1206" t="s">
        <v>7853</v>
      </c>
      <c r="D1206" t="s">
        <v>7854</v>
      </c>
      <c r="E1206" t="s">
        <v>7855</v>
      </c>
      <c r="F1206">
        <v>98215410</v>
      </c>
      <c r="G1206">
        <v>562531</v>
      </c>
      <c r="H1206">
        <v>288363</v>
      </c>
      <c r="I1206" t="s">
        <v>7849</v>
      </c>
      <c r="J1206">
        <v>2017</v>
      </c>
      <c r="K1206" t="s">
        <v>7840</v>
      </c>
      <c r="L1206" t="s">
        <v>7837</v>
      </c>
    </row>
    <row r="1207" spans="1:12">
      <c r="A1207" t="s">
        <v>7830</v>
      </c>
      <c r="B1207" t="s">
        <v>7852</v>
      </c>
      <c r="C1207" t="s">
        <v>7853</v>
      </c>
      <c r="D1207" t="s">
        <v>7854</v>
      </c>
      <c r="E1207" t="s">
        <v>7855</v>
      </c>
      <c r="F1207">
        <v>93988212</v>
      </c>
      <c r="G1207">
        <v>600555</v>
      </c>
      <c r="H1207">
        <v>280549</v>
      </c>
      <c r="I1207" t="s">
        <v>7849</v>
      </c>
      <c r="J1207">
        <v>2017</v>
      </c>
      <c r="K1207" t="s">
        <v>7841</v>
      </c>
      <c r="L1207" t="s">
        <v>7837</v>
      </c>
    </row>
    <row r="1208" spans="1:12">
      <c r="A1208" t="s">
        <v>7830</v>
      </c>
      <c r="B1208" t="s">
        <v>7852</v>
      </c>
      <c r="C1208" t="s">
        <v>7853</v>
      </c>
      <c r="D1208" t="s">
        <v>7854</v>
      </c>
      <c r="E1208" t="s">
        <v>7855</v>
      </c>
      <c r="F1208">
        <v>136014226</v>
      </c>
      <c r="G1208">
        <v>847880</v>
      </c>
      <c r="H1208">
        <v>434247</v>
      </c>
      <c r="I1208" t="s">
        <v>7849</v>
      </c>
      <c r="J1208">
        <v>2017</v>
      </c>
      <c r="K1208" t="s">
        <v>7842</v>
      </c>
      <c r="L1208" t="s">
        <v>7837</v>
      </c>
    </row>
    <row r="1209" spans="1:12">
      <c r="A1209" t="s">
        <v>7830</v>
      </c>
      <c r="B1209" t="s">
        <v>7852</v>
      </c>
      <c r="C1209" t="s">
        <v>7853</v>
      </c>
      <c r="D1209" t="s">
        <v>7854</v>
      </c>
      <c r="E1209" t="s">
        <v>7855</v>
      </c>
      <c r="F1209">
        <v>109364552</v>
      </c>
      <c r="G1209">
        <v>655353</v>
      </c>
      <c r="H1209">
        <v>319705</v>
      </c>
      <c r="I1209" t="s">
        <v>7849</v>
      </c>
      <c r="J1209">
        <v>2017</v>
      </c>
      <c r="K1209" t="s">
        <v>7843</v>
      </c>
      <c r="L1209" t="s">
        <v>7837</v>
      </c>
    </row>
    <row r="1210" spans="1:12">
      <c r="A1210" t="s">
        <v>7830</v>
      </c>
      <c r="B1210" t="s">
        <v>7852</v>
      </c>
      <c r="C1210" t="s">
        <v>7853</v>
      </c>
      <c r="D1210" t="s">
        <v>7854</v>
      </c>
      <c r="E1210" t="s">
        <v>7855</v>
      </c>
      <c r="F1210">
        <v>116630130</v>
      </c>
      <c r="G1210">
        <v>717656</v>
      </c>
      <c r="H1210">
        <v>432663</v>
      </c>
      <c r="I1210" t="s">
        <v>7849</v>
      </c>
      <c r="J1210">
        <v>2017</v>
      </c>
      <c r="K1210" t="s">
        <v>7844</v>
      </c>
      <c r="L1210" t="s">
        <v>7837</v>
      </c>
    </row>
    <row r="1211" spans="1:12">
      <c r="A1211" t="s">
        <v>7830</v>
      </c>
      <c r="B1211" t="s">
        <v>7852</v>
      </c>
      <c r="C1211" t="s">
        <v>7853</v>
      </c>
      <c r="D1211" t="s">
        <v>7854</v>
      </c>
      <c r="E1211" t="s">
        <v>7855</v>
      </c>
      <c r="F1211">
        <v>193947501</v>
      </c>
      <c r="G1211">
        <v>1206577</v>
      </c>
      <c r="H1211">
        <v>1222426</v>
      </c>
      <c r="I1211" t="s">
        <v>7849</v>
      </c>
      <c r="J1211">
        <v>2017</v>
      </c>
      <c r="K1211" t="s">
        <v>7845</v>
      </c>
      <c r="L1211" t="s">
        <v>7837</v>
      </c>
    </row>
    <row r="1212" spans="1:12">
      <c r="A1212" t="s">
        <v>7830</v>
      </c>
      <c r="B1212" t="s">
        <v>7852</v>
      </c>
      <c r="C1212" t="s">
        <v>7853</v>
      </c>
      <c r="D1212" t="s">
        <v>7854</v>
      </c>
      <c r="E1212" t="s">
        <v>7855</v>
      </c>
      <c r="F1212">
        <v>161070990</v>
      </c>
      <c r="G1212">
        <v>1280373</v>
      </c>
      <c r="H1212">
        <v>480579</v>
      </c>
      <c r="I1212" t="s">
        <v>7849</v>
      </c>
      <c r="J1212">
        <v>2017</v>
      </c>
      <c r="K1212" t="s">
        <v>7846</v>
      </c>
      <c r="L1212" t="s">
        <v>7837</v>
      </c>
    </row>
    <row r="1213" spans="1:12">
      <c r="A1213" t="s">
        <v>7830</v>
      </c>
      <c r="B1213" t="s">
        <v>7852</v>
      </c>
      <c r="C1213" t="s">
        <v>7853</v>
      </c>
      <c r="D1213" t="s">
        <v>7854</v>
      </c>
      <c r="E1213" t="s">
        <v>7855</v>
      </c>
      <c r="F1213">
        <v>172445497</v>
      </c>
      <c r="G1213">
        <v>1078500</v>
      </c>
      <c r="H1213">
        <v>634864</v>
      </c>
      <c r="I1213" t="s">
        <v>7849</v>
      </c>
      <c r="J1213">
        <v>2017</v>
      </c>
      <c r="K1213" t="s">
        <v>7847</v>
      </c>
      <c r="L1213" t="s">
        <v>7837</v>
      </c>
    </row>
    <row r="1214" spans="1:12">
      <c r="A1214" t="s">
        <v>7830</v>
      </c>
      <c r="B1214" t="s">
        <v>7852</v>
      </c>
      <c r="C1214" t="s">
        <v>7853</v>
      </c>
      <c r="D1214" t="s">
        <v>7854</v>
      </c>
      <c r="E1214" t="s">
        <v>7855</v>
      </c>
      <c r="F1214">
        <v>131234396</v>
      </c>
      <c r="G1214">
        <v>835977</v>
      </c>
      <c r="H1214">
        <v>426902</v>
      </c>
      <c r="I1214" t="s">
        <v>7849</v>
      </c>
      <c r="J1214">
        <v>2017</v>
      </c>
      <c r="K1214" t="s">
        <v>7848</v>
      </c>
      <c r="L1214" t="s">
        <v>7837</v>
      </c>
    </row>
    <row r="1215" spans="1:12">
      <c r="A1215" t="s">
        <v>7830</v>
      </c>
      <c r="B1215" t="s">
        <v>7852</v>
      </c>
      <c r="C1215" t="s">
        <v>7853</v>
      </c>
      <c r="D1215" t="s">
        <v>7854</v>
      </c>
      <c r="E1215" t="s">
        <v>7855</v>
      </c>
      <c r="F1215">
        <v>113194340</v>
      </c>
      <c r="G1215">
        <v>722306</v>
      </c>
      <c r="H1215">
        <v>406349</v>
      </c>
      <c r="I1215" t="s">
        <v>7849</v>
      </c>
      <c r="J1215">
        <v>2018</v>
      </c>
      <c r="K1215" t="s">
        <v>7836</v>
      </c>
      <c r="L1215" t="s">
        <v>7837</v>
      </c>
    </row>
    <row r="1216" spans="1:12">
      <c r="A1216" t="s">
        <v>7830</v>
      </c>
      <c r="B1216" t="s">
        <v>7852</v>
      </c>
      <c r="C1216" t="s">
        <v>7853</v>
      </c>
      <c r="D1216" t="s">
        <v>7854</v>
      </c>
      <c r="E1216" t="s">
        <v>7855</v>
      </c>
      <c r="F1216">
        <v>106641054</v>
      </c>
      <c r="G1216">
        <v>691750</v>
      </c>
      <c r="H1216">
        <v>350892</v>
      </c>
      <c r="I1216" t="s">
        <v>7849</v>
      </c>
      <c r="J1216">
        <v>2018</v>
      </c>
      <c r="K1216" t="s">
        <v>7838</v>
      </c>
      <c r="L1216" t="s">
        <v>7837</v>
      </c>
    </row>
    <row r="1217" spans="1:12">
      <c r="A1217" t="s">
        <v>7830</v>
      </c>
      <c r="B1217" t="s">
        <v>7852</v>
      </c>
      <c r="C1217" t="s">
        <v>7853</v>
      </c>
      <c r="D1217" t="s">
        <v>7854</v>
      </c>
      <c r="E1217" t="s">
        <v>7855</v>
      </c>
      <c r="F1217">
        <v>145017758</v>
      </c>
      <c r="G1217">
        <v>791024</v>
      </c>
      <c r="H1217">
        <v>352989</v>
      </c>
      <c r="I1217" t="s">
        <v>7849</v>
      </c>
      <c r="J1217">
        <v>2018</v>
      </c>
      <c r="K1217" t="s">
        <v>7839</v>
      </c>
      <c r="L1217" t="s">
        <v>7837</v>
      </c>
    </row>
    <row r="1218" spans="1:12">
      <c r="A1218" t="s">
        <v>7830</v>
      </c>
      <c r="B1218" t="s">
        <v>7852</v>
      </c>
      <c r="C1218" t="s">
        <v>7853</v>
      </c>
      <c r="D1218" t="s">
        <v>7854</v>
      </c>
      <c r="E1218" t="s">
        <v>7855</v>
      </c>
      <c r="F1218">
        <v>89407942</v>
      </c>
      <c r="G1218">
        <v>680770</v>
      </c>
      <c r="H1218">
        <v>288420</v>
      </c>
      <c r="I1218" t="s">
        <v>7849</v>
      </c>
      <c r="J1218">
        <v>2018</v>
      </c>
      <c r="K1218" t="s">
        <v>7840</v>
      </c>
      <c r="L1218" t="s">
        <v>7837</v>
      </c>
    </row>
    <row r="1219" spans="1:12">
      <c r="A1219" t="s">
        <v>7830</v>
      </c>
      <c r="B1219" t="s">
        <v>7852</v>
      </c>
      <c r="C1219" t="s">
        <v>7853</v>
      </c>
      <c r="D1219" t="s">
        <v>7854</v>
      </c>
      <c r="E1219" t="s">
        <v>7855</v>
      </c>
      <c r="F1219">
        <v>96560072</v>
      </c>
      <c r="G1219">
        <v>634476</v>
      </c>
      <c r="H1219">
        <v>274014</v>
      </c>
      <c r="I1219" t="s">
        <v>7849</v>
      </c>
      <c r="J1219">
        <v>2018</v>
      </c>
      <c r="K1219" t="s">
        <v>7841</v>
      </c>
      <c r="L1219" t="s">
        <v>7837</v>
      </c>
    </row>
    <row r="1220" spans="1:12">
      <c r="A1220" t="s">
        <v>7830</v>
      </c>
      <c r="B1220" t="s">
        <v>7852</v>
      </c>
      <c r="C1220" t="s">
        <v>7853</v>
      </c>
      <c r="D1220" t="s">
        <v>7854</v>
      </c>
      <c r="E1220" t="s">
        <v>7855</v>
      </c>
      <c r="F1220">
        <v>156921879</v>
      </c>
      <c r="G1220">
        <v>891790</v>
      </c>
      <c r="H1220">
        <v>462597</v>
      </c>
      <c r="I1220" t="s">
        <v>7849</v>
      </c>
      <c r="J1220">
        <v>2018</v>
      </c>
      <c r="K1220" t="s">
        <v>7842</v>
      </c>
      <c r="L1220" t="s">
        <v>7837</v>
      </c>
    </row>
    <row r="1221" spans="1:12">
      <c r="A1221" t="s">
        <v>7830</v>
      </c>
      <c r="B1221" t="s">
        <v>7852</v>
      </c>
      <c r="C1221" t="s">
        <v>7853</v>
      </c>
      <c r="D1221" t="s">
        <v>7854</v>
      </c>
      <c r="E1221" t="s">
        <v>7855</v>
      </c>
      <c r="F1221">
        <v>162829883</v>
      </c>
      <c r="G1221">
        <v>950251</v>
      </c>
      <c r="H1221">
        <v>506107</v>
      </c>
      <c r="I1221" t="s">
        <v>7849</v>
      </c>
      <c r="J1221">
        <v>2018</v>
      </c>
      <c r="K1221" t="s">
        <v>7843</v>
      </c>
      <c r="L1221" t="s">
        <v>7837</v>
      </c>
    </row>
    <row r="1222" spans="1:12">
      <c r="A1222" t="s">
        <v>7830</v>
      </c>
      <c r="B1222" t="s">
        <v>7852</v>
      </c>
      <c r="C1222" t="s">
        <v>7853</v>
      </c>
      <c r="D1222" t="s">
        <v>7854</v>
      </c>
      <c r="E1222" t="s">
        <v>7855</v>
      </c>
      <c r="F1222">
        <v>147464828</v>
      </c>
      <c r="G1222">
        <v>753975</v>
      </c>
      <c r="H1222">
        <v>415977</v>
      </c>
      <c r="I1222" t="s">
        <v>7849</v>
      </c>
      <c r="J1222">
        <v>2018</v>
      </c>
      <c r="K1222" t="s">
        <v>7844</v>
      </c>
      <c r="L1222" t="s">
        <v>7837</v>
      </c>
    </row>
    <row r="1223" spans="1:12">
      <c r="A1223" t="s">
        <v>7830</v>
      </c>
      <c r="B1223" t="s">
        <v>7852</v>
      </c>
      <c r="C1223" t="s">
        <v>7853</v>
      </c>
      <c r="D1223" t="s">
        <v>7854</v>
      </c>
      <c r="E1223" t="s">
        <v>7855</v>
      </c>
      <c r="F1223">
        <v>192875190</v>
      </c>
      <c r="G1223">
        <v>1165742</v>
      </c>
      <c r="H1223">
        <v>535298</v>
      </c>
      <c r="I1223" t="s">
        <v>7849</v>
      </c>
      <c r="J1223">
        <v>2018</v>
      </c>
      <c r="K1223" t="s">
        <v>7845</v>
      </c>
      <c r="L1223" t="s">
        <v>7837</v>
      </c>
    </row>
    <row r="1224" spans="1:12">
      <c r="A1224" t="s">
        <v>7830</v>
      </c>
      <c r="B1224" t="s">
        <v>7852</v>
      </c>
      <c r="C1224" t="s">
        <v>7853</v>
      </c>
      <c r="D1224" t="s">
        <v>7854</v>
      </c>
      <c r="E1224" t="s">
        <v>7855</v>
      </c>
      <c r="F1224">
        <v>186133675</v>
      </c>
      <c r="G1224">
        <v>1115949</v>
      </c>
      <c r="H1224">
        <v>520347</v>
      </c>
      <c r="I1224" t="s">
        <v>7849</v>
      </c>
      <c r="J1224">
        <v>2018</v>
      </c>
      <c r="K1224" t="s">
        <v>7846</v>
      </c>
      <c r="L1224" t="s">
        <v>7837</v>
      </c>
    </row>
    <row r="1225" spans="1:12">
      <c r="A1225" t="s">
        <v>7830</v>
      </c>
      <c r="B1225" t="s">
        <v>7852</v>
      </c>
      <c r="C1225" t="s">
        <v>7853</v>
      </c>
      <c r="D1225" t="s">
        <v>7854</v>
      </c>
      <c r="E1225" t="s">
        <v>7855</v>
      </c>
      <c r="F1225">
        <v>156869805</v>
      </c>
      <c r="G1225">
        <v>900579</v>
      </c>
      <c r="H1225">
        <v>520589</v>
      </c>
      <c r="I1225" t="s">
        <v>7849</v>
      </c>
      <c r="J1225">
        <v>2018</v>
      </c>
      <c r="K1225" t="s">
        <v>7847</v>
      </c>
      <c r="L1225" t="s">
        <v>7837</v>
      </c>
    </row>
    <row r="1226" spans="1:12">
      <c r="A1226" t="s">
        <v>7830</v>
      </c>
      <c r="B1226" t="s">
        <v>7852</v>
      </c>
      <c r="C1226" t="s">
        <v>7853</v>
      </c>
      <c r="D1226" t="s">
        <v>7854</v>
      </c>
      <c r="E1226" t="s">
        <v>7855</v>
      </c>
      <c r="F1226">
        <v>186223549</v>
      </c>
      <c r="G1226">
        <v>967652</v>
      </c>
      <c r="H1226">
        <v>454084</v>
      </c>
      <c r="I1226" t="s">
        <v>7849</v>
      </c>
      <c r="J1226">
        <v>2018</v>
      </c>
      <c r="K1226" t="s">
        <v>7848</v>
      </c>
      <c r="L1226" t="s">
        <v>7837</v>
      </c>
    </row>
    <row r="1227" spans="1:12">
      <c r="A1227" t="s">
        <v>7830</v>
      </c>
      <c r="B1227" t="s">
        <v>7852</v>
      </c>
      <c r="C1227" t="s">
        <v>7853</v>
      </c>
      <c r="D1227" t="s">
        <v>7854</v>
      </c>
      <c r="E1227" t="s">
        <v>7855</v>
      </c>
      <c r="F1227">
        <v>170710285</v>
      </c>
      <c r="G1227">
        <v>914863</v>
      </c>
      <c r="H1227">
        <v>426228</v>
      </c>
      <c r="I1227" t="s">
        <v>7849</v>
      </c>
      <c r="J1227">
        <v>2019</v>
      </c>
      <c r="K1227" t="s">
        <v>7836</v>
      </c>
      <c r="L1227" t="s">
        <v>7837</v>
      </c>
    </row>
    <row r="1228" spans="1:12">
      <c r="A1228" t="s">
        <v>7830</v>
      </c>
      <c r="B1228" t="s">
        <v>7852</v>
      </c>
      <c r="C1228" t="s">
        <v>7853</v>
      </c>
      <c r="D1228" t="s">
        <v>7854</v>
      </c>
      <c r="E1228" t="s">
        <v>7855</v>
      </c>
      <c r="F1228">
        <v>133429543</v>
      </c>
      <c r="G1228">
        <v>724715</v>
      </c>
      <c r="H1228">
        <v>317350</v>
      </c>
      <c r="I1228" t="s">
        <v>7849</v>
      </c>
      <c r="J1228">
        <v>2019</v>
      </c>
      <c r="K1228" t="s">
        <v>7838</v>
      </c>
      <c r="L1228" t="s">
        <v>7837</v>
      </c>
    </row>
    <row r="1229" spans="1:12">
      <c r="A1229" t="s">
        <v>7830</v>
      </c>
      <c r="B1229" t="s">
        <v>7852</v>
      </c>
      <c r="C1229" t="s">
        <v>7853</v>
      </c>
      <c r="D1229" t="s">
        <v>7854</v>
      </c>
      <c r="E1229" t="s">
        <v>7855</v>
      </c>
      <c r="F1229">
        <v>150583605</v>
      </c>
      <c r="G1229">
        <v>855858</v>
      </c>
      <c r="H1229">
        <v>392035</v>
      </c>
      <c r="I1229" t="s">
        <v>7849</v>
      </c>
      <c r="J1229">
        <v>2019</v>
      </c>
      <c r="K1229" t="s">
        <v>7839</v>
      </c>
      <c r="L1229" t="s">
        <v>7837</v>
      </c>
    </row>
    <row r="1230" spans="1:12">
      <c r="A1230" t="s">
        <v>7830</v>
      </c>
      <c r="B1230" t="s">
        <v>7852</v>
      </c>
      <c r="C1230" t="s">
        <v>7853</v>
      </c>
      <c r="D1230" t="s">
        <v>7854</v>
      </c>
      <c r="E1230" t="s">
        <v>7855</v>
      </c>
      <c r="F1230">
        <v>97976233</v>
      </c>
      <c r="G1230">
        <v>662341</v>
      </c>
      <c r="H1230">
        <v>257808</v>
      </c>
      <c r="I1230" t="s">
        <v>7849</v>
      </c>
      <c r="J1230">
        <v>2019</v>
      </c>
      <c r="K1230" t="s">
        <v>7840</v>
      </c>
      <c r="L1230" t="s">
        <v>7837</v>
      </c>
    </row>
    <row r="1231" spans="1:12">
      <c r="A1231" t="s">
        <v>7830</v>
      </c>
      <c r="B1231" t="s">
        <v>7852</v>
      </c>
      <c r="C1231" t="s">
        <v>7853</v>
      </c>
      <c r="D1231" t="s">
        <v>7854</v>
      </c>
      <c r="E1231" t="s">
        <v>7855</v>
      </c>
      <c r="F1231">
        <v>90368828</v>
      </c>
      <c r="G1231">
        <v>680271</v>
      </c>
      <c r="H1231">
        <v>246411</v>
      </c>
      <c r="I1231" t="s">
        <v>7849</v>
      </c>
      <c r="J1231">
        <v>2019</v>
      </c>
      <c r="K1231" t="s">
        <v>7841</v>
      </c>
      <c r="L1231" t="s">
        <v>7837</v>
      </c>
    </row>
    <row r="1232" spans="1:12">
      <c r="A1232" t="s">
        <v>7830</v>
      </c>
      <c r="B1232" t="s">
        <v>7852</v>
      </c>
      <c r="C1232" t="s">
        <v>7853</v>
      </c>
      <c r="D1232" t="s">
        <v>7854</v>
      </c>
      <c r="E1232" t="s">
        <v>7855</v>
      </c>
      <c r="F1232">
        <v>112247478</v>
      </c>
      <c r="G1232">
        <v>734844</v>
      </c>
      <c r="H1232">
        <v>296387</v>
      </c>
      <c r="I1232" t="s">
        <v>7849</v>
      </c>
      <c r="J1232">
        <v>2019</v>
      </c>
      <c r="K1232" t="s">
        <v>7842</v>
      </c>
      <c r="L1232" t="s">
        <v>7837</v>
      </c>
    </row>
    <row r="1233" spans="1:12">
      <c r="A1233" t="s">
        <v>7830</v>
      </c>
      <c r="B1233" t="s">
        <v>7852</v>
      </c>
      <c r="C1233" t="s">
        <v>7853</v>
      </c>
      <c r="D1233" t="s">
        <v>7854</v>
      </c>
      <c r="E1233" t="s">
        <v>7855</v>
      </c>
      <c r="F1233">
        <v>144047947</v>
      </c>
      <c r="G1233">
        <v>907747</v>
      </c>
      <c r="H1233">
        <v>378128</v>
      </c>
      <c r="I1233" t="s">
        <v>7849</v>
      </c>
      <c r="J1233">
        <v>2019</v>
      </c>
      <c r="K1233" t="s">
        <v>7843</v>
      </c>
      <c r="L1233" t="s">
        <v>7837</v>
      </c>
    </row>
    <row r="1234" spans="1:12">
      <c r="A1234" t="s">
        <v>7830</v>
      </c>
      <c r="B1234" t="s">
        <v>7852</v>
      </c>
      <c r="C1234" t="s">
        <v>7853</v>
      </c>
      <c r="D1234" t="s">
        <v>7854</v>
      </c>
      <c r="E1234" t="s">
        <v>7855</v>
      </c>
      <c r="F1234">
        <v>110598313</v>
      </c>
      <c r="G1234">
        <v>642373</v>
      </c>
      <c r="H1234">
        <v>287099</v>
      </c>
      <c r="I1234" t="s">
        <v>7849</v>
      </c>
      <c r="J1234">
        <v>2019</v>
      </c>
      <c r="K1234" t="s">
        <v>7844</v>
      </c>
      <c r="L1234" t="s">
        <v>7837</v>
      </c>
    </row>
    <row r="1235" spans="1:12">
      <c r="A1235" t="s">
        <v>7830</v>
      </c>
      <c r="B1235" t="s">
        <v>7852</v>
      </c>
      <c r="C1235" t="s">
        <v>7853</v>
      </c>
      <c r="D1235" t="s">
        <v>7854</v>
      </c>
      <c r="E1235" t="s">
        <v>7855</v>
      </c>
      <c r="F1235">
        <v>144744009</v>
      </c>
      <c r="G1235">
        <v>931420</v>
      </c>
      <c r="H1235">
        <v>410138</v>
      </c>
      <c r="I1235" t="s">
        <v>7849</v>
      </c>
      <c r="J1235">
        <v>2019</v>
      </c>
      <c r="K1235" t="s">
        <v>7845</v>
      </c>
      <c r="L1235" t="s">
        <v>7837</v>
      </c>
    </row>
    <row r="1236" spans="1:12">
      <c r="A1236" t="s">
        <v>7830</v>
      </c>
      <c r="B1236" t="s">
        <v>7852</v>
      </c>
      <c r="C1236" t="s">
        <v>7853</v>
      </c>
      <c r="D1236" t="s">
        <v>7854</v>
      </c>
      <c r="E1236" t="s">
        <v>7855</v>
      </c>
      <c r="F1236">
        <v>141339794</v>
      </c>
      <c r="G1236">
        <v>900035</v>
      </c>
      <c r="H1236">
        <v>373847</v>
      </c>
      <c r="I1236" t="s">
        <v>7849</v>
      </c>
      <c r="J1236">
        <v>2019</v>
      </c>
      <c r="K1236" t="s">
        <v>7846</v>
      </c>
      <c r="L1236" t="s">
        <v>7837</v>
      </c>
    </row>
    <row r="1237" spans="1:12">
      <c r="A1237" t="s">
        <v>7830</v>
      </c>
      <c r="B1237" t="s">
        <v>7852</v>
      </c>
      <c r="C1237" t="s">
        <v>7853</v>
      </c>
      <c r="D1237" t="s">
        <v>7854</v>
      </c>
      <c r="E1237" t="s">
        <v>7855</v>
      </c>
      <c r="F1237">
        <v>118942172</v>
      </c>
      <c r="G1237">
        <v>730696</v>
      </c>
      <c r="H1237">
        <v>392498</v>
      </c>
      <c r="I1237" t="s">
        <v>7849</v>
      </c>
      <c r="J1237">
        <v>2019</v>
      </c>
      <c r="K1237" t="s">
        <v>7847</v>
      </c>
      <c r="L1237" t="s">
        <v>7837</v>
      </c>
    </row>
    <row r="1238" spans="1:12">
      <c r="A1238" t="s">
        <v>7830</v>
      </c>
      <c r="B1238" t="s">
        <v>7852</v>
      </c>
      <c r="C1238" t="s">
        <v>7853</v>
      </c>
      <c r="D1238" t="s">
        <v>7854</v>
      </c>
      <c r="E1238" t="s">
        <v>7855</v>
      </c>
      <c r="F1238">
        <v>134590291</v>
      </c>
      <c r="G1238">
        <v>834176</v>
      </c>
      <c r="H1238">
        <v>322268</v>
      </c>
      <c r="I1238" t="s">
        <v>7849</v>
      </c>
      <c r="J1238">
        <v>2019</v>
      </c>
      <c r="K1238" t="s">
        <v>7848</v>
      </c>
      <c r="L1238" t="s">
        <v>7837</v>
      </c>
    </row>
    <row r="1239" spans="1:12">
      <c r="A1239" t="s">
        <v>7830</v>
      </c>
      <c r="B1239" t="s">
        <v>7852</v>
      </c>
      <c r="C1239" t="s">
        <v>7853</v>
      </c>
      <c r="D1239" t="s">
        <v>7854</v>
      </c>
      <c r="E1239" t="s">
        <v>7855</v>
      </c>
      <c r="F1239">
        <v>101306519</v>
      </c>
      <c r="G1239">
        <v>706424</v>
      </c>
      <c r="H1239">
        <v>259041</v>
      </c>
      <c r="I1239" t="s">
        <v>7849</v>
      </c>
      <c r="J1239">
        <v>2020</v>
      </c>
      <c r="K1239" t="s">
        <v>7836</v>
      </c>
      <c r="L1239" t="s">
        <v>7837</v>
      </c>
    </row>
    <row r="1240" spans="1:12">
      <c r="A1240" t="s">
        <v>7830</v>
      </c>
      <c r="B1240" t="s">
        <v>7852</v>
      </c>
      <c r="C1240" t="s">
        <v>7853</v>
      </c>
      <c r="D1240" t="s">
        <v>7854</v>
      </c>
      <c r="E1240" t="s">
        <v>7855</v>
      </c>
      <c r="F1240">
        <v>74882423</v>
      </c>
      <c r="G1240">
        <v>500451</v>
      </c>
      <c r="H1240">
        <v>213253</v>
      </c>
      <c r="I1240" t="s">
        <v>7849</v>
      </c>
      <c r="J1240">
        <v>2020</v>
      </c>
      <c r="K1240" t="s">
        <v>7838</v>
      </c>
      <c r="L1240" t="s">
        <v>7837</v>
      </c>
    </row>
    <row r="1241" spans="1:12">
      <c r="A1241" t="s">
        <v>7830</v>
      </c>
      <c r="B1241" t="s">
        <v>7852</v>
      </c>
      <c r="C1241" t="s">
        <v>7853</v>
      </c>
      <c r="D1241" t="s">
        <v>7854</v>
      </c>
      <c r="E1241" t="s">
        <v>7855</v>
      </c>
      <c r="F1241">
        <v>149313103</v>
      </c>
      <c r="G1241">
        <v>878713</v>
      </c>
      <c r="H1241">
        <v>422718</v>
      </c>
      <c r="I1241" t="s">
        <v>7849</v>
      </c>
      <c r="J1241">
        <v>2020</v>
      </c>
      <c r="K1241" t="s">
        <v>7839</v>
      </c>
      <c r="L1241" t="s">
        <v>7837</v>
      </c>
    </row>
    <row r="1242" spans="1:12">
      <c r="A1242" t="s">
        <v>7830</v>
      </c>
      <c r="B1242" t="s">
        <v>7852</v>
      </c>
      <c r="C1242" t="s">
        <v>7853</v>
      </c>
      <c r="D1242" t="s">
        <v>7854</v>
      </c>
      <c r="E1242" t="s">
        <v>7855</v>
      </c>
      <c r="F1242">
        <v>249740299</v>
      </c>
      <c r="G1242">
        <v>1280227</v>
      </c>
      <c r="H1242">
        <v>548984</v>
      </c>
      <c r="I1242" t="s">
        <v>7849</v>
      </c>
      <c r="J1242">
        <v>2020</v>
      </c>
      <c r="K1242" t="s">
        <v>7840</v>
      </c>
      <c r="L1242" t="s">
        <v>7837</v>
      </c>
    </row>
    <row r="1243" spans="1:12">
      <c r="A1243" t="s">
        <v>7830</v>
      </c>
      <c r="B1243" t="s">
        <v>7852</v>
      </c>
      <c r="C1243" t="s">
        <v>7853</v>
      </c>
      <c r="D1243" t="s">
        <v>7854</v>
      </c>
      <c r="E1243" t="s">
        <v>7855</v>
      </c>
      <c r="F1243">
        <v>128359780</v>
      </c>
      <c r="G1243">
        <v>842757</v>
      </c>
      <c r="H1243">
        <v>329868</v>
      </c>
      <c r="I1243" t="s">
        <v>7849</v>
      </c>
      <c r="J1243">
        <v>2020</v>
      </c>
      <c r="K1243" t="s">
        <v>7841</v>
      </c>
      <c r="L1243" t="s">
        <v>7837</v>
      </c>
    </row>
    <row r="1244" spans="1:12">
      <c r="A1244" t="s">
        <v>7830</v>
      </c>
      <c r="B1244" t="s">
        <v>7852</v>
      </c>
      <c r="C1244" t="s">
        <v>7853</v>
      </c>
      <c r="D1244" t="s">
        <v>7854</v>
      </c>
      <c r="E1244" t="s">
        <v>7855</v>
      </c>
      <c r="F1244">
        <v>118004015</v>
      </c>
      <c r="G1244">
        <v>731831</v>
      </c>
      <c r="H1244">
        <v>307862</v>
      </c>
      <c r="I1244" t="s">
        <v>7849</v>
      </c>
      <c r="J1244">
        <v>2020</v>
      </c>
      <c r="K1244" t="s">
        <v>7842</v>
      </c>
      <c r="L1244" t="s">
        <v>7837</v>
      </c>
    </row>
    <row r="1245" spans="1:12">
      <c r="A1245" t="s">
        <v>7830</v>
      </c>
      <c r="B1245" t="s">
        <v>7852</v>
      </c>
      <c r="C1245" t="s">
        <v>7853</v>
      </c>
      <c r="D1245" t="s">
        <v>7854</v>
      </c>
      <c r="E1245" t="s">
        <v>7855</v>
      </c>
      <c r="F1245">
        <v>157222958</v>
      </c>
      <c r="G1245">
        <v>986213</v>
      </c>
      <c r="H1245">
        <v>399582</v>
      </c>
      <c r="I1245" t="s">
        <v>7849</v>
      </c>
      <c r="J1245">
        <v>2020</v>
      </c>
      <c r="K1245" t="s">
        <v>7843</v>
      </c>
      <c r="L1245" t="s">
        <v>7837</v>
      </c>
    </row>
    <row r="1246" spans="1:12">
      <c r="A1246" t="s">
        <v>7830</v>
      </c>
      <c r="B1246" t="s">
        <v>7852</v>
      </c>
      <c r="C1246" t="s">
        <v>7853</v>
      </c>
      <c r="D1246" t="s">
        <v>7854</v>
      </c>
      <c r="E1246" t="s">
        <v>7855</v>
      </c>
      <c r="F1246">
        <v>116541629</v>
      </c>
      <c r="G1246">
        <v>918878</v>
      </c>
      <c r="H1246">
        <v>328862</v>
      </c>
      <c r="I1246" t="s">
        <v>7849</v>
      </c>
      <c r="J1246">
        <v>2020</v>
      </c>
      <c r="K1246" t="s">
        <v>7844</v>
      </c>
      <c r="L1246" t="s">
        <v>7837</v>
      </c>
    </row>
    <row r="1247" spans="1:12">
      <c r="A1247" t="s">
        <v>7830</v>
      </c>
      <c r="B1247" t="s">
        <v>7852</v>
      </c>
      <c r="C1247" t="s">
        <v>7853</v>
      </c>
      <c r="D1247" t="s">
        <v>7854</v>
      </c>
      <c r="E1247" t="s">
        <v>7855</v>
      </c>
      <c r="F1247">
        <v>95709406</v>
      </c>
      <c r="G1247">
        <v>658431</v>
      </c>
      <c r="H1247">
        <v>314007</v>
      </c>
      <c r="I1247" t="s">
        <v>7849</v>
      </c>
      <c r="J1247">
        <v>2020</v>
      </c>
      <c r="K1247" t="s">
        <v>7845</v>
      </c>
      <c r="L1247" t="s">
        <v>7837</v>
      </c>
    </row>
    <row r="1248" spans="1:12">
      <c r="A1248" t="s">
        <v>7830</v>
      </c>
      <c r="B1248" t="s">
        <v>7852</v>
      </c>
      <c r="C1248" t="s">
        <v>7853</v>
      </c>
      <c r="D1248" t="s">
        <v>7854</v>
      </c>
      <c r="E1248" t="s">
        <v>7855</v>
      </c>
      <c r="F1248">
        <v>48762433</v>
      </c>
      <c r="G1248">
        <v>548749</v>
      </c>
      <c r="H1248">
        <v>211896</v>
      </c>
      <c r="I1248" t="s">
        <v>7849</v>
      </c>
      <c r="J1248">
        <v>2020</v>
      </c>
      <c r="K1248" t="s">
        <v>7846</v>
      </c>
      <c r="L1248" t="s">
        <v>7837</v>
      </c>
    </row>
    <row r="1249" spans="1:12">
      <c r="A1249" t="s">
        <v>7830</v>
      </c>
      <c r="B1249" t="s">
        <v>7852</v>
      </c>
      <c r="C1249" t="s">
        <v>7853</v>
      </c>
      <c r="D1249" t="s">
        <v>7854</v>
      </c>
      <c r="E1249" t="s">
        <v>7855</v>
      </c>
      <c r="F1249">
        <v>98724759</v>
      </c>
      <c r="G1249">
        <v>831271</v>
      </c>
      <c r="H1249">
        <v>389430</v>
      </c>
      <c r="I1249" t="s">
        <v>7849</v>
      </c>
      <c r="J1249">
        <v>2020</v>
      </c>
      <c r="K1249" t="s">
        <v>7847</v>
      </c>
      <c r="L1249" t="s">
        <v>7837</v>
      </c>
    </row>
    <row r="1250" spans="1:12">
      <c r="A1250" t="s">
        <v>7830</v>
      </c>
      <c r="B1250" t="s">
        <v>7852</v>
      </c>
      <c r="C1250" t="s">
        <v>7853</v>
      </c>
      <c r="D1250" t="s">
        <v>7854</v>
      </c>
      <c r="E1250" t="s">
        <v>7855</v>
      </c>
      <c r="F1250">
        <v>75324297</v>
      </c>
      <c r="G1250">
        <v>688893</v>
      </c>
      <c r="H1250">
        <v>231174</v>
      </c>
      <c r="I1250" t="s">
        <v>7849</v>
      </c>
      <c r="J1250">
        <v>2020</v>
      </c>
      <c r="K1250" t="s">
        <v>7848</v>
      </c>
      <c r="L1250" t="s">
        <v>7837</v>
      </c>
    </row>
    <row r="1251" spans="1:12">
      <c r="A1251" t="s">
        <v>7830</v>
      </c>
      <c r="B1251" t="s">
        <v>7852</v>
      </c>
      <c r="C1251" t="s">
        <v>7853</v>
      </c>
      <c r="D1251" t="s">
        <v>7854</v>
      </c>
      <c r="E1251" t="s">
        <v>7855</v>
      </c>
      <c r="F1251">
        <v>32357086</v>
      </c>
      <c r="G1251">
        <v>271932</v>
      </c>
      <c r="H1251">
        <v>115624</v>
      </c>
      <c r="I1251" t="s">
        <v>7849</v>
      </c>
      <c r="J1251">
        <v>2021</v>
      </c>
      <c r="K1251" t="s">
        <v>7836</v>
      </c>
      <c r="L1251" t="s">
        <v>7837</v>
      </c>
    </row>
    <row r="1252" spans="1:12">
      <c r="A1252" t="s">
        <v>7830</v>
      </c>
      <c r="B1252" t="s">
        <v>7852</v>
      </c>
      <c r="C1252" t="s">
        <v>7853</v>
      </c>
      <c r="D1252" t="s">
        <v>7854</v>
      </c>
      <c r="E1252" t="s">
        <v>7855</v>
      </c>
      <c r="F1252">
        <v>32861565</v>
      </c>
      <c r="G1252">
        <v>309352</v>
      </c>
      <c r="H1252">
        <v>118512</v>
      </c>
      <c r="I1252" t="s">
        <v>7849</v>
      </c>
      <c r="J1252">
        <v>2021</v>
      </c>
      <c r="K1252" t="s">
        <v>7838</v>
      </c>
      <c r="L1252" t="s">
        <v>7837</v>
      </c>
    </row>
    <row r="1253" spans="1:12">
      <c r="A1253" t="s">
        <v>7830</v>
      </c>
      <c r="B1253" t="s">
        <v>7852</v>
      </c>
      <c r="C1253" t="s">
        <v>7853</v>
      </c>
      <c r="D1253" t="s">
        <v>7854</v>
      </c>
      <c r="E1253" t="s">
        <v>7855</v>
      </c>
      <c r="F1253">
        <v>49791936</v>
      </c>
      <c r="G1253">
        <v>433482</v>
      </c>
      <c r="H1253">
        <v>147021</v>
      </c>
      <c r="I1253" t="s">
        <v>7849</v>
      </c>
      <c r="J1253">
        <v>2021</v>
      </c>
      <c r="K1253" t="s">
        <v>7839</v>
      </c>
      <c r="L1253" t="s">
        <v>7837</v>
      </c>
    </row>
    <row r="1254" spans="1:12">
      <c r="A1254" t="s">
        <v>7830</v>
      </c>
      <c r="B1254" t="s">
        <v>7852</v>
      </c>
      <c r="C1254" t="s">
        <v>7853</v>
      </c>
      <c r="D1254" t="s">
        <v>7854</v>
      </c>
      <c r="E1254" t="s">
        <v>7855</v>
      </c>
      <c r="F1254">
        <v>30902266</v>
      </c>
      <c r="G1254">
        <v>186536</v>
      </c>
      <c r="H1254">
        <v>106499</v>
      </c>
      <c r="I1254" t="s">
        <v>7849</v>
      </c>
      <c r="J1254">
        <v>2021</v>
      </c>
      <c r="K1254" t="s">
        <v>7840</v>
      </c>
      <c r="L1254" t="s">
        <v>7837</v>
      </c>
    </row>
    <row r="1255" spans="1:12">
      <c r="A1255" t="s">
        <v>7830</v>
      </c>
      <c r="B1255" t="s">
        <v>7852</v>
      </c>
      <c r="C1255" t="s">
        <v>7853</v>
      </c>
      <c r="D1255" t="s">
        <v>7854</v>
      </c>
      <c r="E1255" t="s">
        <v>7855</v>
      </c>
      <c r="F1255">
        <v>22869485</v>
      </c>
      <c r="G1255">
        <v>235654</v>
      </c>
      <c r="H1255">
        <v>81415</v>
      </c>
      <c r="I1255" t="s">
        <v>7849</v>
      </c>
      <c r="J1255">
        <v>2021</v>
      </c>
      <c r="K1255" t="s">
        <v>7841</v>
      </c>
      <c r="L1255" t="s">
        <v>7837</v>
      </c>
    </row>
    <row r="1256" spans="1:12">
      <c r="A1256" t="s">
        <v>7830</v>
      </c>
      <c r="B1256" t="s">
        <v>7852</v>
      </c>
      <c r="C1256" t="s">
        <v>7853</v>
      </c>
      <c r="D1256" t="s">
        <v>7854</v>
      </c>
      <c r="E1256" t="s">
        <v>7855</v>
      </c>
      <c r="F1256">
        <v>40759974</v>
      </c>
      <c r="G1256">
        <v>262332</v>
      </c>
      <c r="H1256">
        <v>156234</v>
      </c>
      <c r="I1256" t="s">
        <v>7849</v>
      </c>
      <c r="J1256">
        <v>2021</v>
      </c>
      <c r="K1256" t="s">
        <v>7842</v>
      </c>
      <c r="L1256" t="s">
        <v>7837</v>
      </c>
    </row>
    <row r="1257" spans="1:12">
      <c r="A1257" t="s">
        <v>7830</v>
      </c>
      <c r="B1257" t="s">
        <v>7852</v>
      </c>
      <c r="C1257" t="s">
        <v>7853</v>
      </c>
      <c r="D1257" t="s">
        <v>7854</v>
      </c>
      <c r="E1257" t="s">
        <v>7855</v>
      </c>
      <c r="F1257">
        <v>37606816</v>
      </c>
      <c r="G1257">
        <v>277560</v>
      </c>
      <c r="H1257">
        <v>100532</v>
      </c>
      <c r="I1257" t="s">
        <v>7849</v>
      </c>
      <c r="J1257">
        <v>2021</v>
      </c>
      <c r="K1257" t="s">
        <v>7843</v>
      </c>
      <c r="L1257" t="s">
        <v>7837</v>
      </c>
    </row>
    <row r="1258" spans="1:12">
      <c r="A1258" t="s">
        <v>7830</v>
      </c>
      <c r="B1258" t="s">
        <v>7852</v>
      </c>
      <c r="C1258" t="s">
        <v>7853</v>
      </c>
      <c r="D1258" t="s">
        <v>7854</v>
      </c>
      <c r="E1258" t="s">
        <v>7855</v>
      </c>
      <c r="F1258">
        <v>38888149</v>
      </c>
      <c r="G1258">
        <v>160253</v>
      </c>
      <c r="H1258">
        <v>89634</v>
      </c>
      <c r="I1258" t="s">
        <v>7849</v>
      </c>
      <c r="J1258">
        <v>2021</v>
      </c>
      <c r="K1258" t="s">
        <v>7844</v>
      </c>
      <c r="L1258" t="s">
        <v>7837</v>
      </c>
    </row>
    <row r="1259" spans="1:12">
      <c r="A1259" t="s">
        <v>7830</v>
      </c>
      <c r="B1259" t="s">
        <v>7852</v>
      </c>
      <c r="C1259" t="s">
        <v>7853</v>
      </c>
      <c r="D1259" t="s">
        <v>7854</v>
      </c>
      <c r="E1259" t="s">
        <v>7855</v>
      </c>
      <c r="F1259">
        <v>70321469</v>
      </c>
      <c r="G1259">
        <v>364828</v>
      </c>
      <c r="H1259">
        <v>216531</v>
      </c>
      <c r="I1259" t="s">
        <v>7849</v>
      </c>
      <c r="J1259">
        <v>2021</v>
      </c>
      <c r="K1259" t="s">
        <v>7845</v>
      </c>
      <c r="L1259" t="s">
        <v>7837</v>
      </c>
    </row>
    <row r="1260" spans="1:12">
      <c r="A1260" t="s">
        <v>7830</v>
      </c>
      <c r="B1260" t="s">
        <v>7852</v>
      </c>
      <c r="C1260" t="s">
        <v>7853</v>
      </c>
      <c r="D1260" t="s">
        <v>7854</v>
      </c>
      <c r="E1260" t="s">
        <v>7855</v>
      </c>
      <c r="F1260">
        <v>42785123</v>
      </c>
      <c r="G1260">
        <v>268275</v>
      </c>
      <c r="H1260">
        <v>121913</v>
      </c>
      <c r="I1260" t="s">
        <v>7849</v>
      </c>
      <c r="J1260">
        <v>2021</v>
      </c>
      <c r="K1260" t="s">
        <v>7846</v>
      </c>
      <c r="L1260" t="s">
        <v>7837</v>
      </c>
    </row>
    <row r="1261" spans="1:12">
      <c r="A1261" t="s">
        <v>7830</v>
      </c>
      <c r="B1261" t="s">
        <v>7852</v>
      </c>
      <c r="C1261" t="s">
        <v>7853</v>
      </c>
      <c r="D1261" t="s">
        <v>7854</v>
      </c>
      <c r="E1261" t="s">
        <v>7855</v>
      </c>
      <c r="F1261">
        <v>36398809</v>
      </c>
      <c r="G1261">
        <v>209031</v>
      </c>
      <c r="H1261">
        <v>129113</v>
      </c>
      <c r="I1261" t="s">
        <v>7849</v>
      </c>
      <c r="J1261">
        <v>2021</v>
      </c>
      <c r="K1261" t="s">
        <v>7847</v>
      </c>
      <c r="L1261" t="s">
        <v>7837</v>
      </c>
    </row>
    <row r="1262" spans="1:12">
      <c r="A1262" t="s">
        <v>7830</v>
      </c>
      <c r="B1262" t="s">
        <v>7852</v>
      </c>
      <c r="C1262" t="s">
        <v>7853</v>
      </c>
      <c r="D1262" t="s">
        <v>7854</v>
      </c>
      <c r="E1262" t="s">
        <v>7855</v>
      </c>
      <c r="F1262">
        <v>44434983</v>
      </c>
      <c r="G1262">
        <v>229399</v>
      </c>
      <c r="H1262">
        <v>165725</v>
      </c>
      <c r="I1262" t="s">
        <v>7849</v>
      </c>
      <c r="J1262">
        <v>2021</v>
      </c>
      <c r="K1262" t="s">
        <v>7848</v>
      </c>
      <c r="L1262" t="s">
        <v>7837</v>
      </c>
    </row>
    <row r="1263" spans="1:12">
      <c r="A1263" t="s">
        <v>7830</v>
      </c>
      <c r="B1263" t="s">
        <v>7852</v>
      </c>
      <c r="C1263" t="s">
        <v>7853</v>
      </c>
      <c r="D1263" t="s">
        <v>7854</v>
      </c>
      <c r="E1263" t="s">
        <v>7855</v>
      </c>
      <c r="F1263">
        <v>160206575</v>
      </c>
      <c r="G1263">
        <v>765327</v>
      </c>
      <c r="H1263">
        <v>579564</v>
      </c>
      <c r="I1263" t="s">
        <v>7849</v>
      </c>
      <c r="J1263">
        <v>2022</v>
      </c>
      <c r="K1263" t="s">
        <v>7836</v>
      </c>
      <c r="L1263" t="s">
        <v>7837</v>
      </c>
    </row>
    <row r="1264" spans="1:12">
      <c r="A1264" t="s">
        <v>7830</v>
      </c>
      <c r="B1264" t="s">
        <v>7852</v>
      </c>
      <c r="C1264" t="s">
        <v>7853</v>
      </c>
      <c r="D1264" t="s">
        <v>7854</v>
      </c>
      <c r="E1264" t="s">
        <v>7855</v>
      </c>
      <c r="F1264">
        <v>154827112</v>
      </c>
      <c r="G1264">
        <v>665242</v>
      </c>
      <c r="H1264">
        <v>292874</v>
      </c>
      <c r="I1264" t="s">
        <v>7849</v>
      </c>
      <c r="J1264">
        <v>2022</v>
      </c>
      <c r="K1264" t="s">
        <v>7838</v>
      </c>
      <c r="L1264" t="s">
        <v>7837</v>
      </c>
    </row>
    <row r="1265" spans="1:12">
      <c r="A1265" t="s">
        <v>7830</v>
      </c>
      <c r="B1265" t="s">
        <v>7852</v>
      </c>
      <c r="C1265" t="s">
        <v>7853</v>
      </c>
      <c r="D1265" t="s">
        <v>7854</v>
      </c>
      <c r="E1265" t="s">
        <v>7855</v>
      </c>
      <c r="F1265">
        <v>188081483</v>
      </c>
      <c r="G1265">
        <v>680391</v>
      </c>
      <c r="H1265">
        <v>272626</v>
      </c>
      <c r="I1265" t="s">
        <v>7849</v>
      </c>
      <c r="J1265">
        <v>2022</v>
      </c>
      <c r="K1265" t="s">
        <v>7839</v>
      </c>
      <c r="L1265" t="s">
        <v>7837</v>
      </c>
    </row>
    <row r="1266" spans="1:12">
      <c r="A1266" t="s">
        <v>7830</v>
      </c>
      <c r="B1266" t="s">
        <v>7852</v>
      </c>
      <c r="C1266" t="s">
        <v>7853</v>
      </c>
      <c r="D1266" t="s">
        <v>7854</v>
      </c>
      <c r="E1266" t="s">
        <v>7855</v>
      </c>
      <c r="F1266">
        <v>188784972</v>
      </c>
      <c r="G1266">
        <v>567949</v>
      </c>
      <c r="H1266">
        <v>233784</v>
      </c>
      <c r="I1266" t="s">
        <v>7849</v>
      </c>
      <c r="J1266">
        <v>2022</v>
      </c>
      <c r="K1266" t="s">
        <v>7840</v>
      </c>
      <c r="L1266" t="s">
        <v>7837</v>
      </c>
    </row>
    <row r="1267" spans="1:12">
      <c r="A1267" t="s">
        <v>7830</v>
      </c>
      <c r="B1267" t="s">
        <v>7852</v>
      </c>
      <c r="C1267" t="s">
        <v>7853</v>
      </c>
      <c r="D1267" t="s">
        <v>7854</v>
      </c>
      <c r="E1267" t="s">
        <v>7855</v>
      </c>
      <c r="F1267">
        <v>123434574</v>
      </c>
      <c r="G1267">
        <v>537422</v>
      </c>
      <c r="H1267">
        <v>204371</v>
      </c>
      <c r="I1267" t="s">
        <v>7849</v>
      </c>
      <c r="J1267">
        <v>2022</v>
      </c>
      <c r="K1267" t="s">
        <v>7841</v>
      </c>
      <c r="L1267" t="s">
        <v>7837</v>
      </c>
    </row>
    <row r="1268" spans="1:12">
      <c r="A1268" t="s">
        <v>7830</v>
      </c>
      <c r="B1268" t="s">
        <v>7852</v>
      </c>
      <c r="C1268" t="s">
        <v>7853</v>
      </c>
      <c r="D1268" t="s">
        <v>7854</v>
      </c>
      <c r="E1268" t="s">
        <v>7855</v>
      </c>
      <c r="F1268">
        <v>96050404</v>
      </c>
      <c r="G1268">
        <v>512379</v>
      </c>
      <c r="H1268">
        <v>181194</v>
      </c>
      <c r="I1268" t="s">
        <v>7849</v>
      </c>
      <c r="J1268">
        <v>2022</v>
      </c>
      <c r="K1268" t="s">
        <v>7842</v>
      </c>
      <c r="L1268" t="s">
        <v>7837</v>
      </c>
    </row>
    <row r="1269" spans="1:12">
      <c r="A1269" t="s">
        <v>7830</v>
      </c>
      <c r="B1269" t="s">
        <v>7852</v>
      </c>
      <c r="C1269" t="s">
        <v>7853</v>
      </c>
      <c r="D1269" t="s">
        <v>7854</v>
      </c>
      <c r="E1269" t="s">
        <v>7855</v>
      </c>
      <c r="F1269">
        <v>143448467</v>
      </c>
      <c r="G1269">
        <v>623187</v>
      </c>
      <c r="H1269">
        <v>250502</v>
      </c>
      <c r="I1269" t="s">
        <v>7849</v>
      </c>
      <c r="J1269">
        <v>2022</v>
      </c>
      <c r="K1269" t="s">
        <v>7843</v>
      </c>
      <c r="L1269" t="s">
        <v>7837</v>
      </c>
    </row>
    <row r="1270" spans="1:12">
      <c r="A1270" t="s">
        <v>7830</v>
      </c>
      <c r="B1270" t="s">
        <v>7852</v>
      </c>
      <c r="C1270" t="s">
        <v>7853</v>
      </c>
      <c r="D1270" t="s">
        <v>7854</v>
      </c>
      <c r="E1270" t="s">
        <v>7855</v>
      </c>
      <c r="F1270">
        <v>97261451</v>
      </c>
      <c r="G1270">
        <v>581977</v>
      </c>
      <c r="H1270">
        <v>185426</v>
      </c>
      <c r="I1270" t="s">
        <v>7849</v>
      </c>
      <c r="J1270">
        <v>2022</v>
      </c>
      <c r="K1270" t="s">
        <v>7844</v>
      </c>
      <c r="L1270" t="s">
        <v>7837</v>
      </c>
    </row>
    <row r="1271" spans="1:12">
      <c r="A1271" t="s">
        <v>7830</v>
      </c>
      <c r="B1271" t="s">
        <v>7852</v>
      </c>
      <c r="C1271" t="s">
        <v>7853</v>
      </c>
      <c r="D1271" t="s">
        <v>7854</v>
      </c>
      <c r="E1271" t="s">
        <v>7855</v>
      </c>
      <c r="F1271">
        <v>127993542</v>
      </c>
      <c r="G1271">
        <v>669657</v>
      </c>
      <c r="H1271">
        <v>313966</v>
      </c>
      <c r="I1271" t="s">
        <v>7849</v>
      </c>
      <c r="J1271">
        <v>2022</v>
      </c>
      <c r="K1271" t="s">
        <v>7845</v>
      </c>
      <c r="L1271" t="s">
        <v>7837</v>
      </c>
    </row>
    <row r="1272" spans="1:12">
      <c r="A1272" t="s">
        <v>7830</v>
      </c>
      <c r="B1272" t="s">
        <v>7852</v>
      </c>
      <c r="C1272" t="s">
        <v>7853</v>
      </c>
      <c r="D1272" t="s">
        <v>7854</v>
      </c>
      <c r="E1272" t="s">
        <v>7855</v>
      </c>
      <c r="F1272">
        <v>101283037</v>
      </c>
      <c r="G1272">
        <v>480025</v>
      </c>
      <c r="H1272">
        <v>202428</v>
      </c>
      <c r="I1272" t="s">
        <v>7849</v>
      </c>
      <c r="J1272">
        <v>2022</v>
      </c>
      <c r="K1272" t="s">
        <v>7846</v>
      </c>
      <c r="L1272" t="s">
        <v>7837</v>
      </c>
    </row>
    <row r="1273" spans="1:12">
      <c r="A1273" t="s">
        <v>7830</v>
      </c>
      <c r="B1273" t="s">
        <v>7852</v>
      </c>
      <c r="C1273" t="s">
        <v>7853</v>
      </c>
      <c r="D1273" t="s">
        <v>7854</v>
      </c>
      <c r="E1273" t="s">
        <v>7855</v>
      </c>
      <c r="F1273">
        <v>93054246</v>
      </c>
      <c r="G1273">
        <v>533228</v>
      </c>
      <c r="H1273">
        <v>456736</v>
      </c>
      <c r="I1273" t="s">
        <v>7849</v>
      </c>
      <c r="J1273">
        <v>2022</v>
      </c>
      <c r="K1273" t="s">
        <v>7847</v>
      </c>
      <c r="L1273" t="s">
        <v>7837</v>
      </c>
    </row>
    <row r="1274" spans="1:12">
      <c r="A1274" t="s">
        <v>7830</v>
      </c>
      <c r="B1274" t="s">
        <v>7852</v>
      </c>
      <c r="C1274" t="s">
        <v>7853</v>
      </c>
      <c r="D1274" t="s">
        <v>7854</v>
      </c>
      <c r="E1274" t="s">
        <v>7855</v>
      </c>
      <c r="F1274">
        <v>87213319</v>
      </c>
      <c r="G1274">
        <v>573283</v>
      </c>
      <c r="H1274">
        <v>257940</v>
      </c>
      <c r="I1274" t="s">
        <v>7849</v>
      </c>
      <c r="J1274">
        <v>2022</v>
      </c>
      <c r="K1274" t="s">
        <v>7848</v>
      </c>
      <c r="L1274" t="s">
        <v>7837</v>
      </c>
    </row>
    <row r="1275" spans="1:12">
      <c r="A1275" t="s">
        <v>7830</v>
      </c>
      <c r="B1275" t="s">
        <v>7852</v>
      </c>
      <c r="C1275" t="s">
        <v>7853</v>
      </c>
      <c r="D1275" t="s">
        <v>7854</v>
      </c>
      <c r="E1275" t="s">
        <v>7855</v>
      </c>
      <c r="F1275">
        <v>77848123</v>
      </c>
      <c r="G1275">
        <v>525505</v>
      </c>
      <c r="H1275">
        <v>684543</v>
      </c>
      <c r="I1275" t="s">
        <v>7849</v>
      </c>
      <c r="J1275">
        <v>2023</v>
      </c>
      <c r="K1275" t="s">
        <v>7836</v>
      </c>
      <c r="L1275" t="s">
        <v>7837</v>
      </c>
    </row>
    <row r="1276" spans="1:12">
      <c r="A1276" t="s">
        <v>7830</v>
      </c>
      <c r="B1276" t="s">
        <v>7852</v>
      </c>
      <c r="C1276" t="s">
        <v>7853</v>
      </c>
      <c r="D1276" t="s">
        <v>7854</v>
      </c>
      <c r="E1276" t="s">
        <v>7855</v>
      </c>
      <c r="F1276">
        <v>12566381</v>
      </c>
      <c r="G1276">
        <v>83450</v>
      </c>
      <c r="H1276">
        <v>11814</v>
      </c>
      <c r="I1276" t="s">
        <v>7850</v>
      </c>
      <c r="J1276">
        <v>2000</v>
      </c>
      <c r="K1276" t="s">
        <v>7836</v>
      </c>
      <c r="L1276" t="s">
        <v>7837</v>
      </c>
    </row>
    <row r="1277" spans="1:12">
      <c r="A1277" t="s">
        <v>7830</v>
      </c>
      <c r="B1277" t="s">
        <v>7852</v>
      </c>
      <c r="C1277" t="s">
        <v>7853</v>
      </c>
      <c r="D1277" t="s">
        <v>7854</v>
      </c>
      <c r="E1277" t="s">
        <v>7855</v>
      </c>
      <c r="F1277">
        <v>10508666</v>
      </c>
      <c r="G1277">
        <v>89871</v>
      </c>
      <c r="H1277">
        <v>10276</v>
      </c>
      <c r="I1277" t="s">
        <v>7850</v>
      </c>
      <c r="J1277">
        <v>2000</v>
      </c>
      <c r="K1277" t="s">
        <v>7838</v>
      </c>
      <c r="L1277" t="s">
        <v>7837</v>
      </c>
    </row>
    <row r="1278" spans="1:12">
      <c r="A1278" t="s">
        <v>7830</v>
      </c>
      <c r="B1278" t="s">
        <v>7852</v>
      </c>
      <c r="C1278" t="s">
        <v>7853</v>
      </c>
      <c r="D1278" t="s">
        <v>7854</v>
      </c>
      <c r="E1278" t="s">
        <v>7855</v>
      </c>
      <c r="F1278">
        <v>12968172</v>
      </c>
      <c r="G1278">
        <v>71885</v>
      </c>
      <c r="H1278">
        <v>12721</v>
      </c>
      <c r="I1278" t="s">
        <v>7850</v>
      </c>
      <c r="J1278">
        <v>2000</v>
      </c>
      <c r="K1278" t="s">
        <v>7839</v>
      </c>
      <c r="L1278" t="s">
        <v>7837</v>
      </c>
    </row>
    <row r="1279" spans="1:12">
      <c r="A1279" t="s">
        <v>7830</v>
      </c>
      <c r="B1279" t="s">
        <v>7852</v>
      </c>
      <c r="C1279" t="s">
        <v>7853</v>
      </c>
      <c r="D1279" t="s">
        <v>7854</v>
      </c>
      <c r="E1279" t="s">
        <v>7855</v>
      </c>
      <c r="F1279">
        <v>13691184</v>
      </c>
      <c r="G1279">
        <v>99817</v>
      </c>
      <c r="H1279">
        <v>13457</v>
      </c>
      <c r="I1279" t="s">
        <v>7850</v>
      </c>
      <c r="J1279">
        <v>2000</v>
      </c>
      <c r="K1279" t="s">
        <v>7840</v>
      </c>
      <c r="L1279" t="s">
        <v>7837</v>
      </c>
    </row>
    <row r="1280" spans="1:12">
      <c r="A1280" t="s">
        <v>7830</v>
      </c>
      <c r="B1280" t="s">
        <v>7852</v>
      </c>
      <c r="C1280" t="s">
        <v>7853</v>
      </c>
      <c r="D1280" t="s">
        <v>7854</v>
      </c>
      <c r="E1280" t="s">
        <v>7855</v>
      </c>
      <c r="F1280">
        <v>11068551</v>
      </c>
      <c r="G1280">
        <v>70069</v>
      </c>
      <c r="H1280">
        <v>21453</v>
      </c>
      <c r="I1280" t="s">
        <v>7850</v>
      </c>
      <c r="J1280">
        <v>2000</v>
      </c>
      <c r="K1280" t="s">
        <v>7841</v>
      </c>
      <c r="L1280" t="s">
        <v>7837</v>
      </c>
    </row>
    <row r="1281" spans="1:12">
      <c r="A1281" t="s">
        <v>7830</v>
      </c>
      <c r="B1281" t="s">
        <v>7852</v>
      </c>
      <c r="C1281" t="s">
        <v>7853</v>
      </c>
      <c r="D1281" t="s">
        <v>7854</v>
      </c>
      <c r="E1281" t="s">
        <v>7855</v>
      </c>
      <c r="F1281">
        <v>23518341</v>
      </c>
      <c r="G1281">
        <v>144923</v>
      </c>
      <c r="H1281">
        <v>44212</v>
      </c>
      <c r="I1281" t="s">
        <v>7850</v>
      </c>
      <c r="J1281">
        <v>2000</v>
      </c>
      <c r="K1281" t="s">
        <v>7842</v>
      </c>
      <c r="L1281" t="s">
        <v>7837</v>
      </c>
    </row>
    <row r="1282" spans="1:12">
      <c r="A1282" t="s">
        <v>7830</v>
      </c>
      <c r="B1282" t="s">
        <v>7852</v>
      </c>
      <c r="C1282" t="s">
        <v>7853</v>
      </c>
      <c r="D1282" t="s">
        <v>7854</v>
      </c>
      <c r="E1282" t="s">
        <v>7855</v>
      </c>
      <c r="F1282">
        <v>12571331</v>
      </c>
      <c r="G1282">
        <v>61629</v>
      </c>
      <c r="H1282">
        <v>17189</v>
      </c>
      <c r="I1282" t="s">
        <v>7850</v>
      </c>
      <c r="J1282">
        <v>2000</v>
      </c>
      <c r="K1282" t="s">
        <v>7843</v>
      </c>
      <c r="L1282" t="s">
        <v>7837</v>
      </c>
    </row>
    <row r="1283" spans="1:12">
      <c r="A1283" t="s">
        <v>7830</v>
      </c>
      <c r="B1283" t="s">
        <v>7852</v>
      </c>
      <c r="C1283" t="s">
        <v>7853</v>
      </c>
      <c r="D1283" t="s">
        <v>7854</v>
      </c>
      <c r="E1283" t="s">
        <v>7855</v>
      </c>
      <c r="F1283">
        <v>12122762</v>
      </c>
      <c r="G1283">
        <v>77859</v>
      </c>
      <c r="H1283">
        <v>12597</v>
      </c>
      <c r="I1283" t="s">
        <v>7850</v>
      </c>
      <c r="J1283">
        <v>2000</v>
      </c>
      <c r="K1283" t="s">
        <v>7844</v>
      </c>
      <c r="L1283" t="s">
        <v>7837</v>
      </c>
    </row>
    <row r="1284" spans="1:12">
      <c r="A1284" t="s">
        <v>7830</v>
      </c>
      <c r="B1284" t="s">
        <v>7852</v>
      </c>
      <c r="C1284" t="s">
        <v>7853</v>
      </c>
      <c r="D1284" t="s">
        <v>7854</v>
      </c>
      <c r="E1284" t="s">
        <v>7855</v>
      </c>
      <c r="F1284">
        <v>20713050</v>
      </c>
      <c r="G1284">
        <v>137839</v>
      </c>
      <c r="H1284">
        <v>166086</v>
      </c>
      <c r="I1284" t="s">
        <v>7850</v>
      </c>
      <c r="J1284">
        <v>2000</v>
      </c>
      <c r="K1284" t="s">
        <v>7845</v>
      </c>
      <c r="L1284" t="s">
        <v>7837</v>
      </c>
    </row>
    <row r="1285" spans="1:12">
      <c r="A1285" t="s">
        <v>7830</v>
      </c>
      <c r="B1285" t="s">
        <v>7852</v>
      </c>
      <c r="C1285" t="s">
        <v>7853</v>
      </c>
      <c r="D1285" t="s">
        <v>7854</v>
      </c>
      <c r="E1285" t="s">
        <v>7855</v>
      </c>
      <c r="F1285">
        <v>14736376</v>
      </c>
      <c r="G1285">
        <v>86823</v>
      </c>
      <c r="H1285">
        <v>38571</v>
      </c>
      <c r="I1285" t="s">
        <v>7850</v>
      </c>
      <c r="J1285">
        <v>2000</v>
      </c>
      <c r="K1285" t="s">
        <v>7846</v>
      </c>
      <c r="L1285" t="s">
        <v>7837</v>
      </c>
    </row>
    <row r="1286" spans="1:12">
      <c r="A1286" t="s">
        <v>7830</v>
      </c>
      <c r="B1286" t="s">
        <v>7852</v>
      </c>
      <c r="C1286" t="s">
        <v>7853</v>
      </c>
      <c r="D1286" t="s">
        <v>7854</v>
      </c>
      <c r="E1286" t="s">
        <v>7855</v>
      </c>
      <c r="F1286">
        <v>15816197</v>
      </c>
      <c r="G1286">
        <v>134228</v>
      </c>
      <c r="H1286">
        <v>20945</v>
      </c>
      <c r="I1286" t="s">
        <v>7850</v>
      </c>
      <c r="J1286">
        <v>2000</v>
      </c>
      <c r="K1286" t="s">
        <v>7847</v>
      </c>
      <c r="L1286" t="s">
        <v>7837</v>
      </c>
    </row>
    <row r="1287" spans="1:12">
      <c r="A1287" t="s">
        <v>7830</v>
      </c>
      <c r="B1287" t="s">
        <v>7852</v>
      </c>
      <c r="C1287" t="s">
        <v>7853</v>
      </c>
      <c r="D1287" t="s">
        <v>7854</v>
      </c>
      <c r="E1287" t="s">
        <v>7855</v>
      </c>
      <c r="F1287">
        <v>27304752</v>
      </c>
      <c r="G1287">
        <v>184512</v>
      </c>
      <c r="H1287">
        <v>28115</v>
      </c>
      <c r="I1287" t="s">
        <v>7850</v>
      </c>
      <c r="J1287">
        <v>2000</v>
      </c>
      <c r="K1287" t="s">
        <v>7848</v>
      </c>
      <c r="L1287" t="s">
        <v>7837</v>
      </c>
    </row>
    <row r="1288" spans="1:12">
      <c r="A1288" t="s">
        <v>7830</v>
      </c>
      <c r="B1288" t="s">
        <v>7852</v>
      </c>
      <c r="C1288" t="s">
        <v>7853</v>
      </c>
      <c r="D1288" t="s">
        <v>7854</v>
      </c>
      <c r="E1288" t="s">
        <v>7855</v>
      </c>
      <c r="F1288">
        <v>24965215</v>
      </c>
      <c r="G1288">
        <v>124647</v>
      </c>
      <c r="H1288">
        <v>24386</v>
      </c>
      <c r="I1288" t="s">
        <v>7850</v>
      </c>
      <c r="J1288">
        <v>2001</v>
      </c>
      <c r="K1288" t="s">
        <v>7836</v>
      </c>
      <c r="L1288" t="s">
        <v>7837</v>
      </c>
    </row>
    <row r="1289" spans="1:12">
      <c r="A1289" t="s">
        <v>7830</v>
      </c>
      <c r="B1289" t="s">
        <v>7852</v>
      </c>
      <c r="C1289" t="s">
        <v>7853</v>
      </c>
      <c r="D1289" t="s">
        <v>7854</v>
      </c>
      <c r="E1289" t="s">
        <v>7855</v>
      </c>
      <c r="F1289">
        <v>14960373</v>
      </c>
      <c r="G1289">
        <v>97122</v>
      </c>
      <c r="H1289">
        <v>37913</v>
      </c>
      <c r="I1289" t="s">
        <v>7850</v>
      </c>
      <c r="J1289">
        <v>2001</v>
      </c>
      <c r="K1289" t="s">
        <v>7838</v>
      </c>
      <c r="L1289" t="s">
        <v>7837</v>
      </c>
    </row>
    <row r="1290" spans="1:12">
      <c r="A1290" t="s">
        <v>7830</v>
      </c>
      <c r="B1290" t="s">
        <v>7852</v>
      </c>
      <c r="C1290" t="s">
        <v>7853</v>
      </c>
      <c r="D1290" t="s">
        <v>7854</v>
      </c>
      <c r="E1290" t="s">
        <v>7855</v>
      </c>
      <c r="F1290">
        <v>13885747</v>
      </c>
      <c r="G1290">
        <v>125880</v>
      </c>
      <c r="H1290">
        <v>34767</v>
      </c>
      <c r="I1290" t="s">
        <v>7850</v>
      </c>
      <c r="J1290">
        <v>2001</v>
      </c>
      <c r="K1290" t="s">
        <v>7839</v>
      </c>
      <c r="L1290" t="s">
        <v>7837</v>
      </c>
    </row>
    <row r="1291" spans="1:12">
      <c r="A1291" t="s">
        <v>7830</v>
      </c>
      <c r="B1291" t="s">
        <v>7852</v>
      </c>
      <c r="C1291" t="s">
        <v>7853</v>
      </c>
      <c r="D1291" t="s">
        <v>7854</v>
      </c>
      <c r="E1291" t="s">
        <v>7855</v>
      </c>
      <c r="F1291">
        <v>20537107</v>
      </c>
      <c r="G1291">
        <v>152363</v>
      </c>
      <c r="H1291">
        <v>25828</v>
      </c>
      <c r="I1291" t="s">
        <v>7850</v>
      </c>
      <c r="J1291">
        <v>2001</v>
      </c>
      <c r="K1291" t="s">
        <v>7840</v>
      </c>
      <c r="L1291" t="s">
        <v>7837</v>
      </c>
    </row>
    <row r="1292" spans="1:12">
      <c r="A1292" t="s">
        <v>7830</v>
      </c>
      <c r="B1292" t="s">
        <v>7852</v>
      </c>
      <c r="C1292" t="s">
        <v>7853</v>
      </c>
      <c r="D1292" t="s">
        <v>7854</v>
      </c>
      <c r="E1292" t="s">
        <v>7855</v>
      </c>
      <c r="F1292">
        <v>12548393</v>
      </c>
      <c r="G1292">
        <v>102731</v>
      </c>
      <c r="H1292">
        <v>19329</v>
      </c>
      <c r="I1292" t="s">
        <v>7850</v>
      </c>
      <c r="J1292">
        <v>2001</v>
      </c>
      <c r="K1292" t="s">
        <v>7841</v>
      </c>
      <c r="L1292" t="s">
        <v>7837</v>
      </c>
    </row>
    <row r="1293" spans="1:12">
      <c r="A1293" t="s">
        <v>7830</v>
      </c>
      <c r="B1293" t="s">
        <v>7852</v>
      </c>
      <c r="C1293" t="s">
        <v>7853</v>
      </c>
      <c r="D1293" t="s">
        <v>7854</v>
      </c>
      <c r="E1293" t="s">
        <v>7855</v>
      </c>
      <c r="F1293">
        <v>15132855</v>
      </c>
      <c r="G1293">
        <v>82450</v>
      </c>
      <c r="H1293">
        <v>17823</v>
      </c>
      <c r="I1293" t="s">
        <v>7850</v>
      </c>
      <c r="J1293">
        <v>2001</v>
      </c>
      <c r="K1293" t="s">
        <v>7842</v>
      </c>
      <c r="L1293" t="s">
        <v>7837</v>
      </c>
    </row>
    <row r="1294" spans="1:12">
      <c r="A1294" t="s">
        <v>7830</v>
      </c>
      <c r="B1294" t="s">
        <v>7852</v>
      </c>
      <c r="C1294" t="s">
        <v>7853</v>
      </c>
      <c r="D1294" t="s">
        <v>7854</v>
      </c>
      <c r="E1294" t="s">
        <v>7855</v>
      </c>
      <c r="F1294">
        <v>21599219</v>
      </c>
      <c r="G1294">
        <v>96272</v>
      </c>
      <c r="H1294">
        <v>20922</v>
      </c>
      <c r="I1294" t="s">
        <v>7850</v>
      </c>
      <c r="J1294">
        <v>2001</v>
      </c>
      <c r="K1294" t="s">
        <v>7843</v>
      </c>
      <c r="L1294" t="s">
        <v>7837</v>
      </c>
    </row>
    <row r="1295" spans="1:12">
      <c r="A1295" t="s">
        <v>7830</v>
      </c>
      <c r="B1295" t="s">
        <v>7852</v>
      </c>
      <c r="C1295" t="s">
        <v>7853</v>
      </c>
      <c r="D1295" t="s">
        <v>7854</v>
      </c>
      <c r="E1295" t="s">
        <v>7855</v>
      </c>
      <c r="F1295">
        <v>10123381</v>
      </c>
      <c r="G1295">
        <v>59732</v>
      </c>
      <c r="H1295">
        <v>33169</v>
      </c>
      <c r="I1295" t="s">
        <v>7850</v>
      </c>
      <c r="J1295">
        <v>2001</v>
      </c>
      <c r="K1295" t="s">
        <v>7844</v>
      </c>
      <c r="L1295" t="s">
        <v>7837</v>
      </c>
    </row>
    <row r="1296" spans="1:12">
      <c r="A1296" t="s">
        <v>7830</v>
      </c>
      <c r="B1296" t="s">
        <v>7852</v>
      </c>
      <c r="C1296" t="s">
        <v>7853</v>
      </c>
      <c r="D1296" t="s">
        <v>7854</v>
      </c>
      <c r="E1296" t="s">
        <v>7855</v>
      </c>
      <c r="F1296">
        <v>10901392</v>
      </c>
      <c r="G1296">
        <v>75961</v>
      </c>
      <c r="H1296">
        <v>12735</v>
      </c>
      <c r="I1296" t="s">
        <v>7850</v>
      </c>
      <c r="J1296">
        <v>2001</v>
      </c>
      <c r="K1296" t="s">
        <v>7845</v>
      </c>
      <c r="L1296" t="s">
        <v>7837</v>
      </c>
    </row>
    <row r="1297" spans="1:12">
      <c r="A1297" t="s">
        <v>7830</v>
      </c>
      <c r="B1297" t="s">
        <v>7852</v>
      </c>
      <c r="C1297" t="s">
        <v>7853</v>
      </c>
      <c r="D1297" t="s">
        <v>7854</v>
      </c>
      <c r="E1297" t="s">
        <v>7855</v>
      </c>
      <c r="F1297">
        <v>17926257</v>
      </c>
      <c r="G1297">
        <v>101062</v>
      </c>
      <c r="H1297">
        <v>27730</v>
      </c>
      <c r="I1297" t="s">
        <v>7850</v>
      </c>
      <c r="J1297">
        <v>2001</v>
      </c>
      <c r="K1297" t="s">
        <v>7846</v>
      </c>
      <c r="L1297" t="s">
        <v>7837</v>
      </c>
    </row>
    <row r="1298" spans="1:12">
      <c r="A1298" t="s">
        <v>7830</v>
      </c>
      <c r="B1298" t="s">
        <v>7852</v>
      </c>
      <c r="C1298" t="s">
        <v>7853</v>
      </c>
      <c r="D1298" t="s">
        <v>7854</v>
      </c>
      <c r="E1298" t="s">
        <v>7855</v>
      </c>
      <c r="F1298">
        <v>13246000</v>
      </c>
      <c r="G1298">
        <v>117650</v>
      </c>
      <c r="H1298">
        <v>18227</v>
      </c>
      <c r="I1298" t="s">
        <v>7850</v>
      </c>
      <c r="J1298">
        <v>2001</v>
      </c>
      <c r="K1298" t="s">
        <v>7847</v>
      </c>
      <c r="L1298" t="s">
        <v>7837</v>
      </c>
    </row>
    <row r="1299" spans="1:12">
      <c r="A1299" t="s">
        <v>7830</v>
      </c>
      <c r="B1299" t="s">
        <v>7852</v>
      </c>
      <c r="C1299" t="s">
        <v>7853</v>
      </c>
      <c r="D1299" t="s">
        <v>7854</v>
      </c>
      <c r="E1299" t="s">
        <v>7855</v>
      </c>
      <c r="F1299">
        <v>17918506</v>
      </c>
      <c r="G1299">
        <v>137991</v>
      </c>
      <c r="H1299">
        <v>21483</v>
      </c>
      <c r="I1299" t="s">
        <v>7850</v>
      </c>
      <c r="J1299">
        <v>2001</v>
      </c>
      <c r="K1299" t="s">
        <v>7848</v>
      </c>
      <c r="L1299" t="s">
        <v>7837</v>
      </c>
    </row>
    <row r="1300" spans="1:12">
      <c r="A1300" t="s">
        <v>7830</v>
      </c>
      <c r="B1300" t="s">
        <v>7852</v>
      </c>
      <c r="C1300" t="s">
        <v>7853</v>
      </c>
      <c r="D1300" t="s">
        <v>7854</v>
      </c>
      <c r="E1300" t="s">
        <v>7855</v>
      </c>
      <c r="F1300">
        <v>12422204</v>
      </c>
      <c r="G1300">
        <v>67573</v>
      </c>
      <c r="H1300">
        <v>12995</v>
      </c>
      <c r="I1300" t="s">
        <v>7850</v>
      </c>
      <c r="J1300">
        <v>2002</v>
      </c>
      <c r="K1300" t="s">
        <v>7836</v>
      </c>
      <c r="L1300" t="s">
        <v>7837</v>
      </c>
    </row>
    <row r="1301" spans="1:12">
      <c r="A1301" t="s">
        <v>7830</v>
      </c>
      <c r="B1301" t="s">
        <v>7852</v>
      </c>
      <c r="C1301" t="s">
        <v>7853</v>
      </c>
      <c r="D1301" t="s">
        <v>7854</v>
      </c>
      <c r="E1301" t="s">
        <v>7855</v>
      </c>
      <c r="F1301">
        <v>8216064</v>
      </c>
      <c r="G1301">
        <v>53264</v>
      </c>
      <c r="H1301">
        <v>11387</v>
      </c>
      <c r="I1301" t="s">
        <v>7850</v>
      </c>
      <c r="J1301">
        <v>2002</v>
      </c>
      <c r="K1301" t="s">
        <v>7838</v>
      </c>
      <c r="L1301" t="s">
        <v>7837</v>
      </c>
    </row>
    <row r="1302" spans="1:12">
      <c r="A1302" t="s">
        <v>7830</v>
      </c>
      <c r="B1302" t="s">
        <v>7852</v>
      </c>
      <c r="C1302" t="s">
        <v>7853</v>
      </c>
      <c r="D1302" t="s">
        <v>7854</v>
      </c>
      <c r="E1302" t="s">
        <v>7855</v>
      </c>
      <c r="F1302">
        <v>12240689</v>
      </c>
      <c r="G1302">
        <v>95011</v>
      </c>
      <c r="H1302">
        <v>24516</v>
      </c>
      <c r="I1302" t="s">
        <v>7850</v>
      </c>
      <c r="J1302">
        <v>2002</v>
      </c>
      <c r="K1302" t="s">
        <v>7839</v>
      </c>
      <c r="L1302" t="s">
        <v>7837</v>
      </c>
    </row>
    <row r="1303" spans="1:12">
      <c r="A1303" t="s">
        <v>7830</v>
      </c>
      <c r="B1303" t="s">
        <v>7852</v>
      </c>
      <c r="C1303" t="s">
        <v>7853</v>
      </c>
      <c r="D1303" t="s">
        <v>7854</v>
      </c>
      <c r="E1303" t="s">
        <v>7855</v>
      </c>
      <c r="F1303">
        <v>13462056</v>
      </c>
      <c r="G1303">
        <v>71995</v>
      </c>
      <c r="H1303">
        <v>29123</v>
      </c>
      <c r="I1303" t="s">
        <v>7850</v>
      </c>
      <c r="J1303">
        <v>2002</v>
      </c>
      <c r="K1303" t="s">
        <v>7840</v>
      </c>
      <c r="L1303" t="s">
        <v>7837</v>
      </c>
    </row>
    <row r="1304" spans="1:12">
      <c r="A1304" t="s">
        <v>7830</v>
      </c>
      <c r="B1304" t="s">
        <v>7852</v>
      </c>
      <c r="C1304" t="s">
        <v>7853</v>
      </c>
      <c r="D1304" t="s">
        <v>7854</v>
      </c>
      <c r="E1304" t="s">
        <v>7855</v>
      </c>
      <c r="F1304">
        <v>13086657</v>
      </c>
      <c r="G1304">
        <v>73071</v>
      </c>
      <c r="H1304">
        <v>12991</v>
      </c>
      <c r="I1304" t="s">
        <v>7850</v>
      </c>
      <c r="J1304">
        <v>2002</v>
      </c>
      <c r="K1304" t="s">
        <v>7841</v>
      </c>
      <c r="L1304" t="s">
        <v>7837</v>
      </c>
    </row>
    <row r="1305" spans="1:12">
      <c r="A1305" t="s">
        <v>7830</v>
      </c>
      <c r="B1305" t="s">
        <v>7852</v>
      </c>
      <c r="C1305" t="s">
        <v>7853</v>
      </c>
      <c r="D1305" t="s">
        <v>7854</v>
      </c>
      <c r="E1305" t="s">
        <v>7855</v>
      </c>
      <c r="F1305">
        <v>10029005</v>
      </c>
      <c r="G1305">
        <v>57395</v>
      </c>
      <c r="H1305">
        <v>10224</v>
      </c>
      <c r="I1305" t="s">
        <v>7850</v>
      </c>
      <c r="J1305">
        <v>2002</v>
      </c>
      <c r="K1305" t="s">
        <v>7842</v>
      </c>
      <c r="L1305" t="s">
        <v>7837</v>
      </c>
    </row>
    <row r="1306" spans="1:12">
      <c r="A1306" t="s">
        <v>7830</v>
      </c>
      <c r="B1306" t="s">
        <v>7852</v>
      </c>
      <c r="C1306" t="s">
        <v>7853</v>
      </c>
      <c r="D1306" t="s">
        <v>7854</v>
      </c>
      <c r="E1306" t="s">
        <v>7855</v>
      </c>
      <c r="F1306">
        <v>14371452</v>
      </c>
      <c r="G1306">
        <v>90870</v>
      </c>
      <c r="H1306">
        <v>16767</v>
      </c>
      <c r="I1306" t="s">
        <v>7850</v>
      </c>
      <c r="J1306">
        <v>2002</v>
      </c>
      <c r="K1306" t="s">
        <v>7843</v>
      </c>
      <c r="L1306" t="s">
        <v>7837</v>
      </c>
    </row>
    <row r="1307" spans="1:12">
      <c r="A1307" t="s">
        <v>7830</v>
      </c>
      <c r="B1307" t="s">
        <v>7852</v>
      </c>
      <c r="C1307" t="s">
        <v>7853</v>
      </c>
      <c r="D1307" t="s">
        <v>7854</v>
      </c>
      <c r="E1307" t="s">
        <v>7855</v>
      </c>
      <c r="F1307">
        <v>12099299</v>
      </c>
      <c r="G1307">
        <v>61463</v>
      </c>
      <c r="H1307">
        <v>13251</v>
      </c>
      <c r="I1307" t="s">
        <v>7850</v>
      </c>
      <c r="J1307">
        <v>2002</v>
      </c>
      <c r="K1307" t="s">
        <v>7844</v>
      </c>
      <c r="L1307" t="s">
        <v>7837</v>
      </c>
    </row>
    <row r="1308" spans="1:12">
      <c r="A1308" t="s">
        <v>7830</v>
      </c>
      <c r="B1308" t="s">
        <v>7852</v>
      </c>
      <c r="C1308" t="s">
        <v>7853</v>
      </c>
      <c r="D1308" t="s">
        <v>7854</v>
      </c>
      <c r="E1308" t="s">
        <v>7855</v>
      </c>
      <c r="F1308">
        <v>9096647</v>
      </c>
      <c r="G1308">
        <v>56288</v>
      </c>
      <c r="H1308">
        <v>11032</v>
      </c>
      <c r="I1308" t="s">
        <v>7850</v>
      </c>
      <c r="J1308">
        <v>2002</v>
      </c>
      <c r="K1308" t="s">
        <v>7845</v>
      </c>
      <c r="L1308" t="s">
        <v>7837</v>
      </c>
    </row>
    <row r="1309" spans="1:12">
      <c r="A1309" t="s">
        <v>7830</v>
      </c>
      <c r="B1309" t="s">
        <v>7852</v>
      </c>
      <c r="C1309" t="s">
        <v>7853</v>
      </c>
      <c r="D1309" t="s">
        <v>7854</v>
      </c>
      <c r="E1309" t="s">
        <v>7855</v>
      </c>
      <c r="F1309">
        <v>10255813</v>
      </c>
      <c r="G1309">
        <v>69392</v>
      </c>
      <c r="H1309">
        <v>164865</v>
      </c>
      <c r="I1309" t="s">
        <v>7850</v>
      </c>
      <c r="J1309">
        <v>2002</v>
      </c>
      <c r="K1309" t="s">
        <v>7846</v>
      </c>
      <c r="L1309" t="s">
        <v>7837</v>
      </c>
    </row>
    <row r="1310" spans="1:12">
      <c r="A1310" t="s">
        <v>7830</v>
      </c>
      <c r="B1310" t="s">
        <v>7852</v>
      </c>
      <c r="C1310" t="s">
        <v>7853</v>
      </c>
      <c r="D1310" t="s">
        <v>7854</v>
      </c>
      <c r="E1310" t="s">
        <v>7855</v>
      </c>
      <c r="F1310">
        <v>6931885</v>
      </c>
      <c r="G1310">
        <v>73435</v>
      </c>
      <c r="H1310">
        <v>173725</v>
      </c>
      <c r="I1310" t="s">
        <v>7850</v>
      </c>
      <c r="J1310">
        <v>2002</v>
      </c>
      <c r="K1310" t="s">
        <v>7847</v>
      </c>
      <c r="L1310" t="s">
        <v>7837</v>
      </c>
    </row>
    <row r="1311" spans="1:12">
      <c r="A1311" t="s">
        <v>7830</v>
      </c>
      <c r="B1311" t="s">
        <v>7852</v>
      </c>
      <c r="C1311" t="s">
        <v>7853</v>
      </c>
      <c r="D1311" t="s">
        <v>7854</v>
      </c>
      <c r="E1311" t="s">
        <v>7855</v>
      </c>
      <c r="F1311">
        <v>2405986</v>
      </c>
      <c r="G1311">
        <v>59862</v>
      </c>
      <c r="H1311">
        <v>3694</v>
      </c>
      <c r="I1311" t="s">
        <v>7850</v>
      </c>
      <c r="J1311">
        <v>2002</v>
      </c>
      <c r="K1311" t="s">
        <v>7848</v>
      </c>
      <c r="L1311" t="s">
        <v>7837</v>
      </c>
    </row>
    <row r="1312" spans="1:12">
      <c r="A1312" t="s">
        <v>7830</v>
      </c>
      <c r="B1312" t="s">
        <v>7852</v>
      </c>
      <c r="C1312" t="s">
        <v>7853</v>
      </c>
      <c r="D1312" t="s">
        <v>7854</v>
      </c>
      <c r="E1312" t="s">
        <v>7855</v>
      </c>
      <c r="F1312">
        <v>8627507</v>
      </c>
      <c r="G1312">
        <v>68280</v>
      </c>
      <c r="H1312">
        <v>9835</v>
      </c>
      <c r="I1312" t="s">
        <v>7850</v>
      </c>
      <c r="J1312">
        <v>2003</v>
      </c>
      <c r="K1312" t="s">
        <v>7836</v>
      </c>
      <c r="L1312" t="s">
        <v>7837</v>
      </c>
    </row>
    <row r="1313" spans="1:12">
      <c r="A1313" t="s">
        <v>7830</v>
      </c>
      <c r="B1313" t="s">
        <v>7852</v>
      </c>
      <c r="C1313" t="s">
        <v>7853</v>
      </c>
      <c r="D1313" t="s">
        <v>7854</v>
      </c>
      <c r="E1313" t="s">
        <v>7855</v>
      </c>
      <c r="F1313">
        <v>8442128</v>
      </c>
      <c r="G1313">
        <v>61845</v>
      </c>
      <c r="H1313">
        <v>11132</v>
      </c>
      <c r="I1313" t="s">
        <v>7850</v>
      </c>
      <c r="J1313">
        <v>2003</v>
      </c>
      <c r="K1313" t="s">
        <v>7838</v>
      </c>
      <c r="L1313" t="s">
        <v>7837</v>
      </c>
    </row>
    <row r="1314" spans="1:12">
      <c r="A1314" t="s">
        <v>7830</v>
      </c>
      <c r="B1314" t="s">
        <v>7852</v>
      </c>
      <c r="C1314" t="s">
        <v>7853</v>
      </c>
      <c r="D1314" t="s">
        <v>7854</v>
      </c>
      <c r="E1314" t="s">
        <v>7855</v>
      </c>
      <c r="F1314">
        <v>6006165</v>
      </c>
      <c r="G1314">
        <v>60168</v>
      </c>
      <c r="H1314">
        <v>10168</v>
      </c>
      <c r="I1314" t="s">
        <v>7850</v>
      </c>
      <c r="J1314">
        <v>2003</v>
      </c>
      <c r="K1314" t="s">
        <v>7839</v>
      </c>
      <c r="L1314" t="s">
        <v>7837</v>
      </c>
    </row>
    <row r="1315" spans="1:12">
      <c r="A1315" t="s">
        <v>7830</v>
      </c>
      <c r="B1315" t="s">
        <v>7852</v>
      </c>
      <c r="C1315" t="s">
        <v>7853</v>
      </c>
      <c r="D1315" t="s">
        <v>7854</v>
      </c>
      <c r="E1315" t="s">
        <v>7855</v>
      </c>
      <c r="F1315">
        <v>7796378</v>
      </c>
      <c r="G1315">
        <v>59291</v>
      </c>
      <c r="H1315">
        <v>12763</v>
      </c>
      <c r="I1315" t="s">
        <v>7850</v>
      </c>
      <c r="J1315">
        <v>2003</v>
      </c>
      <c r="K1315" t="s">
        <v>7840</v>
      </c>
      <c r="L1315" t="s">
        <v>7837</v>
      </c>
    </row>
    <row r="1316" spans="1:12">
      <c r="A1316" t="s">
        <v>7830</v>
      </c>
      <c r="B1316" t="s">
        <v>7852</v>
      </c>
      <c r="C1316" t="s">
        <v>7853</v>
      </c>
      <c r="D1316" t="s">
        <v>7854</v>
      </c>
      <c r="E1316" t="s">
        <v>7855</v>
      </c>
      <c r="F1316">
        <v>9271539</v>
      </c>
      <c r="G1316">
        <v>58024</v>
      </c>
      <c r="H1316">
        <v>13024</v>
      </c>
      <c r="I1316" t="s">
        <v>7850</v>
      </c>
      <c r="J1316">
        <v>2003</v>
      </c>
      <c r="K1316" t="s">
        <v>7841</v>
      </c>
      <c r="L1316" t="s">
        <v>7837</v>
      </c>
    </row>
    <row r="1317" spans="1:12">
      <c r="A1317" t="s">
        <v>7830</v>
      </c>
      <c r="B1317" t="s">
        <v>7852</v>
      </c>
      <c r="C1317" t="s">
        <v>7853</v>
      </c>
      <c r="D1317" t="s">
        <v>7854</v>
      </c>
      <c r="E1317" t="s">
        <v>7855</v>
      </c>
      <c r="F1317">
        <v>8622725</v>
      </c>
      <c r="G1317">
        <v>60965</v>
      </c>
      <c r="H1317">
        <v>11148</v>
      </c>
      <c r="I1317" t="s">
        <v>7850</v>
      </c>
      <c r="J1317">
        <v>2003</v>
      </c>
      <c r="K1317" t="s">
        <v>7842</v>
      </c>
      <c r="L1317" t="s">
        <v>7837</v>
      </c>
    </row>
    <row r="1318" spans="1:12">
      <c r="A1318" t="s">
        <v>7830</v>
      </c>
      <c r="B1318" t="s">
        <v>7852</v>
      </c>
      <c r="C1318" t="s">
        <v>7853</v>
      </c>
      <c r="D1318" t="s">
        <v>7854</v>
      </c>
      <c r="E1318" t="s">
        <v>7855</v>
      </c>
      <c r="F1318">
        <v>10300812</v>
      </c>
      <c r="G1318">
        <v>110097</v>
      </c>
      <c r="H1318">
        <v>17136</v>
      </c>
      <c r="I1318" t="s">
        <v>7850</v>
      </c>
      <c r="J1318">
        <v>2003</v>
      </c>
      <c r="K1318" t="s">
        <v>7843</v>
      </c>
      <c r="L1318" t="s">
        <v>7837</v>
      </c>
    </row>
    <row r="1319" spans="1:12">
      <c r="A1319" t="s">
        <v>7830</v>
      </c>
      <c r="B1319" t="s">
        <v>7852</v>
      </c>
      <c r="C1319" t="s">
        <v>7853</v>
      </c>
      <c r="D1319" t="s">
        <v>7854</v>
      </c>
      <c r="E1319" t="s">
        <v>7855</v>
      </c>
      <c r="F1319">
        <v>17570782</v>
      </c>
      <c r="G1319">
        <v>158021</v>
      </c>
      <c r="H1319">
        <v>32198</v>
      </c>
      <c r="I1319" t="s">
        <v>7850</v>
      </c>
      <c r="J1319">
        <v>2003</v>
      </c>
      <c r="K1319" t="s">
        <v>7844</v>
      </c>
      <c r="L1319" t="s">
        <v>7837</v>
      </c>
    </row>
    <row r="1320" spans="1:12">
      <c r="A1320" t="s">
        <v>7830</v>
      </c>
      <c r="B1320" t="s">
        <v>7852</v>
      </c>
      <c r="C1320" t="s">
        <v>7853</v>
      </c>
      <c r="D1320" t="s">
        <v>7854</v>
      </c>
      <c r="E1320" t="s">
        <v>7855</v>
      </c>
      <c r="F1320">
        <v>7913324</v>
      </c>
      <c r="G1320">
        <v>79330</v>
      </c>
      <c r="H1320">
        <v>17399</v>
      </c>
      <c r="I1320" t="s">
        <v>7850</v>
      </c>
      <c r="J1320">
        <v>2003</v>
      </c>
      <c r="K1320" t="s">
        <v>7845</v>
      </c>
      <c r="L1320" t="s">
        <v>7837</v>
      </c>
    </row>
    <row r="1321" spans="1:12">
      <c r="A1321" t="s">
        <v>7830</v>
      </c>
      <c r="B1321" t="s">
        <v>7852</v>
      </c>
      <c r="C1321" t="s">
        <v>7853</v>
      </c>
      <c r="D1321" t="s">
        <v>7854</v>
      </c>
      <c r="E1321" t="s">
        <v>7855</v>
      </c>
      <c r="F1321">
        <v>10053114</v>
      </c>
      <c r="G1321">
        <v>118367</v>
      </c>
      <c r="H1321">
        <v>19352</v>
      </c>
      <c r="I1321" t="s">
        <v>7850</v>
      </c>
      <c r="J1321">
        <v>2003</v>
      </c>
      <c r="K1321" t="s">
        <v>7846</v>
      </c>
      <c r="L1321" t="s">
        <v>7837</v>
      </c>
    </row>
    <row r="1322" spans="1:12">
      <c r="A1322" t="s">
        <v>7830</v>
      </c>
      <c r="B1322" t="s">
        <v>7852</v>
      </c>
      <c r="C1322" t="s">
        <v>7853</v>
      </c>
      <c r="D1322" t="s">
        <v>7854</v>
      </c>
      <c r="E1322" t="s">
        <v>7855</v>
      </c>
      <c r="F1322">
        <v>6222355</v>
      </c>
      <c r="G1322">
        <v>109470</v>
      </c>
      <c r="H1322">
        <v>17473</v>
      </c>
      <c r="I1322" t="s">
        <v>7850</v>
      </c>
      <c r="J1322">
        <v>2003</v>
      </c>
      <c r="K1322" t="s">
        <v>7847</v>
      </c>
      <c r="L1322" t="s">
        <v>7837</v>
      </c>
    </row>
    <row r="1323" spans="1:12">
      <c r="A1323" t="s">
        <v>7830</v>
      </c>
      <c r="B1323" t="s">
        <v>7852</v>
      </c>
      <c r="C1323" t="s">
        <v>7853</v>
      </c>
      <c r="D1323" t="s">
        <v>7854</v>
      </c>
      <c r="E1323" t="s">
        <v>7855</v>
      </c>
      <c r="F1323">
        <v>7120762</v>
      </c>
      <c r="G1323">
        <v>93052</v>
      </c>
      <c r="H1323">
        <v>18446</v>
      </c>
      <c r="I1323" t="s">
        <v>7850</v>
      </c>
      <c r="J1323">
        <v>2003</v>
      </c>
      <c r="K1323" t="s">
        <v>7848</v>
      </c>
      <c r="L1323" t="s">
        <v>7837</v>
      </c>
    </row>
    <row r="1324" spans="1:12">
      <c r="A1324" t="s">
        <v>7830</v>
      </c>
      <c r="B1324" t="s">
        <v>7852</v>
      </c>
      <c r="C1324" t="s">
        <v>7853</v>
      </c>
      <c r="D1324" t="s">
        <v>7854</v>
      </c>
      <c r="E1324" t="s">
        <v>7855</v>
      </c>
      <c r="F1324">
        <v>3545270</v>
      </c>
      <c r="G1324">
        <v>81115</v>
      </c>
      <c r="H1324">
        <v>11503</v>
      </c>
      <c r="I1324" t="s">
        <v>7850</v>
      </c>
      <c r="J1324">
        <v>2004</v>
      </c>
      <c r="K1324" t="s">
        <v>7836</v>
      </c>
      <c r="L1324" t="s">
        <v>7837</v>
      </c>
    </row>
    <row r="1325" spans="1:12">
      <c r="A1325" t="s">
        <v>7830</v>
      </c>
      <c r="B1325" t="s">
        <v>7852</v>
      </c>
      <c r="C1325" t="s">
        <v>7853</v>
      </c>
      <c r="D1325" t="s">
        <v>7854</v>
      </c>
      <c r="E1325" t="s">
        <v>7855</v>
      </c>
      <c r="F1325">
        <v>3235693</v>
      </c>
      <c r="G1325">
        <v>57970</v>
      </c>
      <c r="H1325">
        <v>8354</v>
      </c>
      <c r="I1325" t="s">
        <v>7850</v>
      </c>
      <c r="J1325">
        <v>2004</v>
      </c>
      <c r="K1325" t="s">
        <v>7838</v>
      </c>
      <c r="L1325" t="s">
        <v>7837</v>
      </c>
    </row>
    <row r="1326" spans="1:12">
      <c r="A1326" t="s">
        <v>7830</v>
      </c>
      <c r="B1326" t="s">
        <v>7852</v>
      </c>
      <c r="C1326" t="s">
        <v>7853</v>
      </c>
      <c r="D1326" t="s">
        <v>7854</v>
      </c>
      <c r="E1326" t="s">
        <v>7855</v>
      </c>
      <c r="F1326">
        <v>3884317</v>
      </c>
      <c r="G1326">
        <v>55563</v>
      </c>
      <c r="H1326">
        <v>13299</v>
      </c>
      <c r="I1326" t="s">
        <v>7850</v>
      </c>
      <c r="J1326">
        <v>2004</v>
      </c>
      <c r="K1326" t="s">
        <v>7839</v>
      </c>
      <c r="L1326" t="s">
        <v>7837</v>
      </c>
    </row>
    <row r="1327" spans="1:12">
      <c r="A1327" t="s">
        <v>7830</v>
      </c>
      <c r="B1327" t="s">
        <v>7852</v>
      </c>
      <c r="C1327" t="s">
        <v>7853</v>
      </c>
      <c r="D1327" t="s">
        <v>7854</v>
      </c>
      <c r="E1327" t="s">
        <v>7855</v>
      </c>
      <c r="F1327">
        <v>3204862</v>
      </c>
      <c r="G1327">
        <v>65530</v>
      </c>
      <c r="H1327">
        <v>33567</v>
      </c>
      <c r="I1327" t="s">
        <v>7850</v>
      </c>
      <c r="J1327">
        <v>2004</v>
      </c>
      <c r="K1327" t="s">
        <v>7840</v>
      </c>
      <c r="L1327" t="s">
        <v>7837</v>
      </c>
    </row>
    <row r="1328" spans="1:12">
      <c r="A1328" t="s">
        <v>7830</v>
      </c>
      <c r="B1328" t="s">
        <v>7852</v>
      </c>
      <c r="C1328" t="s">
        <v>7853</v>
      </c>
      <c r="D1328" t="s">
        <v>7854</v>
      </c>
      <c r="E1328" t="s">
        <v>7855</v>
      </c>
      <c r="F1328">
        <v>2571796</v>
      </c>
      <c r="G1328">
        <v>103670</v>
      </c>
      <c r="H1328">
        <v>14757</v>
      </c>
      <c r="I1328" t="s">
        <v>7850</v>
      </c>
      <c r="J1328">
        <v>2004</v>
      </c>
      <c r="K1328" t="s">
        <v>7841</v>
      </c>
      <c r="L1328" t="s">
        <v>7837</v>
      </c>
    </row>
    <row r="1329" spans="1:12">
      <c r="A1329" t="s">
        <v>7830</v>
      </c>
      <c r="B1329" t="s">
        <v>7852</v>
      </c>
      <c r="C1329" t="s">
        <v>7853</v>
      </c>
      <c r="D1329" t="s">
        <v>7854</v>
      </c>
      <c r="E1329" t="s">
        <v>7855</v>
      </c>
      <c r="F1329">
        <v>3334000</v>
      </c>
      <c r="G1329">
        <v>138094</v>
      </c>
      <c r="H1329">
        <v>18213</v>
      </c>
      <c r="I1329" t="s">
        <v>7850</v>
      </c>
      <c r="J1329">
        <v>2004</v>
      </c>
      <c r="K1329" t="s">
        <v>7842</v>
      </c>
      <c r="L1329" t="s">
        <v>7837</v>
      </c>
    </row>
    <row r="1330" spans="1:12">
      <c r="A1330" t="s">
        <v>7830</v>
      </c>
      <c r="B1330" t="s">
        <v>7852</v>
      </c>
      <c r="C1330" t="s">
        <v>7853</v>
      </c>
      <c r="D1330" t="s">
        <v>7854</v>
      </c>
      <c r="E1330" t="s">
        <v>7855</v>
      </c>
      <c r="F1330">
        <v>2625740</v>
      </c>
      <c r="G1330">
        <v>102019</v>
      </c>
      <c r="H1330">
        <v>18804</v>
      </c>
      <c r="I1330" t="s">
        <v>7850</v>
      </c>
      <c r="J1330">
        <v>2004</v>
      </c>
      <c r="K1330" t="s">
        <v>7843</v>
      </c>
      <c r="L1330" t="s">
        <v>7837</v>
      </c>
    </row>
    <row r="1331" spans="1:12">
      <c r="A1331" t="s">
        <v>7830</v>
      </c>
      <c r="B1331" t="s">
        <v>7852</v>
      </c>
      <c r="C1331" t="s">
        <v>7853</v>
      </c>
      <c r="D1331" t="s">
        <v>7854</v>
      </c>
      <c r="E1331" t="s">
        <v>7855</v>
      </c>
      <c r="F1331">
        <v>2799920</v>
      </c>
      <c r="G1331">
        <v>49378</v>
      </c>
      <c r="H1331">
        <v>12509</v>
      </c>
      <c r="I1331" t="s">
        <v>7850</v>
      </c>
      <c r="J1331">
        <v>2004</v>
      </c>
      <c r="K1331" t="s">
        <v>7844</v>
      </c>
      <c r="L1331" t="s">
        <v>7837</v>
      </c>
    </row>
    <row r="1332" spans="1:12">
      <c r="A1332" t="s">
        <v>7830</v>
      </c>
      <c r="B1332" t="s">
        <v>7852</v>
      </c>
      <c r="C1332" t="s">
        <v>7853</v>
      </c>
      <c r="D1332" t="s">
        <v>7854</v>
      </c>
      <c r="E1332" t="s">
        <v>7855</v>
      </c>
      <c r="F1332">
        <v>4088038</v>
      </c>
      <c r="G1332">
        <v>26491</v>
      </c>
      <c r="H1332">
        <v>8300</v>
      </c>
      <c r="I1332" t="s">
        <v>7850</v>
      </c>
      <c r="J1332">
        <v>2004</v>
      </c>
      <c r="K1332" t="s">
        <v>7845</v>
      </c>
      <c r="L1332" t="s">
        <v>7837</v>
      </c>
    </row>
    <row r="1333" spans="1:12">
      <c r="A1333" t="s">
        <v>7830</v>
      </c>
      <c r="B1333" t="s">
        <v>7852</v>
      </c>
      <c r="C1333" t="s">
        <v>7853</v>
      </c>
      <c r="D1333" t="s">
        <v>7854</v>
      </c>
      <c r="E1333" t="s">
        <v>7855</v>
      </c>
      <c r="F1333">
        <v>3184395</v>
      </c>
      <c r="G1333">
        <v>49143</v>
      </c>
      <c r="H1333">
        <v>9169</v>
      </c>
      <c r="I1333" t="s">
        <v>7850</v>
      </c>
      <c r="J1333">
        <v>2004</v>
      </c>
      <c r="K1333" t="s">
        <v>7846</v>
      </c>
      <c r="L1333" t="s">
        <v>7837</v>
      </c>
    </row>
    <row r="1334" spans="1:12">
      <c r="A1334" t="s">
        <v>7830</v>
      </c>
      <c r="B1334" t="s">
        <v>7852</v>
      </c>
      <c r="C1334" t="s">
        <v>7853</v>
      </c>
      <c r="D1334" t="s">
        <v>7854</v>
      </c>
      <c r="E1334" t="s">
        <v>7855</v>
      </c>
      <c r="F1334">
        <v>3395279</v>
      </c>
      <c r="G1334">
        <v>117348</v>
      </c>
      <c r="H1334">
        <v>13481</v>
      </c>
      <c r="I1334" t="s">
        <v>7850</v>
      </c>
      <c r="J1334">
        <v>2004</v>
      </c>
      <c r="K1334" t="s">
        <v>7847</v>
      </c>
      <c r="L1334" t="s">
        <v>7837</v>
      </c>
    </row>
    <row r="1335" spans="1:12">
      <c r="A1335" t="s">
        <v>7830</v>
      </c>
      <c r="B1335" t="s">
        <v>7852</v>
      </c>
      <c r="C1335" t="s">
        <v>7853</v>
      </c>
      <c r="D1335" t="s">
        <v>7854</v>
      </c>
      <c r="E1335" t="s">
        <v>7855</v>
      </c>
      <c r="F1335">
        <v>2889452</v>
      </c>
      <c r="G1335">
        <v>30743</v>
      </c>
      <c r="H1335">
        <v>10117</v>
      </c>
      <c r="I1335" t="s">
        <v>7850</v>
      </c>
      <c r="J1335">
        <v>2004</v>
      </c>
      <c r="K1335" t="s">
        <v>7848</v>
      </c>
      <c r="L1335" t="s">
        <v>7837</v>
      </c>
    </row>
    <row r="1336" spans="1:12">
      <c r="A1336" t="s">
        <v>7830</v>
      </c>
      <c r="B1336" t="s">
        <v>7852</v>
      </c>
      <c r="C1336" t="s">
        <v>7853</v>
      </c>
      <c r="D1336" t="s">
        <v>7854</v>
      </c>
      <c r="E1336" t="s">
        <v>7855</v>
      </c>
      <c r="F1336">
        <v>3580372</v>
      </c>
      <c r="G1336">
        <v>23291</v>
      </c>
      <c r="H1336">
        <v>8064</v>
      </c>
      <c r="I1336" t="s">
        <v>7850</v>
      </c>
      <c r="J1336">
        <v>2005</v>
      </c>
      <c r="K1336" t="s">
        <v>7836</v>
      </c>
      <c r="L1336" t="s">
        <v>7837</v>
      </c>
    </row>
    <row r="1337" spans="1:12">
      <c r="A1337" t="s">
        <v>7830</v>
      </c>
      <c r="B1337" t="s">
        <v>7852</v>
      </c>
      <c r="C1337" t="s">
        <v>7853</v>
      </c>
      <c r="D1337" t="s">
        <v>7854</v>
      </c>
      <c r="E1337" t="s">
        <v>7855</v>
      </c>
      <c r="F1337">
        <v>3607391</v>
      </c>
      <c r="G1337">
        <v>23543</v>
      </c>
      <c r="H1337">
        <v>15353</v>
      </c>
      <c r="I1337" t="s">
        <v>7850</v>
      </c>
      <c r="J1337">
        <v>2005</v>
      </c>
      <c r="K1337" t="s">
        <v>7838</v>
      </c>
      <c r="L1337" t="s">
        <v>7837</v>
      </c>
    </row>
    <row r="1338" spans="1:12">
      <c r="A1338" t="s">
        <v>7830</v>
      </c>
      <c r="B1338" t="s">
        <v>7852</v>
      </c>
      <c r="C1338" t="s">
        <v>7853</v>
      </c>
      <c r="D1338" t="s">
        <v>7854</v>
      </c>
      <c r="E1338" t="s">
        <v>7855</v>
      </c>
      <c r="F1338">
        <v>3486513</v>
      </c>
      <c r="G1338">
        <v>82363</v>
      </c>
      <c r="H1338">
        <v>6898</v>
      </c>
      <c r="I1338" t="s">
        <v>7850</v>
      </c>
      <c r="J1338">
        <v>2005</v>
      </c>
      <c r="K1338" t="s">
        <v>7839</v>
      </c>
      <c r="L1338" t="s">
        <v>7837</v>
      </c>
    </row>
    <row r="1339" spans="1:12">
      <c r="A1339" t="s">
        <v>7830</v>
      </c>
      <c r="B1339" t="s">
        <v>7852</v>
      </c>
      <c r="C1339" t="s">
        <v>7853</v>
      </c>
      <c r="D1339" t="s">
        <v>7854</v>
      </c>
      <c r="E1339" t="s">
        <v>7855</v>
      </c>
      <c r="F1339">
        <v>3318949</v>
      </c>
      <c r="G1339">
        <v>54029</v>
      </c>
      <c r="H1339">
        <v>5561</v>
      </c>
      <c r="I1339" t="s">
        <v>7850</v>
      </c>
      <c r="J1339">
        <v>2005</v>
      </c>
      <c r="K1339" t="s">
        <v>7840</v>
      </c>
      <c r="L1339" t="s">
        <v>7837</v>
      </c>
    </row>
    <row r="1340" spans="1:12">
      <c r="A1340" t="s">
        <v>7830</v>
      </c>
      <c r="B1340" t="s">
        <v>7852</v>
      </c>
      <c r="C1340" t="s">
        <v>7853</v>
      </c>
      <c r="D1340" t="s">
        <v>7854</v>
      </c>
      <c r="E1340" t="s">
        <v>7855</v>
      </c>
      <c r="F1340">
        <v>2808494</v>
      </c>
      <c r="G1340">
        <v>46381</v>
      </c>
      <c r="H1340">
        <v>4903</v>
      </c>
      <c r="I1340" t="s">
        <v>7850</v>
      </c>
      <c r="J1340">
        <v>2005</v>
      </c>
      <c r="K1340" t="s">
        <v>7841</v>
      </c>
      <c r="L1340" t="s">
        <v>7837</v>
      </c>
    </row>
    <row r="1341" spans="1:12">
      <c r="A1341" t="s">
        <v>7830</v>
      </c>
      <c r="B1341" t="s">
        <v>7852</v>
      </c>
      <c r="C1341" t="s">
        <v>7853</v>
      </c>
      <c r="D1341" t="s">
        <v>7854</v>
      </c>
      <c r="E1341" t="s">
        <v>7855</v>
      </c>
      <c r="F1341">
        <v>3713661</v>
      </c>
      <c r="G1341">
        <v>38090</v>
      </c>
      <c r="H1341">
        <v>11779</v>
      </c>
      <c r="I1341" t="s">
        <v>7850</v>
      </c>
      <c r="J1341">
        <v>2005</v>
      </c>
      <c r="K1341" t="s">
        <v>7842</v>
      </c>
      <c r="L1341" t="s">
        <v>7837</v>
      </c>
    </row>
    <row r="1342" spans="1:12">
      <c r="A1342" t="s">
        <v>7830</v>
      </c>
      <c r="B1342" t="s">
        <v>7852</v>
      </c>
      <c r="C1342" t="s">
        <v>7853</v>
      </c>
      <c r="D1342" t="s">
        <v>7854</v>
      </c>
      <c r="E1342" t="s">
        <v>7855</v>
      </c>
      <c r="F1342">
        <v>4967364</v>
      </c>
      <c r="G1342">
        <v>32235</v>
      </c>
      <c r="H1342">
        <v>58728</v>
      </c>
      <c r="I1342" t="s">
        <v>7850</v>
      </c>
      <c r="J1342">
        <v>2005</v>
      </c>
      <c r="K1342" t="s">
        <v>7843</v>
      </c>
      <c r="L1342" t="s">
        <v>7837</v>
      </c>
    </row>
    <row r="1343" spans="1:12">
      <c r="A1343" t="s">
        <v>7830</v>
      </c>
      <c r="B1343" t="s">
        <v>7852</v>
      </c>
      <c r="C1343" t="s">
        <v>7853</v>
      </c>
      <c r="D1343" t="s">
        <v>7854</v>
      </c>
      <c r="E1343" t="s">
        <v>7855</v>
      </c>
      <c r="F1343">
        <v>2393295</v>
      </c>
      <c r="G1343">
        <v>18610</v>
      </c>
      <c r="H1343">
        <v>14690</v>
      </c>
      <c r="I1343" t="s">
        <v>7850</v>
      </c>
      <c r="J1343">
        <v>2005</v>
      </c>
      <c r="K1343" t="s">
        <v>7844</v>
      </c>
      <c r="L1343" t="s">
        <v>7837</v>
      </c>
    </row>
    <row r="1344" spans="1:12">
      <c r="A1344" t="s">
        <v>7830</v>
      </c>
      <c r="B1344" t="s">
        <v>7852</v>
      </c>
      <c r="C1344" t="s">
        <v>7853</v>
      </c>
      <c r="D1344" t="s">
        <v>7854</v>
      </c>
      <c r="E1344" t="s">
        <v>7855</v>
      </c>
      <c r="F1344">
        <v>2479202</v>
      </c>
      <c r="G1344">
        <v>21715</v>
      </c>
      <c r="H1344">
        <v>5741</v>
      </c>
      <c r="I1344" t="s">
        <v>7850</v>
      </c>
      <c r="J1344">
        <v>2005</v>
      </c>
      <c r="K1344" t="s">
        <v>7845</v>
      </c>
      <c r="L1344" t="s">
        <v>7837</v>
      </c>
    </row>
    <row r="1345" spans="1:12">
      <c r="A1345" t="s">
        <v>7830</v>
      </c>
      <c r="B1345" t="s">
        <v>7852</v>
      </c>
      <c r="C1345" t="s">
        <v>7853</v>
      </c>
      <c r="D1345" t="s">
        <v>7854</v>
      </c>
      <c r="E1345" t="s">
        <v>7855</v>
      </c>
      <c r="F1345">
        <v>3158036</v>
      </c>
      <c r="G1345">
        <v>54575</v>
      </c>
      <c r="H1345">
        <v>5637</v>
      </c>
      <c r="I1345" t="s">
        <v>7850</v>
      </c>
      <c r="J1345">
        <v>2005</v>
      </c>
      <c r="K1345" t="s">
        <v>7846</v>
      </c>
      <c r="L1345" t="s">
        <v>7837</v>
      </c>
    </row>
    <row r="1346" spans="1:12">
      <c r="A1346" t="s">
        <v>7830</v>
      </c>
      <c r="B1346" t="s">
        <v>7852</v>
      </c>
      <c r="C1346" t="s">
        <v>7853</v>
      </c>
      <c r="D1346" t="s">
        <v>7854</v>
      </c>
      <c r="E1346" t="s">
        <v>7855</v>
      </c>
      <c r="F1346">
        <v>3478583</v>
      </c>
      <c r="G1346">
        <v>73501</v>
      </c>
      <c r="H1346">
        <v>9603</v>
      </c>
      <c r="I1346" t="s">
        <v>7850</v>
      </c>
      <c r="J1346">
        <v>2005</v>
      </c>
      <c r="K1346" t="s">
        <v>7847</v>
      </c>
      <c r="L1346" t="s">
        <v>7837</v>
      </c>
    </row>
    <row r="1347" spans="1:12">
      <c r="A1347" t="s">
        <v>7830</v>
      </c>
      <c r="B1347" t="s">
        <v>7852</v>
      </c>
      <c r="C1347" t="s">
        <v>7853</v>
      </c>
      <c r="D1347" t="s">
        <v>7854</v>
      </c>
      <c r="E1347" t="s">
        <v>7855</v>
      </c>
      <c r="F1347">
        <v>2507171</v>
      </c>
      <c r="G1347">
        <v>82706</v>
      </c>
      <c r="H1347">
        <v>5634</v>
      </c>
      <c r="I1347" t="s">
        <v>7850</v>
      </c>
      <c r="J1347">
        <v>2005</v>
      </c>
      <c r="K1347" t="s">
        <v>7848</v>
      </c>
      <c r="L1347" t="s">
        <v>7837</v>
      </c>
    </row>
    <row r="1348" spans="1:12">
      <c r="A1348" t="s">
        <v>7830</v>
      </c>
      <c r="B1348" t="s">
        <v>7852</v>
      </c>
      <c r="C1348" t="s">
        <v>7853</v>
      </c>
      <c r="D1348" t="s">
        <v>7854</v>
      </c>
      <c r="E1348" t="s">
        <v>7855</v>
      </c>
      <c r="F1348">
        <v>2293059</v>
      </c>
      <c r="G1348">
        <v>32553</v>
      </c>
      <c r="H1348">
        <v>3757</v>
      </c>
      <c r="I1348" t="s">
        <v>7850</v>
      </c>
      <c r="J1348">
        <v>2006</v>
      </c>
      <c r="K1348" t="s">
        <v>7836</v>
      </c>
      <c r="L1348" t="s">
        <v>7837</v>
      </c>
    </row>
    <row r="1349" spans="1:12">
      <c r="A1349" t="s">
        <v>7830</v>
      </c>
      <c r="B1349" t="s">
        <v>7852</v>
      </c>
      <c r="C1349" t="s">
        <v>7853</v>
      </c>
      <c r="D1349" t="s">
        <v>7854</v>
      </c>
      <c r="E1349" t="s">
        <v>7855</v>
      </c>
      <c r="F1349">
        <v>3919086</v>
      </c>
      <c r="G1349">
        <v>187498</v>
      </c>
      <c r="H1349">
        <v>9650</v>
      </c>
      <c r="I1349" t="s">
        <v>7850</v>
      </c>
      <c r="J1349">
        <v>2006</v>
      </c>
      <c r="K1349" t="s">
        <v>7838</v>
      </c>
      <c r="L1349" t="s">
        <v>7837</v>
      </c>
    </row>
    <row r="1350" spans="1:12">
      <c r="A1350" t="s">
        <v>7830</v>
      </c>
      <c r="B1350" t="s">
        <v>7852</v>
      </c>
      <c r="C1350" t="s">
        <v>7853</v>
      </c>
      <c r="D1350" t="s">
        <v>7854</v>
      </c>
      <c r="E1350" t="s">
        <v>7855</v>
      </c>
      <c r="F1350">
        <v>4214899</v>
      </c>
      <c r="G1350">
        <v>94551</v>
      </c>
      <c r="H1350">
        <v>14324</v>
      </c>
      <c r="I1350" t="s">
        <v>7850</v>
      </c>
      <c r="J1350">
        <v>2006</v>
      </c>
      <c r="K1350" t="s">
        <v>7839</v>
      </c>
      <c r="L1350" t="s">
        <v>7837</v>
      </c>
    </row>
    <row r="1351" spans="1:12">
      <c r="A1351" t="s">
        <v>7830</v>
      </c>
      <c r="B1351" t="s">
        <v>7852</v>
      </c>
      <c r="C1351" t="s">
        <v>7853</v>
      </c>
      <c r="D1351" t="s">
        <v>7854</v>
      </c>
      <c r="E1351" t="s">
        <v>7855</v>
      </c>
      <c r="F1351">
        <v>3934565</v>
      </c>
      <c r="G1351">
        <v>70522</v>
      </c>
      <c r="H1351">
        <v>11740</v>
      </c>
      <c r="I1351" t="s">
        <v>7850</v>
      </c>
      <c r="J1351">
        <v>2006</v>
      </c>
      <c r="K1351" t="s">
        <v>7840</v>
      </c>
      <c r="L1351" t="s">
        <v>7837</v>
      </c>
    </row>
    <row r="1352" spans="1:12">
      <c r="A1352" t="s">
        <v>7830</v>
      </c>
      <c r="B1352" t="s">
        <v>7852</v>
      </c>
      <c r="C1352" t="s">
        <v>7853</v>
      </c>
      <c r="D1352" t="s">
        <v>7854</v>
      </c>
      <c r="E1352" t="s">
        <v>7855</v>
      </c>
      <c r="F1352">
        <v>7746704</v>
      </c>
      <c r="G1352">
        <v>61460</v>
      </c>
      <c r="H1352">
        <v>10476</v>
      </c>
      <c r="I1352" t="s">
        <v>7850</v>
      </c>
      <c r="J1352">
        <v>2006</v>
      </c>
      <c r="K1352" t="s">
        <v>7841</v>
      </c>
      <c r="L1352" t="s">
        <v>7837</v>
      </c>
    </row>
    <row r="1353" spans="1:12">
      <c r="A1353" t="s">
        <v>7830</v>
      </c>
      <c r="B1353" t="s">
        <v>7852</v>
      </c>
      <c r="C1353" t="s">
        <v>7853</v>
      </c>
      <c r="D1353" t="s">
        <v>7854</v>
      </c>
      <c r="E1353" t="s">
        <v>7855</v>
      </c>
      <c r="F1353">
        <v>2828081</v>
      </c>
      <c r="G1353">
        <v>194502</v>
      </c>
      <c r="H1353">
        <v>13394</v>
      </c>
      <c r="I1353" t="s">
        <v>7850</v>
      </c>
      <c r="J1353">
        <v>2006</v>
      </c>
      <c r="K1353" t="s">
        <v>7842</v>
      </c>
      <c r="L1353" t="s">
        <v>7837</v>
      </c>
    </row>
    <row r="1354" spans="1:12">
      <c r="A1354" t="s">
        <v>7830</v>
      </c>
      <c r="B1354" t="s">
        <v>7852</v>
      </c>
      <c r="C1354" t="s">
        <v>7853</v>
      </c>
      <c r="D1354" t="s">
        <v>7854</v>
      </c>
      <c r="E1354" t="s">
        <v>7855</v>
      </c>
      <c r="F1354">
        <v>3093813</v>
      </c>
      <c r="G1354">
        <v>46883</v>
      </c>
      <c r="H1354">
        <v>15082</v>
      </c>
      <c r="I1354" t="s">
        <v>7850</v>
      </c>
      <c r="J1354">
        <v>2006</v>
      </c>
      <c r="K1354" t="s">
        <v>7843</v>
      </c>
      <c r="L1354" t="s">
        <v>7837</v>
      </c>
    </row>
    <row r="1355" spans="1:12">
      <c r="A1355" t="s">
        <v>7830</v>
      </c>
      <c r="B1355" t="s">
        <v>7852</v>
      </c>
      <c r="C1355" t="s">
        <v>7853</v>
      </c>
      <c r="D1355" t="s">
        <v>7854</v>
      </c>
      <c r="E1355" t="s">
        <v>7855</v>
      </c>
      <c r="F1355">
        <v>3623082</v>
      </c>
      <c r="G1355">
        <v>53181</v>
      </c>
      <c r="H1355">
        <v>14614</v>
      </c>
      <c r="I1355" t="s">
        <v>7850</v>
      </c>
      <c r="J1355">
        <v>2006</v>
      </c>
      <c r="K1355" t="s">
        <v>7844</v>
      </c>
      <c r="L1355" t="s">
        <v>7837</v>
      </c>
    </row>
    <row r="1356" spans="1:12">
      <c r="A1356" t="s">
        <v>7830</v>
      </c>
      <c r="B1356" t="s">
        <v>7852</v>
      </c>
      <c r="C1356" t="s">
        <v>7853</v>
      </c>
      <c r="D1356" t="s">
        <v>7854</v>
      </c>
      <c r="E1356" t="s">
        <v>7855</v>
      </c>
      <c r="F1356">
        <v>3070882</v>
      </c>
      <c r="G1356">
        <v>118637</v>
      </c>
      <c r="H1356">
        <v>17045</v>
      </c>
      <c r="I1356" t="s">
        <v>7850</v>
      </c>
      <c r="J1356">
        <v>2006</v>
      </c>
      <c r="K1356" t="s">
        <v>7845</v>
      </c>
      <c r="L1356" t="s">
        <v>7837</v>
      </c>
    </row>
    <row r="1357" spans="1:12">
      <c r="A1357" t="s">
        <v>7830</v>
      </c>
      <c r="B1357" t="s">
        <v>7852</v>
      </c>
      <c r="C1357" t="s">
        <v>7853</v>
      </c>
      <c r="D1357" t="s">
        <v>7854</v>
      </c>
      <c r="E1357" t="s">
        <v>7855</v>
      </c>
      <c r="F1357">
        <v>4977312</v>
      </c>
      <c r="G1357">
        <v>250996</v>
      </c>
      <c r="H1357">
        <v>23611</v>
      </c>
      <c r="I1357" t="s">
        <v>7850</v>
      </c>
      <c r="J1357">
        <v>2006</v>
      </c>
      <c r="K1357" t="s">
        <v>7846</v>
      </c>
      <c r="L1357" t="s">
        <v>7837</v>
      </c>
    </row>
    <row r="1358" spans="1:12">
      <c r="A1358" t="s">
        <v>7830</v>
      </c>
      <c r="B1358" t="s">
        <v>7852</v>
      </c>
      <c r="C1358" t="s">
        <v>7853</v>
      </c>
      <c r="D1358" t="s">
        <v>7854</v>
      </c>
      <c r="E1358" t="s">
        <v>7855</v>
      </c>
      <c r="F1358">
        <v>4168764</v>
      </c>
      <c r="G1358">
        <v>202813</v>
      </c>
      <c r="H1358">
        <v>23525</v>
      </c>
      <c r="I1358" t="s">
        <v>7850</v>
      </c>
      <c r="J1358">
        <v>2006</v>
      </c>
      <c r="K1358" t="s">
        <v>7847</v>
      </c>
      <c r="L1358" t="s">
        <v>7837</v>
      </c>
    </row>
    <row r="1359" spans="1:12">
      <c r="A1359" t="s">
        <v>7830</v>
      </c>
      <c r="B1359" t="s">
        <v>7852</v>
      </c>
      <c r="C1359" t="s">
        <v>7853</v>
      </c>
      <c r="D1359" t="s">
        <v>7854</v>
      </c>
      <c r="E1359" t="s">
        <v>7855</v>
      </c>
      <c r="F1359">
        <v>3937062</v>
      </c>
      <c r="G1359">
        <v>309121</v>
      </c>
      <c r="H1359">
        <v>27484</v>
      </c>
      <c r="I1359" t="s">
        <v>7850</v>
      </c>
      <c r="J1359">
        <v>2006</v>
      </c>
      <c r="K1359" t="s">
        <v>7848</v>
      </c>
      <c r="L1359" t="s">
        <v>7837</v>
      </c>
    </row>
    <row r="1360" spans="1:12">
      <c r="A1360" t="s">
        <v>7830</v>
      </c>
      <c r="B1360" t="s">
        <v>7852</v>
      </c>
      <c r="C1360" t="s">
        <v>7853</v>
      </c>
      <c r="D1360" t="s">
        <v>7854</v>
      </c>
      <c r="E1360" t="s">
        <v>7855</v>
      </c>
      <c r="F1360">
        <v>5809245</v>
      </c>
      <c r="G1360">
        <v>129249</v>
      </c>
      <c r="H1360">
        <v>40392</v>
      </c>
      <c r="I1360" t="s">
        <v>7850</v>
      </c>
      <c r="J1360">
        <v>2007</v>
      </c>
      <c r="K1360" t="s">
        <v>7836</v>
      </c>
      <c r="L1360" t="s">
        <v>7837</v>
      </c>
    </row>
    <row r="1361" spans="1:12">
      <c r="A1361" t="s">
        <v>7830</v>
      </c>
      <c r="B1361" t="s">
        <v>7852</v>
      </c>
      <c r="C1361" t="s">
        <v>7853</v>
      </c>
      <c r="D1361" t="s">
        <v>7854</v>
      </c>
      <c r="E1361" t="s">
        <v>7855</v>
      </c>
      <c r="F1361">
        <v>5747675</v>
      </c>
      <c r="G1361">
        <v>194420</v>
      </c>
      <c r="H1361">
        <v>97784</v>
      </c>
      <c r="I1361" t="s">
        <v>7850</v>
      </c>
      <c r="J1361">
        <v>2007</v>
      </c>
      <c r="K1361" t="s">
        <v>7838</v>
      </c>
      <c r="L1361" t="s">
        <v>7837</v>
      </c>
    </row>
    <row r="1362" spans="1:12">
      <c r="A1362" t="s">
        <v>7830</v>
      </c>
      <c r="B1362" t="s">
        <v>7852</v>
      </c>
      <c r="C1362" t="s">
        <v>7853</v>
      </c>
      <c r="D1362" t="s">
        <v>7854</v>
      </c>
      <c r="E1362" t="s">
        <v>7855</v>
      </c>
      <c r="F1362">
        <v>7025037</v>
      </c>
      <c r="G1362">
        <v>364995</v>
      </c>
      <c r="H1362">
        <v>105315</v>
      </c>
      <c r="I1362" t="s">
        <v>7850</v>
      </c>
      <c r="J1362">
        <v>2007</v>
      </c>
      <c r="K1362" t="s">
        <v>7839</v>
      </c>
      <c r="L1362" t="s">
        <v>7837</v>
      </c>
    </row>
    <row r="1363" spans="1:12">
      <c r="A1363" t="s">
        <v>7830</v>
      </c>
      <c r="B1363" t="s">
        <v>7852</v>
      </c>
      <c r="C1363" t="s">
        <v>7853</v>
      </c>
      <c r="D1363" t="s">
        <v>7854</v>
      </c>
      <c r="E1363" t="s">
        <v>7855</v>
      </c>
      <c r="F1363">
        <v>6359088</v>
      </c>
      <c r="G1363">
        <v>384311</v>
      </c>
      <c r="H1363">
        <v>29005</v>
      </c>
      <c r="I1363" t="s">
        <v>7850</v>
      </c>
      <c r="J1363">
        <v>2007</v>
      </c>
      <c r="K1363" t="s">
        <v>7840</v>
      </c>
      <c r="L1363" t="s">
        <v>7837</v>
      </c>
    </row>
    <row r="1364" spans="1:12">
      <c r="A1364" t="s">
        <v>7830</v>
      </c>
      <c r="B1364" t="s">
        <v>7852</v>
      </c>
      <c r="C1364" t="s">
        <v>7853</v>
      </c>
      <c r="D1364" t="s">
        <v>7854</v>
      </c>
      <c r="E1364" t="s">
        <v>7855</v>
      </c>
      <c r="F1364">
        <v>7466275</v>
      </c>
      <c r="G1364">
        <v>370908</v>
      </c>
      <c r="H1364">
        <v>69154</v>
      </c>
      <c r="I1364" t="s">
        <v>7850</v>
      </c>
      <c r="J1364">
        <v>2007</v>
      </c>
      <c r="K1364" t="s">
        <v>7841</v>
      </c>
      <c r="L1364" t="s">
        <v>7837</v>
      </c>
    </row>
    <row r="1365" spans="1:12">
      <c r="A1365" t="s">
        <v>7830</v>
      </c>
      <c r="B1365" t="s">
        <v>7852</v>
      </c>
      <c r="C1365" t="s">
        <v>7853</v>
      </c>
      <c r="D1365" t="s">
        <v>7854</v>
      </c>
      <c r="E1365" t="s">
        <v>7855</v>
      </c>
      <c r="F1365">
        <v>6694996</v>
      </c>
      <c r="G1365">
        <v>228857</v>
      </c>
      <c r="H1365">
        <v>35067</v>
      </c>
      <c r="I1365" t="s">
        <v>7850</v>
      </c>
      <c r="J1365">
        <v>2007</v>
      </c>
      <c r="K1365" t="s">
        <v>7842</v>
      </c>
      <c r="L1365" t="s">
        <v>7837</v>
      </c>
    </row>
    <row r="1366" spans="1:12">
      <c r="A1366" t="s">
        <v>7830</v>
      </c>
      <c r="B1366" t="s">
        <v>7852</v>
      </c>
      <c r="C1366" t="s">
        <v>7853</v>
      </c>
      <c r="D1366" t="s">
        <v>7854</v>
      </c>
      <c r="E1366" t="s">
        <v>7855</v>
      </c>
      <c r="F1366">
        <v>7798281</v>
      </c>
      <c r="G1366">
        <v>283094</v>
      </c>
      <c r="H1366">
        <v>45135</v>
      </c>
      <c r="I1366" t="s">
        <v>7850</v>
      </c>
      <c r="J1366">
        <v>2007</v>
      </c>
      <c r="K1366" t="s">
        <v>7843</v>
      </c>
      <c r="L1366" t="s">
        <v>7837</v>
      </c>
    </row>
    <row r="1367" spans="1:12">
      <c r="A1367" t="s">
        <v>7830</v>
      </c>
      <c r="B1367" t="s">
        <v>7852</v>
      </c>
      <c r="C1367" t="s">
        <v>7853</v>
      </c>
      <c r="D1367" t="s">
        <v>7854</v>
      </c>
      <c r="E1367" t="s">
        <v>7855</v>
      </c>
      <c r="F1367">
        <v>7719724</v>
      </c>
      <c r="G1367">
        <v>174943</v>
      </c>
      <c r="H1367">
        <v>95044</v>
      </c>
      <c r="I1367" t="s">
        <v>7850</v>
      </c>
      <c r="J1367">
        <v>2007</v>
      </c>
      <c r="K1367" t="s">
        <v>7844</v>
      </c>
      <c r="L1367" t="s">
        <v>7837</v>
      </c>
    </row>
    <row r="1368" spans="1:12">
      <c r="A1368" t="s">
        <v>7830</v>
      </c>
      <c r="B1368" t="s">
        <v>7852</v>
      </c>
      <c r="C1368" t="s">
        <v>7853</v>
      </c>
      <c r="D1368" t="s">
        <v>7854</v>
      </c>
      <c r="E1368" t="s">
        <v>7855</v>
      </c>
      <c r="F1368">
        <v>8192615</v>
      </c>
      <c r="G1368">
        <v>251422</v>
      </c>
      <c r="H1368">
        <v>40933</v>
      </c>
      <c r="I1368" t="s">
        <v>7850</v>
      </c>
      <c r="J1368">
        <v>2007</v>
      </c>
      <c r="K1368" t="s">
        <v>7845</v>
      </c>
      <c r="L1368" t="s">
        <v>7837</v>
      </c>
    </row>
    <row r="1369" spans="1:12">
      <c r="A1369" t="s">
        <v>7830</v>
      </c>
      <c r="B1369" t="s">
        <v>7852</v>
      </c>
      <c r="C1369" t="s">
        <v>7853</v>
      </c>
      <c r="D1369" t="s">
        <v>7854</v>
      </c>
      <c r="E1369" t="s">
        <v>7855</v>
      </c>
      <c r="F1369">
        <v>7584745</v>
      </c>
      <c r="G1369">
        <v>265114</v>
      </c>
      <c r="H1369">
        <v>34928</v>
      </c>
      <c r="I1369" t="s">
        <v>7850</v>
      </c>
      <c r="J1369">
        <v>2007</v>
      </c>
      <c r="K1369" t="s">
        <v>7846</v>
      </c>
      <c r="L1369" t="s">
        <v>7837</v>
      </c>
    </row>
    <row r="1370" spans="1:12">
      <c r="A1370" t="s">
        <v>7830</v>
      </c>
      <c r="B1370" t="s">
        <v>7852</v>
      </c>
      <c r="C1370" t="s">
        <v>7853</v>
      </c>
      <c r="D1370" t="s">
        <v>7854</v>
      </c>
      <c r="E1370" t="s">
        <v>7855</v>
      </c>
      <c r="F1370">
        <v>8097849</v>
      </c>
      <c r="G1370">
        <v>329930</v>
      </c>
      <c r="H1370">
        <v>50227</v>
      </c>
      <c r="I1370" t="s">
        <v>7850</v>
      </c>
      <c r="J1370">
        <v>2007</v>
      </c>
      <c r="K1370" t="s">
        <v>7847</v>
      </c>
      <c r="L1370" t="s">
        <v>7837</v>
      </c>
    </row>
    <row r="1371" spans="1:12">
      <c r="A1371" t="s">
        <v>7830</v>
      </c>
      <c r="B1371" t="s">
        <v>7852</v>
      </c>
      <c r="C1371" t="s">
        <v>7853</v>
      </c>
      <c r="D1371" t="s">
        <v>7854</v>
      </c>
      <c r="E1371" t="s">
        <v>7855</v>
      </c>
      <c r="F1371">
        <v>6327899</v>
      </c>
      <c r="G1371">
        <v>168712</v>
      </c>
      <c r="H1371">
        <v>31670</v>
      </c>
      <c r="I1371" t="s">
        <v>7850</v>
      </c>
      <c r="J1371">
        <v>2007</v>
      </c>
      <c r="K1371" t="s">
        <v>7848</v>
      </c>
      <c r="L1371" t="s">
        <v>7837</v>
      </c>
    </row>
    <row r="1372" spans="1:12">
      <c r="A1372" t="s">
        <v>7830</v>
      </c>
      <c r="B1372" t="s">
        <v>7852</v>
      </c>
      <c r="C1372" t="s">
        <v>7853</v>
      </c>
      <c r="D1372" t="s">
        <v>7854</v>
      </c>
      <c r="E1372" t="s">
        <v>7855</v>
      </c>
      <c r="F1372">
        <v>8196873</v>
      </c>
      <c r="G1372">
        <v>283812</v>
      </c>
      <c r="H1372">
        <v>50925</v>
      </c>
      <c r="I1372" t="s">
        <v>7850</v>
      </c>
      <c r="J1372">
        <v>2008</v>
      </c>
      <c r="K1372" t="s">
        <v>7836</v>
      </c>
      <c r="L1372" t="s">
        <v>7837</v>
      </c>
    </row>
    <row r="1373" spans="1:12">
      <c r="A1373" t="s">
        <v>7830</v>
      </c>
      <c r="B1373" t="s">
        <v>7852</v>
      </c>
      <c r="C1373" t="s">
        <v>7853</v>
      </c>
      <c r="D1373" t="s">
        <v>7854</v>
      </c>
      <c r="E1373" t="s">
        <v>7855</v>
      </c>
      <c r="F1373">
        <v>8105316</v>
      </c>
      <c r="G1373">
        <v>387359</v>
      </c>
      <c r="H1373">
        <v>72621</v>
      </c>
      <c r="I1373" t="s">
        <v>7850</v>
      </c>
      <c r="J1373">
        <v>2008</v>
      </c>
      <c r="K1373" t="s">
        <v>7838</v>
      </c>
      <c r="L1373" t="s">
        <v>7837</v>
      </c>
    </row>
    <row r="1374" spans="1:12">
      <c r="A1374" t="s">
        <v>7830</v>
      </c>
      <c r="B1374" t="s">
        <v>7852</v>
      </c>
      <c r="C1374" t="s">
        <v>7853</v>
      </c>
      <c r="D1374" t="s">
        <v>7854</v>
      </c>
      <c r="E1374" t="s">
        <v>7855</v>
      </c>
      <c r="F1374">
        <v>7932524</v>
      </c>
      <c r="G1374">
        <v>272831</v>
      </c>
      <c r="H1374">
        <v>45328</v>
      </c>
      <c r="I1374" t="s">
        <v>7850</v>
      </c>
      <c r="J1374">
        <v>2008</v>
      </c>
      <c r="K1374" t="s">
        <v>7839</v>
      </c>
      <c r="L1374" t="s">
        <v>7837</v>
      </c>
    </row>
    <row r="1375" spans="1:12">
      <c r="A1375" t="s">
        <v>7830</v>
      </c>
      <c r="B1375" t="s">
        <v>7852</v>
      </c>
      <c r="C1375" t="s">
        <v>7853</v>
      </c>
      <c r="D1375" t="s">
        <v>7854</v>
      </c>
      <c r="E1375" t="s">
        <v>7855</v>
      </c>
      <c r="F1375">
        <v>8259059</v>
      </c>
      <c r="G1375">
        <v>355338</v>
      </c>
      <c r="H1375">
        <v>70500</v>
      </c>
      <c r="I1375" t="s">
        <v>7850</v>
      </c>
      <c r="J1375">
        <v>2008</v>
      </c>
      <c r="K1375" t="s">
        <v>7840</v>
      </c>
      <c r="L1375" t="s">
        <v>7837</v>
      </c>
    </row>
    <row r="1376" spans="1:12">
      <c r="A1376" t="s">
        <v>7830</v>
      </c>
      <c r="B1376" t="s">
        <v>7852</v>
      </c>
      <c r="C1376" t="s">
        <v>7853</v>
      </c>
      <c r="D1376" t="s">
        <v>7854</v>
      </c>
      <c r="E1376" t="s">
        <v>7855</v>
      </c>
      <c r="F1376">
        <v>7809616</v>
      </c>
      <c r="G1376">
        <v>298736</v>
      </c>
      <c r="H1376">
        <v>150930</v>
      </c>
      <c r="I1376" t="s">
        <v>7850</v>
      </c>
      <c r="J1376">
        <v>2008</v>
      </c>
      <c r="K1376" t="s">
        <v>7841</v>
      </c>
      <c r="L1376" t="s">
        <v>7837</v>
      </c>
    </row>
    <row r="1377" spans="1:12">
      <c r="A1377" t="s">
        <v>7830</v>
      </c>
      <c r="B1377" t="s">
        <v>7852</v>
      </c>
      <c r="C1377" t="s">
        <v>7853</v>
      </c>
      <c r="D1377" t="s">
        <v>7854</v>
      </c>
      <c r="E1377" t="s">
        <v>7855</v>
      </c>
      <c r="F1377">
        <v>7341790</v>
      </c>
      <c r="G1377">
        <v>420283</v>
      </c>
      <c r="H1377">
        <v>44924</v>
      </c>
      <c r="I1377" t="s">
        <v>7850</v>
      </c>
      <c r="J1377">
        <v>2008</v>
      </c>
      <c r="K1377" t="s">
        <v>7842</v>
      </c>
      <c r="L1377" t="s">
        <v>7837</v>
      </c>
    </row>
    <row r="1378" spans="1:12">
      <c r="A1378" t="s">
        <v>7830</v>
      </c>
      <c r="B1378" t="s">
        <v>7852</v>
      </c>
      <c r="C1378" t="s">
        <v>7853</v>
      </c>
      <c r="D1378" t="s">
        <v>7854</v>
      </c>
      <c r="E1378" t="s">
        <v>7855</v>
      </c>
      <c r="F1378">
        <v>9275642</v>
      </c>
      <c r="G1378">
        <v>380163</v>
      </c>
      <c r="H1378">
        <v>60917</v>
      </c>
      <c r="I1378" t="s">
        <v>7850</v>
      </c>
      <c r="J1378">
        <v>2008</v>
      </c>
      <c r="K1378" t="s">
        <v>7843</v>
      </c>
      <c r="L1378" t="s">
        <v>7837</v>
      </c>
    </row>
    <row r="1379" spans="1:12">
      <c r="A1379" t="s">
        <v>7830</v>
      </c>
      <c r="B1379" t="s">
        <v>7852</v>
      </c>
      <c r="C1379" t="s">
        <v>7853</v>
      </c>
      <c r="D1379" t="s">
        <v>7854</v>
      </c>
      <c r="E1379" t="s">
        <v>7855</v>
      </c>
      <c r="F1379">
        <v>7590190</v>
      </c>
      <c r="G1379">
        <v>274189</v>
      </c>
      <c r="H1379">
        <v>60940</v>
      </c>
      <c r="I1379" t="s">
        <v>7850</v>
      </c>
      <c r="J1379">
        <v>2008</v>
      </c>
      <c r="K1379" t="s">
        <v>7844</v>
      </c>
      <c r="L1379" t="s">
        <v>7837</v>
      </c>
    </row>
    <row r="1380" spans="1:12">
      <c r="A1380" t="s">
        <v>7830</v>
      </c>
      <c r="B1380" t="s">
        <v>7852</v>
      </c>
      <c r="C1380" t="s">
        <v>7853</v>
      </c>
      <c r="D1380" t="s">
        <v>7854</v>
      </c>
      <c r="E1380" t="s">
        <v>7855</v>
      </c>
      <c r="F1380">
        <v>7802481</v>
      </c>
      <c r="G1380">
        <v>363890</v>
      </c>
      <c r="H1380">
        <v>46345</v>
      </c>
      <c r="I1380" t="s">
        <v>7850</v>
      </c>
      <c r="J1380">
        <v>2008</v>
      </c>
      <c r="K1380" t="s">
        <v>7845</v>
      </c>
      <c r="L1380" t="s">
        <v>7837</v>
      </c>
    </row>
    <row r="1381" spans="1:12">
      <c r="A1381" t="s">
        <v>7830</v>
      </c>
      <c r="B1381" t="s">
        <v>7852</v>
      </c>
      <c r="C1381" t="s">
        <v>7853</v>
      </c>
      <c r="D1381" t="s">
        <v>7854</v>
      </c>
      <c r="E1381" t="s">
        <v>7855</v>
      </c>
      <c r="F1381">
        <v>9636137</v>
      </c>
      <c r="G1381">
        <v>392559</v>
      </c>
      <c r="H1381">
        <v>107023</v>
      </c>
      <c r="I1381" t="s">
        <v>7850</v>
      </c>
      <c r="J1381">
        <v>2008</v>
      </c>
      <c r="K1381" t="s">
        <v>7846</v>
      </c>
      <c r="L1381" t="s">
        <v>7837</v>
      </c>
    </row>
    <row r="1382" spans="1:12">
      <c r="A1382" t="s">
        <v>7830</v>
      </c>
      <c r="B1382" t="s">
        <v>7852</v>
      </c>
      <c r="C1382" t="s">
        <v>7853</v>
      </c>
      <c r="D1382" t="s">
        <v>7854</v>
      </c>
      <c r="E1382" t="s">
        <v>7855</v>
      </c>
      <c r="F1382">
        <v>9165465</v>
      </c>
      <c r="G1382">
        <v>432102</v>
      </c>
      <c r="H1382">
        <v>62901</v>
      </c>
      <c r="I1382" t="s">
        <v>7850</v>
      </c>
      <c r="J1382">
        <v>2008</v>
      </c>
      <c r="K1382" t="s">
        <v>7847</v>
      </c>
      <c r="L1382" t="s">
        <v>7837</v>
      </c>
    </row>
    <row r="1383" spans="1:12">
      <c r="A1383" t="s">
        <v>7830</v>
      </c>
      <c r="B1383" t="s">
        <v>7852</v>
      </c>
      <c r="C1383" t="s">
        <v>7853</v>
      </c>
      <c r="D1383" t="s">
        <v>7854</v>
      </c>
      <c r="E1383" t="s">
        <v>7855</v>
      </c>
      <c r="F1383">
        <v>10021929</v>
      </c>
      <c r="G1383">
        <v>628463</v>
      </c>
      <c r="H1383">
        <v>89547</v>
      </c>
      <c r="I1383" t="s">
        <v>7850</v>
      </c>
      <c r="J1383">
        <v>2008</v>
      </c>
      <c r="K1383" t="s">
        <v>7848</v>
      </c>
      <c r="L1383" t="s">
        <v>7837</v>
      </c>
    </row>
    <row r="1384" spans="1:12">
      <c r="A1384" t="s">
        <v>7830</v>
      </c>
      <c r="B1384" t="s">
        <v>7852</v>
      </c>
      <c r="C1384" t="s">
        <v>7853</v>
      </c>
      <c r="D1384" t="s">
        <v>7854</v>
      </c>
      <c r="E1384" t="s">
        <v>7855</v>
      </c>
      <c r="F1384">
        <v>8711101</v>
      </c>
      <c r="G1384">
        <v>193820</v>
      </c>
      <c r="H1384">
        <v>37897</v>
      </c>
      <c r="I1384" t="s">
        <v>7850</v>
      </c>
      <c r="J1384">
        <v>2009</v>
      </c>
      <c r="K1384" t="s">
        <v>7836</v>
      </c>
      <c r="L1384" t="s">
        <v>7837</v>
      </c>
    </row>
    <row r="1385" spans="1:12">
      <c r="A1385" t="s">
        <v>7830</v>
      </c>
      <c r="B1385" t="s">
        <v>7852</v>
      </c>
      <c r="C1385" t="s">
        <v>7853</v>
      </c>
      <c r="D1385" t="s">
        <v>7854</v>
      </c>
      <c r="E1385" t="s">
        <v>7855</v>
      </c>
      <c r="F1385">
        <v>11677648</v>
      </c>
      <c r="G1385">
        <v>337863</v>
      </c>
      <c r="H1385">
        <v>103369</v>
      </c>
      <c r="I1385" t="s">
        <v>7850</v>
      </c>
      <c r="J1385">
        <v>2009</v>
      </c>
      <c r="K1385" t="s">
        <v>7838</v>
      </c>
      <c r="L1385" t="s">
        <v>7837</v>
      </c>
    </row>
    <row r="1386" spans="1:12">
      <c r="A1386" t="s">
        <v>7830</v>
      </c>
      <c r="B1386" t="s">
        <v>7852</v>
      </c>
      <c r="C1386" t="s">
        <v>7853</v>
      </c>
      <c r="D1386" t="s">
        <v>7854</v>
      </c>
      <c r="E1386" t="s">
        <v>7855</v>
      </c>
      <c r="F1386">
        <v>10172205</v>
      </c>
      <c r="G1386">
        <v>264334</v>
      </c>
      <c r="H1386">
        <v>59821</v>
      </c>
      <c r="I1386" t="s">
        <v>7850</v>
      </c>
      <c r="J1386">
        <v>2009</v>
      </c>
      <c r="K1386" t="s">
        <v>7839</v>
      </c>
      <c r="L1386" t="s">
        <v>7837</v>
      </c>
    </row>
    <row r="1387" spans="1:12">
      <c r="A1387" t="s">
        <v>7830</v>
      </c>
      <c r="B1387" t="s">
        <v>7852</v>
      </c>
      <c r="C1387" t="s">
        <v>7853</v>
      </c>
      <c r="D1387" t="s">
        <v>7854</v>
      </c>
      <c r="E1387" t="s">
        <v>7855</v>
      </c>
      <c r="F1387">
        <v>12487237</v>
      </c>
      <c r="G1387">
        <v>511114</v>
      </c>
      <c r="H1387">
        <v>100980</v>
      </c>
      <c r="I1387" t="s">
        <v>7850</v>
      </c>
      <c r="J1387">
        <v>2009</v>
      </c>
      <c r="K1387" t="s">
        <v>7840</v>
      </c>
      <c r="L1387" t="s">
        <v>7837</v>
      </c>
    </row>
    <row r="1388" spans="1:12">
      <c r="A1388" t="s">
        <v>7830</v>
      </c>
      <c r="B1388" t="s">
        <v>7852</v>
      </c>
      <c r="C1388" t="s">
        <v>7853</v>
      </c>
      <c r="D1388" t="s">
        <v>7854</v>
      </c>
      <c r="E1388" t="s">
        <v>7855</v>
      </c>
      <c r="F1388">
        <v>9615644</v>
      </c>
      <c r="G1388">
        <v>734969</v>
      </c>
      <c r="H1388">
        <v>60341</v>
      </c>
      <c r="I1388" t="s">
        <v>7850</v>
      </c>
      <c r="J1388">
        <v>2009</v>
      </c>
      <c r="K1388" t="s">
        <v>7841</v>
      </c>
      <c r="L1388" t="s">
        <v>7837</v>
      </c>
    </row>
    <row r="1389" spans="1:12">
      <c r="A1389" t="s">
        <v>7830</v>
      </c>
      <c r="B1389" t="s">
        <v>7852</v>
      </c>
      <c r="C1389" t="s">
        <v>7853</v>
      </c>
      <c r="D1389" t="s">
        <v>7854</v>
      </c>
      <c r="E1389" t="s">
        <v>7855</v>
      </c>
      <c r="F1389">
        <v>10833222</v>
      </c>
      <c r="G1389">
        <v>480461</v>
      </c>
      <c r="H1389">
        <v>80828</v>
      </c>
      <c r="I1389" t="s">
        <v>7850</v>
      </c>
      <c r="J1389">
        <v>2009</v>
      </c>
      <c r="K1389" t="s">
        <v>7842</v>
      </c>
      <c r="L1389" t="s">
        <v>7837</v>
      </c>
    </row>
    <row r="1390" spans="1:12">
      <c r="A1390" t="s">
        <v>7830</v>
      </c>
      <c r="B1390" t="s">
        <v>7852</v>
      </c>
      <c r="C1390" t="s">
        <v>7853</v>
      </c>
      <c r="D1390" t="s">
        <v>7854</v>
      </c>
      <c r="E1390" t="s">
        <v>7855</v>
      </c>
      <c r="F1390">
        <v>9667088</v>
      </c>
      <c r="G1390">
        <v>624196</v>
      </c>
      <c r="H1390">
        <v>292635</v>
      </c>
      <c r="I1390" t="s">
        <v>7850</v>
      </c>
      <c r="J1390">
        <v>2009</v>
      </c>
      <c r="K1390" t="s">
        <v>7843</v>
      </c>
      <c r="L1390" t="s">
        <v>7837</v>
      </c>
    </row>
    <row r="1391" spans="1:12">
      <c r="A1391" t="s">
        <v>7830</v>
      </c>
      <c r="B1391" t="s">
        <v>7852</v>
      </c>
      <c r="C1391" t="s">
        <v>7853</v>
      </c>
      <c r="D1391" t="s">
        <v>7854</v>
      </c>
      <c r="E1391" t="s">
        <v>7855</v>
      </c>
      <c r="F1391">
        <v>8611774</v>
      </c>
      <c r="G1391">
        <v>651868</v>
      </c>
      <c r="H1391">
        <v>60489</v>
      </c>
      <c r="I1391" t="s">
        <v>7850</v>
      </c>
      <c r="J1391">
        <v>2009</v>
      </c>
      <c r="K1391" t="s">
        <v>7844</v>
      </c>
      <c r="L1391" t="s">
        <v>7837</v>
      </c>
    </row>
    <row r="1392" spans="1:12">
      <c r="A1392" t="s">
        <v>7830</v>
      </c>
      <c r="B1392" t="s">
        <v>7852</v>
      </c>
      <c r="C1392" t="s">
        <v>7853</v>
      </c>
      <c r="D1392" t="s">
        <v>7854</v>
      </c>
      <c r="E1392" t="s">
        <v>7855</v>
      </c>
      <c r="F1392">
        <v>8631952</v>
      </c>
      <c r="G1392">
        <v>610265</v>
      </c>
      <c r="H1392">
        <v>87253</v>
      </c>
      <c r="I1392" t="s">
        <v>7850</v>
      </c>
      <c r="J1392">
        <v>2009</v>
      </c>
      <c r="K1392" t="s">
        <v>7845</v>
      </c>
      <c r="L1392" t="s">
        <v>7837</v>
      </c>
    </row>
    <row r="1393" spans="1:12">
      <c r="A1393" t="s">
        <v>7830</v>
      </c>
      <c r="B1393" t="s">
        <v>7852</v>
      </c>
      <c r="C1393" t="s">
        <v>7853</v>
      </c>
      <c r="D1393" t="s">
        <v>7854</v>
      </c>
      <c r="E1393" t="s">
        <v>7855</v>
      </c>
      <c r="F1393">
        <v>13768431</v>
      </c>
      <c r="G1393">
        <v>746802</v>
      </c>
      <c r="H1393">
        <v>63270</v>
      </c>
      <c r="I1393" t="s">
        <v>7850</v>
      </c>
      <c r="J1393">
        <v>2009</v>
      </c>
      <c r="K1393" t="s">
        <v>7846</v>
      </c>
      <c r="L1393" t="s">
        <v>7837</v>
      </c>
    </row>
    <row r="1394" spans="1:12">
      <c r="A1394" t="s">
        <v>7830</v>
      </c>
      <c r="B1394" t="s">
        <v>7852</v>
      </c>
      <c r="C1394" t="s">
        <v>7853</v>
      </c>
      <c r="D1394" t="s">
        <v>7854</v>
      </c>
      <c r="E1394" t="s">
        <v>7855</v>
      </c>
      <c r="F1394">
        <v>9877523</v>
      </c>
      <c r="G1394">
        <v>386124</v>
      </c>
      <c r="H1394">
        <v>67046</v>
      </c>
      <c r="I1394" t="s">
        <v>7850</v>
      </c>
      <c r="J1394">
        <v>2009</v>
      </c>
      <c r="K1394" t="s">
        <v>7847</v>
      </c>
      <c r="L1394" t="s">
        <v>7837</v>
      </c>
    </row>
    <row r="1395" spans="1:12">
      <c r="A1395" t="s">
        <v>7830</v>
      </c>
      <c r="B1395" t="s">
        <v>7852</v>
      </c>
      <c r="C1395" t="s">
        <v>7853</v>
      </c>
      <c r="D1395" t="s">
        <v>7854</v>
      </c>
      <c r="E1395" t="s">
        <v>7855</v>
      </c>
      <c r="F1395">
        <v>24789325</v>
      </c>
      <c r="G1395">
        <v>381171</v>
      </c>
      <c r="H1395">
        <v>55347</v>
      </c>
      <c r="I1395" t="s">
        <v>7850</v>
      </c>
      <c r="J1395">
        <v>2009</v>
      </c>
      <c r="K1395" t="s">
        <v>7848</v>
      </c>
      <c r="L1395" t="s">
        <v>7837</v>
      </c>
    </row>
    <row r="1396" spans="1:12">
      <c r="A1396" t="s">
        <v>7830</v>
      </c>
      <c r="B1396" t="s">
        <v>7852</v>
      </c>
      <c r="C1396" t="s">
        <v>7853</v>
      </c>
      <c r="D1396" t="s">
        <v>7854</v>
      </c>
      <c r="E1396" t="s">
        <v>7855</v>
      </c>
      <c r="F1396">
        <v>5708499</v>
      </c>
      <c r="G1396">
        <v>181878</v>
      </c>
      <c r="H1396">
        <v>224210</v>
      </c>
      <c r="I1396" t="s">
        <v>7850</v>
      </c>
      <c r="J1396">
        <v>2010</v>
      </c>
      <c r="K1396" t="s">
        <v>7836</v>
      </c>
      <c r="L1396" t="s">
        <v>7837</v>
      </c>
    </row>
    <row r="1397" spans="1:12">
      <c r="A1397" t="s">
        <v>7830</v>
      </c>
      <c r="B1397" t="s">
        <v>7852</v>
      </c>
      <c r="C1397" t="s">
        <v>7853</v>
      </c>
      <c r="D1397" t="s">
        <v>7854</v>
      </c>
      <c r="E1397" t="s">
        <v>7855</v>
      </c>
      <c r="F1397">
        <v>9282780</v>
      </c>
      <c r="G1397">
        <v>341565</v>
      </c>
      <c r="H1397">
        <v>47498</v>
      </c>
      <c r="I1397" t="s">
        <v>7850</v>
      </c>
      <c r="J1397">
        <v>2010</v>
      </c>
      <c r="K1397" t="s">
        <v>7838</v>
      </c>
      <c r="L1397" t="s">
        <v>7837</v>
      </c>
    </row>
    <row r="1398" spans="1:12">
      <c r="A1398" t="s">
        <v>7830</v>
      </c>
      <c r="B1398" t="s">
        <v>7852</v>
      </c>
      <c r="C1398" t="s">
        <v>7853</v>
      </c>
      <c r="D1398" t="s">
        <v>7854</v>
      </c>
      <c r="E1398" t="s">
        <v>7855</v>
      </c>
      <c r="F1398">
        <v>10549838</v>
      </c>
      <c r="G1398">
        <v>368507</v>
      </c>
      <c r="H1398">
        <v>61604</v>
      </c>
      <c r="I1398" t="s">
        <v>7850</v>
      </c>
      <c r="J1398">
        <v>2010</v>
      </c>
      <c r="K1398" t="s">
        <v>7839</v>
      </c>
      <c r="L1398" t="s">
        <v>7837</v>
      </c>
    </row>
    <row r="1399" spans="1:12">
      <c r="A1399" t="s">
        <v>7830</v>
      </c>
      <c r="B1399" t="s">
        <v>7852</v>
      </c>
      <c r="C1399" t="s">
        <v>7853</v>
      </c>
      <c r="D1399" t="s">
        <v>7854</v>
      </c>
      <c r="E1399" t="s">
        <v>7855</v>
      </c>
      <c r="F1399">
        <v>9632133</v>
      </c>
      <c r="G1399">
        <v>334376</v>
      </c>
      <c r="H1399">
        <v>80200</v>
      </c>
      <c r="I1399" t="s">
        <v>7850</v>
      </c>
      <c r="J1399">
        <v>2010</v>
      </c>
      <c r="K1399" t="s">
        <v>7840</v>
      </c>
      <c r="L1399" t="s">
        <v>7837</v>
      </c>
    </row>
    <row r="1400" spans="1:12">
      <c r="A1400" t="s">
        <v>7830</v>
      </c>
      <c r="B1400" t="s">
        <v>7852</v>
      </c>
      <c r="C1400" t="s">
        <v>7853</v>
      </c>
      <c r="D1400" t="s">
        <v>7854</v>
      </c>
      <c r="E1400" t="s">
        <v>7855</v>
      </c>
      <c r="F1400">
        <v>9621101</v>
      </c>
      <c r="G1400">
        <v>364864</v>
      </c>
      <c r="H1400">
        <v>367048</v>
      </c>
      <c r="I1400" t="s">
        <v>7850</v>
      </c>
      <c r="J1400">
        <v>2010</v>
      </c>
      <c r="K1400" t="s">
        <v>7841</v>
      </c>
      <c r="L1400" t="s">
        <v>7837</v>
      </c>
    </row>
    <row r="1401" spans="1:12">
      <c r="A1401" t="s">
        <v>7830</v>
      </c>
      <c r="B1401" t="s">
        <v>7852</v>
      </c>
      <c r="C1401" t="s">
        <v>7853</v>
      </c>
      <c r="D1401" t="s">
        <v>7854</v>
      </c>
      <c r="E1401" t="s">
        <v>7855</v>
      </c>
      <c r="F1401">
        <v>9527726</v>
      </c>
      <c r="G1401">
        <v>324484</v>
      </c>
      <c r="H1401">
        <v>151151</v>
      </c>
      <c r="I1401" t="s">
        <v>7850</v>
      </c>
      <c r="J1401">
        <v>2010</v>
      </c>
      <c r="K1401" t="s">
        <v>7842</v>
      </c>
      <c r="L1401" t="s">
        <v>7837</v>
      </c>
    </row>
    <row r="1402" spans="1:12">
      <c r="A1402" t="s">
        <v>7830</v>
      </c>
      <c r="B1402" t="s">
        <v>7852</v>
      </c>
      <c r="C1402" t="s">
        <v>7853</v>
      </c>
      <c r="D1402" t="s">
        <v>7854</v>
      </c>
      <c r="E1402" t="s">
        <v>7855</v>
      </c>
      <c r="F1402">
        <v>9171148</v>
      </c>
      <c r="G1402">
        <v>528403</v>
      </c>
      <c r="H1402">
        <v>58927</v>
      </c>
      <c r="I1402" t="s">
        <v>7850</v>
      </c>
      <c r="J1402">
        <v>2010</v>
      </c>
      <c r="K1402" t="s">
        <v>7843</v>
      </c>
      <c r="L1402" t="s">
        <v>7837</v>
      </c>
    </row>
    <row r="1403" spans="1:12">
      <c r="A1403" t="s">
        <v>7830</v>
      </c>
      <c r="B1403" t="s">
        <v>7852</v>
      </c>
      <c r="C1403" t="s">
        <v>7853</v>
      </c>
      <c r="D1403" t="s">
        <v>7854</v>
      </c>
      <c r="E1403" t="s">
        <v>7855</v>
      </c>
      <c r="F1403">
        <v>9325188</v>
      </c>
      <c r="G1403">
        <v>464050</v>
      </c>
      <c r="H1403">
        <v>109581</v>
      </c>
      <c r="I1403" t="s">
        <v>7850</v>
      </c>
      <c r="J1403">
        <v>2010</v>
      </c>
      <c r="K1403" t="s">
        <v>7844</v>
      </c>
      <c r="L1403" t="s">
        <v>7837</v>
      </c>
    </row>
    <row r="1404" spans="1:12">
      <c r="A1404" t="s">
        <v>7830</v>
      </c>
      <c r="B1404" t="s">
        <v>7852</v>
      </c>
      <c r="C1404" t="s">
        <v>7853</v>
      </c>
      <c r="D1404" t="s">
        <v>7854</v>
      </c>
      <c r="E1404" t="s">
        <v>7855</v>
      </c>
      <c r="F1404">
        <v>8457930</v>
      </c>
      <c r="G1404">
        <v>423512</v>
      </c>
      <c r="H1404">
        <v>52108</v>
      </c>
      <c r="I1404" t="s">
        <v>7850</v>
      </c>
      <c r="J1404">
        <v>2010</v>
      </c>
      <c r="K1404" t="s">
        <v>7845</v>
      </c>
      <c r="L1404" t="s">
        <v>7837</v>
      </c>
    </row>
    <row r="1405" spans="1:12">
      <c r="A1405" t="s">
        <v>7830</v>
      </c>
      <c r="B1405" t="s">
        <v>7852</v>
      </c>
      <c r="C1405" t="s">
        <v>7853</v>
      </c>
      <c r="D1405" t="s">
        <v>7854</v>
      </c>
      <c r="E1405" t="s">
        <v>7855</v>
      </c>
      <c r="F1405">
        <v>6797144</v>
      </c>
      <c r="G1405">
        <v>308201</v>
      </c>
      <c r="H1405">
        <v>57939</v>
      </c>
      <c r="I1405" t="s">
        <v>7850</v>
      </c>
      <c r="J1405">
        <v>2010</v>
      </c>
      <c r="K1405" t="s">
        <v>7846</v>
      </c>
      <c r="L1405" t="s">
        <v>7837</v>
      </c>
    </row>
    <row r="1406" spans="1:12">
      <c r="A1406" t="s">
        <v>7830</v>
      </c>
      <c r="B1406" t="s">
        <v>7852</v>
      </c>
      <c r="C1406" t="s">
        <v>7853</v>
      </c>
      <c r="D1406" t="s">
        <v>7854</v>
      </c>
      <c r="E1406" t="s">
        <v>7855</v>
      </c>
      <c r="F1406">
        <v>7940215</v>
      </c>
      <c r="G1406">
        <v>285695</v>
      </c>
      <c r="H1406">
        <v>63128</v>
      </c>
      <c r="I1406" t="s">
        <v>7850</v>
      </c>
      <c r="J1406">
        <v>2010</v>
      </c>
      <c r="K1406" t="s">
        <v>7847</v>
      </c>
      <c r="L1406" t="s">
        <v>7837</v>
      </c>
    </row>
    <row r="1407" spans="1:12">
      <c r="A1407" t="s">
        <v>7830</v>
      </c>
      <c r="B1407" t="s">
        <v>7852</v>
      </c>
      <c r="C1407" t="s">
        <v>7853</v>
      </c>
      <c r="D1407" t="s">
        <v>7854</v>
      </c>
      <c r="E1407" t="s">
        <v>7855</v>
      </c>
      <c r="F1407">
        <v>9589980</v>
      </c>
      <c r="G1407">
        <v>388743</v>
      </c>
      <c r="H1407">
        <v>62947</v>
      </c>
      <c r="I1407" t="s">
        <v>7850</v>
      </c>
      <c r="J1407">
        <v>2010</v>
      </c>
      <c r="K1407" t="s">
        <v>7848</v>
      </c>
      <c r="L1407" t="s">
        <v>7837</v>
      </c>
    </row>
    <row r="1408" spans="1:12">
      <c r="A1408" t="s">
        <v>7830</v>
      </c>
      <c r="B1408" t="s">
        <v>7852</v>
      </c>
      <c r="C1408" t="s">
        <v>7853</v>
      </c>
      <c r="D1408" t="s">
        <v>7854</v>
      </c>
      <c r="E1408" t="s">
        <v>7855</v>
      </c>
      <c r="F1408">
        <v>6782772</v>
      </c>
      <c r="G1408">
        <v>298950</v>
      </c>
      <c r="H1408">
        <v>38177</v>
      </c>
      <c r="I1408" t="s">
        <v>7850</v>
      </c>
      <c r="J1408">
        <v>2011</v>
      </c>
      <c r="K1408" t="s">
        <v>7836</v>
      </c>
      <c r="L1408" t="s">
        <v>7837</v>
      </c>
    </row>
    <row r="1409" spans="1:12">
      <c r="A1409" t="s">
        <v>7830</v>
      </c>
      <c r="B1409" t="s">
        <v>7852</v>
      </c>
      <c r="C1409" t="s">
        <v>7853</v>
      </c>
      <c r="D1409" t="s">
        <v>7854</v>
      </c>
      <c r="E1409" t="s">
        <v>7855</v>
      </c>
      <c r="F1409">
        <v>8902523</v>
      </c>
      <c r="G1409">
        <v>430521</v>
      </c>
      <c r="H1409">
        <v>71995</v>
      </c>
      <c r="I1409" t="s">
        <v>7850</v>
      </c>
      <c r="J1409">
        <v>2011</v>
      </c>
      <c r="K1409" t="s">
        <v>7838</v>
      </c>
      <c r="L1409" t="s">
        <v>7837</v>
      </c>
    </row>
    <row r="1410" spans="1:12">
      <c r="A1410" t="s">
        <v>7830</v>
      </c>
      <c r="B1410" t="s">
        <v>7852</v>
      </c>
      <c r="C1410" t="s">
        <v>7853</v>
      </c>
      <c r="D1410" t="s">
        <v>7854</v>
      </c>
      <c r="E1410" t="s">
        <v>7855</v>
      </c>
      <c r="F1410">
        <v>7030995</v>
      </c>
      <c r="G1410">
        <v>284632</v>
      </c>
      <c r="H1410">
        <v>60933</v>
      </c>
      <c r="I1410" t="s">
        <v>7850</v>
      </c>
      <c r="J1410">
        <v>2011</v>
      </c>
      <c r="K1410" t="s">
        <v>7839</v>
      </c>
      <c r="L1410" t="s">
        <v>7837</v>
      </c>
    </row>
    <row r="1411" spans="1:12">
      <c r="A1411" t="s">
        <v>7830</v>
      </c>
      <c r="B1411" t="s">
        <v>7852</v>
      </c>
      <c r="C1411" t="s">
        <v>7853</v>
      </c>
      <c r="D1411" t="s">
        <v>7854</v>
      </c>
      <c r="E1411" t="s">
        <v>7855</v>
      </c>
      <c r="F1411">
        <v>9503885</v>
      </c>
      <c r="G1411">
        <v>315437</v>
      </c>
      <c r="H1411">
        <v>50276</v>
      </c>
      <c r="I1411" t="s">
        <v>7850</v>
      </c>
      <c r="J1411">
        <v>2011</v>
      </c>
      <c r="K1411" t="s">
        <v>7840</v>
      </c>
      <c r="L1411" t="s">
        <v>7837</v>
      </c>
    </row>
    <row r="1412" spans="1:12">
      <c r="A1412" t="s">
        <v>7830</v>
      </c>
      <c r="B1412" t="s">
        <v>7852</v>
      </c>
      <c r="C1412" t="s">
        <v>7853</v>
      </c>
      <c r="D1412" t="s">
        <v>7854</v>
      </c>
      <c r="E1412" t="s">
        <v>7855</v>
      </c>
      <c r="F1412">
        <v>10406754</v>
      </c>
      <c r="G1412">
        <v>374514</v>
      </c>
      <c r="H1412">
        <v>62765</v>
      </c>
      <c r="I1412" t="s">
        <v>7850</v>
      </c>
      <c r="J1412">
        <v>2011</v>
      </c>
      <c r="K1412" t="s">
        <v>7841</v>
      </c>
      <c r="L1412" t="s">
        <v>7837</v>
      </c>
    </row>
    <row r="1413" spans="1:12">
      <c r="A1413" t="s">
        <v>7830</v>
      </c>
      <c r="B1413" t="s">
        <v>7852</v>
      </c>
      <c r="C1413" t="s">
        <v>7853</v>
      </c>
      <c r="D1413" t="s">
        <v>7854</v>
      </c>
      <c r="E1413" t="s">
        <v>7855</v>
      </c>
      <c r="F1413">
        <v>8039154</v>
      </c>
      <c r="G1413">
        <v>308040</v>
      </c>
      <c r="H1413">
        <v>47292</v>
      </c>
      <c r="I1413" t="s">
        <v>7850</v>
      </c>
      <c r="J1413">
        <v>2011</v>
      </c>
      <c r="K1413" t="s">
        <v>7842</v>
      </c>
      <c r="L1413" t="s">
        <v>7837</v>
      </c>
    </row>
    <row r="1414" spans="1:12">
      <c r="A1414" t="s">
        <v>7830</v>
      </c>
      <c r="B1414" t="s">
        <v>7852</v>
      </c>
      <c r="C1414" t="s">
        <v>7853</v>
      </c>
      <c r="D1414" t="s">
        <v>7854</v>
      </c>
      <c r="E1414" t="s">
        <v>7855</v>
      </c>
      <c r="F1414">
        <v>8840598</v>
      </c>
      <c r="G1414">
        <v>405250</v>
      </c>
      <c r="H1414">
        <v>52688</v>
      </c>
      <c r="I1414" t="s">
        <v>7850</v>
      </c>
      <c r="J1414">
        <v>2011</v>
      </c>
      <c r="K1414" t="s">
        <v>7843</v>
      </c>
      <c r="L1414" t="s">
        <v>7837</v>
      </c>
    </row>
    <row r="1415" spans="1:12">
      <c r="A1415" t="s">
        <v>7830</v>
      </c>
      <c r="B1415" t="s">
        <v>7852</v>
      </c>
      <c r="C1415" t="s">
        <v>7853</v>
      </c>
      <c r="D1415" t="s">
        <v>7854</v>
      </c>
      <c r="E1415" t="s">
        <v>7855</v>
      </c>
      <c r="F1415">
        <v>7637523</v>
      </c>
      <c r="G1415">
        <v>315956</v>
      </c>
      <c r="H1415">
        <v>42115</v>
      </c>
      <c r="I1415" t="s">
        <v>7850</v>
      </c>
      <c r="J1415">
        <v>2011</v>
      </c>
      <c r="K1415" t="s">
        <v>7844</v>
      </c>
      <c r="L1415" t="s">
        <v>7837</v>
      </c>
    </row>
    <row r="1416" spans="1:12">
      <c r="A1416" t="s">
        <v>7830</v>
      </c>
      <c r="B1416" t="s">
        <v>7852</v>
      </c>
      <c r="C1416" t="s">
        <v>7853</v>
      </c>
      <c r="D1416" t="s">
        <v>7854</v>
      </c>
      <c r="E1416" t="s">
        <v>7855</v>
      </c>
      <c r="F1416">
        <v>8765354</v>
      </c>
      <c r="G1416">
        <v>233538</v>
      </c>
      <c r="H1416">
        <v>81891</v>
      </c>
      <c r="I1416" t="s">
        <v>7850</v>
      </c>
      <c r="J1416">
        <v>2011</v>
      </c>
      <c r="K1416" t="s">
        <v>7845</v>
      </c>
      <c r="L1416" t="s">
        <v>7837</v>
      </c>
    </row>
    <row r="1417" spans="1:12">
      <c r="A1417" t="s">
        <v>7830</v>
      </c>
      <c r="B1417" t="s">
        <v>7852</v>
      </c>
      <c r="C1417" t="s">
        <v>7853</v>
      </c>
      <c r="D1417" t="s">
        <v>7854</v>
      </c>
      <c r="E1417" t="s">
        <v>7855</v>
      </c>
      <c r="F1417">
        <v>9271004</v>
      </c>
      <c r="G1417">
        <v>429061</v>
      </c>
      <c r="H1417">
        <v>122044</v>
      </c>
      <c r="I1417" t="s">
        <v>7850</v>
      </c>
      <c r="J1417">
        <v>2011</v>
      </c>
      <c r="K1417" t="s">
        <v>7846</v>
      </c>
      <c r="L1417" t="s">
        <v>7837</v>
      </c>
    </row>
    <row r="1418" spans="1:12">
      <c r="A1418" t="s">
        <v>7830</v>
      </c>
      <c r="B1418" t="s">
        <v>7852</v>
      </c>
      <c r="C1418" t="s">
        <v>7853</v>
      </c>
      <c r="D1418" t="s">
        <v>7854</v>
      </c>
      <c r="E1418" t="s">
        <v>7855</v>
      </c>
      <c r="F1418">
        <v>9523525</v>
      </c>
      <c r="G1418">
        <v>236783</v>
      </c>
      <c r="H1418">
        <v>247495</v>
      </c>
      <c r="I1418" t="s">
        <v>7850</v>
      </c>
      <c r="J1418">
        <v>2011</v>
      </c>
      <c r="K1418" t="s">
        <v>7847</v>
      </c>
      <c r="L1418" t="s">
        <v>7837</v>
      </c>
    </row>
    <row r="1419" spans="1:12">
      <c r="A1419" t="s">
        <v>7830</v>
      </c>
      <c r="B1419" t="s">
        <v>7852</v>
      </c>
      <c r="C1419" t="s">
        <v>7853</v>
      </c>
      <c r="D1419" t="s">
        <v>7854</v>
      </c>
      <c r="E1419" t="s">
        <v>7855</v>
      </c>
      <c r="F1419">
        <v>9803213</v>
      </c>
      <c r="G1419">
        <v>335738</v>
      </c>
      <c r="H1419">
        <v>152560</v>
      </c>
      <c r="I1419" t="s">
        <v>7850</v>
      </c>
      <c r="J1419">
        <v>2011</v>
      </c>
      <c r="K1419" t="s">
        <v>7848</v>
      </c>
      <c r="L1419" t="s">
        <v>7837</v>
      </c>
    </row>
    <row r="1420" spans="1:12">
      <c r="A1420" t="s">
        <v>7830</v>
      </c>
      <c r="B1420" t="s">
        <v>7852</v>
      </c>
      <c r="C1420" t="s">
        <v>7853</v>
      </c>
      <c r="D1420" t="s">
        <v>7854</v>
      </c>
      <c r="E1420" t="s">
        <v>7855</v>
      </c>
      <c r="F1420">
        <v>7789332</v>
      </c>
      <c r="G1420">
        <v>234774</v>
      </c>
      <c r="H1420">
        <v>69869</v>
      </c>
      <c r="I1420" t="s">
        <v>7850</v>
      </c>
      <c r="J1420">
        <v>2012</v>
      </c>
      <c r="K1420" t="s">
        <v>7836</v>
      </c>
      <c r="L1420" t="s">
        <v>7837</v>
      </c>
    </row>
    <row r="1421" spans="1:12">
      <c r="A1421" t="s">
        <v>7830</v>
      </c>
      <c r="B1421" t="s">
        <v>7852</v>
      </c>
      <c r="C1421" t="s">
        <v>7853</v>
      </c>
      <c r="D1421" t="s">
        <v>7854</v>
      </c>
      <c r="E1421" t="s">
        <v>7855</v>
      </c>
      <c r="F1421">
        <v>8158520</v>
      </c>
      <c r="G1421">
        <v>299305</v>
      </c>
      <c r="H1421">
        <v>110128</v>
      </c>
      <c r="I1421" t="s">
        <v>7850</v>
      </c>
      <c r="J1421">
        <v>2012</v>
      </c>
      <c r="K1421" t="s">
        <v>7838</v>
      </c>
      <c r="L1421" t="s">
        <v>7837</v>
      </c>
    </row>
    <row r="1422" spans="1:12">
      <c r="A1422" t="s">
        <v>7830</v>
      </c>
      <c r="B1422" t="s">
        <v>7852</v>
      </c>
      <c r="C1422" t="s">
        <v>7853</v>
      </c>
      <c r="D1422" t="s">
        <v>7854</v>
      </c>
      <c r="E1422" t="s">
        <v>7855</v>
      </c>
      <c r="F1422">
        <v>14359488</v>
      </c>
      <c r="G1422">
        <v>320645</v>
      </c>
      <c r="H1422">
        <v>163876</v>
      </c>
      <c r="I1422" t="s">
        <v>7850</v>
      </c>
      <c r="J1422">
        <v>2012</v>
      </c>
      <c r="K1422" t="s">
        <v>7839</v>
      </c>
      <c r="L1422" t="s">
        <v>7837</v>
      </c>
    </row>
    <row r="1423" spans="1:12">
      <c r="A1423" t="s">
        <v>7830</v>
      </c>
      <c r="B1423" t="s">
        <v>7852</v>
      </c>
      <c r="C1423" t="s">
        <v>7853</v>
      </c>
      <c r="D1423" t="s">
        <v>7854</v>
      </c>
      <c r="E1423" t="s">
        <v>7855</v>
      </c>
      <c r="F1423">
        <v>9618416</v>
      </c>
      <c r="G1423">
        <v>424924</v>
      </c>
      <c r="H1423">
        <v>120201</v>
      </c>
      <c r="I1423" t="s">
        <v>7850</v>
      </c>
      <c r="J1423">
        <v>2012</v>
      </c>
      <c r="K1423" t="s">
        <v>7840</v>
      </c>
      <c r="L1423" t="s">
        <v>7837</v>
      </c>
    </row>
    <row r="1424" spans="1:12">
      <c r="A1424" t="s">
        <v>7830</v>
      </c>
      <c r="B1424" t="s">
        <v>7852</v>
      </c>
      <c r="C1424" t="s">
        <v>7853</v>
      </c>
      <c r="D1424" t="s">
        <v>7854</v>
      </c>
      <c r="E1424" t="s">
        <v>7855</v>
      </c>
      <c r="F1424">
        <v>10261424</v>
      </c>
      <c r="G1424">
        <v>291696</v>
      </c>
      <c r="H1424">
        <v>192564</v>
      </c>
      <c r="I1424" t="s">
        <v>7850</v>
      </c>
      <c r="J1424">
        <v>2012</v>
      </c>
      <c r="K1424" t="s">
        <v>7841</v>
      </c>
      <c r="L1424" t="s">
        <v>7837</v>
      </c>
    </row>
    <row r="1425" spans="1:12">
      <c r="A1425" t="s">
        <v>7830</v>
      </c>
      <c r="B1425" t="s">
        <v>7852</v>
      </c>
      <c r="C1425" t="s">
        <v>7853</v>
      </c>
      <c r="D1425" t="s">
        <v>7854</v>
      </c>
      <c r="E1425" t="s">
        <v>7855</v>
      </c>
      <c r="F1425">
        <v>15826223</v>
      </c>
      <c r="G1425">
        <v>366338</v>
      </c>
      <c r="H1425">
        <v>124051</v>
      </c>
      <c r="I1425" t="s">
        <v>7850</v>
      </c>
      <c r="J1425">
        <v>2012</v>
      </c>
      <c r="K1425" t="s">
        <v>7842</v>
      </c>
      <c r="L1425" t="s">
        <v>7837</v>
      </c>
    </row>
    <row r="1426" spans="1:12">
      <c r="A1426" t="s">
        <v>7830</v>
      </c>
      <c r="B1426" t="s">
        <v>7852</v>
      </c>
      <c r="C1426" t="s">
        <v>7853</v>
      </c>
      <c r="D1426" t="s">
        <v>7854</v>
      </c>
      <c r="E1426" t="s">
        <v>7855</v>
      </c>
      <c r="F1426">
        <v>11514023</v>
      </c>
      <c r="G1426">
        <v>377448</v>
      </c>
      <c r="H1426">
        <v>69678</v>
      </c>
      <c r="I1426" t="s">
        <v>7850</v>
      </c>
      <c r="J1426">
        <v>2012</v>
      </c>
      <c r="K1426" t="s">
        <v>7843</v>
      </c>
      <c r="L1426" t="s">
        <v>7837</v>
      </c>
    </row>
    <row r="1427" spans="1:12">
      <c r="A1427" t="s">
        <v>7830</v>
      </c>
      <c r="B1427" t="s">
        <v>7852</v>
      </c>
      <c r="C1427" t="s">
        <v>7853</v>
      </c>
      <c r="D1427" t="s">
        <v>7854</v>
      </c>
      <c r="E1427" t="s">
        <v>7855</v>
      </c>
      <c r="F1427">
        <v>10304073</v>
      </c>
      <c r="G1427">
        <v>380380</v>
      </c>
      <c r="H1427">
        <v>69179</v>
      </c>
      <c r="I1427" t="s">
        <v>7850</v>
      </c>
      <c r="J1427">
        <v>2012</v>
      </c>
      <c r="K1427" t="s">
        <v>7844</v>
      </c>
      <c r="L1427" t="s">
        <v>7837</v>
      </c>
    </row>
    <row r="1428" spans="1:12">
      <c r="A1428" t="s">
        <v>7830</v>
      </c>
      <c r="B1428" t="s">
        <v>7852</v>
      </c>
      <c r="C1428" t="s">
        <v>7853</v>
      </c>
      <c r="D1428" t="s">
        <v>7854</v>
      </c>
      <c r="E1428" t="s">
        <v>7855</v>
      </c>
      <c r="F1428">
        <v>9880229</v>
      </c>
      <c r="G1428">
        <v>311852</v>
      </c>
      <c r="H1428">
        <v>64818</v>
      </c>
      <c r="I1428" t="s">
        <v>7850</v>
      </c>
      <c r="J1428">
        <v>2012</v>
      </c>
      <c r="K1428" t="s">
        <v>7845</v>
      </c>
      <c r="L1428" t="s">
        <v>7837</v>
      </c>
    </row>
    <row r="1429" spans="1:12">
      <c r="A1429" t="s">
        <v>7830</v>
      </c>
      <c r="B1429" t="s">
        <v>7852</v>
      </c>
      <c r="C1429" t="s">
        <v>7853</v>
      </c>
      <c r="D1429" t="s">
        <v>7854</v>
      </c>
      <c r="E1429" t="s">
        <v>7855</v>
      </c>
      <c r="F1429">
        <v>7534384</v>
      </c>
      <c r="G1429">
        <v>406757</v>
      </c>
      <c r="H1429">
        <v>56183</v>
      </c>
      <c r="I1429" t="s">
        <v>7850</v>
      </c>
      <c r="J1429">
        <v>2012</v>
      </c>
      <c r="K1429" t="s">
        <v>7846</v>
      </c>
      <c r="L1429" t="s">
        <v>7837</v>
      </c>
    </row>
    <row r="1430" spans="1:12">
      <c r="A1430" t="s">
        <v>7830</v>
      </c>
      <c r="B1430" t="s">
        <v>7852</v>
      </c>
      <c r="C1430" t="s">
        <v>7853</v>
      </c>
      <c r="D1430" t="s">
        <v>7854</v>
      </c>
      <c r="E1430" t="s">
        <v>7855</v>
      </c>
      <c r="F1430">
        <v>13685668</v>
      </c>
      <c r="G1430">
        <v>762072</v>
      </c>
      <c r="H1430">
        <v>69352</v>
      </c>
      <c r="I1430" t="s">
        <v>7850</v>
      </c>
      <c r="J1430">
        <v>2012</v>
      </c>
      <c r="K1430" t="s">
        <v>7847</v>
      </c>
      <c r="L1430" t="s">
        <v>7837</v>
      </c>
    </row>
    <row r="1431" spans="1:12">
      <c r="A1431" t="s">
        <v>7830</v>
      </c>
      <c r="B1431" t="s">
        <v>7852</v>
      </c>
      <c r="C1431" t="s">
        <v>7853</v>
      </c>
      <c r="D1431" t="s">
        <v>7854</v>
      </c>
      <c r="E1431" t="s">
        <v>7855</v>
      </c>
      <c r="F1431">
        <v>15193813</v>
      </c>
      <c r="G1431">
        <v>465058</v>
      </c>
      <c r="H1431">
        <v>152768</v>
      </c>
      <c r="I1431" t="s">
        <v>7850</v>
      </c>
      <c r="J1431">
        <v>2012</v>
      </c>
      <c r="K1431" t="s">
        <v>7848</v>
      </c>
      <c r="L1431" t="s">
        <v>7837</v>
      </c>
    </row>
    <row r="1432" spans="1:12">
      <c r="A1432" t="s">
        <v>7830</v>
      </c>
      <c r="B1432" t="s">
        <v>7852</v>
      </c>
      <c r="C1432" t="s">
        <v>7853</v>
      </c>
      <c r="D1432" t="s">
        <v>7854</v>
      </c>
      <c r="E1432" t="s">
        <v>7855</v>
      </c>
      <c r="F1432">
        <v>12539616</v>
      </c>
      <c r="G1432">
        <v>282182</v>
      </c>
      <c r="H1432">
        <v>70988</v>
      </c>
      <c r="I1432" t="s">
        <v>7850</v>
      </c>
      <c r="J1432">
        <v>2013</v>
      </c>
      <c r="K1432" t="s">
        <v>7836</v>
      </c>
      <c r="L1432" t="s">
        <v>7837</v>
      </c>
    </row>
    <row r="1433" spans="1:12">
      <c r="A1433" t="s">
        <v>7830</v>
      </c>
      <c r="B1433" t="s">
        <v>7852</v>
      </c>
      <c r="C1433" t="s">
        <v>7853</v>
      </c>
      <c r="D1433" t="s">
        <v>7854</v>
      </c>
      <c r="E1433" t="s">
        <v>7855</v>
      </c>
      <c r="F1433">
        <v>13285963</v>
      </c>
      <c r="G1433">
        <v>321597</v>
      </c>
      <c r="H1433">
        <v>77363</v>
      </c>
      <c r="I1433" t="s">
        <v>7850</v>
      </c>
      <c r="J1433">
        <v>2013</v>
      </c>
      <c r="K1433" t="s">
        <v>7838</v>
      </c>
      <c r="L1433" t="s">
        <v>7837</v>
      </c>
    </row>
    <row r="1434" spans="1:12">
      <c r="A1434" t="s">
        <v>7830</v>
      </c>
      <c r="B1434" t="s">
        <v>7852</v>
      </c>
      <c r="C1434" t="s">
        <v>7853</v>
      </c>
      <c r="D1434" t="s">
        <v>7854</v>
      </c>
      <c r="E1434" t="s">
        <v>7855</v>
      </c>
      <c r="F1434">
        <v>14365134</v>
      </c>
      <c r="G1434">
        <v>397912</v>
      </c>
      <c r="H1434">
        <v>89247</v>
      </c>
      <c r="I1434" t="s">
        <v>7850</v>
      </c>
      <c r="J1434">
        <v>2013</v>
      </c>
      <c r="K1434" t="s">
        <v>7839</v>
      </c>
      <c r="L1434" t="s">
        <v>7837</v>
      </c>
    </row>
    <row r="1435" spans="1:12">
      <c r="A1435" t="s">
        <v>7830</v>
      </c>
      <c r="B1435" t="s">
        <v>7852</v>
      </c>
      <c r="C1435" t="s">
        <v>7853</v>
      </c>
      <c r="D1435" t="s">
        <v>7854</v>
      </c>
      <c r="E1435" t="s">
        <v>7855</v>
      </c>
      <c r="F1435">
        <v>12899387</v>
      </c>
      <c r="G1435">
        <v>436260</v>
      </c>
      <c r="H1435">
        <v>91070</v>
      </c>
      <c r="I1435" t="s">
        <v>7850</v>
      </c>
      <c r="J1435">
        <v>2013</v>
      </c>
      <c r="K1435" t="s">
        <v>7840</v>
      </c>
      <c r="L1435" t="s">
        <v>7837</v>
      </c>
    </row>
    <row r="1436" spans="1:12">
      <c r="A1436" t="s">
        <v>7830</v>
      </c>
      <c r="B1436" t="s">
        <v>7852</v>
      </c>
      <c r="C1436" t="s">
        <v>7853</v>
      </c>
      <c r="D1436" t="s">
        <v>7854</v>
      </c>
      <c r="E1436" t="s">
        <v>7855</v>
      </c>
      <c r="F1436">
        <v>13619893</v>
      </c>
      <c r="G1436">
        <v>512868</v>
      </c>
      <c r="H1436">
        <v>115462</v>
      </c>
      <c r="I1436" t="s">
        <v>7850</v>
      </c>
      <c r="J1436">
        <v>2013</v>
      </c>
      <c r="K1436" t="s">
        <v>7841</v>
      </c>
      <c r="L1436" t="s">
        <v>7837</v>
      </c>
    </row>
    <row r="1437" spans="1:12">
      <c r="A1437" t="s">
        <v>7830</v>
      </c>
      <c r="B1437" t="s">
        <v>7852</v>
      </c>
      <c r="C1437" t="s">
        <v>7853</v>
      </c>
      <c r="D1437" t="s">
        <v>7854</v>
      </c>
      <c r="E1437" t="s">
        <v>7855</v>
      </c>
      <c r="F1437">
        <v>13210526</v>
      </c>
      <c r="G1437">
        <v>361452</v>
      </c>
      <c r="H1437">
        <v>85943</v>
      </c>
      <c r="I1437" t="s">
        <v>7850</v>
      </c>
      <c r="J1437">
        <v>2013</v>
      </c>
      <c r="K1437" t="s">
        <v>7842</v>
      </c>
      <c r="L1437" t="s">
        <v>7837</v>
      </c>
    </row>
    <row r="1438" spans="1:12">
      <c r="A1438" t="s">
        <v>7830</v>
      </c>
      <c r="B1438" t="s">
        <v>7852</v>
      </c>
      <c r="C1438" t="s">
        <v>7853</v>
      </c>
      <c r="D1438" t="s">
        <v>7854</v>
      </c>
      <c r="E1438" t="s">
        <v>7855</v>
      </c>
      <c r="F1438">
        <v>13650483</v>
      </c>
      <c r="G1438">
        <v>507571</v>
      </c>
      <c r="H1438">
        <v>106943</v>
      </c>
      <c r="I1438" t="s">
        <v>7850</v>
      </c>
      <c r="J1438">
        <v>2013</v>
      </c>
      <c r="K1438" t="s">
        <v>7843</v>
      </c>
      <c r="L1438" t="s">
        <v>7837</v>
      </c>
    </row>
    <row r="1439" spans="1:12">
      <c r="A1439" t="s">
        <v>7830</v>
      </c>
      <c r="B1439" t="s">
        <v>7852</v>
      </c>
      <c r="C1439" t="s">
        <v>7853</v>
      </c>
      <c r="D1439" t="s">
        <v>7854</v>
      </c>
      <c r="E1439" t="s">
        <v>7855</v>
      </c>
      <c r="F1439">
        <v>12662785</v>
      </c>
      <c r="G1439">
        <v>311166</v>
      </c>
      <c r="H1439">
        <v>116137</v>
      </c>
      <c r="I1439" t="s">
        <v>7850</v>
      </c>
      <c r="J1439">
        <v>2013</v>
      </c>
      <c r="K1439" t="s">
        <v>7844</v>
      </c>
      <c r="L1439" t="s">
        <v>7837</v>
      </c>
    </row>
    <row r="1440" spans="1:12">
      <c r="A1440" t="s">
        <v>7830</v>
      </c>
      <c r="B1440" t="s">
        <v>7852</v>
      </c>
      <c r="C1440" t="s">
        <v>7853</v>
      </c>
      <c r="D1440" t="s">
        <v>7854</v>
      </c>
      <c r="E1440" t="s">
        <v>7855</v>
      </c>
      <c r="F1440">
        <v>8524369</v>
      </c>
      <c r="G1440">
        <v>484749</v>
      </c>
      <c r="H1440">
        <v>101314</v>
      </c>
      <c r="I1440" t="s">
        <v>7850</v>
      </c>
      <c r="J1440">
        <v>2013</v>
      </c>
      <c r="K1440" t="s">
        <v>7845</v>
      </c>
      <c r="L1440" t="s">
        <v>7837</v>
      </c>
    </row>
    <row r="1441" spans="1:12">
      <c r="A1441" t="s">
        <v>7830</v>
      </c>
      <c r="B1441" t="s">
        <v>7852</v>
      </c>
      <c r="C1441" t="s">
        <v>7853</v>
      </c>
      <c r="D1441" t="s">
        <v>7854</v>
      </c>
      <c r="E1441" t="s">
        <v>7855</v>
      </c>
      <c r="F1441">
        <v>12989215</v>
      </c>
      <c r="G1441">
        <v>380576</v>
      </c>
      <c r="H1441">
        <v>91837</v>
      </c>
      <c r="I1441" t="s">
        <v>7850</v>
      </c>
      <c r="J1441">
        <v>2013</v>
      </c>
      <c r="K1441" t="s">
        <v>7846</v>
      </c>
      <c r="L1441" t="s">
        <v>7837</v>
      </c>
    </row>
    <row r="1442" spans="1:12">
      <c r="A1442" t="s">
        <v>7830</v>
      </c>
      <c r="B1442" t="s">
        <v>7852</v>
      </c>
      <c r="C1442" t="s">
        <v>7853</v>
      </c>
      <c r="D1442" t="s">
        <v>7854</v>
      </c>
      <c r="E1442" t="s">
        <v>7855</v>
      </c>
      <c r="F1442">
        <v>10873142</v>
      </c>
      <c r="G1442">
        <v>365234</v>
      </c>
      <c r="H1442">
        <v>72916</v>
      </c>
      <c r="I1442" t="s">
        <v>7850</v>
      </c>
      <c r="J1442">
        <v>2013</v>
      </c>
      <c r="K1442" t="s">
        <v>7847</v>
      </c>
      <c r="L1442" t="s">
        <v>7837</v>
      </c>
    </row>
    <row r="1443" spans="1:12">
      <c r="A1443" t="s">
        <v>7830</v>
      </c>
      <c r="B1443" t="s">
        <v>7852</v>
      </c>
      <c r="C1443" t="s">
        <v>7853</v>
      </c>
      <c r="D1443" t="s">
        <v>7854</v>
      </c>
      <c r="E1443" t="s">
        <v>7855</v>
      </c>
      <c r="F1443">
        <v>12496309</v>
      </c>
      <c r="G1443">
        <v>422752</v>
      </c>
      <c r="H1443">
        <v>102955</v>
      </c>
      <c r="I1443" t="s">
        <v>7850</v>
      </c>
      <c r="J1443">
        <v>2013</v>
      </c>
      <c r="K1443" t="s">
        <v>7848</v>
      </c>
      <c r="L1443" t="s">
        <v>7837</v>
      </c>
    </row>
    <row r="1444" spans="1:12">
      <c r="A1444" t="s">
        <v>7830</v>
      </c>
      <c r="B1444" t="s">
        <v>7852</v>
      </c>
      <c r="C1444" t="s">
        <v>7853</v>
      </c>
      <c r="D1444" t="s">
        <v>7854</v>
      </c>
      <c r="E1444" t="s">
        <v>7855</v>
      </c>
      <c r="F1444">
        <v>13026842</v>
      </c>
      <c r="G1444">
        <v>327553</v>
      </c>
      <c r="H1444">
        <v>75768</v>
      </c>
      <c r="I1444" t="s">
        <v>7850</v>
      </c>
      <c r="J1444">
        <v>2014</v>
      </c>
      <c r="K1444" t="s">
        <v>7836</v>
      </c>
      <c r="L1444" t="s">
        <v>7837</v>
      </c>
    </row>
    <row r="1445" spans="1:12">
      <c r="A1445" t="s">
        <v>7830</v>
      </c>
      <c r="B1445" t="s">
        <v>7852</v>
      </c>
      <c r="C1445" t="s">
        <v>7853</v>
      </c>
      <c r="D1445" t="s">
        <v>7854</v>
      </c>
      <c r="E1445" t="s">
        <v>7855</v>
      </c>
      <c r="F1445">
        <v>9637662</v>
      </c>
      <c r="G1445">
        <v>320351</v>
      </c>
      <c r="H1445">
        <v>71180</v>
      </c>
      <c r="I1445" t="s">
        <v>7850</v>
      </c>
      <c r="J1445">
        <v>2014</v>
      </c>
      <c r="K1445" t="s">
        <v>7838</v>
      </c>
      <c r="L1445" t="s">
        <v>7837</v>
      </c>
    </row>
    <row r="1446" spans="1:12">
      <c r="A1446" t="s">
        <v>7830</v>
      </c>
      <c r="B1446" t="s">
        <v>7852</v>
      </c>
      <c r="C1446" t="s">
        <v>7853</v>
      </c>
      <c r="D1446" t="s">
        <v>7854</v>
      </c>
      <c r="E1446" t="s">
        <v>7855</v>
      </c>
      <c r="F1446">
        <v>13656900</v>
      </c>
      <c r="G1446">
        <v>567869</v>
      </c>
      <c r="H1446">
        <v>111123</v>
      </c>
      <c r="I1446" t="s">
        <v>7850</v>
      </c>
      <c r="J1446">
        <v>2014</v>
      </c>
      <c r="K1446" t="s">
        <v>7839</v>
      </c>
      <c r="L1446" t="s">
        <v>7837</v>
      </c>
    </row>
    <row r="1447" spans="1:12">
      <c r="A1447" t="s">
        <v>7830</v>
      </c>
      <c r="B1447" t="s">
        <v>7852</v>
      </c>
      <c r="C1447" t="s">
        <v>7853</v>
      </c>
      <c r="D1447" t="s">
        <v>7854</v>
      </c>
      <c r="E1447" t="s">
        <v>7855</v>
      </c>
      <c r="F1447">
        <v>8089871</v>
      </c>
      <c r="G1447">
        <v>346981</v>
      </c>
      <c r="H1447">
        <v>186444</v>
      </c>
      <c r="I1447" t="s">
        <v>7850</v>
      </c>
      <c r="J1447">
        <v>2014</v>
      </c>
      <c r="K1447" t="s">
        <v>7840</v>
      </c>
      <c r="L1447" t="s">
        <v>7837</v>
      </c>
    </row>
    <row r="1448" spans="1:12">
      <c r="A1448" t="s">
        <v>7830</v>
      </c>
      <c r="B1448" t="s">
        <v>7852</v>
      </c>
      <c r="C1448" t="s">
        <v>7853</v>
      </c>
      <c r="D1448" t="s">
        <v>7854</v>
      </c>
      <c r="E1448" t="s">
        <v>7855</v>
      </c>
      <c r="F1448">
        <v>10332631</v>
      </c>
      <c r="G1448">
        <v>478213</v>
      </c>
      <c r="H1448">
        <v>113527</v>
      </c>
      <c r="I1448" t="s">
        <v>7850</v>
      </c>
      <c r="J1448">
        <v>2014</v>
      </c>
      <c r="K1448" t="s">
        <v>7841</v>
      </c>
      <c r="L1448" t="s">
        <v>7837</v>
      </c>
    </row>
    <row r="1449" spans="1:12">
      <c r="A1449" t="s">
        <v>7830</v>
      </c>
      <c r="B1449" t="s">
        <v>7852</v>
      </c>
      <c r="C1449" t="s">
        <v>7853</v>
      </c>
      <c r="D1449" t="s">
        <v>7854</v>
      </c>
      <c r="E1449" t="s">
        <v>7855</v>
      </c>
      <c r="F1449">
        <v>13566884</v>
      </c>
      <c r="G1449">
        <v>303520</v>
      </c>
      <c r="H1449">
        <v>108160</v>
      </c>
      <c r="I1449" t="s">
        <v>7850</v>
      </c>
      <c r="J1449">
        <v>2014</v>
      </c>
      <c r="K1449" t="s">
        <v>7842</v>
      </c>
      <c r="L1449" t="s">
        <v>7837</v>
      </c>
    </row>
    <row r="1450" spans="1:12">
      <c r="A1450" t="s">
        <v>7830</v>
      </c>
      <c r="B1450" t="s">
        <v>7852</v>
      </c>
      <c r="C1450" t="s">
        <v>7853</v>
      </c>
      <c r="D1450" t="s">
        <v>7854</v>
      </c>
      <c r="E1450" t="s">
        <v>7855</v>
      </c>
      <c r="F1450">
        <v>12368945</v>
      </c>
      <c r="G1450">
        <v>482038</v>
      </c>
      <c r="H1450">
        <v>91162</v>
      </c>
      <c r="I1450" t="s">
        <v>7850</v>
      </c>
      <c r="J1450">
        <v>2014</v>
      </c>
      <c r="K1450" t="s">
        <v>7843</v>
      </c>
      <c r="L1450" t="s">
        <v>7837</v>
      </c>
    </row>
    <row r="1451" spans="1:12">
      <c r="A1451" t="s">
        <v>7830</v>
      </c>
      <c r="B1451" t="s">
        <v>7852</v>
      </c>
      <c r="C1451" t="s">
        <v>7853</v>
      </c>
      <c r="D1451" t="s">
        <v>7854</v>
      </c>
      <c r="E1451" t="s">
        <v>7855</v>
      </c>
      <c r="F1451">
        <v>15301912</v>
      </c>
      <c r="G1451">
        <v>257321</v>
      </c>
      <c r="H1451">
        <v>97823</v>
      </c>
      <c r="I1451" t="s">
        <v>7850</v>
      </c>
      <c r="J1451">
        <v>2014</v>
      </c>
      <c r="K1451" t="s">
        <v>7844</v>
      </c>
      <c r="L1451" t="s">
        <v>7837</v>
      </c>
    </row>
    <row r="1452" spans="1:12">
      <c r="A1452" t="s">
        <v>7830</v>
      </c>
      <c r="B1452" t="s">
        <v>7852</v>
      </c>
      <c r="C1452" t="s">
        <v>7853</v>
      </c>
      <c r="D1452" t="s">
        <v>7854</v>
      </c>
      <c r="E1452" t="s">
        <v>7855</v>
      </c>
      <c r="F1452">
        <v>9996481</v>
      </c>
      <c r="G1452">
        <v>303420</v>
      </c>
      <c r="H1452">
        <v>84177</v>
      </c>
      <c r="I1452" t="s">
        <v>7850</v>
      </c>
      <c r="J1452">
        <v>2014</v>
      </c>
      <c r="K1452" t="s">
        <v>7845</v>
      </c>
      <c r="L1452" t="s">
        <v>7837</v>
      </c>
    </row>
    <row r="1453" spans="1:12">
      <c r="A1453" t="s">
        <v>7830</v>
      </c>
      <c r="B1453" t="s">
        <v>7852</v>
      </c>
      <c r="C1453" t="s">
        <v>7853</v>
      </c>
      <c r="D1453" t="s">
        <v>7854</v>
      </c>
      <c r="E1453" t="s">
        <v>7855</v>
      </c>
      <c r="F1453">
        <v>10988196</v>
      </c>
      <c r="G1453">
        <v>416353</v>
      </c>
      <c r="H1453">
        <v>78175</v>
      </c>
      <c r="I1453" t="s">
        <v>7850</v>
      </c>
      <c r="J1453">
        <v>2014</v>
      </c>
      <c r="K1453" t="s">
        <v>7846</v>
      </c>
      <c r="L1453" t="s">
        <v>7837</v>
      </c>
    </row>
    <row r="1454" spans="1:12">
      <c r="A1454" t="s">
        <v>7830</v>
      </c>
      <c r="B1454" t="s">
        <v>7852</v>
      </c>
      <c r="C1454" t="s">
        <v>7853</v>
      </c>
      <c r="D1454" t="s">
        <v>7854</v>
      </c>
      <c r="E1454" t="s">
        <v>7855</v>
      </c>
      <c r="F1454">
        <v>17130561</v>
      </c>
      <c r="G1454">
        <v>289895</v>
      </c>
      <c r="H1454">
        <v>101055</v>
      </c>
      <c r="I1454" t="s">
        <v>7850</v>
      </c>
      <c r="J1454">
        <v>2014</v>
      </c>
      <c r="K1454" t="s">
        <v>7847</v>
      </c>
      <c r="L1454" t="s">
        <v>7837</v>
      </c>
    </row>
    <row r="1455" spans="1:12">
      <c r="A1455" t="s">
        <v>7830</v>
      </c>
      <c r="B1455" t="s">
        <v>7852</v>
      </c>
      <c r="C1455" t="s">
        <v>7853</v>
      </c>
      <c r="D1455" t="s">
        <v>7854</v>
      </c>
      <c r="E1455" t="s">
        <v>7855</v>
      </c>
      <c r="F1455">
        <v>11383795</v>
      </c>
      <c r="G1455">
        <v>453517</v>
      </c>
      <c r="H1455">
        <v>111407</v>
      </c>
      <c r="I1455" t="s">
        <v>7850</v>
      </c>
      <c r="J1455">
        <v>2014</v>
      </c>
      <c r="K1455" t="s">
        <v>7848</v>
      </c>
      <c r="L1455" t="s">
        <v>7837</v>
      </c>
    </row>
    <row r="1456" spans="1:12">
      <c r="A1456" t="s">
        <v>7830</v>
      </c>
      <c r="B1456" t="s">
        <v>7852</v>
      </c>
      <c r="C1456" t="s">
        <v>7853</v>
      </c>
      <c r="D1456" t="s">
        <v>7854</v>
      </c>
      <c r="E1456" t="s">
        <v>7855</v>
      </c>
      <c r="F1456">
        <v>17473253</v>
      </c>
      <c r="G1456">
        <v>302618</v>
      </c>
      <c r="H1456">
        <v>115209</v>
      </c>
      <c r="I1456" t="s">
        <v>7850</v>
      </c>
      <c r="J1456">
        <v>2015</v>
      </c>
      <c r="K1456" t="s">
        <v>7836</v>
      </c>
      <c r="L1456" t="s">
        <v>7837</v>
      </c>
    </row>
    <row r="1457" spans="1:12">
      <c r="A1457" t="s">
        <v>7830</v>
      </c>
      <c r="B1457" t="s">
        <v>7852</v>
      </c>
      <c r="C1457" t="s">
        <v>7853</v>
      </c>
      <c r="D1457" t="s">
        <v>7854</v>
      </c>
      <c r="E1457" t="s">
        <v>7855</v>
      </c>
      <c r="F1457">
        <v>10659785</v>
      </c>
      <c r="G1457">
        <v>367307</v>
      </c>
      <c r="H1457">
        <v>82768</v>
      </c>
      <c r="I1457" t="s">
        <v>7850</v>
      </c>
      <c r="J1457">
        <v>2015</v>
      </c>
      <c r="K1457" t="s">
        <v>7838</v>
      </c>
      <c r="L1457" t="s">
        <v>7837</v>
      </c>
    </row>
    <row r="1458" spans="1:12">
      <c r="A1458" t="s">
        <v>7830</v>
      </c>
      <c r="B1458" t="s">
        <v>7852</v>
      </c>
      <c r="C1458" t="s">
        <v>7853</v>
      </c>
      <c r="D1458" t="s">
        <v>7854</v>
      </c>
      <c r="E1458" t="s">
        <v>7855</v>
      </c>
      <c r="F1458">
        <v>9145121</v>
      </c>
      <c r="G1458">
        <v>333502</v>
      </c>
      <c r="H1458">
        <v>76945</v>
      </c>
      <c r="I1458" t="s">
        <v>7850</v>
      </c>
      <c r="J1458">
        <v>2015</v>
      </c>
      <c r="K1458" t="s">
        <v>7839</v>
      </c>
      <c r="L1458" t="s">
        <v>7837</v>
      </c>
    </row>
    <row r="1459" spans="1:12">
      <c r="A1459" t="s">
        <v>7830</v>
      </c>
      <c r="B1459" t="s">
        <v>7852</v>
      </c>
      <c r="C1459" t="s">
        <v>7853</v>
      </c>
      <c r="D1459" t="s">
        <v>7854</v>
      </c>
      <c r="E1459" t="s">
        <v>7855</v>
      </c>
      <c r="F1459">
        <v>20554763</v>
      </c>
      <c r="G1459">
        <v>461362</v>
      </c>
      <c r="H1459">
        <v>167186</v>
      </c>
      <c r="I1459" t="s">
        <v>7850</v>
      </c>
      <c r="J1459">
        <v>2015</v>
      </c>
      <c r="K1459" t="s">
        <v>7840</v>
      </c>
      <c r="L1459" t="s">
        <v>7837</v>
      </c>
    </row>
    <row r="1460" spans="1:12">
      <c r="A1460" t="s">
        <v>7830</v>
      </c>
      <c r="B1460" t="s">
        <v>7852</v>
      </c>
      <c r="C1460" t="s">
        <v>7853</v>
      </c>
      <c r="D1460" t="s">
        <v>7854</v>
      </c>
      <c r="E1460" t="s">
        <v>7855</v>
      </c>
      <c r="F1460">
        <v>24605170</v>
      </c>
      <c r="G1460">
        <v>448605</v>
      </c>
      <c r="H1460">
        <v>163132</v>
      </c>
      <c r="I1460" t="s">
        <v>7850</v>
      </c>
      <c r="J1460">
        <v>2015</v>
      </c>
      <c r="K1460" t="s">
        <v>7841</v>
      </c>
      <c r="L1460" t="s">
        <v>7837</v>
      </c>
    </row>
    <row r="1461" spans="1:12">
      <c r="A1461" t="s">
        <v>7830</v>
      </c>
      <c r="B1461" t="s">
        <v>7852</v>
      </c>
      <c r="C1461" t="s">
        <v>7853</v>
      </c>
      <c r="D1461" t="s">
        <v>7854</v>
      </c>
      <c r="E1461" t="s">
        <v>7855</v>
      </c>
      <c r="F1461">
        <v>13441958</v>
      </c>
      <c r="G1461">
        <v>338622</v>
      </c>
      <c r="H1461">
        <v>93657</v>
      </c>
      <c r="I1461" t="s">
        <v>7850</v>
      </c>
      <c r="J1461">
        <v>2015</v>
      </c>
      <c r="K1461" t="s">
        <v>7842</v>
      </c>
      <c r="L1461" t="s">
        <v>7837</v>
      </c>
    </row>
    <row r="1462" spans="1:12">
      <c r="A1462" t="s">
        <v>7830</v>
      </c>
      <c r="B1462" t="s">
        <v>7852</v>
      </c>
      <c r="C1462" t="s">
        <v>7853</v>
      </c>
      <c r="D1462" t="s">
        <v>7854</v>
      </c>
      <c r="E1462" t="s">
        <v>7855</v>
      </c>
      <c r="F1462">
        <v>25907958</v>
      </c>
      <c r="G1462">
        <v>458229</v>
      </c>
      <c r="H1462">
        <v>180525</v>
      </c>
      <c r="I1462" t="s">
        <v>7850</v>
      </c>
      <c r="J1462">
        <v>2015</v>
      </c>
      <c r="K1462" t="s">
        <v>7843</v>
      </c>
      <c r="L1462" t="s">
        <v>7837</v>
      </c>
    </row>
    <row r="1463" spans="1:12">
      <c r="A1463" t="s">
        <v>7830</v>
      </c>
      <c r="B1463" t="s">
        <v>7852</v>
      </c>
      <c r="C1463" t="s">
        <v>7853</v>
      </c>
      <c r="D1463" t="s">
        <v>7854</v>
      </c>
      <c r="E1463" t="s">
        <v>7855</v>
      </c>
      <c r="F1463">
        <v>10796554</v>
      </c>
      <c r="G1463">
        <v>318539</v>
      </c>
      <c r="H1463">
        <v>79063</v>
      </c>
      <c r="I1463" t="s">
        <v>7850</v>
      </c>
      <c r="J1463">
        <v>2015</v>
      </c>
      <c r="K1463" t="s">
        <v>7844</v>
      </c>
      <c r="L1463" t="s">
        <v>7837</v>
      </c>
    </row>
    <row r="1464" spans="1:12">
      <c r="A1464" t="s">
        <v>7830</v>
      </c>
      <c r="B1464" t="s">
        <v>7852</v>
      </c>
      <c r="C1464" t="s">
        <v>7853</v>
      </c>
      <c r="D1464" t="s">
        <v>7854</v>
      </c>
      <c r="E1464" t="s">
        <v>7855</v>
      </c>
      <c r="F1464">
        <v>9830645</v>
      </c>
      <c r="G1464">
        <v>440170</v>
      </c>
      <c r="H1464">
        <v>78609</v>
      </c>
      <c r="I1464" t="s">
        <v>7850</v>
      </c>
      <c r="J1464">
        <v>2015</v>
      </c>
      <c r="K1464" t="s">
        <v>7845</v>
      </c>
      <c r="L1464" t="s">
        <v>7837</v>
      </c>
    </row>
    <row r="1465" spans="1:12">
      <c r="A1465" t="s">
        <v>7830</v>
      </c>
      <c r="B1465" t="s">
        <v>7852</v>
      </c>
      <c r="C1465" t="s">
        <v>7853</v>
      </c>
      <c r="D1465" t="s">
        <v>7854</v>
      </c>
      <c r="E1465" t="s">
        <v>7855</v>
      </c>
      <c r="F1465">
        <v>11392317</v>
      </c>
      <c r="G1465">
        <v>319001</v>
      </c>
      <c r="H1465">
        <v>73664</v>
      </c>
      <c r="I1465" t="s">
        <v>7850</v>
      </c>
      <c r="J1465">
        <v>2015</v>
      </c>
      <c r="K1465" t="s">
        <v>7846</v>
      </c>
      <c r="L1465" t="s">
        <v>7837</v>
      </c>
    </row>
    <row r="1466" spans="1:12">
      <c r="A1466" t="s">
        <v>7830</v>
      </c>
      <c r="B1466" t="s">
        <v>7852</v>
      </c>
      <c r="C1466" t="s">
        <v>7853</v>
      </c>
      <c r="D1466" t="s">
        <v>7854</v>
      </c>
      <c r="E1466" t="s">
        <v>7855</v>
      </c>
      <c r="F1466">
        <v>10870921</v>
      </c>
      <c r="G1466">
        <v>404375</v>
      </c>
      <c r="H1466">
        <v>138602</v>
      </c>
      <c r="I1466" t="s">
        <v>7850</v>
      </c>
      <c r="J1466">
        <v>2015</v>
      </c>
      <c r="K1466" t="s">
        <v>7847</v>
      </c>
      <c r="L1466" t="s">
        <v>7837</v>
      </c>
    </row>
    <row r="1467" spans="1:12">
      <c r="A1467" t="s">
        <v>7830</v>
      </c>
      <c r="B1467" t="s">
        <v>7852</v>
      </c>
      <c r="C1467" t="s">
        <v>7853</v>
      </c>
      <c r="D1467" t="s">
        <v>7854</v>
      </c>
      <c r="E1467" t="s">
        <v>7855</v>
      </c>
      <c r="F1467">
        <v>13978037</v>
      </c>
      <c r="G1467">
        <v>487394</v>
      </c>
      <c r="H1467">
        <v>159386</v>
      </c>
      <c r="I1467" t="s">
        <v>7850</v>
      </c>
      <c r="J1467">
        <v>2015</v>
      </c>
      <c r="K1467" t="s">
        <v>7848</v>
      </c>
      <c r="L1467" t="s">
        <v>7837</v>
      </c>
    </row>
    <row r="1468" spans="1:12">
      <c r="A1468" t="s">
        <v>7830</v>
      </c>
      <c r="B1468" t="s">
        <v>7852</v>
      </c>
      <c r="C1468" t="s">
        <v>7853</v>
      </c>
      <c r="D1468" t="s">
        <v>7854</v>
      </c>
      <c r="E1468" t="s">
        <v>7855</v>
      </c>
      <c r="F1468">
        <v>11177906</v>
      </c>
      <c r="G1468">
        <v>277479</v>
      </c>
      <c r="H1468">
        <v>54740</v>
      </c>
      <c r="I1468" t="s">
        <v>7850</v>
      </c>
      <c r="J1468">
        <v>2016</v>
      </c>
      <c r="K1468" t="s">
        <v>7836</v>
      </c>
      <c r="L1468" t="s">
        <v>7837</v>
      </c>
    </row>
    <row r="1469" spans="1:12">
      <c r="A1469" t="s">
        <v>7830</v>
      </c>
      <c r="B1469" t="s">
        <v>7852</v>
      </c>
      <c r="C1469" t="s">
        <v>7853</v>
      </c>
      <c r="D1469" t="s">
        <v>7854</v>
      </c>
      <c r="E1469" t="s">
        <v>7855</v>
      </c>
      <c r="F1469">
        <v>11147744</v>
      </c>
      <c r="G1469">
        <v>242456</v>
      </c>
      <c r="H1469">
        <v>64151</v>
      </c>
      <c r="I1469" t="s">
        <v>7850</v>
      </c>
      <c r="J1469">
        <v>2016</v>
      </c>
      <c r="K1469" t="s">
        <v>7838</v>
      </c>
      <c r="L1469" t="s">
        <v>7837</v>
      </c>
    </row>
    <row r="1470" spans="1:12">
      <c r="A1470" t="s">
        <v>7830</v>
      </c>
      <c r="B1470" t="s">
        <v>7852</v>
      </c>
      <c r="C1470" t="s">
        <v>7853</v>
      </c>
      <c r="D1470" t="s">
        <v>7854</v>
      </c>
      <c r="E1470" t="s">
        <v>7855</v>
      </c>
      <c r="F1470">
        <v>11986283</v>
      </c>
      <c r="G1470">
        <v>350572</v>
      </c>
      <c r="H1470">
        <v>83278</v>
      </c>
      <c r="I1470" t="s">
        <v>7850</v>
      </c>
      <c r="J1470">
        <v>2016</v>
      </c>
      <c r="K1470" t="s">
        <v>7839</v>
      </c>
      <c r="L1470" t="s">
        <v>7837</v>
      </c>
    </row>
    <row r="1471" spans="1:12">
      <c r="A1471" t="s">
        <v>7830</v>
      </c>
      <c r="B1471" t="s">
        <v>7852</v>
      </c>
      <c r="C1471" t="s">
        <v>7853</v>
      </c>
      <c r="D1471" t="s">
        <v>7854</v>
      </c>
      <c r="E1471" t="s">
        <v>7855</v>
      </c>
      <c r="F1471">
        <v>11970117</v>
      </c>
      <c r="G1471">
        <v>397845</v>
      </c>
      <c r="H1471">
        <v>137309</v>
      </c>
      <c r="I1471" t="s">
        <v>7850</v>
      </c>
      <c r="J1471">
        <v>2016</v>
      </c>
      <c r="K1471" t="s">
        <v>7840</v>
      </c>
      <c r="L1471" t="s">
        <v>7837</v>
      </c>
    </row>
    <row r="1472" spans="1:12">
      <c r="A1472" t="s">
        <v>7830</v>
      </c>
      <c r="B1472" t="s">
        <v>7852</v>
      </c>
      <c r="C1472" t="s">
        <v>7853</v>
      </c>
      <c r="D1472" t="s">
        <v>7854</v>
      </c>
      <c r="E1472" t="s">
        <v>7855</v>
      </c>
      <c r="F1472">
        <v>10327929</v>
      </c>
      <c r="G1472">
        <v>369494</v>
      </c>
      <c r="H1472">
        <v>88563</v>
      </c>
      <c r="I1472" t="s">
        <v>7850</v>
      </c>
      <c r="J1472">
        <v>2016</v>
      </c>
      <c r="K1472" t="s">
        <v>7841</v>
      </c>
      <c r="L1472" t="s">
        <v>7837</v>
      </c>
    </row>
    <row r="1473" spans="1:12">
      <c r="A1473" t="s">
        <v>7830</v>
      </c>
      <c r="B1473" t="s">
        <v>7852</v>
      </c>
      <c r="C1473" t="s">
        <v>7853</v>
      </c>
      <c r="D1473" t="s">
        <v>7854</v>
      </c>
      <c r="E1473" t="s">
        <v>7855</v>
      </c>
      <c r="F1473">
        <v>13770035</v>
      </c>
      <c r="G1473">
        <v>383314</v>
      </c>
      <c r="H1473">
        <v>155814</v>
      </c>
      <c r="I1473" t="s">
        <v>7850</v>
      </c>
      <c r="J1473">
        <v>2016</v>
      </c>
      <c r="K1473" t="s">
        <v>7842</v>
      </c>
      <c r="L1473" t="s">
        <v>7837</v>
      </c>
    </row>
    <row r="1474" spans="1:12">
      <c r="A1474" t="s">
        <v>7830</v>
      </c>
      <c r="B1474" t="s">
        <v>7852</v>
      </c>
      <c r="C1474" t="s">
        <v>7853</v>
      </c>
      <c r="D1474" t="s">
        <v>7854</v>
      </c>
      <c r="E1474" t="s">
        <v>7855</v>
      </c>
      <c r="F1474">
        <v>13282612</v>
      </c>
      <c r="G1474">
        <v>457466</v>
      </c>
      <c r="H1474">
        <v>105586</v>
      </c>
      <c r="I1474" t="s">
        <v>7850</v>
      </c>
      <c r="J1474">
        <v>2016</v>
      </c>
      <c r="K1474" t="s">
        <v>7843</v>
      </c>
      <c r="L1474" t="s">
        <v>7837</v>
      </c>
    </row>
    <row r="1475" spans="1:12">
      <c r="A1475" t="s">
        <v>7830</v>
      </c>
      <c r="B1475" t="s">
        <v>7852</v>
      </c>
      <c r="C1475" t="s">
        <v>7853</v>
      </c>
      <c r="D1475" t="s">
        <v>7854</v>
      </c>
      <c r="E1475" t="s">
        <v>7855</v>
      </c>
      <c r="F1475">
        <v>15665825</v>
      </c>
      <c r="G1475">
        <v>481927</v>
      </c>
      <c r="H1475">
        <v>118276</v>
      </c>
      <c r="I1475" t="s">
        <v>7850</v>
      </c>
      <c r="J1475">
        <v>2016</v>
      </c>
      <c r="K1475" t="s">
        <v>7844</v>
      </c>
      <c r="L1475" t="s">
        <v>7837</v>
      </c>
    </row>
    <row r="1476" spans="1:12">
      <c r="A1476" t="s">
        <v>7830</v>
      </c>
      <c r="B1476" t="s">
        <v>7852</v>
      </c>
      <c r="C1476" t="s">
        <v>7853</v>
      </c>
      <c r="D1476" t="s">
        <v>7854</v>
      </c>
      <c r="E1476" t="s">
        <v>7855</v>
      </c>
      <c r="F1476">
        <v>16360418</v>
      </c>
      <c r="G1476">
        <v>420252</v>
      </c>
      <c r="H1476">
        <v>83898</v>
      </c>
      <c r="I1476" t="s">
        <v>7850</v>
      </c>
      <c r="J1476">
        <v>2016</v>
      </c>
      <c r="K1476" t="s">
        <v>7845</v>
      </c>
      <c r="L1476" t="s">
        <v>7837</v>
      </c>
    </row>
    <row r="1477" spans="1:12">
      <c r="A1477" t="s">
        <v>7830</v>
      </c>
      <c r="B1477" t="s">
        <v>7852</v>
      </c>
      <c r="C1477" t="s">
        <v>7853</v>
      </c>
      <c r="D1477" t="s">
        <v>7854</v>
      </c>
      <c r="E1477" t="s">
        <v>7855</v>
      </c>
      <c r="F1477">
        <v>18281424</v>
      </c>
      <c r="G1477">
        <v>603433</v>
      </c>
      <c r="H1477">
        <v>148089</v>
      </c>
      <c r="I1477" t="s">
        <v>7850</v>
      </c>
      <c r="J1477">
        <v>2016</v>
      </c>
      <c r="K1477" t="s">
        <v>7846</v>
      </c>
      <c r="L1477" t="s">
        <v>7837</v>
      </c>
    </row>
    <row r="1478" spans="1:12">
      <c r="A1478" t="s">
        <v>7830</v>
      </c>
      <c r="B1478" t="s">
        <v>7852</v>
      </c>
      <c r="C1478" t="s">
        <v>7853</v>
      </c>
      <c r="D1478" t="s">
        <v>7854</v>
      </c>
      <c r="E1478" t="s">
        <v>7855</v>
      </c>
      <c r="F1478">
        <v>15548019</v>
      </c>
      <c r="G1478">
        <v>467871</v>
      </c>
      <c r="H1478">
        <v>106177</v>
      </c>
      <c r="I1478" t="s">
        <v>7850</v>
      </c>
      <c r="J1478">
        <v>2016</v>
      </c>
      <c r="K1478" t="s">
        <v>7847</v>
      </c>
      <c r="L1478" t="s">
        <v>7837</v>
      </c>
    </row>
    <row r="1479" spans="1:12">
      <c r="A1479" t="s">
        <v>7830</v>
      </c>
      <c r="B1479" t="s">
        <v>7852</v>
      </c>
      <c r="C1479" t="s">
        <v>7853</v>
      </c>
      <c r="D1479" t="s">
        <v>7854</v>
      </c>
      <c r="E1479" t="s">
        <v>7855</v>
      </c>
      <c r="F1479">
        <v>18772556</v>
      </c>
      <c r="G1479">
        <v>589206</v>
      </c>
      <c r="H1479">
        <v>155154</v>
      </c>
      <c r="I1479" t="s">
        <v>7850</v>
      </c>
      <c r="J1479">
        <v>2016</v>
      </c>
      <c r="K1479" t="s">
        <v>7848</v>
      </c>
      <c r="L1479" t="s">
        <v>7837</v>
      </c>
    </row>
    <row r="1480" spans="1:12">
      <c r="A1480" t="s">
        <v>7830</v>
      </c>
      <c r="B1480" t="s">
        <v>7852</v>
      </c>
      <c r="C1480" t="s">
        <v>7853</v>
      </c>
      <c r="D1480" t="s">
        <v>7854</v>
      </c>
      <c r="E1480" t="s">
        <v>7855</v>
      </c>
      <c r="F1480">
        <v>10271199</v>
      </c>
      <c r="G1480">
        <v>350742</v>
      </c>
      <c r="H1480">
        <v>188375</v>
      </c>
      <c r="I1480" t="s">
        <v>7850</v>
      </c>
      <c r="J1480">
        <v>2017</v>
      </c>
      <c r="K1480" t="s">
        <v>7836</v>
      </c>
      <c r="L1480" t="s">
        <v>7837</v>
      </c>
    </row>
    <row r="1481" spans="1:12">
      <c r="A1481" t="s">
        <v>7830</v>
      </c>
      <c r="B1481" t="s">
        <v>7852</v>
      </c>
      <c r="C1481" t="s">
        <v>7853</v>
      </c>
      <c r="D1481" t="s">
        <v>7854</v>
      </c>
      <c r="E1481" t="s">
        <v>7855</v>
      </c>
      <c r="F1481">
        <v>15124046</v>
      </c>
      <c r="G1481">
        <v>344323</v>
      </c>
      <c r="H1481">
        <v>86751</v>
      </c>
      <c r="I1481" t="s">
        <v>7850</v>
      </c>
      <c r="J1481">
        <v>2017</v>
      </c>
      <c r="K1481" t="s">
        <v>7838</v>
      </c>
      <c r="L1481" t="s">
        <v>7837</v>
      </c>
    </row>
    <row r="1482" spans="1:12">
      <c r="A1482" t="s">
        <v>7830</v>
      </c>
      <c r="B1482" t="s">
        <v>7852</v>
      </c>
      <c r="C1482" t="s">
        <v>7853</v>
      </c>
      <c r="D1482" t="s">
        <v>7854</v>
      </c>
      <c r="E1482" t="s">
        <v>7855</v>
      </c>
      <c r="F1482">
        <v>12268789</v>
      </c>
      <c r="G1482">
        <v>462433</v>
      </c>
      <c r="H1482">
        <v>67684</v>
      </c>
      <c r="I1482" t="s">
        <v>7850</v>
      </c>
      <c r="J1482">
        <v>2017</v>
      </c>
      <c r="K1482" t="s">
        <v>7839</v>
      </c>
      <c r="L1482" t="s">
        <v>7837</v>
      </c>
    </row>
    <row r="1483" spans="1:12">
      <c r="A1483" t="s">
        <v>7830</v>
      </c>
      <c r="B1483" t="s">
        <v>7852</v>
      </c>
      <c r="C1483" t="s">
        <v>7853</v>
      </c>
      <c r="D1483" t="s">
        <v>7854</v>
      </c>
      <c r="E1483" t="s">
        <v>7855</v>
      </c>
      <c r="F1483">
        <v>10640710</v>
      </c>
      <c r="G1483">
        <v>561220</v>
      </c>
      <c r="H1483">
        <v>82503</v>
      </c>
      <c r="I1483" t="s">
        <v>7850</v>
      </c>
      <c r="J1483">
        <v>2017</v>
      </c>
      <c r="K1483" t="s">
        <v>7840</v>
      </c>
      <c r="L1483" t="s">
        <v>7837</v>
      </c>
    </row>
    <row r="1484" spans="1:12">
      <c r="A1484" t="s">
        <v>7830</v>
      </c>
      <c r="B1484" t="s">
        <v>7852</v>
      </c>
      <c r="C1484" t="s">
        <v>7853</v>
      </c>
      <c r="D1484" t="s">
        <v>7854</v>
      </c>
      <c r="E1484" t="s">
        <v>7855</v>
      </c>
      <c r="F1484">
        <v>11169440</v>
      </c>
      <c r="G1484">
        <v>396617</v>
      </c>
      <c r="H1484">
        <v>92513</v>
      </c>
      <c r="I1484" t="s">
        <v>7850</v>
      </c>
      <c r="J1484">
        <v>2017</v>
      </c>
      <c r="K1484" t="s">
        <v>7841</v>
      </c>
      <c r="L1484" t="s">
        <v>7837</v>
      </c>
    </row>
    <row r="1485" spans="1:12">
      <c r="A1485" t="s">
        <v>7830</v>
      </c>
      <c r="B1485" t="s">
        <v>7852</v>
      </c>
      <c r="C1485" t="s">
        <v>7853</v>
      </c>
      <c r="D1485" t="s">
        <v>7854</v>
      </c>
      <c r="E1485" t="s">
        <v>7855</v>
      </c>
      <c r="F1485">
        <v>16947336</v>
      </c>
      <c r="G1485">
        <v>473443</v>
      </c>
      <c r="H1485">
        <v>96852</v>
      </c>
      <c r="I1485" t="s">
        <v>7850</v>
      </c>
      <c r="J1485">
        <v>2017</v>
      </c>
      <c r="K1485" t="s">
        <v>7842</v>
      </c>
      <c r="L1485" t="s">
        <v>7837</v>
      </c>
    </row>
    <row r="1486" spans="1:12">
      <c r="A1486" t="s">
        <v>7830</v>
      </c>
      <c r="B1486" t="s">
        <v>7852</v>
      </c>
      <c r="C1486" t="s">
        <v>7853</v>
      </c>
      <c r="D1486" t="s">
        <v>7854</v>
      </c>
      <c r="E1486" t="s">
        <v>7855</v>
      </c>
      <c r="F1486">
        <v>12357296</v>
      </c>
      <c r="G1486">
        <v>370593</v>
      </c>
      <c r="H1486">
        <v>78151</v>
      </c>
      <c r="I1486" t="s">
        <v>7850</v>
      </c>
      <c r="J1486">
        <v>2017</v>
      </c>
      <c r="K1486" t="s">
        <v>7843</v>
      </c>
      <c r="L1486" t="s">
        <v>7837</v>
      </c>
    </row>
    <row r="1487" spans="1:12">
      <c r="A1487" t="s">
        <v>7830</v>
      </c>
      <c r="B1487" t="s">
        <v>7852</v>
      </c>
      <c r="C1487" t="s">
        <v>7853</v>
      </c>
      <c r="D1487" t="s">
        <v>7854</v>
      </c>
      <c r="E1487" t="s">
        <v>7855</v>
      </c>
      <c r="F1487">
        <v>12352083</v>
      </c>
      <c r="G1487">
        <v>426838</v>
      </c>
      <c r="H1487">
        <v>95397</v>
      </c>
      <c r="I1487" t="s">
        <v>7850</v>
      </c>
      <c r="J1487">
        <v>2017</v>
      </c>
      <c r="K1487" t="s">
        <v>7844</v>
      </c>
      <c r="L1487" t="s">
        <v>7837</v>
      </c>
    </row>
    <row r="1488" spans="1:12">
      <c r="A1488" t="s">
        <v>7830</v>
      </c>
      <c r="B1488" t="s">
        <v>7852</v>
      </c>
      <c r="C1488" t="s">
        <v>7853</v>
      </c>
      <c r="D1488" t="s">
        <v>7854</v>
      </c>
      <c r="E1488" t="s">
        <v>7855</v>
      </c>
      <c r="F1488">
        <v>12615791</v>
      </c>
      <c r="G1488">
        <v>359102</v>
      </c>
      <c r="H1488">
        <v>80349</v>
      </c>
      <c r="I1488" t="s">
        <v>7850</v>
      </c>
      <c r="J1488">
        <v>2017</v>
      </c>
      <c r="K1488" t="s">
        <v>7845</v>
      </c>
      <c r="L1488" t="s">
        <v>7837</v>
      </c>
    </row>
    <row r="1489" spans="1:12">
      <c r="A1489" t="s">
        <v>7830</v>
      </c>
      <c r="B1489" t="s">
        <v>7852</v>
      </c>
      <c r="C1489" t="s">
        <v>7853</v>
      </c>
      <c r="D1489" t="s">
        <v>7854</v>
      </c>
      <c r="E1489" t="s">
        <v>7855</v>
      </c>
      <c r="F1489">
        <v>12910226</v>
      </c>
      <c r="G1489">
        <v>468904</v>
      </c>
      <c r="H1489">
        <v>78437</v>
      </c>
      <c r="I1489" t="s">
        <v>7850</v>
      </c>
      <c r="J1489">
        <v>2017</v>
      </c>
      <c r="K1489" t="s">
        <v>7846</v>
      </c>
      <c r="L1489" t="s">
        <v>7837</v>
      </c>
    </row>
    <row r="1490" spans="1:12">
      <c r="A1490" t="s">
        <v>7830</v>
      </c>
      <c r="B1490" t="s">
        <v>7852</v>
      </c>
      <c r="C1490" t="s">
        <v>7853</v>
      </c>
      <c r="D1490" t="s">
        <v>7854</v>
      </c>
      <c r="E1490" t="s">
        <v>7855</v>
      </c>
      <c r="F1490">
        <v>12245039</v>
      </c>
      <c r="G1490">
        <v>484618</v>
      </c>
      <c r="H1490">
        <v>93381</v>
      </c>
      <c r="I1490" t="s">
        <v>7850</v>
      </c>
      <c r="J1490">
        <v>2017</v>
      </c>
      <c r="K1490" t="s">
        <v>7847</v>
      </c>
      <c r="L1490" t="s">
        <v>7837</v>
      </c>
    </row>
    <row r="1491" spans="1:12">
      <c r="A1491" t="s">
        <v>7830</v>
      </c>
      <c r="B1491" t="s">
        <v>7852</v>
      </c>
      <c r="C1491" t="s">
        <v>7853</v>
      </c>
      <c r="D1491" t="s">
        <v>7854</v>
      </c>
      <c r="E1491" t="s">
        <v>7855</v>
      </c>
      <c r="F1491">
        <v>15247434</v>
      </c>
      <c r="G1491">
        <v>368553</v>
      </c>
      <c r="H1491">
        <v>133436</v>
      </c>
      <c r="I1491" t="s">
        <v>7850</v>
      </c>
      <c r="J1491">
        <v>2017</v>
      </c>
      <c r="K1491" t="s">
        <v>7848</v>
      </c>
      <c r="L1491" t="s">
        <v>7837</v>
      </c>
    </row>
    <row r="1492" spans="1:12">
      <c r="A1492" t="s">
        <v>7830</v>
      </c>
      <c r="B1492" t="s">
        <v>7852</v>
      </c>
      <c r="C1492" t="s">
        <v>7853</v>
      </c>
      <c r="D1492" t="s">
        <v>7854</v>
      </c>
      <c r="E1492" t="s">
        <v>7855</v>
      </c>
      <c r="F1492">
        <v>12234437</v>
      </c>
      <c r="G1492">
        <v>266580</v>
      </c>
      <c r="H1492">
        <v>63954</v>
      </c>
      <c r="I1492" t="s">
        <v>7850</v>
      </c>
      <c r="J1492">
        <v>2018</v>
      </c>
      <c r="K1492" t="s">
        <v>7836</v>
      </c>
      <c r="L1492" t="s">
        <v>7837</v>
      </c>
    </row>
    <row r="1493" spans="1:12">
      <c r="A1493" t="s">
        <v>7830</v>
      </c>
      <c r="B1493" t="s">
        <v>7852</v>
      </c>
      <c r="C1493" t="s">
        <v>7853</v>
      </c>
      <c r="D1493" t="s">
        <v>7854</v>
      </c>
      <c r="E1493" t="s">
        <v>7855</v>
      </c>
      <c r="F1493">
        <v>11615387</v>
      </c>
      <c r="G1493">
        <v>321854</v>
      </c>
      <c r="H1493">
        <v>80943</v>
      </c>
      <c r="I1493" t="s">
        <v>7850</v>
      </c>
      <c r="J1493">
        <v>2018</v>
      </c>
      <c r="K1493" t="s">
        <v>7838</v>
      </c>
      <c r="L1493" t="s">
        <v>7837</v>
      </c>
    </row>
    <row r="1494" spans="1:12">
      <c r="A1494" t="s">
        <v>7830</v>
      </c>
      <c r="B1494" t="s">
        <v>7852</v>
      </c>
      <c r="C1494" t="s">
        <v>7853</v>
      </c>
      <c r="D1494" t="s">
        <v>7854</v>
      </c>
      <c r="E1494" t="s">
        <v>7855</v>
      </c>
      <c r="F1494">
        <v>9535244</v>
      </c>
      <c r="G1494">
        <v>539253</v>
      </c>
      <c r="H1494">
        <v>92649</v>
      </c>
      <c r="I1494" t="s">
        <v>7850</v>
      </c>
      <c r="J1494">
        <v>2018</v>
      </c>
      <c r="K1494" t="s">
        <v>7839</v>
      </c>
      <c r="L1494" t="s">
        <v>7837</v>
      </c>
    </row>
    <row r="1495" spans="1:12">
      <c r="A1495" t="s">
        <v>7830</v>
      </c>
      <c r="B1495" t="s">
        <v>7852</v>
      </c>
      <c r="C1495" t="s">
        <v>7853</v>
      </c>
      <c r="D1495" t="s">
        <v>7854</v>
      </c>
      <c r="E1495" t="s">
        <v>7855</v>
      </c>
      <c r="F1495">
        <v>9135147</v>
      </c>
      <c r="G1495">
        <v>401042</v>
      </c>
      <c r="H1495">
        <v>294580</v>
      </c>
      <c r="I1495" t="s">
        <v>7850</v>
      </c>
      <c r="J1495">
        <v>2018</v>
      </c>
      <c r="K1495" t="s">
        <v>7840</v>
      </c>
      <c r="L1495" t="s">
        <v>7837</v>
      </c>
    </row>
    <row r="1496" spans="1:12">
      <c r="A1496" t="s">
        <v>7830</v>
      </c>
      <c r="B1496" t="s">
        <v>7852</v>
      </c>
      <c r="C1496" t="s">
        <v>7853</v>
      </c>
      <c r="D1496" t="s">
        <v>7854</v>
      </c>
      <c r="E1496" t="s">
        <v>7855</v>
      </c>
      <c r="F1496">
        <v>12800060</v>
      </c>
      <c r="G1496">
        <v>497880</v>
      </c>
      <c r="H1496">
        <v>113038</v>
      </c>
      <c r="I1496" t="s">
        <v>7850</v>
      </c>
      <c r="J1496">
        <v>2018</v>
      </c>
      <c r="K1496" t="s">
        <v>7841</v>
      </c>
      <c r="L1496" t="s">
        <v>7837</v>
      </c>
    </row>
    <row r="1497" spans="1:12">
      <c r="A1497" t="s">
        <v>7830</v>
      </c>
      <c r="B1497" t="s">
        <v>7852</v>
      </c>
      <c r="C1497" t="s">
        <v>7853</v>
      </c>
      <c r="D1497" t="s">
        <v>7854</v>
      </c>
      <c r="E1497" t="s">
        <v>7855</v>
      </c>
      <c r="F1497">
        <v>15718777</v>
      </c>
      <c r="G1497">
        <v>363214</v>
      </c>
      <c r="H1497">
        <v>89657</v>
      </c>
      <c r="I1497" t="s">
        <v>7850</v>
      </c>
      <c r="J1497">
        <v>2018</v>
      </c>
      <c r="K1497" t="s">
        <v>7842</v>
      </c>
      <c r="L1497" t="s">
        <v>7837</v>
      </c>
    </row>
    <row r="1498" spans="1:12">
      <c r="A1498" t="s">
        <v>7830</v>
      </c>
      <c r="B1498" t="s">
        <v>7852</v>
      </c>
      <c r="C1498" t="s">
        <v>7853</v>
      </c>
      <c r="D1498" t="s">
        <v>7854</v>
      </c>
      <c r="E1498" t="s">
        <v>7855</v>
      </c>
      <c r="F1498">
        <v>18077743</v>
      </c>
      <c r="G1498">
        <v>407948</v>
      </c>
      <c r="H1498">
        <v>111368</v>
      </c>
      <c r="I1498" t="s">
        <v>7850</v>
      </c>
      <c r="J1498">
        <v>2018</v>
      </c>
      <c r="K1498" t="s">
        <v>7843</v>
      </c>
      <c r="L1498" t="s">
        <v>7837</v>
      </c>
    </row>
    <row r="1499" spans="1:12">
      <c r="A1499" t="s">
        <v>7830</v>
      </c>
      <c r="B1499" t="s">
        <v>7852</v>
      </c>
      <c r="C1499" t="s">
        <v>7853</v>
      </c>
      <c r="D1499" t="s">
        <v>7854</v>
      </c>
      <c r="E1499" t="s">
        <v>7855</v>
      </c>
      <c r="F1499">
        <v>10949402</v>
      </c>
      <c r="G1499">
        <v>356600</v>
      </c>
      <c r="H1499">
        <v>139331</v>
      </c>
      <c r="I1499" t="s">
        <v>7850</v>
      </c>
      <c r="J1499">
        <v>2018</v>
      </c>
      <c r="K1499" t="s">
        <v>7844</v>
      </c>
      <c r="L1499" t="s">
        <v>7837</v>
      </c>
    </row>
    <row r="1500" spans="1:12">
      <c r="A1500" t="s">
        <v>7830</v>
      </c>
      <c r="B1500" t="s">
        <v>7852</v>
      </c>
      <c r="C1500" t="s">
        <v>7853</v>
      </c>
      <c r="D1500" t="s">
        <v>7854</v>
      </c>
      <c r="E1500" t="s">
        <v>7855</v>
      </c>
      <c r="F1500">
        <v>15124538</v>
      </c>
      <c r="G1500">
        <v>578310</v>
      </c>
      <c r="H1500">
        <v>150197</v>
      </c>
      <c r="I1500" t="s">
        <v>7850</v>
      </c>
      <c r="J1500">
        <v>2018</v>
      </c>
      <c r="K1500" t="s">
        <v>7845</v>
      </c>
      <c r="L1500" t="s">
        <v>7837</v>
      </c>
    </row>
    <row r="1501" spans="1:12">
      <c r="A1501" t="s">
        <v>7830</v>
      </c>
      <c r="B1501" t="s">
        <v>7852</v>
      </c>
      <c r="C1501" t="s">
        <v>7853</v>
      </c>
      <c r="D1501" t="s">
        <v>7854</v>
      </c>
      <c r="E1501" t="s">
        <v>7855</v>
      </c>
      <c r="F1501">
        <v>14871725</v>
      </c>
      <c r="G1501">
        <v>480264</v>
      </c>
      <c r="H1501">
        <v>96872</v>
      </c>
      <c r="I1501" t="s">
        <v>7850</v>
      </c>
      <c r="J1501">
        <v>2018</v>
      </c>
      <c r="K1501" t="s">
        <v>7846</v>
      </c>
      <c r="L1501" t="s">
        <v>7837</v>
      </c>
    </row>
    <row r="1502" spans="1:12">
      <c r="A1502" t="s">
        <v>7830</v>
      </c>
      <c r="B1502" t="s">
        <v>7852</v>
      </c>
      <c r="C1502" t="s">
        <v>7853</v>
      </c>
      <c r="D1502" t="s">
        <v>7854</v>
      </c>
      <c r="E1502" t="s">
        <v>7855</v>
      </c>
      <c r="F1502">
        <v>17173734</v>
      </c>
      <c r="G1502">
        <v>495603</v>
      </c>
      <c r="H1502">
        <v>97042</v>
      </c>
      <c r="I1502" t="s">
        <v>7850</v>
      </c>
      <c r="J1502">
        <v>2018</v>
      </c>
      <c r="K1502" t="s">
        <v>7847</v>
      </c>
      <c r="L1502" t="s">
        <v>7837</v>
      </c>
    </row>
    <row r="1503" spans="1:12">
      <c r="A1503" t="s">
        <v>7830</v>
      </c>
      <c r="B1503" t="s">
        <v>7852</v>
      </c>
      <c r="C1503" t="s">
        <v>7853</v>
      </c>
      <c r="D1503" t="s">
        <v>7854</v>
      </c>
      <c r="E1503" t="s">
        <v>7855</v>
      </c>
      <c r="F1503">
        <v>17774108</v>
      </c>
      <c r="G1503">
        <v>471075</v>
      </c>
      <c r="H1503">
        <v>106889</v>
      </c>
      <c r="I1503" t="s">
        <v>7850</v>
      </c>
      <c r="J1503">
        <v>2018</v>
      </c>
      <c r="K1503" t="s">
        <v>7848</v>
      </c>
      <c r="L1503" t="s">
        <v>7837</v>
      </c>
    </row>
    <row r="1504" spans="1:12">
      <c r="A1504" t="s">
        <v>7830</v>
      </c>
      <c r="B1504" t="s">
        <v>7852</v>
      </c>
      <c r="C1504" t="s">
        <v>7853</v>
      </c>
      <c r="D1504" t="s">
        <v>7854</v>
      </c>
      <c r="E1504" t="s">
        <v>7855</v>
      </c>
      <c r="F1504">
        <v>12243128</v>
      </c>
      <c r="G1504">
        <v>345286</v>
      </c>
      <c r="H1504">
        <v>95600</v>
      </c>
      <c r="I1504" t="s">
        <v>7850</v>
      </c>
      <c r="J1504">
        <v>2019</v>
      </c>
      <c r="K1504" t="s">
        <v>7836</v>
      </c>
      <c r="L1504" t="s">
        <v>7837</v>
      </c>
    </row>
    <row r="1505" spans="1:12">
      <c r="A1505" t="s">
        <v>7830</v>
      </c>
      <c r="B1505" t="s">
        <v>7852</v>
      </c>
      <c r="C1505" t="s">
        <v>7853</v>
      </c>
      <c r="D1505" t="s">
        <v>7854</v>
      </c>
      <c r="E1505" t="s">
        <v>7855</v>
      </c>
      <c r="F1505">
        <v>10671191</v>
      </c>
      <c r="G1505">
        <v>365389</v>
      </c>
      <c r="H1505">
        <v>95268</v>
      </c>
      <c r="I1505" t="s">
        <v>7850</v>
      </c>
      <c r="J1505">
        <v>2019</v>
      </c>
      <c r="K1505" t="s">
        <v>7838</v>
      </c>
      <c r="L1505" t="s">
        <v>7837</v>
      </c>
    </row>
    <row r="1506" spans="1:12">
      <c r="A1506" t="s">
        <v>7830</v>
      </c>
      <c r="B1506" t="s">
        <v>7852</v>
      </c>
      <c r="C1506" t="s">
        <v>7853</v>
      </c>
      <c r="D1506" t="s">
        <v>7854</v>
      </c>
      <c r="E1506" t="s">
        <v>7855</v>
      </c>
      <c r="F1506">
        <v>18438905</v>
      </c>
      <c r="G1506">
        <v>445682</v>
      </c>
      <c r="H1506">
        <v>122545</v>
      </c>
      <c r="I1506" t="s">
        <v>7850</v>
      </c>
      <c r="J1506">
        <v>2019</v>
      </c>
      <c r="K1506" t="s">
        <v>7839</v>
      </c>
      <c r="L1506" t="s">
        <v>7837</v>
      </c>
    </row>
    <row r="1507" spans="1:12">
      <c r="A1507" t="s">
        <v>7830</v>
      </c>
      <c r="B1507" t="s">
        <v>7852</v>
      </c>
      <c r="C1507" t="s">
        <v>7853</v>
      </c>
      <c r="D1507" t="s">
        <v>7854</v>
      </c>
      <c r="E1507" t="s">
        <v>7855</v>
      </c>
      <c r="F1507">
        <v>12865380</v>
      </c>
      <c r="G1507">
        <v>539963</v>
      </c>
      <c r="H1507">
        <v>120990</v>
      </c>
      <c r="I1507" t="s">
        <v>7850</v>
      </c>
      <c r="J1507">
        <v>2019</v>
      </c>
      <c r="K1507" t="s">
        <v>7840</v>
      </c>
      <c r="L1507" t="s">
        <v>7837</v>
      </c>
    </row>
    <row r="1508" spans="1:12">
      <c r="A1508" t="s">
        <v>7830</v>
      </c>
      <c r="B1508" t="s">
        <v>7852</v>
      </c>
      <c r="C1508" t="s">
        <v>7853</v>
      </c>
      <c r="D1508" t="s">
        <v>7854</v>
      </c>
      <c r="E1508" t="s">
        <v>7855</v>
      </c>
      <c r="F1508">
        <v>14768163</v>
      </c>
      <c r="G1508">
        <v>435991</v>
      </c>
      <c r="H1508">
        <v>202513</v>
      </c>
      <c r="I1508" t="s">
        <v>7850</v>
      </c>
      <c r="J1508">
        <v>2019</v>
      </c>
      <c r="K1508" t="s">
        <v>7841</v>
      </c>
      <c r="L1508" t="s">
        <v>7837</v>
      </c>
    </row>
    <row r="1509" spans="1:12">
      <c r="A1509" t="s">
        <v>7830</v>
      </c>
      <c r="B1509" t="s">
        <v>7852</v>
      </c>
      <c r="C1509" t="s">
        <v>7853</v>
      </c>
      <c r="D1509" t="s">
        <v>7854</v>
      </c>
      <c r="E1509" t="s">
        <v>7855</v>
      </c>
      <c r="F1509">
        <v>14187255</v>
      </c>
      <c r="G1509">
        <v>394717</v>
      </c>
      <c r="H1509">
        <v>88636</v>
      </c>
      <c r="I1509" t="s">
        <v>7850</v>
      </c>
      <c r="J1509">
        <v>2019</v>
      </c>
      <c r="K1509" t="s">
        <v>7842</v>
      </c>
      <c r="L1509" t="s">
        <v>7837</v>
      </c>
    </row>
    <row r="1510" spans="1:12">
      <c r="A1510" t="s">
        <v>7830</v>
      </c>
      <c r="B1510" t="s">
        <v>7852</v>
      </c>
      <c r="C1510" t="s">
        <v>7853</v>
      </c>
      <c r="D1510" t="s">
        <v>7854</v>
      </c>
      <c r="E1510" t="s">
        <v>7855</v>
      </c>
      <c r="F1510">
        <v>17948611</v>
      </c>
      <c r="G1510">
        <v>541051</v>
      </c>
      <c r="H1510">
        <v>112821</v>
      </c>
      <c r="I1510" t="s">
        <v>7850</v>
      </c>
      <c r="J1510">
        <v>2019</v>
      </c>
      <c r="K1510" t="s">
        <v>7843</v>
      </c>
      <c r="L1510" t="s">
        <v>7837</v>
      </c>
    </row>
    <row r="1511" spans="1:12">
      <c r="A1511" t="s">
        <v>7830</v>
      </c>
      <c r="B1511" t="s">
        <v>7852</v>
      </c>
      <c r="C1511" t="s">
        <v>7853</v>
      </c>
      <c r="D1511" t="s">
        <v>7854</v>
      </c>
      <c r="E1511" t="s">
        <v>7855</v>
      </c>
      <c r="F1511">
        <v>15171103</v>
      </c>
      <c r="G1511">
        <v>494979</v>
      </c>
      <c r="H1511">
        <v>112620</v>
      </c>
      <c r="I1511" t="s">
        <v>7850</v>
      </c>
      <c r="J1511">
        <v>2019</v>
      </c>
      <c r="K1511" t="s">
        <v>7844</v>
      </c>
      <c r="L1511" t="s">
        <v>7837</v>
      </c>
    </row>
    <row r="1512" spans="1:12">
      <c r="A1512" t="s">
        <v>7830</v>
      </c>
      <c r="B1512" t="s">
        <v>7852</v>
      </c>
      <c r="C1512" t="s">
        <v>7853</v>
      </c>
      <c r="D1512" t="s">
        <v>7854</v>
      </c>
      <c r="E1512" t="s">
        <v>7855</v>
      </c>
      <c r="F1512">
        <v>18372703</v>
      </c>
      <c r="G1512">
        <v>470456</v>
      </c>
      <c r="H1512">
        <v>111945</v>
      </c>
      <c r="I1512" t="s">
        <v>7850</v>
      </c>
      <c r="J1512">
        <v>2019</v>
      </c>
      <c r="K1512" t="s">
        <v>7845</v>
      </c>
      <c r="L1512" t="s">
        <v>7837</v>
      </c>
    </row>
    <row r="1513" spans="1:12">
      <c r="A1513" t="s">
        <v>7830</v>
      </c>
      <c r="B1513" t="s">
        <v>7852</v>
      </c>
      <c r="C1513" t="s">
        <v>7853</v>
      </c>
      <c r="D1513" t="s">
        <v>7854</v>
      </c>
      <c r="E1513" t="s">
        <v>7855</v>
      </c>
      <c r="F1513">
        <v>17486847</v>
      </c>
      <c r="G1513">
        <v>653736</v>
      </c>
      <c r="H1513">
        <v>111981</v>
      </c>
      <c r="I1513" t="s">
        <v>7850</v>
      </c>
      <c r="J1513">
        <v>2019</v>
      </c>
      <c r="K1513" t="s">
        <v>7846</v>
      </c>
      <c r="L1513" t="s">
        <v>7837</v>
      </c>
    </row>
    <row r="1514" spans="1:12">
      <c r="A1514" t="s">
        <v>7830</v>
      </c>
      <c r="B1514" t="s">
        <v>7852</v>
      </c>
      <c r="C1514" t="s">
        <v>7853</v>
      </c>
      <c r="D1514" t="s">
        <v>7854</v>
      </c>
      <c r="E1514" t="s">
        <v>7855</v>
      </c>
      <c r="F1514">
        <v>16876025</v>
      </c>
      <c r="G1514">
        <v>608505</v>
      </c>
      <c r="H1514">
        <v>115149</v>
      </c>
      <c r="I1514" t="s">
        <v>7850</v>
      </c>
      <c r="J1514">
        <v>2019</v>
      </c>
      <c r="K1514" t="s">
        <v>7847</v>
      </c>
      <c r="L1514" t="s">
        <v>7837</v>
      </c>
    </row>
    <row r="1515" spans="1:12">
      <c r="A1515" t="s">
        <v>7830</v>
      </c>
      <c r="B1515" t="s">
        <v>7852</v>
      </c>
      <c r="C1515" t="s">
        <v>7853</v>
      </c>
      <c r="D1515" t="s">
        <v>7854</v>
      </c>
      <c r="E1515" t="s">
        <v>7855</v>
      </c>
      <c r="F1515">
        <v>17527292</v>
      </c>
      <c r="G1515">
        <v>580085</v>
      </c>
      <c r="H1515">
        <v>134319</v>
      </c>
      <c r="I1515" t="s">
        <v>7850</v>
      </c>
      <c r="J1515">
        <v>2019</v>
      </c>
      <c r="K1515" t="s">
        <v>7848</v>
      </c>
      <c r="L1515" t="s">
        <v>7837</v>
      </c>
    </row>
    <row r="1516" spans="1:12">
      <c r="A1516" t="s">
        <v>7830</v>
      </c>
      <c r="B1516" t="s">
        <v>7852</v>
      </c>
      <c r="C1516" t="s">
        <v>7853</v>
      </c>
      <c r="D1516" t="s">
        <v>7854</v>
      </c>
      <c r="E1516" t="s">
        <v>7855</v>
      </c>
      <c r="F1516">
        <v>13736678</v>
      </c>
      <c r="G1516">
        <v>551069</v>
      </c>
      <c r="H1516">
        <v>113069</v>
      </c>
      <c r="I1516" t="s">
        <v>7850</v>
      </c>
      <c r="J1516">
        <v>2020</v>
      </c>
      <c r="K1516" t="s">
        <v>7836</v>
      </c>
      <c r="L1516" t="s">
        <v>7837</v>
      </c>
    </row>
    <row r="1517" spans="1:12">
      <c r="A1517" t="s">
        <v>7830</v>
      </c>
      <c r="B1517" t="s">
        <v>7852</v>
      </c>
      <c r="C1517" t="s">
        <v>7853</v>
      </c>
      <c r="D1517" t="s">
        <v>7854</v>
      </c>
      <c r="E1517" t="s">
        <v>7855</v>
      </c>
      <c r="F1517">
        <v>15175578</v>
      </c>
      <c r="G1517">
        <v>512720</v>
      </c>
      <c r="H1517">
        <v>140989</v>
      </c>
      <c r="I1517" t="s">
        <v>7850</v>
      </c>
      <c r="J1517">
        <v>2020</v>
      </c>
      <c r="K1517" t="s">
        <v>7838</v>
      </c>
      <c r="L1517" t="s">
        <v>7837</v>
      </c>
    </row>
    <row r="1518" spans="1:12">
      <c r="A1518" t="s">
        <v>7830</v>
      </c>
      <c r="B1518" t="s">
        <v>7852</v>
      </c>
      <c r="C1518" t="s">
        <v>7853</v>
      </c>
      <c r="D1518" t="s">
        <v>7854</v>
      </c>
      <c r="E1518" t="s">
        <v>7855</v>
      </c>
      <c r="F1518">
        <v>16853242</v>
      </c>
      <c r="G1518">
        <v>554131</v>
      </c>
      <c r="H1518">
        <v>135174</v>
      </c>
      <c r="I1518" t="s">
        <v>7850</v>
      </c>
      <c r="J1518">
        <v>2020</v>
      </c>
      <c r="K1518" t="s">
        <v>7839</v>
      </c>
      <c r="L1518" t="s">
        <v>7837</v>
      </c>
    </row>
    <row r="1519" spans="1:12">
      <c r="A1519" t="s">
        <v>7830</v>
      </c>
      <c r="B1519" t="s">
        <v>7852</v>
      </c>
      <c r="C1519" t="s">
        <v>7853</v>
      </c>
      <c r="D1519" t="s">
        <v>7854</v>
      </c>
      <c r="E1519" t="s">
        <v>7855</v>
      </c>
      <c r="F1519">
        <v>15699836</v>
      </c>
      <c r="G1519">
        <v>213598</v>
      </c>
      <c r="H1519">
        <v>75519</v>
      </c>
      <c r="I1519" t="s">
        <v>7850</v>
      </c>
      <c r="J1519">
        <v>2020</v>
      </c>
      <c r="K1519" t="s">
        <v>7840</v>
      </c>
      <c r="L1519" t="s">
        <v>7837</v>
      </c>
    </row>
    <row r="1520" spans="1:12">
      <c r="A1520" t="s">
        <v>7830</v>
      </c>
      <c r="B1520" t="s">
        <v>7852</v>
      </c>
      <c r="C1520" t="s">
        <v>7853</v>
      </c>
      <c r="D1520" t="s">
        <v>7854</v>
      </c>
      <c r="E1520" t="s">
        <v>7855</v>
      </c>
      <c r="F1520">
        <v>14731823</v>
      </c>
      <c r="G1520">
        <v>245276</v>
      </c>
      <c r="H1520">
        <v>96531</v>
      </c>
      <c r="I1520" t="s">
        <v>7850</v>
      </c>
      <c r="J1520">
        <v>2020</v>
      </c>
      <c r="K1520" t="s">
        <v>7841</v>
      </c>
      <c r="L1520" t="s">
        <v>7837</v>
      </c>
    </row>
    <row r="1521" spans="1:12">
      <c r="A1521" t="s">
        <v>7830</v>
      </c>
      <c r="B1521" t="s">
        <v>7852</v>
      </c>
      <c r="C1521" t="s">
        <v>7853</v>
      </c>
      <c r="D1521" t="s">
        <v>7854</v>
      </c>
      <c r="E1521" t="s">
        <v>7855</v>
      </c>
      <c r="F1521">
        <v>15566230</v>
      </c>
      <c r="G1521">
        <v>432573</v>
      </c>
      <c r="H1521">
        <v>76228</v>
      </c>
      <c r="I1521" t="s">
        <v>7850</v>
      </c>
      <c r="J1521">
        <v>2020</v>
      </c>
      <c r="K1521" t="s">
        <v>7842</v>
      </c>
      <c r="L1521" t="s">
        <v>7837</v>
      </c>
    </row>
    <row r="1522" spans="1:12">
      <c r="A1522" t="s">
        <v>7830</v>
      </c>
      <c r="B1522" t="s">
        <v>7852</v>
      </c>
      <c r="C1522" t="s">
        <v>7853</v>
      </c>
      <c r="D1522" t="s">
        <v>7854</v>
      </c>
      <c r="E1522" t="s">
        <v>7855</v>
      </c>
      <c r="F1522">
        <v>16454224</v>
      </c>
      <c r="G1522">
        <v>387653</v>
      </c>
      <c r="H1522">
        <v>82646</v>
      </c>
      <c r="I1522" t="s">
        <v>7850</v>
      </c>
      <c r="J1522">
        <v>2020</v>
      </c>
      <c r="K1522" t="s">
        <v>7843</v>
      </c>
      <c r="L1522" t="s">
        <v>7837</v>
      </c>
    </row>
    <row r="1523" spans="1:12">
      <c r="A1523" t="s">
        <v>7830</v>
      </c>
      <c r="B1523" t="s">
        <v>7852</v>
      </c>
      <c r="C1523" t="s">
        <v>7853</v>
      </c>
      <c r="D1523" t="s">
        <v>7854</v>
      </c>
      <c r="E1523" t="s">
        <v>7855</v>
      </c>
      <c r="F1523">
        <v>18600836</v>
      </c>
      <c r="G1523">
        <v>417340</v>
      </c>
      <c r="H1523">
        <v>107334</v>
      </c>
      <c r="I1523" t="s">
        <v>7850</v>
      </c>
      <c r="J1523">
        <v>2020</v>
      </c>
      <c r="K1523" t="s">
        <v>7844</v>
      </c>
      <c r="L1523" t="s">
        <v>7837</v>
      </c>
    </row>
    <row r="1524" spans="1:12">
      <c r="A1524" t="s">
        <v>7830</v>
      </c>
      <c r="B1524" t="s">
        <v>7852</v>
      </c>
      <c r="C1524" t="s">
        <v>7853</v>
      </c>
      <c r="D1524" t="s">
        <v>7854</v>
      </c>
      <c r="E1524" t="s">
        <v>7855</v>
      </c>
      <c r="F1524">
        <v>13558143</v>
      </c>
      <c r="G1524">
        <v>332901</v>
      </c>
      <c r="H1524">
        <v>102871</v>
      </c>
      <c r="I1524" t="s">
        <v>7850</v>
      </c>
      <c r="J1524">
        <v>2020</v>
      </c>
      <c r="K1524" t="s">
        <v>7845</v>
      </c>
      <c r="L1524" t="s">
        <v>7837</v>
      </c>
    </row>
    <row r="1525" spans="1:12">
      <c r="A1525" t="s">
        <v>7830</v>
      </c>
      <c r="B1525" t="s">
        <v>7852</v>
      </c>
      <c r="C1525" t="s">
        <v>7853</v>
      </c>
      <c r="D1525" t="s">
        <v>7854</v>
      </c>
      <c r="E1525" t="s">
        <v>7855</v>
      </c>
      <c r="F1525">
        <v>15856615</v>
      </c>
      <c r="G1525">
        <v>383615</v>
      </c>
      <c r="H1525">
        <v>102635</v>
      </c>
      <c r="I1525" t="s">
        <v>7850</v>
      </c>
      <c r="J1525">
        <v>2020</v>
      </c>
      <c r="K1525" t="s">
        <v>7846</v>
      </c>
      <c r="L1525" t="s">
        <v>7837</v>
      </c>
    </row>
    <row r="1526" spans="1:12">
      <c r="A1526" t="s">
        <v>7830</v>
      </c>
      <c r="B1526" t="s">
        <v>7852</v>
      </c>
      <c r="C1526" t="s">
        <v>7853</v>
      </c>
      <c r="D1526" t="s">
        <v>7854</v>
      </c>
      <c r="E1526" t="s">
        <v>7855</v>
      </c>
      <c r="F1526">
        <v>16880112</v>
      </c>
      <c r="G1526">
        <v>368618</v>
      </c>
      <c r="H1526">
        <v>160982</v>
      </c>
      <c r="I1526" t="s">
        <v>7850</v>
      </c>
      <c r="J1526">
        <v>2020</v>
      </c>
      <c r="K1526" t="s">
        <v>7847</v>
      </c>
      <c r="L1526" t="s">
        <v>7837</v>
      </c>
    </row>
    <row r="1527" spans="1:12">
      <c r="A1527" t="s">
        <v>7830</v>
      </c>
      <c r="B1527" t="s">
        <v>7852</v>
      </c>
      <c r="C1527" t="s">
        <v>7853</v>
      </c>
      <c r="D1527" t="s">
        <v>7854</v>
      </c>
      <c r="E1527" t="s">
        <v>7855</v>
      </c>
      <c r="F1527">
        <v>14256232</v>
      </c>
      <c r="G1527">
        <v>387330</v>
      </c>
      <c r="H1527">
        <v>76193</v>
      </c>
      <c r="I1527" t="s">
        <v>7850</v>
      </c>
      <c r="J1527">
        <v>2020</v>
      </c>
      <c r="K1527" t="s">
        <v>7848</v>
      </c>
      <c r="L1527" t="s">
        <v>7837</v>
      </c>
    </row>
    <row r="1528" spans="1:12">
      <c r="A1528" t="s">
        <v>7830</v>
      </c>
      <c r="B1528" t="s">
        <v>7852</v>
      </c>
      <c r="C1528" t="s">
        <v>7853</v>
      </c>
      <c r="D1528" t="s">
        <v>7854</v>
      </c>
      <c r="E1528" t="s">
        <v>7855</v>
      </c>
      <c r="F1528">
        <v>10990625</v>
      </c>
      <c r="G1528">
        <v>329467</v>
      </c>
      <c r="H1528">
        <v>79057</v>
      </c>
      <c r="I1528" t="s">
        <v>7850</v>
      </c>
      <c r="J1528">
        <v>2021</v>
      </c>
      <c r="K1528" t="s">
        <v>7836</v>
      </c>
      <c r="L1528" t="s">
        <v>7837</v>
      </c>
    </row>
    <row r="1529" spans="1:12">
      <c r="A1529" t="s">
        <v>7830</v>
      </c>
      <c r="B1529" t="s">
        <v>7852</v>
      </c>
      <c r="C1529" t="s">
        <v>7853</v>
      </c>
      <c r="D1529" t="s">
        <v>7854</v>
      </c>
      <c r="E1529" t="s">
        <v>7855</v>
      </c>
      <c r="F1529">
        <v>11035117</v>
      </c>
      <c r="G1529">
        <v>448001</v>
      </c>
      <c r="H1529">
        <v>75607</v>
      </c>
      <c r="I1529" t="s">
        <v>7850</v>
      </c>
      <c r="J1529">
        <v>2021</v>
      </c>
      <c r="K1529" t="s">
        <v>7838</v>
      </c>
      <c r="L1529" t="s">
        <v>7837</v>
      </c>
    </row>
    <row r="1530" spans="1:12">
      <c r="A1530" t="s">
        <v>7830</v>
      </c>
      <c r="B1530" t="s">
        <v>7852</v>
      </c>
      <c r="C1530" t="s">
        <v>7853</v>
      </c>
      <c r="D1530" t="s">
        <v>7854</v>
      </c>
      <c r="E1530" t="s">
        <v>7855</v>
      </c>
      <c r="F1530">
        <v>14597819</v>
      </c>
      <c r="G1530">
        <v>423103</v>
      </c>
      <c r="H1530">
        <v>73858</v>
      </c>
      <c r="I1530" t="s">
        <v>7850</v>
      </c>
      <c r="J1530">
        <v>2021</v>
      </c>
      <c r="K1530" t="s">
        <v>7839</v>
      </c>
      <c r="L1530" t="s">
        <v>7837</v>
      </c>
    </row>
    <row r="1531" spans="1:12">
      <c r="A1531" t="s">
        <v>7830</v>
      </c>
      <c r="B1531" t="s">
        <v>7852</v>
      </c>
      <c r="C1531" t="s">
        <v>7853</v>
      </c>
      <c r="D1531" t="s">
        <v>7854</v>
      </c>
      <c r="E1531" t="s">
        <v>7855</v>
      </c>
      <c r="F1531">
        <v>13368750</v>
      </c>
      <c r="G1531">
        <v>517268</v>
      </c>
      <c r="H1531">
        <v>82895</v>
      </c>
      <c r="I1531" t="s">
        <v>7850</v>
      </c>
      <c r="J1531">
        <v>2021</v>
      </c>
      <c r="K1531" t="s">
        <v>7840</v>
      </c>
      <c r="L1531" t="s">
        <v>7837</v>
      </c>
    </row>
    <row r="1532" spans="1:12">
      <c r="A1532" t="s">
        <v>7830</v>
      </c>
      <c r="B1532" t="s">
        <v>7852</v>
      </c>
      <c r="C1532" t="s">
        <v>7853</v>
      </c>
      <c r="D1532" t="s">
        <v>7854</v>
      </c>
      <c r="E1532" t="s">
        <v>7855</v>
      </c>
      <c r="F1532">
        <v>14420095</v>
      </c>
      <c r="G1532">
        <v>458380</v>
      </c>
      <c r="H1532">
        <v>91805</v>
      </c>
      <c r="I1532" t="s">
        <v>7850</v>
      </c>
      <c r="J1532">
        <v>2021</v>
      </c>
      <c r="K1532" t="s">
        <v>7841</v>
      </c>
      <c r="L1532" t="s">
        <v>7837</v>
      </c>
    </row>
    <row r="1533" spans="1:12">
      <c r="A1533" t="s">
        <v>7830</v>
      </c>
      <c r="B1533" t="s">
        <v>7852</v>
      </c>
      <c r="C1533" t="s">
        <v>7853</v>
      </c>
      <c r="D1533" t="s">
        <v>7854</v>
      </c>
      <c r="E1533" t="s">
        <v>7855</v>
      </c>
      <c r="F1533">
        <v>14289168</v>
      </c>
      <c r="G1533">
        <v>561338</v>
      </c>
      <c r="H1533">
        <v>114646</v>
      </c>
      <c r="I1533" t="s">
        <v>7850</v>
      </c>
      <c r="J1533">
        <v>2021</v>
      </c>
      <c r="K1533" t="s">
        <v>7842</v>
      </c>
      <c r="L1533" t="s">
        <v>7837</v>
      </c>
    </row>
    <row r="1534" spans="1:12">
      <c r="A1534" t="s">
        <v>7830</v>
      </c>
      <c r="B1534" t="s">
        <v>7852</v>
      </c>
      <c r="C1534" t="s">
        <v>7853</v>
      </c>
      <c r="D1534" t="s">
        <v>7854</v>
      </c>
      <c r="E1534" t="s">
        <v>7855</v>
      </c>
      <c r="F1534">
        <v>16597858</v>
      </c>
      <c r="G1534">
        <v>465578</v>
      </c>
      <c r="H1534">
        <v>105389</v>
      </c>
      <c r="I1534" t="s">
        <v>7850</v>
      </c>
      <c r="J1534">
        <v>2021</v>
      </c>
      <c r="K1534" t="s">
        <v>7843</v>
      </c>
      <c r="L1534" t="s">
        <v>7837</v>
      </c>
    </row>
    <row r="1535" spans="1:12">
      <c r="A1535" t="s">
        <v>7830</v>
      </c>
      <c r="B1535" t="s">
        <v>7852</v>
      </c>
      <c r="C1535" t="s">
        <v>7853</v>
      </c>
      <c r="D1535" t="s">
        <v>7854</v>
      </c>
      <c r="E1535" t="s">
        <v>7855</v>
      </c>
      <c r="F1535">
        <v>13084927</v>
      </c>
      <c r="G1535">
        <v>433085</v>
      </c>
      <c r="H1535">
        <v>215416</v>
      </c>
      <c r="I1535" t="s">
        <v>7850</v>
      </c>
      <c r="J1535">
        <v>2021</v>
      </c>
      <c r="K1535" t="s">
        <v>7844</v>
      </c>
      <c r="L1535" t="s">
        <v>7837</v>
      </c>
    </row>
    <row r="1536" spans="1:12">
      <c r="A1536" t="s">
        <v>7830</v>
      </c>
      <c r="B1536" t="s">
        <v>7852</v>
      </c>
      <c r="C1536" t="s">
        <v>7853</v>
      </c>
      <c r="D1536" t="s">
        <v>7854</v>
      </c>
      <c r="E1536" t="s">
        <v>7855</v>
      </c>
      <c r="F1536">
        <v>15483044</v>
      </c>
      <c r="G1536">
        <v>707780</v>
      </c>
      <c r="H1536">
        <v>115699</v>
      </c>
      <c r="I1536" t="s">
        <v>7850</v>
      </c>
      <c r="J1536">
        <v>2021</v>
      </c>
      <c r="K1536" t="s">
        <v>7845</v>
      </c>
      <c r="L1536" t="s">
        <v>7837</v>
      </c>
    </row>
    <row r="1537" spans="1:12">
      <c r="A1537" t="s">
        <v>7830</v>
      </c>
      <c r="B1537" t="s">
        <v>7852</v>
      </c>
      <c r="C1537" t="s">
        <v>7853</v>
      </c>
      <c r="D1537" t="s">
        <v>7854</v>
      </c>
      <c r="E1537" t="s">
        <v>7855</v>
      </c>
      <c r="F1537">
        <v>18361911</v>
      </c>
      <c r="G1537">
        <v>528513</v>
      </c>
      <c r="H1537">
        <v>177429</v>
      </c>
      <c r="I1537" t="s">
        <v>7850</v>
      </c>
      <c r="J1537">
        <v>2021</v>
      </c>
      <c r="K1537" t="s">
        <v>7846</v>
      </c>
      <c r="L1537" t="s">
        <v>7837</v>
      </c>
    </row>
    <row r="1538" spans="1:12">
      <c r="A1538" t="s">
        <v>7830</v>
      </c>
      <c r="B1538" t="s">
        <v>7852</v>
      </c>
      <c r="C1538" t="s">
        <v>7853</v>
      </c>
      <c r="D1538" t="s">
        <v>7854</v>
      </c>
      <c r="E1538" t="s">
        <v>7855</v>
      </c>
      <c r="F1538">
        <v>18907844</v>
      </c>
      <c r="G1538">
        <v>587308</v>
      </c>
      <c r="H1538">
        <v>164763</v>
      </c>
      <c r="I1538" t="s">
        <v>7850</v>
      </c>
      <c r="J1538">
        <v>2021</v>
      </c>
      <c r="K1538" t="s">
        <v>7847</v>
      </c>
      <c r="L1538" t="s">
        <v>7837</v>
      </c>
    </row>
    <row r="1539" spans="1:12">
      <c r="A1539" t="s">
        <v>7830</v>
      </c>
      <c r="B1539" t="s">
        <v>7852</v>
      </c>
      <c r="C1539" t="s">
        <v>7853</v>
      </c>
      <c r="D1539" t="s">
        <v>7854</v>
      </c>
      <c r="E1539" t="s">
        <v>7855</v>
      </c>
      <c r="F1539">
        <v>19820123</v>
      </c>
      <c r="G1539">
        <v>758134</v>
      </c>
      <c r="H1539">
        <v>181545</v>
      </c>
      <c r="I1539" t="s">
        <v>7850</v>
      </c>
      <c r="J1539">
        <v>2021</v>
      </c>
      <c r="K1539" t="s">
        <v>7848</v>
      </c>
      <c r="L1539" t="s">
        <v>7837</v>
      </c>
    </row>
    <row r="1540" spans="1:12">
      <c r="A1540" t="s">
        <v>7830</v>
      </c>
      <c r="B1540" t="s">
        <v>7852</v>
      </c>
      <c r="C1540" t="s">
        <v>7853</v>
      </c>
      <c r="D1540" t="s">
        <v>7854</v>
      </c>
      <c r="E1540" t="s">
        <v>7855</v>
      </c>
      <c r="F1540">
        <v>15995073</v>
      </c>
      <c r="G1540">
        <v>505236</v>
      </c>
      <c r="H1540">
        <v>131513</v>
      </c>
      <c r="I1540" t="s">
        <v>7850</v>
      </c>
      <c r="J1540">
        <v>2022</v>
      </c>
      <c r="K1540" t="s">
        <v>7836</v>
      </c>
      <c r="L1540" t="s">
        <v>7837</v>
      </c>
    </row>
    <row r="1541" spans="1:12">
      <c r="A1541" t="s">
        <v>7830</v>
      </c>
      <c r="B1541" t="s">
        <v>7852</v>
      </c>
      <c r="C1541" t="s">
        <v>7853</v>
      </c>
      <c r="D1541" t="s">
        <v>7854</v>
      </c>
      <c r="E1541" t="s">
        <v>7855</v>
      </c>
      <c r="F1541">
        <v>19023948</v>
      </c>
      <c r="G1541">
        <v>588813</v>
      </c>
      <c r="H1541">
        <v>179799</v>
      </c>
      <c r="I1541" t="s">
        <v>7850</v>
      </c>
      <c r="J1541">
        <v>2022</v>
      </c>
      <c r="K1541" t="s">
        <v>7838</v>
      </c>
      <c r="L1541" t="s">
        <v>7837</v>
      </c>
    </row>
    <row r="1542" spans="1:12">
      <c r="A1542" t="s">
        <v>7830</v>
      </c>
      <c r="B1542" t="s">
        <v>7852</v>
      </c>
      <c r="C1542" t="s">
        <v>7853</v>
      </c>
      <c r="D1542" t="s">
        <v>7854</v>
      </c>
      <c r="E1542" t="s">
        <v>7855</v>
      </c>
      <c r="F1542">
        <v>19399539</v>
      </c>
      <c r="G1542">
        <v>684577</v>
      </c>
      <c r="H1542">
        <v>246481</v>
      </c>
      <c r="I1542" t="s">
        <v>7850</v>
      </c>
      <c r="J1542">
        <v>2022</v>
      </c>
      <c r="K1542" t="s">
        <v>7839</v>
      </c>
      <c r="L1542" t="s">
        <v>7837</v>
      </c>
    </row>
    <row r="1543" spans="1:12">
      <c r="A1543" t="s">
        <v>7830</v>
      </c>
      <c r="B1543" t="s">
        <v>7852</v>
      </c>
      <c r="C1543" t="s">
        <v>7853</v>
      </c>
      <c r="D1543" t="s">
        <v>7854</v>
      </c>
      <c r="E1543" t="s">
        <v>7855</v>
      </c>
      <c r="F1543">
        <v>20032126</v>
      </c>
      <c r="G1543">
        <v>718110</v>
      </c>
      <c r="H1543">
        <v>180505</v>
      </c>
      <c r="I1543" t="s">
        <v>7850</v>
      </c>
      <c r="J1543">
        <v>2022</v>
      </c>
      <c r="K1543" t="s">
        <v>7840</v>
      </c>
      <c r="L1543" t="s">
        <v>7837</v>
      </c>
    </row>
    <row r="1544" spans="1:12">
      <c r="A1544" t="s">
        <v>7830</v>
      </c>
      <c r="B1544" t="s">
        <v>7852</v>
      </c>
      <c r="C1544" t="s">
        <v>7853</v>
      </c>
      <c r="D1544" t="s">
        <v>7854</v>
      </c>
      <c r="E1544" t="s">
        <v>7855</v>
      </c>
      <c r="F1544">
        <v>19955579</v>
      </c>
      <c r="G1544">
        <v>789713</v>
      </c>
      <c r="H1544">
        <v>162291</v>
      </c>
      <c r="I1544" t="s">
        <v>7850</v>
      </c>
      <c r="J1544">
        <v>2022</v>
      </c>
      <c r="K1544" t="s">
        <v>7841</v>
      </c>
      <c r="L1544" t="s">
        <v>7837</v>
      </c>
    </row>
    <row r="1545" spans="1:12">
      <c r="A1545" t="s">
        <v>7830</v>
      </c>
      <c r="B1545" t="s">
        <v>7852</v>
      </c>
      <c r="C1545" t="s">
        <v>7853</v>
      </c>
      <c r="D1545" t="s">
        <v>7854</v>
      </c>
      <c r="E1545" t="s">
        <v>7855</v>
      </c>
      <c r="F1545">
        <v>18410815</v>
      </c>
      <c r="G1545">
        <v>568043</v>
      </c>
      <c r="H1545">
        <v>222177</v>
      </c>
      <c r="I1545" t="s">
        <v>7850</v>
      </c>
      <c r="J1545">
        <v>2022</v>
      </c>
      <c r="K1545" t="s">
        <v>7842</v>
      </c>
      <c r="L1545" t="s">
        <v>7837</v>
      </c>
    </row>
    <row r="1546" spans="1:12">
      <c r="A1546" t="s">
        <v>7830</v>
      </c>
      <c r="B1546" t="s">
        <v>7852</v>
      </c>
      <c r="C1546" t="s">
        <v>7853</v>
      </c>
      <c r="D1546" t="s">
        <v>7854</v>
      </c>
      <c r="E1546" t="s">
        <v>7855</v>
      </c>
      <c r="F1546">
        <v>29019909</v>
      </c>
      <c r="G1546">
        <v>856100</v>
      </c>
      <c r="H1546">
        <v>298574</v>
      </c>
      <c r="I1546" t="s">
        <v>7850</v>
      </c>
      <c r="J1546">
        <v>2022</v>
      </c>
      <c r="K1546" t="s">
        <v>7843</v>
      </c>
      <c r="L1546" t="s">
        <v>7837</v>
      </c>
    </row>
    <row r="1547" spans="1:12">
      <c r="A1547" t="s">
        <v>7830</v>
      </c>
      <c r="B1547" t="s">
        <v>7852</v>
      </c>
      <c r="C1547" t="s">
        <v>7853</v>
      </c>
      <c r="D1547" t="s">
        <v>7854</v>
      </c>
      <c r="E1547" t="s">
        <v>7855</v>
      </c>
      <c r="F1547">
        <v>33285892</v>
      </c>
      <c r="G1547">
        <v>660419</v>
      </c>
      <c r="H1547">
        <v>183025</v>
      </c>
      <c r="I1547" t="s">
        <v>7850</v>
      </c>
      <c r="J1547">
        <v>2022</v>
      </c>
      <c r="K1547" t="s">
        <v>7844</v>
      </c>
      <c r="L1547" t="s">
        <v>7837</v>
      </c>
    </row>
    <row r="1548" spans="1:12">
      <c r="A1548" t="s">
        <v>7830</v>
      </c>
      <c r="B1548" t="s">
        <v>7852</v>
      </c>
      <c r="C1548" t="s">
        <v>7853</v>
      </c>
      <c r="D1548" t="s">
        <v>7854</v>
      </c>
      <c r="E1548" t="s">
        <v>7855</v>
      </c>
      <c r="F1548">
        <v>28890720</v>
      </c>
      <c r="G1548">
        <v>797379</v>
      </c>
      <c r="H1548">
        <v>160115</v>
      </c>
      <c r="I1548" t="s">
        <v>7850</v>
      </c>
      <c r="J1548">
        <v>2022</v>
      </c>
      <c r="K1548" t="s">
        <v>7845</v>
      </c>
      <c r="L1548" t="s">
        <v>7837</v>
      </c>
    </row>
    <row r="1549" spans="1:12">
      <c r="A1549" t="s">
        <v>7830</v>
      </c>
      <c r="B1549" t="s">
        <v>7852</v>
      </c>
      <c r="C1549" t="s">
        <v>7853</v>
      </c>
      <c r="D1549" t="s">
        <v>7854</v>
      </c>
      <c r="E1549" t="s">
        <v>7855</v>
      </c>
      <c r="F1549">
        <v>32274812</v>
      </c>
      <c r="G1549">
        <v>894132</v>
      </c>
      <c r="H1549">
        <v>200645</v>
      </c>
      <c r="I1549" t="s">
        <v>7850</v>
      </c>
      <c r="J1549">
        <v>2022</v>
      </c>
      <c r="K1549" t="s">
        <v>7846</v>
      </c>
      <c r="L1549" t="s">
        <v>7837</v>
      </c>
    </row>
    <row r="1550" spans="1:12">
      <c r="A1550" t="s">
        <v>7830</v>
      </c>
      <c r="B1550" t="s">
        <v>7852</v>
      </c>
      <c r="C1550" t="s">
        <v>7853</v>
      </c>
      <c r="D1550" t="s">
        <v>7854</v>
      </c>
      <c r="E1550" t="s">
        <v>7855</v>
      </c>
      <c r="F1550">
        <v>34011815</v>
      </c>
      <c r="G1550">
        <v>823578</v>
      </c>
      <c r="H1550">
        <v>214547</v>
      </c>
      <c r="I1550" t="s">
        <v>7850</v>
      </c>
      <c r="J1550">
        <v>2022</v>
      </c>
      <c r="K1550" t="s">
        <v>7847</v>
      </c>
      <c r="L1550" t="s">
        <v>7837</v>
      </c>
    </row>
    <row r="1551" spans="1:12">
      <c r="A1551" t="s">
        <v>7830</v>
      </c>
      <c r="B1551" t="s">
        <v>7852</v>
      </c>
      <c r="C1551" t="s">
        <v>7853</v>
      </c>
      <c r="D1551" t="s">
        <v>7854</v>
      </c>
      <c r="E1551" t="s">
        <v>7855</v>
      </c>
      <c r="F1551">
        <v>25779498</v>
      </c>
      <c r="G1551">
        <v>806056</v>
      </c>
      <c r="H1551">
        <v>176808</v>
      </c>
      <c r="I1551" t="s">
        <v>7850</v>
      </c>
      <c r="J1551">
        <v>2022</v>
      </c>
      <c r="K1551" t="s">
        <v>7848</v>
      </c>
      <c r="L1551" t="s">
        <v>7837</v>
      </c>
    </row>
    <row r="1552" spans="1:12">
      <c r="A1552" t="s">
        <v>7830</v>
      </c>
      <c r="B1552" t="s">
        <v>7852</v>
      </c>
      <c r="C1552" t="s">
        <v>7853</v>
      </c>
      <c r="D1552" t="s">
        <v>7854</v>
      </c>
      <c r="E1552" t="s">
        <v>7855</v>
      </c>
      <c r="F1552">
        <v>14964760</v>
      </c>
      <c r="G1552">
        <v>617141</v>
      </c>
      <c r="H1552">
        <v>104168</v>
      </c>
      <c r="I1552" t="s">
        <v>7850</v>
      </c>
      <c r="J1552">
        <v>2023</v>
      </c>
      <c r="K1552" t="s">
        <v>7836</v>
      </c>
      <c r="L1552" t="s">
        <v>7837</v>
      </c>
    </row>
    <row r="1553" spans="1:12">
      <c r="A1553" t="s">
        <v>7830</v>
      </c>
      <c r="B1553" t="s">
        <v>7852</v>
      </c>
      <c r="C1553" t="s">
        <v>7853</v>
      </c>
      <c r="D1553" t="s">
        <v>7854</v>
      </c>
      <c r="E1553" t="s">
        <v>7855</v>
      </c>
      <c r="F1553">
        <v>42012368</v>
      </c>
      <c r="G1553">
        <v>268795</v>
      </c>
      <c r="H1553">
        <v>160862</v>
      </c>
      <c r="I1553" t="s">
        <v>7851</v>
      </c>
      <c r="J1553">
        <v>2000</v>
      </c>
      <c r="K1553" t="s">
        <v>7836</v>
      </c>
      <c r="L1553" t="s">
        <v>7837</v>
      </c>
    </row>
    <row r="1554" spans="1:12">
      <c r="A1554" t="s">
        <v>7830</v>
      </c>
      <c r="B1554" t="s">
        <v>7852</v>
      </c>
      <c r="C1554" t="s">
        <v>7853</v>
      </c>
      <c r="D1554" t="s">
        <v>7854</v>
      </c>
      <c r="E1554" t="s">
        <v>7855</v>
      </c>
      <c r="F1554">
        <v>46124213</v>
      </c>
      <c r="G1554">
        <v>265961</v>
      </c>
      <c r="H1554">
        <v>84865</v>
      </c>
      <c r="I1554" t="s">
        <v>7851</v>
      </c>
      <c r="J1554">
        <v>2000</v>
      </c>
      <c r="K1554" t="s">
        <v>7838</v>
      </c>
      <c r="L1554" t="s">
        <v>7837</v>
      </c>
    </row>
    <row r="1555" spans="1:12">
      <c r="A1555" t="s">
        <v>7830</v>
      </c>
      <c r="B1555" t="s">
        <v>7852</v>
      </c>
      <c r="C1555" t="s">
        <v>7853</v>
      </c>
      <c r="D1555" t="s">
        <v>7854</v>
      </c>
      <c r="E1555" t="s">
        <v>7855</v>
      </c>
      <c r="F1555">
        <v>68950032</v>
      </c>
      <c r="G1555">
        <v>357674</v>
      </c>
      <c r="H1555">
        <v>117900</v>
      </c>
      <c r="I1555" t="s">
        <v>7851</v>
      </c>
      <c r="J1555">
        <v>2000</v>
      </c>
      <c r="K1555" t="s">
        <v>7839</v>
      </c>
      <c r="L1555" t="s">
        <v>7837</v>
      </c>
    </row>
    <row r="1556" spans="1:12">
      <c r="A1556" t="s">
        <v>7830</v>
      </c>
      <c r="B1556" t="s">
        <v>7852</v>
      </c>
      <c r="C1556" t="s">
        <v>7853</v>
      </c>
      <c r="D1556" t="s">
        <v>7854</v>
      </c>
      <c r="E1556" t="s">
        <v>7855</v>
      </c>
      <c r="F1556">
        <v>75114553</v>
      </c>
      <c r="G1556">
        <v>368602</v>
      </c>
      <c r="H1556">
        <v>111434</v>
      </c>
      <c r="I1556" t="s">
        <v>7851</v>
      </c>
      <c r="J1556">
        <v>2000</v>
      </c>
      <c r="K1556" t="s">
        <v>7840</v>
      </c>
      <c r="L1556" t="s">
        <v>7837</v>
      </c>
    </row>
    <row r="1557" spans="1:12">
      <c r="A1557" t="s">
        <v>7830</v>
      </c>
      <c r="B1557" t="s">
        <v>7852</v>
      </c>
      <c r="C1557" t="s">
        <v>7853</v>
      </c>
      <c r="D1557" t="s">
        <v>7854</v>
      </c>
      <c r="E1557" t="s">
        <v>7855</v>
      </c>
      <c r="F1557">
        <v>48105474</v>
      </c>
      <c r="G1557">
        <v>263315</v>
      </c>
      <c r="H1557">
        <v>88799</v>
      </c>
      <c r="I1557" t="s">
        <v>7851</v>
      </c>
      <c r="J1557">
        <v>2000</v>
      </c>
      <c r="K1557" t="s">
        <v>7841</v>
      </c>
      <c r="L1557" t="s">
        <v>7837</v>
      </c>
    </row>
    <row r="1558" spans="1:12">
      <c r="A1558" t="s">
        <v>7830</v>
      </c>
      <c r="B1558" t="s">
        <v>7852</v>
      </c>
      <c r="C1558" t="s">
        <v>7853</v>
      </c>
      <c r="D1558" t="s">
        <v>7854</v>
      </c>
      <c r="E1558" t="s">
        <v>7855</v>
      </c>
      <c r="F1558">
        <v>61805906</v>
      </c>
      <c r="G1558">
        <v>389776</v>
      </c>
      <c r="H1558">
        <v>396197</v>
      </c>
      <c r="I1558" t="s">
        <v>7851</v>
      </c>
      <c r="J1558">
        <v>2000</v>
      </c>
      <c r="K1558" t="s">
        <v>7842</v>
      </c>
      <c r="L1558" t="s">
        <v>7837</v>
      </c>
    </row>
    <row r="1559" spans="1:12">
      <c r="A1559" t="s">
        <v>7830</v>
      </c>
      <c r="B1559" t="s">
        <v>7852</v>
      </c>
      <c r="C1559" t="s">
        <v>7853</v>
      </c>
      <c r="D1559" t="s">
        <v>7854</v>
      </c>
      <c r="E1559" t="s">
        <v>7855</v>
      </c>
      <c r="F1559">
        <v>67451241</v>
      </c>
      <c r="G1559">
        <v>326714</v>
      </c>
      <c r="H1559">
        <v>148078</v>
      </c>
      <c r="I1559" t="s">
        <v>7851</v>
      </c>
      <c r="J1559">
        <v>2000</v>
      </c>
      <c r="K1559" t="s">
        <v>7843</v>
      </c>
      <c r="L1559" t="s">
        <v>7837</v>
      </c>
    </row>
    <row r="1560" spans="1:12">
      <c r="A1560" t="s">
        <v>7830</v>
      </c>
      <c r="B1560" t="s">
        <v>7852</v>
      </c>
      <c r="C1560" t="s">
        <v>7853</v>
      </c>
      <c r="D1560" t="s">
        <v>7854</v>
      </c>
      <c r="E1560" t="s">
        <v>7855</v>
      </c>
      <c r="F1560">
        <v>51142995</v>
      </c>
      <c r="G1560">
        <v>336644</v>
      </c>
      <c r="H1560">
        <v>147539</v>
      </c>
      <c r="I1560" t="s">
        <v>7851</v>
      </c>
      <c r="J1560">
        <v>2000</v>
      </c>
      <c r="K1560" t="s">
        <v>7844</v>
      </c>
      <c r="L1560" t="s">
        <v>7837</v>
      </c>
    </row>
    <row r="1561" spans="1:12">
      <c r="A1561" t="s">
        <v>7830</v>
      </c>
      <c r="B1561" t="s">
        <v>7852</v>
      </c>
      <c r="C1561" t="s">
        <v>7853</v>
      </c>
      <c r="D1561" t="s">
        <v>7854</v>
      </c>
      <c r="E1561" t="s">
        <v>7855</v>
      </c>
      <c r="F1561">
        <v>68615004</v>
      </c>
      <c r="G1561">
        <v>395127</v>
      </c>
      <c r="H1561">
        <v>157801</v>
      </c>
      <c r="I1561" t="s">
        <v>7851</v>
      </c>
      <c r="J1561">
        <v>2000</v>
      </c>
      <c r="K1561" t="s">
        <v>7845</v>
      </c>
      <c r="L1561" t="s">
        <v>7837</v>
      </c>
    </row>
    <row r="1562" spans="1:12">
      <c r="A1562" t="s">
        <v>7830</v>
      </c>
      <c r="B1562" t="s">
        <v>7852</v>
      </c>
      <c r="C1562" t="s">
        <v>7853</v>
      </c>
      <c r="D1562" t="s">
        <v>7854</v>
      </c>
      <c r="E1562" t="s">
        <v>7855</v>
      </c>
      <c r="F1562">
        <v>90991557</v>
      </c>
      <c r="G1562">
        <v>374617</v>
      </c>
      <c r="H1562">
        <v>152651</v>
      </c>
      <c r="I1562" t="s">
        <v>7851</v>
      </c>
      <c r="J1562">
        <v>2000</v>
      </c>
      <c r="K1562" t="s">
        <v>7846</v>
      </c>
      <c r="L1562" t="s">
        <v>7837</v>
      </c>
    </row>
    <row r="1563" spans="1:12">
      <c r="A1563" t="s">
        <v>7830</v>
      </c>
      <c r="B1563" t="s">
        <v>7852</v>
      </c>
      <c r="C1563" t="s">
        <v>7853</v>
      </c>
      <c r="D1563" t="s">
        <v>7854</v>
      </c>
      <c r="E1563" t="s">
        <v>7855</v>
      </c>
      <c r="F1563">
        <v>70469214</v>
      </c>
      <c r="G1563">
        <v>350463</v>
      </c>
      <c r="H1563">
        <v>166097</v>
      </c>
      <c r="I1563" t="s">
        <v>7851</v>
      </c>
      <c r="J1563">
        <v>2000</v>
      </c>
      <c r="K1563" t="s">
        <v>7847</v>
      </c>
      <c r="L1563" t="s">
        <v>7837</v>
      </c>
    </row>
    <row r="1564" spans="1:12">
      <c r="A1564" t="s">
        <v>7830</v>
      </c>
      <c r="B1564" t="s">
        <v>7852</v>
      </c>
      <c r="C1564" t="s">
        <v>7853</v>
      </c>
      <c r="D1564" t="s">
        <v>7854</v>
      </c>
      <c r="E1564" t="s">
        <v>7855</v>
      </c>
      <c r="F1564">
        <v>77581679</v>
      </c>
      <c r="G1564">
        <v>336256</v>
      </c>
      <c r="H1564">
        <v>150074</v>
      </c>
      <c r="I1564" t="s">
        <v>7851</v>
      </c>
      <c r="J1564">
        <v>2000</v>
      </c>
      <c r="K1564" t="s">
        <v>7848</v>
      </c>
      <c r="L1564" t="s">
        <v>7837</v>
      </c>
    </row>
    <row r="1565" spans="1:12">
      <c r="A1565" t="s">
        <v>7830</v>
      </c>
      <c r="B1565" t="s">
        <v>7852</v>
      </c>
      <c r="C1565" t="s">
        <v>7853</v>
      </c>
      <c r="D1565" t="s">
        <v>7854</v>
      </c>
      <c r="E1565" t="s">
        <v>7855</v>
      </c>
      <c r="F1565">
        <v>47177672</v>
      </c>
      <c r="G1565">
        <v>202517</v>
      </c>
      <c r="H1565">
        <v>135544</v>
      </c>
      <c r="I1565" t="s">
        <v>7851</v>
      </c>
      <c r="J1565">
        <v>2001</v>
      </c>
      <c r="K1565" t="s">
        <v>7836</v>
      </c>
      <c r="L1565" t="s">
        <v>7837</v>
      </c>
    </row>
    <row r="1566" spans="1:12">
      <c r="A1566" t="s">
        <v>7830</v>
      </c>
      <c r="B1566" t="s">
        <v>7852</v>
      </c>
      <c r="C1566" t="s">
        <v>7853</v>
      </c>
      <c r="D1566" t="s">
        <v>7854</v>
      </c>
      <c r="E1566" t="s">
        <v>7855</v>
      </c>
      <c r="F1566">
        <v>53246019</v>
      </c>
      <c r="G1566">
        <v>331540</v>
      </c>
      <c r="H1566">
        <v>84150</v>
      </c>
      <c r="I1566" t="s">
        <v>7851</v>
      </c>
      <c r="J1566">
        <v>2001</v>
      </c>
      <c r="K1566" t="s">
        <v>7838</v>
      </c>
      <c r="L1566" t="s">
        <v>7837</v>
      </c>
    </row>
    <row r="1567" spans="1:12">
      <c r="A1567" t="s">
        <v>7830</v>
      </c>
      <c r="B1567" t="s">
        <v>7852</v>
      </c>
      <c r="C1567" t="s">
        <v>7853</v>
      </c>
      <c r="D1567" t="s">
        <v>7854</v>
      </c>
      <c r="E1567" t="s">
        <v>7855</v>
      </c>
      <c r="F1567">
        <v>69681045</v>
      </c>
      <c r="G1567">
        <v>367701</v>
      </c>
      <c r="H1567">
        <v>133307</v>
      </c>
      <c r="I1567" t="s">
        <v>7851</v>
      </c>
      <c r="J1567">
        <v>2001</v>
      </c>
      <c r="K1567" t="s">
        <v>7839</v>
      </c>
      <c r="L1567" t="s">
        <v>7837</v>
      </c>
    </row>
    <row r="1568" spans="1:12">
      <c r="A1568" t="s">
        <v>7830</v>
      </c>
      <c r="B1568" t="s">
        <v>7852</v>
      </c>
      <c r="C1568" t="s">
        <v>7853</v>
      </c>
      <c r="D1568" t="s">
        <v>7854</v>
      </c>
      <c r="E1568" t="s">
        <v>7855</v>
      </c>
      <c r="F1568">
        <v>48775405</v>
      </c>
      <c r="G1568">
        <v>220827</v>
      </c>
      <c r="H1568">
        <v>86902</v>
      </c>
      <c r="I1568" t="s">
        <v>7851</v>
      </c>
      <c r="J1568">
        <v>2001</v>
      </c>
      <c r="K1568" t="s">
        <v>7840</v>
      </c>
      <c r="L1568" t="s">
        <v>7837</v>
      </c>
    </row>
    <row r="1569" spans="1:12">
      <c r="A1569" t="s">
        <v>7830</v>
      </c>
      <c r="B1569" t="s">
        <v>7852</v>
      </c>
      <c r="C1569" t="s">
        <v>7853</v>
      </c>
      <c r="D1569" t="s">
        <v>7854</v>
      </c>
      <c r="E1569" t="s">
        <v>7855</v>
      </c>
      <c r="F1569">
        <v>39225478</v>
      </c>
      <c r="G1569">
        <v>257188</v>
      </c>
      <c r="H1569">
        <v>132209</v>
      </c>
      <c r="I1569" t="s">
        <v>7851</v>
      </c>
      <c r="J1569">
        <v>2001</v>
      </c>
      <c r="K1569" t="s">
        <v>7841</v>
      </c>
      <c r="L1569" t="s">
        <v>7837</v>
      </c>
    </row>
    <row r="1570" spans="1:12">
      <c r="A1570" t="s">
        <v>7830</v>
      </c>
      <c r="B1570" t="s">
        <v>7852</v>
      </c>
      <c r="C1570" t="s">
        <v>7853</v>
      </c>
      <c r="D1570" t="s">
        <v>7854</v>
      </c>
      <c r="E1570" t="s">
        <v>7855</v>
      </c>
      <c r="F1570">
        <v>63460953</v>
      </c>
      <c r="G1570">
        <v>310301</v>
      </c>
      <c r="H1570">
        <v>130499</v>
      </c>
      <c r="I1570" t="s">
        <v>7851</v>
      </c>
      <c r="J1570">
        <v>2001</v>
      </c>
      <c r="K1570" t="s">
        <v>7842</v>
      </c>
      <c r="L1570" t="s">
        <v>7837</v>
      </c>
    </row>
    <row r="1571" spans="1:12">
      <c r="A1571" t="s">
        <v>7830</v>
      </c>
      <c r="B1571" t="s">
        <v>7852</v>
      </c>
      <c r="C1571" t="s">
        <v>7853</v>
      </c>
      <c r="D1571" t="s">
        <v>7854</v>
      </c>
      <c r="E1571" t="s">
        <v>7855</v>
      </c>
      <c r="F1571">
        <v>29966502</v>
      </c>
      <c r="G1571">
        <v>221134</v>
      </c>
      <c r="H1571">
        <v>75557</v>
      </c>
      <c r="I1571" t="s">
        <v>7851</v>
      </c>
      <c r="J1571">
        <v>2001</v>
      </c>
      <c r="K1571" t="s">
        <v>7843</v>
      </c>
      <c r="L1571" t="s">
        <v>7837</v>
      </c>
    </row>
    <row r="1572" spans="1:12">
      <c r="A1572" t="s">
        <v>7830</v>
      </c>
      <c r="B1572" t="s">
        <v>7852</v>
      </c>
      <c r="C1572" t="s">
        <v>7853</v>
      </c>
      <c r="D1572" t="s">
        <v>7854</v>
      </c>
      <c r="E1572" t="s">
        <v>7855</v>
      </c>
      <c r="F1572">
        <v>27307429</v>
      </c>
      <c r="G1572">
        <v>234283</v>
      </c>
      <c r="H1572">
        <v>104422</v>
      </c>
      <c r="I1572" t="s">
        <v>7851</v>
      </c>
      <c r="J1572">
        <v>2001</v>
      </c>
      <c r="K1572" t="s">
        <v>7844</v>
      </c>
      <c r="L1572" t="s">
        <v>7837</v>
      </c>
    </row>
    <row r="1573" spans="1:12">
      <c r="A1573" t="s">
        <v>7830</v>
      </c>
      <c r="B1573" t="s">
        <v>7852</v>
      </c>
      <c r="C1573" t="s">
        <v>7853</v>
      </c>
      <c r="D1573" t="s">
        <v>7854</v>
      </c>
      <c r="E1573" t="s">
        <v>7855</v>
      </c>
      <c r="F1573">
        <v>43021751</v>
      </c>
      <c r="G1573">
        <v>358108</v>
      </c>
      <c r="H1573">
        <v>427516</v>
      </c>
      <c r="I1573" t="s">
        <v>7851</v>
      </c>
      <c r="J1573">
        <v>2001</v>
      </c>
      <c r="K1573" t="s">
        <v>7845</v>
      </c>
      <c r="L1573" t="s">
        <v>7837</v>
      </c>
    </row>
    <row r="1574" spans="1:12">
      <c r="A1574" t="s">
        <v>7830</v>
      </c>
      <c r="B1574" t="s">
        <v>7852</v>
      </c>
      <c r="C1574" t="s">
        <v>7853</v>
      </c>
      <c r="D1574" t="s">
        <v>7854</v>
      </c>
      <c r="E1574" t="s">
        <v>7855</v>
      </c>
      <c r="F1574">
        <v>39481920</v>
      </c>
      <c r="G1574">
        <v>290748</v>
      </c>
      <c r="H1574">
        <v>112881</v>
      </c>
      <c r="I1574" t="s">
        <v>7851</v>
      </c>
      <c r="J1574">
        <v>2001</v>
      </c>
      <c r="K1574" t="s">
        <v>7846</v>
      </c>
      <c r="L1574" t="s">
        <v>7837</v>
      </c>
    </row>
    <row r="1575" spans="1:12">
      <c r="A1575" t="s">
        <v>7830</v>
      </c>
      <c r="B1575" t="s">
        <v>7852</v>
      </c>
      <c r="C1575" t="s">
        <v>7853</v>
      </c>
      <c r="D1575" t="s">
        <v>7854</v>
      </c>
      <c r="E1575" t="s">
        <v>7855</v>
      </c>
      <c r="F1575">
        <v>52567174</v>
      </c>
      <c r="G1575">
        <v>418220</v>
      </c>
      <c r="H1575">
        <v>176547</v>
      </c>
      <c r="I1575" t="s">
        <v>7851</v>
      </c>
      <c r="J1575">
        <v>2001</v>
      </c>
      <c r="K1575" t="s">
        <v>7847</v>
      </c>
      <c r="L1575" t="s">
        <v>7837</v>
      </c>
    </row>
    <row r="1576" spans="1:12">
      <c r="A1576" t="s">
        <v>7830</v>
      </c>
      <c r="B1576" t="s">
        <v>7852</v>
      </c>
      <c r="C1576" t="s">
        <v>7853</v>
      </c>
      <c r="D1576" t="s">
        <v>7854</v>
      </c>
      <c r="E1576" t="s">
        <v>7855</v>
      </c>
      <c r="F1576">
        <v>46123187</v>
      </c>
      <c r="G1576">
        <v>298743</v>
      </c>
      <c r="H1576">
        <v>151591</v>
      </c>
      <c r="I1576" t="s">
        <v>7851</v>
      </c>
      <c r="J1576">
        <v>2001</v>
      </c>
      <c r="K1576" t="s">
        <v>7848</v>
      </c>
      <c r="L1576" t="s">
        <v>7837</v>
      </c>
    </row>
    <row r="1577" spans="1:12">
      <c r="A1577" t="s">
        <v>7830</v>
      </c>
      <c r="B1577" t="s">
        <v>7852</v>
      </c>
      <c r="C1577" t="s">
        <v>7853</v>
      </c>
      <c r="D1577" t="s">
        <v>7854</v>
      </c>
      <c r="E1577" t="s">
        <v>7855</v>
      </c>
      <c r="F1577">
        <v>48896475</v>
      </c>
      <c r="G1577">
        <v>265033</v>
      </c>
      <c r="H1577">
        <v>118125</v>
      </c>
      <c r="I1577" t="s">
        <v>7851</v>
      </c>
      <c r="J1577">
        <v>2002</v>
      </c>
      <c r="K1577" t="s">
        <v>7836</v>
      </c>
      <c r="L1577" t="s">
        <v>7837</v>
      </c>
    </row>
    <row r="1578" spans="1:12">
      <c r="A1578" t="s">
        <v>7830</v>
      </c>
      <c r="B1578" t="s">
        <v>7852</v>
      </c>
      <c r="C1578" t="s">
        <v>7853</v>
      </c>
      <c r="D1578" t="s">
        <v>7854</v>
      </c>
      <c r="E1578" t="s">
        <v>7855</v>
      </c>
      <c r="F1578">
        <v>46588170</v>
      </c>
      <c r="G1578">
        <v>330468</v>
      </c>
      <c r="H1578">
        <v>116018</v>
      </c>
      <c r="I1578" t="s">
        <v>7851</v>
      </c>
      <c r="J1578">
        <v>2002</v>
      </c>
      <c r="K1578" t="s">
        <v>7838</v>
      </c>
      <c r="L1578" t="s">
        <v>7837</v>
      </c>
    </row>
    <row r="1579" spans="1:12">
      <c r="A1579" t="s">
        <v>7830</v>
      </c>
      <c r="B1579" t="s">
        <v>7852</v>
      </c>
      <c r="C1579" t="s">
        <v>7853</v>
      </c>
      <c r="D1579" t="s">
        <v>7854</v>
      </c>
      <c r="E1579" t="s">
        <v>7855</v>
      </c>
      <c r="F1579">
        <v>61093647</v>
      </c>
      <c r="G1579">
        <v>395165</v>
      </c>
      <c r="H1579">
        <v>183827</v>
      </c>
      <c r="I1579" t="s">
        <v>7851</v>
      </c>
      <c r="J1579">
        <v>2002</v>
      </c>
      <c r="K1579" t="s">
        <v>7839</v>
      </c>
      <c r="L1579" t="s">
        <v>7837</v>
      </c>
    </row>
    <row r="1580" spans="1:12">
      <c r="A1580" t="s">
        <v>7830</v>
      </c>
      <c r="B1580" t="s">
        <v>7852</v>
      </c>
      <c r="C1580" t="s">
        <v>7853</v>
      </c>
      <c r="D1580" t="s">
        <v>7854</v>
      </c>
      <c r="E1580" t="s">
        <v>7855</v>
      </c>
      <c r="F1580">
        <v>43975750</v>
      </c>
      <c r="G1580">
        <v>254036</v>
      </c>
      <c r="H1580">
        <v>103801</v>
      </c>
      <c r="I1580" t="s">
        <v>7851</v>
      </c>
      <c r="J1580">
        <v>2002</v>
      </c>
      <c r="K1580" t="s">
        <v>7840</v>
      </c>
      <c r="L1580" t="s">
        <v>7837</v>
      </c>
    </row>
    <row r="1581" spans="1:12">
      <c r="A1581" t="s">
        <v>7830</v>
      </c>
      <c r="B1581" t="s">
        <v>7852</v>
      </c>
      <c r="C1581" t="s">
        <v>7853</v>
      </c>
      <c r="D1581" t="s">
        <v>7854</v>
      </c>
      <c r="E1581" t="s">
        <v>7855</v>
      </c>
      <c r="F1581">
        <v>30869867</v>
      </c>
      <c r="G1581">
        <v>208559</v>
      </c>
      <c r="H1581">
        <v>78727</v>
      </c>
      <c r="I1581" t="s">
        <v>7851</v>
      </c>
      <c r="J1581">
        <v>2002</v>
      </c>
      <c r="K1581" t="s">
        <v>7841</v>
      </c>
      <c r="L1581" t="s">
        <v>7837</v>
      </c>
    </row>
    <row r="1582" spans="1:12">
      <c r="A1582" t="s">
        <v>7830</v>
      </c>
      <c r="B1582" t="s">
        <v>7852</v>
      </c>
      <c r="C1582" t="s">
        <v>7853</v>
      </c>
      <c r="D1582" t="s">
        <v>7854</v>
      </c>
      <c r="E1582" t="s">
        <v>7855</v>
      </c>
      <c r="F1582">
        <v>40790889</v>
      </c>
      <c r="G1582">
        <v>242212</v>
      </c>
      <c r="H1582">
        <v>95052</v>
      </c>
      <c r="I1582" t="s">
        <v>7851</v>
      </c>
      <c r="J1582">
        <v>2002</v>
      </c>
      <c r="K1582" t="s">
        <v>7842</v>
      </c>
      <c r="L1582" t="s">
        <v>7837</v>
      </c>
    </row>
    <row r="1583" spans="1:12">
      <c r="A1583" t="s">
        <v>7830</v>
      </c>
      <c r="B1583" t="s">
        <v>7852</v>
      </c>
      <c r="C1583" t="s">
        <v>7853</v>
      </c>
      <c r="D1583" t="s">
        <v>7854</v>
      </c>
      <c r="E1583" t="s">
        <v>7855</v>
      </c>
      <c r="F1583">
        <v>38246788</v>
      </c>
      <c r="G1583">
        <v>258954</v>
      </c>
      <c r="H1583">
        <v>89640</v>
      </c>
      <c r="I1583" t="s">
        <v>7851</v>
      </c>
      <c r="J1583">
        <v>2002</v>
      </c>
      <c r="K1583" t="s">
        <v>7843</v>
      </c>
      <c r="L1583" t="s">
        <v>7837</v>
      </c>
    </row>
    <row r="1584" spans="1:12">
      <c r="A1584" t="s">
        <v>7830</v>
      </c>
      <c r="B1584" t="s">
        <v>7852</v>
      </c>
      <c r="C1584" t="s">
        <v>7853</v>
      </c>
      <c r="D1584" t="s">
        <v>7854</v>
      </c>
      <c r="E1584" t="s">
        <v>7855</v>
      </c>
      <c r="F1584">
        <v>36240975</v>
      </c>
      <c r="G1584">
        <v>285841</v>
      </c>
      <c r="H1584">
        <v>100822</v>
      </c>
      <c r="I1584" t="s">
        <v>7851</v>
      </c>
      <c r="J1584">
        <v>2002</v>
      </c>
      <c r="K1584" t="s">
        <v>7844</v>
      </c>
      <c r="L1584" t="s">
        <v>7837</v>
      </c>
    </row>
    <row r="1585" spans="1:12">
      <c r="A1585" t="s">
        <v>7830</v>
      </c>
      <c r="B1585" t="s">
        <v>7852</v>
      </c>
      <c r="C1585" t="s">
        <v>7853</v>
      </c>
      <c r="D1585" t="s">
        <v>7854</v>
      </c>
      <c r="E1585" t="s">
        <v>7855</v>
      </c>
      <c r="F1585">
        <v>37273444</v>
      </c>
      <c r="G1585">
        <v>276888</v>
      </c>
      <c r="H1585">
        <v>112466</v>
      </c>
      <c r="I1585" t="s">
        <v>7851</v>
      </c>
      <c r="J1585">
        <v>2002</v>
      </c>
      <c r="K1585" t="s">
        <v>7845</v>
      </c>
      <c r="L1585" t="s">
        <v>7837</v>
      </c>
    </row>
    <row r="1586" spans="1:12">
      <c r="A1586" t="s">
        <v>7830</v>
      </c>
      <c r="B1586" t="s">
        <v>7852</v>
      </c>
      <c r="C1586" t="s">
        <v>7853</v>
      </c>
      <c r="D1586" t="s">
        <v>7854</v>
      </c>
      <c r="E1586" t="s">
        <v>7855</v>
      </c>
      <c r="F1586">
        <v>56557056</v>
      </c>
      <c r="G1586">
        <v>452598</v>
      </c>
      <c r="H1586">
        <v>145745</v>
      </c>
      <c r="I1586" t="s">
        <v>7851</v>
      </c>
      <c r="J1586">
        <v>2002</v>
      </c>
      <c r="K1586" t="s">
        <v>7846</v>
      </c>
      <c r="L1586" t="s">
        <v>7837</v>
      </c>
    </row>
    <row r="1587" spans="1:12">
      <c r="A1587" t="s">
        <v>7830</v>
      </c>
      <c r="B1587" t="s">
        <v>7852</v>
      </c>
      <c r="C1587" t="s">
        <v>7853</v>
      </c>
      <c r="D1587" t="s">
        <v>7854</v>
      </c>
      <c r="E1587" t="s">
        <v>7855</v>
      </c>
      <c r="F1587">
        <v>53770969</v>
      </c>
      <c r="G1587">
        <v>462850</v>
      </c>
      <c r="H1587">
        <v>132490</v>
      </c>
      <c r="I1587" t="s">
        <v>7851</v>
      </c>
      <c r="J1587">
        <v>2002</v>
      </c>
      <c r="K1587" t="s">
        <v>7847</v>
      </c>
      <c r="L1587" t="s">
        <v>7837</v>
      </c>
    </row>
    <row r="1588" spans="1:12">
      <c r="A1588" t="s">
        <v>7830</v>
      </c>
      <c r="B1588" t="s">
        <v>7852</v>
      </c>
      <c r="C1588" t="s">
        <v>7853</v>
      </c>
      <c r="D1588" t="s">
        <v>7854</v>
      </c>
      <c r="E1588" t="s">
        <v>7855</v>
      </c>
      <c r="F1588">
        <v>53074591</v>
      </c>
      <c r="G1588">
        <v>424588</v>
      </c>
      <c r="H1588">
        <v>150661</v>
      </c>
      <c r="I1588" t="s">
        <v>7851</v>
      </c>
      <c r="J1588">
        <v>2002</v>
      </c>
      <c r="K1588" t="s">
        <v>7848</v>
      </c>
      <c r="L1588" t="s">
        <v>7837</v>
      </c>
    </row>
    <row r="1589" spans="1:12">
      <c r="A1589" t="s">
        <v>7830</v>
      </c>
      <c r="B1589" t="s">
        <v>7852</v>
      </c>
      <c r="C1589" t="s">
        <v>7853</v>
      </c>
      <c r="D1589" t="s">
        <v>7854</v>
      </c>
      <c r="E1589" t="s">
        <v>7855</v>
      </c>
      <c r="F1589">
        <v>43342565</v>
      </c>
      <c r="G1589">
        <v>300576</v>
      </c>
      <c r="H1589">
        <v>86105</v>
      </c>
      <c r="I1589" t="s">
        <v>7851</v>
      </c>
      <c r="J1589">
        <v>2003</v>
      </c>
      <c r="K1589" t="s">
        <v>7836</v>
      </c>
      <c r="L1589" t="s">
        <v>7837</v>
      </c>
    </row>
    <row r="1590" spans="1:12">
      <c r="A1590" t="s">
        <v>7830</v>
      </c>
      <c r="B1590" t="s">
        <v>7852</v>
      </c>
      <c r="C1590" t="s">
        <v>7853</v>
      </c>
      <c r="D1590" t="s">
        <v>7854</v>
      </c>
      <c r="E1590" t="s">
        <v>7855</v>
      </c>
      <c r="F1590">
        <v>26873887</v>
      </c>
      <c r="G1590">
        <v>222035</v>
      </c>
      <c r="H1590">
        <v>73154</v>
      </c>
      <c r="I1590" t="s">
        <v>7851</v>
      </c>
      <c r="J1590">
        <v>2003</v>
      </c>
      <c r="K1590" t="s">
        <v>7838</v>
      </c>
      <c r="L1590" t="s">
        <v>7837</v>
      </c>
    </row>
    <row r="1591" spans="1:12">
      <c r="A1591" t="s">
        <v>7830</v>
      </c>
      <c r="B1591" t="s">
        <v>7852</v>
      </c>
      <c r="C1591" t="s">
        <v>7853</v>
      </c>
      <c r="D1591" t="s">
        <v>7854</v>
      </c>
      <c r="E1591" t="s">
        <v>7855</v>
      </c>
      <c r="F1591">
        <v>33632538</v>
      </c>
      <c r="G1591">
        <v>242593</v>
      </c>
      <c r="H1591">
        <v>79896</v>
      </c>
      <c r="I1591" t="s">
        <v>7851</v>
      </c>
      <c r="J1591">
        <v>2003</v>
      </c>
      <c r="K1591" t="s">
        <v>7839</v>
      </c>
      <c r="L1591" t="s">
        <v>7837</v>
      </c>
    </row>
    <row r="1592" spans="1:12">
      <c r="A1592" t="s">
        <v>7830</v>
      </c>
      <c r="B1592" t="s">
        <v>7852</v>
      </c>
      <c r="C1592" t="s">
        <v>7853</v>
      </c>
      <c r="D1592" t="s">
        <v>7854</v>
      </c>
      <c r="E1592" t="s">
        <v>7855</v>
      </c>
      <c r="F1592">
        <v>19803312</v>
      </c>
      <c r="G1592">
        <v>130271</v>
      </c>
      <c r="H1592">
        <v>49648</v>
      </c>
      <c r="I1592" t="s">
        <v>7851</v>
      </c>
      <c r="J1592">
        <v>2003</v>
      </c>
      <c r="K1592" t="s">
        <v>7840</v>
      </c>
      <c r="L1592" t="s">
        <v>7837</v>
      </c>
    </row>
    <row r="1593" spans="1:12">
      <c r="A1593" t="s">
        <v>7830</v>
      </c>
      <c r="B1593" t="s">
        <v>7852</v>
      </c>
      <c r="C1593" t="s">
        <v>7853</v>
      </c>
      <c r="D1593" t="s">
        <v>7854</v>
      </c>
      <c r="E1593" t="s">
        <v>7855</v>
      </c>
      <c r="F1593">
        <v>21743548</v>
      </c>
      <c r="G1593">
        <v>134260</v>
      </c>
      <c r="H1593">
        <v>41965</v>
      </c>
      <c r="I1593" t="s">
        <v>7851</v>
      </c>
      <c r="J1593">
        <v>2003</v>
      </c>
      <c r="K1593" t="s">
        <v>7841</v>
      </c>
      <c r="L1593" t="s">
        <v>7837</v>
      </c>
    </row>
    <row r="1594" spans="1:12">
      <c r="A1594" t="s">
        <v>7830</v>
      </c>
      <c r="B1594" t="s">
        <v>7852</v>
      </c>
      <c r="C1594" t="s">
        <v>7853</v>
      </c>
      <c r="D1594" t="s">
        <v>7854</v>
      </c>
      <c r="E1594" t="s">
        <v>7855</v>
      </c>
      <c r="F1594">
        <v>23911977</v>
      </c>
      <c r="G1594">
        <v>189930</v>
      </c>
      <c r="H1594">
        <v>64109</v>
      </c>
      <c r="I1594" t="s">
        <v>7851</v>
      </c>
      <c r="J1594">
        <v>2003</v>
      </c>
      <c r="K1594" t="s">
        <v>7842</v>
      </c>
      <c r="L1594" t="s">
        <v>7837</v>
      </c>
    </row>
    <row r="1595" spans="1:12">
      <c r="A1595" t="s">
        <v>7830</v>
      </c>
      <c r="B1595" t="s">
        <v>7852</v>
      </c>
      <c r="C1595" t="s">
        <v>7853</v>
      </c>
      <c r="D1595" t="s">
        <v>7854</v>
      </c>
      <c r="E1595" t="s">
        <v>7855</v>
      </c>
      <c r="F1595">
        <v>20136785</v>
      </c>
      <c r="G1595">
        <v>229066</v>
      </c>
      <c r="H1595">
        <v>63471</v>
      </c>
      <c r="I1595" t="s">
        <v>7851</v>
      </c>
      <c r="J1595">
        <v>2003</v>
      </c>
      <c r="K1595" t="s">
        <v>7843</v>
      </c>
      <c r="L1595" t="s">
        <v>7837</v>
      </c>
    </row>
    <row r="1596" spans="1:12">
      <c r="A1596" t="s">
        <v>7830</v>
      </c>
      <c r="B1596" t="s">
        <v>7852</v>
      </c>
      <c r="C1596" t="s">
        <v>7853</v>
      </c>
      <c r="D1596" t="s">
        <v>7854</v>
      </c>
      <c r="E1596" t="s">
        <v>7855</v>
      </c>
      <c r="F1596">
        <v>29925031</v>
      </c>
      <c r="G1596">
        <v>377138</v>
      </c>
      <c r="H1596">
        <v>84838</v>
      </c>
      <c r="I1596" t="s">
        <v>7851</v>
      </c>
      <c r="J1596">
        <v>2003</v>
      </c>
      <c r="K1596" t="s">
        <v>7844</v>
      </c>
      <c r="L1596" t="s">
        <v>7837</v>
      </c>
    </row>
    <row r="1597" spans="1:12">
      <c r="A1597" t="s">
        <v>7830</v>
      </c>
      <c r="B1597" t="s">
        <v>7852</v>
      </c>
      <c r="C1597" t="s">
        <v>7853</v>
      </c>
      <c r="D1597" t="s">
        <v>7854</v>
      </c>
      <c r="E1597" t="s">
        <v>7855</v>
      </c>
      <c r="F1597">
        <v>26694039</v>
      </c>
      <c r="G1597">
        <v>202607</v>
      </c>
      <c r="H1597">
        <v>62928</v>
      </c>
      <c r="I1597" t="s">
        <v>7851</v>
      </c>
      <c r="J1597">
        <v>2003</v>
      </c>
      <c r="K1597" t="s">
        <v>7845</v>
      </c>
      <c r="L1597" t="s">
        <v>7837</v>
      </c>
    </row>
    <row r="1598" spans="1:12">
      <c r="A1598" t="s">
        <v>7830</v>
      </c>
      <c r="B1598" t="s">
        <v>7852</v>
      </c>
      <c r="C1598" t="s">
        <v>7853</v>
      </c>
      <c r="D1598" t="s">
        <v>7854</v>
      </c>
      <c r="E1598" t="s">
        <v>7855</v>
      </c>
      <c r="F1598">
        <v>32283604</v>
      </c>
      <c r="G1598">
        <v>251352</v>
      </c>
      <c r="H1598">
        <v>98071</v>
      </c>
      <c r="I1598" t="s">
        <v>7851</v>
      </c>
      <c r="J1598">
        <v>2003</v>
      </c>
      <c r="K1598" t="s">
        <v>7846</v>
      </c>
      <c r="L1598" t="s">
        <v>7837</v>
      </c>
    </row>
    <row r="1599" spans="1:12">
      <c r="A1599" t="s">
        <v>7830</v>
      </c>
      <c r="B1599" t="s">
        <v>7852</v>
      </c>
      <c r="C1599" t="s">
        <v>7853</v>
      </c>
      <c r="D1599" t="s">
        <v>7854</v>
      </c>
      <c r="E1599" t="s">
        <v>7855</v>
      </c>
      <c r="F1599">
        <v>31623622</v>
      </c>
      <c r="G1599">
        <v>243654</v>
      </c>
      <c r="H1599">
        <v>84712</v>
      </c>
      <c r="I1599" t="s">
        <v>7851</v>
      </c>
      <c r="J1599">
        <v>2003</v>
      </c>
      <c r="K1599" t="s">
        <v>7847</v>
      </c>
      <c r="L1599" t="s">
        <v>7837</v>
      </c>
    </row>
    <row r="1600" spans="1:12">
      <c r="A1600" t="s">
        <v>7830</v>
      </c>
      <c r="B1600" t="s">
        <v>7852</v>
      </c>
      <c r="C1600" t="s">
        <v>7853</v>
      </c>
      <c r="D1600" t="s">
        <v>7854</v>
      </c>
      <c r="E1600" t="s">
        <v>7855</v>
      </c>
      <c r="F1600">
        <v>40852294</v>
      </c>
      <c r="G1600">
        <v>309122</v>
      </c>
      <c r="H1600">
        <v>84022</v>
      </c>
      <c r="I1600" t="s">
        <v>7851</v>
      </c>
      <c r="J1600">
        <v>2003</v>
      </c>
      <c r="K1600" t="s">
        <v>7848</v>
      </c>
      <c r="L1600" t="s">
        <v>7837</v>
      </c>
    </row>
    <row r="1601" spans="1:12">
      <c r="A1601" t="s">
        <v>7830</v>
      </c>
      <c r="B1601" t="s">
        <v>7852</v>
      </c>
      <c r="C1601" t="s">
        <v>7853</v>
      </c>
      <c r="D1601" t="s">
        <v>7854</v>
      </c>
      <c r="E1601" t="s">
        <v>7855</v>
      </c>
      <c r="F1601">
        <v>28885807</v>
      </c>
      <c r="G1601">
        <v>184829</v>
      </c>
      <c r="H1601">
        <v>65284</v>
      </c>
      <c r="I1601" t="s">
        <v>7851</v>
      </c>
      <c r="J1601">
        <v>2004</v>
      </c>
      <c r="K1601" t="s">
        <v>7836</v>
      </c>
      <c r="L1601" t="s">
        <v>7837</v>
      </c>
    </row>
    <row r="1602" spans="1:12">
      <c r="A1602" t="s">
        <v>7830</v>
      </c>
      <c r="B1602" t="s">
        <v>7852</v>
      </c>
      <c r="C1602" t="s">
        <v>7853</v>
      </c>
      <c r="D1602" t="s">
        <v>7854</v>
      </c>
      <c r="E1602" t="s">
        <v>7855</v>
      </c>
      <c r="F1602">
        <v>26146623</v>
      </c>
      <c r="G1602">
        <v>172574</v>
      </c>
      <c r="H1602">
        <v>60835</v>
      </c>
      <c r="I1602" t="s">
        <v>7851</v>
      </c>
      <c r="J1602">
        <v>2004</v>
      </c>
      <c r="K1602" t="s">
        <v>7838</v>
      </c>
      <c r="L1602" t="s">
        <v>7837</v>
      </c>
    </row>
    <row r="1603" spans="1:12">
      <c r="A1603" t="s">
        <v>7830</v>
      </c>
      <c r="B1603" t="s">
        <v>7852</v>
      </c>
      <c r="C1603" t="s">
        <v>7853</v>
      </c>
      <c r="D1603" t="s">
        <v>7854</v>
      </c>
      <c r="E1603" t="s">
        <v>7855</v>
      </c>
      <c r="F1603">
        <v>29700235</v>
      </c>
      <c r="G1603">
        <v>227757</v>
      </c>
      <c r="H1603">
        <v>81486</v>
      </c>
      <c r="I1603" t="s">
        <v>7851</v>
      </c>
      <c r="J1603">
        <v>2004</v>
      </c>
      <c r="K1603" t="s">
        <v>7839</v>
      </c>
      <c r="L1603" t="s">
        <v>7837</v>
      </c>
    </row>
    <row r="1604" spans="1:12">
      <c r="A1604" t="s">
        <v>7830</v>
      </c>
      <c r="B1604" t="s">
        <v>7852</v>
      </c>
      <c r="C1604" t="s">
        <v>7853</v>
      </c>
      <c r="D1604" t="s">
        <v>7854</v>
      </c>
      <c r="E1604" t="s">
        <v>7855</v>
      </c>
      <c r="F1604">
        <v>30741860</v>
      </c>
      <c r="G1604">
        <v>212054</v>
      </c>
      <c r="H1604">
        <v>78295</v>
      </c>
      <c r="I1604" t="s">
        <v>7851</v>
      </c>
      <c r="J1604">
        <v>2004</v>
      </c>
      <c r="K1604" t="s">
        <v>7840</v>
      </c>
      <c r="L1604" t="s">
        <v>7837</v>
      </c>
    </row>
    <row r="1605" spans="1:12">
      <c r="A1605" t="s">
        <v>7830</v>
      </c>
      <c r="B1605" t="s">
        <v>7852</v>
      </c>
      <c r="C1605" t="s">
        <v>7853</v>
      </c>
      <c r="D1605" t="s">
        <v>7854</v>
      </c>
      <c r="E1605" t="s">
        <v>7855</v>
      </c>
      <c r="F1605">
        <v>29188508</v>
      </c>
      <c r="G1605">
        <v>220501</v>
      </c>
      <c r="H1605">
        <v>68475</v>
      </c>
      <c r="I1605" t="s">
        <v>7851</v>
      </c>
      <c r="J1605">
        <v>2004</v>
      </c>
      <c r="K1605" t="s">
        <v>7841</v>
      </c>
      <c r="L1605" t="s">
        <v>7837</v>
      </c>
    </row>
    <row r="1606" spans="1:12">
      <c r="A1606" t="s">
        <v>7830</v>
      </c>
      <c r="B1606" t="s">
        <v>7852</v>
      </c>
      <c r="C1606" t="s">
        <v>7853</v>
      </c>
      <c r="D1606" t="s">
        <v>7854</v>
      </c>
      <c r="E1606" t="s">
        <v>7855</v>
      </c>
      <c r="F1606">
        <v>31739833</v>
      </c>
      <c r="G1606">
        <v>217800</v>
      </c>
      <c r="H1606">
        <v>83607</v>
      </c>
      <c r="I1606" t="s">
        <v>7851</v>
      </c>
      <c r="J1606">
        <v>2004</v>
      </c>
      <c r="K1606" t="s">
        <v>7842</v>
      </c>
      <c r="L1606" t="s">
        <v>7837</v>
      </c>
    </row>
    <row r="1607" spans="1:12">
      <c r="A1607" t="s">
        <v>7830</v>
      </c>
      <c r="B1607" t="s">
        <v>7852</v>
      </c>
      <c r="C1607" t="s">
        <v>7853</v>
      </c>
      <c r="D1607" t="s">
        <v>7854</v>
      </c>
      <c r="E1607" t="s">
        <v>7855</v>
      </c>
      <c r="F1607">
        <v>30561548</v>
      </c>
      <c r="G1607">
        <v>232113</v>
      </c>
      <c r="H1607">
        <v>81227</v>
      </c>
      <c r="I1607" t="s">
        <v>7851</v>
      </c>
      <c r="J1607">
        <v>2004</v>
      </c>
      <c r="K1607" t="s">
        <v>7843</v>
      </c>
      <c r="L1607" t="s">
        <v>7837</v>
      </c>
    </row>
    <row r="1608" spans="1:12">
      <c r="A1608" t="s">
        <v>7830</v>
      </c>
      <c r="B1608" t="s">
        <v>7852</v>
      </c>
      <c r="C1608" t="s">
        <v>7853</v>
      </c>
      <c r="D1608" t="s">
        <v>7854</v>
      </c>
      <c r="E1608" t="s">
        <v>7855</v>
      </c>
      <c r="F1608">
        <v>30353428</v>
      </c>
      <c r="G1608">
        <v>258656</v>
      </c>
      <c r="H1608">
        <v>75438</v>
      </c>
      <c r="I1608" t="s">
        <v>7851</v>
      </c>
      <c r="J1608">
        <v>2004</v>
      </c>
      <c r="K1608" t="s">
        <v>7844</v>
      </c>
      <c r="L1608" t="s">
        <v>7837</v>
      </c>
    </row>
    <row r="1609" spans="1:12">
      <c r="A1609" t="s">
        <v>7830</v>
      </c>
      <c r="B1609" t="s">
        <v>7852</v>
      </c>
      <c r="C1609" t="s">
        <v>7853</v>
      </c>
      <c r="D1609" t="s">
        <v>7854</v>
      </c>
      <c r="E1609" t="s">
        <v>7855</v>
      </c>
      <c r="F1609">
        <v>33056350</v>
      </c>
      <c r="G1609">
        <v>265601</v>
      </c>
      <c r="H1609">
        <v>97007</v>
      </c>
      <c r="I1609" t="s">
        <v>7851</v>
      </c>
      <c r="J1609">
        <v>2004</v>
      </c>
      <c r="K1609" t="s">
        <v>7845</v>
      </c>
      <c r="L1609" t="s">
        <v>7837</v>
      </c>
    </row>
    <row r="1610" spans="1:12">
      <c r="A1610" t="s">
        <v>7830</v>
      </c>
      <c r="B1610" t="s">
        <v>7852</v>
      </c>
      <c r="C1610" t="s">
        <v>7853</v>
      </c>
      <c r="D1610" t="s">
        <v>7854</v>
      </c>
      <c r="E1610" t="s">
        <v>7855</v>
      </c>
      <c r="F1610">
        <v>37676067</v>
      </c>
      <c r="G1610">
        <v>313133</v>
      </c>
      <c r="H1610">
        <v>104216</v>
      </c>
      <c r="I1610" t="s">
        <v>7851</v>
      </c>
      <c r="J1610">
        <v>2004</v>
      </c>
      <c r="K1610" t="s">
        <v>7846</v>
      </c>
      <c r="L1610" t="s">
        <v>7837</v>
      </c>
    </row>
    <row r="1611" spans="1:12">
      <c r="A1611" t="s">
        <v>7830</v>
      </c>
      <c r="B1611" t="s">
        <v>7852</v>
      </c>
      <c r="C1611" t="s">
        <v>7853</v>
      </c>
      <c r="D1611" t="s">
        <v>7854</v>
      </c>
      <c r="E1611" t="s">
        <v>7855</v>
      </c>
      <c r="F1611">
        <v>36717819</v>
      </c>
      <c r="G1611">
        <v>375415</v>
      </c>
      <c r="H1611">
        <v>103411</v>
      </c>
      <c r="I1611" t="s">
        <v>7851</v>
      </c>
      <c r="J1611">
        <v>2004</v>
      </c>
      <c r="K1611" t="s">
        <v>7847</v>
      </c>
      <c r="L1611" t="s">
        <v>7837</v>
      </c>
    </row>
    <row r="1612" spans="1:12">
      <c r="A1612" t="s">
        <v>7830</v>
      </c>
      <c r="B1612" t="s">
        <v>7852</v>
      </c>
      <c r="C1612" t="s">
        <v>7853</v>
      </c>
      <c r="D1612" t="s">
        <v>7854</v>
      </c>
      <c r="E1612" t="s">
        <v>7855</v>
      </c>
      <c r="F1612">
        <v>56430214</v>
      </c>
      <c r="G1612">
        <v>539550</v>
      </c>
      <c r="H1612">
        <v>135440</v>
      </c>
      <c r="I1612" t="s">
        <v>7851</v>
      </c>
      <c r="J1612">
        <v>2004</v>
      </c>
      <c r="K1612" t="s">
        <v>7848</v>
      </c>
      <c r="L1612" t="s">
        <v>7837</v>
      </c>
    </row>
    <row r="1613" spans="1:12">
      <c r="A1613" t="s">
        <v>7830</v>
      </c>
      <c r="B1613" t="s">
        <v>7852</v>
      </c>
      <c r="C1613" t="s">
        <v>7853</v>
      </c>
      <c r="D1613" t="s">
        <v>7854</v>
      </c>
      <c r="E1613" t="s">
        <v>7855</v>
      </c>
      <c r="F1613">
        <v>31446643</v>
      </c>
      <c r="G1613">
        <v>249435</v>
      </c>
      <c r="H1613">
        <v>87811</v>
      </c>
      <c r="I1613" t="s">
        <v>7851</v>
      </c>
      <c r="J1613">
        <v>2005</v>
      </c>
      <c r="K1613" t="s">
        <v>7836</v>
      </c>
      <c r="L1613" t="s">
        <v>7837</v>
      </c>
    </row>
    <row r="1614" spans="1:12">
      <c r="A1614" t="s">
        <v>7830</v>
      </c>
      <c r="B1614" t="s">
        <v>7852</v>
      </c>
      <c r="C1614" t="s">
        <v>7853</v>
      </c>
      <c r="D1614" t="s">
        <v>7854</v>
      </c>
      <c r="E1614" t="s">
        <v>7855</v>
      </c>
      <c r="F1614">
        <v>27436301</v>
      </c>
      <c r="G1614">
        <v>253567</v>
      </c>
      <c r="H1614">
        <v>67791</v>
      </c>
      <c r="I1614" t="s">
        <v>7851</v>
      </c>
      <c r="J1614">
        <v>2005</v>
      </c>
      <c r="K1614" t="s">
        <v>7838</v>
      </c>
      <c r="L1614" t="s">
        <v>7837</v>
      </c>
    </row>
    <row r="1615" spans="1:12">
      <c r="A1615" t="s">
        <v>7830</v>
      </c>
      <c r="B1615" t="s">
        <v>7852</v>
      </c>
      <c r="C1615" t="s">
        <v>7853</v>
      </c>
      <c r="D1615" t="s">
        <v>7854</v>
      </c>
      <c r="E1615" t="s">
        <v>7855</v>
      </c>
      <c r="F1615">
        <v>42283120</v>
      </c>
      <c r="G1615">
        <v>366326</v>
      </c>
      <c r="H1615">
        <v>90507</v>
      </c>
      <c r="I1615" t="s">
        <v>7851</v>
      </c>
      <c r="J1615">
        <v>2005</v>
      </c>
      <c r="K1615" t="s">
        <v>7839</v>
      </c>
      <c r="L1615" t="s">
        <v>7837</v>
      </c>
    </row>
    <row r="1616" spans="1:12">
      <c r="A1616" t="s">
        <v>7830</v>
      </c>
      <c r="B1616" t="s">
        <v>7852</v>
      </c>
      <c r="C1616" t="s">
        <v>7853</v>
      </c>
      <c r="D1616" t="s">
        <v>7854</v>
      </c>
      <c r="E1616" t="s">
        <v>7855</v>
      </c>
      <c r="F1616">
        <v>42651036</v>
      </c>
      <c r="G1616">
        <v>300122</v>
      </c>
      <c r="H1616">
        <v>99690</v>
      </c>
      <c r="I1616" t="s">
        <v>7851</v>
      </c>
      <c r="J1616">
        <v>2005</v>
      </c>
      <c r="K1616" t="s">
        <v>7840</v>
      </c>
      <c r="L1616" t="s">
        <v>7837</v>
      </c>
    </row>
    <row r="1617" spans="1:12">
      <c r="A1617" t="s">
        <v>7830</v>
      </c>
      <c r="B1617" t="s">
        <v>7852</v>
      </c>
      <c r="C1617" t="s">
        <v>7853</v>
      </c>
      <c r="D1617" t="s">
        <v>7854</v>
      </c>
      <c r="E1617" t="s">
        <v>7855</v>
      </c>
      <c r="F1617">
        <v>46059161</v>
      </c>
      <c r="G1617">
        <v>369781</v>
      </c>
      <c r="H1617">
        <v>107839</v>
      </c>
      <c r="I1617" t="s">
        <v>7851</v>
      </c>
      <c r="J1617">
        <v>2005</v>
      </c>
      <c r="K1617" t="s">
        <v>7841</v>
      </c>
      <c r="L1617" t="s">
        <v>7837</v>
      </c>
    </row>
    <row r="1618" spans="1:12">
      <c r="A1618" t="s">
        <v>7830</v>
      </c>
      <c r="B1618" t="s">
        <v>7852</v>
      </c>
      <c r="C1618" t="s">
        <v>7853</v>
      </c>
      <c r="D1618" t="s">
        <v>7854</v>
      </c>
      <c r="E1618" t="s">
        <v>7855</v>
      </c>
      <c r="F1618">
        <v>44111843</v>
      </c>
      <c r="G1618">
        <v>355593</v>
      </c>
      <c r="H1618">
        <v>85731</v>
      </c>
      <c r="I1618" t="s">
        <v>7851</v>
      </c>
      <c r="J1618">
        <v>2005</v>
      </c>
      <c r="K1618" t="s">
        <v>7842</v>
      </c>
      <c r="L1618" t="s">
        <v>7837</v>
      </c>
    </row>
    <row r="1619" spans="1:12">
      <c r="A1619" t="s">
        <v>7830</v>
      </c>
      <c r="B1619" t="s">
        <v>7852</v>
      </c>
      <c r="C1619" t="s">
        <v>7853</v>
      </c>
      <c r="D1619" t="s">
        <v>7854</v>
      </c>
      <c r="E1619" t="s">
        <v>7855</v>
      </c>
      <c r="F1619">
        <v>45026279</v>
      </c>
      <c r="G1619">
        <v>341827</v>
      </c>
      <c r="H1619">
        <v>104190</v>
      </c>
      <c r="I1619" t="s">
        <v>7851</v>
      </c>
      <c r="J1619">
        <v>2005</v>
      </c>
      <c r="K1619" t="s">
        <v>7843</v>
      </c>
      <c r="L1619" t="s">
        <v>7837</v>
      </c>
    </row>
    <row r="1620" spans="1:12">
      <c r="A1620" t="s">
        <v>7830</v>
      </c>
      <c r="B1620" t="s">
        <v>7852</v>
      </c>
      <c r="C1620" t="s">
        <v>7853</v>
      </c>
      <c r="D1620" t="s">
        <v>7854</v>
      </c>
      <c r="E1620" t="s">
        <v>7855</v>
      </c>
      <c r="F1620">
        <v>48100316</v>
      </c>
      <c r="G1620">
        <v>471559</v>
      </c>
      <c r="H1620">
        <v>156712</v>
      </c>
      <c r="I1620" t="s">
        <v>7851</v>
      </c>
      <c r="J1620">
        <v>2005</v>
      </c>
      <c r="K1620" t="s">
        <v>7844</v>
      </c>
      <c r="L1620" t="s">
        <v>7837</v>
      </c>
    </row>
    <row r="1621" spans="1:12">
      <c r="A1621" t="s">
        <v>7830</v>
      </c>
      <c r="B1621" t="s">
        <v>7852</v>
      </c>
      <c r="C1621" t="s">
        <v>7853</v>
      </c>
      <c r="D1621" t="s">
        <v>7854</v>
      </c>
      <c r="E1621" t="s">
        <v>7855</v>
      </c>
      <c r="F1621">
        <v>50253540</v>
      </c>
      <c r="G1621">
        <v>503553</v>
      </c>
      <c r="H1621">
        <v>142518</v>
      </c>
      <c r="I1621" t="s">
        <v>7851</v>
      </c>
      <c r="J1621">
        <v>2005</v>
      </c>
      <c r="K1621" t="s">
        <v>7845</v>
      </c>
      <c r="L1621" t="s">
        <v>7837</v>
      </c>
    </row>
    <row r="1622" spans="1:12">
      <c r="A1622" t="s">
        <v>7830</v>
      </c>
      <c r="B1622" t="s">
        <v>7852</v>
      </c>
      <c r="C1622" t="s">
        <v>7853</v>
      </c>
      <c r="D1622" t="s">
        <v>7854</v>
      </c>
      <c r="E1622" t="s">
        <v>7855</v>
      </c>
      <c r="F1622">
        <v>62028731</v>
      </c>
      <c r="G1622">
        <v>661019</v>
      </c>
      <c r="H1622">
        <v>237603</v>
      </c>
      <c r="I1622" t="s">
        <v>7851</v>
      </c>
      <c r="J1622">
        <v>2005</v>
      </c>
      <c r="K1622" t="s">
        <v>7846</v>
      </c>
      <c r="L1622" t="s">
        <v>7837</v>
      </c>
    </row>
    <row r="1623" spans="1:12">
      <c r="A1623" t="s">
        <v>7830</v>
      </c>
      <c r="B1623" t="s">
        <v>7852</v>
      </c>
      <c r="C1623" t="s">
        <v>7853</v>
      </c>
      <c r="D1623" t="s">
        <v>7854</v>
      </c>
      <c r="E1623" t="s">
        <v>7855</v>
      </c>
      <c r="F1623">
        <v>91281536</v>
      </c>
      <c r="G1623">
        <v>1089067</v>
      </c>
      <c r="H1623">
        <v>476396</v>
      </c>
      <c r="I1623" t="s">
        <v>7851</v>
      </c>
      <c r="J1623">
        <v>2005</v>
      </c>
      <c r="K1623" t="s">
        <v>7847</v>
      </c>
      <c r="L1623" t="s">
        <v>7837</v>
      </c>
    </row>
    <row r="1624" spans="1:12">
      <c r="A1624" t="s">
        <v>7830</v>
      </c>
      <c r="B1624" t="s">
        <v>7852</v>
      </c>
      <c r="C1624" t="s">
        <v>7853</v>
      </c>
      <c r="D1624" t="s">
        <v>7854</v>
      </c>
      <c r="E1624" t="s">
        <v>7855</v>
      </c>
      <c r="F1624">
        <v>58609525</v>
      </c>
      <c r="G1624">
        <v>695280</v>
      </c>
      <c r="H1624">
        <v>260712</v>
      </c>
      <c r="I1624" t="s">
        <v>7851</v>
      </c>
      <c r="J1624">
        <v>2005</v>
      </c>
      <c r="K1624" t="s">
        <v>7848</v>
      </c>
      <c r="L1624" t="s">
        <v>7837</v>
      </c>
    </row>
    <row r="1625" spans="1:12">
      <c r="A1625" t="s">
        <v>7830</v>
      </c>
      <c r="B1625" t="s">
        <v>7852</v>
      </c>
      <c r="C1625" t="s">
        <v>7853</v>
      </c>
      <c r="D1625" t="s">
        <v>7854</v>
      </c>
      <c r="E1625" t="s">
        <v>7855</v>
      </c>
      <c r="F1625">
        <v>62132462</v>
      </c>
      <c r="G1625">
        <v>619683</v>
      </c>
      <c r="H1625">
        <v>234543</v>
      </c>
      <c r="I1625" t="s">
        <v>7851</v>
      </c>
      <c r="J1625">
        <v>2006</v>
      </c>
      <c r="K1625" t="s">
        <v>7836</v>
      </c>
      <c r="L1625" t="s">
        <v>7837</v>
      </c>
    </row>
    <row r="1626" spans="1:12">
      <c r="A1626" t="s">
        <v>7830</v>
      </c>
      <c r="B1626" t="s">
        <v>7852</v>
      </c>
      <c r="C1626" t="s">
        <v>7853</v>
      </c>
      <c r="D1626" t="s">
        <v>7854</v>
      </c>
      <c r="E1626" t="s">
        <v>7855</v>
      </c>
      <c r="F1626">
        <v>57521358</v>
      </c>
      <c r="G1626">
        <v>783481</v>
      </c>
      <c r="H1626">
        <v>191491</v>
      </c>
      <c r="I1626" t="s">
        <v>7851</v>
      </c>
      <c r="J1626">
        <v>2006</v>
      </c>
      <c r="K1626" t="s">
        <v>7838</v>
      </c>
      <c r="L1626" t="s">
        <v>7837</v>
      </c>
    </row>
    <row r="1627" spans="1:12">
      <c r="A1627" t="s">
        <v>7830</v>
      </c>
      <c r="B1627" t="s">
        <v>7852</v>
      </c>
      <c r="C1627" t="s">
        <v>7853</v>
      </c>
      <c r="D1627" t="s">
        <v>7854</v>
      </c>
      <c r="E1627" t="s">
        <v>7855</v>
      </c>
      <c r="F1627">
        <v>81474457</v>
      </c>
      <c r="G1627">
        <v>876518</v>
      </c>
      <c r="H1627">
        <v>202387</v>
      </c>
      <c r="I1627" t="s">
        <v>7851</v>
      </c>
      <c r="J1627">
        <v>2006</v>
      </c>
      <c r="K1627" t="s">
        <v>7839</v>
      </c>
      <c r="L1627" t="s">
        <v>7837</v>
      </c>
    </row>
    <row r="1628" spans="1:12">
      <c r="A1628" t="s">
        <v>7830</v>
      </c>
      <c r="B1628" t="s">
        <v>7852</v>
      </c>
      <c r="C1628" t="s">
        <v>7853</v>
      </c>
      <c r="D1628" t="s">
        <v>7854</v>
      </c>
      <c r="E1628" t="s">
        <v>7855</v>
      </c>
      <c r="F1628">
        <v>52764459</v>
      </c>
      <c r="G1628">
        <v>550993</v>
      </c>
      <c r="H1628">
        <v>139252</v>
      </c>
      <c r="I1628" t="s">
        <v>7851</v>
      </c>
      <c r="J1628">
        <v>2006</v>
      </c>
      <c r="K1628" t="s">
        <v>7840</v>
      </c>
      <c r="L1628" t="s">
        <v>7837</v>
      </c>
    </row>
    <row r="1629" spans="1:12">
      <c r="A1629" t="s">
        <v>7830</v>
      </c>
      <c r="B1629" t="s">
        <v>7852</v>
      </c>
      <c r="C1629" t="s">
        <v>7853</v>
      </c>
      <c r="D1629" t="s">
        <v>7854</v>
      </c>
      <c r="E1629" t="s">
        <v>7855</v>
      </c>
      <c r="F1629">
        <v>63041504</v>
      </c>
      <c r="G1629">
        <v>914310</v>
      </c>
      <c r="H1629">
        <v>202320</v>
      </c>
      <c r="I1629" t="s">
        <v>7851</v>
      </c>
      <c r="J1629">
        <v>2006</v>
      </c>
      <c r="K1629" t="s">
        <v>7841</v>
      </c>
      <c r="L1629" t="s">
        <v>7837</v>
      </c>
    </row>
    <row r="1630" spans="1:12">
      <c r="A1630" t="s">
        <v>7830</v>
      </c>
      <c r="B1630" t="s">
        <v>7852</v>
      </c>
      <c r="C1630" t="s">
        <v>7853</v>
      </c>
      <c r="D1630" t="s">
        <v>7854</v>
      </c>
      <c r="E1630" t="s">
        <v>7855</v>
      </c>
      <c r="F1630">
        <v>78026223</v>
      </c>
      <c r="G1630">
        <v>699510</v>
      </c>
      <c r="H1630">
        <v>242471</v>
      </c>
      <c r="I1630" t="s">
        <v>7851</v>
      </c>
      <c r="J1630">
        <v>2006</v>
      </c>
      <c r="K1630" t="s">
        <v>7842</v>
      </c>
      <c r="L1630" t="s">
        <v>7837</v>
      </c>
    </row>
    <row r="1631" spans="1:12">
      <c r="A1631" t="s">
        <v>7830</v>
      </c>
      <c r="B1631" t="s">
        <v>7852</v>
      </c>
      <c r="C1631" t="s">
        <v>7853</v>
      </c>
      <c r="D1631" t="s">
        <v>7854</v>
      </c>
      <c r="E1631" t="s">
        <v>7855</v>
      </c>
      <c r="F1631">
        <v>54396923</v>
      </c>
      <c r="G1631">
        <v>515695</v>
      </c>
      <c r="H1631">
        <v>156207</v>
      </c>
      <c r="I1631" t="s">
        <v>7851</v>
      </c>
      <c r="J1631">
        <v>2006</v>
      </c>
      <c r="K1631" t="s">
        <v>7843</v>
      </c>
      <c r="L1631" t="s">
        <v>7837</v>
      </c>
    </row>
    <row r="1632" spans="1:12">
      <c r="A1632" t="s">
        <v>7830</v>
      </c>
      <c r="B1632" t="s">
        <v>7852</v>
      </c>
      <c r="C1632" t="s">
        <v>7853</v>
      </c>
      <c r="D1632" t="s">
        <v>7854</v>
      </c>
      <c r="E1632" t="s">
        <v>7855</v>
      </c>
      <c r="F1632">
        <v>66994546</v>
      </c>
      <c r="G1632">
        <v>745989</v>
      </c>
      <c r="H1632">
        <v>179982</v>
      </c>
      <c r="I1632" t="s">
        <v>7851</v>
      </c>
      <c r="J1632">
        <v>2006</v>
      </c>
      <c r="K1632" t="s">
        <v>7844</v>
      </c>
      <c r="L1632" t="s">
        <v>7837</v>
      </c>
    </row>
    <row r="1633" spans="1:12">
      <c r="A1633" t="s">
        <v>7830</v>
      </c>
      <c r="B1633" t="s">
        <v>7852</v>
      </c>
      <c r="C1633" t="s">
        <v>7853</v>
      </c>
      <c r="D1633" t="s">
        <v>7854</v>
      </c>
      <c r="E1633" t="s">
        <v>7855</v>
      </c>
      <c r="F1633">
        <v>62120202</v>
      </c>
      <c r="G1633">
        <v>686323</v>
      </c>
      <c r="H1633">
        <v>383495</v>
      </c>
      <c r="I1633" t="s">
        <v>7851</v>
      </c>
      <c r="J1633">
        <v>2006</v>
      </c>
      <c r="K1633" t="s">
        <v>7845</v>
      </c>
      <c r="L1633" t="s">
        <v>7837</v>
      </c>
    </row>
    <row r="1634" spans="1:12">
      <c r="A1634" t="s">
        <v>7830</v>
      </c>
      <c r="B1634" t="s">
        <v>7852</v>
      </c>
      <c r="C1634" t="s">
        <v>7853</v>
      </c>
      <c r="D1634" t="s">
        <v>7854</v>
      </c>
      <c r="E1634" t="s">
        <v>7855</v>
      </c>
      <c r="F1634">
        <v>80834357</v>
      </c>
      <c r="G1634">
        <v>1055230</v>
      </c>
      <c r="H1634">
        <v>416873</v>
      </c>
      <c r="I1634" t="s">
        <v>7851</v>
      </c>
      <c r="J1634">
        <v>2006</v>
      </c>
      <c r="K1634" t="s">
        <v>7846</v>
      </c>
      <c r="L1634" t="s">
        <v>7837</v>
      </c>
    </row>
    <row r="1635" spans="1:12">
      <c r="A1635" t="s">
        <v>7830</v>
      </c>
      <c r="B1635" t="s">
        <v>7852</v>
      </c>
      <c r="C1635" t="s">
        <v>7853</v>
      </c>
      <c r="D1635" t="s">
        <v>7854</v>
      </c>
      <c r="E1635" t="s">
        <v>7855</v>
      </c>
      <c r="F1635">
        <v>111791976</v>
      </c>
      <c r="G1635">
        <v>1162676</v>
      </c>
      <c r="H1635">
        <v>343293</v>
      </c>
      <c r="I1635" t="s">
        <v>7851</v>
      </c>
      <c r="J1635">
        <v>2006</v>
      </c>
      <c r="K1635" t="s">
        <v>7847</v>
      </c>
      <c r="L1635" t="s">
        <v>7837</v>
      </c>
    </row>
    <row r="1636" spans="1:12">
      <c r="A1636" t="s">
        <v>7830</v>
      </c>
      <c r="B1636" t="s">
        <v>7852</v>
      </c>
      <c r="C1636" t="s">
        <v>7853</v>
      </c>
      <c r="D1636" t="s">
        <v>7854</v>
      </c>
      <c r="E1636" t="s">
        <v>7855</v>
      </c>
      <c r="F1636">
        <v>108143026</v>
      </c>
      <c r="G1636">
        <v>1373512</v>
      </c>
      <c r="H1636">
        <v>292918</v>
      </c>
      <c r="I1636" t="s">
        <v>7851</v>
      </c>
      <c r="J1636">
        <v>2006</v>
      </c>
      <c r="K1636" t="s">
        <v>7848</v>
      </c>
      <c r="L1636" t="s">
        <v>7837</v>
      </c>
    </row>
    <row r="1637" spans="1:12">
      <c r="A1637" t="s">
        <v>7830</v>
      </c>
      <c r="B1637" t="s">
        <v>7852</v>
      </c>
      <c r="C1637" t="s">
        <v>7853</v>
      </c>
      <c r="D1637" t="s">
        <v>7854</v>
      </c>
      <c r="E1637" t="s">
        <v>7855</v>
      </c>
      <c r="F1637">
        <v>80051930</v>
      </c>
      <c r="G1637">
        <v>1219445</v>
      </c>
      <c r="H1637">
        <v>268266</v>
      </c>
      <c r="I1637" t="s">
        <v>7851</v>
      </c>
      <c r="J1637">
        <v>2007</v>
      </c>
      <c r="K1637" t="s">
        <v>7836</v>
      </c>
      <c r="L1637" t="s">
        <v>7837</v>
      </c>
    </row>
    <row r="1638" spans="1:12">
      <c r="A1638" t="s">
        <v>7830</v>
      </c>
      <c r="B1638" t="s">
        <v>7852</v>
      </c>
      <c r="C1638" t="s">
        <v>7853</v>
      </c>
      <c r="D1638" t="s">
        <v>7854</v>
      </c>
      <c r="E1638" t="s">
        <v>7855</v>
      </c>
      <c r="F1638">
        <v>81594856</v>
      </c>
      <c r="G1638">
        <v>858413</v>
      </c>
      <c r="H1638">
        <v>290856</v>
      </c>
      <c r="I1638" t="s">
        <v>7851</v>
      </c>
      <c r="J1638">
        <v>2007</v>
      </c>
      <c r="K1638" t="s">
        <v>7838</v>
      </c>
      <c r="L1638" t="s">
        <v>7837</v>
      </c>
    </row>
    <row r="1639" spans="1:12">
      <c r="A1639" t="s">
        <v>7830</v>
      </c>
      <c r="B1639" t="s">
        <v>7852</v>
      </c>
      <c r="C1639" t="s">
        <v>7853</v>
      </c>
      <c r="D1639" t="s">
        <v>7854</v>
      </c>
      <c r="E1639" t="s">
        <v>7855</v>
      </c>
      <c r="F1639">
        <v>102565466</v>
      </c>
      <c r="G1639">
        <v>1122204</v>
      </c>
      <c r="H1639">
        <v>296706</v>
      </c>
      <c r="I1639" t="s">
        <v>7851</v>
      </c>
      <c r="J1639">
        <v>2007</v>
      </c>
      <c r="K1639" t="s">
        <v>7839</v>
      </c>
      <c r="L1639" t="s">
        <v>7837</v>
      </c>
    </row>
    <row r="1640" spans="1:12">
      <c r="A1640" t="s">
        <v>7830</v>
      </c>
      <c r="B1640" t="s">
        <v>7852</v>
      </c>
      <c r="C1640" t="s">
        <v>7853</v>
      </c>
      <c r="D1640" t="s">
        <v>7854</v>
      </c>
      <c r="E1640" t="s">
        <v>7855</v>
      </c>
      <c r="F1640">
        <v>64749453</v>
      </c>
      <c r="G1640">
        <v>730669</v>
      </c>
      <c r="H1640">
        <v>214403</v>
      </c>
      <c r="I1640" t="s">
        <v>7851</v>
      </c>
      <c r="J1640">
        <v>2007</v>
      </c>
      <c r="K1640" t="s">
        <v>7840</v>
      </c>
      <c r="L1640" t="s">
        <v>7837</v>
      </c>
    </row>
    <row r="1641" spans="1:12">
      <c r="A1641" t="s">
        <v>7830</v>
      </c>
      <c r="B1641" t="s">
        <v>7852</v>
      </c>
      <c r="C1641" t="s">
        <v>7853</v>
      </c>
      <c r="D1641" t="s">
        <v>7854</v>
      </c>
      <c r="E1641" t="s">
        <v>7855</v>
      </c>
      <c r="F1641">
        <v>67905213</v>
      </c>
      <c r="G1641">
        <v>762385</v>
      </c>
      <c r="H1641">
        <v>265415</v>
      </c>
      <c r="I1641" t="s">
        <v>7851</v>
      </c>
      <c r="J1641">
        <v>2007</v>
      </c>
      <c r="K1641" t="s">
        <v>7841</v>
      </c>
      <c r="L1641" t="s">
        <v>7837</v>
      </c>
    </row>
    <row r="1642" spans="1:12">
      <c r="A1642" t="s">
        <v>7830</v>
      </c>
      <c r="B1642" t="s">
        <v>7852</v>
      </c>
      <c r="C1642" t="s">
        <v>7853</v>
      </c>
      <c r="D1642" t="s">
        <v>7854</v>
      </c>
      <c r="E1642" t="s">
        <v>7855</v>
      </c>
      <c r="F1642">
        <v>82297550</v>
      </c>
      <c r="G1642">
        <v>887029</v>
      </c>
      <c r="H1642">
        <v>233300</v>
      </c>
      <c r="I1642" t="s">
        <v>7851</v>
      </c>
      <c r="J1642">
        <v>2007</v>
      </c>
      <c r="K1642" t="s">
        <v>7842</v>
      </c>
      <c r="L1642" t="s">
        <v>7837</v>
      </c>
    </row>
    <row r="1643" spans="1:12">
      <c r="A1643" t="s">
        <v>7830</v>
      </c>
      <c r="B1643" t="s">
        <v>7852</v>
      </c>
      <c r="C1643" t="s">
        <v>7853</v>
      </c>
      <c r="D1643" t="s">
        <v>7854</v>
      </c>
      <c r="E1643" t="s">
        <v>7855</v>
      </c>
      <c r="F1643">
        <v>76366925</v>
      </c>
      <c r="G1643">
        <v>828170</v>
      </c>
      <c r="H1643">
        <v>239009</v>
      </c>
      <c r="I1643" t="s">
        <v>7851</v>
      </c>
      <c r="J1643">
        <v>2007</v>
      </c>
      <c r="K1643" t="s">
        <v>7843</v>
      </c>
      <c r="L1643" t="s">
        <v>7837</v>
      </c>
    </row>
    <row r="1644" spans="1:12">
      <c r="A1644" t="s">
        <v>7830</v>
      </c>
      <c r="B1644" t="s">
        <v>7852</v>
      </c>
      <c r="C1644" t="s">
        <v>7853</v>
      </c>
      <c r="D1644" t="s">
        <v>7854</v>
      </c>
      <c r="E1644" t="s">
        <v>7855</v>
      </c>
      <c r="F1644">
        <v>82868394</v>
      </c>
      <c r="G1644">
        <v>955039</v>
      </c>
      <c r="H1644">
        <v>290020</v>
      </c>
      <c r="I1644" t="s">
        <v>7851</v>
      </c>
      <c r="J1644">
        <v>2007</v>
      </c>
      <c r="K1644" t="s">
        <v>7844</v>
      </c>
      <c r="L1644" t="s">
        <v>7837</v>
      </c>
    </row>
    <row r="1645" spans="1:12">
      <c r="A1645" t="s">
        <v>7830</v>
      </c>
      <c r="B1645" t="s">
        <v>7852</v>
      </c>
      <c r="C1645" t="s">
        <v>7853</v>
      </c>
      <c r="D1645" t="s">
        <v>7854</v>
      </c>
      <c r="E1645" t="s">
        <v>7855</v>
      </c>
      <c r="F1645">
        <v>76716136</v>
      </c>
      <c r="G1645">
        <v>804492</v>
      </c>
      <c r="H1645">
        <v>250525</v>
      </c>
      <c r="I1645" t="s">
        <v>7851</v>
      </c>
      <c r="J1645">
        <v>2007</v>
      </c>
      <c r="K1645" t="s">
        <v>7845</v>
      </c>
      <c r="L1645" t="s">
        <v>7837</v>
      </c>
    </row>
    <row r="1646" spans="1:12">
      <c r="A1646" t="s">
        <v>7830</v>
      </c>
      <c r="B1646" t="s">
        <v>7852</v>
      </c>
      <c r="C1646" t="s">
        <v>7853</v>
      </c>
      <c r="D1646" t="s">
        <v>7854</v>
      </c>
      <c r="E1646" t="s">
        <v>7855</v>
      </c>
      <c r="F1646">
        <v>88492716</v>
      </c>
      <c r="G1646">
        <v>856695</v>
      </c>
      <c r="H1646">
        <v>279974</v>
      </c>
      <c r="I1646" t="s">
        <v>7851</v>
      </c>
      <c r="J1646">
        <v>2007</v>
      </c>
      <c r="K1646" t="s">
        <v>7846</v>
      </c>
      <c r="L1646" t="s">
        <v>7837</v>
      </c>
    </row>
    <row r="1647" spans="1:12">
      <c r="A1647" t="s">
        <v>7830</v>
      </c>
      <c r="B1647" t="s">
        <v>7852</v>
      </c>
      <c r="C1647" t="s">
        <v>7853</v>
      </c>
      <c r="D1647" t="s">
        <v>7854</v>
      </c>
      <c r="E1647" t="s">
        <v>7855</v>
      </c>
      <c r="F1647">
        <v>123681154</v>
      </c>
      <c r="G1647">
        <v>1461573</v>
      </c>
      <c r="H1647">
        <v>405645</v>
      </c>
      <c r="I1647" t="s">
        <v>7851</v>
      </c>
      <c r="J1647">
        <v>2007</v>
      </c>
      <c r="K1647" t="s">
        <v>7847</v>
      </c>
      <c r="L1647" t="s">
        <v>7837</v>
      </c>
    </row>
    <row r="1648" spans="1:12">
      <c r="A1648" t="s">
        <v>7830</v>
      </c>
      <c r="B1648" t="s">
        <v>7852</v>
      </c>
      <c r="C1648" t="s">
        <v>7853</v>
      </c>
      <c r="D1648" t="s">
        <v>7854</v>
      </c>
      <c r="E1648" t="s">
        <v>7855</v>
      </c>
      <c r="F1648">
        <v>84546027</v>
      </c>
      <c r="G1648">
        <v>923296</v>
      </c>
      <c r="H1648">
        <v>270320</v>
      </c>
      <c r="I1648" t="s">
        <v>7851</v>
      </c>
      <c r="J1648">
        <v>2007</v>
      </c>
      <c r="K1648" t="s">
        <v>7848</v>
      </c>
      <c r="L1648" t="s">
        <v>7837</v>
      </c>
    </row>
    <row r="1649" spans="1:12">
      <c r="A1649" t="s">
        <v>7830</v>
      </c>
      <c r="B1649" t="s">
        <v>7852</v>
      </c>
      <c r="C1649" t="s">
        <v>7853</v>
      </c>
      <c r="D1649" t="s">
        <v>7854</v>
      </c>
      <c r="E1649" t="s">
        <v>7855</v>
      </c>
      <c r="F1649">
        <v>59832267</v>
      </c>
      <c r="G1649">
        <v>556420</v>
      </c>
      <c r="H1649">
        <v>173848</v>
      </c>
      <c r="I1649" t="s">
        <v>7851</v>
      </c>
      <c r="J1649">
        <v>2008</v>
      </c>
      <c r="K1649" t="s">
        <v>7836</v>
      </c>
      <c r="L1649" t="s">
        <v>7837</v>
      </c>
    </row>
    <row r="1650" spans="1:12">
      <c r="A1650" t="s">
        <v>7830</v>
      </c>
      <c r="B1650" t="s">
        <v>7852</v>
      </c>
      <c r="C1650" t="s">
        <v>7853</v>
      </c>
      <c r="D1650" t="s">
        <v>7854</v>
      </c>
      <c r="E1650" t="s">
        <v>7855</v>
      </c>
      <c r="F1650">
        <v>99713042</v>
      </c>
      <c r="G1650">
        <v>1128556</v>
      </c>
      <c r="H1650">
        <v>302280</v>
      </c>
      <c r="I1650" t="s">
        <v>7851</v>
      </c>
      <c r="J1650">
        <v>2008</v>
      </c>
      <c r="K1650" t="s">
        <v>7838</v>
      </c>
      <c r="L1650" t="s">
        <v>7837</v>
      </c>
    </row>
    <row r="1651" spans="1:12">
      <c r="A1651" t="s">
        <v>7830</v>
      </c>
      <c r="B1651" t="s">
        <v>7852</v>
      </c>
      <c r="C1651" t="s">
        <v>7853</v>
      </c>
      <c r="D1651" t="s">
        <v>7854</v>
      </c>
      <c r="E1651" t="s">
        <v>7855</v>
      </c>
      <c r="F1651">
        <v>103353884</v>
      </c>
      <c r="G1651">
        <v>985187</v>
      </c>
      <c r="H1651">
        <v>342325</v>
      </c>
      <c r="I1651" t="s">
        <v>7851</v>
      </c>
      <c r="J1651">
        <v>2008</v>
      </c>
      <c r="K1651" t="s">
        <v>7839</v>
      </c>
      <c r="L1651" t="s">
        <v>7837</v>
      </c>
    </row>
    <row r="1652" spans="1:12">
      <c r="A1652" t="s">
        <v>7830</v>
      </c>
      <c r="B1652" t="s">
        <v>7852</v>
      </c>
      <c r="C1652" t="s">
        <v>7853</v>
      </c>
      <c r="D1652" t="s">
        <v>7854</v>
      </c>
      <c r="E1652" t="s">
        <v>7855</v>
      </c>
      <c r="F1652">
        <v>84595314</v>
      </c>
      <c r="G1652">
        <v>814167</v>
      </c>
      <c r="H1652">
        <v>243108</v>
      </c>
      <c r="I1652" t="s">
        <v>7851</v>
      </c>
      <c r="J1652">
        <v>2008</v>
      </c>
      <c r="K1652" t="s">
        <v>7840</v>
      </c>
      <c r="L1652" t="s">
        <v>7837</v>
      </c>
    </row>
    <row r="1653" spans="1:12">
      <c r="A1653" t="s">
        <v>7830</v>
      </c>
      <c r="B1653" t="s">
        <v>7852</v>
      </c>
      <c r="C1653" t="s">
        <v>7853</v>
      </c>
      <c r="D1653" t="s">
        <v>7854</v>
      </c>
      <c r="E1653" t="s">
        <v>7855</v>
      </c>
      <c r="F1653">
        <v>93922800</v>
      </c>
      <c r="G1653">
        <v>1115466</v>
      </c>
      <c r="H1653">
        <v>440962</v>
      </c>
      <c r="I1653" t="s">
        <v>7851</v>
      </c>
      <c r="J1653">
        <v>2008</v>
      </c>
      <c r="K1653" t="s">
        <v>7841</v>
      </c>
      <c r="L1653" t="s">
        <v>7837</v>
      </c>
    </row>
    <row r="1654" spans="1:12">
      <c r="A1654" t="s">
        <v>7830</v>
      </c>
      <c r="B1654" t="s">
        <v>7852</v>
      </c>
      <c r="C1654" t="s">
        <v>7853</v>
      </c>
      <c r="D1654" t="s">
        <v>7854</v>
      </c>
      <c r="E1654" t="s">
        <v>7855</v>
      </c>
      <c r="F1654">
        <v>92290196</v>
      </c>
      <c r="G1654">
        <v>889740</v>
      </c>
      <c r="H1654">
        <v>377195</v>
      </c>
      <c r="I1654" t="s">
        <v>7851</v>
      </c>
      <c r="J1654">
        <v>2008</v>
      </c>
      <c r="K1654" t="s">
        <v>7842</v>
      </c>
      <c r="L1654" t="s">
        <v>7837</v>
      </c>
    </row>
    <row r="1655" spans="1:12">
      <c r="A1655" t="s">
        <v>7830</v>
      </c>
      <c r="B1655" t="s">
        <v>7852</v>
      </c>
      <c r="C1655" t="s">
        <v>7853</v>
      </c>
      <c r="D1655" t="s">
        <v>7854</v>
      </c>
      <c r="E1655" t="s">
        <v>7855</v>
      </c>
      <c r="F1655">
        <v>81075203</v>
      </c>
      <c r="G1655">
        <v>852768</v>
      </c>
      <c r="H1655">
        <v>423165</v>
      </c>
      <c r="I1655" t="s">
        <v>7851</v>
      </c>
      <c r="J1655">
        <v>2008</v>
      </c>
      <c r="K1655" t="s">
        <v>7843</v>
      </c>
      <c r="L1655" t="s">
        <v>7837</v>
      </c>
    </row>
    <row r="1656" spans="1:12">
      <c r="A1656" t="s">
        <v>7830</v>
      </c>
      <c r="B1656" t="s">
        <v>7852</v>
      </c>
      <c r="C1656" t="s">
        <v>7853</v>
      </c>
      <c r="D1656" t="s">
        <v>7854</v>
      </c>
      <c r="E1656" t="s">
        <v>7855</v>
      </c>
      <c r="F1656">
        <v>96043144</v>
      </c>
      <c r="G1656">
        <v>1110355</v>
      </c>
      <c r="H1656">
        <v>315631</v>
      </c>
      <c r="I1656" t="s">
        <v>7851</v>
      </c>
      <c r="J1656">
        <v>2008</v>
      </c>
      <c r="K1656" t="s">
        <v>7844</v>
      </c>
      <c r="L1656" t="s">
        <v>7837</v>
      </c>
    </row>
    <row r="1657" spans="1:12">
      <c r="A1657" t="s">
        <v>7830</v>
      </c>
      <c r="B1657" t="s">
        <v>7852</v>
      </c>
      <c r="C1657" t="s">
        <v>7853</v>
      </c>
      <c r="D1657" t="s">
        <v>7854</v>
      </c>
      <c r="E1657" t="s">
        <v>7855</v>
      </c>
      <c r="F1657">
        <v>105006323</v>
      </c>
      <c r="G1657">
        <v>1099758</v>
      </c>
      <c r="H1657">
        <v>588795</v>
      </c>
      <c r="I1657" t="s">
        <v>7851</v>
      </c>
      <c r="J1657">
        <v>2008</v>
      </c>
      <c r="K1657" t="s">
        <v>7845</v>
      </c>
      <c r="L1657" t="s">
        <v>7837</v>
      </c>
    </row>
    <row r="1658" spans="1:12">
      <c r="A1658" t="s">
        <v>7830</v>
      </c>
      <c r="B1658" t="s">
        <v>7852</v>
      </c>
      <c r="C1658" t="s">
        <v>7853</v>
      </c>
      <c r="D1658" t="s">
        <v>7854</v>
      </c>
      <c r="E1658" t="s">
        <v>7855</v>
      </c>
      <c r="F1658">
        <v>108004628</v>
      </c>
      <c r="G1658">
        <v>1286481</v>
      </c>
      <c r="H1658">
        <v>624842</v>
      </c>
      <c r="I1658" t="s">
        <v>7851</v>
      </c>
      <c r="J1658">
        <v>2008</v>
      </c>
      <c r="K1658" t="s">
        <v>7846</v>
      </c>
      <c r="L1658" t="s">
        <v>7837</v>
      </c>
    </row>
    <row r="1659" spans="1:12">
      <c r="A1659" t="s">
        <v>7830</v>
      </c>
      <c r="B1659" t="s">
        <v>7852</v>
      </c>
      <c r="C1659" t="s">
        <v>7853</v>
      </c>
      <c r="D1659" t="s">
        <v>7854</v>
      </c>
      <c r="E1659" t="s">
        <v>7855</v>
      </c>
      <c r="F1659">
        <v>183354162</v>
      </c>
      <c r="G1659">
        <v>1827531</v>
      </c>
      <c r="H1659">
        <v>775101</v>
      </c>
      <c r="I1659" t="s">
        <v>7851</v>
      </c>
      <c r="J1659">
        <v>2008</v>
      </c>
      <c r="K1659" t="s">
        <v>7847</v>
      </c>
      <c r="L1659" t="s">
        <v>7837</v>
      </c>
    </row>
    <row r="1660" spans="1:12">
      <c r="A1660" t="s">
        <v>7830</v>
      </c>
      <c r="B1660" t="s">
        <v>7852</v>
      </c>
      <c r="C1660" t="s">
        <v>7853</v>
      </c>
      <c r="D1660" t="s">
        <v>7854</v>
      </c>
      <c r="E1660" t="s">
        <v>7855</v>
      </c>
      <c r="F1660">
        <v>160591848</v>
      </c>
      <c r="G1660">
        <v>1595179</v>
      </c>
      <c r="H1660">
        <v>640090</v>
      </c>
      <c r="I1660" t="s">
        <v>7851</v>
      </c>
      <c r="J1660">
        <v>2008</v>
      </c>
      <c r="K1660" t="s">
        <v>7848</v>
      </c>
      <c r="L1660" t="s">
        <v>7837</v>
      </c>
    </row>
    <row r="1661" spans="1:12">
      <c r="A1661" t="s">
        <v>7830</v>
      </c>
      <c r="B1661" t="s">
        <v>7852</v>
      </c>
      <c r="C1661" t="s">
        <v>7853</v>
      </c>
      <c r="D1661" t="s">
        <v>7854</v>
      </c>
      <c r="E1661" t="s">
        <v>7855</v>
      </c>
      <c r="F1661">
        <v>118056704</v>
      </c>
      <c r="G1661">
        <v>1205461</v>
      </c>
      <c r="H1661">
        <v>525230</v>
      </c>
      <c r="I1661" t="s">
        <v>7851</v>
      </c>
      <c r="J1661">
        <v>2009</v>
      </c>
      <c r="K1661" t="s">
        <v>7836</v>
      </c>
      <c r="L1661" t="s">
        <v>7837</v>
      </c>
    </row>
    <row r="1662" spans="1:12">
      <c r="A1662" t="s">
        <v>7830</v>
      </c>
      <c r="B1662" t="s">
        <v>7852</v>
      </c>
      <c r="C1662" t="s">
        <v>7853</v>
      </c>
      <c r="D1662" t="s">
        <v>7854</v>
      </c>
      <c r="E1662" t="s">
        <v>7855</v>
      </c>
      <c r="F1662">
        <v>114007962</v>
      </c>
      <c r="G1662">
        <v>1238694</v>
      </c>
      <c r="H1662">
        <v>425799</v>
      </c>
      <c r="I1662" t="s">
        <v>7851</v>
      </c>
      <c r="J1662">
        <v>2009</v>
      </c>
      <c r="K1662" t="s">
        <v>7838</v>
      </c>
      <c r="L1662" t="s">
        <v>7837</v>
      </c>
    </row>
    <row r="1663" spans="1:12">
      <c r="A1663" t="s">
        <v>7830</v>
      </c>
      <c r="B1663" t="s">
        <v>7852</v>
      </c>
      <c r="C1663" t="s">
        <v>7853</v>
      </c>
      <c r="D1663" t="s">
        <v>7854</v>
      </c>
      <c r="E1663" t="s">
        <v>7855</v>
      </c>
      <c r="F1663">
        <v>106458233</v>
      </c>
      <c r="G1663">
        <v>1022526</v>
      </c>
      <c r="H1663">
        <v>387392</v>
      </c>
      <c r="I1663" t="s">
        <v>7851</v>
      </c>
      <c r="J1663">
        <v>2009</v>
      </c>
      <c r="K1663" t="s">
        <v>7839</v>
      </c>
      <c r="L1663" t="s">
        <v>7837</v>
      </c>
    </row>
    <row r="1664" spans="1:12">
      <c r="A1664" t="s">
        <v>7830</v>
      </c>
      <c r="B1664" t="s">
        <v>7852</v>
      </c>
      <c r="C1664" t="s">
        <v>7853</v>
      </c>
      <c r="D1664" t="s">
        <v>7854</v>
      </c>
      <c r="E1664" t="s">
        <v>7855</v>
      </c>
      <c r="F1664">
        <v>128863203</v>
      </c>
      <c r="G1664">
        <v>1326059</v>
      </c>
      <c r="H1664">
        <v>385192</v>
      </c>
      <c r="I1664" t="s">
        <v>7851</v>
      </c>
      <c r="J1664">
        <v>2009</v>
      </c>
      <c r="K1664" t="s">
        <v>7840</v>
      </c>
      <c r="L1664" t="s">
        <v>7837</v>
      </c>
    </row>
    <row r="1665" spans="1:12">
      <c r="A1665" t="s">
        <v>7830</v>
      </c>
      <c r="B1665" t="s">
        <v>7852</v>
      </c>
      <c r="C1665" t="s">
        <v>7853</v>
      </c>
      <c r="D1665" t="s">
        <v>7854</v>
      </c>
      <c r="E1665" t="s">
        <v>7855</v>
      </c>
      <c r="F1665">
        <v>107103034</v>
      </c>
      <c r="G1665">
        <v>1151777</v>
      </c>
      <c r="H1665">
        <v>443383</v>
      </c>
      <c r="I1665" t="s">
        <v>7851</v>
      </c>
      <c r="J1665">
        <v>2009</v>
      </c>
      <c r="K1665" t="s">
        <v>7841</v>
      </c>
      <c r="L1665" t="s">
        <v>7837</v>
      </c>
    </row>
    <row r="1666" spans="1:12">
      <c r="A1666" t="s">
        <v>7830</v>
      </c>
      <c r="B1666" t="s">
        <v>7852</v>
      </c>
      <c r="C1666" t="s">
        <v>7853</v>
      </c>
      <c r="D1666" t="s">
        <v>7854</v>
      </c>
      <c r="E1666" t="s">
        <v>7855</v>
      </c>
      <c r="F1666">
        <v>98960442</v>
      </c>
      <c r="G1666">
        <v>842174</v>
      </c>
      <c r="H1666">
        <v>298195</v>
      </c>
      <c r="I1666" t="s">
        <v>7851</v>
      </c>
      <c r="J1666">
        <v>2009</v>
      </c>
      <c r="K1666" t="s">
        <v>7842</v>
      </c>
      <c r="L1666" t="s">
        <v>7837</v>
      </c>
    </row>
    <row r="1667" spans="1:12">
      <c r="A1667" t="s">
        <v>7830</v>
      </c>
      <c r="B1667" t="s">
        <v>7852</v>
      </c>
      <c r="C1667" t="s">
        <v>7853</v>
      </c>
      <c r="D1667" t="s">
        <v>7854</v>
      </c>
      <c r="E1667" t="s">
        <v>7855</v>
      </c>
      <c r="F1667">
        <v>115296856</v>
      </c>
      <c r="G1667">
        <v>1197901</v>
      </c>
      <c r="H1667">
        <v>432477</v>
      </c>
      <c r="I1667" t="s">
        <v>7851</v>
      </c>
      <c r="J1667">
        <v>2009</v>
      </c>
      <c r="K1667" t="s">
        <v>7843</v>
      </c>
      <c r="L1667" t="s">
        <v>7837</v>
      </c>
    </row>
    <row r="1668" spans="1:12">
      <c r="A1668" t="s">
        <v>7830</v>
      </c>
      <c r="B1668" t="s">
        <v>7852</v>
      </c>
      <c r="C1668" t="s">
        <v>7853</v>
      </c>
      <c r="D1668" t="s">
        <v>7854</v>
      </c>
      <c r="E1668" t="s">
        <v>7855</v>
      </c>
      <c r="F1668">
        <v>121754346</v>
      </c>
      <c r="G1668">
        <v>1553090</v>
      </c>
      <c r="H1668">
        <v>448539</v>
      </c>
      <c r="I1668" t="s">
        <v>7851</v>
      </c>
      <c r="J1668">
        <v>2009</v>
      </c>
      <c r="K1668" t="s">
        <v>7844</v>
      </c>
      <c r="L1668" t="s">
        <v>7837</v>
      </c>
    </row>
    <row r="1669" spans="1:12">
      <c r="A1669" t="s">
        <v>7830</v>
      </c>
      <c r="B1669" t="s">
        <v>7852</v>
      </c>
      <c r="C1669" t="s">
        <v>7853</v>
      </c>
      <c r="D1669" t="s">
        <v>7854</v>
      </c>
      <c r="E1669" t="s">
        <v>7855</v>
      </c>
      <c r="F1669">
        <v>103785180</v>
      </c>
      <c r="G1669">
        <v>1009597</v>
      </c>
      <c r="H1669">
        <v>561286</v>
      </c>
      <c r="I1669" t="s">
        <v>7851</v>
      </c>
      <c r="J1669">
        <v>2009</v>
      </c>
      <c r="K1669" t="s">
        <v>7845</v>
      </c>
      <c r="L1669" t="s">
        <v>7837</v>
      </c>
    </row>
    <row r="1670" spans="1:12">
      <c r="A1670" t="s">
        <v>7830</v>
      </c>
      <c r="B1670" t="s">
        <v>7852</v>
      </c>
      <c r="C1670" t="s">
        <v>7853</v>
      </c>
      <c r="D1670" t="s">
        <v>7854</v>
      </c>
      <c r="E1670" t="s">
        <v>7855</v>
      </c>
      <c r="F1670">
        <v>256912271</v>
      </c>
      <c r="G1670">
        <v>2997259</v>
      </c>
      <c r="H1670">
        <v>845331</v>
      </c>
      <c r="I1670" t="s">
        <v>7851</v>
      </c>
      <c r="J1670">
        <v>2009</v>
      </c>
      <c r="K1670" t="s">
        <v>7846</v>
      </c>
      <c r="L1670" t="s">
        <v>7837</v>
      </c>
    </row>
    <row r="1671" spans="1:12">
      <c r="A1671" t="s">
        <v>7830</v>
      </c>
      <c r="B1671" t="s">
        <v>7852</v>
      </c>
      <c r="C1671" t="s">
        <v>7853</v>
      </c>
      <c r="D1671" t="s">
        <v>7854</v>
      </c>
      <c r="E1671" t="s">
        <v>7855</v>
      </c>
      <c r="F1671">
        <v>203096624</v>
      </c>
      <c r="G1671">
        <v>2433794</v>
      </c>
      <c r="H1671">
        <v>827457</v>
      </c>
      <c r="I1671" t="s">
        <v>7851</v>
      </c>
      <c r="J1671">
        <v>2009</v>
      </c>
      <c r="K1671" t="s">
        <v>7847</v>
      </c>
      <c r="L1671" t="s">
        <v>7837</v>
      </c>
    </row>
    <row r="1672" spans="1:12">
      <c r="A1672" t="s">
        <v>7830</v>
      </c>
      <c r="B1672" t="s">
        <v>7852</v>
      </c>
      <c r="C1672" t="s">
        <v>7853</v>
      </c>
      <c r="D1672" t="s">
        <v>7854</v>
      </c>
      <c r="E1672" t="s">
        <v>7855</v>
      </c>
      <c r="F1672">
        <v>187045559</v>
      </c>
      <c r="G1672">
        <v>2183681</v>
      </c>
      <c r="H1672">
        <v>699945</v>
      </c>
      <c r="I1672" t="s">
        <v>7851</v>
      </c>
      <c r="J1672">
        <v>2009</v>
      </c>
      <c r="K1672" t="s">
        <v>7848</v>
      </c>
      <c r="L1672" t="s">
        <v>7837</v>
      </c>
    </row>
    <row r="1673" spans="1:12">
      <c r="A1673" t="s">
        <v>7830</v>
      </c>
      <c r="B1673" t="s">
        <v>7852</v>
      </c>
      <c r="C1673" t="s">
        <v>7853</v>
      </c>
      <c r="D1673" t="s">
        <v>7854</v>
      </c>
      <c r="E1673" t="s">
        <v>7855</v>
      </c>
      <c r="F1673">
        <v>163527607</v>
      </c>
      <c r="G1673">
        <v>1682344</v>
      </c>
      <c r="H1673">
        <v>583419</v>
      </c>
      <c r="I1673" t="s">
        <v>7851</v>
      </c>
      <c r="J1673">
        <v>2010</v>
      </c>
      <c r="K1673" t="s">
        <v>7836</v>
      </c>
      <c r="L1673" t="s">
        <v>7837</v>
      </c>
    </row>
    <row r="1674" spans="1:12">
      <c r="A1674" t="s">
        <v>7830</v>
      </c>
      <c r="B1674" t="s">
        <v>7852</v>
      </c>
      <c r="C1674" t="s">
        <v>7853</v>
      </c>
      <c r="D1674" t="s">
        <v>7854</v>
      </c>
      <c r="E1674" t="s">
        <v>7855</v>
      </c>
      <c r="F1674">
        <v>166330744</v>
      </c>
      <c r="G1674">
        <v>1715713</v>
      </c>
      <c r="H1674">
        <v>662058</v>
      </c>
      <c r="I1674" t="s">
        <v>7851</v>
      </c>
      <c r="J1674">
        <v>2010</v>
      </c>
      <c r="K1674" t="s">
        <v>7838</v>
      </c>
      <c r="L1674" t="s">
        <v>7837</v>
      </c>
    </row>
    <row r="1675" spans="1:12">
      <c r="A1675" t="s">
        <v>7830</v>
      </c>
      <c r="B1675" t="s">
        <v>7852</v>
      </c>
      <c r="C1675" t="s">
        <v>7853</v>
      </c>
      <c r="D1675" t="s">
        <v>7854</v>
      </c>
      <c r="E1675" t="s">
        <v>7855</v>
      </c>
      <c r="F1675">
        <v>130945616</v>
      </c>
      <c r="G1675">
        <v>1222170</v>
      </c>
      <c r="H1675">
        <v>442685</v>
      </c>
      <c r="I1675" t="s">
        <v>7851</v>
      </c>
      <c r="J1675">
        <v>2010</v>
      </c>
      <c r="K1675" t="s">
        <v>7839</v>
      </c>
      <c r="L1675" t="s">
        <v>7837</v>
      </c>
    </row>
    <row r="1676" spans="1:12">
      <c r="A1676" t="s">
        <v>7830</v>
      </c>
      <c r="B1676" t="s">
        <v>7852</v>
      </c>
      <c r="C1676" t="s">
        <v>7853</v>
      </c>
      <c r="D1676" t="s">
        <v>7854</v>
      </c>
      <c r="E1676" t="s">
        <v>7855</v>
      </c>
      <c r="F1676">
        <v>166988536</v>
      </c>
      <c r="G1676">
        <v>1500685</v>
      </c>
      <c r="H1676">
        <v>466624</v>
      </c>
      <c r="I1676" t="s">
        <v>7851</v>
      </c>
      <c r="J1676">
        <v>2010</v>
      </c>
      <c r="K1676" t="s">
        <v>7840</v>
      </c>
      <c r="L1676" t="s">
        <v>7837</v>
      </c>
    </row>
    <row r="1677" spans="1:12">
      <c r="A1677" t="s">
        <v>7830</v>
      </c>
      <c r="B1677" t="s">
        <v>7852</v>
      </c>
      <c r="C1677" t="s">
        <v>7853</v>
      </c>
      <c r="D1677" t="s">
        <v>7854</v>
      </c>
      <c r="E1677" t="s">
        <v>7855</v>
      </c>
      <c r="F1677">
        <v>218038786</v>
      </c>
      <c r="G1677">
        <v>1821971</v>
      </c>
      <c r="H1677">
        <v>716280</v>
      </c>
      <c r="I1677" t="s">
        <v>7851</v>
      </c>
      <c r="J1677">
        <v>2010</v>
      </c>
      <c r="K1677" t="s">
        <v>7841</v>
      </c>
      <c r="L1677" t="s">
        <v>7837</v>
      </c>
    </row>
    <row r="1678" spans="1:12">
      <c r="A1678" t="s">
        <v>7830</v>
      </c>
      <c r="B1678" t="s">
        <v>7852</v>
      </c>
      <c r="C1678" t="s">
        <v>7853</v>
      </c>
      <c r="D1678" t="s">
        <v>7854</v>
      </c>
      <c r="E1678" t="s">
        <v>7855</v>
      </c>
      <c r="F1678">
        <v>161539725</v>
      </c>
      <c r="G1678">
        <v>1590750</v>
      </c>
      <c r="H1678">
        <v>529634</v>
      </c>
      <c r="I1678" t="s">
        <v>7851</v>
      </c>
      <c r="J1678">
        <v>2010</v>
      </c>
      <c r="K1678" t="s">
        <v>7842</v>
      </c>
      <c r="L1678" t="s">
        <v>7837</v>
      </c>
    </row>
    <row r="1679" spans="1:12">
      <c r="A1679" t="s">
        <v>7830</v>
      </c>
      <c r="B1679" t="s">
        <v>7852</v>
      </c>
      <c r="C1679" t="s">
        <v>7853</v>
      </c>
      <c r="D1679" t="s">
        <v>7854</v>
      </c>
      <c r="E1679" t="s">
        <v>7855</v>
      </c>
      <c r="F1679">
        <v>228492568</v>
      </c>
      <c r="G1679">
        <v>1935335</v>
      </c>
      <c r="H1679">
        <v>748905</v>
      </c>
      <c r="I1679" t="s">
        <v>7851</v>
      </c>
      <c r="J1679">
        <v>2010</v>
      </c>
      <c r="K1679" t="s">
        <v>7843</v>
      </c>
      <c r="L1679" t="s">
        <v>7837</v>
      </c>
    </row>
    <row r="1680" spans="1:12">
      <c r="A1680" t="s">
        <v>7830</v>
      </c>
      <c r="B1680" t="s">
        <v>7852</v>
      </c>
      <c r="C1680" t="s">
        <v>7853</v>
      </c>
      <c r="D1680" t="s">
        <v>7854</v>
      </c>
      <c r="E1680" t="s">
        <v>7855</v>
      </c>
      <c r="F1680">
        <v>190712573</v>
      </c>
      <c r="G1680">
        <v>1588286</v>
      </c>
      <c r="H1680">
        <v>673464</v>
      </c>
      <c r="I1680" t="s">
        <v>7851</v>
      </c>
      <c r="J1680">
        <v>2010</v>
      </c>
      <c r="K1680" t="s">
        <v>7844</v>
      </c>
      <c r="L1680" t="s">
        <v>7837</v>
      </c>
    </row>
    <row r="1681" spans="1:12">
      <c r="A1681" t="s">
        <v>7830</v>
      </c>
      <c r="B1681" t="s">
        <v>7852</v>
      </c>
      <c r="C1681" t="s">
        <v>7853</v>
      </c>
      <c r="D1681" t="s">
        <v>7854</v>
      </c>
      <c r="E1681" t="s">
        <v>7855</v>
      </c>
      <c r="F1681">
        <v>165508296</v>
      </c>
      <c r="G1681">
        <v>1409133</v>
      </c>
      <c r="H1681">
        <v>508808</v>
      </c>
      <c r="I1681" t="s">
        <v>7851</v>
      </c>
      <c r="J1681">
        <v>2010</v>
      </c>
      <c r="K1681" t="s">
        <v>7845</v>
      </c>
      <c r="L1681" t="s">
        <v>7837</v>
      </c>
    </row>
    <row r="1682" spans="1:12">
      <c r="A1682" t="s">
        <v>7830</v>
      </c>
      <c r="B1682" t="s">
        <v>7852</v>
      </c>
      <c r="C1682" t="s">
        <v>7853</v>
      </c>
      <c r="D1682" t="s">
        <v>7854</v>
      </c>
      <c r="E1682" t="s">
        <v>7855</v>
      </c>
      <c r="F1682">
        <v>288284217</v>
      </c>
      <c r="G1682">
        <v>2629540</v>
      </c>
      <c r="H1682">
        <v>972442</v>
      </c>
      <c r="I1682" t="s">
        <v>7851</v>
      </c>
      <c r="J1682">
        <v>2010</v>
      </c>
      <c r="K1682" t="s">
        <v>7846</v>
      </c>
      <c r="L1682" t="s">
        <v>7837</v>
      </c>
    </row>
    <row r="1683" spans="1:12">
      <c r="A1683" t="s">
        <v>7830</v>
      </c>
      <c r="B1683" t="s">
        <v>7852</v>
      </c>
      <c r="C1683" t="s">
        <v>7853</v>
      </c>
      <c r="D1683" t="s">
        <v>7854</v>
      </c>
      <c r="E1683" t="s">
        <v>7855</v>
      </c>
      <c r="F1683">
        <v>300376167</v>
      </c>
      <c r="G1683">
        <v>2531602</v>
      </c>
      <c r="H1683">
        <v>1108568</v>
      </c>
      <c r="I1683" t="s">
        <v>7851</v>
      </c>
      <c r="J1683">
        <v>2010</v>
      </c>
      <c r="K1683" t="s">
        <v>7847</v>
      </c>
      <c r="L1683" t="s">
        <v>7837</v>
      </c>
    </row>
    <row r="1684" spans="1:12">
      <c r="A1684" t="s">
        <v>7830</v>
      </c>
      <c r="B1684" t="s">
        <v>7852</v>
      </c>
      <c r="C1684" t="s">
        <v>7853</v>
      </c>
      <c r="D1684" t="s">
        <v>7854</v>
      </c>
      <c r="E1684" t="s">
        <v>7855</v>
      </c>
      <c r="F1684">
        <v>288215995</v>
      </c>
      <c r="G1684">
        <v>2706335</v>
      </c>
      <c r="H1684">
        <v>993050</v>
      </c>
      <c r="I1684" t="s">
        <v>7851</v>
      </c>
      <c r="J1684">
        <v>2010</v>
      </c>
      <c r="K1684" t="s">
        <v>7848</v>
      </c>
      <c r="L1684" t="s">
        <v>7837</v>
      </c>
    </row>
    <row r="1685" spans="1:12">
      <c r="A1685" t="s">
        <v>7830</v>
      </c>
      <c r="B1685" t="s">
        <v>7852</v>
      </c>
      <c r="C1685" t="s">
        <v>7853</v>
      </c>
      <c r="D1685" t="s">
        <v>7854</v>
      </c>
      <c r="E1685" t="s">
        <v>7855</v>
      </c>
      <c r="F1685">
        <v>190112370</v>
      </c>
      <c r="G1685">
        <v>1787885</v>
      </c>
      <c r="H1685">
        <v>662270</v>
      </c>
      <c r="I1685" t="s">
        <v>7851</v>
      </c>
      <c r="J1685">
        <v>2011</v>
      </c>
      <c r="K1685" t="s">
        <v>7836</v>
      </c>
      <c r="L1685" t="s">
        <v>7837</v>
      </c>
    </row>
    <row r="1686" spans="1:12">
      <c r="A1686" t="s">
        <v>7830</v>
      </c>
      <c r="B1686" t="s">
        <v>7852</v>
      </c>
      <c r="C1686" t="s">
        <v>7853</v>
      </c>
      <c r="D1686" t="s">
        <v>7854</v>
      </c>
      <c r="E1686" t="s">
        <v>7855</v>
      </c>
      <c r="F1686">
        <v>136231093</v>
      </c>
      <c r="G1686">
        <v>1357419</v>
      </c>
      <c r="H1686">
        <v>471169</v>
      </c>
      <c r="I1686" t="s">
        <v>7851</v>
      </c>
      <c r="J1686">
        <v>2011</v>
      </c>
      <c r="K1686" t="s">
        <v>7838</v>
      </c>
      <c r="L1686" t="s">
        <v>7837</v>
      </c>
    </row>
    <row r="1687" spans="1:12">
      <c r="A1687" t="s">
        <v>7830</v>
      </c>
      <c r="B1687" t="s">
        <v>7852</v>
      </c>
      <c r="C1687" t="s">
        <v>7853</v>
      </c>
      <c r="D1687" t="s">
        <v>7854</v>
      </c>
      <c r="E1687" t="s">
        <v>7855</v>
      </c>
      <c r="F1687">
        <v>167487517</v>
      </c>
      <c r="G1687">
        <v>1426536</v>
      </c>
      <c r="H1687">
        <v>560905</v>
      </c>
      <c r="I1687" t="s">
        <v>7851</v>
      </c>
      <c r="J1687">
        <v>2011</v>
      </c>
      <c r="K1687" t="s">
        <v>7839</v>
      </c>
      <c r="L1687" t="s">
        <v>7837</v>
      </c>
    </row>
    <row r="1688" spans="1:12">
      <c r="A1688" t="s">
        <v>7830</v>
      </c>
      <c r="B1688" t="s">
        <v>7852</v>
      </c>
      <c r="C1688" t="s">
        <v>7853</v>
      </c>
      <c r="D1688" t="s">
        <v>7854</v>
      </c>
      <c r="E1688" t="s">
        <v>7855</v>
      </c>
      <c r="F1688">
        <v>164984690</v>
      </c>
      <c r="G1688">
        <v>1570023</v>
      </c>
      <c r="H1688">
        <v>569238</v>
      </c>
      <c r="I1688" t="s">
        <v>7851</v>
      </c>
      <c r="J1688">
        <v>2011</v>
      </c>
      <c r="K1688" t="s">
        <v>7840</v>
      </c>
      <c r="L1688" t="s">
        <v>7837</v>
      </c>
    </row>
    <row r="1689" spans="1:12">
      <c r="A1689" t="s">
        <v>7830</v>
      </c>
      <c r="B1689" t="s">
        <v>7852</v>
      </c>
      <c r="C1689" t="s">
        <v>7853</v>
      </c>
      <c r="D1689" t="s">
        <v>7854</v>
      </c>
      <c r="E1689" t="s">
        <v>7855</v>
      </c>
      <c r="F1689">
        <v>172551749</v>
      </c>
      <c r="G1689">
        <v>1485428</v>
      </c>
      <c r="H1689">
        <v>565864</v>
      </c>
      <c r="I1689" t="s">
        <v>7851</v>
      </c>
      <c r="J1689">
        <v>2011</v>
      </c>
      <c r="K1689" t="s">
        <v>7841</v>
      </c>
      <c r="L1689" t="s">
        <v>7837</v>
      </c>
    </row>
    <row r="1690" spans="1:12">
      <c r="A1690" t="s">
        <v>7830</v>
      </c>
      <c r="B1690" t="s">
        <v>7852</v>
      </c>
      <c r="C1690" t="s">
        <v>7853</v>
      </c>
      <c r="D1690" t="s">
        <v>7854</v>
      </c>
      <c r="E1690" t="s">
        <v>7855</v>
      </c>
      <c r="F1690">
        <v>144209567</v>
      </c>
      <c r="G1690">
        <v>1119753</v>
      </c>
      <c r="H1690">
        <v>480440</v>
      </c>
      <c r="I1690" t="s">
        <v>7851</v>
      </c>
      <c r="J1690">
        <v>2011</v>
      </c>
      <c r="K1690" t="s">
        <v>7842</v>
      </c>
      <c r="L1690" t="s">
        <v>7837</v>
      </c>
    </row>
    <row r="1691" spans="1:12">
      <c r="A1691" t="s">
        <v>7830</v>
      </c>
      <c r="B1691" t="s">
        <v>7852</v>
      </c>
      <c r="C1691" t="s">
        <v>7853</v>
      </c>
      <c r="D1691" t="s">
        <v>7854</v>
      </c>
      <c r="E1691" t="s">
        <v>7855</v>
      </c>
      <c r="F1691">
        <v>236760311</v>
      </c>
      <c r="G1691">
        <v>1914625</v>
      </c>
      <c r="H1691">
        <v>849149</v>
      </c>
      <c r="I1691" t="s">
        <v>7851</v>
      </c>
      <c r="J1691">
        <v>2011</v>
      </c>
      <c r="K1691" t="s">
        <v>7843</v>
      </c>
      <c r="L1691" t="s">
        <v>7837</v>
      </c>
    </row>
    <row r="1692" spans="1:12">
      <c r="A1692" t="s">
        <v>7830</v>
      </c>
      <c r="B1692" t="s">
        <v>7852</v>
      </c>
      <c r="C1692" t="s">
        <v>7853</v>
      </c>
      <c r="D1692" t="s">
        <v>7854</v>
      </c>
      <c r="E1692" t="s">
        <v>7855</v>
      </c>
      <c r="F1692">
        <v>205167856</v>
      </c>
      <c r="G1692">
        <v>1641233</v>
      </c>
      <c r="H1692">
        <v>737355</v>
      </c>
      <c r="I1692" t="s">
        <v>7851</v>
      </c>
      <c r="J1692">
        <v>2011</v>
      </c>
      <c r="K1692" t="s">
        <v>7844</v>
      </c>
      <c r="L1692" t="s">
        <v>7837</v>
      </c>
    </row>
    <row r="1693" spans="1:12">
      <c r="A1693" t="s">
        <v>7830</v>
      </c>
      <c r="B1693" t="s">
        <v>7852</v>
      </c>
      <c r="C1693" t="s">
        <v>7853</v>
      </c>
      <c r="D1693" t="s">
        <v>7854</v>
      </c>
      <c r="E1693" t="s">
        <v>7855</v>
      </c>
      <c r="F1693">
        <v>316986748</v>
      </c>
      <c r="G1693">
        <v>1971072</v>
      </c>
      <c r="H1693">
        <v>1046553</v>
      </c>
      <c r="I1693" t="s">
        <v>7851</v>
      </c>
      <c r="J1693">
        <v>2011</v>
      </c>
      <c r="K1693" t="s">
        <v>7845</v>
      </c>
      <c r="L1693" t="s">
        <v>7837</v>
      </c>
    </row>
    <row r="1694" spans="1:12">
      <c r="A1694" t="s">
        <v>7830</v>
      </c>
      <c r="B1694" t="s">
        <v>7852</v>
      </c>
      <c r="C1694" t="s">
        <v>7853</v>
      </c>
      <c r="D1694" t="s">
        <v>7854</v>
      </c>
      <c r="E1694" t="s">
        <v>7855</v>
      </c>
      <c r="F1694">
        <v>208568523</v>
      </c>
      <c r="G1694">
        <v>1860073</v>
      </c>
      <c r="H1694">
        <v>662941</v>
      </c>
      <c r="I1694" t="s">
        <v>7851</v>
      </c>
      <c r="J1694">
        <v>2011</v>
      </c>
      <c r="K1694" t="s">
        <v>7846</v>
      </c>
      <c r="L1694" t="s">
        <v>7837</v>
      </c>
    </row>
    <row r="1695" spans="1:12">
      <c r="A1695" t="s">
        <v>7830</v>
      </c>
      <c r="B1695" t="s">
        <v>7852</v>
      </c>
      <c r="C1695" t="s">
        <v>7853</v>
      </c>
      <c r="D1695" t="s">
        <v>7854</v>
      </c>
      <c r="E1695" t="s">
        <v>7855</v>
      </c>
      <c r="F1695">
        <v>259453725</v>
      </c>
      <c r="G1695">
        <v>2127113</v>
      </c>
      <c r="H1695">
        <v>956690</v>
      </c>
      <c r="I1695" t="s">
        <v>7851</v>
      </c>
      <c r="J1695">
        <v>2011</v>
      </c>
      <c r="K1695" t="s">
        <v>7847</v>
      </c>
      <c r="L1695" t="s">
        <v>7837</v>
      </c>
    </row>
    <row r="1696" spans="1:12">
      <c r="A1696" t="s">
        <v>7830</v>
      </c>
      <c r="B1696" t="s">
        <v>7852</v>
      </c>
      <c r="C1696" t="s">
        <v>7853</v>
      </c>
      <c r="D1696" t="s">
        <v>7854</v>
      </c>
      <c r="E1696" t="s">
        <v>7855</v>
      </c>
      <c r="F1696">
        <v>255523245</v>
      </c>
      <c r="G1696">
        <v>1939273</v>
      </c>
      <c r="H1696">
        <v>977528</v>
      </c>
      <c r="I1696" t="s">
        <v>7851</v>
      </c>
      <c r="J1696">
        <v>2011</v>
      </c>
      <c r="K1696" t="s">
        <v>7848</v>
      </c>
      <c r="L1696" t="s">
        <v>7837</v>
      </c>
    </row>
    <row r="1697" spans="1:12">
      <c r="A1697" t="s">
        <v>7830</v>
      </c>
      <c r="B1697" t="s">
        <v>7852</v>
      </c>
      <c r="C1697" t="s">
        <v>7853</v>
      </c>
      <c r="D1697" t="s">
        <v>7854</v>
      </c>
      <c r="E1697" t="s">
        <v>7855</v>
      </c>
      <c r="F1697">
        <v>189879390</v>
      </c>
      <c r="G1697">
        <v>1619560</v>
      </c>
      <c r="H1697">
        <v>721114</v>
      </c>
      <c r="I1697" t="s">
        <v>7851</v>
      </c>
      <c r="J1697">
        <v>2012</v>
      </c>
      <c r="K1697" t="s">
        <v>7836</v>
      </c>
      <c r="L1697" t="s">
        <v>7837</v>
      </c>
    </row>
    <row r="1698" spans="1:12">
      <c r="A1698" t="s">
        <v>7830</v>
      </c>
      <c r="B1698" t="s">
        <v>7852</v>
      </c>
      <c r="C1698" t="s">
        <v>7853</v>
      </c>
      <c r="D1698" t="s">
        <v>7854</v>
      </c>
      <c r="E1698" t="s">
        <v>7855</v>
      </c>
      <c r="F1698">
        <v>152371087</v>
      </c>
      <c r="G1698">
        <v>1247942</v>
      </c>
      <c r="H1698">
        <v>511620</v>
      </c>
      <c r="I1698" t="s">
        <v>7851</v>
      </c>
      <c r="J1698">
        <v>2012</v>
      </c>
      <c r="K1698" t="s">
        <v>7838</v>
      </c>
      <c r="L1698" t="s">
        <v>7837</v>
      </c>
    </row>
    <row r="1699" spans="1:12">
      <c r="A1699" t="s">
        <v>7830</v>
      </c>
      <c r="B1699" t="s">
        <v>7852</v>
      </c>
      <c r="C1699" t="s">
        <v>7853</v>
      </c>
      <c r="D1699" t="s">
        <v>7854</v>
      </c>
      <c r="E1699" t="s">
        <v>7855</v>
      </c>
      <c r="F1699">
        <v>285011885</v>
      </c>
      <c r="G1699">
        <v>1632535</v>
      </c>
      <c r="H1699">
        <v>911351</v>
      </c>
      <c r="I1699" t="s">
        <v>7851</v>
      </c>
      <c r="J1699">
        <v>2012</v>
      </c>
      <c r="K1699" t="s">
        <v>7839</v>
      </c>
      <c r="L1699" t="s">
        <v>7837</v>
      </c>
    </row>
    <row r="1700" spans="1:12">
      <c r="A1700" t="s">
        <v>7830</v>
      </c>
      <c r="B1700" t="s">
        <v>7852</v>
      </c>
      <c r="C1700" t="s">
        <v>7853</v>
      </c>
      <c r="D1700" t="s">
        <v>7854</v>
      </c>
      <c r="E1700" t="s">
        <v>7855</v>
      </c>
      <c r="F1700">
        <v>183325877</v>
      </c>
      <c r="G1700">
        <v>1523757</v>
      </c>
      <c r="H1700">
        <v>681078</v>
      </c>
      <c r="I1700" t="s">
        <v>7851</v>
      </c>
      <c r="J1700">
        <v>2012</v>
      </c>
      <c r="K1700" t="s">
        <v>7840</v>
      </c>
      <c r="L1700" t="s">
        <v>7837</v>
      </c>
    </row>
    <row r="1701" spans="1:12">
      <c r="A1701" t="s">
        <v>7830</v>
      </c>
      <c r="B1701" t="s">
        <v>7852</v>
      </c>
      <c r="C1701" t="s">
        <v>7853</v>
      </c>
      <c r="D1701" t="s">
        <v>7854</v>
      </c>
      <c r="E1701" t="s">
        <v>7855</v>
      </c>
      <c r="F1701">
        <v>203303817</v>
      </c>
      <c r="G1701">
        <v>1444018</v>
      </c>
      <c r="H1701">
        <v>745506</v>
      </c>
      <c r="I1701" t="s">
        <v>7851</v>
      </c>
      <c r="J1701">
        <v>2012</v>
      </c>
      <c r="K1701" t="s">
        <v>7841</v>
      </c>
      <c r="L1701" t="s">
        <v>7837</v>
      </c>
    </row>
    <row r="1702" spans="1:12">
      <c r="A1702" t="s">
        <v>7830</v>
      </c>
      <c r="B1702" t="s">
        <v>7852</v>
      </c>
      <c r="C1702" t="s">
        <v>7853</v>
      </c>
      <c r="D1702" t="s">
        <v>7854</v>
      </c>
      <c r="E1702" t="s">
        <v>7855</v>
      </c>
      <c r="F1702">
        <v>242248996</v>
      </c>
      <c r="G1702">
        <v>1528619</v>
      </c>
      <c r="H1702">
        <v>878864</v>
      </c>
      <c r="I1702" t="s">
        <v>7851</v>
      </c>
      <c r="J1702">
        <v>2012</v>
      </c>
      <c r="K1702" t="s">
        <v>7842</v>
      </c>
      <c r="L1702" t="s">
        <v>7837</v>
      </c>
    </row>
    <row r="1703" spans="1:12">
      <c r="A1703" t="s">
        <v>7830</v>
      </c>
      <c r="B1703" t="s">
        <v>7852</v>
      </c>
      <c r="C1703" t="s">
        <v>7853</v>
      </c>
      <c r="D1703" t="s">
        <v>7854</v>
      </c>
      <c r="E1703" t="s">
        <v>7855</v>
      </c>
      <c r="F1703">
        <v>224179129</v>
      </c>
      <c r="G1703">
        <v>1726091</v>
      </c>
      <c r="H1703">
        <v>838219</v>
      </c>
      <c r="I1703" t="s">
        <v>7851</v>
      </c>
      <c r="J1703">
        <v>2012</v>
      </c>
      <c r="K1703" t="s">
        <v>7843</v>
      </c>
      <c r="L1703" t="s">
        <v>7837</v>
      </c>
    </row>
    <row r="1704" spans="1:12">
      <c r="A1704" t="s">
        <v>7830</v>
      </c>
      <c r="B1704" t="s">
        <v>7852</v>
      </c>
      <c r="C1704" t="s">
        <v>7853</v>
      </c>
      <c r="D1704" t="s">
        <v>7854</v>
      </c>
      <c r="E1704" t="s">
        <v>7855</v>
      </c>
      <c r="F1704">
        <v>214636261</v>
      </c>
      <c r="G1704">
        <v>1437574</v>
      </c>
      <c r="H1704">
        <v>800143</v>
      </c>
      <c r="I1704" t="s">
        <v>7851</v>
      </c>
      <c r="J1704">
        <v>2012</v>
      </c>
      <c r="K1704" t="s">
        <v>7844</v>
      </c>
      <c r="L1704" t="s">
        <v>7837</v>
      </c>
    </row>
    <row r="1705" spans="1:12">
      <c r="A1705" t="s">
        <v>7830</v>
      </c>
      <c r="B1705" t="s">
        <v>7852</v>
      </c>
      <c r="C1705" t="s">
        <v>7853</v>
      </c>
      <c r="D1705" t="s">
        <v>7854</v>
      </c>
      <c r="E1705" t="s">
        <v>7855</v>
      </c>
      <c r="F1705">
        <v>191994487</v>
      </c>
      <c r="G1705">
        <v>1358298</v>
      </c>
      <c r="H1705">
        <v>731836</v>
      </c>
      <c r="I1705" t="s">
        <v>7851</v>
      </c>
      <c r="J1705">
        <v>2012</v>
      </c>
      <c r="K1705" t="s">
        <v>7845</v>
      </c>
      <c r="L1705" t="s">
        <v>7837</v>
      </c>
    </row>
    <row r="1706" spans="1:12">
      <c r="A1706" t="s">
        <v>7830</v>
      </c>
      <c r="B1706" t="s">
        <v>7852</v>
      </c>
      <c r="C1706" t="s">
        <v>7853</v>
      </c>
      <c r="D1706" t="s">
        <v>7854</v>
      </c>
      <c r="E1706" t="s">
        <v>7855</v>
      </c>
      <c r="F1706">
        <v>371022755</v>
      </c>
      <c r="G1706">
        <v>2849676</v>
      </c>
      <c r="H1706">
        <v>2184232</v>
      </c>
      <c r="I1706" t="s">
        <v>7851</v>
      </c>
      <c r="J1706">
        <v>2012</v>
      </c>
      <c r="K1706" t="s">
        <v>7846</v>
      </c>
      <c r="L1706" t="s">
        <v>7837</v>
      </c>
    </row>
    <row r="1707" spans="1:12">
      <c r="A1707" t="s">
        <v>7830</v>
      </c>
      <c r="B1707" t="s">
        <v>7852</v>
      </c>
      <c r="C1707" t="s">
        <v>7853</v>
      </c>
      <c r="D1707" t="s">
        <v>7854</v>
      </c>
      <c r="E1707" t="s">
        <v>7855</v>
      </c>
      <c r="F1707">
        <v>447907424</v>
      </c>
      <c r="G1707">
        <v>3138720</v>
      </c>
      <c r="H1707">
        <v>2182643</v>
      </c>
      <c r="I1707" t="s">
        <v>7851</v>
      </c>
      <c r="J1707">
        <v>2012</v>
      </c>
      <c r="K1707" t="s">
        <v>7847</v>
      </c>
      <c r="L1707" t="s">
        <v>7837</v>
      </c>
    </row>
    <row r="1708" spans="1:12">
      <c r="A1708" t="s">
        <v>7830</v>
      </c>
      <c r="B1708" t="s">
        <v>7852</v>
      </c>
      <c r="C1708" t="s">
        <v>7853</v>
      </c>
      <c r="D1708" t="s">
        <v>7854</v>
      </c>
      <c r="E1708" t="s">
        <v>7855</v>
      </c>
      <c r="F1708">
        <v>363038208</v>
      </c>
      <c r="G1708">
        <v>2230930</v>
      </c>
      <c r="H1708">
        <v>1776288</v>
      </c>
      <c r="I1708" t="s">
        <v>7851</v>
      </c>
      <c r="J1708">
        <v>2012</v>
      </c>
      <c r="K1708" t="s">
        <v>7848</v>
      </c>
      <c r="L1708" t="s">
        <v>7837</v>
      </c>
    </row>
    <row r="1709" spans="1:12">
      <c r="A1709" t="s">
        <v>7830</v>
      </c>
      <c r="B1709" t="s">
        <v>7852</v>
      </c>
      <c r="C1709" t="s">
        <v>7853</v>
      </c>
      <c r="D1709" t="s">
        <v>7854</v>
      </c>
      <c r="E1709" t="s">
        <v>7855</v>
      </c>
      <c r="F1709">
        <v>294283342</v>
      </c>
      <c r="G1709">
        <v>2108540</v>
      </c>
      <c r="H1709">
        <v>1322225</v>
      </c>
      <c r="I1709" t="s">
        <v>7851</v>
      </c>
      <c r="J1709">
        <v>2013</v>
      </c>
      <c r="K1709" t="s">
        <v>7836</v>
      </c>
      <c r="L1709" t="s">
        <v>7837</v>
      </c>
    </row>
    <row r="1710" spans="1:12">
      <c r="A1710" t="s">
        <v>7830</v>
      </c>
      <c r="B1710" t="s">
        <v>7852</v>
      </c>
      <c r="C1710" t="s">
        <v>7853</v>
      </c>
      <c r="D1710" t="s">
        <v>7854</v>
      </c>
      <c r="E1710" t="s">
        <v>7855</v>
      </c>
      <c r="F1710">
        <v>211229167</v>
      </c>
      <c r="G1710">
        <v>1403680</v>
      </c>
      <c r="H1710">
        <v>917781</v>
      </c>
      <c r="I1710" t="s">
        <v>7851</v>
      </c>
      <c r="J1710">
        <v>2013</v>
      </c>
      <c r="K1710" t="s">
        <v>7838</v>
      </c>
      <c r="L1710" t="s">
        <v>7837</v>
      </c>
    </row>
    <row r="1711" spans="1:12">
      <c r="A1711" t="s">
        <v>7830</v>
      </c>
      <c r="B1711" t="s">
        <v>7852</v>
      </c>
      <c r="C1711" t="s">
        <v>7853</v>
      </c>
      <c r="D1711" t="s">
        <v>7854</v>
      </c>
      <c r="E1711" t="s">
        <v>7855</v>
      </c>
      <c r="F1711">
        <v>282537884</v>
      </c>
      <c r="G1711">
        <v>1463474</v>
      </c>
      <c r="H1711">
        <v>1393777</v>
      </c>
      <c r="I1711" t="s">
        <v>7851</v>
      </c>
      <c r="J1711">
        <v>2013</v>
      </c>
      <c r="K1711" t="s">
        <v>7839</v>
      </c>
      <c r="L1711" t="s">
        <v>7837</v>
      </c>
    </row>
    <row r="1712" spans="1:12">
      <c r="A1712" t="s">
        <v>7830</v>
      </c>
      <c r="B1712" t="s">
        <v>7852</v>
      </c>
      <c r="C1712" t="s">
        <v>7853</v>
      </c>
      <c r="D1712" t="s">
        <v>7854</v>
      </c>
      <c r="E1712" t="s">
        <v>7855</v>
      </c>
      <c r="F1712">
        <v>220532825</v>
      </c>
      <c r="G1712">
        <v>1331005</v>
      </c>
      <c r="H1712">
        <v>894569</v>
      </c>
      <c r="I1712" t="s">
        <v>7851</v>
      </c>
      <c r="J1712">
        <v>2013</v>
      </c>
      <c r="K1712" t="s">
        <v>7840</v>
      </c>
      <c r="L1712" t="s">
        <v>7837</v>
      </c>
    </row>
    <row r="1713" spans="1:12">
      <c r="A1713" t="s">
        <v>7830</v>
      </c>
      <c r="B1713" t="s">
        <v>7852</v>
      </c>
      <c r="C1713" t="s">
        <v>7853</v>
      </c>
      <c r="D1713" t="s">
        <v>7854</v>
      </c>
      <c r="E1713" t="s">
        <v>7855</v>
      </c>
      <c r="F1713">
        <v>196396681</v>
      </c>
      <c r="G1713">
        <v>1306448</v>
      </c>
      <c r="H1713">
        <v>790270</v>
      </c>
      <c r="I1713" t="s">
        <v>7851</v>
      </c>
      <c r="J1713">
        <v>2013</v>
      </c>
      <c r="K1713" t="s">
        <v>7841</v>
      </c>
      <c r="L1713" t="s">
        <v>7837</v>
      </c>
    </row>
    <row r="1714" spans="1:12">
      <c r="A1714" t="s">
        <v>7830</v>
      </c>
      <c r="B1714" t="s">
        <v>7852</v>
      </c>
      <c r="C1714" t="s">
        <v>7853</v>
      </c>
      <c r="D1714" t="s">
        <v>7854</v>
      </c>
      <c r="E1714" t="s">
        <v>7855</v>
      </c>
      <c r="F1714">
        <v>169579469</v>
      </c>
      <c r="G1714">
        <v>1024090</v>
      </c>
      <c r="H1714">
        <v>715972</v>
      </c>
      <c r="I1714" t="s">
        <v>7851</v>
      </c>
      <c r="J1714">
        <v>2013</v>
      </c>
      <c r="K1714" t="s">
        <v>7842</v>
      </c>
      <c r="L1714" t="s">
        <v>7837</v>
      </c>
    </row>
    <row r="1715" spans="1:12">
      <c r="A1715" t="s">
        <v>7830</v>
      </c>
      <c r="B1715" t="s">
        <v>7852</v>
      </c>
      <c r="C1715" t="s">
        <v>7853</v>
      </c>
      <c r="D1715" t="s">
        <v>7854</v>
      </c>
      <c r="E1715" t="s">
        <v>7855</v>
      </c>
      <c r="F1715">
        <v>242545942</v>
      </c>
      <c r="G1715">
        <v>1547536</v>
      </c>
      <c r="H1715">
        <v>1178812</v>
      </c>
      <c r="I1715" t="s">
        <v>7851</v>
      </c>
      <c r="J1715">
        <v>2013</v>
      </c>
      <c r="K1715" t="s">
        <v>7843</v>
      </c>
      <c r="L1715" t="s">
        <v>7837</v>
      </c>
    </row>
    <row r="1716" spans="1:12">
      <c r="A1716" t="s">
        <v>7830</v>
      </c>
      <c r="B1716" t="s">
        <v>7852</v>
      </c>
      <c r="C1716" t="s">
        <v>7853</v>
      </c>
      <c r="D1716" t="s">
        <v>7854</v>
      </c>
      <c r="E1716" t="s">
        <v>7855</v>
      </c>
      <c r="F1716">
        <v>232301196</v>
      </c>
      <c r="G1716">
        <v>1344915</v>
      </c>
      <c r="H1716">
        <v>1044066</v>
      </c>
      <c r="I1716" t="s">
        <v>7851</v>
      </c>
      <c r="J1716">
        <v>2013</v>
      </c>
      <c r="K1716" t="s">
        <v>7844</v>
      </c>
      <c r="L1716" t="s">
        <v>7837</v>
      </c>
    </row>
    <row r="1717" spans="1:12">
      <c r="A1717" t="s">
        <v>7830</v>
      </c>
      <c r="B1717" t="s">
        <v>7852</v>
      </c>
      <c r="C1717" t="s">
        <v>7853</v>
      </c>
      <c r="D1717" t="s">
        <v>7854</v>
      </c>
      <c r="E1717" t="s">
        <v>7855</v>
      </c>
      <c r="F1717">
        <v>229845554</v>
      </c>
      <c r="G1717">
        <v>1196315</v>
      </c>
      <c r="H1717">
        <v>1211000</v>
      </c>
      <c r="I1717" t="s">
        <v>7851</v>
      </c>
      <c r="J1717">
        <v>2013</v>
      </c>
      <c r="K1717" t="s">
        <v>7845</v>
      </c>
      <c r="L1717" t="s">
        <v>7837</v>
      </c>
    </row>
    <row r="1718" spans="1:12">
      <c r="A1718" t="s">
        <v>7830</v>
      </c>
      <c r="B1718" t="s">
        <v>7852</v>
      </c>
      <c r="C1718" t="s">
        <v>7853</v>
      </c>
      <c r="D1718" t="s">
        <v>7854</v>
      </c>
      <c r="E1718" t="s">
        <v>7855</v>
      </c>
      <c r="F1718">
        <v>355255065</v>
      </c>
      <c r="G1718">
        <v>2372693</v>
      </c>
      <c r="H1718">
        <v>1690363</v>
      </c>
      <c r="I1718" t="s">
        <v>7851</v>
      </c>
      <c r="J1718">
        <v>2013</v>
      </c>
      <c r="K1718" t="s">
        <v>7846</v>
      </c>
      <c r="L1718" t="s">
        <v>7837</v>
      </c>
    </row>
    <row r="1719" spans="1:12">
      <c r="A1719" t="s">
        <v>7830</v>
      </c>
      <c r="B1719" t="s">
        <v>7852</v>
      </c>
      <c r="C1719" t="s">
        <v>7853</v>
      </c>
      <c r="D1719" t="s">
        <v>7854</v>
      </c>
      <c r="E1719" t="s">
        <v>7855</v>
      </c>
      <c r="F1719">
        <v>470762469</v>
      </c>
      <c r="G1719">
        <v>2734443</v>
      </c>
      <c r="H1719">
        <v>2635521</v>
      </c>
      <c r="I1719" t="s">
        <v>7851</v>
      </c>
      <c r="J1719">
        <v>2013</v>
      </c>
      <c r="K1719" t="s">
        <v>7847</v>
      </c>
      <c r="L1719" t="s">
        <v>7837</v>
      </c>
    </row>
    <row r="1720" spans="1:12">
      <c r="A1720" t="s">
        <v>7830</v>
      </c>
      <c r="B1720" t="s">
        <v>7852</v>
      </c>
      <c r="C1720" t="s">
        <v>7853</v>
      </c>
      <c r="D1720" t="s">
        <v>7854</v>
      </c>
      <c r="E1720" t="s">
        <v>7855</v>
      </c>
      <c r="F1720">
        <v>375914618</v>
      </c>
      <c r="G1720">
        <v>2180990</v>
      </c>
      <c r="H1720">
        <v>2035996</v>
      </c>
      <c r="I1720" t="s">
        <v>7851</v>
      </c>
      <c r="J1720">
        <v>2013</v>
      </c>
      <c r="K1720" t="s">
        <v>7848</v>
      </c>
      <c r="L1720" t="s">
        <v>7837</v>
      </c>
    </row>
    <row r="1721" spans="1:12">
      <c r="A1721" t="s">
        <v>7830</v>
      </c>
      <c r="B1721" t="s">
        <v>7852</v>
      </c>
      <c r="C1721" t="s">
        <v>7853</v>
      </c>
      <c r="D1721" t="s">
        <v>7854</v>
      </c>
      <c r="E1721" t="s">
        <v>7855</v>
      </c>
      <c r="F1721">
        <v>287849823</v>
      </c>
      <c r="G1721">
        <v>1680404</v>
      </c>
      <c r="H1721">
        <v>1517446</v>
      </c>
      <c r="I1721" t="s">
        <v>7851</v>
      </c>
      <c r="J1721">
        <v>2014</v>
      </c>
      <c r="K1721" t="s">
        <v>7836</v>
      </c>
      <c r="L1721" t="s">
        <v>7837</v>
      </c>
    </row>
    <row r="1722" spans="1:12">
      <c r="A1722" t="s">
        <v>7830</v>
      </c>
      <c r="B1722" t="s">
        <v>7852</v>
      </c>
      <c r="C1722" t="s">
        <v>7853</v>
      </c>
      <c r="D1722" t="s">
        <v>7854</v>
      </c>
      <c r="E1722" t="s">
        <v>7855</v>
      </c>
      <c r="F1722">
        <v>200843043</v>
      </c>
      <c r="G1722">
        <v>1289203</v>
      </c>
      <c r="H1722">
        <v>899471</v>
      </c>
      <c r="I1722" t="s">
        <v>7851</v>
      </c>
      <c r="J1722">
        <v>2014</v>
      </c>
      <c r="K1722" t="s">
        <v>7838</v>
      </c>
      <c r="L1722" t="s">
        <v>7837</v>
      </c>
    </row>
    <row r="1723" spans="1:12">
      <c r="A1723" t="s">
        <v>7830</v>
      </c>
      <c r="B1723" t="s">
        <v>7852</v>
      </c>
      <c r="C1723" t="s">
        <v>7853</v>
      </c>
      <c r="D1723" t="s">
        <v>7854</v>
      </c>
      <c r="E1723" t="s">
        <v>7855</v>
      </c>
      <c r="F1723">
        <v>220203329</v>
      </c>
      <c r="G1723">
        <v>1377586</v>
      </c>
      <c r="H1723">
        <v>999662</v>
      </c>
      <c r="I1723" t="s">
        <v>7851</v>
      </c>
      <c r="J1723">
        <v>2014</v>
      </c>
      <c r="K1723" t="s">
        <v>7839</v>
      </c>
      <c r="L1723" t="s">
        <v>7837</v>
      </c>
    </row>
    <row r="1724" spans="1:12">
      <c r="A1724" t="s">
        <v>7830</v>
      </c>
      <c r="B1724" t="s">
        <v>7852</v>
      </c>
      <c r="C1724" t="s">
        <v>7853</v>
      </c>
      <c r="D1724" t="s">
        <v>7854</v>
      </c>
      <c r="E1724" t="s">
        <v>7855</v>
      </c>
      <c r="F1724">
        <v>195850283</v>
      </c>
      <c r="G1724">
        <v>1387595</v>
      </c>
      <c r="H1724">
        <v>849940</v>
      </c>
      <c r="I1724" t="s">
        <v>7851</v>
      </c>
      <c r="J1724">
        <v>2014</v>
      </c>
      <c r="K1724" t="s">
        <v>7840</v>
      </c>
      <c r="L1724" t="s">
        <v>7837</v>
      </c>
    </row>
    <row r="1725" spans="1:12">
      <c r="A1725" t="s">
        <v>7830</v>
      </c>
      <c r="B1725" t="s">
        <v>7852</v>
      </c>
      <c r="C1725" t="s">
        <v>7853</v>
      </c>
      <c r="D1725" t="s">
        <v>7854</v>
      </c>
      <c r="E1725" t="s">
        <v>7855</v>
      </c>
      <c r="F1725">
        <v>170851134</v>
      </c>
      <c r="G1725">
        <v>1175834</v>
      </c>
      <c r="H1725">
        <v>774936</v>
      </c>
      <c r="I1725" t="s">
        <v>7851</v>
      </c>
      <c r="J1725">
        <v>2014</v>
      </c>
      <c r="K1725" t="s">
        <v>7841</v>
      </c>
      <c r="L1725" t="s">
        <v>7837</v>
      </c>
    </row>
    <row r="1726" spans="1:12">
      <c r="A1726" t="s">
        <v>7830</v>
      </c>
      <c r="B1726" t="s">
        <v>7852</v>
      </c>
      <c r="C1726" t="s">
        <v>7853</v>
      </c>
      <c r="D1726" t="s">
        <v>7854</v>
      </c>
      <c r="E1726" t="s">
        <v>7855</v>
      </c>
      <c r="F1726">
        <v>161489902</v>
      </c>
      <c r="G1726">
        <v>1112921</v>
      </c>
      <c r="H1726">
        <v>817200</v>
      </c>
      <c r="I1726" t="s">
        <v>7851</v>
      </c>
      <c r="J1726">
        <v>2014</v>
      </c>
      <c r="K1726" t="s">
        <v>7842</v>
      </c>
      <c r="L1726" t="s">
        <v>7837</v>
      </c>
    </row>
    <row r="1727" spans="1:12">
      <c r="A1727" t="s">
        <v>7830</v>
      </c>
      <c r="B1727" t="s">
        <v>7852</v>
      </c>
      <c r="C1727" t="s">
        <v>7853</v>
      </c>
      <c r="D1727" t="s">
        <v>7854</v>
      </c>
      <c r="E1727" t="s">
        <v>7855</v>
      </c>
      <c r="F1727">
        <v>185987786</v>
      </c>
      <c r="G1727">
        <v>1333069</v>
      </c>
      <c r="H1727">
        <v>1146192</v>
      </c>
      <c r="I1727" t="s">
        <v>7851</v>
      </c>
      <c r="J1727">
        <v>2014</v>
      </c>
      <c r="K1727" t="s">
        <v>7843</v>
      </c>
      <c r="L1727" t="s">
        <v>7837</v>
      </c>
    </row>
    <row r="1728" spans="1:12">
      <c r="A1728" t="s">
        <v>7830</v>
      </c>
      <c r="B1728" t="s">
        <v>7852</v>
      </c>
      <c r="C1728" t="s">
        <v>7853</v>
      </c>
      <c r="D1728" t="s">
        <v>7854</v>
      </c>
      <c r="E1728" t="s">
        <v>7855</v>
      </c>
      <c r="F1728">
        <v>177530030</v>
      </c>
      <c r="G1728">
        <v>1269366</v>
      </c>
      <c r="H1728">
        <v>852306</v>
      </c>
      <c r="I1728" t="s">
        <v>7851</v>
      </c>
      <c r="J1728">
        <v>2014</v>
      </c>
      <c r="K1728" t="s">
        <v>7844</v>
      </c>
      <c r="L1728" t="s">
        <v>7837</v>
      </c>
    </row>
    <row r="1729" spans="1:12">
      <c r="A1729" t="s">
        <v>7830</v>
      </c>
      <c r="B1729" t="s">
        <v>7852</v>
      </c>
      <c r="C1729" t="s">
        <v>7853</v>
      </c>
      <c r="D1729" t="s">
        <v>7854</v>
      </c>
      <c r="E1729" t="s">
        <v>7855</v>
      </c>
      <c r="F1729">
        <v>180114050</v>
      </c>
      <c r="G1729">
        <v>1191674</v>
      </c>
      <c r="H1729">
        <v>966774</v>
      </c>
      <c r="I1729" t="s">
        <v>7851</v>
      </c>
      <c r="J1729">
        <v>2014</v>
      </c>
      <c r="K1729" t="s">
        <v>7845</v>
      </c>
      <c r="L1729" t="s">
        <v>7837</v>
      </c>
    </row>
    <row r="1730" spans="1:12">
      <c r="A1730" t="s">
        <v>7830</v>
      </c>
      <c r="B1730" t="s">
        <v>7852</v>
      </c>
      <c r="C1730" t="s">
        <v>7853</v>
      </c>
      <c r="D1730" t="s">
        <v>7854</v>
      </c>
      <c r="E1730" t="s">
        <v>7855</v>
      </c>
      <c r="F1730">
        <v>364703253</v>
      </c>
      <c r="G1730">
        <v>2500484</v>
      </c>
      <c r="H1730">
        <v>2050538</v>
      </c>
      <c r="I1730" t="s">
        <v>7851</v>
      </c>
      <c r="J1730">
        <v>2014</v>
      </c>
      <c r="K1730" t="s">
        <v>7846</v>
      </c>
      <c r="L1730" t="s">
        <v>7837</v>
      </c>
    </row>
    <row r="1731" spans="1:12">
      <c r="A1731" t="s">
        <v>7830</v>
      </c>
      <c r="B1731" t="s">
        <v>7852</v>
      </c>
      <c r="C1731" t="s">
        <v>7853</v>
      </c>
      <c r="D1731" t="s">
        <v>7854</v>
      </c>
      <c r="E1731" t="s">
        <v>7855</v>
      </c>
      <c r="F1731">
        <v>401054156</v>
      </c>
      <c r="G1731">
        <v>2651109</v>
      </c>
      <c r="H1731">
        <v>2278718</v>
      </c>
      <c r="I1731" t="s">
        <v>7851</v>
      </c>
      <c r="J1731">
        <v>2014</v>
      </c>
      <c r="K1731" t="s">
        <v>7847</v>
      </c>
      <c r="L1731" t="s">
        <v>7837</v>
      </c>
    </row>
    <row r="1732" spans="1:12">
      <c r="A1732" t="s">
        <v>7830</v>
      </c>
      <c r="B1732" t="s">
        <v>7852</v>
      </c>
      <c r="C1732" t="s">
        <v>7853</v>
      </c>
      <c r="D1732" t="s">
        <v>7854</v>
      </c>
      <c r="E1732" t="s">
        <v>7855</v>
      </c>
      <c r="F1732">
        <v>404259338</v>
      </c>
      <c r="G1732">
        <v>2324876</v>
      </c>
      <c r="H1732">
        <v>1963668</v>
      </c>
      <c r="I1732" t="s">
        <v>7851</v>
      </c>
      <c r="J1732">
        <v>2014</v>
      </c>
      <c r="K1732" t="s">
        <v>7848</v>
      </c>
      <c r="L1732" t="s">
        <v>7837</v>
      </c>
    </row>
    <row r="1733" spans="1:12">
      <c r="A1733" t="s">
        <v>7830</v>
      </c>
      <c r="B1733" t="s">
        <v>7852</v>
      </c>
      <c r="C1733" t="s">
        <v>7853</v>
      </c>
      <c r="D1733" t="s">
        <v>7854</v>
      </c>
      <c r="E1733" t="s">
        <v>7855</v>
      </c>
      <c r="F1733">
        <v>273113328</v>
      </c>
      <c r="G1733">
        <v>1710126</v>
      </c>
      <c r="H1733">
        <v>1123564</v>
      </c>
      <c r="I1733" t="s">
        <v>7851</v>
      </c>
      <c r="J1733">
        <v>2015</v>
      </c>
      <c r="K1733" t="s">
        <v>7836</v>
      </c>
      <c r="L1733" t="s">
        <v>7837</v>
      </c>
    </row>
    <row r="1734" spans="1:12">
      <c r="A1734" t="s">
        <v>7830</v>
      </c>
      <c r="B1734" t="s">
        <v>7852</v>
      </c>
      <c r="C1734" t="s">
        <v>7853</v>
      </c>
      <c r="D1734" t="s">
        <v>7854</v>
      </c>
      <c r="E1734" t="s">
        <v>7855</v>
      </c>
      <c r="F1734">
        <v>170728334</v>
      </c>
      <c r="G1734">
        <v>1212903</v>
      </c>
      <c r="H1734">
        <v>1072541</v>
      </c>
      <c r="I1734" t="s">
        <v>7851</v>
      </c>
      <c r="J1734">
        <v>2015</v>
      </c>
      <c r="K1734" t="s">
        <v>7838</v>
      </c>
      <c r="L1734" t="s">
        <v>7837</v>
      </c>
    </row>
    <row r="1735" spans="1:12">
      <c r="A1735" t="s">
        <v>7830</v>
      </c>
      <c r="B1735" t="s">
        <v>7852</v>
      </c>
      <c r="C1735" t="s">
        <v>7853</v>
      </c>
      <c r="D1735" t="s">
        <v>7854</v>
      </c>
      <c r="E1735" t="s">
        <v>7855</v>
      </c>
      <c r="F1735">
        <v>188334789</v>
      </c>
      <c r="G1735">
        <v>1311507</v>
      </c>
      <c r="H1735">
        <v>697267</v>
      </c>
      <c r="I1735" t="s">
        <v>7851</v>
      </c>
      <c r="J1735">
        <v>2015</v>
      </c>
      <c r="K1735" t="s">
        <v>7839</v>
      </c>
      <c r="L1735" t="s">
        <v>7837</v>
      </c>
    </row>
    <row r="1736" spans="1:12">
      <c r="A1736" t="s">
        <v>7830</v>
      </c>
      <c r="B1736" t="s">
        <v>7852</v>
      </c>
      <c r="C1736" t="s">
        <v>7853</v>
      </c>
      <c r="D1736" t="s">
        <v>7854</v>
      </c>
      <c r="E1736" t="s">
        <v>7855</v>
      </c>
      <c r="F1736">
        <v>225174817</v>
      </c>
      <c r="G1736">
        <v>1475702</v>
      </c>
      <c r="H1736">
        <v>854059</v>
      </c>
      <c r="I1736" t="s">
        <v>7851</v>
      </c>
      <c r="J1736">
        <v>2015</v>
      </c>
      <c r="K1736" t="s">
        <v>7840</v>
      </c>
      <c r="L1736" t="s">
        <v>7837</v>
      </c>
    </row>
    <row r="1737" spans="1:12">
      <c r="A1737" t="s">
        <v>7830</v>
      </c>
      <c r="B1737" t="s">
        <v>7852</v>
      </c>
      <c r="C1737" t="s">
        <v>7853</v>
      </c>
      <c r="D1737" t="s">
        <v>7854</v>
      </c>
      <c r="E1737" t="s">
        <v>7855</v>
      </c>
      <c r="F1737">
        <v>188625148</v>
      </c>
      <c r="G1737">
        <v>1090962</v>
      </c>
      <c r="H1737">
        <v>726437</v>
      </c>
      <c r="I1737" t="s">
        <v>7851</v>
      </c>
      <c r="J1737">
        <v>2015</v>
      </c>
      <c r="K1737" t="s">
        <v>7841</v>
      </c>
      <c r="L1737" t="s">
        <v>7837</v>
      </c>
    </row>
    <row r="1738" spans="1:12">
      <c r="A1738" t="s">
        <v>7830</v>
      </c>
      <c r="B1738" t="s">
        <v>7852</v>
      </c>
      <c r="C1738" t="s">
        <v>7853</v>
      </c>
      <c r="D1738" t="s">
        <v>7854</v>
      </c>
      <c r="E1738" t="s">
        <v>7855</v>
      </c>
      <c r="F1738">
        <v>163023263</v>
      </c>
      <c r="G1738">
        <v>1009051</v>
      </c>
      <c r="H1738">
        <v>672913</v>
      </c>
      <c r="I1738" t="s">
        <v>7851</v>
      </c>
      <c r="J1738">
        <v>2015</v>
      </c>
      <c r="K1738" t="s">
        <v>7842</v>
      </c>
      <c r="L1738" t="s">
        <v>7837</v>
      </c>
    </row>
    <row r="1739" spans="1:12">
      <c r="A1739" t="s">
        <v>7830</v>
      </c>
      <c r="B1739" t="s">
        <v>7852</v>
      </c>
      <c r="C1739" t="s">
        <v>7853</v>
      </c>
      <c r="D1739" t="s">
        <v>7854</v>
      </c>
      <c r="E1739" t="s">
        <v>7855</v>
      </c>
      <c r="F1739">
        <v>244558366</v>
      </c>
      <c r="G1739">
        <v>1559075</v>
      </c>
      <c r="H1739">
        <v>1026924</v>
      </c>
      <c r="I1739" t="s">
        <v>7851</v>
      </c>
      <c r="J1739">
        <v>2015</v>
      </c>
      <c r="K1739" t="s">
        <v>7843</v>
      </c>
      <c r="L1739" t="s">
        <v>7837</v>
      </c>
    </row>
    <row r="1740" spans="1:12">
      <c r="A1740" t="s">
        <v>7830</v>
      </c>
      <c r="B1740" t="s">
        <v>7852</v>
      </c>
      <c r="C1740" t="s">
        <v>7853</v>
      </c>
      <c r="D1740" t="s">
        <v>7854</v>
      </c>
      <c r="E1740" t="s">
        <v>7855</v>
      </c>
      <c r="F1740">
        <v>217693607</v>
      </c>
      <c r="G1740">
        <v>1231153</v>
      </c>
      <c r="H1740">
        <v>916417</v>
      </c>
      <c r="I1740" t="s">
        <v>7851</v>
      </c>
      <c r="J1740">
        <v>2015</v>
      </c>
      <c r="K1740" t="s">
        <v>7844</v>
      </c>
      <c r="L1740" t="s">
        <v>7837</v>
      </c>
    </row>
    <row r="1741" spans="1:12">
      <c r="A1741" t="s">
        <v>7830</v>
      </c>
      <c r="B1741" t="s">
        <v>7852</v>
      </c>
      <c r="C1741" t="s">
        <v>7853</v>
      </c>
      <c r="D1741" t="s">
        <v>7854</v>
      </c>
      <c r="E1741" t="s">
        <v>7855</v>
      </c>
      <c r="F1741">
        <v>196805396</v>
      </c>
      <c r="G1741">
        <v>1248108</v>
      </c>
      <c r="H1741">
        <v>1131878</v>
      </c>
      <c r="I1741" t="s">
        <v>7851</v>
      </c>
      <c r="J1741">
        <v>2015</v>
      </c>
      <c r="K1741" t="s">
        <v>7845</v>
      </c>
      <c r="L1741" t="s">
        <v>7837</v>
      </c>
    </row>
    <row r="1742" spans="1:12">
      <c r="A1742" t="s">
        <v>7830</v>
      </c>
      <c r="B1742" t="s">
        <v>7852</v>
      </c>
      <c r="C1742" t="s">
        <v>7853</v>
      </c>
      <c r="D1742" t="s">
        <v>7854</v>
      </c>
      <c r="E1742" t="s">
        <v>7855</v>
      </c>
      <c r="F1742">
        <v>325292578</v>
      </c>
      <c r="G1742">
        <v>2227027</v>
      </c>
      <c r="H1742">
        <v>1681080</v>
      </c>
      <c r="I1742" t="s">
        <v>7851</v>
      </c>
      <c r="J1742">
        <v>2015</v>
      </c>
      <c r="K1742" t="s">
        <v>7846</v>
      </c>
      <c r="L1742" t="s">
        <v>7837</v>
      </c>
    </row>
    <row r="1743" spans="1:12">
      <c r="A1743" t="s">
        <v>7830</v>
      </c>
      <c r="B1743" t="s">
        <v>7852</v>
      </c>
      <c r="C1743" t="s">
        <v>7853</v>
      </c>
      <c r="D1743" t="s">
        <v>7854</v>
      </c>
      <c r="E1743" t="s">
        <v>7855</v>
      </c>
      <c r="F1743">
        <v>354279710</v>
      </c>
      <c r="G1743">
        <v>2330824</v>
      </c>
      <c r="H1743">
        <v>2164290</v>
      </c>
      <c r="I1743" t="s">
        <v>7851</v>
      </c>
      <c r="J1743">
        <v>2015</v>
      </c>
      <c r="K1743" t="s">
        <v>7847</v>
      </c>
      <c r="L1743" t="s">
        <v>7837</v>
      </c>
    </row>
    <row r="1744" spans="1:12">
      <c r="A1744" t="s">
        <v>7830</v>
      </c>
      <c r="B1744" t="s">
        <v>7852</v>
      </c>
      <c r="C1744" t="s">
        <v>7853</v>
      </c>
      <c r="D1744" t="s">
        <v>7854</v>
      </c>
      <c r="E1744" t="s">
        <v>7855</v>
      </c>
      <c r="F1744">
        <v>314805343</v>
      </c>
      <c r="G1744">
        <v>1832630</v>
      </c>
      <c r="H1744">
        <v>1748904</v>
      </c>
      <c r="I1744" t="s">
        <v>7851</v>
      </c>
      <c r="J1744">
        <v>2015</v>
      </c>
      <c r="K1744" t="s">
        <v>7848</v>
      </c>
      <c r="L1744" t="s">
        <v>7837</v>
      </c>
    </row>
    <row r="1745" spans="1:12">
      <c r="A1745" t="s">
        <v>7830</v>
      </c>
      <c r="B1745" t="s">
        <v>7852</v>
      </c>
      <c r="C1745" t="s">
        <v>7853</v>
      </c>
      <c r="D1745" t="s">
        <v>7854</v>
      </c>
      <c r="E1745" t="s">
        <v>7855</v>
      </c>
      <c r="F1745">
        <v>248250127</v>
      </c>
      <c r="G1745">
        <v>1688059</v>
      </c>
      <c r="H1745">
        <v>1171156</v>
      </c>
      <c r="I1745" t="s">
        <v>7851</v>
      </c>
      <c r="J1745">
        <v>2016</v>
      </c>
      <c r="K1745" t="s">
        <v>7836</v>
      </c>
      <c r="L1745" t="s">
        <v>7837</v>
      </c>
    </row>
    <row r="1746" spans="1:12">
      <c r="A1746" t="s">
        <v>7830</v>
      </c>
      <c r="B1746" t="s">
        <v>7852</v>
      </c>
      <c r="C1746" t="s">
        <v>7853</v>
      </c>
      <c r="D1746" t="s">
        <v>7854</v>
      </c>
      <c r="E1746" t="s">
        <v>7855</v>
      </c>
      <c r="F1746">
        <v>168444647</v>
      </c>
      <c r="G1746">
        <v>985715</v>
      </c>
      <c r="H1746">
        <v>890700</v>
      </c>
      <c r="I1746" t="s">
        <v>7851</v>
      </c>
      <c r="J1746">
        <v>2016</v>
      </c>
      <c r="K1746" t="s">
        <v>7838</v>
      </c>
      <c r="L1746" t="s">
        <v>7837</v>
      </c>
    </row>
    <row r="1747" spans="1:12">
      <c r="A1747" t="s">
        <v>7830</v>
      </c>
      <c r="B1747" t="s">
        <v>7852</v>
      </c>
      <c r="C1747" t="s">
        <v>7853</v>
      </c>
      <c r="D1747" t="s">
        <v>7854</v>
      </c>
      <c r="E1747" t="s">
        <v>7855</v>
      </c>
      <c r="F1747">
        <v>231767495</v>
      </c>
      <c r="G1747">
        <v>1308520</v>
      </c>
      <c r="H1747">
        <v>881018</v>
      </c>
      <c r="I1747" t="s">
        <v>7851</v>
      </c>
      <c r="J1747">
        <v>2016</v>
      </c>
      <c r="K1747" t="s">
        <v>7839</v>
      </c>
      <c r="L1747" t="s">
        <v>7837</v>
      </c>
    </row>
    <row r="1748" spans="1:12">
      <c r="A1748" t="s">
        <v>7830</v>
      </c>
      <c r="B1748" t="s">
        <v>7852</v>
      </c>
      <c r="C1748" t="s">
        <v>7853</v>
      </c>
      <c r="D1748" t="s">
        <v>7854</v>
      </c>
      <c r="E1748" t="s">
        <v>7855</v>
      </c>
      <c r="F1748">
        <v>273456203</v>
      </c>
      <c r="G1748">
        <v>1681169</v>
      </c>
      <c r="H1748">
        <v>1234248</v>
      </c>
      <c r="I1748" t="s">
        <v>7851</v>
      </c>
      <c r="J1748">
        <v>2016</v>
      </c>
      <c r="K1748" t="s">
        <v>7840</v>
      </c>
      <c r="L1748" t="s">
        <v>7837</v>
      </c>
    </row>
    <row r="1749" spans="1:12">
      <c r="A1749" t="s">
        <v>7830</v>
      </c>
      <c r="B1749" t="s">
        <v>7852</v>
      </c>
      <c r="C1749" t="s">
        <v>7853</v>
      </c>
      <c r="D1749" t="s">
        <v>7854</v>
      </c>
      <c r="E1749" t="s">
        <v>7855</v>
      </c>
      <c r="F1749">
        <v>185285828</v>
      </c>
      <c r="G1749">
        <v>1083636</v>
      </c>
      <c r="H1749">
        <v>808053</v>
      </c>
      <c r="I1749" t="s">
        <v>7851</v>
      </c>
      <c r="J1749">
        <v>2016</v>
      </c>
      <c r="K1749" t="s">
        <v>7841</v>
      </c>
      <c r="L1749" t="s">
        <v>7837</v>
      </c>
    </row>
    <row r="1750" spans="1:12">
      <c r="A1750" t="s">
        <v>7830</v>
      </c>
      <c r="B1750" t="s">
        <v>7852</v>
      </c>
      <c r="C1750" t="s">
        <v>7853</v>
      </c>
      <c r="D1750" t="s">
        <v>7854</v>
      </c>
      <c r="E1750" t="s">
        <v>7855</v>
      </c>
      <c r="F1750">
        <v>214398403</v>
      </c>
      <c r="G1750">
        <v>1297528</v>
      </c>
      <c r="H1750">
        <v>858137</v>
      </c>
      <c r="I1750" t="s">
        <v>7851</v>
      </c>
      <c r="J1750">
        <v>2016</v>
      </c>
      <c r="K1750" t="s">
        <v>7842</v>
      </c>
      <c r="L1750" t="s">
        <v>7837</v>
      </c>
    </row>
    <row r="1751" spans="1:12">
      <c r="A1751" t="s">
        <v>7830</v>
      </c>
      <c r="B1751" t="s">
        <v>7852</v>
      </c>
      <c r="C1751" t="s">
        <v>7853</v>
      </c>
      <c r="D1751" t="s">
        <v>7854</v>
      </c>
      <c r="E1751" t="s">
        <v>7855</v>
      </c>
      <c r="F1751">
        <v>223741508</v>
      </c>
      <c r="G1751">
        <v>1565901</v>
      </c>
      <c r="H1751">
        <v>1010576</v>
      </c>
      <c r="I1751" t="s">
        <v>7851</v>
      </c>
      <c r="J1751">
        <v>2016</v>
      </c>
      <c r="K1751" t="s">
        <v>7843</v>
      </c>
      <c r="L1751" t="s">
        <v>7837</v>
      </c>
    </row>
    <row r="1752" spans="1:12">
      <c r="A1752" t="s">
        <v>7830</v>
      </c>
      <c r="B1752" t="s">
        <v>7852</v>
      </c>
      <c r="C1752" t="s">
        <v>7853</v>
      </c>
      <c r="D1752" t="s">
        <v>7854</v>
      </c>
      <c r="E1752" t="s">
        <v>7855</v>
      </c>
      <c r="F1752">
        <v>244235044</v>
      </c>
      <c r="G1752">
        <v>1250256</v>
      </c>
      <c r="H1752">
        <v>871835</v>
      </c>
      <c r="I1752" t="s">
        <v>7851</v>
      </c>
      <c r="J1752">
        <v>2016</v>
      </c>
      <c r="K1752" t="s">
        <v>7844</v>
      </c>
      <c r="L1752" t="s">
        <v>7837</v>
      </c>
    </row>
    <row r="1753" spans="1:12">
      <c r="A1753" t="s">
        <v>7830</v>
      </c>
      <c r="B1753" t="s">
        <v>7852</v>
      </c>
      <c r="C1753" t="s">
        <v>7853</v>
      </c>
      <c r="D1753" t="s">
        <v>7854</v>
      </c>
      <c r="E1753" t="s">
        <v>7855</v>
      </c>
      <c r="F1753">
        <v>298553744</v>
      </c>
      <c r="G1753">
        <v>1717096</v>
      </c>
      <c r="H1753">
        <v>1263446</v>
      </c>
      <c r="I1753" t="s">
        <v>7851</v>
      </c>
      <c r="J1753">
        <v>2016</v>
      </c>
      <c r="K1753" t="s">
        <v>7845</v>
      </c>
      <c r="L1753" t="s">
        <v>7837</v>
      </c>
    </row>
    <row r="1754" spans="1:12">
      <c r="A1754" t="s">
        <v>7830</v>
      </c>
      <c r="B1754" t="s">
        <v>7852</v>
      </c>
      <c r="C1754" t="s">
        <v>7853</v>
      </c>
      <c r="D1754" t="s">
        <v>7854</v>
      </c>
      <c r="E1754" t="s">
        <v>7855</v>
      </c>
      <c r="F1754">
        <v>319132193</v>
      </c>
      <c r="G1754">
        <v>1852472</v>
      </c>
      <c r="H1754">
        <v>1449237</v>
      </c>
      <c r="I1754" t="s">
        <v>7851</v>
      </c>
      <c r="J1754">
        <v>2016</v>
      </c>
      <c r="K1754" t="s">
        <v>7846</v>
      </c>
      <c r="L1754" t="s">
        <v>7837</v>
      </c>
    </row>
    <row r="1755" spans="1:12">
      <c r="A1755" t="s">
        <v>7830</v>
      </c>
      <c r="B1755" t="s">
        <v>7852</v>
      </c>
      <c r="C1755" t="s">
        <v>7853</v>
      </c>
      <c r="D1755" t="s">
        <v>7854</v>
      </c>
      <c r="E1755" t="s">
        <v>7855</v>
      </c>
      <c r="F1755">
        <v>408708182</v>
      </c>
      <c r="G1755">
        <v>2050657</v>
      </c>
      <c r="H1755">
        <v>1627761</v>
      </c>
      <c r="I1755" t="s">
        <v>7851</v>
      </c>
      <c r="J1755">
        <v>2016</v>
      </c>
      <c r="K1755" t="s">
        <v>7847</v>
      </c>
      <c r="L1755" t="s">
        <v>7837</v>
      </c>
    </row>
    <row r="1756" spans="1:12">
      <c r="A1756" t="s">
        <v>7830</v>
      </c>
      <c r="B1756" t="s">
        <v>7852</v>
      </c>
      <c r="C1756" t="s">
        <v>7853</v>
      </c>
      <c r="D1756" t="s">
        <v>7854</v>
      </c>
      <c r="E1756" t="s">
        <v>7855</v>
      </c>
      <c r="F1756">
        <v>343009240</v>
      </c>
      <c r="G1756">
        <v>1690562</v>
      </c>
      <c r="H1756">
        <v>1315495</v>
      </c>
      <c r="I1756" t="s">
        <v>7851</v>
      </c>
      <c r="J1756">
        <v>2016</v>
      </c>
      <c r="K1756" t="s">
        <v>7848</v>
      </c>
      <c r="L1756" t="s">
        <v>7837</v>
      </c>
    </row>
    <row r="1757" spans="1:12">
      <c r="A1757" t="s">
        <v>7830</v>
      </c>
      <c r="B1757" t="s">
        <v>7852</v>
      </c>
      <c r="C1757" t="s">
        <v>7853</v>
      </c>
      <c r="D1757" t="s">
        <v>7854</v>
      </c>
      <c r="E1757" t="s">
        <v>7855</v>
      </c>
      <c r="F1757">
        <v>209034135</v>
      </c>
      <c r="G1757">
        <v>980974</v>
      </c>
      <c r="H1757">
        <v>671798</v>
      </c>
      <c r="I1757" t="s">
        <v>7851</v>
      </c>
      <c r="J1757">
        <v>2017</v>
      </c>
      <c r="K1757" t="s">
        <v>7836</v>
      </c>
      <c r="L1757" t="s">
        <v>7837</v>
      </c>
    </row>
    <row r="1758" spans="1:12">
      <c r="A1758" t="s">
        <v>7830</v>
      </c>
      <c r="B1758" t="s">
        <v>7852</v>
      </c>
      <c r="C1758" t="s">
        <v>7853</v>
      </c>
      <c r="D1758" t="s">
        <v>7854</v>
      </c>
      <c r="E1758" t="s">
        <v>7855</v>
      </c>
      <c r="F1758">
        <v>194509117</v>
      </c>
      <c r="G1758">
        <v>976365</v>
      </c>
      <c r="H1758">
        <v>621328</v>
      </c>
      <c r="I1758" t="s">
        <v>7851</v>
      </c>
      <c r="J1758">
        <v>2017</v>
      </c>
      <c r="K1758" t="s">
        <v>7838</v>
      </c>
      <c r="L1758" t="s">
        <v>7837</v>
      </c>
    </row>
    <row r="1759" spans="1:12">
      <c r="A1759" t="s">
        <v>7830</v>
      </c>
      <c r="B1759" t="s">
        <v>7852</v>
      </c>
      <c r="C1759" t="s">
        <v>7853</v>
      </c>
      <c r="D1759" t="s">
        <v>7854</v>
      </c>
      <c r="E1759" t="s">
        <v>7855</v>
      </c>
      <c r="F1759">
        <v>232663388</v>
      </c>
      <c r="G1759">
        <v>1111440</v>
      </c>
      <c r="H1759">
        <v>697878</v>
      </c>
      <c r="I1759" t="s">
        <v>7851</v>
      </c>
      <c r="J1759">
        <v>2017</v>
      </c>
      <c r="K1759" t="s">
        <v>7839</v>
      </c>
      <c r="L1759" t="s">
        <v>7837</v>
      </c>
    </row>
    <row r="1760" spans="1:12">
      <c r="A1760" t="s">
        <v>7830</v>
      </c>
      <c r="B1760" t="s">
        <v>7852</v>
      </c>
      <c r="C1760" t="s">
        <v>7853</v>
      </c>
      <c r="D1760" t="s">
        <v>7854</v>
      </c>
      <c r="E1760" t="s">
        <v>7855</v>
      </c>
      <c r="F1760">
        <v>211469224</v>
      </c>
      <c r="G1760">
        <v>935850</v>
      </c>
      <c r="H1760">
        <v>620749</v>
      </c>
      <c r="I1760" t="s">
        <v>7851</v>
      </c>
      <c r="J1760">
        <v>2017</v>
      </c>
      <c r="K1760" t="s">
        <v>7840</v>
      </c>
      <c r="L1760" t="s">
        <v>7837</v>
      </c>
    </row>
    <row r="1761" spans="1:12">
      <c r="A1761" t="s">
        <v>7830</v>
      </c>
      <c r="B1761" t="s">
        <v>7852</v>
      </c>
      <c r="C1761" t="s">
        <v>7853</v>
      </c>
      <c r="D1761" t="s">
        <v>7854</v>
      </c>
      <c r="E1761" t="s">
        <v>7855</v>
      </c>
      <c r="F1761">
        <v>200919462</v>
      </c>
      <c r="G1761">
        <v>1010620</v>
      </c>
      <c r="H1761">
        <v>982380</v>
      </c>
      <c r="I1761" t="s">
        <v>7851</v>
      </c>
      <c r="J1761">
        <v>2017</v>
      </c>
      <c r="K1761" t="s">
        <v>7841</v>
      </c>
      <c r="L1761" t="s">
        <v>7837</v>
      </c>
    </row>
    <row r="1762" spans="1:12">
      <c r="A1762" t="s">
        <v>7830</v>
      </c>
      <c r="B1762" t="s">
        <v>7852</v>
      </c>
      <c r="C1762" t="s">
        <v>7853</v>
      </c>
      <c r="D1762" t="s">
        <v>7854</v>
      </c>
      <c r="E1762" t="s">
        <v>7855</v>
      </c>
      <c r="F1762">
        <v>248825735</v>
      </c>
      <c r="G1762">
        <v>960897</v>
      </c>
      <c r="H1762">
        <v>899820</v>
      </c>
      <c r="I1762" t="s">
        <v>7851</v>
      </c>
      <c r="J1762">
        <v>2017</v>
      </c>
      <c r="K1762" t="s">
        <v>7842</v>
      </c>
      <c r="L1762" t="s">
        <v>7837</v>
      </c>
    </row>
    <row r="1763" spans="1:12">
      <c r="A1763" t="s">
        <v>7830</v>
      </c>
      <c r="B1763" t="s">
        <v>7852</v>
      </c>
      <c r="C1763" t="s">
        <v>7853</v>
      </c>
      <c r="D1763" t="s">
        <v>7854</v>
      </c>
      <c r="E1763" t="s">
        <v>7855</v>
      </c>
      <c r="F1763">
        <v>261714239</v>
      </c>
      <c r="G1763">
        <v>1264298</v>
      </c>
      <c r="H1763">
        <v>866172</v>
      </c>
      <c r="I1763" t="s">
        <v>7851</v>
      </c>
      <c r="J1763">
        <v>2017</v>
      </c>
      <c r="K1763" t="s">
        <v>7843</v>
      </c>
      <c r="L1763" t="s">
        <v>7837</v>
      </c>
    </row>
    <row r="1764" spans="1:12">
      <c r="A1764" t="s">
        <v>7830</v>
      </c>
      <c r="B1764" t="s">
        <v>7852</v>
      </c>
      <c r="C1764" t="s">
        <v>7853</v>
      </c>
      <c r="D1764" t="s">
        <v>7854</v>
      </c>
      <c r="E1764" t="s">
        <v>7855</v>
      </c>
      <c r="F1764">
        <v>282668716</v>
      </c>
      <c r="G1764">
        <v>1124619</v>
      </c>
      <c r="H1764">
        <v>824648</v>
      </c>
      <c r="I1764" t="s">
        <v>7851</v>
      </c>
      <c r="J1764">
        <v>2017</v>
      </c>
      <c r="K1764" t="s">
        <v>7844</v>
      </c>
      <c r="L1764" t="s">
        <v>7837</v>
      </c>
    </row>
    <row r="1765" spans="1:12">
      <c r="A1765" t="s">
        <v>7830</v>
      </c>
      <c r="B1765" t="s">
        <v>7852</v>
      </c>
      <c r="C1765" t="s">
        <v>7853</v>
      </c>
      <c r="D1765" t="s">
        <v>7854</v>
      </c>
      <c r="E1765" t="s">
        <v>7855</v>
      </c>
      <c r="F1765">
        <v>299992336</v>
      </c>
      <c r="G1765">
        <v>1413087</v>
      </c>
      <c r="H1765">
        <v>1161535</v>
      </c>
      <c r="I1765" t="s">
        <v>7851</v>
      </c>
      <c r="J1765">
        <v>2017</v>
      </c>
      <c r="K1765" t="s">
        <v>7845</v>
      </c>
      <c r="L1765" t="s">
        <v>7837</v>
      </c>
    </row>
    <row r="1766" spans="1:12">
      <c r="A1766" t="s">
        <v>7830</v>
      </c>
      <c r="B1766" t="s">
        <v>7852</v>
      </c>
      <c r="C1766" t="s">
        <v>7853</v>
      </c>
      <c r="D1766" t="s">
        <v>7854</v>
      </c>
      <c r="E1766" t="s">
        <v>7855</v>
      </c>
      <c r="F1766">
        <v>313653928</v>
      </c>
      <c r="G1766">
        <v>1709129</v>
      </c>
      <c r="H1766">
        <v>1714773</v>
      </c>
      <c r="I1766" t="s">
        <v>7851</v>
      </c>
      <c r="J1766">
        <v>2017</v>
      </c>
      <c r="K1766" t="s">
        <v>7846</v>
      </c>
      <c r="L1766" t="s">
        <v>7837</v>
      </c>
    </row>
    <row r="1767" spans="1:12">
      <c r="A1767" t="s">
        <v>7830</v>
      </c>
      <c r="B1767" t="s">
        <v>7852</v>
      </c>
      <c r="C1767" t="s">
        <v>7853</v>
      </c>
      <c r="D1767" t="s">
        <v>7854</v>
      </c>
      <c r="E1767" t="s">
        <v>7855</v>
      </c>
      <c r="F1767">
        <v>455977300</v>
      </c>
      <c r="G1767">
        <v>2168994</v>
      </c>
      <c r="H1767">
        <v>1741478</v>
      </c>
      <c r="I1767" t="s">
        <v>7851</v>
      </c>
      <c r="J1767">
        <v>2017</v>
      </c>
      <c r="K1767" t="s">
        <v>7847</v>
      </c>
      <c r="L1767" t="s">
        <v>7837</v>
      </c>
    </row>
    <row r="1768" spans="1:12">
      <c r="A1768" t="s">
        <v>7830</v>
      </c>
      <c r="B1768" t="s">
        <v>7852</v>
      </c>
      <c r="C1768" t="s">
        <v>7853</v>
      </c>
      <c r="D1768" t="s">
        <v>7854</v>
      </c>
      <c r="E1768" t="s">
        <v>7855</v>
      </c>
      <c r="F1768">
        <v>260728371</v>
      </c>
      <c r="G1768">
        <v>1258675</v>
      </c>
      <c r="H1768">
        <v>976343</v>
      </c>
      <c r="I1768" t="s">
        <v>7851</v>
      </c>
      <c r="J1768">
        <v>2017</v>
      </c>
      <c r="K1768" t="s">
        <v>7848</v>
      </c>
      <c r="L1768" t="s">
        <v>7837</v>
      </c>
    </row>
    <row r="1769" spans="1:12">
      <c r="A1769" t="s">
        <v>7830</v>
      </c>
      <c r="B1769" t="s">
        <v>7852</v>
      </c>
      <c r="C1769" t="s">
        <v>7853</v>
      </c>
      <c r="D1769" t="s">
        <v>7854</v>
      </c>
      <c r="E1769" t="s">
        <v>7855</v>
      </c>
      <c r="F1769">
        <v>267995107</v>
      </c>
      <c r="G1769">
        <v>1192937</v>
      </c>
      <c r="H1769">
        <v>819440</v>
      </c>
      <c r="I1769" t="s">
        <v>7851</v>
      </c>
      <c r="J1769">
        <v>2018</v>
      </c>
      <c r="K1769" t="s">
        <v>7836</v>
      </c>
      <c r="L1769" t="s">
        <v>7837</v>
      </c>
    </row>
    <row r="1770" spans="1:12">
      <c r="A1770" t="s">
        <v>7830</v>
      </c>
      <c r="B1770" t="s">
        <v>7852</v>
      </c>
      <c r="C1770" t="s">
        <v>7853</v>
      </c>
      <c r="D1770" t="s">
        <v>7854</v>
      </c>
      <c r="E1770" t="s">
        <v>7855</v>
      </c>
      <c r="F1770">
        <v>230428571</v>
      </c>
      <c r="G1770">
        <v>1138367</v>
      </c>
      <c r="H1770">
        <v>714619</v>
      </c>
      <c r="I1770" t="s">
        <v>7851</v>
      </c>
      <c r="J1770">
        <v>2018</v>
      </c>
      <c r="K1770" t="s">
        <v>7838</v>
      </c>
      <c r="L1770" t="s">
        <v>7837</v>
      </c>
    </row>
    <row r="1771" spans="1:12">
      <c r="A1771" t="s">
        <v>7830</v>
      </c>
      <c r="B1771" t="s">
        <v>7852</v>
      </c>
      <c r="C1771" t="s">
        <v>7853</v>
      </c>
      <c r="D1771" t="s">
        <v>7854</v>
      </c>
      <c r="E1771" t="s">
        <v>7855</v>
      </c>
      <c r="F1771">
        <v>216361508</v>
      </c>
      <c r="G1771">
        <v>1128090</v>
      </c>
      <c r="H1771">
        <v>798653</v>
      </c>
      <c r="I1771" t="s">
        <v>7851</v>
      </c>
      <c r="J1771">
        <v>2018</v>
      </c>
      <c r="K1771" t="s">
        <v>7839</v>
      </c>
      <c r="L1771" t="s">
        <v>7837</v>
      </c>
    </row>
    <row r="1772" spans="1:12">
      <c r="A1772" t="s">
        <v>7830</v>
      </c>
      <c r="B1772" t="s">
        <v>7852</v>
      </c>
      <c r="C1772" t="s">
        <v>7853</v>
      </c>
      <c r="D1772" t="s">
        <v>7854</v>
      </c>
      <c r="E1772" t="s">
        <v>7855</v>
      </c>
      <c r="F1772">
        <v>267808954</v>
      </c>
      <c r="G1772">
        <v>1320897</v>
      </c>
      <c r="H1772">
        <v>847963</v>
      </c>
      <c r="I1772" t="s">
        <v>7851</v>
      </c>
      <c r="J1772">
        <v>2018</v>
      </c>
      <c r="K1772" t="s">
        <v>7840</v>
      </c>
      <c r="L1772" t="s">
        <v>7837</v>
      </c>
    </row>
    <row r="1773" spans="1:12">
      <c r="A1773" t="s">
        <v>7830</v>
      </c>
      <c r="B1773" t="s">
        <v>7852</v>
      </c>
      <c r="C1773" t="s">
        <v>7853</v>
      </c>
      <c r="D1773" t="s">
        <v>7854</v>
      </c>
      <c r="E1773" t="s">
        <v>7855</v>
      </c>
      <c r="F1773">
        <v>227198436</v>
      </c>
      <c r="G1773">
        <v>1325250</v>
      </c>
      <c r="H1773">
        <v>813568</v>
      </c>
      <c r="I1773" t="s">
        <v>7851</v>
      </c>
      <c r="J1773">
        <v>2018</v>
      </c>
      <c r="K1773" t="s">
        <v>7841</v>
      </c>
      <c r="L1773" t="s">
        <v>7837</v>
      </c>
    </row>
    <row r="1774" spans="1:12">
      <c r="A1774" t="s">
        <v>7830</v>
      </c>
      <c r="B1774" t="s">
        <v>7852</v>
      </c>
      <c r="C1774" t="s">
        <v>7853</v>
      </c>
      <c r="D1774" t="s">
        <v>7854</v>
      </c>
      <c r="E1774" t="s">
        <v>7855</v>
      </c>
      <c r="F1774">
        <v>224107530</v>
      </c>
      <c r="G1774">
        <v>1022797</v>
      </c>
      <c r="H1774">
        <v>717471</v>
      </c>
      <c r="I1774" t="s">
        <v>7851</v>
      </c>
      <c r="J1774">
        <v>2018</v>
      </c>
      <c r="K1774" t="s">
        <v>7842</v>
      </c>
      <c r="L1774" t="s">
        <v>7837</v>
      </c>
    </row>
    <row r="1775" spans="1:12">
      <c r="A1775" t="s">
        <v>7830</v>
      </c>
      <c r="B1775" t="s">
        <v>7852</v>
      </c>
      <c r="C1775" t="s">
        <v>7853</v>
      </c>
      <c r="D1775" t="s">
        <v>7854</v>
      </c>
      <c r="E1775" t="s">
        <v>7855</v>
      </c>
      <c r="F1775">
        <v>302770942</v>
      </c>
      <c r="G1775">
        <v>1380291</v>
      </c>
      <c r="H1775">
        <v>910091</v>
      </c>
      <c r="I1775" t="s">
        <v>7851</v>
      </c>
      <c r="J1775">
        <v>2018</v>
      </c>
      <c r="K1775" t="s">
        <v>7843</v>
      </c>
      <c r="L1775" t="s">
        <v>7837</v>
      </c>
    </row>
    <row r="1776" spans="1:12">
      <c r="A1776" t="s">
        <v>7830</v>
      </c>
      <c r="B1776" t="s">
        <v>7852</v>
      </c>
      <c r="C1776" t="s">
        <v>7853</v>
      </c>
      <c r="D1776" t="s">
        <v>7854</v>
      </c>
      <c r="E1776" t="s">
        <v>7855</v>
      </c>
      <c r="F1776">
        <v>325251018</v>
      </c>
      <c r="G1776">
        <v>1360567</v>
      </c>
      <c r="H1776">
        <v>1015305</v>
      </c>
      <c r="I1776" t="s">
        <v>7851</v>
      </c>
      <c r="J1776">
        <v>2018</v>
      </c>
      <c r="K1776" t="s">
        <v>7844</v>
      </c>
      <c r="L1776" t="s">
        <v>7837</v>
      </c>
    </row>
    <row r="1777" spans="1:12">
      <c r="A1777" t="s">
        <v>7830</v>
      </c>
      <c r="B1777" t="s">
        <v>7852</v>
      </c>
      <c r="C1777" t="s">
        <v>7853</v>
      </c>
      <c r="D1777" t="s">
        <v>7854</v>
      </c>
      <c r="E1777" t="s">
        <v>7855</v>
      </c>
      <c r="F1777">
        <v>282518509</v>
      </c>
      <c r="G1777">
        <v>1094495</v>
      </c>
      <c r="H1777">
        <v>916513</v>
      </c>
      <c r="I1777" t="s">
        <v>7851</v>
      </c>
      <c r="J1777">
        <v>2018</v>
      </c>
      <c r="K1777" t="s">
        <v>7845</v>
      </c>
      <c r="L1777" t="s">
        <v>7837</v>
      </c>
    </row>
    <row r="1778" spans="1:12">
      <c r="A1778" t="s">
        <v>7830</v>
      </c>
      <c r="B1778" t="s">
        <v>7852</v>
      </c>
      <c r="C1778" t="s">
        <v>7853</v>
      </c>
      <c r="D1778" t="s">
        <v>7854</v>
      </c>
      <c r="E1778" t="s">
        <v>7855</v>
      </c>
      <c r="F1778">
        <v>386720658</v>
      </c>
      <c r="G1778">
        <v>1871465</v>
      </c>
      <c r="H1778">
        <v>1557442</v>
      </c>
      <c r="I1778" t="s">
        <v>7851</v>
      </c>
      <c r="J1778">
        <v>2018</v>
      </c>
      <c r="K1778" t="s">
        <v>7846</v>
      </c>
      <c r="L1778" t="s">
        <v>7837</v>
      </c>
    </row>
    <row r="1779" spans="1:12">
      <c r="A1779" t="s">
        <v>7830</v>
      </c>
      <c r="B1779" t="s">
        <v>7852</v>
      </c>
      <c r="C1779" t="s">
        <v>7853</v>
      </c>
      <c r="D1779" t="s">
        <v>7854</v>
      </c>
      <c r="E1779" t="s">
        <v>7855</v>
      </c>
      <c r="F1779">
        <v>547015503</v>
      </c>
      <c r="G1779">
        <v>2081573</v>
      </c>
      <c r="H1779">
        <v>2221202</v>
      </c>
      <c r="I1779" t="s">
        <v>7851</v>
      </c>
      <c r="J1779">
        <v>2018</v>
      </c>
      <c r="K1779" t="s">
        <v>7847</v>
      </c>
      <c r="L1779" t="s">
        <v>7837</v>
      </c>
    </row>
    <row r="1780" spans="1:12">
      <c r="A1780" t="s">
        <v>7830</v>
      </c>
      <c r="B1780" t="s">
        <v>7852</v>
      </c>
      <c r="C1780" t="s">
        <v>7853</v>
      </c>
      <c r="D1780" t="s">
        <v>7854</v>
      </c>
      <c r="E1780" t="s">
        <v>7855</v>
      </c>
      <c r="F1780">
        <v>359083748</v>
      </c>
      <c r="G1780">
        <v>1344775</v>
      </c>
      <c r="H1780">
        <v>1106436</v>
      </c>
      <c r="I1780" t="s">
        <v>7851</v>
      </c>
      <c r="J1780">
        <v>2018</v>
      </c>
      <c r="K1780" t="s">
        <v>7848</v>
      </c>
      <c r="L1780" t="s">
        <v>7837</v>
      </c>
    </row>
    <row r="1781" spans="1:12">
      <c r="A1781" t="s">
        <v>7830</v>
      </c>
      <c r="B1781" t="s">
        <v>7852</v>
      </c>
      <c r="C1781" t="s">
        <v>7853</v>
      </c>
      <c r="D1781" t="s">
        <v>7854</v>
      </c>
      <c r="E1781" t="s">
        <v>7855</v>
      </c>
      <c r="F1781">
        <v>343212043</v>
      </c>
      <c r="G1781">
        <v>1459097</v>
      </c>
      <c r="H1781">
        <v>1082396</v>
      </c>
      <c r="I1781" t="s">
        <v>7851</v>
      </c>
      <c r="J1781">
        <v>2019</v>
      </c>
      <c r="K1781" t="s">
        <v>7836</v>
      </c>
      <c r="L1781" t="s">
        <v>7837</v>
      </c>
    </row>
    <row r="1782" spans="1:12">
      <c r="A1782" t="s">
        <v>7830</v>
      </c>
      <c r="B1782" t="s">
        <v>7852</v>
      </c>
      <c r="C1782" t="s">
        <v>7853</v>
      </c>
      <c r="D1782" t="s">
        <v>7854</v>
      </c>
      <c r="E1782" t="s">
        <v>7855</v>
      </c>
      <c r="F1782">
        <v>192993589</v>
      </c>
      <c r="G1782">
        <v>975513</v>
      </c>
      <c r="H1782">
        <v>627826</v>
      </c>
      <c r="I1782" t="s">
        <v>7851</v>
      </c>
      <c r="J1782">
        <v>2019</v>
      </c>
      <c r="K1782" t="s">
        <v>7838</v>
      </c>
      <c r="L1782" t="s">
        <v>7837</v>
      </c>
    </row>
    <row r="1783" spans="1:12">
      <c r="A1783" t="s">
        <v>7830</v>
      </c>
      <c r="B1783" t="s">
        <v>7852</v>
      </c>
      <c r="C1783" t="s">
        <v>7853</v>
      </c>
      <c r="D1783" t="s">
        <v>7854</v>
      </c>
      <c r="E1783" t="s">
        <v>7855</v>
      </c>
      <c r="F1783">
        <v>363521232</v>
      </c>
      <c r="G1783">
        <v>1868821</v>
      </c>
      <c r="H1783">
        <v>1027253</v>
      </c>
      <c r="I1783" t="s">
        <v>7851</v>
      </c>
      <c r="J1783">
        <v>2019</v>
      </c>
      <c r="K1783" t="s">
        <v>7839</v>
      </c>
      <c r="L1783" t="s">
        <v>7837</v>
      </c>
    </row>
    <row r="1784" spans="1:12">
      <c r="A1784" t="s">
        <v>7830</v>
      </c>
      <c r="B1784" t="s">
        <v>7852</v>
      </c>
      <c r="C1784" t="s">
        <v>7853</v>
      </c>
      <c r="D1784" t="s">
        <v>7854</v>
      </c>
      <c r="E1784" t="s">
        <v>7855</v>
      </c>
      <c r="F1784">
        <v>357027945</v>
      </c>
      <c r="G1784">
        <v>1975161</v>
      </c>
      <c r="H1784">
        <v>1012053</v>
      </c>
      <c r="I1784" t="s">
        <v>7851</v>
      </c>
      <c r="J1784">
        <v>2019</v>
      </c>
      <c r="K1784" t="s">
        <v>7840</v>
      </c>
      <c r="L1784" t="s">
        <v>7837</v>
      </c>
    </row>
    <row r="1785" spans="1:12">
      <c r="A1785" t="s">
        <v>7830</v>
      </c>
      <c r="B1785" t="s">
        <v>7852</v>
      </c>
      <c r="C1785" t="s">
        <v>7853</v>
      </c>
      <c r="D1785" t="s">
        <v>7854</v>
      </c>
      <c r="E1785" t="s">
        <v>7855</v>
      </c>
      <c r="F1785">
        <v>281439487</v>
      </c>
      <c r="G1785">
        <v>1173528</v>
      </c>
      <c r="H1785">
        <v>857019</v>
      </c>
      <c r="I1785" t="s">
        <v>7851</v>
      </c>
      <c r="J1785">
        <v>2019</v>
      </c>
      <c r="K1785" t="s">
        <v>7841</v>
      </c>
      <c r="L1785" t="s">
        <v>7837</v>
      </c>
    </row>
    <row r="1786" spans="1:12">
      <c r="A1786" t="s">
        <v>7830</v>
      </c>
      <c r="B1786" t="s">
        <v>7852</v>
      </c>
      <c r="C1786" t="s">
        <v>7853</v>
      </c>
      <c r="D1786" t="s">
        <v>7854</v>
      </c>
      <c r="E1786" t="s">
        <v>7855</v>
      </c>
      <c r="F1786">
        <v>273080240</v>
      </c>
      <c r="G1786">
        <v>1195120</v>
      </c>
      <c r="H1786">
        <v>828087</v>
      </c>
      <c r="I1786" t="s">
        <v>7851</v>
      </c>
      <c r="J1786">
        <v>2019</v>
      </c>
      <c r="K1786" t="s">
        <v>7842</v>
      </c>
      <c r="L1786" t="s">
        <v>7837</v>
      </c>
    </row>
    <row r="1787" spans="1:12">
      <c r="A1787" t="s">
        <v>7830</v>
      </c>
      <c r="B1787" t="s">
        <v>7852</v>
      </c>
      <c r="C1787" t="s">
        <v>7853</v>
      </c>
      <c r="D1787" t="s">
        <v>7854</v>
      </c>
      <c r="E1787" t="s">
        <v>7855</v>
      </c>
      <c r="F1787">
        <v>369443204</v>
      </c>
      <c r="G1787">
        <v>1828673</v>
      </c>
      <c r="H1787">
        <v>1510799</v>
      </c>
      <c r="I1787" t="s">
        <v>7851</v>
      </c>
      <c r="J1787">
        <v>2019</v>
      </c>
      <c r="K1787" t="s">
        <v>7843</v>
      </c>
      <c r="L1787" t="s">
        <v>7837</v>
      </c>
    </row>
    <row r="1788" spans="1:12">
      <c r="A1788" t="s">
        <v>7830</v>
      </c>
      <c r="B1788" t="s">
        <v>7852</v>
      </c>
      <c r="C1788" t="s">
        <v>7853</v>
      </c>
      <c r="D1788" t="s">
        <v>7854</v>
      </c>
      <c r="E1788" t="s">
        <v>7855</v>
      </c>
      <c r="F1788">
        <v>336459535</v>
      </c>
      <c r="G1788">
        <v>1634011</v>
      </c>
      <c r="H1788">
        <v>2032520</v>
      </c>
      <c r="I1788" t="s">
        <v>7851</v>
      </c>
      <c r="J1788">
        <v>2019</v>
      </c>
      <c r="K1788" t="s">
        <v>7844</v>
      </c>
      <c r="L1788" t="s">
        <v>7837</v>
      </c>
    </row>
    <row r="1789" spans="1:12">
      <c r="A1789" t="s">
        <v>7830</v>
      </c>
      <c r="B1789" t="s">
        <v>7852</v>
      </c>
      <c r="C1789" t="s">
        <v>7853</v>
      </c>
      <c r="D1789" t="s">
        <v>7854</v>
      </c>
      <c r="E1789" t="s">
        <v>7855</v>
      </c>
      <c r="F1789">
        <v>327338218</v>
      </c>
      <c r="G1789">
        <v>1681896</v>
      </c>
      <c r="H1789">
        <v>1286819</v>
      </c>
      <c r="I1789" t="s">
        <v>7851</v>
      </c>
      <c r="J1789">
        <v>2019</v>
      </c>
      <c r="K1789" t="s">
        <v>7845</v>
      </c>
      <c r="L1789" t="s">
        <v>7837</v>
      </c>
    </row>
    <row r="1790" spans="1:12">
      <c r="A1790" t="s">
        <v>7830</v>
      </c>
      <c r="B1790" t="s">
        <v>7852</v>
      </c>
      <c r="C1790" t="s">
        <v>7853</v>
      </c>
      <c r="D1790" t="s">
        <v>7854</v>
      </c>
      <c r="E1790" t="s">
        <v>7855</v>
      </c>
      <c r="F1790">
        <v>591701074</v>
      </c>
      <c r="G1790">
        <v>2929539</v>
      </c>
      <c r="H1790">
        <v>2518477</v>
      </c>
      <c r="I1790" t="s">
        <v>7851</v>
      </c>
      <c r="J1790">
        <v>2019</v>
      </c>
      <c r="K1790" t="s">
        <v>7846</v>
      </c>
      <c r="L1790" t="s">
        <v>7837</v>
      </c>
    </row>
    <row r="1791" spans="1:12">
      <c r="A1791" t="s">
        <v>7830</v>
      </c>
      <c r="B1791" t="s">
        <v>7852</v>
      </c>
      <c r="C1791" t="s">
        <v>7853</v>
      </c>
      <c r="D1791" t="s">
        <v>7854</v>
      </c>
      <c r="E1791" t="s">
        <v>7855</v>
      </c>
      <c r="F1791">
        <v>540732305</v>
      </c>
      <c r="G1791">
        <v>3120748</v>
      </c>
      <c r="H1791">
        <v>2359221</v>
      </c>
      <c r="I1791" t="s">
        <v>7851</v>
      </c>
      <c r="J1791">
        <v>2019</v>
      </c>
      <c r="K1791" t="s">
        <v>7847</v>
      </c>
      <c r="L1791" t="s">
        <v>7837</v>
      </c>
    </row>
    <row r="1792" spans="1:12">
      <c r="A1792" t="s">
        <v>7830</v>
      </c>
      <c r="B1792" t="s">
        <v>7852</v>
      </c>
      <c r="C1792" t="s">
        <v>7853</v>
      </c>
      <c r="D1792" t="s">
        <v>7854</v>
      </c>
      <c r="E1792" t="s">
        <v>7855</v>
      </c>
      <c r="F1792">
        <v>356966621</v>
      </c>
      <c r="G1792">
        <v>1925929</v>
      </c>
      <c r="H1792">
        <v>1586976</v>
      </c>
      <c r="I1792" t="s">
        <v>7851</v>
      </c>
      <c r="J1792">
        <v>2019</v>
      </c>
      <c r="K1792" t="s">
        <v>7848</v>
      </c>
      <c r="L1792" t="s">
        <v>7837</v>
      </c>
    </row>
    <row r="1793" spans="1:12">
      <c r="A1793" t="s">
        <v>7830</v>
      </c>
      <c r="B1793" t="s">
        <v>7852</v>
      </c>
      <c r="C1793" t="s">
        <v>7853</v>
      </c>
      <c r="D1793" t="s">
        <v>7854</v>
      </c>
      <c r="E1793" t="s">
        <v>7855</v>
      </c>
      <c r="F1793">
        <v>344323819</v>
      </c>
      <c r="G1793">
        <v>1987408</v>
      </c>
      <c r="H1793">
        <v>1007882</v>
      </c>
      <c r="I1793" t="s">
        <v>7851</v>
      </c>
      <c r="J1793">
        <v>2020</v>
      </c>
      <c r="K1793" t="s">
        <v>7836</v>
      </c>
      <c r="L1793" t="s">
        <v>7837</v>
      </c>
    </row>
    <row r="1794" spans="1:12">
      <c r="A1794" t="s">
        <v>7830</v>
      </c>
      <c r="B1794" t="s">
        <v>7852</v>
      </c>
      <c r="C1794" t="s">
        <v>7853</v>
      </c>
      <c r="D1794" t="s">
        <v>7854</v>
      </c>
      <c r="E1794" t="s">
        <v>7855</v>
      </c>
      <c r="F1794">
        <v>189448172</v>
      </c>
      <c r="G1794">
        <v>1019723</v>
      </c>
      <c r="H1794">
        <v>506995</v>
      </c>
      <c r="I1794" t="s">
        <v>7851</v>
      </c>
      <c r="J1794">
        <v>2020</v>
      </c>
      <c r="K1794" t="s">
        <v>7838</v>
      </c>
      <c r="L1794" t="s">
        <v>7837</v>
      </c>
    </row>
    <row r="1795" spans="1:12">
      <c r="A1795" t="s">
        <v>7830</v>
      </c>
      <c r="B1795" t="s">
        <v>7852</v>
      </c>
      <c r="C1795" t="s">
        <v>7853</v>
      </c>
      <c r="D1795" t="s">
        <v>7854</v>
      </c>
      <c r="E1795" t="s">
        <v>7855</v>
      </c>
      <c r="F1795">
        <v>306317247</v>
      </c>
      <c r="G1795">
        <v>1503743</v>
      </c>
      <c r="H1795">
        <v>710862</v>
      </c>
      <c r="I1795" t="s">
        <v>7851</v>
      </c>
      <c r="J1795">
        <v>2020</v>
      </c>
      <c r="K1795" t="s">
        <v>7839</v>
      </c>
      <c r="L1795" t="s">
        <v>7837</v>
      </c>
    </row>
    <row r="1796" spans="1:12">
      <c r="A1796" t="s">
        <v>7830</v>
      </c>
      <c r="B1796" t="s">
        <v>7852</v>
      </c>
      <c r="C1796" t="s">
        <v>7853</v>
      </c>
      <c r="D1796" t="s">
        <v>7854</v>
      </c>
      <c r="E1796" t="s">
        <v>7855</v>
      </c>
      <c r="F1796">
        <v>486438432</v>
      </c>
      <c r="G1796">
        <v>2158265</v>
      </c>
      <c r="H1796">
        <v>1157725</v>
      </c>
      <c r="I1796" t="s">
        <v>7851</v>
      </c>
      <c r="J1796">
        <v>2020</v>
      </c>
      <c r="K1796" t="s">
        <v>7840</v>
      </c>
      <c r="L1796" t="s">
        <v>7837</v>
      </c>
    </row>
    <row r="1797" spans="1:12">
      <c r="A1797" t="s">
        <v>7830</v>
      </c>
      <c r="B1797" t="s">
        <v>7852</v>
      </c>
      <c r="C1797" t="s">
        <v>7853</v>
      </c>
      <c r="D1797" t="s">
        <v>7854</v>
      </c>
      <c r="E1797" t="s">
        <v>7855</v>
      </c>
      <c r="F1797">
        <v>455501668</v>
      </c>
      <c r="G1797">
        <v>2134486</v>
      </c>
      <c r="H1797">
        <v>1410542</v>
      </c>
      <c r="I1797" t="s">
        <v>7851</v>
      </c>
      <c r="J1797">
        <v>2020</v>
      </c>
      <c r="K1797" t="s">
        <v>7841</v>
      </c>
      <c r="L1797" t="s">
        <v>7837</v>
      </c>
    </row>
    <row r="1798" spans="1:12">
      <c r="A1798" t="s">
        <v>7830</v>
      </c>
      <c r="B1798" t="s">
        <v>7852</v>
      </c>
      <c r="C1798" t="s">
        <v>7853</v>
      </c>
      <c r="D1798" t="s">
        <v>7854</v>
      </c>
      <c r="E1798" t="s">
        <v>7855</v>
      </c>
      <c r="F1798">
        <v>521621532</v>
      </c>
      <c r="G1798">
        <v>2414107</v>
      </c>
      <c r="H1798">
        <v>1370002</v>
      </c>
      <c r="I1798" t="s">
        <v>7851</v>
      </c>
      <c r="J1798">
        <v>2020</v>
      </c>
      <c r="K1798" t="s">
        <v>7842</v>
      </c>
      <c r="L1798" t="s">
        <v>7837</v>
      </c>
    </row>
    <row r="1799" spans="1:12">
      <c r="A1799" t="s">
        <v>7830</v>
      </c>
      <c r="B1799" t="s">
        <v>7852</v>
      </c>
      <c r="C1799" t="s">
        <v>7853</v>
      </c>
      <c r="D1799" t="s">
        <v>7854</v>
      </c>
      <c r="E1799" t="s">
        <v>7855</v>
      </c>
      <c r="F1799">
        <v>479580155</v>
      </c>
      <c r="G1799">
        <v>2150687</v>
      </c>
      <c r="H1799">
        <v>1437893</v>
      </c>
      <c r="I1799" t="s">
        <v>7851</v>
      </c>
      <c r="J1799">
        <v>2020</v>
      </c>
      <c r="K1799" t="s">
        <v>7843</v>
      </c>
      <c r="L1799" t="s">
        <v>7837</v>
      </c>
    </row>
    <row r="1800" spans="1:12">
      <c r="A1800" t="s">
        <v>7830</v>
      </c>
      <c r="B1800" t="s">
        <v>7852</v>
      </c>
      <c r="C1800" t="s">
        <v>7853</v>
      </c>
      <c r="D1800" t="s">
        <v>7854</v>
      </c>
      <c r="E1800" t="s">
        <v>7855</v>
      </c>
      <c r="F1800">
        <v>446367323</v>
      </c>
      <c r="G1800">
        <v>1913428</v>
      </c>
      <c r="H1800">
        <v>1471984</v>
      </c>
      <c r="I1800" t="s">
        <v>7851</v>
      </c>
      <c r="J1800">
        <v>2020</v>
      </c>
      <c r="K1800" t="s">
        <v>7844</v>
      </c>
      <c r="L1800" t="s">
        <v>7837</v>
      </c>
    </row>
    <row r="1801" spans="1:12">
      <c r="A1801" t="s">
        <v>7830</v>
      </c>
      <c r="B1801" t="s">
        <v>7852</v>
      </c>
      <c r="C1801" t="s">
        <v>7853</v>
      </c>
      <c r="D1801" t="s">
        <v>7854</v>
      </c>
      <c r="E1801" t="s">
        <v>7855</v>
      </c>
      <c r="F1801">
        <v>445968038</v>
      </c>
      <c r="G1801">
        <v>2104731</v>
      </c>
      <c r="H1801">
        <v>1393335</v>
      </c>
      <c r="I1801" t="s">
        <v>7851</v>
      </c>
      <c r="J1801">
        <v>2020</v>
      </c>
      <c r="K1801" t="s">
        <v>7845</v>
      </c>
      <c r="L1801" t="s">
        <v>7837</v>
      </c>
    </row>
    <row r="1802" spans="1:12">
      <c r="A1802" t="s">
        <v>7830</v>
      </c>
      <c r="B1802" t="s">
        <v>7852</v>
      </c>
      <c r="C1802" t="s">
        <v>7853</v>
      </c>
      <c r="D1802" t="s">
        <v>7854</v>
      </c>
      <c r="E1802" t="s">
        <v>7855</v>
      </c>
      <c r="F1802">
        <v>492024242</v>
      </c>
      <c r="G1802">
        <v>2548357</v>
      </c>
      <c r="H1802">
        <v>1977553</v>
      </c>
      <c r="I1802" t="s">
        <v>7851</v>
      </c>
      <c r="J1802">
        <v>2020</v>
      </c>
      <c r="K1802" t="s">
        <v>7846</v>
      </c>
      <c r="L1802" t="s">
        <v>7837</v>
      </c>
    </row>
    <row r="1803" spans="1:12">
      <c r="A1803" t="s">
        <v>7830</v>
      </c>
      <c r="B1803" t="s">
        <v>7852</v>
      </c>
      <c r="C1803" t="s">
        <v>7853</v>
      </c>
      <c r="D1803" t="s">
        <v>7854</v>
      </c>
      <c r="E1803" t="s">
        <v>7855</v>
      </c>
      <c r="F1803">
        <v>724369684</v>
      </c>
      <c r="G1803">
        <v>3563631</v>
      </c>
      <c r="H1803">
        <v>3136998</v>
      </c>
      <c r="I1803" t="s">
        <v>7851</v>
      </c>
      <c r="J1803">
        <v>2020</v>
      </c>
      <c r="K1803" t="s">
        <v>7847</v>
      </c>
      <c r="L1803" t="s">
        <v>7837</v>
      </c>
    </row>
    <row r="1804" spans="1:12">
      <c r="A1804" t="s">
        <v>7830</v>
      </c>
      <c r="B1804" t="s">
        <v>7852</v>
      </c>
      <c r="C1804" t="s">
        <v>7853</v>
      </c>
      <c r="D1804" t="s">
        <v>7854</v>
      </c>
      <c r="E1804" t="s">
        <v>7855</v>
      </c>
      <c r="F1804">
        <v>763545199</v>
      </c>
      <c r="G1804">
        <v>3562535</v>
      </c>
      <c r="H1804">
        <v>3585489</v>
      </c>
      <c r="I1804" t="s">
        <v>7851</v>
      </c>
      <c r="J1804">
        <v>2020</v>
      </c>
      <c r="K1804" t="s">
        <v>7848</v>
      </c>
      <c r="L1804" t="s">
        <v>7837</v>
      </c>
    </row>
    <row r="1805" spans="1:12">
      <c r="A1805" t="s">
        <v>7830</v>
      </c>
      <c r="B1805" t="s">
        <v>7852</v>
      </c>
      <c r="C1805" t="s">
        <v>7853</v>
      </c>
      <c r="D1805" t="s">
        <v>7854</v>
      </c>
      <c r="E1805" t="s">
        <v>7855</v>
      </c>
      <c r="F1805">
        <v>591752495</v>
      </c>
      <c r="G1805">
        <v>3289990</v>
      </c>
      <c r="H1805">
        <v>1730870</v>
      </c>
      <c r="I1805" t="s">
        <v>7851</v>
      </c>
      <c r="J1805">
        <v>2021</v>
      </c>
      <c r="K1805" t="s">
        <v>7836</v>
      </c>
      <c r="L1805" t="s">
        <v>7837</v>
      </c>
    </row>
    <row r="1806" spans="1:12">
      <c r="A1806" t="s">
        <v>7830</v>
      </c>
      <c r="B1806" t="s">
        <v>7852</v>
      </c>
      <c r="C1806" t="s">
        <v>7853</v>
      </c>
      <c r="D1806" t="s">
        <v>7854</v>
      </c>
      <c r="E1806" t="s">
        <v>7855</v>
      </c>
      <c r="F1806">
        <v>622301600</v>
      </c>
      <c r="G1806">
        <v>3381498</v>
      </c>
      <c r="H1806">
        <v>1872428</v>
      </c>
      <c r="I1806" t="s">
        <v>7851</v>
      </c>
      <c r="J1806">
        <v>2021</v>
      </c>
      <c r="K1806" t="s">
        <v>7838</v>
      </c>
      <c r="L1806" t="s">
        <v>7837</v>
      </c>
    </row>
    <row r="1807" spans="1:12">
      <c r="A1807" t="s">
        <v>7830</v>
      </c>
      <c r="B1807" t="s">
        <v>7852</v>
      </c>
      <c r="C1807" t="s">
        <v>7853</v>
      </c>
      <c r="D1807" t="s">
        <v>7854</v>
      </c>
      <c r="E1807" t="s">
        <v>7855</v>
      </c>
      <c r="F1807">
        <v>757159090</v>
      </c>
      <c r="G1807">
        <v>4395023</v>
      </c>
      <c r="H1807">
        <v>2300221</v>
      </c>
      <c r="I1807" t="s">
        <v>7851</v>
      </c>
      <c r="J1807">
        <v>2021</v>
      </c>
      <c r="K1807" t="s">
        <v>7839</v>
      </c>
      <c r="L1807" t="s">
        <v>7837</v>
      </c>
    </row>
    <row r="1808" spans="1:12">
      <c r="A1808" t="s">
        <v>7830</v>
      </c>
      <c r="B1808" t="s">
        <v>7852</v>
      </c>
      <c r="C1808" t="s">
        <v>7853</v>
      </c>
      <c r="D1808" t="s">
        <v>7854</v>
      </c>
      <c r="E1808" t="s">
        <v>7855</v>
      </c>
      <c r="F1808">
        <v>556361707</v>
      </c>
      <c r="G1808">
        <v>2834846</v>
      </c>
      <c r="H1808">
        <v>1762160</v>
      </c>
      <c r="I1808" t="s">
        <v>7851</v>
      </c>
      <c r="J1808">
        <v>2021</v>
      </c>
      <c r="K1808" t="s">
        <v>7840</v>
      </c>
      <c r="L1808" t="s">
        <v>7837</v>
      </c>
    </row>
    <row r="1809" spans="1:12">
      <c r="A1809" t="s">
        <v>7830</v>
      </c>
      <c r="B1809" t="s">
        <v>7852</v>
      </c>
      <c r="C1809" t="s">
        <v>7853</v>
      </c>
      <c r="D1809" t="s">
        <v>7854</v>
      </c>
      <c r="E1809" t="s">
        <v>7855</v>
      </c>
      <c r="F1809">
        <v>444347216</v>
      </c>
      <c r="G1809">
        <v>2121153</v>
      </c>
      <c r="H1809">
        <v>1312245</v>
      </c>
      <c r="I1809" t="s">
        <v>7851</v>
      </c>
      <c r="J1809">
        <v>2021</v>
      </c>
      <c r="K1809" t="s">
        <v>7841</v>
      </c>
      <c r="L1809" t="s">
        <v>7837</v>
      </c>
    </row>
    <row r="1810" spans="1:12">
      <c r="A1810" t="s">
        <v>7830</v>
      </c>
      <c r="B1810" t="s">
        <v>7852</v>
      </c>
      <c r="C1810" t="s">
        <v>7853</v>
      </c>
      <c r="D1810" t="s">
        <v>7854</v>
      </c>
      <c r="E1810" t="s">
        <v>7855</v>
      </c>
      <c r="F1810">
        <v>456886489</v>
      </c>
      <c r="G1810">
        <v>2106724</v>
      </c>
      <c r="H1810">
        <v>1637559</v>
      </c>
      <c r="I1810" t="s">
        <v>7851</v>
      </c>
      <c r="J1810">
        <v>2021</v>
      </c>
      <c r="K1810" t="s">
        <v>7842</v>
      </c>
      <c r="L1810" t="s">
        <v>7837</v>
      </c>
    </row>
    <row r="1811" spans="1:12">
      <c r="A1811" t="s">
        <v>7830</v>
      </c>
      <c r="B1811" t="s">
        <v>7852</v>
      </c>
      <c r="C1811" t="s">
        <v>7853</v>
      </c>
      <c r="D1811" t="s">
        <v>7854</v>
      </c>
      <c r="E1811" t="s">
        <v>7855</v>
      </c>
      <c r="F1811">
        <v>459510023</v>
      </c>
      <c r="G1811">
        <v>2292195</v>
      </c>
      <c r="H1811">
        <v>1270606</v>
      </c>
      <c r="I1811" t="s">
        <v>7851</v>
      </c>
      <c r="J1811">
        <v>2021</v>
      </c>
      <c r="K1811" t="s">
        <v>7843</v>
      </c>
      <c r="L1811" t="s">
        <v>7837</v>
      </c>
    </row>
    <row r="1812" spans="1:12">
      <c r="A1812" t="s">
        <v>7830</v>
      </c>
      <c r="B1812" t="s">
        <v>7852</v>
      </c>
      <c r="C1812" t="s">
        <v>7853</v>
      </c>
      <c r="D1812" t="s">
        <v>7854</v>
      </c>
      <c r="E1812" t="s">
        <v>7855</v>
      </c>
      <c r="F1812">
        <v>444393954</v>
      </c>
      <c r="G1812">
        <v>1859743</v>
      </c>
      <c r="H1812">
        <v>1146940</v>
      </c>
      <c r="I1812" t="s">
        <v>7851</v>
      </c>
      <c r="J1812">
        <v>2021</v>
      </c>
      <c r="K1812" t="s">
        <v>7844</v>
      </c>
      <c r="L1812" t="s">
        <v>7837</v>
      </c>
    </row>
    <row r="1813" spans="1:12">
      <c r="A1813" t="s">
        <v>7830</v>
      </c>
      <c r="B1813" t="s">
        <v>7852</v>
      </c>
      <c r="C1813" t="s">
        <v>7853</v>
      </c>
      <c r="D1813" t="s">
        <v>7854</v>
      </c>
      <c r="E1813" t="s">
        <v>7855</v>
      </c>
      <c r="F1813">
        <v>569895505</v>
      </c>
      <c r="G1813">
        <v>2375403</v>
      </c>
      <c r="H1813">
        <v>1574768</v>
      </c>
      <c r="I1813" t="s">
        <v>7851</v>
      </c>
      <c r="J1813">
        <v>2021</v>
      </c>
      <c r="K1813" t="s">
        <v>7845</v>
      </c>
      <c r="L1813" t="s">
        <v>7837</v>
      </c>
    </row>
    <row r="1814" spans="1:12">
      <c r="A1814" t="s">
        <v>7830</v>
      </c>
      <c r="B1814" t="s">
        <v>7852</v>
      </c>
      <c r="C1814" t="s">
        <v>7853</v>
      </c>
      <c r="D1814" t="s">
        <v>7854</v>
      </c>
      <c r="E1814" t="s">
        <v>7855</v>
      </c>
      <c r="F1814">
        <v>551586858</v>
      </c>
      <c r="G1814">
        <v>2308615</v>
      </c>
      <c r="H1814">
        <v>1533902</v>
      </c>
      <c r="I1814" t="s">
        <v>7851</v>
      </c>
      <c r="J1814">
        <v>2021</v>
      </c>
      <c r="K1814" t="s">
        <v>7846</v>
      </c>
      <c r="L1814" t="s">
        <v>7837</v>
      </c>
    </row>
    <row r="1815" spans="1:12">
      <c r="A1815" t="s">
        <v>7830</v>
      </c>
      <c r="B1815" t="s">
        <v>7852</v>
      </c>
      <c r="C1815" t="s">
        <v>7853</v>
      </c>
      <c r="D1815" t="s">
        <v>7854</v>
      </c>
      <c r="E1815" t="s">
        <v>7855</v>
      </c>
      <c r="F1815">
        <v>656833887</v>
      </c>
      <c r="G1815">
        <v>2922621</v>
      </c>
      <c r="H1815">
        <v>1939847</v>
      </c>
      <c r="I1815" t="s">
        <v>7851</v>
      </c>
      <c r="J1815">
        <v>2021</v>
      </c>
      <c r="K1815" t="s">
        <v>7847</v>
      </c>
      <c r="L1815" t="s">
        <v>7837</v>
      </c>
    </row>
    <row r="1816" spans="1:12">
      <c r="A1816" t="s">
        <v>7830</v>
      </c>
      <c r="B1816" t="s">
        <v>7852</v>
      </c>
      <c r="C1816" t="s">
        <v>7853</v>
      </c>
      <c r="D1816" t="s">
        <v>7854</v>
      </c>
      <c r="E1816" t="s">
        <v>7855</v>
      </c>
      <c r="F1816">
        <v>618249183</v>
      </c>
      <c r="G1816">
        <v>2625398</v>
      </c>
      <c r="H1816">
        <v>1717711</v>
      </c>
      <c r="I1816" t="s">
        <v>7851</v>
      </c>
      <c r="J1816">
        <v>2021</v>
      </c>
      <c r="K1816" t="s">
        <v>7848</v>
      </c>
      <c r="L1816" t="s">
        <v>7837</v>
      </c>
    </row>
    <row r="1817" spans="1:12">
      <c r="A1817" t="s">
        <v>7830</v>
      </c>
      <c r="B1817" t="s">
        <v>7852</v>
      </c>
      <c r="C1817" t="s">
        <v>7853</v>
      </c>
      <c r="D1817" t="s">
        <v>7854</v>
      </c>
      <c r="E1817" t="s">
        <v>7855</v>
      </c>
      <c r="F1817">
        <v>565900239</v>
      </c>
      <c r="G1817">
        <v>2538351</v>
      </c>
      <c r="H1817">
        <v>1527613</v>
      </c>
      <c r="I1817" t="s">
        <v>7851</v>
      </c>
      <c r="J1817">
        <v>2022</v>
      </c>
      <c r="K1817" t="s">
        <v>7836</v>
      </c>
      <c r="L1817" t="s">
        <v>7837</v>
      </c>
    </row>
    <row r="1818" spans="1:12">
      <c r="A1818" t="s">
        <v>7830</v>
      </c>
      <c r="B1818" t="s">
        <v>7852</v>
      </c>
      <c r="C1818" t="s">
        <v>7853</v>
      </c>
      <c r="D1818" t="s">
        <v>7854</v>
      </c>
      <c r="E1818" t="s">
        <v>7855</v>
      </c>
      <c r="F1818">
        <v>439911294</v>
      </c>
      <c r="G1818">
        <v>2053692</v>
      </c>
      <c r="H1818">
        <v>1192895</v>
      </c>
      <c r="I1818" t="s">
        <v>7851</v>
      </c>
      <c r="J1818">
        <v>2022</v>
      </c>
      <c r="K1818" t="s">
        <v>7838</v>
      </c>
      <c r="L1818" t="s">
        <v>7837</v>
      </c>
    </row>
    <row r="1819" spans="1:12">
      <c r="A1819" t="s">
        <v>7830</v>
      </c>
      <c r="B1819" t="s">
        <v>7852</v>
      </c>
      <c r="C1819" t="s">
        <v>7853</v>
      </c>
      <c r="D1819" t="s">
        <v>7854</v>
      </c>
      <c r="E1819" t="s">
        <v>7855</v>
      </c>
      <c r="F1819">
        <v>621396975</v>
      </c>
      <c r="G1819">
        <v>2637189</v>
      </c>
      <c r="H1819">
        <v>1640017</v>
      </c>
      <c r="I1819" t="s">
        <v>7851</v>
      </c>
      <c r="J1819">
        <v>2022</v>
      </c>
      <c r="K1819" t="s">
        <v>7839</v>
      </c>
      <c r="L1819" t="s">
        <v>7837</v>
      </c>
    </row>
    <row r="1820" spans="1:12">
      <c r="A1820" t="s">
        <v>7830</v>
      </c>
      <c r="B1820" t="s">
        <v>7852</v>
      </c>
      <c r="C1820" t="s">
        <v>7853</v>
      </c>
      <c r="D1820" t="s">
        <v>7854</v>
      </c>
      <c r="E1820" t="s">
        <v>7855</v>
      </c>
      <c r="F1820">
        <v>422016785</v>
      </c>
      <c r="G1820">
        <v>1924104</v>
      </c>
      <c r="H1820">
        <v>1145614</v>
      </c>
      <c r="I1820" t="s">
        <v>7851</v>
      </c>
      <c r="J1820">
        <v>2022</v>
      </c>
      <c r="K1820" t="s">
        <v>7840</v>
      </c>
      <c r="L1820" t="s">
        <v>7837</v>
      </c>
    </row>
    <row r="1821" spans="1:12">
      <c r="A1821" t="s">
        <v>7830</v>
      </c>
      <c r="B1821" t="s">
        <v>7852</v>
      </c>
      <c r="C1821" t="s">
        <v>7853</v>
      </c>
      <c r="D1821" t="s">
        <v>7854</v>
      </c>
      <c r="E1821" t="s">
        <v>7855</v>
      </c>
      <c r="F1821">
        <v>452792708</v>
      </c>
      <c r="G1821">
        <v>2148626</v>
      </c>
      <c r="H1821">
        <v>1409109</v>
      </c>
      <c r="I1821" t="s">
        <v>7851</v>
      </c>
      <c r="J1821">
        <v>2022</v>
      </c>
      <c r="K1821" t="s">
        <v>7841</v>
      </c>
      <c r="L1821" t="s">
        <v>7837</v>
      </c>
    </row>
    <row r="1822" spans="1:12">
      <c r="A1822" t="s">
        <v>7830</v>
      </c>
      <c r="B1822" t="s">
        <v>7852</v>
      </c>
      <c r="C1822" t="s">
        <v>7853</v>
      </c>
      <c r="D1822" t="s">
        <v>7854</v>
      </c>
      <c r="E1822" t="s">
        <v>7855</v>
      </c>
      <c r="F1822">
        <v>505043759</v>
      </c>
      <c r="G1822">
        <v>1891742</v>
      </c>
      <c r="H1822">
        <v>1331241</v>
      </c>
      <c r="I1822" t="s">
        <v>7851</v>
      </c>
      <c r="J1822">
        <v>2022</v>
      </c>
      <c r="K1822" t="s">
        <v>7842</v>
      </c>
      <c r="L1822" t="s">
        <v>7837</v>
      </c>
    </row>
    <row r="1823" spans="1:12">
      <c r="A1823" t="s">
        <v>7830</v>
      </c>
      <c r="B1823" t="s">
        <v>7852</v>
      </c>
      <c r="C1823" t="s">
        <v>7853</v>
      </c>
      <c r="D1823" t="s">
        <v>7854</v>
      </c>
      <c r="E1823" t="s">
        <v>7855</v>
      </c>
      <c r="F1823">
        <v>515660052</v>
      </c>
      <c r="G1823">
        <v>1783707</v>
      </c>
      <c r="H1823">
        <v>1087771</v>
      </c>
      <c r="I1823" t="s">
        <v>7851</v>
      </c>
      <c r="J1823">
        <v>2022</v>
      </c>
      <c r="K1823" t="s">
        <v>7843</v>
      </c>
      <c r="L1823" t="s">
        <v>7837</v>
      </c>
    </row>
    <row r="1824" spans="1:12">
      <c r="A1824" t="s">
        <v>7830</v>
      </c>
      <c r="B1824" t="s">
        <v>7852</v>
      </c>
      <c r="C1824" t="s">
        <v>7853</v>
      </c>
      <c r="D1824" t="s">
        <v>7854</v>
      </c>
      <c r="E1824" t="s">
        <v>7855</v>
      </c>
      <c r="F1824">
        <v>586591271</v>
      </c>
      <c r="G1824">
        <v>2228946</v>
      </c>
      <c r="H1824">
        <v>1195691</v>
      </c>
      <c r="I1824" t="s">
        <v>7851</v>
      </c>
      <c r="J1824">
        <v>2022</v>
      </c>
      <c r="K1824" t="s">
        <v>7844</v>
      </c>
      <c r="L1824" t="s">
        <v>7837</v>
      </c>
    </row>
    <row r="1825" spans="1:12">
      <c r="A1825" t="s">
        <v>7830</v>
      </c>
      <c r="B1825" t="s">
        <v>7852</v>
      </c>
      <c r="C1825" t="s">
        <v>7853</v>
      </c>
      <c r="D1825" t="s">
        <v>7854</v>
      </c>
      <c r="E1825" t="s">
        <v>7855</v>
      </c>
      <c r="F1825">
        <v>491596795</v>
      </c>
      <c r="G1825">
        <v>2265229</v>
      </c>
      <c r="H1825">
        <v>1405512</v>
      </c>
      <c r="I1825" t="s">
        <v>7851</v>
      </c>
      <c r="J1825">
        <v>2022</v>
      </c>
      <c r="K1825" t="s">
        <v>7845</v>
      </c>
      <c r="L1825" t="s">
        <v>7837</v>
      </c>
    </row>
    <row r="1826" spans="1:12">
      <c r="A1826" t="s">
        <v>7830</v>
      </c>
      <c r="B1826" t="s">
        <v>7852</v>
      </c>
      <c r="C1826" t="s">
        <v>7853</v>
      </c>
      <c r="D1826" t="s">
        <v>7854</v>
      </c>
      <c r="E1826" t="s">
        <v>7855</v>
      </c>
      <c r="F1826">
        <v>563917109</v>
      </c>
      <c r="G1826">
        <v>2134602</v>
      </c>
      <c r="H1826">
        <v>1908197</v>
      </c>
      <c r="I1826" t="s">
        <v>7851</v>
      </c>
      <c r="J1826">
        <v>2022</v>
      </c>
      <c r="K1826" t="s">
        <v>7846</v>
      </c>
      <c r="L1826" t="s">
        <v>7837</v>
      </c>
    </row>
    <row r="1827" spans="1:12">
      <c r="A1827" t="s">
        <v>7830</v>
      </c>
      <c r="B1827" t="s">
        <v>7852</v>
      </c>
      <c r="C1827" t="s">
        <v>7853</v>
      </c>
      <c r="D1827" t="s">
        <v>7854</v>
      </c>
      <c r="E1827" t="s">
        <v>7855</v>
      </c>
      <c r="F1827">
        <v>555331849</v>
      </c>
      <c r="G1827">
        <v>2147211</v>
      </c>
      <c r="H1827">
        <v>1733210</v>
      </c>
      <c r="I1827" t="s">
        <v>7851</v>
      </c>
      <c r="J1827">
        <v>2022</v>
      </c>
      <c r="K1827" t="s">
        <v>7847</v>
      </c>
      <c r="L1827" t="s">
        <v>7837</v>
      </c>
    </row>
    <row r="1828" spans="1:12">
      <c r="A1828" t="s">
        <v>7830</v>
      </c>
      <c r="B1828" t="s">
        <v>7852</v>
      </c>
      <c r="C1828" t="s">
        <v>7853</v>
      </c>
      <c r="D1828" t="s">
        <v>7854</v>
      </c>
      <c r="E1828" t="s">
        <v>7855</v>
      </c>
      <c r="F1828">
        <v>402482922</v>
      </c>
      <c r="G1828">
        <v>1494104</v>
      </c>
      <c r="H1828">
        <v>967611</v>
      </c>
      <c r="I1828" t="s">
        <v>7851</v>
      </c>
      <c r="J1828">
        <v>2022</v>
      </c>
      <c r="K1828" t="s">
        <v>7848</v>
      </c>
      <c r="L1828" t="s">
        <v>7837</v>
      </c>
    </row>
    <row r="1829" spans="1:12">
      <c r="A1829" t="s">
        <v>7830</v>
      </c>
      <c r="B1829" t="s">
        <v>7852</v>
      </c>
      <c r="C1829" t="s">
        <v>7853</v>
      </c>
      <c r="D1829" t="s">
        <v>7854</v>
      </c>
      <c r="E1829" t="s">
        <v>7855</v>
      </c>
      <c r="F1829">
        <v>420299871</v>
      </c>
      <c r="G1829">
        <v>1553850</v>
      </c>
      <c r="H1829">
        <v>1133217</v>
      </c>
      <c r="I1829" t="s">
        <v>7851</v>
      </c>
      <c r="J1829">
        <v>2023</v>
      </c>
      <c r="K1829" t="s">
        <v>7836</v>
      </c>
      <c r="L1829" t="s">
        <v>7837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9B28E-8F91-D144-A0B5-3B6A9EA438B3}">
  <dimension ref="A1:C41"/>
  <sheetViews>
    <sheetView workbookViewId="0">
      <selection activeCell="B2" sqref="B2"/>
    </sheetView>
  </sheetViews>
  <sheetFormatPr baseColWidth="10" defaultRowHeight="16"/>
  <sheetData>
    <row r="1" spans="1:3" ht="18">
      <c r="A1" s="544" t="s">
        <v>9089</v>
      </c>
      <c r="B1" s="544" t="s">
        <v>9090</v>
      </c>
      <c r="C1" s="544" t="s">
        <v>9091</v>
      </c>
    </row>
    <row r="2" spans="1:3" ht="18">
      <c r="A2" s="545">
        <v>1</v>
      </c>
      <c r="B2" s="545" t="s">
        <v>55</v>
      </c>
      <c r="C2" s="545" t="s">
        <v>9092</v>
      </c>
    </row>
    <row r="3" spans="1:3" ht="18">
      <c r="A3" s="545">
        <v>2</v>
      </c>
      <c r="B3" s="545" t="s">
        <v>59</v>
      </c>
      <c r="C3" s="545" t="s">
        <v>9093</v>
      </c>
    </row>
    <row r="4" spans="1:3" ht="18">
      <c r="A4" s="545">
        <v>3</v>
      </c>
      <c r="B4" s="545" t="s">
        <v>61</v>
      </c>
      <c r="C4" s="545" t="s">
        <v>9094</v>
      </c>
    </row>
    <row r="5" spans="1:3" ht="18">
      <c r="A5" s="545">
        <v>4</v>
      </c>
      <c r="B5" s="545" t="s">
        <v>62</v>
      </c>
      <c r="C5" s="545" t="s">
        <v>9095</v>
      </c>
    </row>
    <row r="6" spans="1:3" ht="18">
      <c r="A6" s="545">
        <v>5</v>
      </c>
      <c r="B6" s="545" t="s">
        <v>63</v>
      </c>
      <c r="C6" s="545" t="s">
        <v>9096</v>
      </c>
    </row>
    <row r="7" spans="1:3" ht="18">
      <c r="A7" s="545">
        <v>6</v>
      </c>
      <c r="B7" s="545" t="s">
        <v>64</v>
      </c>
      <c r="C7" s="545" t="s">
        <v>9097</v>
      </c>
    </row>
    <row r="8" spans="1:3" ht="18">
      <c r="A8" s="545">
        <v>7</v>
      </c>
      <c r="B8" s="545" t="s">
        <v>65</v>
      </c>
      <c r="C8" s="545" t="s">
        <v>9098</v>
      </c>
    </row>
    <row r="9" spans="1:3" ht="18">
      <c r="A9" s="545">
        <v>8</v>
      </c>
      <c r="B9" s="545" t="s">
        <v>66</v>
      </c>
      <c r="C9" s="545" t="s">
        <v>9099</v>
      </c>
    </row>
    <row r="10" spans="1:3" ht="18">
      <c r="A10" s="545">
        <v>9</v>
      </c>
      <c r="B10" s="545" t="s">
        <v>69</v>
      </c>
      <c r="C10" s="545" t="s">
        <v>9100</v>
      </c>
    </row>
    <row r="11" spans="1:3" ht="18">
      <c r="A11" s="545">
        <v>10</v>
      </c>
      <c r="B11" s="545" t="s">
        <v>71</v>
      </c>
      <c r="C11" s="545" t="s">
        <v>9101</v>
      </c>
    </row>
    <row r="12" spans="1:3" ht="18">
      <c r="A12" s="545">
        <v>11</v>
      </c>
      <c r="B12" s="545" t="s">
        <v>72</v>
      </c>
      <c r="C12" s="545" t="s">
        <v>9102</v>
      </c>
    </row>
    <row r="13" spans="1:3" ht="18">
      <c r="A13" s="545">
        <v>12</v>
      </c>
      <c r="B13" s="545" t="s">
        <v>73</v>
      </c>
      <c r="C13" s="545" t="s">
        <v>9103</v>
      </c>
    </row>
    <row r="14" spans="1:3" ht="18">
      <c r="A14" s="545">
        <v>13</v>
      </c>
      <c r="B14" s="545" t="s">
        <v>74</v>
      </c>
      <c r="C14" s="545" t="s">
        <v>9104</v>
      </c>
    </row>
    <row r="15" spans="1:3" ht="18">
      <c r="A15" s="545">
        <v>14</v>
      </c>
      <c r="B15" s="545" t="s">
        <v>76</v>
      </c>
      <c r="C15" s="545" t="s">
        <v>9105</v>
      </c>
    </row>
    <row r="16" spans="1:3" ht="18">
      <c r="A16" s="545">
        <v>15</v>
      </c>
      <c r="B16" s="545" t="s">
        <v>77</v>
      </c>
      <c r="C16" s="545" t="s">
        <v>9106</v>
      </c>
    </row>
    <row r="17" spans="1:3" ht="18">
      <c r="A17" s="545">
        <v>16</v>
      </c>
      <c r="B17" s="545" t="s">
        <v>40</v>
      </c>
      <c r="C17" s="545" t="s">
        <v>9107</v>
      </c>
    </row>
    <row r="18" spans="1:3" ht="18">
      <c r="A18" s="545">
        <v>17</v>
      </c>
      <c r="B18" s="545" t="s">
        <v>78</v>
      </c>
      <c r="C18" s="545" t="s">
        <v>9108</v>
      </c>
    </row>
    <row r="19" spans="1:3" ht="18">
      <c r="A19" s="545">
        <v>18</v>
      </c>
      <c r="B19" s="545" t="s">
        <v>79</v>
      </c>
      <c r="C19" s="545" t="s">
        <v>9109</v>
      </c>
    </row>
    <row r="20" spans="1:3" ht="18">
      <c r="A20" s="545">
        <v>19</v>
      </c>
      <c r="B20" s="545" t="s">
        <v>80</v>
      </c>
      <c r="C20" s="545" t="s">
        <v>9110</v>
      </c>
    </row>
    <row r="21" spans="1:3" ht="18">
      <c r="A21" s="545">
        <v>20</v>
      </c>
      <c r="B21" s="545" t="s">
        <v>81</v>
      </c>
      <c r="C21" s="545" t="s">
        <v>9111</v>
      </c>
    </row>
    <row r="22" spans="1:3" ht="18">
      <c r="A22" s="545">
        <v>21</v>
      </c>
      <c r="B22" s="545" t="s">
        <v>82</v>
      </c>
      <c r="C22" s="545" t="s">
        <v>9112</v>
      </c>
    </row>
    <row r="23" spans="1:3" ht="18">
      <c r="A23" s="545">
        <v>22</v>
      </c>
      <c r="B23" s="545" t="s">
        <v>83</v>
      </c>
      <c r="C23" s="545" t="s">
        <v>9113</v>
      </c>
    </row>
    <row r="24" spans="1:3" ht="18">
      <c r="A24" s="545">
        <v>23</v>
      </c>
      <c r="B24" s="545" t="s">
        <v>84</v>
      </c>
      <c r="C24" s="545" t="s">
        <v>9114</v>
      </c>
    </row>
    <row r="25" spans="1:3" ht="18">
      <c r="A25" s="545">
        <v>24</v>
      </c>
      <c r="B25" s="545" t="s">
        <v>85</v>
      </c>
      <c r="C25" s="545" t="s">
        <v>9115</v>
      </c>
    </row>
    <row r="26" spans="1:3" ht="18">
      <c r="A26" s="545">
        <v>25</v>
      </c>
      <c r="B26" s="545" t="s">
        <v>86</v>
      </c>
      <c r="C26" s="545" t="s">
        <v>9116</v>
      </c>
    </row>
    <row r="27" spans="1:3" ht="18">
      <c r="A27" s="545">
        <v>26</v>
      </c>
      <c r="B27" s="545" t="s">
        <v>87</v>
      </c>
      <c r="C27" s="545" t="s">
        <v>9117</v>
      </c>
    </row>
    <row r="28" spans="1:3" ht="18">
      <c r="A28" s="545">
        <v>27</v>
      </c>
      <c r="B28" s="545" t="s">
        <v>88</v>
      </c>
      <c r="C28" s="545" t="s">
        <v>9118</v>
      </c>
    </row>
    <row r="29" spans="1:3" ht="18">
      <c r="A29" s="545">
        <v>28</v>
      </c>
      <c r="B29" s="545" t="s">
        <v>89</v>
      </c>
      <c r="C29" s="545" t="s">
        <v>9119</v>
      </c>
    </row>
    <row r="30" spans="1:3" ht="18">
      <c r="A30" s="545">
        <v>29</v>
      </c>
      <c r="B30" s="545" t="s">
        <v>90</v>
      </c>
      <c r="C30" s="545" t="s">
        <v>9120</v>
      </c>
    </row>
    <row r="31" spans="1:3" ht="18">
      <c r="A31" s="545">
        <v>30</v>
      </c>
      <c r="B31" s="545" t="s">
        <v>91</v>
      </c>
      <c r="C31" s="545" t="s">
        <v>9121</v>
      </c>
    </row>
    <row r="32" spans="1:3" ht="18">
      <c r="A32" s="545">
        <v>31</v>
      </c>
      <c r="B32" s="545" t="s">
        <v>92</v>
      </c>
      <c r="C32" s="545" t="s">
        <v>9122</v>
      </c>
    </row>
    <row r="33" spans="1:3" ht="18">
      <c r="A33" s="545">
        <v>32</v>
      </c>
      <c r="B33" s="545" t="s">
        <v>93</v>
      </c>
      <c r="C33" s="545" t="s">
        <v>9123</v>
      </c>
    </row>
    <row r="34" spans="1:3" ht="18">
      <c r="A34" s="545">
        <v>33</v>
      </c>
      <c r="B34" s="545" t="s">
        <v>94</v>
      </c>
      <c r="C34" s="545" t="s">
        <v>9124</v>
      </c>
    </row>
    <row r="35" spans="1:3" ht="18">
      <c r="A35" s="545">
        <v>34</v>
      </c>
      <c r="B35" s="545" t="s">
        <v>95</v>
      </c>
      <c r="C35" s="545" t="s">
        <v>9125</v>
      </c>
    </row>
    <row r="36" spans="1:3" ht="18">
      <c r="A36" s="545">
        <v>35</v>
      </c>
      <c r="B36" s="545" t="s">
        <v>96</v>
      </c>
      <c r="C36" s="545" t="s">
        <v>9126</v>
      </c>
    </row>
    <row r="37" spans="1:3" ht="18">
      <c r="A37" s="545">
        <v>36</v>
      </c>
      <c r="B37" s="545" t="s">
        <v>60</v>
      </c>
      <c r="C37" s="545" t="s">
        <v>9127</v>
      </c>
    </row>
    <row r="38" spans="1:3" ht="18">
      <c r="A38" s="545">
        <v>37</v>
      </c>
      <c r="B38" s="545" t="s">
        <v>67</v>
      </c>
      <c r="C38" s="545" t="s">
        <v>9128</v>
      </c>
    </row>
    <row r="39" spans="1:3" ht="18">
      <c r="A39" s="545">
        <v>38</v>
      </c>
      <c r="B39" s="545" t="s">
        <v>68</v>
      </c>
      <c r="C39" s="545" t="s">
        <v>9129</v>
      </c>
    </row>
    <row r="40" spans="1:3" ht="18">
      <c r="A40" s="545">
        <v>39</v>
      </c>
      <c r="B40" s="545" t="s">
        <v>70</v>
      </c>
      <c r="C40" s="545" t="s">
        <v>9130</v>
      </c>
    </row>
    <row r="41" spans="1:3" ht="18">
      <c r="A41" s="545">
        <v>40</v>
      </c>
      <c r="B41" s="545" t="s">
        <v>75</v>
      </c>
      <c r="C41" s="545" t="s">
        <v>9131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82160-DB79-434E-B238-35033DFD80BD}">
  <dimension ref="A1:AU141"/>
  <sheetViews>
    <sheetView tabSelected="1" zoomScale="80" zoomScaleNormal="80" workbookViewId="0">
      <pane xSplit="4" ySplit="1" topLeftCell="V7" activePane="bottomRight" state="frozen"/>
      <selection pane="topRight" activeCell="E1" sqref="E1"/>
      <selection pane="bottomLeft" activeCell="A2" sqref="A2"/>
      <selection pane="bottomRight" activeCell="L16" sqref="L16"/>
    </sheetView>
  </sheetViews>
  <sheetFormatPr baseColWidth="10" defaultRowHeight="16"/>
  <cols>
    <col min="1" max="1" width="12.6640625" customWidth="1"/>
    <col min="2" max="2" width="17" customWidth="1"/>
    <col min="3" max="3" width="21.1640625" customWidth="1"/>
    <col min="4" max="4" width="19" customWidth="1"/>
    <col min="5" max="5" width="6.6640625" style="578" customWidth="1"/>
    <col min="6" max="6" width="6.1640625" style="578" customWidth="1"/>
    <col min="7" max="7" width="5.83203125" style="605" customWidth="1"/>
    <col min="8" max="8" width="6.83203125" style="31" customWidth="1"/>
    <col min="9" max="9" width="8.33203125" style="27" customWidth="1"/>
    <col min="10" max="10" width="9.6640625" style="27" customWidth="1"/>
    <col min="11" max="11" width="6.1640625" style="27" customWidth="1"/>
    <col min="12" max="12" width="11.1640625" style="27" customWidth="1"/>
    <col min="13" max="13" width="10.83203125" style="27" customWidth="1"/>
    <col min="14" max="14" width="7" style="27" customWidth="1"/>
    <col min="15" max="15" width="7.33203125" style="27" customWidth="1"/>
    <col min="16" max="16" width="6.1640625" style="27" customWidth="1"/>
    <col min="17" max="17" width="6.83203125" style="27" customWidth="1"/>
    <col min="18" max="18" width="5.1640625" style="35" customWidth="1"/>
    <col min="19" max="19" width="6.5" style="35" customWidth="1"/>
    <col min="20" max="20" width="7.33203125" style="35" customWidth="1"/>
    <col min="21" max="21" width="6.33203125" style="35" customWidth="1"/>
    <col min="22" max="23" width="6" style="35" customWidth="1"/>
    <col min="24" max="24" width="7.1640625" style="35" customWidth="1"/>
    <col min="25" max="25" width="7.6640625" style="35" customWidth="1"/>
    <col min="26" max="27" width="9.33203125" style="35" customWidth="1"/>
    <col min="28" max="28" width="5.83203125" style="43" customWidth="1"/>
    <col min="29" max="29" width="6.1640625" style="43" customWidth="1"/>
    <col min="30" max="30" width="7.83203125" style="43" customWidth="1"/>
    <col min="31" max="39" width="7.83203125" style="609" customWidth="1"/>
    <col min="40" max="42" width="7.83203125" style="546" customWidth="1"/>
    <col min="43" max="44" width="7.83203125" style="581" customWidth="1"/>
    <col min="45" max="45" width="9.83203125" customWidth="1"/>
    <col min="46" max="46" width="13.33203125" customWidth="1"/>
    <col min="47" max="47" width="11.6640625" customWidth="1"/>
  </cols>
  <sheetData>
    <row r="1" spans="1:47" s="1" customFormat="1">
      <c r="A1" s="1" t="s">
        <v>264</v>
      </c>
      <c r="B1" s="14" t="s">
        <v>204</v>
      </c>
      <c r="C1" s="15" t="s">
        <v>317</v>
      </c>
      <c r="D1" s="15" t="s">
        <v>205</v>
      </c>
      <c r="E1" s="563" t="s">
        <v>9176</v>
      </c>
      <c r="F1" s="563" t="s">
        <v>9177</v>
      </c>
      <c r="G1" s="564" t="s">
        <v>9178</v>
      </c>
      <c r="H1" s="565" t="s">
        <v>9179</v>
      </c>
      <c r="I1" s="566" t="s">
        <v>9180</v>
      </c>
      <c r="J1" s="566" t="s">
        <v>314</v>
      </c>
      <c r="K1" s="566" t="s">
        <v>9181</v>
      </c>
      <c r="L1" s="566" t="s">
        <v>9182</v>
      </c>
      <c r="M1" s="566" t="s">
        <v>301</v>
      </c>
      <c r="N1" s="566" t="s">
        <v>9183</v>
      </c>
      <c r="O1" s="566" t="s">
        <v>9184</v>
      </c>
      <c r="P1" s="566" t="s">
        <v>302</v>
      </c>
      <c r="Q1" s="566" t="s">
        <v>303</v>
      </c>
      <c r="R1" s="567" t="s">
        <v>304</v>
      </c>
      <c r="S1" s="567" t="s">
        <v>305</v>
      </c>
      <c r="T1" s="567" t="s">
        <v>306</v>
      </c>
      <c r="U1" s="567" t="s">
        <v>316</v>
      </c>
      <c r="V1" s="567" t="s">
        <v>315</v>
      </c>
      <c r="W1" s="567" t="s">
        <v>318</v>
      </c>
      <c r="X1" s="567" t="s">
        <v>319</v>
      </c>
      <c r="Y1" s="567" t="s">
        <v>307</v>
      </c>
      <c r="Z1" s="567" t="s">
        <v>308</v>
      </c>
      <c r="AA1" s="567" t="s">
        <v>9185</v>
      </c>
      <c r="AB1" s="568" t="s">
        <v>3</v>
      </c>
      <c r="AC1" s="569" t="s">
        <v>4</v>
      </c>
      <c r="AD1" s="568" t="s">
        <v>210</v>
      </c>
      <c r="AE1" s="568" t="s">
        <v>9186</v>
      </c>
      <c r="AF1" s="568" t="s">
        <v>9187</v>
      </c>
      <c r="AG1" s="568" t="s">
        <v>9188</v>
      </c>
      <c r="AH1" s="568" t="s">
        <v>9189</v>
      </c>
      <c r="AI1" s="568" t="s">
        <v>9190</v>
      </c>
      <c r="AJ1" s="568" t="s">
        <v>9191</v>
      </c>
      <c r="AK1" s="568" t="s">
        <v>9192</v>
      </c>
      <c r="AL1" s="568" t="s">
        <v>9193</v>
      </c>
      <c r="AM1" s="568" t="s">
        <v>9194</v>
      </c>
      <c r="AN1" s="570" t="s">
        <v>9195</v>
      </c>
      <c r="AO1" s="570" t="s">
        <v>9196</v>
      </c>
      <c r="AP1" s="571" t="s">
        <v>9197</v>
      </c>
      <c r="AQ1" s="570" t="s">
        <v>9198</v>
      </c>
      <c r="AR1" s="570" t="s">
        <v>9199</v>
      </c>
      <c r="AS1" s="15" t="s">
        <v>9200</v>
      </c>
      <c r="AT1" s="15" t="s">
        <v>9201</v>
      </c>
      <c r="AU1" s="14" t="s">
        <v>9202</v>
      </c>
    </row>
    <row r="2" spans="1:47" hidden="1">
      <c r="B2" s="10" t="s">
        <v>195</v>
      </c>
      <c r="C2" s="16" t="s">
        <v>176</v>
      </c>
      <c r="D2" s="16"/>
      <c r="E2" s="572"/>
      <c r="F2" s="572"/>
      <c r="G2" s="573"/>
      <c r="H2" s="29"/>
      <c r="I2" s="29"/>
      <c r="J2" s="29"/>
      <c r="K2" s="29"/>
      <c r="L2" s="29"/>
      <c r="M2" s="29"/>
      <c r="N2" s="29"/>
      <c r="O2" s="29"/>
      <c r="P2" s="30"/>
      <c r="Q2" s="30"/>
      <c r="R2" s="34">
        <v>19</v>
      </c>
      <c r="S2" s="34">
        <v>100</v>
      </c>
      <c r="T2" s="34"/>
      <c r="U2" s="34">
        <v>75</v>
      </c>
      <c r="V2" s="34">
        <v>16</v>
      </c>
      <c r="W2" s="34"/>
      <c r="X2" s="34"/>
      <c r="Y2" s="34"/>
      <c r="Z2" s="34"/>
      <c r="AA2" s="34"/>
      <c r="AB2" s="42"/>
      <c r="AC2" s="574"/>
      <c r="AD2" s="42"/>
      <c r="AE2" s="42"/>
      <c r="AF2" s="42"/>
      <c r="AG2" s="42"/>
      <c r="AH2" s="42"/>
      <c r="AI2" s="42"/>
      <c r="AJ2" s="42"/>
      <c r="AK2" s="42"/>
      <c r="AL2" s="42"/>
      <c r="AM2" s="42"/>
      <c r="AN2" s="575"/>
      <c r="AO2" s="575"/>
      <c r="AP2" s="576"/>
      <c r="AQ2" s="575"/>
      <c r="AR2" s="575"/>
      <c r="AS2" s="16" t="s">
        <v>187</v>
      </c>
      <c r="AT2" s="16" t="s">
        <v>188</v>
      </c>
      <c r="AU2" s="16"/>
    </row>
    <row r="3" spans="1:47" hidden="1">
      <c r="B3" s="10" t="s">
        <v>195</v>
      </c>
      <c r="C3" s="10" t="s">
        <v>178</v>
      </c>
      <c r="D3" s="10"/>
      <c r="E3" s="572"/>
      <c r="F3" s="572"/>
      <c r="G3" s="573"/>
      <c r="H3" s="29"/>
      <c r="I3" s="29"/>
      <c r="J3" s="29"/>
      <c r="K3" s="29"/>
      <c r="L3" s="29"/>
      <c r="M3" s="29"/>
      <c r="N3" s="29"/>
      <c r="O3" s="29"/>
      <c r="P3" s="30"/>
      <c r="Q3" s="30"/>
      <c r="R3" s="34">
        <v>59</v>
      </c>
      <c r="S3" s="34">
        <v>59</v>
      </c>
      <c r="T3" s="34"/>
      <c r="U3" s="34">
        <v>59</v>
      </c>
      <c r="V3" s="34"/>
      <c r="W3" s="34"/>
      <c r="X3" s="34"/>
      <c r="Y3" s="34"/>
      <c r="Z3" s="34"/>
      <c r="AA3" s="34"/>
      <c r="AB3" s="42"/>
      <c r="AC3" s="574"/>
      <c r="AD3" s="42"/>
      <c r="AE3" s="42"/>
      <c r="AF3" s="42"/>
      <c r="AG3" s="42"/>
      <c r="AH3" s="42"/>
      <c r="AI3" s="42"/>
      <c r="AJ3" s="42"/>
      <c r="AK3" s="42"/>
      <c r="AL3" s="42"/>
      <c r="AM3" s="42"/>
      <c r="AN3" s="575"/>
      <c r="AO3" s="575"/>
      <c r="AP3" s="576"/>
      <c r="AQ3" s="575"/>
      <c r="AR3" s="575"/>
      <c r="AS3" s="10" t="s">
        <v>187</v>
      </c>
      <c r="AT3" s="10" t="s">
        <v>188</v>
      </c>
      <c r="AU3" s="10"/>
    </row>
    <row r="4" spans="1:47" hidden="1">
      <c r="B4" t="s">
        <v>100</v>
      </c>
      <c r="C4" t="s">
        <v>156</v>
      </c>
      <c r="D4" t="s">
        <v>157</v>
      </c>
      <c r="E4" s="577">
        <v>14</v>
      </c>
      <c r="G4" s="579"/>
      <c r="I4" s="29">
        <v>141430</v>
      </c>
      <c r="J4" s="29">
        <v>14143000</v>
      </c>
      <c r="K4" s="29"/>
      <c r="L4" s="29">
        <v>6109</v>
      </c>
      <c r="M4" s="29">
        <v>6109</v>
      </c>
      <c r="N4" s="29"/>
      <c r="O4" s="29"/>
      <c r="T4" s="35">
        <v>2</v>
      </c>
      <c r="AC4" s="580"/>
      <c r="AE4" s="43"/>
      <c r="AF4" s="43"/>
      <c r="AG4" s="43"/>
      <c r="AH4" s="43"/>
      <c r="AI4" s="43"/>
      <c r="AJ4" s="43"/>
      <c r="AK4" s="43"/>
      <c r="AL4" s="43"/>
      <c r="AM4" s="43"/>
      <c r="AN4" s="581"/>
      <c r="AO4" s="581"/>
      <c r="AP4" s="582"/>
      <c r="AS4" t="s">
        <v>164</v>
      </c>
      <c r="AT4" s="19" t="s">
        <v>165</v>
      </c>
      <c r="AU4">
        <v>2011</v>
      </c>
    </row>
    <row r="5" spans="1:47" hidden="1">
      <c r="B5" s="10" t="s">
        <v>100</v>
      </c>
      <c r="C5" s="10" t="s">
        <v>141</v>
      </c>
      <c r="D5" s="10"/>
      <c r="E5" s="583">
        <v>14</v>
      </c>
      <c r="F5" s="572"/>
      <c r="G5" s="573"/>
      <c r="H5" s="29"/>
      <c r="I5" s="29">
        <v>141430</v>
      </c>
      <c r="J5" s="29">
        <v>14143000</v>
      </c>
      <c r="K5" s="29"/>
      <c r="L5" s="29">
        <v>6109</v>
      </c>
      <c r="M5" s="29">
        <v>6109</v>
      </c>
      <c r="N5" s="29"/>
      <c r="O5" s="29"/>
      <c r="P5" s="30"/>
      <c r="Q5" s="30"/>
      <c r="R5" s="34">
        <v>3.4</v>
      </c>
      <c r="S5" s="34">
        <v>6.9</v>
      </c>
      <c r="T5" s="34">
        <v>4.5999999999999996</v>
      </c>
      <c r="U5" s="34"/>
      <c r="V5" s="34"/>
      <c r="W5" s="34"/>
      <c r="X5" s="34"/>
      <c r="Y5" s="34"/>
      <c r="Z5" s="34"/>
      <c r="AA5" s="34"/>
      <c r="AB5" s="42"/>
      <c r="AC5" s="574"/>
      <c r="AD5" s="42"/>
      <c r="AE5" s="42"/>
      <c r="AF5" s="42"/>
      <c r="AG5" s="42"/>
      <c r="AH5" s="42"/>
      <c r="AI5" s="42"/>
      <c r="AJ5" s="42"/>
      <c r="AK5" s="42"/>
      <c r="AL5" s="42"/>
      <c r="AM5" s="42"/>
      <c r="AN5" s="575"/>
      <c r="AO5" s="575"/>
      <c r="AP5" s="576"/>
      <c r="AQ5" s="575"/>
      <c r="AR5" s="575"/>
      <c r="AS5" s="10" t="s">
        <v>142</v>
      </c>
      <c r="AT5" s="20" t="s">
        <v>127</v>
      </c>
      <c r="AU5" s="10" t="s">
        <v>128</v>
      </c>
    </row>
    <row r="6" spans="1:47" hidden="1">
      <c r="B6" t="s">
        <v>100</v>
      </c>
      <c r="C6" t="s">
        <v>124</v>
      </c>
      <c r="E6" s="577">
        <v>14</v>
      </c>
      <c r="G6" s="579"/>
      <c r="I6" s="29">
        <v>141430</v>
      </c>
      <c r="J6" s="29">
        <v>14143000</v>
      </c>
      <c r="K6" s="29"/>
      <c r="L6" s="29">
        <v>6109</v>
      </c>
      <c r="M6" s="29">
        <v>6109</v>
      </c>
      <c r="N6" s="29"/>
      <c r="O6" s="29"/>
      <c r="T6" s="35">
        <v>4</v>
      </c>
      <c r="AC6" s="580"/>
      <c r="AE6" s="43"/>
      <c r="AF6" s="43"/>
      <c r="AG6" s="43"/>
      <c r="AH6" s="43"/>
      <c r="AI6" s="43"/>
      <c r="AJ6" s="43"/>
      <c r="AK6" s="43"/>
      <c r="AL6" s="43"/>
      <c r="AM6" s="43"/>
      <c r="AN6" s="581"/>
      <c r="AO6" s="581"/>
      <c r="AP6" s="582"/>
      <c r="AS6" t="s">
        <v>102</v>
      </c>
      <c r="AT6" t="s">
        <v>153</v>
      </c>
      <c r="AU6">
        <v>2013</v>
      </c>
    </row>
    <row r="7" spans="1:47">
      <c r="A7" t="s">
        <v>192</v>
      </c>
      <c r="B7" t="s">
        <v>8</v>
      </c>
      <c r="C7" s="2" t="s">
        <v>16</v>
      </c>
      <c r="D7" s="2"/>
      <c r="E7" s="584">
        <v>26</v>
      </c>
      <c r="F7" s="585"/>
      <c r="G7" s="564">
        <v>2640</v>
      </c>
      <c r="H7" s="23"/>
      <c r="I7" s="24">
        <v>264034</v>
      </c>
      <c r="J7" s="24">
        <v>26403400</v>
      </c>
      <c r="K7" s="24"/>
      <c r="L7" s="26">
        <v>8528</v>
      </c>
      <c r="M7" s="26">
        <v>8528</v>
      </c>
      <c r="N7" s="26"/>
      <c r="O7" s="26"/>
      <c r="P7" s="26" t="s">
        <v>273</v>
      </c>
      <c r="Q7" s="26" t="s">
        <v>272</v>
      </c>
      <c r="R7" s="33">
        <v>5</v>
      </c>
      <c r="S7" s="33">
        <v>6</v>
      </c>
      <c r="T7" s="33">
        <v>6</v>
      </c>
      <c r="U7" s="33"/>
      <c r="V7" s="33"/>
      <c r="W7" s="33"/>
      <c r="X7" s="33"/>
      <c r="Y7" s="33">
        <v>2</v>
      </c>
      <c r="Z7" s="33">
        <v>12</v>
      </c>
      <c r="AA7" s="33"/>
      <c r="AB7" s="41">
        <v>5</v>
      </c>
      <c r="AC7" s="586">
        <v>14</v>
      </c>
      <c r="AD7" s="41"/>
      <c r="AE7" s="41"/>
      <c r="AF7" s="41"/>
      <c r="AG7" s="41"/>
      <c r="AH7" s="41"/>
      <c r="AI7" s="41"/>
      <c r="AJ7" s="41"/>
      <c r="AK7" s="41"/>
      <c r="AL7" s="41"/>
      <c r="AM7" s="41"/>
      <c r="AN7" s="587"/>
      <c r="AO7" s="587"/>
      <c r="AP7" s="588"/>
      <c r="AQ7" s="587"/>
      <c r="AR7" s="587"/>
      <c r="AS7" s="2" t="s">
        <v>10</v>
      </c>
      <c r="AT7" s="2" t="s">
        <v>11</v>
      </c>
    </row>
    <row r="8" spans="1:47">
      <c r="A8" t="s">
        <v>192</v>
      </c>
      <c r="B8" s="10" t="s">
        <v>8</v>
      </c>
      <c r="C8" s="3" t="s">
        <v>15</v>
      </c>
      <c r="D8" s="3"/>
      <c r="E8" s="589">
        <v>26</v>
      </c>
      <c r="F8" s="590"/>
      <c r="G8" s="564">
        <v>2640</v>
      </c>
      <c r="H8" s="23"/>
      <c r="I8" s="24">
        <v>264034</v>
      </c>
      <c r="J8" s="24">
        <v>26403400</v>
      </c>
      <c r="K8" s="24"/>
      <c r="L8" s="24" t="s">
        <v>9203</v>
      </c>
      <c r="M8" s="24">
        <v>852852</v>
      </c>
      <c r="N8" s="24"/>
      <c r="O8" s="24"/>
      <c r="P8" s="24" t="s">
        <v>274</v>
      </c>
      <c r="Q8" s="24" t="s">
        <v>272</v>
      </c>
      <c r="R8" s="32">
        <v>9</v>
      </c>
      <c r="S8" s="32">
        <v>11</v>
      </c>
      <c r="T8" s="32">
        <v>10</v>
      </c>
      <c r="U8" s="32"/>
      <c r="V8" s="32"/>
      <c r="W8" s="32"/>
      <c r="X8" s="32"/>
      <c r="Y8" s="32">
        <v>2</v>
      </c>
      <c r="Z8" s="32">
        <v>11</v>
      </c>
      <c r="AA8" s="32"/>
      <c r="AB8" s="40">
        <v>5</v>
      </c>
      <c r="AC8" s="591">
        <v>14</v>
      </c>
      <c r="AD8" s="40"/>
      <c r="AE8" s="40"/>
      <c r="AF8" s="40"/>
      <c r="AG8" s="40"/>
      <c r="AH8" s="40"/>
      <c r="AI8" s="40"/>
      <c r="AJ8" s="40"/>
      <c r="AK8" s="40"/>
      <c r="AL8" s="40"/>
      <c r="AM8" s="40"/>
      <c r="AN8" s="592"/>
      <c r="AO8" s="592"/>
      <c r="AP8" s="593"/>
      <c r="AQ8" s="592"/>
      <c r="AR8" s="592"/>
      <c r="AS8" s="3" t="s">
        <v>10</v>
      </c>
      <c r="AT8" s="3" t="s">
        <v>11</v>
      </c>
      <c r="AU8" s="10"/>
    </row>
    <row r="9" spans="1:47">
      <c r="B9" s="10" t="s">
        <v>8</v>
      </c>
      <c r="C9" s="3" t="s">
        <v>9</v>
      </c>
      <c r="D9" s="3"/>
      <c r="E9" s="590"/>
      <c r="F9" s="590"/>
      <c r="G9" s="594"/>
      <c r="H9" s="23"/>
      <c r="I9" s="23"/>
      <c r="J9" s="23"/>
      <c r="K9" s="23"/>
      <c r="L9" s="23"/>
      <c r="M9" s="23"/>
      <c r="N9" s="23"/>
      <c r="O9" s="23"/>
      <c r="P9" s="24"/>
      <c r="Q9" s="24"/>
      <c r="R9" s="32">
        <v>8.4</v>
      </c>
      <c r="S9" s="32">
        <v>13.2</v>
      </c>
      <c r="T9" s="32">
        <v>11</v>
      </c>
      <c r="U9" s="32"/>
      <c r="V9" s="32"/>
      <c r="W9" s="32"/>
      <c r="X9" s="32"/>
      <c r="Y9" s="32"/>
      <c r="Z9" s="32"/>
      <c r="AA9" s="32"/>
      <c r="AB9" s="40">
        <v>605</v>
      </c>
      <c r="AC9" s="591">
        <v>6800</v>
      </c>
      <c r="AD9" s="40"/>
      <c r="AE9" s="40"/>
      <c r="AF9" s="40"/>
      <c r="AG9" s="40"/>
      <c r="AH9" s="40"/>
      <c r="AI9" s="40"/>
      <c r="AJ9" s="40"/>
      <c r="AK9" s="40"/>
      <c r="AL9" s="40"/>
      <c r="AM9" s="40"/>
      <c r="AN9" s="592"/>
      <c r="AO9" s="592"/>
      <c r="AP9" s="593"/>
      <c r="AQ9" s="592"/>
      <c r="AR9" s="592"/>
      <c r="AS9" s="3" t="s">
        <v>10</v>
      </c>
      <c r="AT9" s="92" t="s">
        <v>11</v>
      </c>
      <c r="AU9" s="10"/>
    </row>
    <row r="10" spans="1:47">
      <c r="B10" t="s">
        <v>8</v>
      </c>
      <c r="C10" s="2" t="s">
        <v>12</v>
      </c>
      <c r="D10" s="2"/>
      <c r="E10" s="585"/>
      <c r="F10" s="585"/>
      <c r="G10" s="595"/>
      <c r="H10" s="25"/>
      <c r="I10" s="25"/>
      <c r="J10" s="25"/>
      <c r="K10" s="25"/>
      <c r="L10" s="25"/>
      <c r="M10" s="25"/>
      <c r="N10" s="25"/>
      <c r="O10" s="25"/>
      <c r="P10" s="26"/>
      <c r="Q10" s="26"/>
      <c r="R10" s="33">
        <v>5</v>
      </c>
      <c r="S10" s="33">
        <v>12.7</v>
      </c>
      <c r="T10" s="33">
        <v>9</v>
      </c>
      <c r="U10" s="33"/>
      <c r="V10" s="33"/>
      <c r="W10" s="33"/>
      <c r="X10" s="33"/>
      <c r="Y10" s="33"/>
      <c r="Z10" s="33"/>
      <c r="AA10" s="33"/>
      <c r="AB10" s="41">
        <v>1070</v>
      </c>
      <c r="AC10" s="586">
        <v>3360</v>
      </c>
      <c r="AD10" s="41"/>
      <c r="AE10" s="41"/>
      <c r="AF10" s="41"/>
      <c r="AG10" s="41"/>
      <c r="AH10" s="596"/>
      <c r="AI10" s="596"/>
      <c r="AJ10" s="596"/>
      <c r="AK10" s="596"/>
      <c r="AL10" s="596"/>
      <c r="AM10" s="596"/>
      <c r="AN10" s="597">
        <v>11949</v>
      </c>
      <c r="AO10" s="587">
        <v>62062</v>
      </c>
      <c r="AP10" s="588">
        <v>18734</v>
      </c>
      <c r="AQ10" s="587"/>
      <c r="AR10" s="587"/>
      <c r="AS10" s="2" t="s">
        <v>10</v>
      </c>
      <c r="AT10" s="19" t="s">
        <v>11</v>
      </c>
    </row>
    <row r="11" spans="1:47">
      <c r="B11" s="10" t="s">
        <v>8</v>
      </c>
      <c r="C11" s="3" t="s">
        <v>13</v>
      </c>
      <c r="D11" s="3"/>
      <c r="E11" s="590"/>
      <c r="F11" s="590"/>
      <c r="G11" s="594"/>
      <c r="H11" s="23"/>
      <c r="I11" s="23"/>
      <c r="J11" s="23"/>
      <c r="K11" s="23"/>
      <c r="L11" s="23"/>
      <c r="M11" s="23"/>
      <c r="N11" s="23"/>
      <c r="O11" s="23"/>
      <c r="P11" s="24"/>
      <c r="Q11" s="24"/>
      <c r="R11" s="32">
        <v>13</v>
      </c>
      <c r="S11" s="32">
        <v>16</v>
      </c>
      <c r="T11" s="32">
        <v>15</v>
      </c>
      <c r="U11" s="32"/>
      <c r="V11" s="32"/>
      <c r="W11" s="32"/>
      <c r="X11" s="32"/>
      <c r="Y11" s="32"/>
      <c r="Z11" s="32"/>
      <c r="AA11" s="32"/>
      <c r="AB11" s="40">
        <v>150</v>
      </c>
      <c r="AC11" s="591">
        <v>540</v>
      </c>
      <c r="AD11" s="40"/>
      <c r="AE11" s="40"/>
      <c r="AF11" s="40"/>
      <c r="AG11" s="40"/>
      <c r="AH11" s="40"/>
      <c r="AI11" s="40"/>
      <c r="AJ11" s="40"/>
      <c r="AK11" s="40"/>
      <c r="AL11" s="40"/>
      <c r="AM11" s="40"/>
      <c r="AN11" s="592"/>
      <c r="AO11" s="592"/>
      <c r="AP11" s="593"/>
      <c r="AQ11" s="592"/>
      <c r="AR11" s="592"/>
      <c r="AS11" s="3" t="s">
        <v>10</v>
      </c>
      <c r="AT11" s="3" t="s">
        <v>11</v>
      </c>
      <c r="AU11" s="10"/>
    </row>
    <row r="12" spans="1:47">
      <c r="B12" t="s">
        <v>8</v>
      </c>
      <c r="C12" s="2" t="s">
        <v>14</v>
      </c>
      <c r="D12" s="2"/>
      <c r="E12" s="585"/>
      <c r="F12" s="585"/>
      <c r="G12" s="595"/>
      <c r="H12" s="25"/>
      <c r="I12" s="25"/>
      <c r="J12" s="25"/>
      <c r="K12" s="25"/>
      <c r="L12" s="25"/>
      <c r="M12" s="25"/>
      <c r="N12" s="25"/>
      <c r="O12" s="25"/>
      <c r="P12" s="26"/>
      <c r="Q12" s="26"/>
      <c r="R12" s="33">
        <v>12</v>
      </c>
      <c r="S12" s="33">
        <v>15</v>
      </c>
      <c r="T12" s="33">
        <v>14</v>
      </c>
      <c r="U12" s="33"/>
      <c r="V12" s="33"/>
      <c r="W12" s="33"/>
      <c r="X12" s="33"/>
      <c r="Y12" s="33"/>
      <c r="Z12" s="33"/>
      <c r="AA12" s="33"/>
      <c r="AB12" s="41">
        <v>9.6</v>
      </c>
      <c r="AC12" s="586">
        <v>38.6</v>
      </c>
      <c r="AD12" s="41"/>
      <c r="AE12" s="41"/>
      <c r="AF12" s="41"/>
      <c r="AG12" s="41"/>
      <c r="AH12" s="41"/>
      <c r="AI12" s="41"/>
      <c r="AJ12" s="41"/>
      <c r="AK12" s="41"/>
      <c r="AL12" s="41"/>
      <c r="AM12" s="41"/>
      <c r="AN12" s="587"/>
      <c r="AO12" s="587"/>
      <c r="AP12" s="588"/>
      <c r="AQ12" s="587"/>
      <c r="AR12" s="587"/>
      <c r="AS12" s="2" t="s">
        <v>10</v>
      </c>
      <c r="AT12" s="19" t="s">
        <v>11</v>
      </c>
    </row>
    <row r="13" spans="1:47">
      <c r="B13" s="10" t="s">
        <v>8</v>
      </c>
      <c r="C13" s="3" t="s">
        <v>17</v>
      </c>
      <c r="D13" s="3"/>
      <c r="E13" s="590"/>
      <c r="F13" s="590"/>
      <c r="G13" s="594"/>
      <c r="H13" s="23"/>
      <c r="I13" s="23"/>
      <c r="J13" s="23"/>
      <c r="K13" s="23"/>
      <c r="L13" s="23"/>
      <c r="M13" s="23"/>
      <c r="N13" s="23"/>
      <c r="O13" s="23"/>
      <c r="P13" s="24"/>
      <c r="Q13" s="24"/>
      <c r="R13" s="32">
        <v>7</v>
      </c>
      <c r="S13" s="32">
        <v>10</v>
      </c>
      <c r="T13" s="32"/>
      <c r="U13" s="32"/>
      <c r="V13" s="32"/>
      <c r="W13" s="32"/>
      <c r="X13" s="32"/>
      <c r="Y13" s="32"/>
      <c r="Z13" s="32"/>
      <c r="AA13" s="32"/>
      <c r="AB13" s="40">
        <v>40</v>
      </c>
      <c r="AC13" s="591">
        <v>140</v>
      </c>
      <c r="AD13" s="40"/>
      <c r="AE13" s="40"/>
      <c r="AF13" s="40"/>
      <c r="AG13" s="40"/>
      <c r="AH13" s="40"/>
      <c r="AI13" s="40"/>
      <c r="AJ13" s="40"/>
      <c r="AK13" s="40"/>
      <c r="AL13" s="40"/>
      <c r="AM13" s="40"/>
      <c r="AN13" s="592"/>
      <c r="AO13" s="592"/>
      <c r="AP13" s="593"/>
      <c r="AQ13" s="592"/>
      <c r="AR13" s="592"/>
      <c r="AS13" s="3" t="s">
        <v>10</v>
      </c>
      <c r="AT13" s="3" t="s">
        <v>11</v>
      </c>
      <c r="AU13" s="10"/>
    </row>
    <row r="14" spans="1:47">
      <c r="A14" t="s">
        <v>192</v>
      </c>
      <c r="B14" s="10" t="s">
        <v>8</v>
      </c>
      <c r="C14" s="10" t="s">
        <v>163</v>
      </c>
      <c r="D14" s="10"/>
      <c r="E14" s="583">
        <v>27</v>
      </c>
      <c r="F14" s="572"/>
      <c r="G14" s="598"/>
      <c r="H14" s="29"/>
      <c r="I14" s="30">
        <v>275113</v>
      </c>
      <c r="J14" s="30" t="s">
        <v>9204</v>
      </c>
      <c r="K14" s="30"/>
      <c r="L14" s="30" t="s">
        <v>9205</v>
      </c>
      <c r="M14" s="30" t="s">
        <v>9205</v>
      </c>
      <c r="N14" s="30"/>
      <c r="O14" s="30"/>
      <c r="P14" s="30" t="s">
        <v>279</v>
      </c>
      <c r="Q14" s="30" t="s">
        <v>278</v>
      </c>
      <c r="R14" s="34"/>
      <c r="S14" s="34"/>
      <c r="T14" s="34">
        <v>6</v>
      </c>
      <c r="U14" s="34"/>
      <c r="V14" s="34"/>
      <c r="W14" s="34"/>
      <c r="X14" s="34"/>
      <c r="Y14" s="34">
        <v>2</v>
      </c>
      <c r="Z14" s="34">
        <v>13</v>
      </c>
      <c r="AA14" s="34"/>
      <c r="AB14" s="42"/>
      <c r="AC14" s="574"/>
      <c r="AD14" s="42"/>
      <c r="AE14" s="42"/>
      <c r="AF14" s="42"/>
      <c r="AG14" s="42"/>
      <c r="AH14" s="42"/>
      <c r="AI14" s="42"/>
      <c r="AJ14" s="42"/>
      <c r="AK14" s="42"/>
      <c r="AL14" s="42"/>
      <c r="AM14" s="42"/>
      <c r="AN14" s="575"/>
      <c r="AO14" s="575"/>
      <c r="AP14" s="576"/>
      <c r="AQ14" s="575"/>
      <c r="AR14" s="575"/>
      <c r="AS14" s="10" t="s">
        <v>164</v>
      </c>
      <c r="AT14" s="10" t="s">
        <v>165</v>
      </c>
      <c r="AU14" s="10">
        <v>2011</v>
      </c>
    </row>
    <row r="15" spans="1:47">
      <c r="A15" t="s">
        <v>192</v>
      </c>
      <c r="B15" s="10" t="s">
        <v>8</v>
      </c>
      <c r="C15" s="10" t="s">
        <v>60</v>
      </c>
      <c r="D15" s="10"/>
      <c r="E15" s="583">
        <v>27</v>
      </c>
      <c r="F15" s="572"/>
      <c r="G15" s="598">
        <v>2751</v>
      </c>
      <c r="H15" s="29"/>
      <c r="I15" s="30">
        <v>275124</v>
      </c>
      <c r="J15" s="30" t="s">
        <v>9206</v>
      </c>
      <c r="K15" s="30"/>
      <c r="L15" s="30" t="s">
        <v>9207</v>
      </c>
      <c r="M15" s="30" t="s">
        <v>9207</v>
      </c>
      <c r="N15" s="30"/>
      <c r="O15" s="30"/>
      <c r="P15" s="30" t="s">
        <v>286</v>
      </c>
      <c r="Q15" s="30" t="s">
        <v>284</v>
      </c>
      <c r="R15" s="34"/>
      <c r="S15" s="34"/>
      <c r="T15" s="34">
        <v>7.9</v>
      </c>
      <c r="U15" s="34">
        <v>6</v>
      </c>
      <c r="V15" s="34"/>
      <c r="W15" s="34">
        <v>7.6</v>
      </c>
      <c r="X15" s="34"/>
      <c r="Y15" s="34">
        <v>1</v>
      </c>
      <c r="Z15" s="34">
        <v>8</v>
      </c>
      <c r="AA15" s="34"/>
      <c r="AB15" s="42"/>
      <c r="AC15" s="574"/>
      <c r="AD15" s="42"/>
      <c r="AE15" s="42"/>
      <c r="AF15" s="42"/>
      <c r="AG15" s="42"/>
      <c r="AH15" s="42"/>
      <c r="AI15" s="42"/>
      <c r="AJ15" s="42"/>
      <c r="AK15" s="42"/>
      <c r="AL15" s="42"/>
      <c r="AM15" s="42"/>
      <c r="AN15" s="575"/>
      <c r="AO15" s="575"/>
      <c r="AP15" s="576"/>
      <c r="AQ15" s="575"/>
      <c r="AR15" s="575"/>
      <c r="AS15" s="10" t="s">
        <v>56</v>
      </c>
      <c r="AT15" s="10" t="s">
        <v>57</v>
      </c>
      <c r="AU15" s="10" t="s">
        <v>58</v>
      </c>
    </row>
    <row r="16" spans="1:47">
      <c r="B16" t="s">
        <v>8</v>
      </c>
      <c r="C16" s="2" t="s">
        <v>20</v>
      </c>
      <c r="D16" s="2" t="s">
        <v>21</v>
      </c>
      <c r="E16" s="585"/>
      <c r="F16" s="585"/>
      <c r="G16" s="595"/>
      <c r="H16" s="25"/>
      <c r="I16" s="25"/>
      <c r="J16" s="25"/>
      <c r="K16" s="25"/>
      <c r="L16" s="25"/>
      <c r="M16" s="25"/>
      <c r="N16" s="25"/>
      <c r="O16" s="25"/>
      <c r="P16" s="26"/>
      <c r="Q16" s="26"/>
      <c r="R16" s="33">
        <v>3</v>
      </c>
      <c r="S16" s="33">
        <v>5</v>
      </c>
      <c r="T16" s="33">
        <f>AVERAGE(Lookup_2!$R11:$S11)</f>
        <v>14.5</v>
      </c>
      <c r="U16" s="33"/>
      <c r="V16" s="33"/>
      <c r="W16" s="33"/>
      <c r="X16" s="33"/>
      <c r="Y16" s="33"/>
      <c r="Z16" s="33"/>
      <c r="AA16" s="33"/>
      <c r="AB16" s="41"/>
      <c r="AC16" s="586">
        <v>0.3</v>
      </c>
      <c r="AD16" s="41"/>
      <c r="AE16" s="41"/>
      <c r="AF16" s="41"/>
      <c r="AG16" s="41"/>
      <c r="AH16" s="41"/>
      <c r="AI16" s="41"/>
      <c r="AJ16" s="41"/>
      <c r="AK16" s="41"/>
      <c r="AL16" s="41"/>
      <c r="AM16" s="41"/>
      <c r="AN16" s="587"/>
      <c r="AO16" s="587"/>
      <c r="AP16" s="588"/>
      <c r="AQ16" s="587"/>
      <c r="AR16" s="587"/>
      <c r="AS16" s="2" t="s">
        <v>10</v>
      </c>
      <c r="AT16" s="2" t="s">
        <v>11</v>
      </c>
    </row>
    <row r="17" spans="1:47">
      <c r="B17" s="10" t="s">
        <v>8</v>
      </c>
      <c r="C17" s="3" t="s">
        <v>20</v>
      </c>
      <c r="D17" s="3" t="s">
        <v>22</v>
      </c>
      <c r="E17" s="590"/>
      <c r="F17" s="590"/>
      <c r="G17" s="594"/>
      <c r="H17" s="23"/>
      <c r="I17" s="23"/>
      <c r="J17" s="23"/>
      <c r="K17" s="23"/>
      <c r="L17" s="23"/>
      <c r="M17" s="23"/>
      <c r="N17" s="23"/>
      <c r="O17" s="23"/>
      <c r="P17" s="24"/>
      <c r="Q17" s="24"/>
      <c r="R17" s="32">
        <v>4.5</v>
      </c>
      <c r="S17" s="32">
        <v>5.5</v>
      </c>
      <c r="T17" s="32">
        <f>AVERAGE(Lookup_2!$R12:$S12)</f>
        <v>13.5</v>
      </c>
      <c r="U17" s="32"/>
      <c r="V17" s="32"/>
      <c r="W17" s="32"/>
      <c r="X17" s="32"/>
      <c r="Y17" s="32"/>
      <c r="Z17" s="32"/>
      <c r="AA17" s="32"/>
      <c r="AB17" s="40">
        <v>0.5</v>
      </c>
      <c r="AC17" s="591">
        <v>2</v>
      </c>
      <c r="AD17" s="40"/>
      <c r="AE17" s="40"/>
      <c r="AF17" s="40"/>
      <c r="AG17" s="40"/>
      <c r="AH17" s="40"/>
      <c r="AI17" s="40"/>
      <c r="AJ17" s="40"/>
      <c r="AK17" s="40"/>
      <c r="AL17" s="40"/>
      <c r="AM17" s="40"/>
      <c r="AN17" s="592"/>
      <c r="AO17" s="592"/>
      <c r="AP17" s="593"/>
      <c r="AQ17" s="592"/>
      <c r="AR17" s="592"/>
      <c r="AS17" s="3" t="s">
        <v>10</v>
      </c>
      <c r="AT17" s="3" t="s">
        <v>11</v>
      </c>
      <c r="AU17" s="10"/>
    </row>
    <row r="18" spans="1:47">
      <c r="B18" t="s">
        <v>8</v>
      </c>
      <c r="C18" s="2" t="s">
        <v>20</v>
      </c>
      <c r="D18" s="2" t="s">
        <v>23</v>
      </c>
      <c r="E18" s="585"/>
      <c r="F18" s="585"/>
      <c r="G18" s="595"/>
      <c r="H18" s="25"/>
      <c r="I18" s="25"/>
      <c r="J18" s="25"/>
      <c r="K18" s="25"/>
      <c r="L18" s="25"/>
      <c r="M18" s="25"/>
      <c r="N18" s="25"/>
      <c r="O18" s="25"/>
      <c r="P18" s="26"/>
      <c r="Q18" s="26"/>
      <c r="R18" s="33">
        <v>1.4</v>
      </c>
      <c r="S18" s="33">
        <v>5.5</v>
      </c>
      <c r="T18" s="33">
        <f>AVERAGE(Lookup_2!$R13:$S13)</f>
        <v>8.5</v>
      </c>
      <c r="U18" s="33"/>
      <c r="V18" s="33"/>
      <c r="W18" s="33"/>
      <c r="X18" s="33"/>
      <c r="Y18" s="33"/>
      <c r="Z18" s="33"/>
      <c r="AA18" s="33"/>
      <c r="AB18" s="41"/>
      <c r="AC18" s="586">
        <v>0.2</v>
      </c>
      <c r="AD18" s="41"/>
      <c r="AE18" s="41"/>
      <c r="AF18" s="41"/>
      <c r="AG18" s="41"/>
      <c r="AH18" s="41"/>
      <c r="AI18" s="41"/>
      <c r="AJ18" s="41"/>
      <c r="AK18" s="41"/>
      <c r="AL18" s="41"/>
      <c r="AM18" s="41"/>
      <c r="AN18" s="587"/>
      <c r="AO18" s="587"/>
      <c r="AP18" s="588"/>
      <c r="AQ18" s="587"/>
      <c r="AR18" s="587"/>
      <c r="AS18" s="2" t="s">
        <v>10</v>
      </c>
      <c r="AT18" s="2" t="s">
        <v>11</v>
      </c>
    </row>
    <row r="19" spans="1:47">
      <c r="B19" s="10" t="s">
        <v>8</v>
      </c>
      <c r="C19" s="3" t="s">
        <v>24</v>
      </c>
      <c r="D19" s="3" t="s">
        <v>25</v>
      </c>
      <c r="E19" s="590"/>
      <c r="F19" s="590"/>
      <c r="G19" s="594"/>
      <c r="H19" s="23"/>
      <c r="I19" s="23"/>
      <c r="J19" s="23"/>
      <c r="K19" s="23"/>
      <c r="L19" s="23"/>
      <c r="M19" s="23"/>
      <c r="N19" s="23"/>
      <c r="O19" s="23"/>
      <c r="P19" s="24"/>
      <c r="Q19" s="24"/>
      <c r="R19" s="32">
        <v>3.6</v>
      </c>
      <c r="S19" s="32">
        <v>4.4000000000000004</v>
      </c>
      <c r="T19" s="32">
        <v>4</v>
      </c>
      <c r="U19" s="32"/>
      <c r="V19" s="32"/>
      <c r="W19" s="32"/>
      <c r="X19" s="32"/>
      <c r="Y19" s="32"/>
      <c r="Z19" s="32"/>
      <c r="AA19" s="32"/>
      <c r="AB19" s="40"/>
      <c r="AC19" s="591">
        <v>0.5</v>
      </c>
      <c r="AD19" s="40"/>
      <c r="AE19" s="40"/>
      <c r="AF19" s="40"/>
      <c r="AG19" s="40"/>
      <c r="AH19" s="40"/>
      <c r="AI19" s="40"/>
      <c r="AJ19" s="40"/>
      <c r="AK19" s="40"/>
      <c r="AL19" s="40"/>
      <c r="AM19" s="40"/>
      <c r="AN19" s="592"/>
      <c r="AO19" s="592"/>
      <c r="AP19" s="593"/>
      <c r="AQ19" s="592"/>
      <c r="AR19" s="592"/>
      <c r="AS19" s="3" t="s">
        <v>10</v>
      </c>
      <c r="AT19" s="3" t="s">
        <v>11</v>
      </c>
      <c r="AU19" s="10"/>
    </row>
    <row r="20" spans="1:47">
      <c r="B20" t="s">
        <v>8</v>
      </c>
      <c r="C20" s="2" t="s">
        <v>24</v>
      </c>
      <c r="D20" s="2" t="s">
        <v>26</v>
      </c>
      <c r="E20" s="585"/>
      <c r="F20" s="585"/>
      <c r="G20" s="595"/>
      <c r="H20" s="25"/>
      <c r="I20" s="25"/>
      <c r="J20" s="25"/>
      <c r="K20" s="25"/>
      <c r="L20" s="25"/>
      <c r="M20" s="25"/>
      <c r="N20" s="25"/>
      <c r="O20" s="25"/>
      <c r="P20" s="26"/>
      <c r="Q20" s="26"/>
      <c r="R20" s="33">
        <v>5</v>
      </c>
      <c r="S20" s="33">
        <v>5.6</v>
      </c>
      <c r="T20" s="33">
        <v>5</v>
      </c>
      <c r="U20" s="33"/>
      <c r="V20" s="33"/>
      <c r="W20" s="33"/>
      <c r="X20" s="33"/>
      <c r="Y20" s="33"/>
      <c r="Z20" s="33"/>
      <c r="AA20" s="33"/>
      <c r="AB20" s="41"/>
      <c r="AC20" s="586">
        <v>0.5</v>
      </c>
      <c r="AD20" s="41"/>
      <c r="AE20" s="41"/>
      <c r="AF20" s="41"/>
      <c r="AG20" s="41"/>
      <c r="AH20" s="41"/>
      <c r="AI20" s="41"/>
      <c r="AJ20" s="41"/>
      <c r="AK20" s="41"/>
      <c r="AL20" s="41"/>
      <c r="AM20" s="41"/>
      <c r="AN20" s="587"/>
      <c r="AO20" s="587"/>
      <c r="AP20" s="588"/>
      <c r="AQ20" s="587"/>
      <c r="AR20" s="587"/>
      <c r="AS20" s="2" t="s">
        <v>10</v>
      </c>
      <c r="AT20" s="2" t="s">
        <v>11</v>
      </c>
    </row>
    <row r="21" spans="1:47">
      <c r="B21" s="10" t="s">
        <v>8</v>
      </c>
      <c r="C21" s="3" t="s">
        <v>27</v>
      </c>
      <c r="D21" s="3" t="s">
        <v>28</v>
      </c>
      <c r="E21" s="590"/>
      <c r="F21" s="590"/>
      <c r="G21" s="594"/>
      <c r="H21" s="23"/>
      <c r="I21" s="23"/>
      <c r="J21" s="23"/>
      <c r="K21" s="23"/>
      <c r="L21" s="23"/>
      <c r="M21" s="23"/>
      <c r="N21" s="23"/>
      <c r="O21" s="23"/>
      <c r="P21" s="24"/>
      <c r="Q21" s="24"/>
      <c r="R21" s="32">
        <v>10</v>
      </c>
      <c r="S21" s="32">
        <v>20</v>
      </c>
      <c r="T21" s="32">
        <v>15</v>
      </c>
      <c r="U21" s="32"/>
      <c r="V21" s="32"/>
      <c r="W21" s="32"/>
      <c r="X21" s="32"/>
      <c r="Y21" s="32"/>
      <c r="Z21" s="32"/>
      <c r="AA21" s="32"/>
      <c r="AB21" s="40"/>
      <c r="AC21" s="591"/>
      <c r="AD21" s="40"/>
      <c r="AE21" s="40"/>
      <c r="AF21" s="40"/>
      <c r="AG21" s="40"/>
      <c r="AH21" s="40"/>
      <c r="AI21" s="40"/>
      <c r="AJ21" s="40"/>
      <c r="AK21" s="40"/>
      <c r="AL21" s="40"/>
      <c r="AM21" s="40"/>
      <c r="AN21" s="592"/>
      <c r="AO21" s="592"/>
      <c r="AP21" s="593"/>
      <c r="AQ21" s="592"/>
      <c r="AR21" s="592"/>
      <c r="AS21" s="3" t="s">
        <v>10</v>
      </c>
      <c r="AT21" s="3" t="s">
        <v>11</v>
      </c>
      <c r="AU21" s="10"/>
    </row>
    <row r="22" spans="1:47">
      <c r="B22" t="s">
        <v>8</v>
      </c>
      <c r="C22" s="2" t="s">
        <v>27</v>
      </c>
      <c r="D22" s="2" t="s">
        <v>29</v>
      </c>
      <c r="E22" s="585"/>
      <c r="F22" s="585"/>
      <c r="G22" s="595"/>
      <c r="H22" s="25"/>
      <c r="I22" s="25"/>
      <c r="J22" s="25"/>
      <c r="K22" s="25"/>
      <c r="L22" s="25"/>
      <c r="M22" s="25"/>
      <c r="N22" s="25"/>
      <c r="O22" s="25"/>
      <c r="P22" s="26"/>
      <c r="Q22" s="26"/>
      <c r="R22" s="33">
        <v>8</v>
      </c>
      <c r="S22" s="33">
        <v>18</v>
      </c>
      <c r="T22" s="33">
        <v>13</v>
      </c>
      <c r="U22" s="33"/>
      <c r="V22" s="33"/>
      <c r="W22" s="33"/>
      <c r="X22" s="33"/>
      <c r="Y22" s="33"/>
      <c r="Z22" s="33"/>
      <c r="AA22" s="33"/>
      <c r="AB22" s="41"/>
      <c r="AC22" s="586"/>
      <c r="AD22" s="41"/>
      <c r="AE22" s="41"/>
      <c r="AF22" s="41"/>
      <c r="AG22" s="41"/>
      <c r="AH22" s="41"/>
      <c r="AI22" s="41"/>
      <c r="AJ22" s="41"/>
      <c r="AK22" s="41"/>
      <c r="AL22" s="41"/>
      <c r="AM22" s="41"/>
      <c r="AN22" s="587"/>
      <c r="AO22" s="587"/>
      <c r="AP22" s="588"/>
      <c r="AQ22" s="587"/>
      <c r="AR22" s="587"/>
      <c r="AS22" s="2" t="s">
        <v>10</v>
      </c>
      <c r="AT22" s="2" t="s">
        <v>11</v>
      </c>
    </row>
    <row r="23" spans="1:47">
      <c r="B23" s="10" t="s">
        <v>8</v>
      </c>
      <c r="C23" s="3" t="s">
        <v>30</v>
      </c>
      <c r="D23" s="3"/>
      <c r="E23" s="590"/>
      <c r="F23" s="590"/>
      <c r="G23" s="594"/>
      <c r="H23" s="23"/>
      <c r="I23" s="23"/>
      <c r="J23" s="23"/>
      <c r="K23" s="23"/>
      <c r="L23" s="23"/>
      <c r="M23" s="23"/>
      <c r="N23" s="23"/>
      <c r="O23" s="23"/>
      <c r="P23" s="24"/>
      <c r="Q23" s="24"/>
      <c r="R23" s="32">
        <v>3</v>
      </c>
      <c r="S23" s="32">
        <v>7</v>
      </c>
      <c r="T23" s="32">
        <v>5</v>
      </c>
      <c r="U23" s="32"/>
      <c r="V23" s="32"/>
      <c r="W23" s="32"/>
      <c r="X23" s="32"/>
      <c r="Y23" s="32"/>
      <c r="Z23" s="32"/>
      <c r="AA23" s="32"/>
      <c r="AB23" s="40">
        <v>18</v>
      </c>
      <c r="AC23" s="591">
        <v>55</v>
      </c>
      <c r="AD23" s="40"/>
      <c r="AE23" s="40"/>
      <c r="AF23" s="40"/>
      <c r="AG23" s="40"/>
      <c r="AH23" s="40"/>
      <c r="AI23" s="40"/>
      <c r="AJ23" s="40"/>
      <c r="AK23" s="40"/>
      <c r="AL23" s="40"/>
      <c r="AM23" s="40"/>
      <c r="AN23" s="592"/>
      <c r="AO23" s="592"/>
      <c r="AP23" s="593"/>
      <c r="AQ23" s="592"/>
      <c r="AR23" s="592"/>
      <c r="AS23" s="3" t="s">
        <v>10</v>
      </c>
      <c r="AT23" s="3" t="s">
        <v>11</v>
      </c>
      <c r="AU23" s="10"/>
    </row>
    <row r="24" spans="1:47">
      <c r="B24" t="s">
        <v>8</v>
      </c>
      <c r="C24" s="2" t="s">
        <v>31</v>
      </c>
      <c r="D24" s="2" t="s">
        <v>32</v>
      </c>
      <c r="E24" s="585"/>
      <c r="F24" s="585"/>
      <c r="G24" s="595"/>
      <c r="H24" s="25"/>
      <c r="I24" s="25"/>
      <c r="J24" s="25"/>
      <c r="K24" s="25"/>
      <c r="L24" s="25"/>
      <c r="M24" s="25"/>
      <c r="N24" s="25"/>
      <c r="O24" s="25"/>
      <c r="P24" s="26"/>
      <c r="Q24" s="26"/>
      <c r="R24" s="33">
        <v>8.5</v>
      </c>
      <c r="S24" s="33">
        <v>15</v>
      </c>
      <c r="T24" s="33">
        <v>12</v>
      </c>
      <c r="U24" s="33"/>
      <c r="V24" s="33"/>
      <c r="W24" s="33"/>
      <c r="X24" s="33"/>
      <c r="Y24" s="33"/>
      <c r="Z24" s="33"/>
      <c r="AA24" s="33"/>
      <c r="AB24" s="41">
        <v>35</v>
      </c>
      <c r="AC24" s="586">
        <v>42</v>
      </c>
      <c r="AD24" s="41"/>
      <c r="AE24" s="41"/>
      <c r="AF24" s="41"/>
      <c r="AG24" s="41"/>
      <c r="AH24" s="41"/>
      <c r="AI24" s="41"/>
      <c r="AJ24" s="41"/>
      <c r="AK24" s="41"/>
      <c r="AL24" s="41"/>
      <c r="AM24" s="41"/>
      <c r="AN24" s="587"/>
      <c r="AO24" s="587"/>
      <c r="AP24" s="588"/>
      <c r="AQ24" s="587"/>
      <c r="AR24" s="587"/>
      <c r="AS24" s="2" t="s">
        <v>10</v>
      </c>
      <c r="AT24" s="2" t="s">
        <v>11</v>
      </c>
    </row>
    <row r="25" spans="1:47">
      <c r="A25" t="s">
        <v>192</v>
      </c>
      <c r="B25" s="10" t="s">
        <v>8</v>
      </c>
      <c r="C25" s="10" t="s">
        <v>76</v>
      </c>
      <c r="D25" s="10"/>
      <c r="E25" s="583">
        <v>27</v>
      </c>
      <c r="F25" s="572"/>
      <c r="G25" s="598">
        <v>2751</v>
      </c>
      <c r="H25" s="29"/>
      <c r="I25" s="30">
        <v>275124</v>
      </c>
      <c r="J25" s="30" t="s">
        <v>9206</v>
      </c>
      <c r="K25" s="30"/>
      <c r="L25" s="30" t="s">
        <v>8160</v>
      </c>
      <c r="M25" s="30" t="s">
        <v>8160</v>
      </c>
      <c r="N25" s="30"/>
      <c r="O25" s="30"/>
      <c r="P25" s="30" t="s">
        <v>286</v>
      </c>
      <c r="Q25" s="30" t="s">
        <v>284</v>
      </c>
      <c r="R25" s="34"/>
      <c r="S25" s="34"/>
      <c r="T25" s="34">
        <v>7.8</v>
      </c>
      <c r="U25" s="34">
        <v>5</v>
      </c>
      <c r="V25" s="34"/>
      <c r="W25" s="34">
        <v>6.6</v>
      </c>
      <c r="X25" s="34"/>
      <c r="Y25" s="34">
        <v>1</v>
      </c>
      <c r="Z25" s="34">
        <v>8</v>
      </c>
      <c r="AA25" s="34"/>
      <c r="AB25" s="42"/>
      <c r="AC25" s="574"/>
      <c r="AD25" s="42"/>
      <c r="AE25" s="42"/>
      <c r="AF25" s="42"/>
      <c r="AG25" s="42"/>
      <c r="AH25" s="42"/>
      <c r="AI25" s="42"/>
      <c r="AJ25" s="42"/>
      <c r="AK25" s="42"/>
      <c r="AL25" s="42"/>
      <c r="AM25" s="42"/>
      <c r="AN25" s="575"/>
      <c r="AO25" s="575"/>
      <c r="AP25" s="576"/>
      <c r="AQ25" s="575"/>
      <c r="AR25" s="575"/>
      <c r="AS25" s="10" t="s">
        <v>56</v>
      </c>
      <c r="AT25" s="10" t="s">
        <v>57</v>
      </c>
      <c r="AU25" s="10" t="s">
        <v>58</v>
      </c>
    </row>
    <row r="26" spans="1:47">
      <c r="B26" t="s">
        <v>8</v>
      </c>
      <c r="C26" s="2" t="s">
        <v>34</v>
      </c>
      <c r="D26" s="2"/>
      <c r="E26" s="585"/>
      <c r="F26" s="585"/>
      <c r="G26" s="595"/>
      <c r="H26" s="25"/>
      <c r="I26" s="25"/>
      <c r="J26" s="25"/>
      <c r="K26" s="25"/>
      <c r="L26" s="25"/>
      <c r="M26" s="25"/>
      <c r="N26" s="25"/>
      <c r="O26" s="25"/>
      <c r="P26" s="26"/>
      <c r="Q26" s="26"/>
      <c r="R26" s="33">
        <v>15</v>
      </c>
      <c r="S26" s="33">
        <v>20</v>
      </c>
      <c r="T26" s="33">
        <v>17</v>
      </c>
      <c r="U26" s="33"/>
      <c r="V26" s="33"/>
      <c r="W26" s="33"/>
      <c r="X26" s="33"/>
      <c r="Y26" s="33"/>
      <c r="Z26" s="33"/>
      <c r="AA26" s="33"/>
      <c r="AB26" s="41">
        <v>0.5</v>
      </c>
      <c r="AC26" s="586">
        <v>56</v>
      </c>
      <c r="AD26" s="41"/>
      <c r="AE26" s="41"/>
      <c r="AF26" s="41"/>
      <c r="AG26" s="41"/>
      <c r="AH26" s="41"/>
      <c r="AI26" s="41"/>
      <c r="AJ26" s="41"/>
      <c r="AK26" s="41"/>
      <c r="AL26" s="41"/>
      <c r="AM26" s="41"/>
      <c r="AN26" s="587"/>
      <c r="AO26" s="587"/>
      <c r="AP26" s="588"/>
      <c r="AQ26" s="587"/>
      <c r="AR26" s="587"/>
      <c r="AS26" s="2" t="s">
        <v>10</v>
      </c>
      <c r="AT26" s="2" t="s">
        <v>11</v>
      </c>
    </row>
    <row r="27" spans="1:47">
      <c r="A27" t="s">
        <v>192</v>
      </c>
      <c r="B27" t="s">
        <v>8</v>
      </c>
      <c r="C27" s="2" t="s">
        <v>45</v>
      </c>
      <c r="D27" s="2" t="s">
        <v>49</v>
      </c>
      <c r="E27" s="585"/>
      <c r="F27" s="585"/>
      <c r="G27" s="564" t="s">
        <v>9208</v>
      </c>
      <c r="H27" s="25"/>
      <c r="I27" s="24" t="s">
        <v>9209</v>
      </c>
      <c r="J27" s="26">
        <v>28251390</v>
      </c>
      <c r="K27" s="26"/>
      <c r="L27" s="26"/>
      <c r="M27" s="26"/>
      <c r="N27" s="26"/>
      <c r="O27" s="26"/>
      <c r="P27" s="24" t="s">
        <v>270</v>
      </c>
      <c r="Q27" s="26" t="s">
        <v>267</v>
      </c>
      <c r="R27" s="33">
        <v>4</v>
      </c>
      <c r="S27" s="33">
        <v>8</v>
      </c>
      <c r="T27" s="33">
        <v>6</v>
      </c>
      <c r="U27" s="33"/>
      <c r="V27" s="33"/>
      <c r="W27" s="33"/>
      <c r="X27" s="33"/>
      <c r="Y27" s="33">
        <v>2</v>
      </c>
      <c r="Z27" s="33">
        <v>15</v>
      </c>
      <c r="AA27" s="33"/>
      <c r="AB27" s="41">
        <v>5</v>
      </c>
      <c r="AC27" s="586">
        <v>30</v>
      </c>
      <c r="AD27" s="41"/>
      <c r="AE27" s="41"/>
      <c r="AF27" s="41"/>
      <c r="AG27" s="41"/>
      <c r="AH27" s="41"/>
      <c r="AI27" s="41"/>
      <c r="AJ27" s="41"/>
      <c r="AK27" s="41"/>
      <c r="AL27" s="41"/>
      <c r="AM27" s="41"/>
      <c r="AN27" s="587"/>
      <c r="AO27" s="587"/>
      <c r="AP27" s="588"/>
      <c r="AQ27" s="587"/>
      <c r="AR27" s="587"/>
      <c r="AS27" s="2" t="s">
        <v>10</v>
      </c>
      <c r="AT27" s="2" t="s">
        <v>11</v>
      </c>
    </row>
    <row r="28" spans="1:47" hidden="1">
      <c r="B28" s="10" t="s">
        <v>100</v>
      </c>
      <c r="C28" s="10" t="s">
        <v>137</v>
      </c>
      <c r="D28" s="10"/>
      <c r="E28" s="583">
        <v>14</v>
      </c>
      <c r="F28" s="572"/>
      <c r="G28" s="573"/>
      <c r="H28" s="29"/>
      <c r="I28" s="29" t="s">
        <v>9210</v>
      </c>
      <c r="J28" s="29" t="s">
        <v>9211</v>
      </c>
      <c r="K28" s="29"/>
      <c r="L28" s="29" t="s">
        <v>9212</v>
      </c>
      <c r="M28" s="29" t="s">
        <v>9212</v>
      </c>
      <c r="N28" s="29"/>
      <c r="O28" s="29"/>
      <c r="P28" s="30"/>
      <c r="Q28" s="30"/>
      <c r="R28" s="34">
        <v>3.5</v>
      </c>
      <c r="S28" s="34">
        <v>5.4</v>
      </c>
      <c r="T28" s="34">
        <v>4.8</v>
      </c>
      <c r="U28" s="34"/>
      <c r="V28" s="34"/>
      <c r="W28" s="34"/>
      <c r="X28" s="34"/>
      <c r="Y28" s="34"/>
      <c r="Z28" s="34"/>
      <c r="AA28" s="34"/>
      <c r="AB28" s="42"/>
      <c r="AC28" s="574"/>
      <c r="AD28" s="42"/>
      <c r="AE28" s="42"/>
      <c r="AF28" s="42"/>
      <c r="AG28" s="42"/>
      <c r="AH28" s="42"/>
      <c r="AI28" s="42"/>
      <c r="AJ28" s="42"/>
      <c r="AK28" s="42"/>
      <c r="AL28" s="42"/>
      <c r="AM28" s="42"/>
      <c r="AN28" s="575"/>
      <c r="AO28" s="575"/>
      <c r="AP28" s="576"/>
      <c r="AQ28" s="575"/>
      <c r="AR28" s="575"/>
      <c r="AS28" s="10" t="s">
        <v>138</v>
      </c>
      <c r="AT28" s="20" t="s">
        <v>127</v>
      </c>
      <c r="AU28" s="10" t="s">
        <v>128</v>
      </c>
    </row>
    <row r="29" spans="1:47" hidden="1">
      <c r="B29" s="10" t="s">
        <v>100</v>
      </c>
      <c r="C29" s="10" t="s">
        <v>114</v>
      </c>
      <c r="D29" s="10"/>
      <c r="E29" s="583">
        <v>14</v>
      </c>
      <c r="F29" s="572"/>
      <c r="G29" s="573"/>
      <c r="H29" s="29"/>
      <c r="I29" s="29" t="s">
        <v>9210</v>
      </c>
      <c r="J29" s="29" t="s">
        <v>9211</v>
      </c>
      <c r="K29" s="29"/>
      <c r="L29" s="29" t="s">
        <v>9212</v>
      </c>
      <c r="M29" s="29" t="s">
        <v>9212</v>
      </c>
      <c r="N29" s="29"/>
      <c r="O29" s="29"/>
      <c r="P29" s="30"/>
      <c r="Q29" s="30"/>
      <c r="R29" s="34"/>
      <c r="S29" s="34"/>
      <c r="T29" s="34">
        <v>4.3</v>
      </c>
      <c r="U29" s="34"/>
      <c r="V29" s="34"/>
      <c r="W29" s="34"/>
      <c r="X29" s="34"/>
      <c r="Y29" s="34"/>
      <c r="Z29" s="34"/>
      <c r="AA29" s="34"/>
      <c r="AB29" s="42"/>
      <c r="AC29" s="574"/>
      <c r="AD29" s="42"/>
      <c r="AE29" s="42"/>
      <c r="AF29" s="42"/>
      <c r="AG29" s="42"/>
      <c r="AH29" s="42"/>
      <c r="AI29" s="42"/>
      <c r="AJ29" s="42"/>
      <c r="AK29" s="42"/>
      <c r="AL29" s="42"/>
      <c r="AM29" s="42"/>
      <c r="AN29" s="575"/>
      <c r="AO29" s="575"/>
      <c r="AP29" s="576"/>
      <c r="AQ29" s="575"/>
      <c r="AR29" s="575"/>
      <c r="AS29" s="10" t="s">
        <v>102</v>
      </c>
      <c r="AT29" s="10" t="s">
        <v>153</v>
      </c>
      <c r="AU29" s="10">
        <v>2013</v>
      </c>
    </row>
    <row r="30" spans="1:47">
      <c r="B30" t="s">
        <v>8</v>
      </c>
      <c r="C30" s="2" t="s">
        <v>42</v>
      </c>
      <c r="D30" s="2"/>
      <c r="E30" s="585"/>
      <c r="F30" s="585"/>
      <c r="G30" s="595"/>
      <c r="H30" s="25"/>
      <c r="I30" s="25"/>
      <c r="J30" s="25"/>
      <c r="K30" s="25"/>
      <c r="L30" s="25"/>
      <c r="M30" s="25"/>
      <c r="N30" s="25"/>
      <c r="O30" s="25"/>
      <c r="P30" s="26"/>
      <c r="Q30" s="26"/>
      <c r="R30" s="33">
        <v>1</v>
      </c>
      <c r="S30" s="33">
        <v>2</v>
      </c>
      <c r="T30" s="33" t="e">
        <f>AVERAGE(Lookup_2!$R29:$S29)</f>
        <v>#DIV/0!</v>
      </c>
      <c r="U30" s="33"/>
      <c r="V30" s="33"/>
      <c r="W30" s="33"/>
      <c r="X30" s="33"/>
      <c r="Y30" s="33"/>
      <c r="Z30" s="33"/>
      <c r="AA30" s="33"/>
      <c r="AB30" s="41">
        <v>0.15</v>
      </c>
      <c r="AC30" s="586">
        <v>2.6</v>
      </c>
      <c r="AD30" s="41"/>
      <c r="AE30" s="41"/>
      <c r="AF30" s="41"/>
      <c r="AG30" s="41"/>
      <c r="AH30" s="41"/>
      <c r="AI30" s="41"/>
      <c r="AJ30" s="41"/>
      <c r="AK30" s="41"/>
      <c r="AL30" s="41"/>
      <c r="AM30" s="41"/>
      <c r="AN30" s="587"/>
      <c r="AO30" s="587"/>
      <c r="AP30" s="588"/>
      <c r="AQ30" s="587"/>
      <c r="AR30" s="587"/>
      <c r="AS30" s="2" t="s">
        <v>10</v>
      </c>
      <c r="AT30" s="2" t="s">
        <v>11</v>
      </c>
    </row>
    <row r="31" spans="1:47">
      <c r="B31" s="10" t="s">
        <v>8</v>
      </c>
      <c r="C31" s="3" t="s">
        <v>43</v>
      </c>
      <c r="D31" s="3"/>
      <c r="E31" s="590"/>
      <c r="F31" s="590"/>
      <c r="G31" s="594"/>
      <c r="H31" s="23"/>
      <c r="I31" s="23"/>
      <c r="J31" s="23"/>
      <c r="K31" s="23"/>
      <c r="L31" s="23"/>
      <c r="M31" s="23"/>
      <c r="N31" s="23"/>
      <c r="O31" s="23"/>
      <c r="P31" s="24"/>
      <c r="Q31" s="24"/>
      <c r="R31" s="32">
        <v>10</v>
      </c>
      <c r="S31" s="32">
        <v>16</v>
      </c>
      <c r="T31" s="32">
        <f>AVERAGE(Lookup_2!$R30:$S30)</f>
        <v>1.5</v>
      </c>
      <c r="U31" s="32"/>
      <c r="V31" s="32"/>
      <c r="W31" s="32"/>
      <c r="X31" s="32"/>
      <c r="Y31" s="32"/>
      <c r="Z31" s="32"/>
      <c r="AA31" s="32"/>
      <c r="AB31" s="40">
        <v>1.6</v>
      </c>
      <c r="AC31" s="591">
        <v>4</v>
      </c>
      <c r="AD31" s="40"/>
      <c r="AE31" s="40"/>
      <c r="AF31" s="40"/>
      <c r="AG31" s="40"/>
      <c r="AH31" s="40"/>
      <c r="AI31" s="40"/>
      <c r="AJ31" s="40"/>
      <c r="AK31" s="40"/>
      <c r="AL31" s="40"/>
      <c r="AM31" s="40"/>
      <c r="AN31" s="592"/>
      <c r="AO31" s="592"/>
      <c r="AP31" s="593"/>
      <c r="AQ31" s="592"/>
      <c r="AR31" s="592"/>
      <c r="AS31" s="3" t="s">
        <v>10</v>
      </c>
      <c r="AT31" s="3" t="s">
        <v>11</v>
      </c>
      <c r="AU31" s="10"/>
    </row>
    <row r="32" spans="1:47">
      <c r="B32" t="s">
        <v>8</v>
      </c>
      <c r="C32" s="2" t="s">
        <v>44</v>
      </c>
      <c r="D32" s="2"/>
      <c r="E32" s="585"/>
      <c r="F32" s="585"/>
      <c r="G32" s="595"/>
      <c r="H32" s="25"/>
      <c r="I32" s="25"/>
      <c r="J32" s="25">
        <v>281314</v>
      </c>
      <c r="K32" s="25"/>
      <c r="L32" s="25"/>
      <c r="M32" s="25"/>
      <c r="N32" s="25"/>
      <c r="O32" s="25"/>
      <c r="P32" s="26"/>
      <c r="Q32" s="26"/>
      <c r="R32" s="33">
        <v>10</v>
      </c>
      <c r="S32" s="33">
        <v>15</v>
      </c>
      <c r="T32" s="33">
        <v>13</v>
      </c>
      <c r="U32" s="33"/>
      <c r="V32" s="33"/>
      <c r="W32" s="33"/>
      <c r="X32" s="33"/>
      <c r="Y32" s="33"/>
      <c r="Z32" s="33"/>
      <c r="AA32" s="33"/>
      <c r="AB32" s="41">
        <v>30</v>
      </c>
      <c r="AC32" s="586">
        <v>380</v>
      </c>
      <c r="AD32" s="41"/>
      <c r="AE32" s="41"/>
      <c r="AF32" s="41"/>
      <c r="AG32" s="41"/>
      <c r="AH32" s="41"/>
      <c r="AI32" s="41"/>
      <c r="AJ32" s="41"/>
      <c r="AK32" s="41"/>
      <c r="AL32" s="41"/>
      <c r="AM32" s="41"/>
      <c r="AN32" s="587"/>
      <c r="AO32" s="587"/>
      <c r="AP32" s="588"/>
      <c r="AQ32" s="587"/>
      <c r="AR32" s="587"/>
      <c r="AS32" s="2" t="s">
        <v>10</v>
      </c>
      <c r="AT32" s="2" t="s">
        <v>11</v>
      </c>
    </row>
    <row r="33" spans="1:47">
      <c r="A33" t="s">
        <v>192</v>
      </c>
      <c r="B33" s="10" t="s">
        <v>8</v>
      </c>
      <c r="C33" s="3" t="s">
        <v>19</v>
      </c>
      <c r="D33" s="3"/>
      <c r="E33" s="590"/>
      <c r="F33" s="590"/>
      <c r="G33" s="564"/>
      <c r="H33" s="23"/>
      <c r="I33" s="24"/>
      <c r="J33" s="24"/>
      <c r="K33" s="24"/>
      <c r="L33" s="24">
        <v>7321</v>
      </c>
      <c r="M33" s="24">
        <v>7321</v>
      </c>
      <c r="N33" s="24"/>
      <c r="O33" s="24"/>
      <c r="P33" s="26" t="s">
        <v>285</v>
      </c>
      <c r="Q33" s="26" t="s">
        <v>284</v>
      </c>
      <c r="R33" s="32">
        <v>9</v>
      </c>
      <c r="S33" s="32">
        <v>13</v>
      </c>
      <c r="T33" s="32">
        <v>11</v>
      </c>
      <c r="U33" s="32"/>
      <c r="V33" s="32"/>
      <c r="W33" s="32"/>
      <c r="X33" s="32"/>
      <c r="Y33" s="33">
        <v>2</v>
      </c>
      <c r="Z33" s="33">
        <v>11</v>
      </c>
      <c r="AA33" s="33"/>
      <c r="AB33" s="40">
        <v>20</v>
      </c>
      <c r="AC33" s="591">
        <v>70</v>
      </c>
      <c r="AD33" s="40"/>
      <c r="AE33" s="40"/>
      <c r="AF33" s="40"/>
      <c r="AG33" s="40"/>
      <c r="AH33" s="40"/>
      <c r="AI33" s="40"/>
      <c r="AJ33" s="40"/>
      <c r="AK33" s="40"/>
      <c r="AL33" s="40"/>
      <c r="AM33" s="40"/>
      <c r="AN33" s="592"/>
      <c r="AO33" s="592"/>
      <c r="AP33" s="593"/>
      <c r="AQ33" s="592"/>
      <c r="AR33" s="592"/>
      <c r="AS33" s="3" t="s">
        <v>10</v>
      </c>
      <c r="AT33" s="3" t="s">
        <v>11</v>
      </c>
      <c r="AU33" s="10"/>
    </row>
    <row r="34" spans="1:47">
      <c r="A34" t="s">
        <v>192</v>
      </c>
      <c r="B34" t="s">
        <v>8</v>
      </c>
      <c r="C34" s="2" t="s">
        <v>36</v>
      </c>
      <c r="D34" s="2"/>
      <c r="E34" s="585"/>
      <c r="F34" s="585"/>
      <c r="G34" s="599" t="s">
        <v>9208</v>
      </c>
      <c r="H34" s="25"/>
      <c r="I34" s="26" t="s">
        <v>9209</v>
      </c>
      <c r="J34" s="26" t="s">
        <v>9213</v>
      </c>
      <c r="K34" s="26"/>
      <c r="L34" s="26"/>
      <c r="M34" s="26"/>
      <c r="N34" s="26"/>
      <c r="O34" s="26"/>
      <c r="P34" s="24" t="s">
        <v>280</v>
      </c>
      <c r="Q34" s="24" t="s">
        <v>278</v>
      </c>
      <c r="R34" s="33">
        <v>20</v>
      </c>
      <c r="S34" s="33">
        <v>50</v>
      </c>
      <c r="T34" s="33"/>
      <c r="U34" s="33"/>
      <c r="V34" s="33"/>
      <c r="W34" s="33"/>
      <c r="X34" s="33"/>
      <c r="Y34" s="32">
        <v>2</v>
      </c>
      <c r="Z34" s="32">
        <v>13</v>
      </c>
      <c r="AA34" s="32"/>
      <c r="AB34" s="41">
        <v>20</v>
      </c>
      <c r="AC34" s="586">
        <v>50</v>
      </c>
      <c r="AD34" s="41"/>
      <c r="AE34" s="41"/>
      <c r="AF34" s="41"/>
      <c r="AG34" s="41"/>
      <c r="AH34" s="41"/>
      <c r="AI34" s="41"/>
      <c r="AJ34" s="41"/>
      <c r="AK34" s="41"/>
      <c r="AL34" s="41"/>
      <c r="AM34" s="41"/>
      <c r="AN34" s="587"/>
      <c r="AO34" s="587"/>
      <c r="AP34" s="588"/>
      <c r="AQ34" s="587"/>
      <c r="AR34" s="587"/>
      <c r="AS34" s="2" t="s">
        <v>10</v>
      </c>
      <c r="AT34" s="2" t="s">
        <v>11</v>
      </c>
    </row>
    <row r="35" spans="1:47">
      <c r="A35" t="s">
        <v>192</v>
      </c>
      <c r="B35" s="10" t="s">
        <v>8</v>
      </c>
      <c r="C35" s="3" t="s">
        <v>37</v>
      </c>
      <c r="D35" s="3"/>
      <c r="E35" s="590"/>
      <c r="F35" s="590"/>
      <c r="G35" s="564"/>
      <c r="H35" s="23"/>
      <c r="I35" s="24"/>
      <c r="J35" s="24"/>
      <c r="K35" s="24"/>
      <c r="L35" s="26" t="s">
        <v>9214</v>
      </c>
      <c r="M35" s="26" t="s">
        <v>9214</v>
      </c>
      <c r="N35" s="26"/>
      <c r="O35" s="26"/>
      <c r="P35" s="24" t="s">
        <v>281</v>
      </c>
      <c r="Q35" s="24" t="s">
        <v>278</v>
      </c>
      <c r="R35" s="32">
        <v>4</v>
      </c>
      <c r="S35" s="32">
        <v>6</v>
      </c>
      <c r="T35" s="32">
        <v>5</v>
      </c>
      <c r="U35" s="32"/>
      <c r="V35" s="32"/>
      <c r="W35" s="32"/>
      <c r="X35" s="32"/>
      <c r="Y35" s="32">
        <v>1</v>
      </c>
      <c r="Z35" s="32">
        <v>8</v>
      </c>
      <c r="AA35" s="32"/>
      <c r="AB35" s="40">
        <v>10</v>
      </c>
      <c r="AC35" s="591">
        <v>190</v>
      </c>
      <c r="AD35" s="40"/>
      <c r="AE35" s="40"/>
      <c r="AF35" s="40"/>
      <c r="AG35" s="40"/>
      <c r="AH35" s="40"/>
      <c r="AI35" s="40"/>
      <c r="AJ35" s="40"/>
      <c r="AK35" s="40"/>
      <c r="AL35" s="40"/>
      <c r="AM35" s="40"/>
      <c r="AN35" s="592"/>
      <c r="AO35" s="592"/>
      <c r="AP35" s="593"/>
      <c r="AQ35" s="592"/>
      <c r="AR35" s="592"/>
      <c r="AS35" s="3" t="s">
        <v>10</v>
      </c>
      <c r="AT35" s="3" t="s">
        <v>11</v>
      </c>
      <c r="AU35" s="10"/>
    </row>
    <row r="36" spans="1:47">
      <c r="B36" t="s">
        <v>8</v>
      </c>
      <c r="C36" s="2" t="s">
        <v>52</v>
      </c>
      <c r="D36" s="2" t="s">
        <v>54</v>
      </c>
      <c r="E36" s="585"/>
      <c r="F36" s="585"/>
      <c r="G36" s="595"/>
      <c r="H36" s="25"/>
      <c r="I36" s="25"/>
      <c r="J36" s="25"/>
      <c r="K36" s="25"/>
      <c r="L36" s="25"/>
      <c r="M36" s="25"/>
      <c r="N36" s="25"/>
      <c r="O36" s="25"/>
      <c r="P36" s="26"/>
      <c r="Q36" s="26"/>
      <c r="R36" s="33">
        <v>6</v>
      </c>
      <c r="S36" s="33">
        <v>9</v>
      </c>
      <c r="T36" s="33">
        <v>8</v>
      </c>
      <c r="U36" s="33"/>
      <c r="V36" s="33"/>
      <c r="W36" s="33"/>
      <c r="X36" s="33"/>
      <c r="Y36" s="33"/>
      <c r="Z36" s="33"/>
      <c r="AA36" s="33"/>
      <c r="AB36" s="41">
        <v>125</v>
      </c>
      <c r="AC36" s="586">
        <v>145</v>
      </c>
      <c r="AD36" s="41"/>
      <c r="AE36" s="41"/>
      <c r="AF36" s="41"/>
      <c r="AG36" s="41"/>
      <c r="AH36" s="41"/>
      <c r="AI36" s="41"/>
      <c r="AJ36" s="41"/>
      <c r="AK36" s="41"/>
      <c r="AL36" s="41"/>
      <c r="AM36" s="41"/>
      <c r="AN36" s="587"/>
      <c r="AO36" s="587"/>
      <c r="AP36" s="588"/>
      <c r="AQ36" s="587"/>
      <c r="AR36" s="587"/>
      <c r="AS36" s="2" t="s">
        <v>10</v>
      </c>
      <c r="AT36" s="2" t="s">
        <v>11</v>
      </c>
    </row>
    <row r="37" spans="1:47">
      <c r="A37" t="s">
        <v>192</v>
      </c>
      <c r="B37" s="10" t="s">
        <v>8</v>
      </c>
      <c r="C37" s="3" t="s">
        <v>41</v>
      </c>
      <c r="D37" s="3"/>
      <c r="E37" s="590"/>
      <c r="F37" s="590"/>
      <c r="G37" s="564">
        <v>2740</v>
      </c>
      <c r="H37" s="23"/>
      <c r="I37" s="24"/>
      <c r="J37" s="24"/>
      <c r="K37" s="24"/>
      <c r="L37" s="24" t="s">
        <v>9215</v>
      </c>
      <c r="M37" s="24" t="s">
        <v>9215</v>
      </c>
      <c r="N37" s="24"/>
      <c r="O37" s="24"/>
      <c r="P37" s="24" t="s">
        <v>275</v>
      </c>
      <c r="Q37" s="24" t="s">
        <v>276</v>
      </c>
      <c r="R37" s="32">
        <v>9</v>
      </c>
      <c r="S37" s="32">
        <v>12</v>
      </c>
      <c r="T37" s="32"/>
      <c r="U37" s="32"/>
      <c r="V37" s="32"/>
      <c r="W37" s="32"/>
      <c r="X37" s="32"/>
      <c r="Y37" s="32">
        <v>1</v>
      </c>
      <c r="Z37" s="32">
        <v>11</v>
      </c>
      <c r="AA37" s="32"/>
      <c r="AB37" s="40">
        <v>0.2</v>
      </c>
      <c r="AC37" s="591">
        <v>15</v>
      </c>
      <c r="AD37" s="40"/>
      <c r="AE37" s="40"/>
      <c r="AF37" s="40"/>
      <c r="AG37" s="40"/>
      <c r="AH37" s="40"/>
      <c r="AI37" s="40"/>
      <c r="AJ37" s="40"/>
      <c r="AK37" s="40"/>
      <c r="AL37" s="40"/>
      <c r="AM37" s="40"/>
      <c r="AN37" s="592"/>
      <c r="AO37" s="592"/>
      <c r="AP37" s="593"/>
      <c r="AQ37" s="592"/>
      <c r="AR37" s="592"/>
      <c r="AS37" s="3" t="s">
        <v>10</v>
      </c>
      <c r="AT37" s="3" t="s">
        <v>11</v>
      </c>
      <c r="AU37" s="10"/>
    </row>
    <row r="38" spans="1:47">
      <c r="A38" t="s">
        <v>192</v>
      </c>
      <c r="B38" t="s">
        <v>8</v>
      </c>
      <c r="C38" s="2" t="s">
        <v>40</v>
      </c>
      <c r="D38" s="2"/>
      <c r="E38" s="600">
        <v>26</v>
      </c>
      <c r="F38" s="601">
        <v>262</v>
      </c>
      <c r="G38" s="602" t="s">
        <v>9216</v>
      </c>
      <c r="H38" s="26" t="s">
        <v>9216</v>
      </c>
      <c r="I38" s="26" t="s">
        <v>9217</v>
      </c>
      <c r="J38" s="26">
        <v>26201100</v>
      </c>
      <c r="K38" s="26"/>
      <c r="L38" s="26" t="s">
        <v>215</v>
      </c>
      <c r="M38" s="26" t="s">
        <v>215</v>
      </c>
      <c r="N38" s="26"/>
      <c r="O38" s="26"/>
      <c r="P38" s="26" t="s">
        <v>271</v>
      </c>
      <c r="Q38" s="26" t="s">
        <v>272</v>
      </c>
      <c r="R38" s="33">
        <v>5</v>
      </c>
      <c r="S38" s="33">
        <v>5.6</v>
      </c>
      <c r="T38" s="33">
        <v>5</v>
      </c>
      <c r="U38" s="33"/>
      <c r="V38" s="33"/>
      <c r="W38" s="33"/>
      <c r="X38" s="33"/>
      <c r="Y38" s="33">
        <v>2</v>
      </c>
      <c r="Z38" s="33">
        <v>9</v>
      </c>
      <c r="AA38" s="33"/>
      <c r="AB38" s="41">
        <v>2</v>
      </c>
      <c r="AC38" s="586">
        <v>5</v>
      </c>
      <c r="AD38" s="41">
        <v>2.8530000000000002</v>
      </c>
      <c r="AE38" s="41"/>
      <c r="AF38" s="41"/>
      <c r="AG38" s="41"/>
      <c r="AH38" s="41"/>
      <c r="AI38" s="41"/>
      <c r="AJ38" s="41"/>
      <c r="AK38" s="41"/>
      <c r="AL38" s="41"/>
      <c r="AM38" s="41"/>
      <c r="AN38" s="587"/>
      <c r="AO38" s="587"/>
      <c r="AP38" s="588"/>
      <c r="AQ38" s="587"/>
      <c r="AR38" s="587"/>
      <c r="AS38" s="2" t="s">
        <v>10</v>
      </c>
      <c r="AT38" s="2" t="s">
        <v>11</v>
      </c>
    </row>
    <row r="39" spans="1:47">
      <c r="A39" t="s">
        <v>192</v>
      </c>
      <c r="B39" s="10" t="s">
        <v>8</v>
      </c>
      <c r="C39" s="3" t="s">
        <v>50</v>
      </c>
      <c r="D39" s="3"/>
      <c r="E39" s="590"/>
      <c r="F39" s="590"/>
      <c r="G39" s="564" t="s">
        <v>9218</v>
      </c>
      <c r="H39" s="23"/>
      <c r="I39" s="24" t="s">
        <v>9219</v>
      </c>
      <c r="J39" s="24" t="s">
        <v>9220</v>
      </c>
      <c r="K39" s="24"/>
      <c r="L39" s="24"/>
      <c r="M39" s="24"/>
      <c r="N39" s="24"/>
      <c r="O39" s="24"/>
      <c r="P39" s="24" t="s">
        <v>266</v>
      </c>
      <c r="Q39" s="24" t="s">
        <v>267</v>
      </c>
      <c r="R39" s="32">
        <v>13</v>
      </c>
      <c r="S39" s="32">
        <v>28</v>
      </c>
      <c r="T39" s="32"/>
      <c r="U39" s="32"/>
      <c r="V39" s="32"/>
      <c r="W39" s="32"/>
      <c r="X39" s="32"/>
      <c r="Y39" s="32">
        <v>2</v>
      </c>
      <c r="Z39" s="32">
        <v>17</v>
      </c>
      <c r="AA39" s="32"/>
      <c r="AB39" s="40">
        <v>29500</v>
      </c>
      <c r="AC39" s="591">
        <v>32500</v>
      </c>
      <c r="AD39" s="40"/>
      <c r="AE39" s="40"/>
      <c r="AF39" s="40"/>
      <c r="AG39" s="40"/>
      <c r="AH39" s="40"/>
      <c r="AI39" s="40"/>
      <c r="AJ39" s="40"/>
      <c r="AK39" s="40"/>
      <c r="AL39" s="40"/>
      <c r="AM39" s="40"/>
      <c r="AN39" s="592"/>
      <c r="AO39" s="592"/>
      <c r="AP39" s="593"/>
      <c r="AQ39" s="592"/>
      <c r="AR39" s="592"/>
      <c r="AS39" s="3" t="s">
        <v>10</v>
      </c>
      <c r="AT39" s="3" t="s">
        <v>11</v>
      </c>
      <c r="AU39" s="10"/>
    </row>
    <row r="40" spans="1:47">
      <c r="A40" t="s">
        <v>192</v>
      </c>
      <c r="B40" t="s">
        <v>8</v>
      </c>
      <c r="C40" s="2" t="s">
        <v>206</v>
      </c>
      <c r="D40" s="2"/>
      <c r="E40" s="585"/>
      <c r="F40" s="585"/>
      <c r="G40" s="599" t="s">
        <v>9221</v>
      </c>
      <c r="H40" s="26" t="s">
        <v>9222</v>
      </c>
      <c r="I40" s="26" t="s">
        <v>9223</v>
      </c>
      <c r="J40" s="27" t="s">
        <v>7860</v>
      </c>
      <c r="L40" s="28" t="s">
        <v>212</v>
      </c>
      <c r="M40" s="28" t="s">
        <v>212</v>
      </c>
      <c r="N40" s="28"/>
      <c r="O40" s="28"/>
      <c r="P40" s="28" t="s">
        <v>297</v>
      </c>
      <c r="Q40" s="28" t="s">
        <v>294</v>
      </c>
      <c r="R40" s="33">
        <v>3</v>
      </c>
      <c r="S40" s="33">
        <v>4</v>
      </c>
      <c r="T40" s="33"/>
      <c r="U40" s="33"/>
      <c r="V40" s="33"/>
      <c r="W40" s="33"/>
      <c r="X40" s="33"/>
      <c r="Y40" s="33">
        <v>2</v>
      </c>
      <c r="Z40" s="33">
        <v>6</v>
      </c>
      <c r="AA40" s="33"/>
      <c r="AB40" s="41">
        <v>0.112</v>
      </c>
      <c r="AC40" s="586">
        <v>0.32800000000000001</v>
      </c>
      <c r="AD40" s="41">
        <v>0.16001109999999999</v>
      </c>
      <c r="AE40" s="41"/>
      <c r="AF40" s="41"/>
      <c r="AG40" s="41"/>
      <c r="AH40" s="41"/>
      <c r="AI40" s="41"/>
      <c r="AJ40" s="41"/>
      <c r="AK40" s="41"/>
      <c r="AL40" s="41"/>
      <c r="AM40" s="41"/>
      <c r="AN40" s="587"/>
      <c r="AO40" s="587"/>
      <c r="AP40" s="588"/>
      <c r="AQ40" s="587"/>
      <c r="AR40" s="587"/>
      <c r="AS40" s="2" t="s">
        <v>10</v>
      </c>
      <c r="AT40" s="19" t="s">
        <v>11</v>
      </c>
    </row>
    <row r="41" spans="1:47">
      <c r="A41" t="s">
        <v>192</v>
      </c>
      <c r="B41" s="10" t="s">
        <v>8</v>
      </c>
      <c r="C41" s="10" t="s">
        <v>40</v>
      </c>
      <c r="D41" s="10"/>
      <c r="E41" s="603">
        <v>26</v>
      </c>
      <c r="F41" s="604">
        <v>262</v>
      </c>
      <c r="G41" s="602" t="s">
        <v>9216</v>
      </c>
      <c r="H41" s="26" t="s">
        <v>9216</v>
      </c>
      <c r="I41" s="26" t="s">
        <v>9217</v>
      </c>
      <c r="J41" s="26">
        <v>26201100</v>
      </c>
      <c r="K41" s="26"/>
      <c r="L41" s="26" t="s">
        <v>215</v>
      </c>
      <c r="M41" s="26" t="s">
        <v>215</v>
      </c>
      <c r="N41" s="29"/>
      <c r="O41" s="29"/>
      <c r="P41" s="26" t="s">
        <v>271</v>
      </c>
      <c r="Q41" s="26" t="s">
        <v>272</v>
      </c>
      <c r="R41" s="34"/>
      <c r="S41" s="34"/>
      <c r="T41" s="34">
        <v>7.2</v>
      </c>
      <c r="U41" s="34">
        <v>7</v>
      </c>
      <c r="V41" s="34"/>
      <c r="W41" s="34">
        <v>6.3</v>
      </c>
      <c r="X41" s="34"/>
      <c r="Y41" s="34"/>
      <c r="Z41" s="34"/>
      <c r="AA41" s="34"/>
      <c r="AB41" s="42"/>
      <c r="AC41" s="574"/>
      <c r="AD41" s="42"/>
      <c r="AE41" s="42"/>
      <c r="AF41" s="42"/>
      <c r="AG41" s="42"/>
      <c r="AH41" s="42"/>
      <c r="AI41" s="42"/>
      <c r="AJ41" s="42"/>
      <c r="AK41" s="42"/>
      <c r="AL41" s="42"/>
      <c r="AM41" s="42"/>
      <c r="AN41" s="575"/>
      <c r="AO41" s="575"/>
      <c r="AP41" s="576"/>
      <c r="AQ41" s="575"/>
      <c r="AR41" s="575"/>
      <c r="AS41" s="10" t="s">
        <v>56</v>
      </c>
      <c r="AT41" s="10" t="s">
        <v>57</v>
      </c>
      <c r="AU41" s="10" t="s">
        <v>58</v>
      </c>
    </row>
    <row r="42" spans="1:47">
      <c r="A42" t="s">
        <v>192</v>
      </c>
      <c r="B42" s="10" t="s">
        <v>8</v>
      </c>
      <c r="C42" s="3" t="s">
        <v>39</v>
      </c>
      <c r="D42" s="3"/>
      <c r="E42" s="603">
        <v>26</v>
      </c>
      <c r="F42" s="590"/>
      <c r="G42" s="564" t="s">
        <v>9216</v>
      </c>
      <c r="H42" s="24" t="s">
        <v>9216</v>
      </c>
      <c r="I42" s="24" t="s">
        <v>9224</v>
      </c>
      <c r="J42" s="24">
        <v>26201300</v>
      </c>
      <c r="K42" s="24"/>
      <c r="L42" s="24" t="s">
        <v>8214</v>
      </c>
      <c r="M42" s="24" t="s">
        <v>8214</v>
      </c>
      <c r="N42" s="24"/>
      <c r="O42" s="24"/>
      <c r="P42" s="24" t="s">
        <v>295</v>
      </c>
      <c r="Q42" s="24" t="s">
        <v>294</v>
      </c>
      <c r="R42" s="32">
        <v>6</v>
      </c>
      <c r="S42" s="32">
        <v>6.6</v>
      </c>
      <c r="T42" s="32">
        <v>6</v>
      </c>
      <c r="U42" s="32"/>
      <c r="V42" s="32"/>
      <c r="W42" s="32"/>
      <c r="X42" s="32"/>
      <c r="Y42" s="32">
        <v>2</v>
      </c>
      <c r="Z42" s="32">
        <v>10</v>
      </c>
      <c r="AA42" s="32"/>
      <c r="AB42" s="40">
        <v>2</v>
      </c>
      <c r="AC42" s="591">
        <v>10</v>
      </c>
      <c r="AD42" s="40"/>
      <c r="AE42" s="40"/>
      <c r="AF42" s="40"/>
      <c r="AG42" s="40"/>
      <c r="AH42" s="40"/>
      <c r="AI42" s="40"/>
      <c r="AJ42" s="40"/>
      <c r="AK42" s="40"/>
      <c r="AL42" s="40"/>
      <c r="AM42" s="40"/>
      <c r="AN42" s="592"/>
      <c r="AO42" s="592"/>
      <c r="AP42" s="593"/>
      <c r="AQ42" s="592"/>
      <c r="AR42" s="592"/>
      <c r="AS42" s="3" t="s">
        <v>10</v>
      </c>
      <c r="AT42" s="3" t="s">
        <v>11</v>
      </c>
      <c r="AU42" s="10"/>
    </row>
    <row r="43" spans="1:47">
      <c r="A43" t="s">
        <v>192</v>
      </c>
      <c r="B43" s="10" t="s">
        <v>8</v>
      </c>
      <c r="C43" s="10" t="s">
        <v>161</v>
      </c>
      <c r="D43" s="10"/>
      <c r="E43" s="603">
        <v>26</v>
      </c>
      <c r="F43" s="572"/>
      <c r="G43" s="598">
        <v>2620</v>
      </c>
      <c r="H43" s="29"/>
      <c r="I43" s="30" t="s">
        <v>9225</v>
      </c>
      <c r="J43" s="30" t="s">
        <v>9226</v>
      </c>
      <c r="K43" s="30"/>
      <c r="L43" s="30" t="s">
        <v>9227</v>
      </c>
      <c r="M43" s="30" t="s">
        <v>9227</v>
      </c>
      <c r="N43" s="30"/>
      <c r="O43" s="30"/>
      <c r="P43" s="30" t="s">
        <v>296</v>
      </c>
      <c r="Q43" s="30" t="s">
        <v>294</v>
      </c>
      <c r="R43" s="34"/>
      <c r="S43" s="34"/>
      <c r="T43" s="34">
        <v>3</v>
      </c>
      <c r="U43" s="34"/>
      <c r="V43" s="34"/>
      <c r="W43" s="34"/>
      <c r="X43" s="34"/>
      <c r="Y43" s="34">
        <v>2</v>
      </c>
      <c r="Z43" s="34">
        <v>9</v>
      </c>
      <c r="AA43" s="34"/>
      <c r="AB43" s="42"/>
      <c r="AC43" s="574"/>
      <c r="AD43" s="42"/>
      <c r="AE43" s="42"/>
      <c r="AF43" s="42"/>
      <c r="AG43" s="42"/>
      <c r="AH43" s="42"/>
      <c r="AI43" s="42"/>
      <c r="AJ43" s="42"/>
      <c r="AK43" s="42"/>
      <c r="AL43" s="42"/>
      <c r="AM43" s="42"/>
      <c r="AN43" s="575"/>
      <c r="AO43" s="575"/>
      <c r="AP43" s="576"/>
      <c r="AQ43" s="575"/>
      <c r="AR43" s="575"/>
      <c r="AS43" s="10" t="s">
        <v>164</v>
      </c>
      <c r="AT43" s="10" t="s">
        <v>165</v>
      </c>
      <c r="AU43" s="10">
        <v>2011</v>
      </c>
    </row>
    <row r="44" spans="1:47">
      <c r="A44" t="s">
        <v>192</v>
      </c>
      <c r="B44" s="10" t="s">
        <v>8</v>
      </c>
      <c r="C44" s="10" t="s">
        <v>80</v>
      </c>
      <c r="D44" s="10"/>
      <c r="E44" s="603">
        <v>26</v>
      </c>
      <c r="F44" s="572">
        <v>263</v>
      </c>
      <c r="G44" s="599" t="s">
        <v>9221</v>
      </c>
      <c r="H44" s="26" t="s">
        <v>9222</v>
      </c>
      <c r="I44" s="26" t="s">
        <v>9223</v>
      </c>
      <c r="J44" s="27" t="s">
        <v>7860</v>
      </c>
      <c r="L44" s="27" t="s">
        <v>212</v>
      </c>
      <c r="M44" s="27" t="s">
        <v>212</v>
      </c>
      <c r="P44" s="30" t="s">
        <v>297</v>
      </c>
      <c r="Q44" s="30" t="s">
        <v>294</v>
      </c>
      <c r="R44" s="34"/>
      <c r="S44" s="34"/>
      <c r="T44" s="34">
        <v>2</v>
      </c>
      <c r="U44" s="34"/>
      <c r="V44" s="34"/>
      <c r="W44" s="34"/>
      <c r="X44" s="34"/>
      <c r="Y44" s="33">
        <v>2</v>
      </c>
      <c r="Z44" s="33">
        <v>6</v>
      </c>
      <c r="AA44" s="33"/>
      <c r="AB44" s="42"/>
      <c r="AC44" s="574"/>
      <c r="AD44" s="42"/>
      <c r="AE44" s="42"/>
      <c r="AF44" s="42"/>
      <c r="AG44" s="42"/>
      <c r="AH44" s="42"/>
      <c r="AI44" s="42"/>
      <c r="AJ44" s="42"/>
      <c r="AK44" s="42"/>
      <c r="AL44" s="42"/>
      <c r="AM44" s="42"/>
      <c r="AN44" s="575"/>
      <c r="AO44" s="575"/>
      <c r="AP44" s="576"/>
      <c r="AQ44" s="575"/>
      <c r="AR44" s="575"/>
      <c r="AS44" s="10" t="s">
        <v>164</v>
      </c>
      <c r="AT44" s="10" t="s">
        <v>165</v>
      </c>
      <c r="AU44" s="10">
        <v>2011</v>
      </c>
    </row>
    <row r="45" spans="1:47">
      <c r="A45" t="s">
        <v>192</v>
      </c>
      <c r="B45" t="s">
        <v>8</v>
      </c>
      <c r="C45" t="s">
        <v>80</v>
      </c>
      <c r="E45" s="603">
        <v>26</v>
      </c>
      <c r="G45" s="599" t="s">
        <v>9221</v>
      </c>
      <c r="H45" s="26" t="s">
        <v>9222</v>
      </c>
      <c r="I45" s="26" t="s">
        <v>9223</v>
      </c>
      <c r="J45" s="27" t="s">
        <v>7860</v>
      </c>
      <c r="L45" s="27" t="s">
        <v>212</v>
      </c>
      <c r="M45" s="27" t="s">
        <v>212</v>
      </c>
      <c r="P45" s="27" t="s">
        <v>297</v>
      </c>
      <c r="Q45" s="27" t="s">
        <v>294</v>
      </c>
      <c r="T45" s="35">
        <v>7.4</v>
      </c>
      <c r="U45" s="35">
        <v>4</v>
      </c>
      <c r="W45" s="35">
        <v>3.8</v>
      </c>
      <c r="Y45" s="33">
        <v>2</v>
      </c>
      <c r="Z45" s="33">
        <v>6</v>
      </c>
      <c r="AA45" s="33"/>
      <c r="AC45" s="580"/>
      <c r="AE45" s="43"/>
      <c r="AF45" s="43"/>
      <c r="AG45" s="43"/>
      <c r="AH45" s="43"/>
      <c r="AI45" s="43"/>
      <c r="AJ45" s="43"/>
      <c r="AK45" s="43"/>
      <c r="AL45" s="43"/>
      <c r="AM45" s="43"/>
      <c r="AN45" s="581"/>
      <c r="AO45" s="581"/>
      <c r="AP45" s="582"/>
      <c r="AS45" t="s">
        <v>56</v>
      </c>
      <c r="AT45" t="s">
        <v>57</v>
      </c>
      <c r="AU45" t="s">
        <v>58</v>
      </c>
    </row>
    <row r="46" spans="1:47">
      <c r="B46" s="10" t="s">
        <v>8</v>
      </c>
      <c r="C46" s="10" t="s">
        <v>180</v>
      </c>
      <c r="D46" s="10"/>
      <c r="E46" s="572"/>
      <c r="F46" s="572"/>
      <c r="G46" s="573"/>
      <c r="H46" s="29"/>
      <c r="I46" s="29"/>
      <c r="J46" s="29"/>
      <c r="K46" s="29"/>
      <c r="L46" s="29"/>
      <c r="M46" s="29"/>
      <c r="N46" s="29"/>
      <c r="O46" s="29"/>
      <c r="P46" s="30"/>
      <c r="Q46" s="30"/>
      <c r="R46" s="34">
        <v>5</v>
      </c>
      <c r="S46" s="34">
        <v>5</v>
      </c>
      <c r="T46" s="34"/>
      <c r="U46" s="34">
        <v>5</v>
      </c>
      <c r="V46" s="34"/>
      <c r="W46" s="34"/>
      <c r="X46" s="34"/>
      <c r="Y46" s="34"/>
      <c r="Z46" s="34"/>
      <c r="AA46" s="34"/>
      <c r="AB46" s="42"/>
      <c r="AC46" s="574"/>
      <c r="AD46" s="42"/>
      <c r="AE46" s="42"/>
      <c r="AF46" s="42"/>
      <c r="AG46" s="42"/>
      <c r="AH46" s="42"/>
      <c r="AI46" s="42"/>
      <c r="AJ46" s="42"/>
      <c r="AK46" s="42"/>
      <c r="AL46" s="42"/>
      <c r="AM46" s="42"/>
      <c r="AN46" s="575"/>
      <c r="AO46" s="575"/>
      <c r="AP46" s="576"/>
      <c r="AQ46" s="575"/>
      <c r="AR46" s="575"/>
      <c r="AS46" s="10" t="s">
        <v>187</v>
      </c>
      <c r="AT46" s="20" t="s">
        <v>188</v>
      </c>
      <c r="AU46" s="10"/>
    </row>
    <row r="47" spans="1:47">
      <c r="B47" t="s">
        <v>8</v>
      </c>
      <c r="C47" t="s">
        <v>183</v>
      </c>
      <c r="G47" s="579"/>
      <c r="I47" s="31"/>
      <c r="J47" s="31"/>
      <c r="K47" s="31"/>
      <c r="L47" s="31"/>
      <c r="M47" s="31"/>
      <c r="N47" s="31"/>
      <c r="O47" s="31"/>
      <c r="R47" s="35">
        <v>5</v>
      </c>
      <c r="S47" s="35">
        <v>5</v>
      </c>
      <c r="U47" s="35">
        <v>5</v>
      </c>
      <c r="AC47" s="580"/>
      <c r="AE47" s="43"/>
      <c r="AF47" s="43"/>
      <c r="AG47" s="43"/>
      <c r="AH47" s="43"/>
      <c r="AI47" s="43"/>
      <c r="AJ47" s="43"/>
      <c r="AK47" s="43"/>
      <c r="AL47" s="43"/>
      <c r="AM47" s="43"/>
      <c r="AN47" s="581"/>
      <c r="AO47" s="581"/>
      <c r="AP47" s="582"/>
      <c r="AS47" t="s">
        <v>187</v>
      </c>
      <c r="AT47" s="19" t="s">
        <v>188</v>
      </c>
    </row>
    <row r="48" spans="1:47">
      <c r="B48" s="10" t="s">
        <v>8</v>
      </c>
      <c r="C48" s="10" t="s">
        <v>184</v>
      </c>
      <c r="D48" s="10"/>
      <c r="E48" s="572"/>
      <c r="F48" s="572"/>
      <c r="G48" s="573"/>
      <c r="H48" s="29"/>
      <c r="I48" s="29"/>
      <c r="J48" s="29"/>
      <c r="K48" s="29"/>
      <c r="L48" s="29"/>
      <c r="M48" s="29"/>
      <c r="N48" s="29"/>
      <c r="O48" s="29"/>
      <c r="P48" s="30"/>
      <c r="Q48" s="30"/>
      <c r="R48" s="34">
        <v>4</v>
      </c>
      <c r="S48" s="34">
        <v>12</v>
      </c>
      <c r="T48" s="34"/>
      <c r="U48" s="34">
        <v>10</v>
      </c>
      <c r="V48" s="34"/>
      <c r="W48" s="34"/>
      <c r="X48" s="34"/>
      <c r="Y48" s="34"/>
      <c r="Z48" s="34"/>
      <c r="AA48" s="34"/>
      <c r="AB48" s="42"/>
      <c r="AC48" s="574"/>
      <c r="AD48" s="42"/>
      <c r="AE48" s="42"/>
      <c r="AF48" s="42"/>
      <c r="AG48" s="42"/>
      <c r="AH48" s="42"/>
      <c r="AI48" s="42"/>
      <c r="AJ48" s="42"/>
      <c r="AK48" s="42"/>
      <c r="AL48" s="42"/>
      <c r="AM48" s="42"/>
      <c r="AN48" s="575"/>
      <c r="AO48" s="575"/>
      <c r="AP48" s="576"/>
      <c r="AQ48" s="575"/>
      <c r="AR48" s="575"/>
      <c r="AS48" s="10" t="s">
        <v>187</v>
      </c>
      <c r="AT48" s="10" t="s">
        <v>188</v>
      </c>
      <c r="AU48" s="10"/>
    </row>
    <row r="49" spans="1:47">
      <c r="B49" s="10" t="s">
        <v>8</v>
      </c>
      <c r="C49" s="10" t="s">
        <v>186</v>
      </c>
      <c r="D49" s="10"/>
      <c r="E49" s="572"/>
      <c r="F49" s="572"/>
      <c r="G49" s="573"/>
      <c r="H49" s="29"/>
      <c r="I49" s="29"/>
      <c r="J49" s="29"/>
      <c r="K49" s="29"/>
      <c r="L49" s="29"/>
      <c r="M49" s="29"/>
      <c r="N49" s="29"/>
      <c r="O49" s="29"/>
      <c r="P49" s="30"/>
      <c r="Q49" s="30"/>
      <c r="R49" s="34">
        <v>20</v>
      </c>
      <c r="S49" s="34">
        <v>20</v>
      </c>
      <c r="T49" s="34"/>
      <c r="U49" s="34">
        <v>20</v>
      </c>
      <c r="V49" s="34"/>
      <c r="W49" s="34"/>
      <c r="X49" s="34"/>
      <c r="Y49" s="34"/>
      <c r="Z49" s="34"/>
      <c r="AA49" s="34"/>
      <c r="AB49" s="42"/>
      <c r="AC49" s="574"/>
      <c r="AD49" s="42"/>
      <c r="AE49" s="42"/>
      <c r="AF49" s="42"/>
      <c r="AG49" s="42"/>
      <c r="AH49" s="42"/>
      <c r="AI49" s="42"/>
      <c r="AJ49" s="42"/>
      <c r="AK49" s="42"/>
      <c r="AL49" s="42"/>
      <c r="AM49" s="42"/>
      <c r="AN49" s="575"/>
      <c r="AO49" s="575"/>
      <c r="AP49" s="576"/>
      <c r="AQ49" s="575"/>
      <c r="AR49" s="575"/>
      <c r="AS49" s="10" t="s">
        <v>187</v>
      </c>
      <c r="AT49" s="10" t="s">
        <v>188</v>
      </c>
      <c r="AU49" s="10"/>
    </row>
    <row r="50" spans="1:47">
      <c r="A50" t="s">
        <v>192</v>
      </c>
      <c r="B50" t="s">
        <v>8</v>
      </c>
      <c r="C50" t="s">
        <v>84</v>
      </c>
      <c r="E50" s="603">
        <v>26</v>
      </c>
      <c r="G50" s="605">
        <v>264</v>
      </c>
      <c r="I50" s="27" t="s">
        <v>9228</v>
      </c>
      <c r="J50" s="27" t="s">
        <v>9229</v>
      </c>
      <c r="L50" s="27" t="s">
        <v>8372</v>
      </c>
      <c r="M50" s="27" t="s">
        <v>8372</v>
      </c>
      <c r="P50" s="27" t="s">
        <v>290</v>
      </c>
      <c r="Q50" s="27" t="s">
        <v>284</v>
      </c>
      <c r="T50" s="35">
        <v>19.399999999999999</v>
      </c>
      <c r="U50" s="35">
        <v>10</v>
      </c>
      <c r="W50" s="35">
        <v>17.399999999999999</v>
      </c>
      <c r="Y50" s="35">
        <v>2</v>
      </c>
      <c r="Z50" s="35">
        <v>10</v>
      </c>
      <c r="AC50" s="580"/>
      <c r="AE50" s="43"/>
      <c r="AF50" s="43"/>
      <c r="AG50" s="43"/>
      <c r="AH50" s="43"/>
      <c r="AI50" s="43"/>
      <c r="AJ50" s="43"/>
      <c r="AK50" s="43"/>
      <c r="AL50" s="43"/>
      <c r="AM50" s="43"/>
      <c r="AN50" s="581"/>
      <c r="AO50" s="581"/>
      <c r="AP50" s="582"/>
      <c r="AS50" t="s">
        <v>56</v>
      </c>
      <c r="AT50" t="s">
        <v>57</v>
      </c>
      <c r="AU50" t="s">
        <v>58</v>
      </c>
    </row>
    <row r="51" spans="1:47">
      <c r="A51" t="s">
        <v>192</v>
      </c>
      <c r="B51" s="10" t="s">
        <v>8</v>
      </c>
      <c r="C51" s="10" t="s">
        <v>64</v>
      </c>
      <c r="D51" s="10"/>
      <c r="E51" s="603">
        <v>26</v>
      </c>
      <c r="F51" s="572"/>
      <c r="G51" s="598" t="s">
        <v>9230</v>
      </c>
      <c r="H51" s="29"/>
      <c r="I51" s="30" t="s">
        <v>9231</v>
      </c>
      <c r="J51" s="30" t="s">
        <v>9232</v>
      </c>
      <c r="K51" s="30"/>
      <c r="L51" s="27" t="s">
        <v>9233</v>
      </c>
      <c r="M51" s="27" t="s">
        <v>9233</v>
      </c>
      <c r="P51" s="30" t="s">
        <v>291</v>
      </c>
      <c r="Q51" s="30" t="s">
        <v>284</v>
      </c>
      <c r="R51" s="34"/>
      <c r="S51" s="34"/>
      <c r="T51" s="34">
        <v>19.8</v>
      </c>
      <c r="U51" s="34">
        <v>19</v>
      </c>
      <c r="V51" s="34"/>
      <c r="W51" s="34">
        <v>18.2</v>
      </c>
      <c r="X51" s="34"/>
      <c r="Y51" s="35">
        <v>1</v>
      </c>
      <c r="Z51" s="35">
        <v>7</v>
      </c>
      <c r="AB51" s="42"/>
      <c r="AC51" s="574"/>
      <c r="AD51" s="42"/>
      <c r="AE51" s="42"/>
      <c r="AF51" s="42"/>
      <c r="AG51" s="42"/>
      <c r="AH51" s="42"/>
      <c r="AI51" s="42"/>
      <c r="AJ51" s="42"/>
      <c r="AK51" s="42"/>
      <c r="AL51" s="42"/>
      <c r="AM51" s="42"/>
      <c r="AN51" s="575"/>
      <c r="AO51" s="575"/>
      <c r="AP51" s="576"/>
      <c r="AQ51" s="575"/>
      <c r="AR51" s="575"/>
      <c r="AS51" s="10" t="s">
        <v>56</v>
      </c>
      <c r="AT51" s="10" t="s">
        <v>57</v>
      </c>
      <c r="AU51" s="10" t="s">
        <v>58</v>
      </c>
    </row>
    <row r="52" spans="1:47">
      <c r="A52" t="s">
        <v>192</v>
      </c>
      <c r="B52" s="10" t="s">
        <v>8</v>
      </c>
      <c r="C52" s="10" t="s">
        <v>62</v>
      </c>
      <c r="D52" s="10"/>
      <c r="E52" s="572"/>
      <c r="F52" s="572"/>
      <c r="G52" s="564" t="s">
        <v>9216</v>
      </c>
      <c r="H52" s="24" t="s">
        <v>9216</v>
      </c>
      <c r="I52" s="24" t="s">
        <v>9224</v>
      </c>
      <c r="J52" s="24" t="s">
        <v>9234</v>
      </c>
      <c r="K52" s="24"/>
      <c r="L52" s="30"/>
      <c r="M52" s="30"/>
      <c r="N52" s="30"/>
      <c r="O52" s="30"/>
      <c r="P52" s="24" t="s">
        <v>295</v>
      </c>
      <c r="Q52" s="24" t="s">
        <v>294</v>
      </c>
      <c r="R52" s="34"/>
      <c r="S52" s="34"/>
      <c r="T52" s="34">
        <v>12.3</v>
      </c>
      <c r="U52" s="34">
        <v>10</v>
      </c>
      <c r="V52" s="34"/>
      <c r="W52" s="34">
        <v>9.8000000000000007</v>
      </c>
      <c r="X52" s="34"/>
      <c r="Y52" s="32">
        <v>2</v>
      </c>
      <c r="Z52" s="32">
        <v>10</v>
      </c>
      <c r="AA52" s="32"/>
      <c r="AB52" s="42"/>
      <c r="AC52" s="574"/>
      <c r="AD52" s="42"/>
      <c r="AE52" s="42"/>
      <c r="AF52" s="42"/>
      <c r="AG52" s="42"/>
      <c r="AH52" s="42"/>
      <c r="AI52" s="42"/>
      <c r="AJ52" s="42"/>
      <c r="AK52" s="42"/>
      <c r="AL52" s="42"/>
      <c r="AM52" s="42"/>
      <c r="AN52" s="575"/>
      <c r="AO52" s="575"/>
      <c r="AP52" s="576"/>
      <c r="AQ52" s="575"/>
      <c r="AR52" s="575"/>
      <c r="AS52" s="10" t="s">
        <v>56</v>
      </c>
      <c r="AT52" s="10" t="s">
        <v>57</v>
      </c>
      <c r="AU52" s="10" t="s">
        <v>58</v>
      </c>
    </row>
    <row r="53" spans="1:47">
      <c r="A53" t="s">
        <v>192</v>
      </c>
      <c r="B53" s="10" t="s">
        <v>8</v>
      </c>
      <c r="C53" s="10" t="s">
        <v>72</v>
      </c>
      <c r="D53" s="10"/>
      <c r="E53" s="603">
        <v>26</v>
      </c>
      <c r="F53" s="572"/>
      <c r="G53" s="598">
        <v>2640</v>
      </c>
      <c r="H53" s="29"/>
      <c r="I53" s="30" t="s">
        <v>9235</v>
      </c>
      <c r="J53" s="30" t="s">
        <v>9236</v>
      </c>
      <c r="K53" s="30"/>
      <c r="L53" s="30" t="s">
        <v>8291</v>
      </c>
      <c r="M53" s="30" t="s">
        <v>8291</v>
      </c>
      <c r="N53" s="30"/>
      <c r="O53" s="30"/>
      <c r="P53" s="30" t="s">
        <v>289</v>
      </c>
      <c r="Q53" s="30" t="s">
        <v>284</v>
      </c>
      <c r="R53" s="34"/>
      <c r="S53" s="34"/>
      <c r="T53" s="34">
        <v>4.8</v>
      </c>
      <c r="U53" s="34">
        <v>3.8</v>
      </c>
      <c r="V53" s="34"/>
      <c r="W53" s="34">
        <v>5.2</v>
      </c>
      <c r="X53" s="34"/>
      <c r="Y53" s="34">
        <v>1</v>
      </c>
      <c r="Z53" s="34">
        <v>10</v>
      </c>
      <c r="AA53" s="34"/>
      <c r="AB53" s="42"/>
      <c r="AC53" s="574"/>
      <c r="AD53" s="42"/>
      <c r="AE53" s="42"/>
      <c r="AF53" s="42"/>
      <c r="AG53" s="42"/>
      <c r="AH53" s="42"/>
      <c r="AI53" s="42"/>
      <c r="AJ53" s="42"/>
      <c r="AK53" s="42"/>
      <c r="AL53" s="42"/>
      <c r="AM53" s="42"/>
      <c r="AN53" s="575"/>
      <c r="AO53" s="575"/>
      <c r="AP53" s="576"/>
      <c r="AQ53" s="575"/>
      <c r="AR53" s="575"/>
      <c r="AS53" s="10" t="s">
        <v>56</v>
      </c>
      <c r="AT53" s="10" t="s">
        <v>57</v>
      </c>
      <c r="AU53" s="10" t="s">
        <v>58</v>
      </c>
    </row>
    <row r="54" spans="1:47">
      <c r="A54" t="s">
        <v>192</v>
      </c>
      <c r="B54" t="s">
        <v>8</v>
      </c>
      <c r="C54" t="s">
        <v>73</v>
      </c>
      <c r="E54" s="603">
        <v>26</v>
      </c>
      <c r="G54" s="605" t="s">
        <v>9230</v>
      </c>
      <c r="I54" s="27" t="s">
        <v>9235</v>
      </c>
      <c r="J54" s="27">
        <v>26404237</v>
      </c>
      <c r="L54" s="27" t="s">
        <v>8410</v>
      </c>
      <c r="M54" s="27" t="s">
        <v>8410</v>
      </c>
      <c r="P54" s="27" t="s">
        <v>290</v>
      </c>
      <c r="Q54" s="27" t="s">
        <v>284</v>
      </c>
      <c r="T54" s="35">
        <v>15.4</v>
      </c>
      <c r="U54" s="35">
        <v>15</v>
      </c>
      <c r="W54" s="35">
        <v>15.5</v>
      </c>
      <c r="Y54" s="35">
        <v>2</v>
      </c>
      <c r="Z54" s="35">
        <v>10</v>
      </c>
      <c r="AC54" s="580"/>
      <c r="AE54" s="43"/>
      <c r="AF54" s="43"/>
      <c r="AG54" s="43"/>
      <c r="AH54" s="43"/>
      <c r="AI54" s="43"/>
      <c r="AJ54" s="43"/>
      <c r="AK54" s="43"/>
      <c r="AL54" s="43"/>
      <c r="AM54" s="43"/>
      <c r="AN54" s="581"/>
      <c r="AO54" s="581"/>
      <c r="AP54" s="582"/>
      <c r="AS54" t="s">
        <v>56</v>
      </c>
      <c r="AT54" t="s">
        <v>57</v>
      </c>
      <c r="AU54" t="s">
        <v>58</v>
      </c>
    </row>
    <row r="55" spans="1:47">
      <c r="A55" t="s">
        <v>192</v>
      </c>
      <c r="B55" t="s">
        <v>8</v>
      </c>
      <c r="C55" t="s">
        <v>67</v>
      </c>
      <c r="G55" s="605">
        <v>2751</v>
      </c>
      <c r="I55" s="27" t="s">
        <v>9237</v>
      </c>
      <c r="J55" s="27" t="s">
        <v>9238</v>
      </c>
      <c r="P55" s="26" t="s">
        <v>285</v>
      </c>
      <c r="Q55" s="26" t="s">
        <v>284</v>
      </c>
      <c r="T55" s="35">
        <v>11.8</v>
      </c>
      <c r="U55" s="35">
        <v>7</v>
      </c>
      <c r="W55" s="35">
        <v>13.8</v>
      </c>
      <c r="Y55" s="33">
        <v>2</v>
      </c>
      <c r="Z55" s="33">
        <v>11</v>
      </c>
      <c r="AA55" s="33"/>
      <c r="AC55" s="580"/>
      <c r="AE55" s="43"/>
      <c r="AF55" s="43"/>
      <c r="AG55" s="43"/>
      <c r="AH55" s="43"/>
      <c r="AI55" s="43"/>
      <c r="AJ55" s="43"/>
      <c r="AK55" s="43"/>
      <c r="AL55" s="43"/>
      <c r="AM55" s="43"/>
      <c r="AN55" s="581"/>
      <c r="AO55" s="581"/>
      <c r="AP55" s="582"/>
      <c r="AS55" t="s">
        <v>56</v>
      </c>
      <c r="AT55" t="s">
        <v>57</v>
      </c>
      <c r="AU55" t="s">
        <v>58</v>
      </c>
    </row>
    <row r="56" spans="1:47">
      <c r="A56" t="s">
        <v>192</v>
      </c>
      <c r="B56" s="10" t="s">
        <v>8</v>
      </c>
      <c r="C56" s="10" t="s">
        <v>74</v>
      </c>
      <c r="D56" s="10"/>
      <c r="E56" s="603">
        <v>26</v>
      </c>
      <c r="F56" s="572"/>
      <c r="G56" s="598" t="s">
        <v>9230</v>
      </c>
      <c r="H56" s="29"/>
      <c r="I56" s="30" t="s">
        <v>9235</v>
      </c>
      <c r="J56" s="30">
        <v>26404239</v>
      </c>
      <c r="K56" s="30"/>
      <c r="L56" s="30" t="s">
        <v>8408</v>
      </c>
      <c r="M56" s="30" t="s">
        <v>8408</v>
      </c>
      <c r="N56" s="30"/>
      <c r="O56" s="30"/>
      <c r="P56" s="30" t="s">
        <v>290</v>
      </c>
      <c r="Q56" s="30" t="s">
        <v>284</v>
      </c>
      <c r="R56" s="34"/>
      <c r="S56" s="34"/>
      <c r="T56" s="34">
        <v>16.600000000000001</v>
      </c>
      <c r="U56" s="34">
        <v>12</v>
      </c>
      <c r="V56" s="34"/>
      <c r="W56" s="34">
        <v>19</v>
      </c>
      <c r="X56" s="34"/>
      <c r="Y56" s="35">
        <v>2</v>
      </c>
      <c r="Z56" s="35">
        <v>10</v>
      </c>
      <c r="AB56" s="42"/>
      <c r="AC56" s="574"/>
      <c r="AD56" s="42"/>
      <c r="AE56" s="42"/>
      <c r="AF56" s="42"/>
      <c r="AG56" s="42"/>
      <c r="AH56" s="42"/>
      <c r="AI56" s="42"/>
      <c r="AJ56" s="42"/>
      <c r="AK56" s="42"/>
      <c r="AL56" s="42"/>
      <c r="AM56" s="42"/>
      <c r="AN56" s="575"/>
      <c r="AO56" s="575"/>
      <c r="AP56" s="576"/>
      <c r="AQ56" s="575"/>
      <c r="AR56" s="575"/>
      <c r="AS56" s="10" t="s">
        <v>56</v>
      </c>
      <c r="AT56" s="10" t="s">
        <v>57</v>
      </c>
      <c r="AU56" s="10" t="s">
        <v>58</v>
      </c>
    </row>
    <row r="57" spans="1:47">
      <c r="A57" t="s">
        <v>192</v>
      </c>
      <c r="B57" t="s">
        <v>8</v>
      </c>
      <c r="C57" t="s">
        <v>63</v>
      </c>
      <c r="E57" s="603">
        <v>26</v>
      </c>
      <c r="G57" s="605" t="s">
        <v>9239</v>
      </c>
      <c r="I57" s="27" t="s">
        <v>9240</v>
      </c>
      <c r="J57" s="27" t="s">
        <v>9241</v>
      </c>
      <c r="L57" s="27" t="s">
        <v>9233</v>
      </c>
      <c r="M57" s="27" t="s">
        <v>9233</v>
      </c>
      <c r="P57" s="30" t="s">
        <v>291</v>
      </c>
      <c r="Q57" s="30" t="s">
        <v>284</v>
      </c>
      <c r="T57" s="35">
        <v>10.6</v>
      </c>
      <c r="U57" s="35">
        <v>7</v>
      </c>
      <c r="W57" s="35">
        <v>6.9</v>
      </c>
      <c r="Y57" s="35">
        <v>1</v>
      </c>
      <c r="Z57" s="35">
        <v>7</v>
      </c>
      <c r="AC57" s="580"/>
      <c r="AE57" s="43"/>
      <c r="AF57" s="43"/>
      <c r="AG57" s="43"/>
      <c r="AH57" s="43"/>
      <c r="AI57" s="43"/>
      <c r="AJ57" s="43"/>
      <c r="AK57" s="43"/>
      <c r="AL57" s="43"/>
      <c r="AM57" s="43"/>
      <c r="AN57" s="581"/>
      <c r="AO57" s="581"/>
      <c r="AP57" s="582"/>
      <c r="AS57" t="s">
        <v>56</v>
      </c>
      <c r="AT57" t="s">
        <v>57</v>
      </c>
      <c r="AU57" t="s">
        <v>58</v>
      </c>
    </row>
    <row r="58" spans="1:47">
      <c r="A58" t="s">
        <v>192</v>
      </c>
      <c r="B58" t="s">
        <v>8</v>
      </c>
      <c r="C58" t="s">
        <v>77</v>
      </c>
      <c r="E58" s="577">
        <v>27</v>
      </c>
      <c r="G58" s="605">
        <v>2740</v>
      </c>
      <c r="I58" s="27" t="s">
        <v>9242</v>
      </c>
      <c r="J58" s="27" t="s">
        <v>9243</v>
      </c>
      <c r="L58" s="27" t="s">
        <v>9244</v>
      </c>
      <c r="M58" s="27" t="s">
        <v>9244</v>
      </c>
      <c r="P58" s="27" t="s">
        <v>292</v>
      </c>
      <c r="Q58" s="27" t="s">
        <v>284</v>
      </c>
      <c r="T58" s="35">
        <v>13.3</v>
      </c>
      <c r="U58" s="35">
        <v>9</v>
      </c>
      <c r="W58" s="35">
        <v>18.600000000000001</v>
      </c>
      <c r="Y58" s="35">
        <v>1</v>
      </c>
      <c r="Z58" s="35">
        <v>9</v>
      </c>
      <c r="AC58" s="580"/>
      <c r="AE58" s="43"/>
      <c r="AF58" s="43"/>
      <c r="AG58" s="43"/>
      <c r="AH58" s="43"/>
      <c r="AI58" s="43"/>
      <c r="AJ58" s="43"/>
      <c r="AK58" s="43"/>
      <c r="AL58" s="43"/>
      <c r="AM58" s="43"/>
      <c r="AN58" s="581"/>
      <c r="AO58" s="581"/>
      <c r="AP58" s="582"/>
      <c r="AS58" t="s">
        <v>56</v>
      </c>
      <c r="AT58" t="s">
        <v>57</v>
      </c>
      <c r="AU58" t="s">
        <v>58</v>
      </c>
    </row>
    <row r="59" spans="1:47">
      <c r="A59" t="s">
        <v>192</v>
      </c>
      <c r="B59" t="s">
        <v>8</v>
      </c>
      <c r="C59" s="2" t="s">
        <v>51</v>
      </c>
      <c r="D59" s="2"/>
      <c r="E59" s="577">
        <v>27</v>
      </c>
      <c r="F59" s="585"/>
      <c r="G59" s="598">
        <v>2751</v>
      </c>
      <c r="H59" s="29"/>
      <c r="I59" s="30" t="s">
        <v>9237</v>
      </c>
      <c r="J59" s="30" t="s">
        <v>9245</v>
      </c>
      <c r="K59" s="30"/>
      <c r="L59" s="26" t="s">
        <v>9246</v>
      </c>
      <c r="M59" s="26" t="s">
        <v>9246</v>
      </c>
      <c r="N59" s="26"/>
      <c r="O59" s="26"/>
      <c r="P59" s="26" t="s">
        <v>287</v>
      </c>
      <c r="Q59" s="26" t="s">
        <v>284</v>
      </c>
      <c r="R59" s="33"/>
      <c r="S59" s="33"/>
      <c r="T59" s="33">
        <v>7</v>
      </c>
      <c r="U59" s="33"/>
      <c r="V59" s="33"/>
      <c r="W59" s="33"/>
      <c r="X59" s="33"/>
      <c r="Y59" s="33">
        <v>1</v>
      </c>
      <c r="Z59" s="33">
        <v>11</v>
      </c>
      <c r="AA59" s="33"/>
      <c r="AB59" s="41">
        <v>3</v>
      </c>
      <c r="AC59" s="586">
        <v>10</v>
      </c>
      <c r="AD59" s="41"/>
      <c r="AE59" s="41"/>
      <c r="AF59" s="41"/>
      <c r="AG59" s="41"/>
      <c r="AH59" s="41"/>
      <c r="AI59" s="41"/>
      <c r="AJ59" s="41"/>
      <c r="AK59" s="41"/>
      <c r="AL59" s="41"/>
      <c r="AM59" s="41"/>
      <c r="AN59" s="587"/>
      <c r="AO59" s="587"/>
      <c r="AP59" s="588"/>
      <c r="AQ59" s="587"/>
      <c r="AR59" s="587"/>
      <c r="AS59" s="2" t="s">
        <v>10</v>
      </c>
      <c r="AT59" s="2" t="s">
        <v>11</v>
      </c>
    </row>
    <row r="60" spans="1:47">
      <c r="A60" t="s">
        <v>192</v>
      </c>
      <c r="B60" s="10" t="s">
        <v>8</v>
      </c>
      <c r="C60" s="10" t="s">
        <v>95</v>
      </c>
      <c r="D60" s="10"/>
      <c r="E60" s="577">
        <v>27</v>
      </c>
      <c r="F60" s="572"/>
      <c r="G60" s="598">
        <v>2751</v>
      </c>
      <c r="H60" s="29"/>
      <c r="I60" s="30" t="s">
        <v>9237</v>
      </c>
      <c r="J60" s="30" t="s">
        <v>9245</v>
      </c>
      <c r="K60" s="30"/>
      <c r="L60" s="26" t="s">
        <v>9246</v>
      </c>
      <c r="M60" s="26" t="s">
        <v>9246</v>
      </c>
      <c r="N60" s="26"/>
      <c r="O60" s="26"/>
      <c r="P60" s="30" t="s">
        <v>287</v>
      </c>
      <c r="Q60" s="30" t="s">
        <v>284</v>
      </c>
      <c r="R60" s="34"/>
      <c r="S60" s="34"/>
      <c r="T60" s="34">
        <v>9.1</v>
      </c>
      <c r="U60" s="34">
        <v>7.5</v>
      </c>
      <c r="V60" s="34"/>
      <c r="W60" s="34">
        <v>8.6999999999999993</v>
      </c>
      <c r="X60" s="34"/>
      <c r="Y60" s="34">
        <v>1</v>
      </c>
      <c r="Z60" s="34">
        <v>11</v>
      </c>
      <c r="AA60" s="34"/>
      <c r="AB60" s="42"/>
      <c r="AC60" s="574"/>
      <c r="AD60" s="42"/>
      <c r="AE60" s="42"/>
      <c r="AF60" s="42"/>
      <c r="AG60" s="42"/>
      <c r="AH60" s="42"/>
      <c r="AI60" s="42"/>
      <c r="AJ60" s="42"/>
      <c r="AK60" s="42"/>
      <c r="AL60" s="42"/>
      <c r="AM60" s="42"/>
      <c r="AN60" s="575"/>
      <c r="AO60" s="575"/>
      <c r="AP60" s="576"/>
      <c r="AQ60" s="575"/>
      <c r="AR60" s="575"/>
      <c r="AS60" s="10" t="s">
        <v>56</v>
      </c>
      <c r="AT60" s="10" t="s">
        <v>57</v>
      </c>
      <c r="AU60" s="10" t="s">
        <v>58</v>
      </c>
    </row>
    <row r="61" spans="1:47">
      <c r="B61" t="s">
        <v>8</v>
      </c>
      <c r="C61" t="s">
        <v>59</v>
      </c>
      <c r="G61" s="579"/>
      <c r="I61" s="31"/>
      <c r="J61" s="31"/>
      <c r="K61" s="31"/>
      <c r="L61" s="31"/>
      <c r="M61" s="31"/>
      <c r="N61" s="31"/>
      <c r="O61" s="31"/>
      <c r="T61" s="35">
        <v>8.6999999999999993</v>
      </c>
      <c r="U61" s="35">
        <v>6</v>
      </c>
      <c r="W61" s="35">
        <v>11.4</v>
      </c>
      <c r="AC61" s="580"/>
      <c r="AE61" s="43"/>
      <c r="AF61" s="43"/>
      <c r="AG61" s="43"/>
      <c r="AH61" s="43"/>
      <c r="AI61" s="43"/>
      <c r="AJ61" s="43"/>
      <c r="AK61" s="43"/>
      <c r="AL61" s="43"/>
      <c r="AM61" s="43"/>
      <c r="AN61" s="581"/>
      <c r="AO61" s="581"/>
      <c r="AP61" s="582"/>
      <c r="AS61" t="s">
        <v>56</v>
      </c>
      <c r="AT61" t="s">
        <v>57</v>
      </c>
      <c r="AU61" t="s">
        <v>58</v>
      </c>
    </row>
    <row r="62" spans="1:47">
      <c r="A62" t="s">
        <v>192</v>
      </c>
      <c r="B62" s="10" t="s">
        <v>8</v>
      </c>
      <c r="C62" s="10" t="s">
        <v>70</v>
      </c>
      <c r="D62" s="10"/>
      <c r="E62" s="577">
        <v>27</v>
      </c>
      <c r="F62" s="572"/>
      <c r="G62" s="598" t="s">
        <v>9218</v>
      </c>
      <c r="H62" s="29"/>
      <c r="I62" s="30" t="s">
        <v>9247</v>
      </c>
      <c r="J62" s="30" t="s">
        <v>9248</v>
      </c>
      <c r="K62" s="30"/>
      <c r="L62" s="30" t="s">
        <v>8178</v>
      </c>
      <c r="M62" s="30" t="s">
        <v>8178</v>
      </c>
      <c r="N62" s="30"/>
      <c r="O62" s="30"/>
      <c r="P62" s="30" t="s">
        <v>288</v>
      </c>
      <c r="Q62" s="30" t="s">
        <v>284</v>
      </c>
      <c r="R62" s="34"/>
      <c r="S62" s="34"/>
      <c r="T62" s="34">
        <v>12.7</v>
      </c>
      <c r="U62" s="34">
        <v>7</v>
      </c>
      <c r="V62" s="34"/>
      <c r="W62" s="34">
        <v>10.9</v>
      </c>
      <c r="X62" s="34"/>
      <c r="Y62" s="34">
        <v>1</v>
      </c>
      <c r="Z62" s="34">
        <v>8</v>
      </c>
      <c r="AA62" s="34"/>
      <c r="AB62" s="42"/>
      <c r="AC62" s="574"/>
      <c r="AD62" s="42"/>
      <c r="AE62" s="42"/>
      <c r="AF62" s="42"/>
      <c r="AG62" s="42"/>
      <c r="AH62" s="42"/>
      <c r="AI62" s="42"/>
      <c r="AJ62" s="42"/>
      <c r="AK62" s="42"/>
      <c r="AL62" s="42"/>
      <c r="AM62" s="42"/>
      <c r="AN62" s="575"/>
      <c r="AO62" s="575"/>
      <c r="AP62" s="576"/>
      <c r="AQ62" s="575"/>
      <c r="AR62" s="575"/>
      <c r="AS62" s="10" t="s">
        <v>56</v>
      </c>
      <c r="AT62" s="10" t="s">
        <v>57</v>
      </c>
      <c r="AU62" s="10" t="s">
        <v>58</v>
      </c>
    </row>
    <row r="63" spans="1:47">
      <c r="B63" t="s">
        <v>8</v>
      </c>
      <c r="C63" t="s">
        <v>61</v>
      </c>
      <c r="G63" s="579"/>
      <c r="I63" s="31"/>
      <c r="J63" s="31"/>
      <c r="K63" s="31"/>
      <c r="L63" s="31"/>
      <c r="M63" s="31"/>
      <c r="N63" s="31"/>
      <c r="O63" s="31"/>
      <c r="T63" s="35">
        <v>13.3</v>
      </c>
      <c r="U63" s="35">
        <v>5</v>
      </c>
      <c r="W63" s="35">
        <v>9</v>
      </c>
      <c r="AC63" s="580"/>
      <c r="AE63" s="43"/>
      <c r="AF63" s="43"/>
      <c r="AG63" s="43"/>
      <c r="AH63" s="43"/>
      <c r="AI63" s="43"/>
      <c r="AJ63" s="43"/>
      <c r="AK63" s="43"/>
      <c r="AL63" s="43"/>
      <c r="AM63" s="43"/>
      <c r="AN63" s="581"/>
      <c r="AO63" s="581"/>
      <c r="AP63" s="582"/>
      <c r="AS63" t="s">
        <v>56</v>
      </c>
      <c r="AT63" t="s">
        <v>57</v>
      </c>
      <c r="AU63" t="s">
        <v>58</v>
      </c>
    </row>
    <row r="64" spans="1:47">
      <c r="A64" t="s">
        <v>192</v>
      </c>
      <c r="B64" t="s">
        <v>8</v>
      </c>
      <c r="C64" t="s">
        <v>75</v>
      </c>
      <c r="E64" s="577">
        <v>27</v>
      </c>
      <c r="G64" s="605">
        <v>2751</v>
      </c>
      <c r="I64" s="27" t="s">
        <v>9247</v>
      </c>
      <c r="J64" s="27" t="s">
        <v>9249</v>
      </c>
      <c r="L64" s="27" t="s">
        <v>8106</v>
      </c>
      <c r="M64" s="27" t="s">
        <v>8106</v>
      </c>
      <c r="P64" s="27" t="s">
        <v>283</v>
      </c>
      <c r="Q64" s="27" t="s">
        <v>284</v>
      </c>
      <c r="T64" s="35">
        <v>8</v>
      </c>
      <c r="U64" s="35">
        <v>5</v>
      </c>
      <c r="W64" s="35">
        <v>9.4</v>
      </c>
      <c r="Y64" s="35">
        <v>1</v>
      </c>
      <c r="Z64" s="35">
        <v>8</v>
      </c>
      <c r="AC64" s="580"/>
      <c r="AE64" s="43"/>
      <c r="AF64" s="43"/>
      <c r="AG64" s="43"/>
      <c r="AH64" s="43"/>
      <c r="AI64" s="43"/>
      <c r="AJ64" s="43"/>
      <c r="AK64" s="43"/>
      <c r="AL64" s="43"/>
      <c r="AM64" s="43"/>
      <c r="AN64" s="581"/>
      <c r="AO64" s="581"/>
      <c r="AP64" s="582"/>
      <c r="AS64" t="s">
        <v>56</v>
      </c>
      <c r="AT64" t="s">
        <v>57</v>
      </c>
      <c r="AU64" t="s">
        <v>58</v>
      </c>
    </row>
    <row r="65" spans="1:47">
      <c r="B65" t="s">
        <v>8</v>
      </c>
      <c r="C65" t="s">
        <v>65</v>
      </c>
      <c r="G65" s="579"/>
      <c r="I65" s="31"/>
      <c r="J65" s="31"/>
      <c r="K65" s="31"/>
      <c r="L65" s="31"/>
      <c r="M65" s="31"/>
      <c r="N65" s="31"/>
      <c r="O65" s="31"/>
      <c r="T65" s="35">
        <v>10</v>
      </c>
      <c r="U65" s="35">
        <v>9</v>
      </c>
      <c r="W65" s="35">
        <v>11</v>
      </c>
      <c r="AC65" s="580"/>
      <c r="AE65" s="43"/>
      <c r="AF65" s="43"/>
      <c r="AG65" s="43"/>
      <c r="AH65" s="43"/>
      <c r="AI65" s="43"/>
      <c r="AJ65" s="43"/>
      <c r="AK65" s="43"/>
      <c r="AL65" s="43"/>
      <c r="AM65" s="43"/>
      <c r="AN65" s="581"/>
      <c r="AO65" s="581"/>
      <c r="AP65" s="582"/>
      <c r="AS65" t="s">
        <v>56</v>
      </c>
      <c r="AT65" t="s">
        <v>57</v>
      </c>
      <c r="AU65" t="s">
        <v>58</v>
      </c>
    </row>
    <row r="66" spans="1:47">
      <c r="B66" s="10" t="s">
        <v>8</v>
      </c>
      <c r="C66" s="10" t="s">
        <v>66</v>
      </c>
      <c r="D66" s="10"/>
      <c r="E66" s="572"/>
      <c r="F66" s="572"/>
      <c r="G66" s="573"/>
      <c r="H66" s="29"/>
      <c r="I66" s="29"/>
      <c r="J66" s="29"/>
      <c r="K66" s="29"/>
      <c r="L66" s="29"/>
      <c r="M66" s="29"/>
      <c r="N66" s="29"/>
      <c r="O66" s="29"/>
      <c r="P66" s="30"/>
      <c r="Q66" s="30"/>
      <c r="R66" s="34"/>
      <c r="S66" s="34"/>
      <c r="T66" s="34">
        <v>6.8</v>
      </c>
      <c r="U66" s="34">
        <v>6</v>
      </c>
      <c r="V66" s="34"/>
      <c r="W66" s="34">
        <v>7.6</v>
      </c>
      <c r="X66" s="34"/>
      <c r="Y66" s="34"/>
      <c r="Z66" s="34"/>
      <c r="AA66" s="34"/>
      <c r="AB66" s="42"/>
      <c r="AC66" s="574"/>
      <c r="AD66" s="42"/>
      <c r="AE66" s="42"/>
      <c r="AF66" s="42"/>
      <c r="AG66" s="42"/>
      <c r="AH66" s="42"/>
      <c r="AI66" s="42"/>
      <c r="AJ66" s="42"/>
      <c r="AK66" s="42"/>
      <c r="AL66" s="42"/>
      <c r="AM66" s="42"/>
      <c r="AN66" s="575"/>
      <c r="AO66" s="575"/>
      <c r="AP66" s="576"/>
      <c r="AQ66" s="575"/>
      <c r="AR66" s="575"/>
      <c r="AS66" s="10" t="s">
        <v>56</v>
      </c>
      <c r="AT66" s="10" t="s">
        <v>57</v>
      </c>
      <c r="AU66" s="10" t="s">
        <v>58</v>
      </c>
    </row>
    <row r="67" spans="1:47">
      <c r="A67" t="s">
        <v>192</v>
      </c>
      <c r="B67" t="s">
        <v>8</v>
      </c>
      <c r="C67" t="s">
        <v>92</v>
      </c>
      <c r="E67" s="577">
        <v>27</v>
      </c>
      <c r="G67" s="605">
        <v>2751</v>
      </c>
      <c r="I67" s="27" t="s">
        <v>9250</v>
      </c>
      <c r="J67" s="27" t="s">
        <v>9251</v>
      </c>
      <c r="L67" s="27" t="s">
        <v>8153</v>
      </c>
      <c r="M67" s="27" t="s">
        <v>8153</v>
      </c>
      <c r="P67" s="30" t="s">
        <v>285</v>
      </c>
      <c r="Q67" s="30" t="s">
        <v>284</v>
      </c>
      <c r="R67" s="35">
        <v>4</v>
      </c>
      <c r="S67" s="35">
        <v>5</v>
      </c>
      <c r="T67" s="35">
        <v>4.5</v>
      </c>
      <c r="Y67" s="33">
        <v>2</v>
      </c>
      <c r="Z67" s="33">
        <v>11</v>
      </c>
      <c r="AA67" s="33"/>
      <c r="AC67" s="580"/>
      <c r="AE67" s="43"/>
      <c r="AF67" s="43"/>
      <c r="AG67" s="43"/>
      <c r="AH67" s="43"/>
      <c r="AI67" s="43"/>
      <c r="AJ67" s="43"/>
      <c r="AK67" s="43"/>
      <c r="AL67" s="43"/>
      <c r="AM67" s="43"/>
      <c r="AN67" s="581"/>
      <c r="AO67" s="581"/>
      <c r="AP67" s="582"/>
      <c r="AS67" t="s">
        <v>164</v>
      </c>
      <c r="AT67" t="s">
        <v>165</v>
      </c>
      <c r="AU67">
        <v>2011</v>
      </c>
    </row>
    <row r="68" spans="1:47">
      <c r="B68" s="10" t="s">
        <v>8</v>
      </c>
      <c r="C68" s="10" t="s">
        <v>68</v>
      </c>
      <c r="D68" s="10"/>
      <c r="E68" s="572"/>
      <c r="F68" s="572"/>
      <c r="G68" s="573"/>
      <c r="H68" s="29"/>
      <c r="I68" s="29"/>
      <c r="J68" s="29"/>
      <c r="K68" s="29"/>
      <c r="L68" s="29"/>
      <c r="M68" s="29"/>
      <c r="N68" s="29"/>
      <c r="O68" s="29"/>
      <c r="P68" s="30" t="s">
        <v>293</v>
      </c>
      <c r="Q68" s="30" t="s">
        <v>294</v>
      </c>
      <c r="R68" s="34"/>
      <c r="S68" s="34"/>
      <c r="T68" s="34">
        <v>3</v>
      </c>
      <c r="U68" s="34">
        <v>2</v>
      </c>
      <c r="V68" s="34"/>
      <c r="W68" s="34">
        <v>10</v>
      </c>
      <c r="X68" s="34"/>
      <c r="Y68" s="34"/>
      <c r="Z68" s="34"/>
      <c r="AA68" s="34"/>
      <c r="AB68" s="42"/>
      <c r="AC68" s="574"/>
      <c r="AD68" s="42"/>
      <c r="AE68" s="42"/>
      <c r="AF68" s="42"/>
      <c r="AG68" s="42"/>
      <c r="AH68" s="42"/>
      <c r="AI68" s="42"/>
      <c r="AJ68" s="42"/>
      <c r="AK68" s="42"/>
      <c r="AL68" s="42"/>
      <c r="AM68" s="42"/>
      <c r="AN68" s="575"/>
      <c r="AO68" s="575"/>
      <c r="AP68" s="576"/>
      <c r="AQ68" s="575"/>
      <c r="AR68" s="575"/>
      <c r="AS68" s="10" t="s">
        <v>56</v>
      </c>
      <c r="AT68" s="10" t="s">
        <v>57</v>
      </c>
      <c r="AU68" s="10" t="s">
        <v>58</v>
      </c>
    </row>
    <row r="69" spans="1:47">
      <c r="B69" t="s">
        <v>8</v>
      </c>
      <c r="C69" t="s">
        <v>69</v>
      </c>
      <c r="G69" s="579"/>
      <c r="I69" s="31"/>
      <c r="J69" s="31"/>
      <c r="K69" s="31"/>
      <c r="L69" s="31"/>
      <c r="M69" s="31"/>
      <c r="N69" s="31"/>
      <c r="O69" s="31"/>
      <c r="T69" s="35">
        <v>10.3</v>
      </c>
      <c r="U69" s="35">
        <v>7</v>
      </c>
      <c r="W69" s="35">
        <v>10.1</v>
      </c>
      <c r="AC69" s="580"/>
      <c r="AE69" s="43"/>
      <c r="AF69" s="43"/>
      <c r="AG69" s="43"/>
      <c r="AH69" s="43"/>
      <c r="AI69" s="43"/>
      <c r="AJ69" s="43"/>
      <c r="AK69" s="43"/>
      <c r="AL69" s="43"/>
      <c r="AM69" s="43"/>
      <c r="AN69" s="581"/>
      <c r="AO69" s="581"/>
      <c r="AP69" s="582"/>
      <c r="AS69" t="s">
        <v>56</v>
      </c>
      <c r="AT69" t="s">
        <v>57</v>
      </c>
      <c r="AU69" t="s">
        <v>58</v>
      </c>
    </row>
    <row r="70" spans="1:47">
      <c r="B70" t="s">
        <v>8</v>
      </c>
      <c r="C70" t="s">
        <v>71</v>
      </c>
      <c r="G70" s="579"/>
      <c r="I70" s="31"/>
      <c r="J70" s="31"/>
      <c r="K70" s="31"/>
      <c r="L70" s="31"/>
      <c r="M70" s="31"/>
      <c r="N70" s="31"/>
      <c r="O70" s="31"/>
      <c r="T70" s="35">
        <v>12.8</v>
      </c>
      <c r="U70" s="35">
        <v>10</v>
      </c>
      <c r="W70" s="35">
        <v>12.2</v>
      </c>
      <c r="AC70" s="580"/>
      <c r="AE70" s="43"/>
      <c r="AF70" s="43"/>
      <c r="AG70" s="43"/>
      <c r="AH70" s="43"/>
      <c r="AI70" s="43"/>
      <c r="AJ70" s="43"/>
      <c r="AK70" s="43"/>
      <c r="AL70" s="43"/>
      <c r="AM70" s="43"/>
      <c r="AN70" s="581"/>
      <c r="AO70" s="581"/>
      <c r="AP70" s="582"/>
      <c r="AS70" t="s">
        <v>56</v>
      </c>
      <c r="AT70" t="s">
        <v>57</v>
      </c>
      <c r="AU70" t="s">
        <v>58</v>
      </c>
    </row>
    <row r="71" spans="1:47">
      <c r="A71" t="s">
        <v>192</v>
      </c>
      <c r="B71" t="s">
        <v>8</v>
      </c>
      <c r="C71" t="s">
        <v>92</v>
      </c>
      <c r="E71" s="577">
        <v>27</v>
      </c>
      <c r="G71" s="605">
        <v>2751</v>
      </c>
      <c r="I71" s="27" t="s">
        <v>9250</v>
      </c>
      <c r="J71" s="27" t="s">
        <v>9251</v>
      </c>
      <c r="L71" s="27" t="s">
        <v>8153</v>
      </c>
      <c r="M71" s="27" t="s">
        <v>8153</v>
      </c>
      <c r="P71" s="27" t="s">
        <v>285</v>
      </c>
      <c r="Q71" s="27" t="s">
        <v>284</v>
      </c>
      <c r="T71" s="35">
        <v>7.9</v>
      </c>
      <c r="U71" s="35">
        <v>5</v>
      </c>
      <c r="W71" s="35">
        <v>9.9</v>
      </c>
      <c r="Y71" s="33">
        <v>2</v>
      </c>
      <c r="Z71" s="33">
        <v>11</v>
      </c>
      <c r="AA71" s="33"/>
      <c r="AC71" s="580"/>
      <c r="AE71" s="43"/>
      <c r="AF71" s="43"/>
      <c r="AG71" s="43"/>
      <c r="AH71" s="43"/>
      <c r="AI71" s="43"/>
      <c r="AJ71" s="43"/>
      <c r="AK71" s="43"/>
      <c r="AL71" s="43"/>
      <c r="AM71" s="43"/>
      <c r="AN71" s="581"/>
      <c r="AO71" s="581"/>
      <c r="AP71" s="582"/>
      <c r="AS71" t="s">
        <v>56</v>
      </c>
      <c r="AT71" t="s">
        <v>57</v>
      </c>
      <c r="AU71" t="s">
        <v>58</v>
      </c>
    </row>
    <row r="72" spans="1:47">
      <c r="A72" t="s">
        <v>192</v>
      </c>
      <c r="B72" t="s">
        <v>8</v>
      </c>
      <c r="C72" s="2" t="s">
        <v>18</v>
      </c>
      <c r="D72" s="2"/>
      <c r="E72" s="577">
        <v>27</v>
      </c>
      <c r="F72" s="585"/>
      <c r="G72" s="599">
        <v>2751</v>
      </c>
      <c r="H72" s="25"/>
      <c r="I72" s="26" t="s">
        <v>9252</v>
      </c>
      <c r="J72" s="26" t="s">
        <v>9253</v>
      </c>
      <c r="K72" s="26"/>
      <c r="L72" s="26">
        <v>8516</v>
      </c>
      <c r="M72" s="26">
        <v>8516</v>
      </c>
      <c r="N72" s="26"/>
      <c r="O72" s="26"/>
      <c r="P72" s="26" t="s">
        <v>285</v>
      </c>
      <c r="Q72" s="26" t="s">
        <v>284</v>
      </c>
      <c r="R72" s="33">
        <v>8</v>
      </c>
      <c r="S72" s="33">
        <v>12</v>
      </c>
      <c r="T72" s="33">
        <v>10</v>
      </c>
      <c r="U72" s="33"/>
      <c r="V72" s="33"/>
      <c r="W72" s="33"/>
      <c r="X72" s="33"/>
      <c r="Y72" s="33">
        <v>2</v>
      </c>
      <c r="Z72" s="33">
        <v>11</v>
      </c>
      <c r="AA72" s="33"/>
      <c r="AB72" s="41">
        <v>30</v>
      </c>
      <c r="AC72" s="586">
        <v>90</v>
      </c>
      <c r="AD72" s="41"/>
      <c r="AE72" s="41"/>
      <c r="AF72" s="41"/>
      <c r="AG72" s="41"/>
      <c r="AH72" s="41"/>
      <c r="AI72" s="41"/>
      <c r="AJ72" s="41"/>
      <c r="AK72" s="41"/>
      <c r="AL72" s="41"/>
      <c r="AM72" s="41"/>
      <c r="AN72" s="587"/>
      <c r="AO72" s="587"/>
      <c r="AP72" s="588"/>
      <c r="AQ72" s="587"/>
      <c r="AR72" s="587"/>
      <c r="AS72" s="2" t="s">
        <v>10</v>
      </c>
      <c r="AT72" s="2" t="s">
        <v>11</v>
      </c>
    </row>
    <row r="73" spans="1:47">
      <c r="B73" t="s">
        <v>8</v>
      </c>
      <c r="C73" t="s">
        <v>78</v>
      </c>
      <c r="G73" s="579"/>
      <c r="I73" s="31"/>
      <c r="J73" s="31"/>
      <c r="K73" s="31"/>
      <c r="L73" s="31"/>
      <c r="M73" s="31"/>
      <c r="N73" s="31"/>
      <c r="O73" s="31"/>
      <c r="T73" s="35">
        <v>12.2</v>
      </c>
      <c r="U73" s="35">
        <v>8</v>
      </c>
      <c r="W73" s="35">
        <v>11.1</v>
      </c>
      <c r="AC73" s="580"/>
      <c r="AE73" s="43"/>
      <c r="AF73" s="43"/>
      <c r="AG73" s="43"/>
      <c r="AH73" s="43"/>
      <c r="AI73" s="43"/>
      <c r="AJ73" s="43"/>
      <c r="AK73" s="43"/>
      <c r="AL73" s="43"/>
      <c r="AM73" s="43"/>
      <c r="AN73" s="581"/>
      <c r="AO73" s="581"/>
      <c r="AP73" s="582"/>
      <c r="AS73" t="s">
        <v>56</v>
      </c>
      <c r="AT73" t="s">
        <v>57</v>
      </c>
      <c r="AU73" t="s">
        <v>58</v>
      </c>
    </row>
    <row r="74" spans="1:47">
      <c r="B74" s="10" t="s">
        <v>8</v>
      </c>
      <c r="C74" s="10" t="s">
        <v>79</v>
      </c>
      <c r="D74" s="10"/>
      <c r="E74" s="572"/>
      <c r="F74" s="572"/>
      <c r="G74" s="573"/>
      <c r="H74" s="29"/>
      <c r="I74" s="29"/>
      <c r="J74" s="29"/>
      <c r="K74" s="29"/>
      <c r="L74" s="29"/>
      <c r="M74" s="29"/>
      <c r="N74" s="29"/>
      <c r="O74" s="29"/>
      <c r="P74" s="30"/>
      <c r="Q74" s="30"/>
      <c r="R74" s="34"/>
      <c r="S74" s="34"/>
      <c r="T74" s="34">
        <v>11</v>
      </c>
      <c r="U74" s="34">
        <v>7</v>
      </c>
      <c r="V74" s="34"/>
      <c r="W74" s="34">
        <v>12</v>
      </c>
      <c r="X74" s="34"/>
      <c r="Y74" s="34"/>
      <c r="Z74" s="34"/>
      <c r="AA74" s="34"/>
      <c r="AB74" s="42"/>
      <c r="AC74" s="574"/>
      <c r="AD74" s="42"/>
      <c r="AE74" s="42"/>
      <c r="AF74" s="42"/>
      <c r="AG74" s="42"/>
      <c r="AH74" s="42"/>
      <c r="AI74" s="42"/>
      <c r="AJ74" s="42"/>
      <c r="AK74" s="42"/>
      <c r="AL74" s="42"/>
      <c r="AM74" s="42"/>
      <c r="AN74" s="575"/>
      <c r="AO74" s="575"/>
      <c r="AP74" s="576"/>
      <c r="AQ74" s="575"/>
      <c r="AR74" s="575"/>
      <c r="AS74" s="10" t="s">
        <v>56</v>
      </c>
      <c r="AT74" s="10" t="s">
        <v>57</v>
      </c>
      <c r="AU74" s="10" t="s">
        <v>58</v>
      </c>
    </row>
    <row r="75" spans="1:47">
      <c r="B75" s="10" t="s">
        <v>8</v>
      </c>
      <c r="C75" s="10" t="s">
        <v>81</v>
      </c>
      <c r="D75" s="10"/>
      <c r="E75" s="572"/>
      <c r="F75" s="572"/>
      <c r="G75" s="573"/>
      <c r="H75" s="29"/>
      <c r="I75" s="29"/>
      <c r="J75" s="29"/>
      <c r="K75" s="29"/>
      <c r="L75" s="29"/>
      <c r="M75" s="29"/>
      <c r="N75" s="29"/>
      <c r="O75" s="29"/>
      <c r="P75" s="30"/>
      <c r="Q75" s="30"/>
      <c r="R75" s="34"/>
      <c r="S75" s="34"/>
      <c r="T75" s="34">
        <v>24.3</v>
      </c>
      <c r="U75" s="34">
        <v>20</v>
      </c>
      <c r="V75" s="34"/>
      <c r="W75" s="34">
        <v>17.100000000000001</v>
      </c>
      <c r="X75" s="34"/>
      <c r="Y75" s="34"/>
      <c r="Z75" s="34"/>
      <c r="AA75" s="34"/>
      <c r="AB75" s="42"/>
      <c r="AC75" s="574"/>
      <c r="AD75" s="42"/>
      <c r="AE75" s="42"/>
      <c r="AF75" s="42"/>
      <c r="AG75" s="42"/>
      <c r="AH75" s="42"/>
      <c r="AI75" s="42"/>
      <c r="AJ75" s="42"/>
      <c r="AK75" s="42"/>
      <c r="AL75" s="42"/>
      <c r="AM75" s="42"/>
      <c r="AN75" s="575"/>
      <c r="AO75" s="575"/>
      <c r="AP75" s="576"/>
      <c r="AQ75" s="575"/>
      <c r="AR75" s="575"/>
      <c r="AS75" s="10" t="s">
        <v>56</v>
      </c>
      <c r="AT75" s="10" t="s">
        <v>57</v>
      </c>
      <c r="AU75" s="10" t="s">
        <v>58</v>
      </c>
    </row>
    <row r="76" spans="1:47">
      <c r="B76" t="s">
        <v>8</v>
      </c>
      <c r="C76" t="s">
        <v>82</v>
      </c>
      <c r="G76" s="579"/>
      <c r="I76" s="31"/>
      <c r="J76" s="31"/>
      <c r="K76" s="31"/>
      <c r="L76" s="31"/>
      <c r="M76" s="31"/>
      <c r="N76" s="31"/>
      <c r="O76" s="31"/>
      <c r="T76" s="35">
        <v>7.3</v>
      </c>
      <c r="U76" s="35">
        <v>5.5</v>
      </c>
      <c r="W76" s="35">
        <v>7</v>
      </c>
      <c r="AC76" s="580"/>
      <c r="AE76" s="43"/>
      <c r="AF76" s="43"/>
      <c r="AG76" s="43"/>
      <c r="AH76" s="43"/>
      <c r="AI76" s="43"/>
      <c r="AJ76" s="43"/>
      <c r="AK76" s="43"/>
      <c r="AL76" s="43"/>
      <c r="AM76" s="43"/>
      <c r="AN76" s="581"/>
      <c r="AO76" s="581"/>
      <c r="AP76" s="582"/>
      <c r="AS76" t="s">
        <v>56</v>
      </c>
      <c r="AT76" t="s">
        <v>57</v>
      </c>
      <c r="AU76" t="s">
        <v>58</v>
      </c>
    </row>
    <row r="77" spans="1:47">
      <c r="B77" s="10" t="s">
        <v>8</v>
      </c>
      <c r="C77" s="10" t="s">
        <v>83</v>
      </c>
      <c r="D77" s="10"/>
      <c r="E77" s="572"/>
      <c r="F77" s="572"/>
      <c r="G77" s="573"/>
      <c r="H77" s="29"/>
      <c r="I77" s="29"/>
      <c r="J77" s="29"/>
      <c r="K77" s="29"/>
      <c r="L77" s="29"/>
      <c r="M77" s="29"/>
      <c r="N77" s="29"/>
      <c r="O77" s="29"/>
      <c r="P77" s="30"/>
      <c r="Q77" s="30"/>
      <c r="R77" s="34"/>
      <c r="S77" s="34"/>
      <c r="T77" s="34">
        <v>5.9</v>
      </c>
      <c r="U77" s="34">
        <v>5</v>
      </c>
      <c r="V77" s="34"/>
      <c r="W77" s="34">
        <v>8</v>
      </c>
      <c r="X77" s="34"/>
      <c r="Y77" s="34"/>
      <c r="Z77" s="34"/>
      <c r="AA77" s="34"/>
      <c r="AB77" s="42"/>
      <c r="AC77" s="574"/>
      <c r="AD77" s="42"/>
      <c r="AE77" s="42"/>
      <c r="AF77" s="42"/>
      <c r="AG77" s="42"/>
      <c r="AH77" s="42"/>
      <c r="AI77" s="42"/>
      <c r="AJ77" s="42"/>
      <c r="AK77" s="42"/>
      <c r="AL77" s="42"/>
      <c r="AM77" s="42"/>
      <c r="AN77" s="575"/>
      <c r="AO77" s="575"/>
      <c r="AP77" s="576"/>
      <c r="AQ77" s="575"/>
      <c r="AR77" s="575"/>
      <c r="AS77" s="10" t="s">
        <v>56</v>
      </c>
      <c r="AT77" s="10" t="s">
        <v>57</v>
      </c>
      <c r="AU77" s="10" t="s">
        <v>58</v>
      </c>
    </row>
    <row r="78" spans="1:47">
      <c r="B78" s="10" t="s">
        <v>8</v>
      </c>
      <c r="C78" s="10" t="s">
        <v>85</v>
      </c>
      <c r="D78" s="10"/>
      <c r="E78" s="572"/>
      <c r="F78" s="572"/>
      <c r="G78" s="573"/>
      <c r="H78" s="29"/>
      <c r="I78" s="29"/>
      <c r="J78" s="29"/>
      <c r="K78" s="29"/>
      <c r="L78" s="29"/>
      <c r="M78" s="29"/>
      <c r="N78" s="29"/>
      <c r="O78" s="29"/>
      <c r="P78" s="30"/>
      <c r="Q78" s="30"/>
      <c r="R78" s="34"/>
      <c r="S78" s="34"/>
      <c r="T78" s="34">
        <v>11.3</v>
      </c>
      <c r="U78" s="34">
        <v>10</v>
      </c>
      <c r="V78" s="34"/>
      <c r="W78" s="34">
        <v>12.7</v>
      </c>
      <c r="X78" s="34"/>
      <c r="Y78" s="34"/>
      <c r="Z78" s="34"/>
      <c r="AA78" s="34"/>
      <c r="AB78" s="42"/>
      <c r="AC78" s="574"/>
      <c r="AD78" s="42"/>
      <c r="AE78" s="42"/>
      <c r="AF78" s="42"/>
      <c r="AG78" s="42"/>
      <c r="AH78" s="42"/>
      <c r="AI78" s="42"/>
      <c r="AJ78" s="42"/>
      <c r="AK78" s="42"/>
      <c r="AL78" s="42"/>
      <c r="AM78" s="42"/>
      <c r="AN78" s="575"/>
      <c r="AO78" s="575"/>
      <c r="AP78" s="576"/>
      <c r="AQ78" s="575"/>
      <c r="AR78" s="575"/>
      <c r="AS78" s="10" t="s">
        <v>56</v>
      </c>
      <c r="AT78" s="10" t="s">
        <v>57</v>
      </c>
      <c r="AU78" s="10" t="s">
        <v>58</v>
      </c>
    </row>
    <row r="79" spans="1:47">
      <c r="B79" t="s">
        <v>8</v>
      </c>
      <c r="C79" t="s">
        <v>86</v>
      </c>
      <c r="G79" s="579"/>
      <c r="I79" s="31"/>
      <c r="J79" s="31"/>
      <c r="K79" s="31"/>
      <c r="L79" s="31"/>
      <c r="M79" s="31"/>
      <c r="N79" s="31"/>
      <c r="O79" s="31"/>
      <c r="P79" s="27" t="s">
        <v>296</v>
      </c>
      <c r="Q79" s="27" t="s">
        <v>294</v>
      </c>
      <c r="T79" s="35">
        <v>14.3</v>
      </c>
      <c r="U79" s="35">
        <v>5.5</v>
      </c>
      <c r="W79" s="35">
        <v>6.5</v>
      </c>
      <c r="AC79" s="580"/>
      <c r="AE79" s="43"/>
      <c r="AF79" s="43"/>
      <c r="AG79" s="43"/>
      <c r="AH79" s="43"/>
      <c r="AI79" s="43"/>
      <c r="AJ79" s="43"/>
      <c r="AK79" s="43"/>
      <c r="AL79" s="43"/>
      <c r="AM79" s="43"/>
      <c r="AN79" s="581"/>
      <c r="AO79" s="581"/>
      <c r="AP79" s="582"/>
      <c r="AS79" t="s">
        <v>56</v>
      </c>
      <c r="AT79" t="s">
        <v>57</v>
      </c>
      <c r="AU79" t="s">
        <v>58</v>
      </c>
    </row>
    <row r="80" spans="1:47">
      <c r="B80" s="10" t="s">
        <v>8</v>
      </c>
      <c r="C80" s="10" t="s">
        <v>87</v>
      </c>
      <c r="D80" s="10"/>
      <c r="E80" s="572"/>
      <c r="F80" s="572"/>
      <c r="G80" s="573"/>
      <c r="H80" s="29"/>
      <c r="I80" s="29"/>
      <c r="J80" s="29"/>
      <c r="K80" s="29"/>
      <c r="L80" s="29"/>
      <c r="M80" s="29"/>
      <c r="N80" s="29"/>
      <c r="O80" s="29"/>
      <c r="P80" s="30"/>
      <c r="Q80" s="30"/>
      <c r="R80" s="34"/>
      <c r="S80" s="34"/>
      <c r="T80" s="34">
        <v>37.799999999999997</v>
      </c>
      <c r="U80" s="34">
        <v>40</v>
      </c>
      <c r="V80" s="34"/>
      <c r="W80" s="34">
        <v>29.5</v>
      </c>
      <c r="X80" s="34"/>
      <c r="Y80" s="34"/>
      <c r="Z80" s="34"/>
      <c r="AA80" s="34"/>
      <c r="AB80" s="42"/>
      <c r="AC80" s="574"/>
      <c r="AD80" s="42"/>
      <c r="AE80" s="42"/>
      <c r="AF80" s="42"/>
      <c r="AG80" s="42"/>
      <c r="AH80" s="42"/>
      <c r="AI80" s="42"/>
      <c r="AJ80" s="42"/>
      <c r="AK80" s="42"/>
      <c r="AL80" s="42"/>
      <c r="AM80" s="42"/>
      <c r="AN80" s="575"/>
      <c r="AO80" s="575"/>
      <c r="AP80" s="576"/>
      <c r="AQ80" s="575"/>
      <c r="AR80" s="575"/>
      <c r="AS80" s="10" t="s">
        <v>56</v>
      </c>
      <c r="AT80" s="10" t="s">
        <v>57</v>
      </c>
      <c r="AU80" s="10" t="s">
        <v>58</v>
      </c>
    </row>
    <row r="81" spans="1:47">
      <c r="B81" t="s">
        <v>8</v>
      </c>
      <c r="C81" t="s">
        <v>88</v>
      </c>
      <c r="G81" s="579"/>
      <c r="I81" s="31"/>
      <c r="J81" s="31"/>
      <c r="K81" s="31"/>
      <c r="L81" s="31"/>
      <c r="M81" s="31"/>
      <c r="N81" s="31"/>
      <c r="O81" s="31"/>
      <c r="T81" s="35">
        <v>26.9</v>
      </c>
      <c r="U81" s="35">
        <v>20</v>
      </c>
      <c r="W81" s="35">
        <v>26.1</v>
      </c>
      <c r="AC81" s="580"/>
      <c r="AE81" s="43"/>
      <c r="AF81" s="43"/>
      <c r="AG81" s="43"/>
      <c r="AH81" s="43"/>
      <c r="AI81" s="43"/>
      <c r="AJ81" s="43"/>
      <c r="AK81" s="43"/>
      <c r="AL81" s="43"/>
      <c r="AM81" s="43"/>
      <c r="AN81" s="581"/>
      <c r="AO81" s="581"/>
      <c r="AP81" s="582"/>
      <c r="AS81" t="s">
        <v>56</v>
      </c>
      <c r="AT81" t="s">
        <v>57</v>
      </c>
      <c r="AU81" t="s">
        <v>58</v>
      </c>
    </row>
    <row r="82" spans="1:47">
      <c r="B82" s="10" t="s">
        <v>8</v>
      </c>
      <c r="C82" s="10" t="s">
        <v>89</v>
      </c>
      <c r="D82" s="10"/>
      <c r="E82" s="572"/>
      <c r="F82" s="572"/>
      <c r="G82" s="573"/>
      <c r="H82" s="29"/>
      <c r="I82" s="29"/>
      <c r="J82" s="29"/>
      <c r="K82" s="29"/>
      <c r="L82" s="29"/>
      <c r="M82" s="29"/>
      <c r="N82" s="29"/>
      <c r="O82" s="29"/>
      <c r="P82" s="30"/>
      <c r="Q82" s="30"/>
      <c r="R82" s="34"/>
      <c r="S82" s="34"/>
      <c r="T82" s="34">
        <v>8.6</v>
      </c>
      <c r="U82" s="34">
        <v>5</v>
      </c>
      <c r="V82" s="34"/>
      <c r="W82" s="34">
        <v>11.6</v>
      </c>
      <c r="X82" s="34"/>
      <c r="Y82" s="34"/>
      <c r="Z82" s="34"/>
      <c r="AA82" s="34"/>
      <c r="AB82" s="42"/>
      <c r="AC82" s="574"/>
      <c r="AD82" s="42"/>
      <c r="AE82" s="42"/>
      <c r="AF82" s="42"/>
      <c r="AG82" s="42"/>
      <c r="AH82" s="42"/>
      <c r="AI82" s="42"/>
      <c r="AJ82" s="42"/>
      <c r="AK82" s="42"/>
      <c r="AL82" s="42"/>
      <c r="AM82" s="42"/>
      <c r="AN82" s="575"/>
      <c r="AO82" s="575"/>
      <c r="AP82" s="576"/>
      <c r="AQ82" s="575"/>
      <c r="AR82" s="575"/>
      <c r="AS82" s="10" t="s">
        <v>56</v>
      </c>
      <c r="AT82" s="10" t="s">
        <v>57</v>
      </c>
      <c r="AU82" s="10" t="s">
        <v>58</v>
      </c>
    </row>
    <row r="83" spans="1:47">
      <c r="B83" t="s">
        <v>8</v>
      </c>
      <c r="C83" t="s">
        <v>90</v>
      </c>
      <c r="G83" s="579"/>
      <c r="I83" s="31"/>
      <c r="J83" s="31"/>
      <c r="K83" s="31"/>
      <c r="L83" s="31"/>
      <c r="M83" s="31"/>
      <c r="N83" s="31"/>
      <c r="O83" s="31"/>
      <c r="T83" s="35">
        <v>10.1</v>
      </c>
      <c r="U83" s="35">
        <v>6</v>
      </c>
      <c r="W83" s="35">
        <v>9.5</v>
      </c>
      <c r="AC83" s="580"/>
      <c r="AE83" s="43"/>
      <c r="AF83" s="43"/>
      <c r="AG83" s="43"/>
      <c r="AH83" s="43"/>
      <c r="AI83" s="43"/>
      <c r="AJ83" s="43"/>
      <c r="AK83" s="43"/>
      <c r="AL83" s="43"/>
      <c r="AM83" s="43"/>
      <c r="AN83" s="581"/>
      <c r="AO83" s="581"/>
      <c r="AP83" s="582"/>
      <c r="AS83" t="s">
        <v>56</v>
      </c>
      <c r="AT83" t="s">
        <v>57</v>
      </c>
      <c r="AU83" t="s">
        <v>58</v>
      </c>
    </row>
    <row r="84" spans="1:47">
      <c r="B84" s="10" t="s">
        <v>8</v>
      </c>
      <c r="C84" s="10" t="s">
        <v>91</v>
      </c>
      <c r="D84" s="10"/>
      <c r="E84" s="572"/>
      <c r="F84" s="572"/>
      <c r="G84" s="573"/>
      <c r="H84" s="29"/>
      <c r="I84" s="29"/>
      <c r="J84" s="29"/>
      <c r="K84" s="29"/>
      <c r="L84" s="29"/>
      <c r="M84" s="29"/>
      <c r="N84" s="29"/>
      <c r="O84" s="29"/>
      <c r="P84" s="30"/>
      <c r="Q84" s="30"/>
      <c r="R84" s="34"/>
      <c r="S84" s="34"/>
      <c r="T84" s="34">
        <v>7.8</v>
      </c>
      <c r="U84" s="34">
        <v>5</v>
      </c>
      <c r="V84" s="34"/>
      <c r="W84" s="34">
        <v>5.4</v>
      </c>
      <c r="X84" s="34"/>
      <c r="Y84" s="34"/>
      <c r="Z84" s="34"/>
      <c r="AA84" s="34"/>
      <c r="AB84" s="42"/>
      <c r="AC84" s="574"/>
      <c r="AD84" s="42"/>
      <c r="AE84" s="42"/>
      <c r="AF84" s="42"/>
      <c r="AG84" s="42"/>
      <c r="AH84" s="42"/>
      <c r="AI84" s="42"/>
      <c r="AJ84" s="42"/>
      <c r="AK84" s="42"/>
      <c r="AL84" s="42"/>
      <c r="AM84" s="42"/>
      <c r="AN84" s="575"/>
      <c r="AO84" s="575"/>
      <c r="AP84" s="576"/>
      <c r="AQ84" s="575"/>
      <c r="AR84" s="575"/>
      <c r="AS84" s="10" t="s">
        <v>56</v>
      </c>
      <c r="AT84" s="10" t="s">
        <v>57</v>
      </c>
      <c r="AU84" s="10" t="s">
        <v>58</v>
      </c>
    </row>
    <row r="85" spans="1:47">
      <c r="B85" s="10" t="s">
        <v>8</v>
      </c>
      <c r="C85" s="10" t="s">
        <v>93</v>
      </c>
      <c r="D85" s="10"/>
      <c r="E85" s="572"/>
      <c r="F85" s="572"/>
      <c r="G85" s="573"/>
      <c r="H85" s="29"/>
      <c r="I85" s="29"/>
      <c r="J85" s="29"/>
      <c r="K85" s="29"/>
      <c r="L85" s="29"/>
      <c r="M85" s="29"/>
      <c r="N85" s="29"/>
      <c r="O85" s="29"/>
      <c r="P85" s="30"/>
      <c r="Q85" s="30"/>
      <c r="R85" s="34"/>
      <c r="S85" s="34"/>
      <c r="T85" s="34">
        <v>10.199999999999999</v>
      </c>
      <c r="U85" s="34">
        <v>2</v>
      </c>
      <c r="V85" s="34"/>
      <c r="W85" s="34">
        <v>10.1</v>
      </c>
      <c r="X85" s="34"/>
      <c r="Y85" s="34"/>
      <c r="Z85" s="34"/>
      <c r="AA85" s="34"/>
      <c r="AB85" s="42"/>
      <c r="AC85" s="574"/>
      <c r="AD85" s="42"/>
      <c r="AE85" s="42"/>
      <c r="AF85" s="42"/>
      <c r="AG85" s="42"/>
      <c r="AH85" s="42"/>
      <c r="AI85" s="42"/>
      <c r="AJ85" s="42"/>
      <c r="AK85" s="42"/>
      <c r="AL85" s="42"/>
      <c r="AM85" s="42"/>
      <c r="AN85" s="575"/>
      <c r="AO85" s="575"/>
      <c r="AP85" s="576"/>
      <c r="AQ85" s="575"/>
      <c r="AR85" s="575"/>
      <c r="AS85" s="10" t="s">
        <v>56</v>
      </c>
      <c r="AT85" s="10" t="s">
        <v>57</v>
      </c>
      <c r="AU85" s="10" t="s">
        <v>58</v>
      </c>
    </row>
    <row r="86" spans="1:47">
      <c r="B86" t="s">
        <v>8</v>
      </c>
      <c r="C86" t="s">
        <v>94</v>
      </c>
      <c r="G86" s="579"/>
      <c r="I86" s="31"/>
      <c r="J86" s="31"/>
      <c r="K86" s="31"/>
      <c r="L86" s="31"/>
      <c r="M86" s="31"/>
      <c r="N86" s="31"/>
      <c r="O86" s="31"/>
      <c r="T86" s="35">
        <v>9.4</v>
      </c>
      <c r="U86" s="35">
        <v>7</v>
      </c>
      <c r="W86" s="35">
        <v>10.4</v>
      </c>
      <c r="AC86" s="580"/>
      <c r="AE86" s="43"/>
      <c r="AF86" s="43"/>
      <c r="AG86" s="43"/>
      <c r="AH86" s="43"/>
      <c r="AI86" s="43"/>
      <c r="AJ86" s="43"/>
      <c r="AK86" s="43"/>
      <c r="AL86" s="43"/>
      <c r="AM86" s="43"/>
      <c r="AN86" s="581"/>
      <c r="AO86" s="581"/>
      <c r="AP86" s="582"/>
      <c r="AS86" t="s">
        <v>56</v>
      </c>
      <c r="AT86" t="s">
        <v>57</v>
      </c>
      <c r="AU86" t="s">
        <v>58</v>
      </c>
    </row>
    <row r="87" spans="1:47">
      <c r="A87" t="s">
        <v>192</v>
      </c>
      <c r="B87" s="10" t="s">
        <v>8</v>
      </c>
      <c r="C87" s="3" t="s">
        <v>35</v>
      </c>
      <c r="D87" s="3"/>
      <c r="E87" s="589">
        <v>28</v>
      </c>
      <c r="F87" s="590"/>
      <c r="G87" s="564" t="s">
        <v>9208</v>
      </c>
      <c r="H87" s="23"/>
      <c r="I87" s="30" t="s">
        <v>9254</v>
      </c>
      <c r="J87" s="30" t="s">
        <v>9255</v>
      </c>
      <c r="K87" s="30"/>
      <c r="L87" s="24">
        <v>84151090</v>
      </c>
      <c r="M87" s="24" t="s">
        <v>9256</v>
      </c>
      <c r="N87" s="24"/>
      <c r="O87" s="24"/>
      <c r="P87" s="24" t="s">
        <v>268</v>
      </c>
      <c r="Q87" s="24" t="s">
        <v>267</v>
      </c>
      <c r="R87" s="32">
        <v>10</v>
      </c>
      <c r="S87" s="32">
        <v>12</v>
      </c>
      <c r="T87" s="32">
        <v>11</v>
      </c>
      <c r="U87" s="32"/>
      <c r="V87" s="32"/>
      <c r="W87" s="32"/>
      <c r="X87" s="32"/>
      <c r="Y87" s="32">
        <v>2</v>
      </c>
      <c r="Z87" s="32">
        <v>21</v>
      </c>
      <c r="AA87" s="32"/>
      <c r="AB87" s="40">
        <v>27</v>
      </c>
      <c r="AC87" s="591">
        <v>82</v>
      </c>
      <c r="AD87" s="40"/>
      <c r="AE87" s="40"/>
      <c r="AF87" s="40"/>
      <c r="AG87" s="40"/>
      <c r="AH87" s="40"/>
      <c r="AI87" s="40"/>
      <c r="AJ87" s="40"/>
      <c r="AK87" s="40"/>
      <c r="AL87" s="40"/>
      <c r="AM87" s="40"/>
      <c r="AN87" s="592"/>
      <c r="AO87" s="592"/>
      <c r="AP87" s="593"/>
      <c r="AQ87" s="592"/>
      <c r="AR87" s="592"/>
      <c r="AS87" s="3" t="s">
        <v>10</v>
      </c>
      <c r="AT87" s="3" t="s">
        <v>11</v>
      </c>
      <c r="AU87" s="10"/>
    </row>
    <row r="88" spans="1:47">
      <c r="A88" t="s">
        <v>192</v>
      </c>
      <c r="B88" s="10" t="s">
        <v>8</v>
      </c>
      <c r="C88" s="10" t="s">
        <v>55</v>
      </c>
      <c r="D88" s="10"/>
      <c r="E88" s="589">
        <v>28</v>
      </c>
      <c r="F88" s="572"/>
      <c r="G88" s="564" t="s">
        <v>9208</v>
      </c>
      <c r="H88" s="29"/>
      <c r="I88" s="30" t="s">
        <v>9254</v>
      </c>
      <c r="J88" s="30" t="s">
        <v>9255</v>
      </c>
      <c r="K88" s="30"/>
      <c r="L88" s="30" t="s">
        <v>9257</v>
      </c>
      <c r="M88" s="30" t="s">
        <v>9257</v>
      </c>
      <c r="N88" s="30"/>
      <c r="O88" s="30"/>
      <c r="P88" s="30" t="s">
        <v>269</v>
      </c>
      <c r="Q88" s="30" t="s">
        <v>267</v>
      </c>
      <c r="R88" s="34"/>
      <c r="S88" s="34"/>
      <c r="T88" s="34">
        <v>12.5</v>
      </c>
      <c r="U88" s="34">
        <v>6</v>
      </c>
      <c r="V88" s="34"/>
      <c r="W88" s="34">
        <v>5</v>
      </c>
      <c r="X88" s="34"/>
      <c r="Y88" s="34">
        <v>2</v>
      </c>
      <c r="Z88" s="34">
        <v>13</v>
      </c>
      <c r="AA88" s="34"/>
      <c r="AB88" s="42"/>
      <c r="AC88" s="574"/>
      <c r="AD88" s="42"/>
      <c r="AE88" s="42"/>
      <c r="AF88" s="42"/>
      <c r="AG88" s="42"/>
      <c r="AH88" s="42"/>
      <c r="AI88" s="42"/>
      <c r="AJ88" s="42"/>
      <c r="AK88" s="42"/>
      <c r="AL88" s="42"/>
      <c r="AM88" s="42"/>
      <c r="AN88" s="575"/>
      <c r="AO88" s="575"/>
      <c r="AP88" s="576"/>
      <c r="AQ88" s="575"/>
      <c r="AR88" s="575"/>
      <c r="AS88" s="10" t="s">
        <v>56</v>
      </c>
      <c r="AT88" s="10" t="s">
        <v>57</v>
      </c>
      <c r="AU88" s="10" t="s">
        <v>58</v>
      </c>
    </row>
    <row r="89" spans="1:47">
      <c r="A89" t="s">
        <v>192</v>
      </c>
      <c r="B89" t="s">
        <v>8</v>
      </c>
      <c r="C89" t="s">
        <v>96</v>
      </c>
      <c r="P89" s="27" t="s">
        <v>283</v>
      </c>
      <c r="Q89" s="27" t="s">
        <v>284</v>
      </c>
      <c r="T89" s="35">
        <v>31.9</v>
      </c>
      <c r="U89" s="35">
        <v>19</v>
      </c>
      <c r="W89" s="35">
        <v>33.1</v>
      </c>
      <c r="Y89" s="35">
        <v>1</v>
      </c>
      <c r="Z89" s="35">
        <v>8</v>
      </c>
      <c r="AC89" s="580"/>
      <c r="AE89" s="43"/>
      <c r="AF89" s="43"/>
      <c r="AG89" s="43"/>
      <c r="AH89" s="43"/>
      <c r="AI89" s="43"/>
      <c r="AJ89" s="43"/>
      <c r="AK89" s="43"/>
      <c r="AL89" s="43"/>
      <c r="AM89" s="43"/>
      <c r="AN89" s="581"/>
      <c r="AO89" s="581"/>
      <c r="AP89" s="582"/>
      <c r="AS89" t="s">
        <v>56</v>
      </c>
      <c r="AT89" t="s">
        <v>57</v>
      </c>
      <c r="AU89" t="s">
        <v>58</v>
      </c>
    </row>
    <row r="90" spans="1:47">
      <c r="A90" t="s">
        <v>192</v>
      </c>
      <c r="B90" s="10" t="s">
        <v>8</v>
      </c>
      <c r="C90" s="10" t="s">
        <v>154</v>
      </c>
      <c r="D90" s="10"/>
      <c r="E90" s="572"/>
      <c r="F90" s="572"/>
      <c r="G90" s="598"/>
      <c r="H90" s="29"/>
      <c r="I90" s="30"/>
      <c r="J90" s="30"/>
      <c r="K90" s="30"/>
      <c r="L90" s="30"/>
      <c r="M90" s="30"/>
      <c r="N90" s="30"/>
      <c r="O90" s="30"/>
      <c r="P90" s="30" t="s">
        <v>282</v>
      </c>
      <c r="Q90" s="30" t="s">
        <v>278</v>
      </c>
      <c r="R90" s="34">
        <v>8</v>
      </c>
      <c r="S90" s="34">
        <v>15</v>
      </c>
      <c r="T90" s="34"/>
      <c r="U90" s="34"/>
      <c r="V90" s="34"/>
      <c r="W90" s="34"/>
      <c r="X90" s="34"/>
      <c r="Y90" s="34">
        <v>2</v>
      </c>
      <c r="Z90" s="34">
        <v>14</v>
      </c>
      <c r="AA90" s="34"/>
      <c r="AB90" s="42"/>
      <c r="AC90" s="574"/>
      <c r="AD90" s="42"/>
      <c r="AE90" s="42"/>
      <c r="AF90" s="42"/>
      <c r="AG90" s="42"/>
      <c r="AH90" s="42"/>
      <c r="AI90" s="42"/>
      <c r="AJ90" s="42"/>
      <c r="AK90" s="42"/>
      <c r="AL90" s="42"/>
      <c r="AM90" s="42"/>
      <c r="AN90" s="575"/>
      <c r="AO90" s="575"/>
      <c r="AP90" s="576"/>
      <c r="AQ90" s="575"/>
      <c r="AR90" s="575"/>
      <c r="AS90" s="10" t="s">
        <v>155</v>
      </c>
      <c r="AT90" s="10"/>
      <c r="AU90" s="10"/>
    </row>
    <row r="91" spans="1:47" hidden="1">
      <c r="B91" t="s">
        <v>160</v>
      </c>
      <c r="C91" t="s">
        <v>159</v>
      </c>
      <c r="G91" s="579"/>
      <c r="I91" s="31"/>
      <c r="J91" s="31"/>
      <c r="K91" s="31"/>
      <c r="L91" s="31"/>
      <c r="M91" s="31"/>
      <c r="N91" s="31"/>
      <c r="O91" s="31"/>
      <c r="T91" s="35">
        <v>8</v>
      </c>
      <c r="AC91" s="580"/>
      <c r="AE91" s="43"/>
      <c r="AF91" s="43"/>
      <c r="AG91" s="43"/>
      <c r="AH91" s="43"/>
      <c r="AI91" s="43"/>
      <c r="AJ91" s="43"/>
      <c r="AK91" s="43"/>
      <c r="AL91" s="43"/>
      <c r="AM91" s="43"/>
      <c r="AN91" s="581"/>
      <c r="AO91" s="581"/>
      <c r="AP91" s="582"/>
      <c r="AS91" t="s">
        <v>164</v>
      </c>
      <c r="AT91" t="s">
        <v>165</v>
      </c>
      <c r="AU91">
        <v>2011</v>
      </c>
    </row>
    <row r="92" spans="1:47" hidden="1">
      <c r="B92" s="10" t="s">
        <v>195</v>
      </c>
      <c r="C92" s="10" t="s">
        <v>196</v>
      </c>
      <c r="D92" s="10"/>
      <c r="E92" s="572"/>
      <c r="F92" s="572"/>
      <c r="G92" s="573"/>
      <c r="H92" s="29"/>
      <c r="I92" s="29"/>
      <c r="J92" s="29"/>
      <c r="K92" s="29"/>
      <c r="L92" s="29"/>
      <c r="M92" s="29"/>
      <c r="N92" s="29"/>
      <c r="O92" s="29"/>
      <c r="P92" s="30"/>
      <c r="Q92" s="30"/>
      <c r="R92" s="34"/>
      <c r="S92" s="34"/>
      <c r="T92" s="34"/>
      <c r="U92" s="34"/>
      <c r="V92" s="34"/>
      <c r="W92" s="34"/>
      <c r="X92" s="34"/>
      <c r="Y92" s="34"/>
      <c r="Z92" s="34"/>
      <c r="AA92" s="34"/>
      <c r="AB92" s="42"/>
      <c r="AC92" s="574"/>
      <c r="AD92" s="42"/>
      <c r="AE92" s="42"/>
      <c r="AF92" s="42"/>
      <c r="AG92" s="42"/>
      <c r="AH92" s="42"/>
      <c r="AI92" s="42"/>
      <c r="AJ92" s="42"/>
      <c r="AK92" s="42"/>
      <c r="AL92" s="42"/>
      <c r="AM92" s="42"/>
      <c r="AN92" s="575"/>
      <c r="AO92" s="575"/>
      <c r="AP92" s="576"/>
      <c r="AQ92" s="575"/>
      <c r="AR92" s="575"/>
      <c r="AS92" s="10"/>
      <c r="AT92" s="10"/>
      <c r="AU92" s="10"/>
    </row>
    <row r="93" spans="1:47">
      <c r="A93" t="s">
        <v>192</v>
      </c>
      <c r="B93" s="10" t="s">
        <v>8</v>
      </c>
      <c r="C93" s="3" t="s">
        <v>45</v>
      </c>
      <c r="D93" s="3" t="s">
        <v>46</v>
      </c>
      <c r="E93" s="589">
        <v>28</v>
      </c>
      <c r="F93" s="590"/>
      <c r="G93" s="564" t="s">
        <v>9208</v>
      </c>
      <c r="H93" s="23"/>
      <c r="I93" s="24" t="s">
        <v>9209</v>
      </c>
      <c r="J93" s="24">
        <v>28251335</v>
      </c>
      <c r="K93" s="24"/>
      <c r="L93" s="24" t="s">
        <v>9258</v>
      </c>
      <c r="M93" s="24" t="s">
        <v>9258</v>
      </c>
      <c r="N93" s="24"/>
      <c r="O93" s="24"/>
      <c r="P93" s="24" t="s">
        <v>270</v>
      </c>
      <c r="Q93" s="24" t="s">
        <v>267</v>
      </c>
      <c r="R93" s="32">
        <v>9</v>
      </c>
      <c r="S93" s="32">
        <v>14</v>
      </c>
      <c r="T93" s="32">
        <v>12</v>
      </c>
      <c r="U93" s="32"/>
      <c r="V93" s="32"/>
      <c r="W93" s="32"/>
      <c r="X93" s="32"/>
      <c r="Y93" s="32">
        <v>2</v>
      </c>
      <c r="Z93" s="32">
        <v>15</v>
      </c>
      <c r="AA93" s="32"/>
      <c r="AB93" s="40">
        <v>680</v>
      </c>
      <c r="AC93" s="591">
        <v>775</v>
      </c>
      <c r="AD93" s="40"/>
      <c r="AE93" s="40"/>
      <c r="AF93" s="40"/>
      <c r="AG93" s="40"/>
      <c r="AH93" s="40"/>
      <c r="AI93" s="40"/>
      <c r="AJ93" s="40"/>
      <c r="AK93" s="40"/>
      <c r="AL93" s="40"/>
      <c r="AM93" s="40"/>
      <c r="AN93" s="592"/>
      <c r="AO93" s="592"/>
      <c r="AP93" s="593"/>
      <c r="AQ93" s="592"/>
      <c r="AR93" s="592"/>
      <c r="AS93" s="3" t="s">
        <v>10</v>
      </c>
      <c r="AT93" s="3" t="s">
        <v>11</v>
      </c>
      <c r="AU93" s="10"/>
    </row>
    <row r="94" spans="1:47" hidden="1">
      <c r="B94" s="10" t="s">
        <v>100</v>
      </c>
      <c r="C94" s="10" t="s">
        <v>158</v>
      </c>
      <c r="D94" s="10"/>
      <c r="E94" s="572"/>
      <c r="F94" s="572"/>
      <c r="G94" s="573"/>
      <c r="H94" s="29"/>
      <c r="I94" s="29"/>
      <c r="J94" s="29"/>
      <c r="K94" s="29"/>
      <c r="L94" s="29"/>
      <c r="M94" s="29"/>
      <c r="N94" s="29"/>
      <c r="O94" s="29"/>
      <c r="P94" s="30"/>
      <c r="Q94" s="30"/>
      <c r="R94" s="34"/>
      <c r="S94" s="34"/>
      <c r="T94" s="34">
        <v>6</v>
      </c>
      <c r="U94" s="34"/>
      <c r="V94" s="34"/>
      <c r="W94" s="34"/>
      <c r="X94" s="34"/>
      <c r="Y94" s="34"/>
      <c r="Z94" s="34"/>
      <c r="AA94" s="34"/>
      <c r="AB94" s="42"/>
      <c r="AC94" s="574"/>
      <c r="AD94" s="42"/>
      <c r="AE94" s="42"/>
      <c r="AF94" s="42"/>
      <c r="AG94" s="42"/>
      <c r="AH94" s="42"/>
      <c r="AI94" s="42"/>
      <c r="AJ94" s="42"/>
      <c r="AK94" s="42"/>
      <c r="AL94" s="42"/>
      <c r="AM94" s="42"/>
      <c r="AN94" s="575"/>
      <c r="AO94" s="575"/>
      <c r="AP94" s="576"/>
      <c r="AQ94" s="575"/>
      <c r="AR94" s="575"/>
      <c r="AS94" s="10" t="s">
        <v>164</v>
      </c>
      <c r="AT94" s="10" t="s">
        <v>165</v>
      </c>
      <c r="AU94" s="10">
        <v>2011</v>
      </c>
    </row>
    <row r="95" spans="1:47" hidden="1">
      <c r="B95" s="10" t="s">
        <v>100</v>
      </c>
      <c r="C95" s="10" t="s">
        <v>125</v>
      </c>
      <c r="D95" s="10"/>
      <c r="E95" s="572"/>
      <c r="F95" s="572"/>
      <c r="G95" s="573"/>
      <c r="H95" s="29"/>
      <c r="I95" s="29"/>
      <c r="J95" s="29"/>
      <c r="K95" s="29"/>
      <c r="L95" s="29"/>
      <c r="M95" s="29"/>
      <c r="N95" s="29"/>
      <c r="O95" s="29"/>
      <c r="P95" s="30"/>
      <c r="Q95" s="30"/>
      <c r="R95" s="34">
        <v>8.6999999999999993</v>
      </c>
      <c r="S95" s="34">
        <v>8.6999999999999993</v>
      </c>
      <c r="T95" s="34">
        <v>8.6999999999999993</v>
      </c>
      <c r="U95" s="34"/>
      <c r="V95" s="34"/>
      <c r="W95" s="34"/>
      <c r="X95" s="34"/>
      <c r="Y95" s="34"/>
      <c r="Z95" s="34"/>
      <c r="AA95" s="34"/>
      <c r="AB95" s="42"/>
      <c r="AC95" s="574"/>
      <c r="AD95" s="42"/>
      <c r="AE95" s="42"/>
      <c r="AF95" s="42"/>
      <c r="AG95" s="42"/>
      <c r="AH95" s="42"/>
      <c r="AI95" s="42"/>
      <c r="AJ95" s="42"/>
      <c r="AK95" s="42"/>
      <c r="AL95" s="42"/>
      <c r="AM95" s="42"/>
      <c r="AN95" s="575"/>
      <c r="AO95" s="575"/>
      <c r="AP95" s="576"/>
      <c r="AQ95" s="575"/>
      <c r="AR95" s="575"/>
      <c r="AS95" s="10" t="s">
        <v>126</v>
      </c>
      <c r="AT95" s="20" t="s">
        <v>127</v>
      </c>
      <c r="AU95" s="10" t="s">
        <v>128</v>
      </c>
    </row>
    <row r="96" spans="1:47" hidden="1">
      <c r="B96" t="s">
        <v>100</v>
      </c>
      <c r="C96" t="s">
        <v>129</v>
      </c>
      <c r="G96" s="579"/>
      <c r="I96" s="31"/>
      <c r="J96" s="31"/>
      <c r="K96" s="31"/>
      <c r="L96" s="31"/>
      <c r="M96" s="31"/>
      <c r="N96" s="31"/>
      <c r="O96" s="31"/>
      <c r="R96" s="35">
        <v>4.0999999999999996</v>
      </c>
      <c r="S96" s="35">
        <v>15.5</v>
      </c>
      <c r="T96" s="35">
        <v>7.1</v>
      </c>
      <c r="AC96" s="580"/>
      <c r="AE96" s="43"/>
      <c r="AF96" s="43"/>
      <c r="AG96" s="43"/>
      <c r="AH96" s="43"/>
      <c r="AI96" s="43"/>
      <c r="AJ96" s="43"/>
      <c r="AK96" s="43"/>
      <c r="AL96" s="43"/>
      <c r="AM96" s="43"/>
      <c r="AN96" s="581"/>
      <c r="AO96" s="581"/>
      <c r="AP96" s="582"/>
      <c r="AS96" t="s">
        <v>130</v>
      </c>
      <c r="AT96" s="19" t="s">
        <v>127</v>
      </c>
      <c r="AU96" t="s">
        <v>128</v>
      </c>
    </row>
    <row r="97" spans="1:47" hidden="1">
      <c r="B97" s="10" t="s">
        <v>100</v>
      </c>
      <c r="C97" s="10" t="s">
        <v>131</v>
      </c>
      <c r="D97" s="10"/>
      <c r="E97" s="572"/>
      <c r="F97" s="572"/>
      <c r="G97" s="573"/>
      <c r="H97" s="29"/>
      <c r="I97" s="29"/>
      <c r="J97" s="29"/>
      <c r="K97" s="29"/>
      <c r="L97" s="29"/>
      <c r="M97" s="29"/>
      <c r="N97" s="29"/>
      <c r="O97" s="29"/>
      <c r="P97" s="30"/>
      <c r="Q97" s="30"/>
      <c r="R97" s="34">
        <v>4</v>
      </c>
      <c r="S97" s="34">
        <v>11.8</v>
      </c>
      <c r="T97" s="34">
        <v>7</v>
      </c>
      <c r="U97" s="34"/>
      <c r="V97" s="34"/>
      <c r="W97" s="34"/>
      <c r="X97" s="34"/>
      <c r="Y97" s="34"/>
      <c r="Z97" s="34"/>
      <c r="AA97" s="34"/>
      <c r="AB97" s="42"/>
      <c r="AC97" s="574"/>
      <c r="AD97" s="42"/>
      <c r="AE97" s="42"/>
      <c r="AF97" s="42"/>
      <c r="AG97" s="42"/>
      <c r="AH97" s="42"/>
      <c r="AI97" s="42"/>
      <c r="AJ97" s="42"/>
      <c r="AK97" s="42"/>
      <c r="AL97" s="42"/>
      <c r="AM97" s="42"/>
      <c r="AN97" s="575"/>
      <c r="AO97" s="575"/>
      <c r="AP97" s="576"/>
      <c r="AQ97" s="575"/>
      <c r="AR97" s="575"/>
      <c r="AS97" s="10" t="s">
        <v>132</v>
      </c>
      <c r="AT97" s="20" t="s">
        <v>127</v>
      </c>
      <c r="AU97" s="10" t="s">
        <v>128</v>
      </c>
    </row>
    <row r="98" spans="1:47" hidden="1">
      <c r="B98" t="s">
        <v>100</v>
      </c>
      <c r="C98" t="s">
        <v>133</v>
      </c>
      <c r="G98" s="579"/>
      <c r="I98" s="31"/>
      <c r="J98" s="31"/>
      <c r="K98" s="31"/>
      <c r="L98" s="31"/>
      <c r="M98" s="31"/>
      <c r="N98" s="31"/>
      <c r="O98" s="31"/>
      <c r="R98" s="35">
        <v>4.0999999999999996</v>
      </c>
      <c r="S98" s="35">
        <v>15.2</v>
      </c>
      <c r="T98" s="35">
        <v>6.9</v>
      </c>
      <c r="AC98" s="580"/>
      <c r="AE98" s="43"/>
      <c r="AF98" s="43"/>
      <c r="AG98" s="43"/>
      <c r="AH98" s="43"/>
      <c r="AI98" s="43"/>
      <c r="AJ98" s="43"/>
      <c r="AK98" s="43"/>
      <c r="AL98" s="43"/>
      <c r="AM98" s="43"/>
      <c r="AN98" s="581"/>
      <c r="AO98" s="581"/>
      <c r="AP98" s="582"/>
      <c r="AS98" t="s">
        <v>134</v>
      </c>
      <c r="AT98" s="19" t="s">
        <v>127</v>
      </c>
      <c r="AU98" t="s">
        <v>128</v>
      </c>
    </row>
    <row r="99" spans="1:47" hidden="1">
      <c r="B99" s="10" t="s">
        <v>100</v>
      </c>
      <c r="C99" s="10" t="s">
        <v>107</v>
      </c>
      <c r="D99" s="10"/>
      <c r="E99" s="572"/>
      <c r="F99" s="572"/>
      <c r="G99" s="573"/>
      <c r="H99" s="29"/>
      <c r="I99" s="29"/>
      <c r="J99" s="29"/>
      <c r="K99" s="29"/>
      <c r="L99" s="29"/>
      <c r="M99" s="29"/>
      <c r="N99" s="29"/>
      <c r="O99" s="29"/>
      <c r="P99" s="30"/>
      <c r="Q99" s="30"/>
      <c r="R99" s="34">
        <v>4</v>
      </c>
      <c r="S99" s="34">
        <v>11.7</v>
      </c>
      <c r="T99" s="34">
        <v>6.8</v>
      </c>
      <c r="U99" s="34"/>
      <c r="V99" s="34"/>
      <c r="W99" s="34"/>
      <c r="X99" s="34"/>
      <c r="Y99" s="34"/>
      <c r="Z99" s="34"/>
      <c r="AA99" s="34"/>
      <c r="AB99" s="42"/>
      <c r="AC99" s="574"/>
      <c r="AD99" s="42"/>
      <c r="AE99" s="42"/>
      <c r="AF99" s="42"/>
      <c r="AG99" s="42"/>
      <c r="AH99" s="42"/>
      <c r="AI99" s="42"/>
      <c r="AJ99" s="42"/>
      <c r="AK99" s="42"/>
      <c r="AL99" s="42"/>
      <c r="AM99" s="42"/>
      <c r="AN99" s="575"/>
      <c r="AO99" s="575"/>
      <c r="AP99" s="576"/>
      <c r="AQ99" s="575"/>
      <c r="AR99" s="575"/>
      <c r="AS99" s="10" t="s">
        <v>135</v>
      </c>
      <c r="AT99" s="20" t="s">
        <v>127</v>
      </c>
      <c r="AU99" s="10" t="s">
        <v>128</v>
      </c>
    </row>
    <row r="100" spans="1:47" hidden="1">
      <c r="B100" t="s">
        <v>100</v>
      </c>
      <c r="C100" t="s">
        <v>150</v>
      </c>
      <c r="G100" s="579">
        <v>14.31</v>
      </c>
      <c r="I100" s="31"/>
      <c r="J100" s="31"/>
      <c r="K100" s="31"/>
      <c r="L100" s="31"/>
      <c r="M100" s="31"/>
      <c r="N100" s="31"/>
      <c r="O100" s="31"/>
      <c r="R100" s="35">
        <v>3.8</v>
      </c>
      <c r="S100" s="35">
        <v>10.8</v>
      </c>
      <c r="T100" s="35">
        <v>6</v>
      </c>
      <c r="AC100" s="580"/>
      <c r="AE100" s="43"/>
      <c r="AF100" s="43"/>
      <c r="AG100" s="43"/>
      <c r="AH100" s="43"/>
      <c r="AI100" s="43"/>
      <c r="AJ100" s="43"/>
      <c r="AK100" s="43"/>
      <c r="AL100" s="43"/>
      <c r="AM100" s="43"/>
      <c r="AN100" s="581"/>
      <c r="AO100" s="581"/>
      <c r="AP100" s="582"/>
      <c r="AS100" t="s">
        <v>136</v>
      </c>
      <c r="AT100" s="19" t="s">
        <v>127</v>
      </c>
      <c r="AU100" t="s">
        <v>128</v>
      </c>
    </row>
    <row r="101" spans="1:47">
      <c r="A101" t="s">
        <v>192</v>
      </c>
      <c r="B101" t="s">
        <v>8</v>
      </c>
      <c r="C101" s="2" t="s">
        <v>45</v>
      </c>
      <c r="D101" s="2" t="s">
        <v>47</v>
      </c>
      <c r="E101" s="589">
        <v>28</v>
      </c>
      <c r="F101" s="585"/>
      <c r="G101" s="564" t="s">
        <v>9208</v>
      </c>
      <c r="H101" s="25"/>
      <c r="I101" s="24" t="s">
        <v>9209</v>
      </c>
      <c r="J101" s="26">
        <v>28251335</v>
      </c>
      <c r="K101" s="26"/>
      <c r="L101" s="24" t="s">
        <v>9258</v>
      </c>
      <c r="M101" s="24" t="s">
        <v>9258</v>
      </c>
      <c r="N101" s="24"/>
      <c r="O101" s="24"/>
      <c r="P101" s="24" t="s">
        <v>270</v>
      </c>
      <c r="Q101" s="26" t="s">
        <v>267</v>
      </c>
      <c r="R101" s="33">
        <v>8</v>
      </c>
      <c r="S101" s="33">
        <v>12.5</v>
      </c>
      <c r="T101" s="33">
        <v>10</v>
      </c>
      <c r="U101" s="33"/>
      <c r="V101" s="33"/>
      <c r="W101" s="33"/>
      <c r="X101" s="33"/>
      <c r="Y101" s="33">
        <v>2</v>
      </c>
      <c r="Z101" s="33">
        <v>15</v>
      </c>
      <c r="AA101" s="33"/>
      <c r="AB101" s="41">
        <v>90</v>
      </c>
      <c r="AC101" s="586">
        <v>150</v>
      </c>
      <c r="AD101" s="41"/>
      <c r="AE101" s="41"/>
      <c r="AF101" s="41"/>
      <c r="AG101" s="41"/>
      <c r="AH101" s="41"/>
      <c r="AI101" s="41"/>
      <c r="AJ101" s="41"/>
      <c r="AK101" s="41"/>
      <c r="AL101" s="41"/>
      <c r="AM101" s="41"/>
      <c r="AN101" s="587"/>
      <c r="AO101" s="587"/>
      <c r="AP101" s="588"/>
      <c r="AQ101" s="587"/>
      <c r="AR101" s="587"/>
      <c r="AS101" s="2" t="s">
        <v>10</v>
      </c>
      <c r="AT101" s="2" t="s">
        <v>11</v>
      </c>
    </row>
    <row r="102" spans="1:47" hidden="1">
      <c r="B102" t="s">
        <v>100</v>
      </c>
      <c r="C102" t="s">
        <v>139</v>
      </c>
      <c r="G102" s="579"/>
      <c r="I102" s="31"/>
      <c r="J102" s="31"/>
      <c r="K102" s="31"/>
      <c r="L102" s="31"/>
      <c r="M102" s="31"/>
      <c r="N102" s="31"/>
      <c r="O102" s="31"/>
      <c r="R102" s="35">
        <v>2.2000000000000002</v>
      </c>
      <c r="S102" s="35">
        <v>6.2</v>
      </c>
      <c r="T102" s="35">
        <v>4.7</v>
      </c>
      <c r="AC102" s="580"/>
      <c r="AE102" s="43"/>
      <c r="AF102" s="43"/>
      <c r="AG102" s="43"/>
      <c r="AH102" s="43"/>
      <c r="AI102" s="43"/>
      <c r="AJ102" s="43"/>
      <c r="AK102" s="43"/>
      <c r="AL102" s="43"/>
      <c r="AM102" s="43"/>
      <c r="AN102" s="581"/>
      <c r="AO102" s="581"/>
      <c r="AP102" s="582"/>
      <c r="AS102" t="s">
        <v>140</v>
      </c>
      <c r="AT102" s="19" t="s">
        <v>127</v>
      </c>
      <c r="AU102" t="s">
        <v>128</v>
      </c>
    </row>
    <row r="103" spans="1:47">
      <c r="A103" t="s">
        <v>192</v>
      </c>
      <c r="B103" s="10" t="s">
        <v>8</v>
      </c>
      <c r="C103" s="3" t="s">
        <v>45</v>
      </c>
      <c r="D103" s="3" t="s">
        <v>48</v>
      </c>
      <c r="E103" s="589">
        <v>28</v>
      </c>
      <c r="F103" s="590"/>
      <c r="G103" s="564" t="s">
        <v>9208</v>
      </c>
      <c r="H103" s="23"/>
      <c r="I103" s="24" t="s">
        <v>9209</v>
      </c>
      <c r="J103" s="24">
        <v>28251360</v>
      </c>
      <c r="K103" s="24"/>
      <c r="L103" s="26" t="s">
        <v>8071</v>
      </c>
      <c r="M103" s="26" t="s">
        <v>8071</v>
      </c>
      <c r="N103" s="26"/>
      <c r="O103" s="26"/>
      <c r="P103" s="24" t="s">
        <v>270</v>
      </c>
      <c r="Q103" s="24" t="s">
        <v>267</v>
      </c>
      <c r="R103" s="32">
        <v>8</v>
      </c>
      <c r="S103" s="32">
        <v>12.5</v>
      </c>
      <c r="T103" s="32">
        <v>10</v>
      </c>
      <c r="U103" s="32"/>
      <c r="V103" s="32"/>
      <c r="W103" s="32"/>
      <c r="X103" s="32"/>
      <c r="Y103" s="32">
        <v>2</v>
      </c>
      <c r="Z103" s="32">
        <v>15</v>
      </c>
      <c r="AA103" s="32"/>
      <c r="AB103" s="40">
        <v>75</v>
      </c>
      <c r="AC103" s="591">
        <v>280</v>
      </c>
      <c r="AD103" s="40"/>
      <c r="AE103" s="40"/>
      <c r="AF103" s="40"/>
      <c r="AG103" s="40"/>
      <c r="AH103" s="40"/>
      <c r="AI103" s="40"/>
      <c r="AJ103" s="40"/>
      <c r="AK103" s="40"/>
      <c r="AL103" s="40"/>
      <c r="AM103" s="40"/>
      <c r="AN103" s="592"/>
      <c r="AO103" s="592"/>
      <c r="AP103" s="593"/>
      <c r="AQ103" s="592"/>
      <c r="AR103" s="592"/>
      <c r="AS103" s="3" t="s">
        <v>10</v>
      </c>
      <c r="AT103" s="3" t="s">
        <v>11</v>
      </c>
      <c r="AU103" s="10"/>
    </row>
    <row r="104" spans="1:47" hidden="1">
      <c r="B104" t="s">
        <v>100</v>
      </c>
      <c r="C104" t="s">
        <v>143</v>
      </c>
      <c r="G104" s="579">
        <v>14.14</v>
      </c>
      <c r="I104" s="31" t="s">
        <v>151</v>
      </c>
      <c r="J104" s="31"/>
      <c r="K104" s="31"/>
      <c r="L104" s="31"/>
      <c r="M104" s="31"/>
      <c r="N104" s="31"/>
      <c r="O104" s="31"/>
      <c r="R104" s="35">
        <v>3.1</v>
      </c>
      <c r="S104" s="35">
        <v>4.3</v>
      </c>
      <c r="T104" s="35">
        <v>3.5</v>
      </c>
      <c r="AC104" s="580"/>
      <c r="AE104" s="43"/>
      <c r="AF104" s="43"/>
      <c r="AG104" s="43"/>
      <c r="AH104" s="43"/>
      <c r="AI104" s="43"/>
      <c r="AJ104" s="43"/>
      <c r="AK104" s="43"/>
      <c r="AL104" s="43"/>
      <c r="AM104" s="43"/>
      <c r="AN104" s="581"/>
      <c r="AO104" s="581"/>
      <c r="AP104" s="582"/>
      <c r="AS104" t="s">
        <v>144</v>
      </c>
      <c r="AT104" s="19" t="s">
        <v>127</v>
      </c>
      <c r="AU104" t="s">
        <v>128</v>
      </c>
    </row>
    <row r="105" spans="1:47" hidden="1">
      <c r="B105" s="10" t="s">
        <v>100</v>
      </c>
      <c r="C105" s="10" t="s">
        <v>108</v>
      </c>
      <c r="D105" s="10"/>
      <c r="E105" s="572"/>
      <c r="F105" s="572"/>
      <c r="G105" s="573"/>
      <c r="H105" s="29"/>
      <c r="I105" s="29"/>
      <c r="J105" s="29"/>
      <c r="K105" s="29"/>
      <c r="L105" s="29"/>
      <c r="M105" s="29"/>
      <c r="N105" s="29"/>
      <c r="O105" s="29"/>
      <c r="P105" s="30"/>
      <c r="Q105" s="30"/>
      <c r="R105" s="34">
        <v>2.4</v>
      </c>
      <c r="S105" s="34">
        <v>4.2</v>
      </c>
      <c r="T105" s="34">
        <v>3.5</v>
      </c>
      <c r="U105" s="34"/>
      <c r="V105" s="34"/>
      <c r="W105" s="34"/>
      <c r="X105" s="34"/>
      <c r="Y105" s="34"/>
      <c r="Z105" s="34"/>
      <c r="AA105" s="34"/>
      <c r="AB105" s="42"/>
      <c r="AC105" s="574"/>
      <c r="AD105" s="42"/>
      <c r="AE105" s="42"/>
      <c r="AF105" s="42"/>
      <c r="AG105" s="42"/>
      <c r="AH105" s="42"/>
      <c r="AI105" s="42"/>
      <c r="AJ105" s="42"/>
      <c r="AK105" s="42"/>
      <c r="AL105" s="42"/>
      <c r="AM105" s="42"/>
      <c r="AN105" s="575"/>
      <c r="AO105" s="575"/>
      <c r="AP105" s="576"/>
      <c r="AQ105" s="575"/>
      <c r="AR105" s="575"/>
      <c r="AS105" s="10" t="s">
        <v>145</v>
      </c>
      <c r="AT105" s="20" t="s">
        <v>127</v>
      </c>
      <c r="AU105" s="10" t="s">
        <v>128</v>
      </c>
    </row>
    <row r="106" spans="1:47" hidden="1">
      <c r="B106" t="s">
        <v>100</v>
      </c>
      <c r="C106" t="s">
        <v>146</v>
      </c>
      <c r="G106" s="579"/>
      <c r="I106" s="31"/>
      <c r="J106" s="31"/>
      <c r="K106" s="31"/>
      <c r="L106" s="31"/>
      <c r="M106" s="31"/>
      <c r="N106" s="31"/>
      <c r="O106" s="31"/>
      <c r="R106" s="35">
        <v>2.5</v>
      </c>
      <c r="S106" s="35">
        <v>4.2</v>
      </c>
      <c r="T106" s="35">
        <v>3.1</v>
      </c>
      <c r="AC106" s="580"/>
      <c r="AE106" s="43"/>
      <c r="AF106" s="43"/>
      <c r="AG106" s="43"/>
      <c r="AH106" s="43"/>
      <c r="AI106" s="43"/>
      <c r="AJ106" s="43"/>
      <c r="AK106" s="43"/>
      <c r="AL106" s="43"/>
      <c r="AM106" s="43"/>
      <c r="AN106" s="581"/>
      <c r="AO106" s="581"/>
      <c r="AP106" s="582"/>
      <c r="AS106" t="s">
        <v>147</v>
      </c>
      <c r="AT106" s="19" t="s">
        <v>127</v>
      </c>
      <c r="AU106" t="s">
        <v>128</v>
      </c>
    </row>
    <row r="107" spans="1:47" hidden="1">
      <c r="B107" s="10" t="s">
        <v>100</v>
      </c>
      <c r="C107" s="10" t="s">
        <v>148</v>
      </c>
      <c r="D107" s="10"/>
      <c r="E107" s="572"/>
      <c r="F107" s="572"/>
      <c r="G107" s="573">
        <v>14.31</v>
      </c>
      <c r="H107" s="29"/>
      <c r="I107" s="29"/>
      <c r="J107" s="29"/>
      <c r="K107" s="29"/>
      <c r="L107" s="29"/>
      <c r="M107" s="29"/>
      <c r="N107" s="29"/>
      <c r="O107" s="29"/>
      <c r="P107" s="30"/>
      <c r="Q107" s="30"/>
      <c r="R107" s="34">
        <v>1.8</v>
      </c>
      <c r="S107" s="34">
        <v>3.7</v>
      </c>
      <c r="T107" s="34">
        <v>2.6</v>
      </c>
      <c r="U107" s="34"/>
      <c r="V107" s="34"/>
      <c r="W107" s="34"/>
      <c r="X107" s="34"/>
      <c r="Y107" s="34"/>
      <c r="Z107" s="34"/>
      <c r="AA107" s="34"/>
      <c r="AB107" s="42"/>
      <c r="AC107" s="574"/>
      <c r="AD107" s="42"/>
      <c r="AE107" s="42"/>
      <c r="AF107" s="42"/>
      <c r="AG107" s="42"/>
      <c r="AH107" s="42"/>
      <c r="AI107" s="42"/>
      <c r="AJ107" s="42"/>
      <c r="AK107" s="42"/>
      <c r="AL107" s="42"/>
      <c r="AM107" s="42"/>
      <c r="AN107" s="575"/>
      <c r="AO107" s="575"/>
      <c r="AP107" s="576"/>
      <c r="AQ107" s="575"/>
      <c r="AR107" s="575"/>
      <c r="AS107" s="10" t="s">
        <v>149</v>
      </c>
      <c r="AT107" s="20" t="s">
        <v>127</v>
      </c>
      <c r="AU107" s="10" t="s">
        <v>128</v>
      </c>
    </row>
    <row r="108" spans="1:47" hidden="1">
      <c r="B108" t="s">
        <v>100</v>
      </c>
      <c r="C108" t="s">
        <v>101</v>
      </c>
      <c r="G108" s="579"/>
      <c r="I108" s="31"/>
      <c r="J108" s="31"/>
      <c r="K108" s="31"/>
      <c r="L108" s="31"/>
      <c r="M108" s="31"/>
      <c r="N108" s="31"/>
      <c r="O108" s="31"/>
      <c r="T108" s="35">
        <v>3.1</v>
      </c>
      <c r="AC108" s="580"/>
      <c r="AE108" s="43"/>
      <c r="AF108" s="43"/>
      <c r="AG108" s="43"/>
      <c r="AH108" s="43"/>
      <c r="AI108" s="43"/>
      <c r="AJ108" s="43"/>
      <c r="AK108" s="43"/>
      <c r="AL108" s="43"/>
      <c r="AM108" s="43"/>
      <c r="AN108" s="581"/>
      <c r="AO108" s="581"/>
      <c r="AP108" s="582"/>
      <c r="AS108" t="s">
        <v>102</v>
      </c>
      <c r="AT108" t="s">
        <v>153</v>
      </c>
      <c r="AU108">
        <v>2013</v>
      </c>
    </row>
    <row r="109" spans="1:47" hidden="1">
      <c r="B109" s="10" t="s">
        <v>100</v>
      </c>
      <c r="C109" s="10" t="s">
        <v>103</v>
      </c>
      <c r="D109" s="10"/>
      <c r="E109" s="572"/>
      <c r="F109" s="572"/>
      <c r="G109" s="573">
        <v>14.14</v>
      </c>
      <c r="H109" s="29"/>
      <c r="I109" s="29" t="s">
        <v>151</v>
      </c>
      <c r="J109" s="29"/>
      <c r="K109" s="29"/>
      <c r="L109" s="29"/>
      <c r="M109" s="29"/>
      <c r="N109" s="29"/>
      <c r="O109" s="29"/>
      <c r="P109" s="30"/>
      <c r="Q109" s="30"/>
      <c r="R109" s="34"/>
      <c r="S109" s="34"/>
      <c r="T109" s="34">
        <v>2.9000000000000004</v>
      </c>
      <c r="U109" s="34"/>
      <c r="V109" s="34"/>
      <c r="W109" s="34"/>
      <c r="X109" s="34"/>
      <c r="Y109" s="34"/>
      <c r="Z109" s="34"/>
      <c r="AA109" s="34"/>
      <c r="AB109" s="42"/>
      <c r="AC109" s="574"/>
      <c r="AD109" s="42"/>
      <c r="AE109" s="42"/>
      <c r="AF109" s="42"/>
      <c r="AG109" s="42"/>
      <c r="AH109" s="42"/>
      <c r="AI109" s="42"/>
      <c r="AJ109" s="42"/>
      <c r="AK109" s="42"/>
      <c r="AL109" s="42"/>
      <c r="AM109" s="42"/>
      <c r="AN109" s="575"/>
      <c r="AO109" s="575"/>
      <c r="AP109" s="576"/>
      <c r="AQ109" s="575"/>
      <c r="AR109" s="575"/>
      <c r="AS109" s="10" t="s">
        <v>102</v>
      </c>
      <c r="AT109" s="10" t="s">
        <v>153</v>
      </c>
      <c r="AU109" s="10">
        <v>2013</v>
      </c>
    </row>
    <row r="110" spans="1:47" hidden="1">
      <c r="B110" t="s">
        <v>100</v>
      </c>
      <c r="C110" t="s">
        <v>104</v>
      </c>
      <c r="G110" s="579"/>
      <c r="I110" s="31"/>
      <c r="J110" s="31"/>
      <c r="K110" s="31"/>
      <c r="L110" s="31"/>
      <c r="M110" s="31"/>
      <c r="N110" s="31"/>
      <c r="O110" s="31"/>
      <c r="T110" s="35">
        <v>6.2</v>
      </c>
      <c r="AC110" s="580"/>
      <c r="AE110" s="43"/>
      <c r="AF110" s="43"/>
      <c r="AG110" s="43"/>
      <c r="AH110" s="43"/>
      <c r="AI110" s="43"/>
      <c r="AJ110" s="43"/>
      <c r="AK110" s="43"/>
      <c r="AL110" s="43"/>
      <c r="AM110" s="43"/>
      <c r="AN110" s="581"/>
      <c r="AO110" s="581"/>
      <c r="AP110" s="582"/>
      <c r="AS110" t="s">
        <v>102</v>
      </c>
      <c r="AT110" s="19" t="s">
        <v>153</v>
      </c>
      <c r="AU110">
        <v>2013</v>
      </c>
    </row>
    <row r="111" spans="1:47" hidden="1">
      <c r="B111" s="10" t="s">
        <v>100</v>
      </c>
      <c r="C111" s="10" t="s">
        <v>105</v>
      </c>
      <c r="D111" s="10"/>
      <c r="E111" s="572"/>
      <c r="F111" s="572"/>
      <c r="G111" s="573"/>
      <c r="H111" s="29"/>
      <c r="I111" s="29"/>
      <c r="J111" s="29"/>
      <c r="K111" s="29"/>
      <c r="L111" s="29"/>
      <c r="M111" s="29"/>
      <c r="N111" s="29"/>
      <c r="O111" s="29"/>
      <c r="P111" s="30"/>
      <c r="Q111" s="30"/>
      <c r="R111" s="34"/>
      <c r="S111" s="34"/>
      <c r="T111" s="34">
        <v>4.7</v>
      </c>
      <c r="U111" s="34"/>
      <c r="V111" s="34"/>
      <c r="W111" s="34"/>
      <c r="X111" s="34"/>
      <c r="Y111" s="34"/>
      <c r="Z111" s="34"/>
      <c r="AA111" s="34"/>
      <c r="AB111" s="42"/>
      <c r="AC111" s="574"/>
      <c r="AD111" s="42"/>
      <c r="AE111" s="42"/>
      <c r="AF111" s="42"/>
      <c r="AG111" s="42"/>
      <c r="AH111" s="42"/>
      <c r="AI111" s="42"/>
      <c r="AJ111" s="42"/>
      <c r="AK111" s="42"/>
      <c r="AL111" s="42"/>
      <c r="AM111" s="42"/>
      <c r="AN111" s="575"/>
      <c r="AO111" s="575"/>
      <c r="AP111" s="576"/>
      <c r="AQ111" s="575"/>
      <c r="AR111" s="575"/>
      <c r="AS111" s="10" t="s">
        <v>102</v>
      </c>
      <c r="AT111" s="10" t="s">
        <v>153</v>
      </c>
      <c r="AU111" s="10">
        <v>2013</v>
      </c>
    </row>
    <row r="112" spans="1:47" hidden="1">
      <c r="B112" t="s">
        <v>100</v>
      </c>
      <c r="C112" t="s">
        <v>106</v>
      </c>
      <c r="G112" s="579"/>
      <c r="I112" s="31"/>
      <c r="J112" s="31"/>
      <c r="K112" s="31"/>
      <c r="L112" s="31"/>
      <c r="M112" s="31"/>
      <c r="N112" s="31"/>
      <c r="O112" s="31"/>
      <c r="T112" s="35">
        <v>4.9000000000000004</v>
      </c>
      <c r="AC112" s="580"/>
      <c r="AE112" s="43"/>
      <c r="AF112" s="43"/>
      <c r="AG112" s="43"/>
      <c r="AH112" s="43"/>
      <c r="AI112" s="43"/>
      <c r="AJ112" s="43"/>
      <c r="AK112" s="43"/>
      <c r="AL112" s="43"/>
      <c r="AM112" s="43"/>
      <c r="AN112" s="581"/>
      <c r="AO112" s="581"/>
      <c r="AP112" s="582"/>
      <c r="AS112" t="s">
        <v>102</v>
      </c>
      <c r="AT112" t="s">
        <v>153</v>
      </c>
      <c r="AU112">
        <v>2013</v>
      </c>
    </row>
    <row r="113" spans="1:47" hidden="1">
      <c r="B113" s="10" t="s">
        <v>100</v>
      </c>
      <c r="C113" s="10" t="s">
        <v>107</v>
      </c>
      <c r="D113" s="10"/>
      <c r="E113" s="572"/>
      <c r="F113" s="572"/>
      <c r="G113" s="573"/>
      <c r="H113" s="29"/>
      <c r="I113" s="29"/>
      <c r="J113" s="29"/>
      <c r="K113" s="29"/>
      <c r="L113" s="29"/>
      <c r="M113" s="29"/>
      <c r="N113" s="29"/>
      <c r="O113" s="29"/>
      <c r="P113" s="30"/>
      <c r="Q113" s="30"/>
      <c r="R113" s="34"/>
      <c r="S113" s="34"/>
      <c r="T113" s="34">
        <v>6.5</v>
      </c>
      <c r="U113" s="34"/>
      <c r="V113" s="34"/>
      <c r="W113" s="34"/>
      <c r="X113" s="34"/>
      <c r="Y113" s="34"/>
      <c r="Z113" s="34"/>
      <c r="AA113" s="34"/>
      <c r="AB113" s="42"/>
      <c r="AC113" s="574"/>
      <c r="AD113" s="42"/>
      <c r="AE113" s="42"/>
      <c r="AF113" s="42"/>
      <c r="AG113" s="42"/>
      <c r="AH113" s="42"/>
      <c r="AI113" s="42"/>
      <c r="AJ113" s="42"/>
      <c r="AK113" s="42"/>
      <c r="AL113" s="42"/>
      <c r="AM113" s="42"/>
      <c r="AN113" s="575"/>
      <c r="AO113" s="575"/>
      <c r="AP113" s="576"/>
      <c r="AQ113" s="575"/>
      <c r="AR113" s="575"/>
      <c r="AS113" s="10" t="s">
        <v>102</v>
      </c>
      <c r="AT113" s="10" t="s">
        <v>153</v>
      </c>
      <c r="AU113" s="10">
        <v>2013</v>
      </c>
    </row>
    <row r="114" spans="1:47" hidden="1">
      <c r="B114" t="s">
        <v>100</v>
      </c>
      <c r="C114" t="s">
        <v>108</v>
      </c>
      <c r="G114" s="579"/>
      <c r="I114" s="31"/>
      <c r="J114" s="31"/>
      <c r="K114" s="31"/>
      <c r="L114" s="31"/>
      <c r="M114" s="31"/>
      <c r="N114" s="31"/>
      <c r="O114" s="31"/>
      <c r="T114" s="35">
        <v>3.9000000000000004</v>
      </c>
      <c r="AC114" s="580"/>
      <c r="AE114" s="43"/>
      <c r="AF114" s="43"/>
      <c r="AG114" s="43"/>
      <c r="AH114" s="43"/>
      <c r="AI114" s="43"/>
      <c r="AJ114" s="43"/>
      <c r="AK114" s="43"/>
      <c r="AL114" s="43"/>
      <c r="AM114" s="43"/>
      <c r="AN114" s="581"/>
      <c r="AO114" s="581"/>
      <c r="AP114" s="582"/>
      <c r="AS114" t="s">
        <v>102</v>
      </c>
      <c r="AT114" t="s">
        <v>153</v>
      </c>
      <c r="AU114">
        <v>2013</v>
      </c>
    </row>
    <row r="115" spans="1:47" hidden="1">
      <c r="B115" s="10" t="s">
        <v>100</v>
      </c>
      <c r="C115" s="10" t="s">
        <v>150</v>
      </c>
      <c r="D115" s="10"/>
      <c r="E115" s="572"/>
      <c r="F115" s="572"/>
      <c r="G115" s="573">
        <v>14.31</v>
      </c>
      <c r="H115" s="29"/>
      <c r="I115" s="29"/>
      <c r="J115" s="29"/>
      <c r="K115" s="29"/>
      <c r="L115" s="29"/>
      <c r="M115" s="29"/>
      <c r="N115" s="29"/>
      <c r="O115" s="29"/>
      <c r="P115" s="30"/>
      <c r="Q115" s="30"/>
      <c r="R115" s="34"/>
      <c r="S115" s="34"/>
      <c r="T115" s="34">
        <v>4.5</v>
      </c>
      <c r="U115" s="34"/>
      <c r="V115" s="34"/>
      <c r="W115" s="34"/>
      <c r="X115" s="34"/>
      <c r="Y115" s="34"/>
      <c r="Z115" s="34"/>
      <c r="AA115" s="34"/>
      <c r="AB115" s="42"/>
      <c r="AC115" s="574"/>
      <c r="AD115" s="42"/>
      <c r="AE115" s="42"/>
      <c r="AF115" s="42"/>
      <c r="AG115" s="42"/>
      <c r="AH115" s="42"/>
      <c r="AI115" s="42"/>
      <c r="AJ115" s="42"/>
      <c r="AK115" s="42"/>
      <c r="AL115" s="42"/>
      <c r="AM115" s="42"/>
      <c r="AN115" s="575"/>
      <c r="AO115" s="575"/>
      <c r="AP115" s="576"/>
      <c r="AQ115" s="575"/>
      <c r="AR115" s="575"/>
      <c r="AS115" s="10" t="s">
        <v>102</v>
      </c>
      <c r="AT115" s="10" t="s">
        <v>153</v>
      </c>
      <c r="AU115" s="10">
        <v>2013</v>
      </c>
    </row>
    <row r="116" spans="1:47" hidden="1">
      <c r="B116" t="s">
        <v>100</v>
      </c>
      <c r="C116" t="s">
        <v>110</v>
      </c>
      <c r="G116" s="579">
        <v>14.14</v>
      </c>
      <c r="I116" s="31"/>
      <c r="J116" s="31"/>
      <c r="K116" s="31"/>
      <c r="L116" s="31"/>
      <c r="M116" s="31"/>
      <c r="N116" s="31"/>
      <c r="O116" s="31"/>
      <c r="T116" s="35">
        <v>2.2000000000000002</v>
      </c>
      <c r="AC116" s="580"/>
      <c r="AE116" s="43"/>
      <c r="AF116" s="43"/>
      <c r="AG116" s="43"/>
      <c r="AH116" s="43"/>
      <c r="AI116" s="43"/>
      <c r="AJ116" s="43"/>
      <c r="AK116" s="43"/>
      <c r="AL116" s="43"/>
      <c r="AM116" s="43"/>
      <c r="AN116" s="581"/>
      <c r="AO116" s="581"/>
      <c r="AP116" s="582"/>
      <c r="AS116" t="s">
        <v>102</v>
      </c>
      <c r="AT116" t="s">
        <v>153</v>
      </c>
      <c r="AU116">
        <v>2013</v>
      </c>
    </row>
    <row r="117" spans="1:47" hidden="1">
      <c r="B117" s="10" t="s">
        <v>100</v>
      </c>
      <c r="C117" s="10" t="s">
        <v>109</v>
      </c>
      <c r="D117" s="10"/>
      <c r="E117" s="572"/>
      <c r="F117" s="572"/>
      <c r="G117" s="573"/>
      <c r="H117" s="29"/>
      <c r="I117" s="29"/>
      <c r="J117" s="29"/>
      <c r="K117" s="29"/>
      <c r="L117" s="29"/>
      <c r="M117" s="29"/>
      <c r="N117" s="29"/>
      <c r="O117" s="29"/>
      <c r="P117" s="30"/>
      <c r="Q117" s="30"/>
      <c r="R117" s="34"/>
      <c r="S117" s="34"/>
      <c r="T117" s="34">
        <v>3.2</v>
      </c>
      <c r="U117" s="34"/>
      <c r="V117" s="34"/>
      <c r="W117" s="34"/>
      <c r="X117" s="34"/>
      <c r="Y117" s="34"/>
      <c r="Z117" s="34"/>
      <c r="AA117" s="34"/>
      <c r="AB117" s="42"/>
      <c r="AC117" s="574"/>
      <c r="AD117" s="42"/>
      <c r="AE117" s="42"/>
      <c r="AF117" s="42"/>
      <c r="AG117" s="42"/>
      <c r="AH117" s="42"/>
      <c r="AI117" s="42"/>
      <c r="AJ117" s="42"/>
      <c r="AK117" s="42"/>
      <c r="AL117" s="42"/>
      <c r="AM117" s="42"/>
      <c r="AN117" s="575"/>
      <c r="AO117" s="575"/>
      <c r="AP117" s="576"/>
      <c r="AQ117" s="575"/>
      <c r="AR117" s="575"/>
      <c r="AS117" s="10" t="s">
        <v>102</v>
      </c>
      <c r="AT117" s="10" t="s">
        <v>153</v>
      </c>
      <c r="AU117" s="10">
        <v>2013</v>
      </c>
    </row>
    <row r="118" spans="1:47" hidden="1">
      <c r="B118" t="s">
        <v>100</v>
      </c>
      <c r="C118" t="s">
        <v>111</v>
      </c>
      <c r="G118" s="579"/>
      <c r="I118" s="31"/>
      <c r="J118" s="31"/>
      <c r="K118" s="31"/>
      <c r="L118" s="31"/>
      <c r="M118" s="31"/>
      <c r="N118" s="31"/>
      <c r="O118" s="31"/>
      <c r="T118" s="35">
        <v>3.9</v>
      </c>
      <c r="AC118" s="580"/>
      <c r="AE118" s="43"/>
      <c r="AF118" s="43"/>
      <c r="AG118" s="43"/>
      <c r="AH118" s="43"/>
      <c r="AI118" s="43"/>
      <c r="AJ118" s="43"/>
      <c r="AK118" s="43"/>
      <c r="AL118" s="43"/>
      <c r="AM118" s="43"/>
      <c r="AN118" s="581"/>
      <c r="AO118" s="581"/>
      <c r="AP118" s="582"/>
      <c r="AS118" t="s">
        <v>102</v>
      </c>
      <c r="AT118" t="s">
        <v>153</v>
      </c>
      <c r="AU118">
        <v>2013</v>
      </c>
    </row>
    <row r="119" spans="1:47" hidden="1">
      <c r="B119" s="10" t="s">
        <v>100</v>
      </c>
      <c r="C119" s="10" t="s">
        <v>112</v>
      </c>
      <c r="D119" s="10"/>
      <c r="E119" s="572"/>
      <c r="F119" s="572"/>
      <c r="G119" s="573"/>
      <c r="H119" s="29"/>
      <c r="I119" s="29"/>
      <c r="J119" s="29"/>
      <c r="K119" s="29"/>
      <c r="L119" s="29"/>
      <c r="M119" s="29"/>
      <c r="N119" s="29"/>
      <c r="O119" s="29"/>
      <c r="P119" s="30"/>
      <c r="Q119" s="30"/>
      <c r="R119" s="34"/>
      <c r="S119" s="34"/>
      <c r="T119" s="34">
        <v>5.7</v>
      </c>
      <c r="U119" s="34"/>
      <c r="V119" s="34"/>
      <c r="W119" s="34"/>
      <c r="X119" s="34"/>
      <c r="Y119" s="34"/>
      <c r="Z119" s="34"/>
      <c r="AA119" s="34"/>
      <c r="AB119" s="42"/>
      <c r="AC119" s="574"/>
      <c r="AD119" s="42"/>
      <c r="AE119" s="42"/>
      <c r="AF119" s="42"/>
      <c r="AG119" s="42"/>
      <c r="AH119" s="42"/>
      <c r="AI119" s="42"/>
      <c r="AJ119" s="42"/>
      <c r="AK119" s="42"/>
      <c r="AL119" s="42"/>
      <c r="AM119" s="42"/>
      <c r="AN119" s="575"/>
      <c r="AO119" s="575"/>
      <c r="AP119" s="576"/>
      <c r="AQ119" s="575"/>
      <c r="AR119" s="575"/>
      <c r="AS119" s="10" t="s">
        <v>102</v>
      </c>
      <c r="AT119" s="10" t="s">
        <v>153</v>
      </c>
      <c r="AU119" s="10">
        <v>2013</v>
      </c>
    </row>
    <row r="120" spans="1:47" hidden="1">
      <c r="B120" t="s">
        <v>100</v>
      </c>
      <c r="C120" t="s">
        <v>113</v>
      </c>
      <c r="G120" s="579">
        <v>14.14</v>
      </c>
      <c r="I120" s="31" t="s">
        <v>152</v>
      </c>
      <c r="J120" s="31"/>
      <c r="K120" s="31"/>
      <c r="L120" s="31"/>
      <c r="M120" s="31"/>
      <c r="N120" s="31"/>
      <c r="O120" s="31"/>
      <c r="T120" s="35">
        <v>4.9000000000000004</v>
      </c>
      <c r="AC120" s="580"/>
      <c r="AE120" s="43"/>
      <c r="AF120" s="43"/>
      <c r="AG120" s="43"/>
      <c r="AH120" s="43"/>
      <c r="AI120" s="43"/>
      <c r="AJ120" s="43"/>
      <c r="AK120" s="43"/>
      <c r="AL120" s="43"/>
      <c r="AM120" s="43"/>
      <c r="AN120" s="581"/>
      <c r="AO120" s="581"/>
      <c r="AP120" s="582"/>
      <c r="AS120" t="s">
        <v>102</v>
      </c>
      <c r="AT120" t="s">
        <v>153</v>
      </c>
      <c r="AU120">
        <v>2013</v>
      </c>
    </row>
    <row r="121" spans="1:47">
      <c r="A121" t="s">
        <v>192</v>
      </c>
      <c r="B121" s="10" t="s">
        <v>8</v>
      </c>
      <c r="C121" s="3" t="s">
        <v>31</v>
      </c>
      <c r="D121" s="3" t="s">
        <v>33</v>
      </c>
      <c r="E121" s="589">
        <v>28</v>
      </c>
      <c r="F121" s="590"/>
      <c r="G121" s="564"/>
      <c r="H121" s="23"/>
      <c r="I121" s="24" t="s">
        <v>9209</v>
      </c>
      <c r="J121" s="24" t="s">
        <v>9213</v>
      </c>
      <c r="K121" s="24"/>
      <c r="L121" s="24" t="s">
        <v>9259</v>
      </c>
      <c r="M121" s="24">
        <v>8414</v>
      </c>
      <c r="N121" s="24"/>
      <c r="O121" s="24"/>
      <c r="P121" s="24" t="s">
        <v>280</v>
      </c>
      <c r="Q121" s="24" t="s">
        <v>278</v>
      </c>
      <c r="R121" s="32">
        <v>15</v>
      </c>
      <c r="S121" s="32">
        <v>18</v>
      </c>
      <c r="T121" s="32">
        <v>17</v>
      </c>
      <c r="U121" s="32"/>
      <c r="V121" s="32"/>
      <c r="W121" s="32"/>
      <c r="X121" s="32"/>
      <c r="Y121" s="32">
        <v>2</v>
      </c>
      <c r="Z121" s="32">
        <v>13</v>
      </c>
      <c r="AA121" s="32"/>
      <c r="AB121" s="40">
        <v>500</v>
      </c>
      <c r="AC121" s="591">
        <v>850</v>
      </c>
      <c r="AD121" s="40"/>
      <c r="AE121" s="40"/>
      <c r="AF121" s="40"/>
      <c r="AG121" s="40"/>
      <c r="AH121" s="40"/>
      <c r="AI121" s="40"/>
      <c r="AJ121" s="40"/>
      <c r="AK121" s="40"/>
      <c r="AL121" s="40"/>
      <c r="AM121" s="40"/>
      <c r="AN121" s="592"/>
      <c r="AO121" s="592"/>
      <c r="AP121" s="593"/>
      <c r="AQ121" s="592"/>
      <c r="AR121" s="592"/>
      <c r="AS121" s="3" t="s">
        <v>10</v>
      </c>
      <c r="AT121" s="3" t="s">
        <v>11</v>
      </c>
      <c r="AU121" s="10"/>
    </row>
    <row r="122" spans="1:47" hidden="1">
      <c r="B122" t="s">
        <v>100</v>
      </c>
      <c r="C122" t="s">
        <v>115</v>
      </c>
      <c r="G122" s="579"/>
      <c r="I122" s="31"/>
      <c r="J122" s="31"/>
      <c r="K122" s="31"/>
      <c r="L122" s="31"/>
      <c r="M122" s="31"/>
      <c r="N122" s="31"/>
      <c r="O122" s="31"/>
      <c r="T122" s="35">
        <v>4.4000000000000004</v>
      </c>
      <c r="AC122" s="580"/>
      <c r="AE122" s="43"/>
      <c r="AF122" s="43"/>
      <c r="AG122" s="43"/>
      <c r="AH122" s="43"/>
      <c r="AI122" s="43"/>
      <c r="AJ122" s="43"/>
      <c r="AK122" s="43"/>
      <c r="AL122" s="43"/>
      <c r="AM122" s="43"/>
      <c r="AN122" s="581"/>
      <c r="AO122" s="581"/>
      <c r="AP122" s="582"/>
      <c r="AS122" t="s">
        <v>102</v>
      </c>
      <c r="AT122" t="s">
        <v>153</v>
      </c>
      <c r="AU122">
        <v>2013</v>
      </c>
    </row>
    <row r="123" spans="1:47" hidden="1">
      <c r="B123" s="10" t="s">
        <v>100</v>
      </c>
      <c r="C123" s="10" t="s">
        <v>116</v>
      </c>
      <c r="D123" s="10"/>
      <c r="E123" s="572"/>
      <c r="F123" s="572"/>
      <c r="G123" s="573"/>
      <c r="H123" s="29"/>
      <c r="I123" s="29"/>
      <c r="J123" s="29"/>
      <c r="K123" s="29"/>
      <c r="L123" s="29"/>
      <c r="M123" s="29"/>
      <c r="N123" s="29"/>
      <c r="O123" s="29"/>
      <c r="P123" s="30"/>
      <c r="Q123" s="30"/>
      <c r="R123" s="34"/>
      <c r="S123" s="34"/>
      <c r="T123" s="34">
        <v>5.2</v>
      </c>
      <c r="U123" s="34"/>
      <c r="V123" s="34"/>
      <c r="W123" s="34"/>
      <c r="X123" s="34"/>
      <c r="Y123" s="34"/>
      <c r="Z123" s="34"/>
      <c r="AA123" s="34"/>
      <c r="AB123" s="42"/>
      <c r="AC123" s="574"/>
      <c r="AD123" s="42"/>
      <c r="AE123" s="42"/>
      <c r="AF123" s="42"/>
      <c r="AG123" s="42"/>
      <c r="AH123" s="42"/>
      <c r="AI123" s="42"/>
      <c r="AJ123" s="42"/>
      <c r="AK123" s="42"/>
      <c r="AL123" s="42"/>
      <c r="AM123" s="42"/>
      <c r="AN123" s="575"/>
      <c r="AO123" s="575"/>
      <c r="AP123" s="576"/>
      <c r="AQ123" s="575"/>
      <c r="AR123" s="575"/>
      <c r="AS123" s="10" t="s">
        <v>102</v>
      </c>
      <c r="AT123" s="10" t="s">
        <v>153</v>
      </c>
      <c r="AU123" s="10">
        <v>2013</v>
      </c>
    </row>
    <row r="124" spans="1:47" hidden="1">
      <c r="B124" t="s">
        <v>100</v>
      </c>
      <c r="C124" t="s">
        <v>117</v>
      </c>
      <c r="G124" s="579">
        <v>14.31</v>
      </c>
      <c r="I124" s="31"/>
      <c r="J124" s="31"/>
      <c r="K124" s="31"/>
      <c r="L124" s="31"/>
      <c r="M124" s="31"/>
      <c r="N124" s="31"/>
      <c r="O124" s="31"/>
      <c r="T124" s="35">
        <v>2.4</v>
      </c>
      <c r="AC124" s="580"/>
      <c r="AE124" s="43"/>
      <c r="AF124" s="43"/>
      <c r="AG124" s="43"/>
      <c r="AH124" s="43"/>
      <c r="AI124" s="43"/>
      <c r="AJ124" s="43"/>
      <c r="AK124" s="43"/>
      <c r="AL124" s="43"/>
      <c r="AM124" s="43"/>
      <c r="AN124" s="581"/>
      <c r="AO124" s="581"/>
      <c r="AP124" s="582"/>
      <c r="AS124" t="s">
        <v>102</v>
      </c>
      <c r="AT124" t="s">
        <v>153</v>
      </c>
      <c r="AU124">
        <v>2013</v>
      </c>
    </row>
    <row r="125" spans="1:47" hidden="1">
      <c r="B125" s="10" t="s">
        <v>100</v>
      </c>
      <c r="C125" s="10" t="s">
        <v>118</v>
      </c>
      <c r="D125" s="10"/>
      <c r="E125" s="572"/>
      <c r="F125" s="572"/>
      <c r="G125" s="573"/>
      <c r="H125" s="29"/>
      <c r="I125" s="29"/>
      <c r="J125" s="29"/>
      <c r="K125" s="29"/>
      <c r="L125" s="29"/>
      <c r="M125" s="29"/>
      <c r="N125" s="29"/>
      <c r="O125" s="29"/>
      <c r="P125" s="30"/>
      <c r="Q125" s="30"/>
      <c r="R125" s="34"/>
      <c r="S125" s="34"/>
      <c r="T125" s="34">
        <v>4.5</v>
      </c>
      <c r="U125" s="34"/>
      <c r="V125" s="34"/>
      <c r="W125" s="34"/>
      <c r="X125" s="34"/>
      <c r="Y125" s="34"/>
      <c r="Z125" s="34"/>
      <c r="AA125" s="34"/>
      <c r="AB125" s="42"/>
      <c r="AC125" s="574"/>
      <c r="AD125" s="42"/>
      <c r="AE125" s="42"/>
      <c r="AF125" s="42"/>
      <c r="AG125" s="42"/>
      <c r="AH125" s="42"/>
      <c r="AI125" s="42"/>
      <c r="AJ125" s="42"/>
      <c r="AK125" s="42"/>
      <c r="AL125" s="42"/>
      <c r="AM125" s="42"/>
      <c r="AN125" s="575"/>
      <c r="AO125" s="575"/>
      <c r="AP125" s="576"/>
      <c r="AQ125" s="575"/>
      <c r="AR125" s="575"/>
      <c r="AS125" s="10" t="s">
        <v>102</v>
      </c>
      <c r="AT125" s="10" t="s">
        <v>153</v>
      </c>
      <c r="AU125" s="10">
        <v>2013</v>
      </c>
    </row>
    <row r="126" spans="1:47" hidden="1">
      <c r="B126" t="s">
        <v>100</v>
      </c>
      <c r="C126" t="s">
        <v>119</v>
      </c>
      <c r="G126" s="579"/>
      <c r="I126" s="31"/>
      <c r="J126" s="31"/>
      <c r="K126" s="31"/>
      <c r="L126" s="31"/>
      <c r="M126" s="31"/>
      <c r="N126" s="31"/>
      <c r="O126" s="31"/>
      <c r="T126" s="35">
        <v>4.5999999999999996</v>
      </c>
      <c r="AC126" s="580"/>
      <c r="AE126" s="43"/>
      <c r="AF126" s="43"/>
      <c r="AG126" s="43"/>
      <c r="AH126" s="43"/>
      <c r="AI126" s="43"/>
      <c r="AJ126" s="43"/>
      <c r="AK126" s="43"/>
      <c r="AL126" s="43"/>
      <c r="AM126" s="43"/>
      <c r="AN126" s="581"/>
      <c r="AO126" s="581"/>
      <c r="AP126" s="582"/>
      <c r="AS126" t="s">
        <v>102</v>
      </c>
      <c r="AT126" t="s">
        <v>153</v>
      </c>
      <c r="AU126">
        <v>2013</v>
      </c>
    </row>
    <row r="127" spans="1:47" hidden="1">
      <c r="B127" s="10" t="s">
        <v>100</v>
      </c>
      <c r="C127" s="10" t="s">
        <v>120</v>
      </c>
      <c r="D127" s="10"/>
      <c r="E127" s="572"/>
      <c r="F127" s="572"/>
      <c r="G127" s="573"/>
      <c r="H127" s="29"/>
      <c r="I127" s="29"/>
      <c r="J127" s="29"/>
      <c r="K127" s="29"/>
      <c r="L127" s="29"/>
      <c r="M127" s="29"/>
      <c r="N127" s="29"/>
      <c r="O127" s="29"/>
      <c r="P127" s="30"/>
      <c r="Q127" s="30"/>
      <c r="R127" s="34"/>
      <c r="S127" s="34"/>
      <c r="T127" s="34">
        <v>4.3</v>
      </c>
      <c r="U127" s="34"/>
      <c r="V127" s="34"/>
      <c r="W127" s="34"/>
      <c r="X127" s="34"/>
      <c r="Y127" s="34"/>
      <c r="Z127" s="34"/>
      <c r="AA127" s="34"/>
      <c r="AB127" s="42"/>
      <c r="AC127" s="574"/>
      <c r="AD127" s="42"/>
      <c r="AE127" s="42"/>
      <c r="AF127" s="42"/>
      <c r="AG127" s="42"/>
      <c r="AH127" s="42"/>
      <c r="AI127" s="42"/>
      <c r="AJ127" s="42"/>
      <c r="AK127" s="42"/>
      <c r="AL127" s="42"/>
      <c r="AM127" s="42"/>
      <c r="AN127" s="575"/>
      <c r="AO127" s="575"/>
      <c r="AP127" s="576"/>
      <c r="AQ127" s="575"/>
      <c r="AR127" s="575"/>
      <c r="AS127" s="10" t="s">
        <v>102</v>
      </c>
      <c r="AT127" s="10" t="s">
        <v>153</v>
      </c>
      <c r="AU127" s="10">
        <v>2013</v>
      </c>
    </row>
    <row r="128" spans="1:47">
      <c r="A128" t="s">
        <v>192</v>
      </c>
      <c r="B128" s="10" t="s">
        <v>8</v>
      </c>
      <c r="C128" s="3" t="s">
        <v>52</v>
      </c>
      <c r="D128" s="3" t="s">
        <v>53</v>
      </c>
      <c r="E128" s="589">
        <v>28</v>
      </c>
      <c r="F128" s="590"/>
      <c r="G128" s="564" t="s">
        <v>9260</v>
      </c>
      <c r="H128" s="23"/>
      <c r="I128" s="24" t="s">
        <v>9261</v>
      </c>
      <c r="J128" s="24" t="s">
        <v>9262</v>
      </c>
      <c r="K128" s="24"/>
      <c r="L128" s="24" t="s">
        <v>9263</v>
      </c>
      <c r="M128" s="24" t="s">
        <v>9263</v>
      </c>
      <c r="N128" s="24"/>
      <c r="O128" s="24"/>
      <c r="P128" s="24" t="s">
        <v>277</v>
      </c>
      <c r="Q128" s="24" t="s">
        <v>278</v>
      </c>
      <c r="R128" s="32">
        <v>7</v>
      </c>
      <c r="S128" s="32">
        <v>9</v>
      </c>
      <c r="T128" s="32">
        <v>8</v>
      </c>
      <c r="U128" s="32"/>
      <c r="V128" s="32"/>
      <c r="W128" s="32"/>
      <c r="X128" s="32"/>
      <c r="Y128" s="32">
        <v>2</v>
      </c>
      <c r="Z128" s="32">
        <v>17</v>
      </c>
      <c r="AA128" s="32"/>
      <c r="AB128" s="40">
        <v>70</v>
      </c>
      <c r="AC128" s="591">
        <v>80</v>
      </c>
      <c r="AD128" s="40"/>
      <c r="AE128" s="40"/>
      <c r="AF128" s="40"/>
      <c r="AG128" s="40"/>
      <c r="AH128" s="40"/>
      <c r="AI128" s="40"/>
      <c r="AJ128" s="40"/>
      <c r="AK128" s="40"/>
      <c r="AL128" s="40"/>
      <c r="AM128" s="40"/>
      <c r="AN128" s="592"/>
      <c r="AO128" s="592"/>
      <c r="AP128" s="593"/>
      <c r="AQ128" s="592"/>
      <c r="AR128" s="592"/>
      <c r="AS128" s="3" t="s">
        <v>10</v>
      </c>
      <c r="AT128" s="3" t="s">
        <v>11</v>
      </c>
      <c r="AU128" s="10"/>
    </row>
    <row r="129" spans="1:47" hidden="1">
      <c r="B129" s="10" t="s">
        <v>100</v>
      </c>
      <c r="C129" s="10" t="s">
        <v>121</v>
      </c>
      <c r="D129" s="10"/>
      <c r="E129" s="572"/>
      <c r="F129" s="572"/>
      <c r="G129" s="573"/>
      <c r="H129" s="29"/>
      <c r="I129" s="29"/>
      <c r="J129" s="29"/>
      <c r="K129" s="29"/>
      <c r="L129" s="29"/>
      <c r="M129" s="29"/>
      <c r="N129" s="29"/>
      <c r="O129" s="29"/>
      <c r="P129" s="30"/>
      <c r="Q129" s="30"/>
      <c r="R129" s="34"/>
      <c r="S129" s="34"/>
      <c r="T129" s="34">
        <v>9.6999999999999993</v>
      </c>
      <c r="U129" s="34"/>
      <c r="V129" s="34"/>
      <c r="W129" s="34"/>
      <c r="X129" s="34"/>
      <c r="Y129" s="34"/>
      <c r="Z129" s="34"/>
      <c r="AA129" s="34"/>
      <c r="AB129" s="42"/>
      <c r="AC129" s="574"/>
      <c r="AD129" s="42"/>
      <c r="AE129" s="42"/>
      <c r="AF129" s="42"/>
      <c r="AG129" s="42"/>
      <c r="AH129" s="42"/>
      <c r="AI129" s="42"/>
      <c r="AJ129" s="42"/>
      <c r="AK129" s="42"/>
      <c r="AL129" s="42"/>
      <c r="AM129" s="42"/>
      <c r="AN129" s="575"/>
      <c r="AO129" s="575"/>
      <c r="AP129" s="576"/>
      <c r="AQ129" s="575"/>
      <c r="AR129" s="575"/>
      <c r="AS129" s="10" t="s">
        <v>102</v>
      </c>
      <c r="AT129" s="10" t="s">
        <v>153</v>
      </c>
      <c r="AU129" s="10">
        <v>2013</v>
      </c>
    </row>
    <row r="130" spans="1:47" hidden="1">
      <c r="B130" t="s">
        <v>100</v>
      </c>
      <c r="C130" t="s">
        <v>122</v>
      </c>
      <c r="G130" s="579"/>
      <c r="I130" s="31"/>
      <c r="J130" s="31"/>
      <c r="K130" s="31"/>
      <c r="L130" s="31"/>
      <c r="M130" s="31"/>
      <c r="N130" s="31"/>
      <c r="O130" s="31"/>
      <c r="T130" s="35">
        <v>4.7</v>
      </c>
      <c r="AC130" s="580"/>
      <c r="AE130" s="43"/>
      <c r="AF130" s="43"/>
      <c r="AG130" s="43"/>
      <c r="AH130" s="43"/>
      <c r="AI130" s="43"/>
      <c r="AJ130" s="43"/>
      <c r="AK130" s="43"/>
      <c r="AL130" s="43"/>
      <c r="AM130" s="43"/>
      <c r="AN130" s="581"/>
      <c r="AO130" s="581"/>
      <c r="AP130" s="582"/>
      <c r="AS130" t="s">
        <v>102</v>
      </c>
      <c r="AT130" t="s">
        <v>153</v>
      </c>
      <c r="AU130">
        <v>2013</v>
      </c>
    </row>
    <row r="131" spans="1:47" hidden="1">
      <c r="B131" s="10" t="s">
        <v>100</v>
      </c>
      <c r="C131" s="10" t="s">
        <v>123</v>
      </c>
      <c r="D131" s="10"/>
      <c r="E131" s="572"/>
      <c r="F131" s="572"/>
      <c r="G131" s="573"/>
      <c r="H131" s="29"/>
      <c r="I131" s="29"/>
      <c r="J131" s="29"/>
      <c r="K131" s="29"/>
      <c r="L131" s="29"/>
      <c r="M131" s="29"/>
      <c r="N131" s="29"/>
      <c r="O131" s="29"/>
      <c r="P131" s="30"/>
      <c r="Q131" s="30"/>
      <c r="R131" s="34"/>
      <c r="S131" s="34"/>
      <c r="T131" s="34">
        <v>5.3</v>
      </c>
      <c r="U131" s="34"/>
      <c r="V131" s="34"/>
      <c r="W131" s="34"/>
      <c r="X131" s="34"/>
      <c r="Y131" s="34"/>
      <c r="Z131" s="34"/>
      <c r="AA131" s="34"/>
      <c r="AB131" s="42"/>
      <c r="AC131" s="574"/>
      <c r="AD131" s="42"/>
      <c r="AE131" s="42"/>
      <c r="AF131" s="42"/>
      <c r="AG131" s="42"/>
      <c r="AH131" s="42"/>
      <c r="AI131" s="42"/>
      <c r="AJ131" s="42"/>
      <c r="AK131" s="42"/>
      <c r="AL131" s="42"/>
      <c r="AM131" s="42"/>
      <c r="AN131" s="575"/>
      <c r="AO131" s="575"/>
      <c r="AP131" s="576"/>
      <c r="AQ131" s="575"/>
      <c r="AR131" s="575"/>
      <c r="AS131" s="10" t="s">
        <v>102</v>
      </c>
      <c r="AT131" s="10" t="s">
        <v>153</v>
      </c>
      <c r="AU131" s="10">
        <v>2013</v>
      </c>
    </row>
    <row r="132" spans="1:47" hidden="1">
      <c r="B132" t="s">
        <v>97</v>
      </c>
      <c r="C132" t="s">
        <v>172</v>
      </c>
      <c r="G132" s="579"/>
      <c r="I132" s="31"/>
      <c r="J132" s="31"/>
      <c r="K132" s="31"/>
      <c r="L132" s="31"/>
      <c r="M132" s="31"/>
      <c r="N132" s="31"/>
      <c r="O132" s="31"/>
      <c r="T132" s="35">
        <v>25</v>
      </c>
      <c r="AC132" s="580"/>
      <c r="AE132" s="43"/>
      <c r="AF132" s="43"/>
      <c r="AG132" s="43"/>
      <c r="AH132" s="43"/>
      <c r="AI132" s="43"/>
      <c r="AJ132" s="43"/>
      <c r="AK132" s="43"/>
      <c r="AL132" s="43"/>
      <c r="AM132" s="43"/>
      <c r="AN132" s="581"/>
      <c r="AO132" s="581"/>
      <c r="AP132" s="582"/>
      <c r="AS132" t="s">
        <v>173</v>
      </c>
    </row>
    <row r="133" spans="1:47" hidden="1">
      <c r="B133" t="s">
        <v>97</v>
      </c>
      <c r="C133" t="s">
        <v>98</v>
      </c>
      <c r="G133" s="579"/>
      <c r="I133" s="31"/>
      <c r="J133" s="31"/>
      <c r="K133" s="31"/>
      <c r="L133" s="31"/>
      <c r="M133" s="31"/>
      <c r="N133" s="31"/>
      <c r="O133" s="31"/>
      <c r="R133" s="35">
        <v>70</v>
      </c>
      <c r="S133" s="35">
        <v>100</v>
      </c>
      <c r="AC133" s="580"/>
      <c r="AE133" s="43"/>
      <c r="AF133" s="43"/>
      <c r="AG133" s="43"/>
      <c r="AH133" s="43"/>
      <c r="AI133" s="43"/>
      <c r="AJ133" s="43"/>
      <c r="AK133" s="43"/>
      <c r="AL133" s="43"/>
      <c r="AM133" s="43"/>
      <c r="AN133" s="581"/>
      <c r="AO133" s="581"/>
      <c r="AP133" s="582"/>
      <c r="AS133" t="s">
        <v>99</v>
      </c>
    </row>
    <row r="134" spans="1:47" hidden="1">
      <c r="B134" t="s">
        <v>97</v>
      </c>
      <c r="C134" t="s">
        <v>9264</v>
      </c>
      <c r="G134" s="579"/>
      <c r="I134" s="31"/>
      <c r="J134" s="31"/>
      <c r="K134" s="31"/>
      <c r="L134" s="31"/>
      <c r="M134" s="31"/>
      <c r="N134" s="31"/>
      <c r="O134" s="31"/>
      <c r="T134" s="35">
        <v>13.5</v>
      </c>
      <c r="Y134" s="35">
        <v>3.9</v>
      </c>
      <c r="AC134" s="580"/>
      <c r="AE134" s="43"/>
      <c r="AF134" s="43"/>
      <c r="AG134" s="43"/>
      <c r="AH134" s="43"/>
      <c r="AI134" s="43"/>
      <c r="AJ134" s="43"/>
      <c r="AK134" s="43"/>
      <c r="AL134" s="43"/>
      <c r="AM134" s="43"/>
      <c r="AN134" s="581"/>
      <c r="AO134" s="581"/>
      <c r="AP134" s="582"/>
      <c r="AS134" t="s">
        <v>9265</v>
      </c>
      <c r="AT134" t="s">
        <v>9266</v>
      </c>
    </row>
    <row r="135" spans="1:47" hidden="1">
      <c r="B135" s="10" t="s">
        <v>97</v>
      </c>
      <c r="C135" s="10" t="s">
        <v>9264</v>
      </c>
      <c r="D135" s="10"/>
      <c r="G135" s="573"/>
      <c r="H135" s="29"/>
      <c r="I135" s="29"/>
      <c r="J135" s="29"/>
      <c r="K135" s="31"/>
      <c r="L135" s="31"/>
      <c r="M135" s="29"/>
      <c r="N135" s="31"/>
      <c r="O135" s="31"/>
      <c r="P135" s="30"/>
      <c r="Q135" s="606"/>
      <c r="R135" s="34"/>
      <c r="S135" s="34"/>
      <c r="T135" s="34">
        <v>14.2</v>
      </c>
      <c r="U135" s="34"/>
      <c r="V135" s="34"/>
      <c r="W135" s="34"/>
      <c r="X135" s="34"/>
      <c r="Y135" s="34">
        <v>4</v>
      </c>
      <c r="Z135" s="607"/>
      <c r="AB135" s="42"/>
      <c r="AC135" s="42"/>
      <c r="AD135" s="42"/>
      <c r="AE135" s="43"/>
      <c r="AF135" s="43"/>
      <c r="AG135" s="43"/>
      <c r="AH135" s="43"/>
      <c r="AI135" s="43"/>
      <c r="AJ135" s="43"/>
      <c r="AK135" s="43"/>
      <c r="AL135" s="43"/>
      <c r="AM135" s="43"/>
      <c r="AN135" s="581"/>
      <c r="AO135" s="581"/>
      <c r="AP135" s="581"/>
      <c r="AS135" s="10" t="s">
        <v>9267</v>
      </c>
      <c r="AT135" s="10"/>
      <c r="AU135" s="10"/>
    </row>
    <row r="136" spans="1:47" hidden="1">
      <c r="B136" t="s">
        <v>97</v>
      </c>
      <c r="C136" t="s">
        <v>185</v>
      </c>
      <c r="G136" s="579"/>
      <c r="I136" s="31"/>
      <c r="J136" s="31"/>
      <c r="K136" s="31"/>
      <c r="L136" s="31"/>
      <c r="M136" s="31"/>
      <c r="N136" s="31"/>
      <c r="O136" s="31"/>
      <c r="R136" s="35">
        <v>9</v>
      </c>
      <c r="S136" s="35">
        <v>25</v>
      </c>
      <c r="U136" s="35">
        <v>10</v>
      </c>
      <c r="V136" s="35">
        <v>3</v>
      </c>
      <c r="AC136" s="580"/>
      <c r="AE136" s="43"/>
      <c r="AF136" s="43"/>
      <c r="AG136" s="43"/>
      <c r="AH136" s="43"/>
      <c r="AI136" s="43"/>
      <c r="AJ136" s="43"/>
      <c r="AK136" s="43"/>
      <c r="AL136" s="43"/>
      <c r="AM136" s="43"/>
      <c r="AN136" s="581"/>
      <c r="AO136" s="581"/>
      <c r="AP136" s="582"/>
      <c r="AS136" t="s">
        <v>187</v>
      </c>
      <c r="AT136" t="s">
        <v>188</v>
      </c>
    </row>
    <row r="137" spans="1:47" hidden="1">
      <c r="C137" t="s">
        <v>177</v>
      </c>
      <c r="G137" s="579"/>
      <c r="I137" s="31"/>
      <c r="J137" s="31"/>
      <c r="K137" s="31"/>
      <c r="L137" s="31"/>
      <c r="M137" s="31"/>
      <c r="N137" s="31"/>
      <c r="O137" s="31"/>
      <c r="R137" s="35">
        <v>10</v>
      </c>
      <c r="S137" s="35">
        <v>10</v>
      </c>
      <c r="U137" s="35">
        <v>10</v>
      </c>
      <c r="AC137" s="580"/>
      <c r="AE137" s="43"/>
      <c r="AF137" s="43"/>
      <c r="AG137" s="43"/>
      <c r="AH137" s="43"/>
      <c r="AI137" s="43"/>
      <c r="AJ137" s="43"/>
      <c r="AK137" s="43"/>
      <c r="AL137" s="43"/>
      <c r="AM137" s="43"/>
      <c r="AN137" s="581"/>
      <c r="AO137" s="581"/>
      <c r="AP137" s="582"/>
      <c r="AS137" t="s">
        <v>187</v>
      </c>
      <c r="AT137" t="s">
        <v>188</v>
      </c>
    </row>
    <row r="138" spans="1:47" hidden="1">
      <c r="C138" t="s">
        <v>179</v>
      </c>
      <c r="G138" s="579"/>
      <c r="I138" s="31"/>
      <c r="J138" s="31"/>
      <c r="K138" s="31"/>
      <c r="L138" s="31"/>
      <c r="M138" s="31"/>
      <c r="N138" s="31"/>
      <c r="O138" s="31"/>
      <c r="R138" s="35">
        <v>15</v>
      </c>
      <c r="S138" s="35">
        <v>15</v>
      </c>
      <c r="U138" s="35">
        <v>15</v>
      </c>
      <c r="AC138" s="580"/>
      <c r="AE138" s="43"/>
      <c r="AF138" s="43"/>
      <c r="AG138" s="43"/>
      <c r="AH138" s="43"/>
      <c r="AI138" s="43"/>
      <c r="AJ138" s="43"/>
      <c r="AK138" s="43"/>
      <c r="AL138" s="43"/>
      <c r="AM138" s="43"/>
      <c r="AN138" s="581"/>
      <c r="AO138" s="581"/>
      <c r="AP138" s="582"/>
      <c r="AS138" t="s">
        <v>187</v>
      </c>
      <c r="AT138" t="s">
        <v>188</v>
      </c>
    </row>
    <row r="139" spans="1:47" hidden="1">
      <c r="C139" t="s">
        <v>181</v>
      </c>
      <c r="G139" s="579"/>
      <c r="I139" s="31"/>
      <c r="J139" s="31"/>
      <c r="K139" s="31"/>
      <c r="L139" s="31"/>
      <c r="M139" s="31"/>
      <c r="N139" s="31"/>
      <c r="O139" s="31"/>
      <c r="R139" s="35">
        <v>10</v>
      </c>
      <c r="S139" s="35">
        <v>10</v>
      </c>
      <c r="U139" s="35">
        <v>10</v>
      </c>
      <c r="AC139" s="580"/>
      <c r="AE139" s="43"/>
      <c r="AF139" s="43"/>
      <c r="AG139" s="43"/>
      <c r="AH139" s="43"/>
      <c r="AI139" s="43"/>
      <c r="AJ139" s="43"/>
      <c r="AK139" s="43"/>
      <c r="AL139" s="43"/>
      <c r="AM139" s="43"/>
      <c r="AN139" s="581"/>
      <c r="AO139" s="581"/>
      <c r="AP139" s="582"/>
      <c r="AS139" t="s">
        <v>187</v>
      </c>
      <c r="AT139" t="s">
        <v>188</v>
      </c>
    </row>
    <row r="140" spans="1:47" hidden="1">
      <c r="A140" t="s">
        <v>9268</v>
      </c>
      <c r="B140" s="11"/>
      <c r="C140" s="11" t="s">
        <v>182</v>
      </c>
      <c r="D140" s="11"/>
      <c r="E140" s="572"/>
      <c r="F140" s="572"/>
      <c r="G140" s="573"/>
      <c r="H140" s="29"/>
      <c r="I140" s="29"/>
      <c r="J140" s="29"/>
      <c r="K140" s="29"/>
      <c r="L140" s="29"/>
      <c r="M140" s="29"/>
      <c r="N140" s="29"/>
      <c r="O140" s="29"/>
      <c r="P140" s="30"/>
      <c r="Q140" s="30"/>
      <c r="R140" s="34">
        <v>10</v>
      </c>
      <c r="S140" s="34">
        <v>30</v>
      </c>
      <c r="T140" s="34"/>
      <c r="U140" s="34">
        <v>25</v>
      </c>
      <c r="V140" s="34">
        <v>5</v>
      </c>
      <c r="W140" s="34"/>
      <c r="X140" s="34"/>
      <c r="Y140" s="34"/>
      <c r="Z140" s="34"/>
      <c r="AA140" s="34"/>
      <c r="AB140" s="42"/>
      <c r="AC140" s="574"/>
      <c r="AD140" s="42"/>
      <c r="AE140" s="42"/>
      <c r="AF140" s="42"/>
      <c r="AG140" s="42"/>
      <c r="AH140" s="42"/>
      <c r="AI140" s="42"/>
      <c r="AJ140" s="42"/>
      <c r="AK140" s="42"/>
      <c r="AL140" s="42"/>
      <c r="AM140" s="42"/>
      <c r="AN140" s="575"/>
      <c r="AO140" s="575"/>
      <c r="AP140" s="576"/>
      <c r="AQ140" s="575"/>
      <c r="AR140" s="575"/>
      <c r="AS140" s="11" t="s">
        <v>187</v>
      </c>
      <c r="AT140" s="11" t="s">
        <v>188</v>
      </c>
      <c r="AU140" s="11"/>
    </row>
    <row r="141" spans="1:47">
      <c r="AD141" s="608"/>
    </row>
  </sheetData>
  <hyperlinks>
    <hyperlink ref="AT95" r:id="rId1" xr:uid="{BCC15106-927F-1040-B420-20626328FDD8}"/>
    <hyperlink ref="AT82:AT93" r:id="rId2" display="https://www.mdpi.com/2071-1050/12/21/9151" xr:uid="{42F1A9CE-2137-DF4B-83D2-58EED46BCDBE}"/>
    <hyperlink ref="AT110" r:id="rId3" location="download-file" xr:uid="{F61C66C7-E4D7-4841-80A4-62893232E0DD}"/>
    <hyperlink ref="AT4" r:id="rId4" location="Description" xr:uid="{518D30A2-DC22-D943-BA36-08CF32AB82B3}"/>
    <hyperlink ref="AT9" r:id="rId5" xr:uid="{CE0FD33F-747A-5E4F-8223-ED0D58021A67}"/>
    <hyperlink ref="AT40" r:id="rId6" xr:uid="{07A9E92C-FF3D-D44A-B222-8B32A0620657}"/>
    <hyperlink ref="AT10" r:id="rId7" xr:uid="{79D451FC-4E31-B44D-8489-1FC3742D9118}"/>
    <hyperlink ref="AT12" r:id="rId8" xr:uid="{BD686E58-DE4E-3649-9BAB-5E2D2F373EAC}"/>
    <hyperlink ref="AT46" r:id="rId9" xr:uid="{AB621155-B741-6E43-A92D-A9A100959469}"/>
    <hyperlink ref="AT47" r:id="rId10" xr:uid="{79BA3861-A0BB-824E-A567-5CC216F09677}"/>
  </hyperlinks>
  <pageMargins left="0.7" right="0.7" top="0.75" bottom="0.75" header="0.3" footer="0.3"/>
  <pageSetup paperSize="9" orientation="portrait" horizontalDpi="0" verticalDpi="0"/>
  <legacyDrawing r:id="rId11"/>
  <tableParts count="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1CD22-1F72-DE42-AB6B-6083FFA6687F}">
  <sheetPr>
    <tabColor theme="5" tint="0.39997558519241921"/>
  </sheetPr>
  <dimension ref="A1"/>
  <sheetViews>
    <sheetView workbookViewId="0">
      <selection activeCell="I26" sqref="I26"/>
    </sheetView>
  </sheetViews>
  <sheetFormatPr baseColWidth="10" defaultRowHeight="16"/>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7D9C7-2174-0047-AFA1-83CB0987F0B6}">
  <dimension ref="A1:Q337"/>
  <sheetViews>
    <sheetView zoomScale="80" zoomScaleNormal="80" workbookViewId="0">
      <selection activeCell="K13" sqref="K13"/>
    </sheetView>
  </sheetViews>
  <sheetFormatPr baseColWidth="10" defaultRowHeight="16"/>
  <cols>
    <col min="1" max="1" width="13.5" style="327" customWidth="1"/>
    <col min="2" max="2" width="13.5" style="329" customWidth="1"/>
    <col min="3" max="4" width="13.5" style="327" customWidth="1"/>
    <col min="5" max="5" width="13.5" style="328" customWidth="1"/>
    <col min="6" max="6" width="15.83203125" style="327" bestFit="1" customWidth="1"/>
    <col min="7" max="7" width="13.5" style="327" customWidth="1"/>
    <col min="8" max="8" width="18.6640625" style="329" bestFit="1" customWidth="1"/>
    <col min="9" max="17" width="14" style="327" bestFit="1" customWidth="1"/>
    <col min="18" max="16384" width="10.83203125" style="327"/>
  </cols>
  <sheetData>
    <row r="1" spans="1:17" s="1" customFormat="1">
      <c r="A1" s="330" t="s">
        <v>171</v>
      </c>
      <c r="B1" s="333" t="s">
        <v>6923</v>
      </c>
      <c r="C1" s="331" t="s">
        <v>7752</v>
      </c>
      <c r="D1" s="331" t="s">
        <v>207</v>
      </c>
      <c r="E1" s="332" t="s">
        <v>175</v>
      </c>
      <c r="F1" s="330" t="s">
        <v>7859</v>
      </c>
      <c r="G1" s="331" t="s">
        <v>7858</v>
      </c>
      <c r="H1" s="333" t="s">
        <v>501</v>
      </c>
      <c r="J1" s="319"/>
      <c r="K1" s="319"/>
      <c r="L1" s="319"/>
      <c r="M1" s="319"/>
      <c r="N1" s="319"/>
      <c r="O1" s="319"/>
      <c r="P1" s="319"/>
      <c r="Q1" s="319"/>
    </row>
    <row r="2" spans="1:17" s="1" customFormat="1">
      <c r="A2" s="334" t="s">
        <v>480</v>
      </c>
      <c r="B2" s="368" t="s">
        <v>7860</v>
      </c>
      <c r="C2" s="334" t="s">
        <v>213</v>
      </c>
      <c r="D2" s="335" t="s">
        <v>7857</v>
      </c>
      <c r="E2" s="336">
        <v>2008</v>
      </c>
      <c r="F2" s="334">
        <v>298954</v>
      </c>
      <c r="G2" s="340">
        <v>0.44</v>
      </c>
      <c r="H2" s="337">
        <f>Inflows!$F2*Inflows!$G2</f>
        <v>131539.76</v>
      </c>
      <c r="J2" s="319"/>
      <c r="K2" s="319"/>
      <c r="L2" s="319"/>
      <c r="M2" s="319"/>
      <c r="N2" s="319"/>
      <c r="O2" s="319"/>
      <c r="P2" s="319"/>
      <c r="Q2" s="319"/>
    </row>
    <row r="3" spans="1:17" s="1" customFormat="1">
      <c r="A3" s="318" t="s">
        <v>480</v>
      </c>
      <c r="B3" s="369" t="s">
        <v>7860</v>
      </c>
      <c r="C3" s="318" t="s">
        <v>213</v>
      </c>
      <c r="D3" s="338" t="s">
        <v>7857</v>
      </c>
      <c r="E3" s="339">
        <v>2009</v>
      </c>
      <c r="F3" s="318">
        <v>280818</v>
      </c>
      <c r="G3" s="340">
        <v>0.44</v>
      </c>
      <c r="H3" s="341">
        <f>Inflows!$F3*Inflows!$G3</f>
        <v>123559.92</v>
      </c>
      <c r="J3" s="319"/>
      <c r="K3" s="319"/>
      <c r="L3" s="319"/>
      <c r="M3" s="319"/>
      <c r="N3" s="319"/>
      <c r="O3" s="319"/>
      <c r="P3" s="319"/>
      <c r="Q3" s="319"/>
    </row>
    <row r="4" spans="1:17" s="1" customFormat="1">
      <c r="A4" s="342" t="s">
        <v>480</v>
      </c>
      <c r="B4" s="370" t="s">
        <v>7860</v>
      </c>
      <c r="C4" s="342" t="s">
        <v>213</v>
      </c>
      <c r="D4" s="343" t="s">
        <v>7857</v>
      </c>
      <c r="E4" s="344">
        <v>2010</v>
      </c>
      <c r="F4" s="256">
        <v>253273</v>
      </c>
      <c r="G4" s="340">
        <v>0.44</v>
      </c>
      <c r="H4" s="346">
        <f>Inflows!$F4*Inflows!$G4</f>
        <v>111440.12</v>
      </c>
      <c r="J4" s="319"/>
      <c r="K4" s="319"/>
      <c r="L4" s="319"/>
      <c r="M4" s="319"/>
      <c r="N4" s="319"/>
      <c r="O4" s="319"/>
      <c r="P4" s="319"/>
      <c r="Q4" s="319"/>
    </row>
    <row r="5" spans="1:17" s="1" customFormat="1">
      <c r="A5" s="318" t="s">
        <v>480</v>
      </c>
      <c r="B5" s="369" t="s">
        <v>7860</v>
      </c>
      <c r="C5" s="318" t="s">
        <v>213</v>
      </c>
      <c r="D5" s="338" t="s">
        <v>7857</v>
      </c>
      <c r="E5" s="347">
        <v>2011</v>
      </c>
      <c r="F5" s="257">
        <v>274470</v>
      </c>
      <c r="G5" s="340">
        <v>0.44</v>
      </c>
      <c r="H5" s="341">
        <f>Inflows!$F5*Inflows!$G5</f>
        <v>120766.8</v>
      </c>
      <c r="J5" s="319"/>
      <c r="K5" s="319"/>
      <c r="L5" s="319"/>
      <c r="M5" s="319"/>
      <c r="N5" s="319"/>
      <c r="O5" s="319"/>
      <c r="P5" s="319"/>
      <c r="Q5" s="319"/>
    </row>
    <row r="6" spans="1:17" customFormat="1">
      <c r="A6" s="342" t="s">
        <v>480</v>
      </c>
      <c r="B6" s="370" t="s">
        <v>7860</v>
      </c>
      <c r="C6" s="342" t="s">
        <v>213</v>
      </c>
      <c r="D6" s="343" t="s">
        <v>7857</v>
      </c>
      <c r="E6" s="344">
        <v>2012</v>
      </c>
      <c r="F6" s="256">
        <v>279614</v>
      </c>
      <c r="G6" s="345">
        <v>0.54</v>
      </c>
      <c r="H6" s="348">
        <f>Inflows!$F6*Inflows!$G6</f>
        <v>150991.56</v>
      </c>
      <c r="I6" s="318"/>
      <c r="J6" s="72"/>
      <c r="K6" s="72"/>
      <c r="L6" s="72"/>
      <c r="M6" s="72"/>
      <c r="N6" s="72"/>
      <c r="O6" s="72"/>
      <c r="P6" s="72"/>
      <c r="Q6" s="72"/>
    </row>
    <row r="7" spans="1:17" customFormat="1">
      <c r="A7" s="318" t="s">
        <v>480</v>
      </c>
      <c r="B7" s="369" t="s">
        <v>7860</v>
      </c>
      <c r="C7" s="318" t="s">
        <v>213</v>
      </c>
      <c r="D7" s="338" t="s">
        <v>7857</v>
      </c>
      <c r="E7" s="347">
        <v>2013</v>
      </c>
      <c r="F7" s="257">
        <v>252997</v>
      </c>
      <c r="G7" s="340">
        <v>0.62</v>
      </c>
      <c r="H7" s="349">
        <f>Inflows!$F7*Inflows!$G7</f>
        <v>156858.13999999998</v>
      </c>
      <c r="I7" s="320"/>
      <c r="J7" s="21"/>
      <c r="K7" s="21"/>
      <c r="L7" s="21"/>
      <c r="M7" s="21"/>
      <c r="N7" s="21"/>
      <c r="O7" s="21"/>
      <c r="P7" s="21"/>
      <c r="Q7" s="21"/>
    </row>
    <row r="8" spans="1:17" customFormat="1">
      <c r="A8" s="342" t="s">
        <v>480</v>
      </c>
      <c r="B8" s="370" t="s">
        <v>7860</v>
      </c>
      <c r="C8" s="342" t="s">
        <v>213</v>
      </c>
      <c r="D8" s="343" t="s">
        <v>7857</v>
      </c>
      <c r="E8" s="344">
        <v>2014</v>
      </c>
      <c r="F8" s="256">
        <v>364544.28571428568</v>
      </c>
      <c r="G8" s="345">
        <v>0.66</v>
      </c>
      <c r="H8" s="350">
        <f>Inflows!$F8*Inflows!$G8</f>
        <v>240599.22857142857</v>
      </c>
      <c r="I8" s="321"/>
    </row>
    <row r="9" spans="1:17" customFormat="1">
      <c r="A9" s="318" t="s">
        <v>480</v>
      </c>
      <c r="B9" s="369" t="s">
        <v>7860</v>
      </c>
      <c r="C9" s="318" t="s">
        <v>213</v>
      </c>
      <c r="D9" s="338" t="s">
        <v>7857</v>
      </c>
      <c r="E9" s="347">
        <v>2015</v>
      </c>
      <c r="F9" s="257">
        <v>476091.57142857136</v>
      </c>
      <c r="G9" s="340">
        <v>0.7</v>
      </c>
      <c r="H9" s="321">
        <f>Inflows!$F9*Inflows!$G9</f>
        <v>333264.09999999992</v>
      </c>
      <c r="I9" s="321"/>
    </row>
    <row r="10" spans="1:17" customFormat="1">
      <c r="A10" s="342" t="s">
        <v>480</v>
      </c>
      <c r="B10" s="370" t="s">
        <v>7860</v>
      </c>
      <c r="C10" s="342" t="s">
        <v>213</v>
      </c>
      <c r="D10" s="343" t="s">
        <v>7857</v>
      </c>
      <c r="E10" s="344">
        <v>2016</v>
      </c>
      <c r="F10" s="256">
        <v>587638.85714285704</v>
      </c>
      <c r="G10" s="345">
        <v>0.72</v>
      </c>
      <c r="H10" s="350">
        <f>Inflows!$F10*Inflows!$G10</f>
        <v>423099.97714285704</v>
      </c>
      <c r="I10" s="321"/>
      <c r="J10" s="12"/>
      <c r="K10" s="12"/>
      <c r="L10" s="12"/>
      <c r="M10" s="12"/>
      <c r="N10" s="12"/>
      <c r="O10" s="12"/>
      <c r="P10" s="12"/>
      <c r="Q10" s="12"/>
    </row>
    <row r="11" spans="1:17" customFormat="1">
      <c r="A11" s="318" t="s">
        <v>480</v>
      </c>
      <c r="B11" s="369" t="s">
        <v>7860</v>
      </c>
      <c r="C11" s="318" t="s">
        <v>213</v>
      </c>
      <c r="D11" s="338" t="s">
        <v>7857</v>
      </c>
      <c r="E11" s="347">
        <v>2017</v>
      </c>
      <c r="F11" s="257">
        <v>699186.14285714272</v>
      </c>
      <c r="G11" s="340">
        <v>0.74</v>
      </c>
      <c r="H11" s="321">
        <f>Inflows!$F11*Inflows!$G11</f>
        <v>517397.74571428559</v>
      </c>
      <c r="I11" s="321"/>
      <c r="J11" s="322"/>
      <c r="K11" s="322"/>
      <c r="L11" s="322"/>
      <c r="M11" s="322"/>
      <c r="N11" s="322"/>
      <c r="O11" s="322"/>
      <c r="P11" s="322"/>
      <c r="Q11" s="322"/>
    </row>
    <row r="12" spans="1:17" customFormat="1">
      <c r="A12" s="342" t="s">
        <v>480</v>
      </c>
      <c r="B12" s="370" t="s">
        <v>7860</v>
      </c>
      <c r="C12" s="342" t="s">
        <v>213</v>
      </c>
      <c r="D12" s="343" t="s">
        <v>7857</v>
      </c>
      <c r="E12" s="344">
        <v>2018</v>
      </c>
      <c r="F12" s="256">
        <v>810733.42857142841</v>
      </c>
      <c r="G12" s="345">
        <v>0.8</v>
      </c>
      <c r="H12" s="350">
        <f>Inflows!$F12*Inflows!$G12</f>
        <v>648586.74285714282</v>
      </c>
      <c r="I12" s="321"/>
      <c r="J12" s="323"/>
      <c r="K12" s="323"/>
      <c r="L12" s="323"/>
      <c r="M12" s="323"/>
      <c r="N12" s="323"/>
      <c r="O12" s="323"/>
      <c r="P12" s="322"/>
      <c r="Q12" s="322"/>
    </row>
    <row r="13" spans="1:17" customFormat="1">
      <c r="A13" s="318" t="s">
        <v>480</v>
      </c>
      <c r="B13" s="369" t="s">
        <v>7860</v>
      </c>
      <c r="C13" s="318" t="s">
        <v>213</v>
      </c>
      <c r="D13" s="338" t="s">
        <v>7857</v>
      </c>
      <c r="E13" s="347">
        <v>2019</v>
      </c>
      <c r="F13" s="257">
        <v>922280.71428571409</v>
      </c>
      <c r="G13" s="340">
        <v>0.85</v>
      </c>
      <c r="H13" s="321">
        <f>Inflows!$F13*Inflows!$G13</f>
        <v>783938.60714285693</v>
      </c>
      <c r="I13" s="321"/>
      <c r="J13" s="324"/>
      <c r="K13" s="324"/>
      <c r="L13" s="324"/>
      <c r="M13" s="324"/>
      <c r="N13" s="324"/>
      <c r="O13" s="324"/>
      <c r="P13" s="324"/>
      <c r="Q13" s="324"/>
    </row>
    <row r="14" spans="1:17" customFormat="1">
      <c r="A14" s="342" t="s">
        <v>480</v>
      </c>
      <c r="B14" s="370" t="s">
        <v>7860</v>
      </c>
      <c r="C14" s="342" t="s">
        <v>213</v>
      </c>
      <c r="D14" s="343" t="s">
        <v>7857</v>
      </c>
      <c r="E14" s="344">
        <v>2020</v>
      </c>
      <c r="F14" s="256">
        <v>1033828</v>
      </c>
      <c r="G14" s="345">
        <v>0.89</v>
      </c>
      <c r="H14" s="351">
        <f>Inflows!$F14*Inflows!$G14</f>
        <v>920106.92</v>
      </c>
      <c r="I14" s="321"/>
      <c r="J14" s="12"/>
      <c r="K14" s="12"/>
      <c r="L14" s="12"/>
      <c r="M14" s="12"/>
      <c r="N14" s="12"/>
      <c r="O14" s="12"/>
    </row>
    <row r="15" spans="1:17" customFormat="1">
      <c r="A15" s="318" t="s">
        <v>480</v>
      </c>
      <c r="B15" s="369" t="s">
        <v>7860</v>
      </c>
      <c r="C15" s="318" t="s">
        <v>213</v>
      </c>
      <c r="D15" s="338" t="s">
        <v>7857</v>
      </c>
      <c r="E15" s="347">
        <v>2021</v>
      </c>
      <c r="F15" s="257">
        <v>1307820</v>
      </c>
      <c r="G15" s="340">
        <v>0.91</v>
      </c>
      <c r="H15" s="352">
        <f>Inflows!$F15*Inflows!$G15</f>
        <v>1190116.2</v>
      </c>
      <c r="I15" s="325"/>
      <c r="J15" s="322"/>
      <c r="K15" s="322"/>
      <c r="L15" s="322"/>
      <c r="M15" s="322"/>
      <c r="N15" s="322"/>
      <c r="O15" s="322"/>
      <c r="P15" s="12"/>
      <c r="Q15" s="12"/>
    </row>
    <row r="16" spans="1:17" customFormat="1">
      <c r="A16" s="10" t="s">
        <v>480</v>
      </c>
      <c r="B16" s="358">
        <v>851712</v>
      </c>
      <c r="C16" s="10" t="s">
        <v>214</v>
      </c>
      <c r="D16" s="10" t="s">
        <v>7857</v>
      </c>
      <c r="E16" s="10">
        <v>2007</v>
      </c>
      <c r="F16" s="10">
        <v>44303895</v>
      </c>
      <c r="G16" s="345">
        <v>0.44</v>
      </c>
      <c r="H16" s="358">
        <f>Inflows!$F16*Inflows!$G16</f>
        <v>19493713.800000001</v>
      </c>
      <c r="I16" s="325"/>
      <c r="J16" s="322"/>
      <c r="K16" s="322"/>
      <c r="L16" s="322"/>
      <c r="M16" s="322"/>
      <c r="N16" s="322"/>
      <c r="O16" s="322"/>
      <c r="P16" s="322"/>
      <c r="Q16" s="322"/>
    </row>
    <row r="17" spans="1:14" customFormat="1">
      <c r="A17" s="10" t="s">
        <v>480</v>
      </c>
      <c r="B17" s="358">
        <v>851712</v>
      </c>
      <c r="C17" s="10" t="s">
        <v>214</v>
      </c>
      <c r="D17" s="10" t="s">
        <v>7857</v>
      </c>
      <c r="E17" s="10">
        <v>2008</v>
      </c>
      <c r="F17" s="10">
        <v>43414810</v>
      </c>
      <c r="G17" s="345">
        <v>0.44</v>
      </c>
      <c r="H17" s="358">
        <f>Inflows!$F17*Inflows!$G17</f>
        <v>19102516.399999999</v>
      </c>
      <c r="I17" s="325"/>
      <c r="J17" s="12"/>
      <c r="K17" s="12"/>
      <c r="L17" s="12"/>
      <c r="M17" s="12"/>
      <c r="N17" s="12"/>
    </row>
    <row r="18" spans="1:14">
      <c r="A18" s="10" t="s">
        <v>480</v>
      </c>
      <c r="B18" s="358">
        <v>851712</v>
      </c>
      <c r="C18" s="10" t="s">
        <v>214</v>
      </c>
      <c r="D18" s="10" t="s">
        <v>7857</v>
      </c>
      <c r="E18" s="10">
        <v>2009</v>
      </c>
      <c r="F18" s="10">
        <v>46303099</v>
      </c>
      <c r="G18" s="345">
        <v>0.44</v>
      </c>
      <c r="H18" s="358">
        <f>Inflows!$F18*Inflows!$G18</f>
        <v>20373363.559999999</v>
      </c>
      <c r="I18" s="326"/>
      <c r="J18" s="322"/>
      <c r="K18" s="322"/>
      <c r="L18" s="322"/>
      <c r="M18" s="322"/>
      <c r="N18" s="322"/>
    </row>
    <row r="19" spans="1:14">
      <c r="A19" s="10" t="s">
        <v>480</v>
      </c>
      <c r="B19" s="358">
        <v>851712</v>
      </c>
      <c r="C19" s="10" t="s">
        <v>214</v>
      </c>
      <c r="D19" s="10" t="s">
        <v>7857</v>
      </c>
      <c r="E19" s="10">
        <v>2010</v>
      </c>
      <c r="F19" s="10">
        <v>49273720</v>
      </c>
      <c r="G19" s="345">
        <v>0.44</v>
      </c>
      <c r="H19" s="358">
        <f>Inflows!$F19*Inflows!$G19</f>
        <v>21680436.800000001</v>
      </c>
      <c r="I19" s="326"/>
    </row>
    <row r="20" spans="1:14">
      <c r="A20" s="10" t="s">
        <v>480</v>
      </c>
      <c r="B20" s="358">
        <v>851712</v>
      </c>
      <c r="C20" s="10" t="s">
        <v>214</v>
      </c>
      <c r="D20" s="10" t="s">
        <v>7857</v>
      </c>
      <c r="E20" s="10">
        <v>2011</v>
      </c>
      <c r="F20" s="10">
        <v>44913256</v>
      </c>
      <c r="G20" s="345">
        <v>0.44</v>
      </c>
      <c r="H20" s="361">
        <f>Inflows!$F20*Inflows!$G20</f>
        <v>19761832.640000001</v>
      </c>
    </row>
    <row r="21" spans="1:14">
      <c r="A21" s="10" t="s">
        <v>480</v>
      </c>
      <c r="B21" s="358">
        <v>851712</v>
      </c>
      <c r="C21" s="10" t="s">
        <v>214</v>
      </c>
      <c r="D21" s="10" t="s">
        <v>7857</v>
      </c>
      <c r="E21" s="10">
        <v>2012</v>
      </c>
      <c r="F21" s="10">
        <v>43563534</v>
      </c>
      <c r="G21" s="345">
        <v>0.54</v>
      </c>
      <c r="H21" s="361">
        <f>Inflows!$F21*Inflows!$G21</f>
        <v>23524308.360000003</v>
      </c>
    </row>
    <row r="22" spans="1:14">
      <c r="A22" s="10" t="s">
        <v>480</v>
      </c>
      <c r="B22" s="358">
        <v>851712</v>
      </c>
      <c r="C22" s="10" t="s">
        <v>214</v>
      </c>
      <c r="D22" s="10" t="s">
        <v>7857</v>
      </c>
      <c r="E22" s="10">
        <v>2013</v>
      </c>
      <c r="F22" s="10">
        <v>44118744</v>
      </c>
      <c r="G22" s="345">
        <v>0.62</v>
      </c>
      <c r="H22" s="361">
        <f>Inflows!$F22*Inflows!$G22</f>
        <v>27353621.280000001</v>
      </c>
    </row>
    <row r="23" spans="1:14">
      <c r="A23" s="10" t="s">
        <v>480</v>
      </c>
      <c r="B23" s="358">
        <v>851712</v>
      </c>
      <c r="C23" s="10" t="s">
        <v>214</v>
      </c>
      <c r="D23" s="10" t="s">
        <v>7857</v>
      </c>
      <c r="E23" s="10">
        <v>2014</v>
      </c>
      <c r="F23" s="10">
        <v>41122482</v>
      </c>
      <c r="G23" s="345">
        <v>0.66</v>
      </c>
      <c r="H23" s="361">
        <f>Inflows!$F23*Inflows!$G23</f>
        <v>27140838.120000001</v>
      </c>
    </row>
    <row r="24" spans="1:14">
      <c r="A24" s="10" t="s">
        <v>480</v>
      </c>
      <c r="B24" s="358">
        <v>851712</v>
      </c>
      <c r="C24" s="10" t="s">
        <v>214</v>
      </c>
      <c r="D24" s="10" t="s">
        <v>7857</v>
      </c>
      <c r="E24" s="10">
        <v>2015</v>
      </c>
      <c r="F24" s="10">
        <v>39069589</v>
      </c>
      <c r="G24" s="345">
        <v>0.7</v>
      </c>
      <c r="H24" s="361">
        <f>Inflows!$F24*Inflows!$G24</f>
        <v>27348712.299999997</v>
      </c>
    </row>
    <row r="25" spans="1:14">
      <c r="A25" s="10" t="s">
        <v>480</v>
      </c>
      <c r="B25" s="358">
        <v>851712</v>
      </c>
      <c r="C25" s="10" t="s">
        <v>214</v>
      </c>
      <c r="D25" s="10" t="s">
        <v>7857</v>
      </c>
      <c r="E25" s="10">
        <v>2016</v>
      </c>
      <c r="F25" s="10">
        <v>36882022</v>
      </c>
      <c r="G25" s="345">
        <v>0.72</v>
      </c>
      <c r="H25" s="361">
        <f>Inflows!$F25*Inflows!$G25</f>
        <v>26555055.84</v>
      </c>
    </row>
    <row r="26" spans="1:14">
      <c r="A26" s="10" t="s">
        <v>480</v>
      </c>
      <c r="B26" s="358">
        <v>851712</v>
      </c>
      <c r="C26" s="10" t="s">
        <v>214</v>
      </c>
      <c r="D26" s="10" t="s">
        <v>7857</v>
      </c>
      <c r="E26" s="10">
        <v>2017</v>
      </c>
      <c r="F26" s="10">
        <v>31565301</v>
      </c>
      <c r="G26" s="345">
        <v>0.74</v>
      </c>
      <c r="H26" s="361">
        <f>Inflows!$F26*Inflows!$G26</f>
        <v>23358322.739999998</v>
      </c>
    </row>
    <row r="27" spans="1:14">
      <c r="A27" s="10" t="s">
        <v>480</v>
      </c>
      <c r="B27" s="358">
        <v>851712</v>
      </c>
      <c r="C27" s="10" t="s">
        <v>214</v>
      </c>
      <c r="D27" s="10" t="s">
        <v>7857</v>
      </c>
      <c r="E27" s="10">
        <v>2018</v>
      </c>
      <c r="F27" s="10">
        <v>29393691</v>
      </c>
      <c r="G27" s="345">
        <v>0.8</v>
      </c>
      <c r="H27" s="361">
        <f>Inflows!$F27*Inflows!$G27</f>
        <v>23514952.800000001</v>
      </c>
    </row>
    <row r="28" spans="1:14">
      <c r="A28" s="10" t="s">
        <v>480</v>
      </c>
      <c r="B28" s="358">
        <v>851712</v>
      </c>
      <c r="C28" s="10" t="s">
        <v>214</v>
      </c>
      <c r="D28" s="10" t="s">
        <v>7857</v>
      </c>
      <c r="E28" s="10">
        <v>2019</v>
      </c>
      <c r="F28" s="10">
        <v>28868296</v>
      </c>
      <c r="G28" s="345">
        <v>0.85</v>
      </c>
      <c r="H28" s="361">
        <f>Inflows!$F28*Inflows!$G28</f>
        <v>24538051.599999998</v>
      </c>
    </row>
    <row r="29" spans="1:14">
      <c r="A29" s="10" t="s">
        <v>480</v>
      </c>
      <c r="B29" s="358">
        <v>851712</v>
      </c>
      <c r="C29" s="10" t="s">
        <v>214</v>
      </c>
      <c r="D29" s="10" t="s">
        <v>7857</v>
      </c>
      <c r="E29" s="10">
        <v>2020</v>
      </c>
      <c r="F29" s="10">
        <v>29606472</v>
      </c>
      <c r="G29" s="345">
        <v>0.89</v>
      </c>
      <c r="H29" s="361">
        <f>Inflows!$F29*Inflows!$G29</f>
        <v>26349760.080000002</v>
      </c>
    </row>
    <row r="30" spans="1:14">
      <c r="A30" s="10" t="s">
        <v>480</v>
      </c>
      <c r="B30" s="358">
        <v>851712</v>
      </c>
      <c r="C30" s="10" t="s">
        <v>214</v>
      </c>
      <c r="D30" s="10" t="s">
        <v>7857</v>
      </c>
      <c r="E30" s="10">
        <v>2021</v>
      </c>
      <c r="F30" s="10">
        <v>25864663</v>
      </c>
      <c r="G30" s="345">
        <v>0.91</v>
      </c>
      <c r="H30" s="373">
        <f>Inflows!$F30*Inflows!$G30</f>
        <v>23536843.330000002</v>
      </c>
    </row>
    <row r="31" spans="1:14">
      <c r="A31" t="s">
        <v>480</v>
      </c>
      <c r="B31" s="359">
        <v>851712</v>
      </c>
      <c r="C31" t="s">
        <v>7856</v>
      </c>
      <c r="D31" t="s">
        <v>7857</v>
      </c>
      <c r="E31">
        <v>2007</v>
      </c>
      <c r="F31">
        <v>5894801</v>
      </c>
      <c r="G31" s="345">
        <v>0.44</v>
      </c>
      <c r="H31">
        <f>Inflows!$F31*Inflows!$G31</f>
        <v>2593712.44</v>
      </c>
    </row>
    <row r="32" spans="1:14">
      <c r="A32" s="10" t="s">
        <v>480</v>
      </c>
      <c r="B32" s="358">
        <v>851712</v>
      </c>
      <c r="C32" s="10" t="s">
        <v>7856</v>
      </c>
      <c r="D32" s="10" t="s">
        <v>7857</v>
      </c>
      <c r="E32" s="10">
        <v>2008</v>
      </c>
      <c r="F32" s="10">
        <v>7351148</v>
      </c>
      <c r="G32" s="345">
        <v>0.44</v>
      </c>
      <c r="H32" s="10">
        <f>Inflows!$F32*Inflows!$G32</f>
        <v>3234505.12</v>
      </c>
    </row>
    <row r="33" spans="1:8">
      <c r="A33" t="s">
        <v>480</v>
      </c>
      <c r="B33" s="359">
        <v>851712</v>
      </c>
      <c r="C33" t="s">
        <v>7856</v>
      </c>
      <c r="D33" t="s">
        <v>7857</v>
      </c>
      <c r="E33">
        <v>2009</v>
      </c>
      <c r="F33">
        <v>9427604</v>
      </c>
      <c r="G33" s="345">
        <v>0.44</v>
      </c>
      <c r="H33">
        <f>Inflows!$F33*Inflows!$G33</f>
        <v>4148145.7600000002</v>
      </c>
    </row>
    <row r="34" spans="1:8" customFormat="1">
      <c r="A34" s="10" t="s">
        <v>480</v>
      </c>
      <c r="B34" s="358">
        <v>851712</v>
      </c>
      <c r="C34" s="10" t="s">
        <v>7856</v>
      </c>
      <c r="D34" s="10" t="s">
        <v>7857</v>
      </c>
      <c r="E34" s="10">
        <v>2010</v>
      </c>
      <c r="F34" s="10">
        <v>11255489</v>
      </c>
      <c r="G34" s="345">
        <v>0.44</v>
      </c>
      <c r="H34" s="10">
        <f>Inflows!$F34*Inflows!$G34</f>
        <v>4952415.16</v>
      </c>
    </row>
    <row r="35" spans="1:8" customFormat="1">
      <c r="A35" t="s">
        <v>480</v>
      </c>
      <c r="B35" s="359">
        <v>851712</v>
      </c>
      <c r="C35" t="s">
        <v>7856</v>
      </c>
      <c r="D35" t="s">
        <v>7857</v>
      </c>
      <c r="E35">
        <v>2011</v>
      </c>
      <c r="F35">
        <v>12782555</v>
      </c>
      <c r="G35" s="345">
        <v>0.44</v>
      </c>
      <c r="H35">
        <f>Inflows!$F35*Inflows!$G35</f>
        <v>5624324.2000000002</v>
      </c>
    </row>
    <row r="36" spans="1:8" customFormat="1">
      <c r="A36" s="10" t="s">
        <v>480</v>
      </c>
      <c r="B36" s="358">
        <v>851712</v>
      </c>
      <c r="C36" s="10" t="s">
        <v>7856</v>
      </c>
      <c r="D36" s="10" t="s">
        <v>7857</v>
      </c>
      <c r="E36" s="10">
        <v>2012</v>
      </c>
      <c r="F36" s="10">
        <v>10583902</v>
      </c>
      <c r="G36" s="345">
        <v>0.54</v>
      </c>
      <c r="H36" s="10">
        <f>Inflows!$F36*Inflows!$G36</f>
        <v>5715307.0800000001</v>
      </c>
    </row>
    <row r="37" spans="1:8" customFormat="1">
      <c r="A37" t="s">
        <v>480</v>
      </c>
      <c r="B37" s="359">
        <v>851712</v>
      </c>
      <c r="C37" t="s">
        <v>7856</v>
      </c>
      <c r="D37" t="s">
        <v>7857</v>
      </c>
      <c r="E37">
        <v>2013</v>
      </c>
      <c r="F37">
        <v>9425897</v>
      </c>
      <c r="G37" s="345">
        <v>0.62</v>
      </c>
      <c r="H37">
        <f>Inflows!$F37*Inflows!$G37</f>
        <v>5844056.1399999997</v>
      </c>
    </row>
    <row r="38" spans="1:8" customFormat="1">
      <c r="A38" s="10" t="s">
        <v>480</v>
      </c>
      <c r="B38" s="358">
        <v>851712</v>
      </c>
      <c r="C38" s="10" t="s">
        <v>7856</v>
      </c>
      <c r="D38" s="10" t="s">
        <v>7857</v>
      </c>
      <c r="E38" s="10">
        <v>2014</v>
      </c>
      <c r="F38" s="10">
        <v>9663263</v>
      </c>
      <c r="G38" s="345">
        <v>0.66</v>
      </c>
      <c r="H38" s="10">
        <f>Inflows!$F38*Inflows!$G38</f>
        <v>6377753.5800000001</v>
      </c>
    </row>
    <row r="39" spans="1:8" customFormat="1">
      <c r="A39" t="s">
        <v>480</v>
      </c>
      <c r="B39" s="359">
        <v>851712</v>
      </c>
      <c r="C39" t="s">
        <v>7856</v>
      </c>
      <c r="D39" t="s">
        <v>7857</v>
      </c>
      <c r="E39">
        <v>2015</v>
      </c>
      <c r="F39">
        <v>8288709</v>
      </c>
      <c r="G39" s="345">
        <v>0.7</v>
      </c>
      <c r="H39">
        <f>Inflows!$F39*Inflows!$G39</f>
        <v>5802096.2999999998</v>
      </c>
    </row>
    <row r="40" spans="1:8" customFormat="1">
      <c r="A40" s="10" t="s">
        <v>480</v>
      </c>
      <c r="B40" s="358">
        <v>851712</v>
      </c>
      <c r="C40" s="10" t="s">
        <v>7856</v>
      </c>
      <c r="D40" s="10" t="s">
        <v>7857</v>
      </c>
      <c r="E40" s="10">
        <v>2016</v>
      </c>
      <c r="F40" s="10">
        <v>7001320</v>
      </c>
      <c r="G40" s="345">
        <v>0.72</v>
      </c>
      <c r="H40" s="10">
        <f>Inflows!$F40*Inflows!$G40</f>
        <v>5040950.3999999994</v>
      </c>
    </row>
    <row r="41" spans="1:8" customFormat="1">
      <c r="A41" t="s">
        <v>480</v>
      </c>
      <c r="B41" s="359">
        <v>851712</v>
      </c>
      <c r="C41" t="s">
        <v>7856</v>
      </c>
      <c r="D41" t="s">
        <v>7857</v>
      </c>
      <c r="E41">
        <v>2017</v>
      </c>
      <c r="F41">
        <v>6977763</v>
      </c>
      <c r="G41" s="345">
        <v>0.74</v>
      </c>
      <c r="H41">
        <f>Inflows!$F41*Inflows!$G41</f>
        <v>5163544.62</v>
      </c>
    </row>
    <row r="42" spans="1:8" customFormat="1">
      <c r="A42" s="10" t="s">
        <v>480</v>
      </c>
      <c r="B42" s="358">
        <v>851712</v>
      </c>
      <c r="C42" s="10" t="s">
        <v>7856</v>
      </c>
      <c r="D42" s="10" t="s">
        <v>7857</v>
      </c>
      <c r="E42" s="10">
        <v>2018</v>
      </c>
      <c r="F42" s="10">
        <v>4985571</v>
      </c>
      <c r="G42" s="345">
        <v>0.8</v>
      </c>
      <c r="H42" s="10">
        <f>Inflows!$F42*Inflows!$G42</f>
        <v>3988456.8000000003</v>
      </c>
    </row>
    <row r="43" spans="1:8" customFormat="1">
      <c r="A43" t="s">
        <v>480</v>
      </c>
      <c r="B43" s="359">
        <v>851712</v>
      </c>
      <c r="C43" t="s">
        <v>7856</v>
      </c>
      <c r="D43" t="s">
        <v>7857</v>
      </c>
      <c r="E43">
        <v>2019</v>
      </c>
      <c r="F43">
        <v>5910106</v>
      </c>
      <c r="G43" s="345">
        <v>0.85</v>
      </c>
      <c r="H43">
        <f>Inflows!$F43*Inflows!$G43</f>
        <v>5023590.0999999996</v>
      </c>
    </row>
    <row r="44" spans="1:8" customFormat="1">
      <c r="A44" s="10" t="s">
        <v>480</v>
      </c>
      <c r="B44" s="358">
        <v>851712</v>
      </c>
      <c r="C44" s="10" t="s">
        <v>7856</v>
      </c>
      <c r="D44" s="10" t="s">
        <v>7857</v>
      </c>
      <c r="E44" s="10">
        <v>2020</v>
      </c>
      <c r="F44" s="10">
        <v>6454210</v>
      </c>
      <c r="G44" s="345">
        <v>0.89</v>
      </c>
      <c r="H44" s="10">
        <f>Inflows!$F44*Inflows!$G44</f>
        <v>5744246.9000000004</v>
      </c>
    </row>
    <row r="45" spans="1:8" customFormat="1">
      <c r="A45" t="s">
        <v>480</v>
      </c>
      <c r="B45" s="359">
        <v>851712</v>
      </c>
      <c r="C45" t="s">
        <v>7856</v>
      </c>
      <c r="D45" t="s">
        <v>7857</v>
      </c>
      <c r="E45">
        <v>2021</v>
      </c>
      <c r="F45">
        <v>3649224</v>
      </c>
      <c r="G45" s="345">
        <v>0.91</v>
      </c>
      <c r="H45">
        <f>Inflows!$F45*Inflows!$G45</f>
        <v>3320793.8400000003</v>
      </c>
    </row>
    <row r="46" spans="1:8">
      <c r="A46" s="342" t="s">
        <v>480</v>
      </c>
      <c r="B46" s="370" t="s">
        <v>7860</v>
      </c>
      <c r="C46" s="342" t="s">
        <v>213</v>
      </c>
      <c r="D46" s="362" t="s">
        <v>501</v>
      </c>
      <c r="E46" s="363">
        <v>2008</v>
      </c>
      <c r="F46" s="364">
        <v>111332000</v>
      </c>
      <c r="G46" s="345">
        <v>0.44</v>
      </c>
      <c r="H46" s="358">
        <f>Inflows!$F46*Inflows!$G46</f>
        <v>48986080</v>
      </c>
    </row>
    <row r="47" spans="1:8">
      <c r="A47" s="318" t="s">
        <v>480</v>
      </c>
      <c r="B47" s="369" t="s">
        <v>7860</v>
      </c>
      <c r="C47" s="318" t="s">
        <v>213</v>
      </c>
      <c r="D47" s="320" t="s">
        <v>501</v>
      </c>
      <c r="E47" s="339">
        <v>2009</v>
      </c>
      <c r="F47" s="324">
        <v>77981000</v>
      </c>
      <c r="G47" s="345">
        <v>0.44</v>
      </c>
      <c r="H47" s="359">
        <f>Inflows!$F47*Inflows!$G47</f>
        <v>34311640</v>
      </c>
    </row>
    <row r="48" spans="1:8">
      <c r="A48" s="342" t="s">
        <v>480</v>
      </c>
      <c r="B48" s="370" t="s">
        <v>7860</v>
      </c>
      <c r="C48" s="342" t="s">
        <v>213</v>
      </c>
      <c r="D48" s="362" t="s">
        <v>501</v>
      </c>
      <c r="E48" s="363">
        <v>2010</v>
      </c>
      <c r="F48" s="364">
        <v>71339000</v>
      </c>
      <c r="G48" s="345">
        <v>0.44</v>
      </c>
      <c r="H48" s="358">
        <f>Inflows!$F48*Inflows!$G48</f>
        <v>31389160</v>
      </c>
    </row>
    <row r="49" spans="1:8">
      <c r="A49" s="318" t="s">
        <v>480</v>
      </c>
      <c r="B49" s="369" t="s">
        <v>7860</v>
      </c>
      <c r="C49" s="318" t="s">
        <v>213</v>
      </c>
      <c r="D49" s="320" t="s">
        <v>501</v>
      </c>
      <c r="E49" s="339">
        <v>2011</v>
      </c>
      <c r="F49" s="324">
        <v>71050000</v>
      </c>
      <c r="G49" s="345">
        <v>0.44</v>
      </c>
      <c r="H49" s="359">
        <f>Inflows!$F49*Inflows!$G49</f>
        <v>31262000</v>
      </c>
    </row>
    <row r="50" spans="1:8">
      <c r="A50" s="342" t="s">
        <v>480</v>
      </c>
      <c r="B50" s="370" t="s">
        <v>7860</v>
      </c>
      <c r="C50" s="342" t="s">
        <v>213</v>
      </c>
      <c r="D50" s="362" t="s">
        <v>501</v>
      </c>
      <c r="E50" s="363">
        <v>2012</v>
      </c>
      <c r="F50" s="364">
        <v>83088000</v>
      </c>
      <c r="G50" s="345">
        <v>0.54</v>
      </c>
      <c r="H50" s="358">
        <f>Inflows!$F50*Inflows!$G50</f>
        <v>44867520</v>
      </c>
    </row>
    <row r="51" spans="1:8">
      <c r="A51" s="318" t="s">
        <v>480</v>
      </c>
      <c r="B51" s="369" t="s">
        <v>7860</v>
      </c>
      <c r="C51" s="318" t="s">
        <v>213</v>
      </c>
      <c r="D51" s="320" t="s">
        <v>501</v>
      </c>
      <c r="E51" s="339">
        <v>2013</v>
      </c>
      <c r="F51" s="324">
        <v>81506000</v>
      </c>
      <c r="G51" s="345">
        <v>0.62</v>
      </c>
      <c r="H51" s="359">
        <f>Inflows!$F51*Inflows!$G51</f>
        <v>50533720</v>
      </c>
    </row>
    <row r="52" spans="1:8">
      <c r="A52" s="342" t="s">
        <v>480</v>
      </c>
      <c r="B52" s="370" t="s">
        <v>7860</v>
      </c>
      <c r="C52" s="342" t="s">
        <v>213</v>
      </c>
      <c r="D52" s="362" t="s">
        <v>501</v>
      </c>
      <c r="E52" s="363">
        <v>2014</v>
      </c>
      <c r="F52" s="364">
        <v>78120666.666666672</v>
      </c>
      <c r="G52" s="345">
        <v>0.66</v>
      </c>
      <c r="H52" s="358">
        <f>Inflows!$F52*Inflows!$G52</f>
        <v>51559640.000000007</v>
      </c>
    </row>
    <row r="53" spans="1:8">
      <c r="A53" s="318" t="s">
        <v>480</v>
      </c>
      <c r="B53" s="369" t="s">
        <v>7860</v>
      </c>
      <c r="C53" s="318" t="s">
        <v>213</v>
      </c>
      <c r="D53" s="320" t="s">
        <v>501</v>
      </c>
      <c r="E53" s="339">
        <v>2015</v>
      </c>
      <c r="F53" s="324">
        <v>74735333.333333343</v>
      </c>
      <c r="G53" s="345">
        <v>0.7</v>
      </c>
      <c r="H53" s="359">
        <f>Inflows!$F53*Inflows!$G53</f>
        <v>52314733.333333336</v>
      </c>
    </row>
    <row r="54" spans="1:8">
      <c r="A54" s="342" t="s">
        <v>480</v>
      </c>
      <c r="B54" s="370" t="s">
        <v>7860</v>
      </c>
      <c r="C54" s="342" t="s">
        <v>213</v>
      </c>
      <c r="D54" s="362" t="s">
        <v>501</v>
      </c>
      <c r="E54" s="363">
        <v>2016</v>
      </c>
      <c r="F54" s="364">
        <v>71350000</v>
      </c>
      <c r="G54" s="345">
        <v>0.72</v>
      </c>
      <c r="H54" s="358">
        <f>Inflows!$F54*Inflows!$G54</f>
        <v>51372000</v>
      </c>
    </row>
    <row r="55" spans="1:8">
      <c r="A55" s="318" t="s">
        <v>480</v>
      </c>
      <c r="B55" s="369" t="s">
        <v>7860</v>
      </c>
      <c r="C55" s="318" t="s">
        <v>213</v>
      </c>
      <c r="D55" s="320" t="s">
        <v>501</v>
      </c>
      <c r="E55" s="339">
        <v>2017</v>
      </c>
      <c r="F55" s="324">
        <v>100344250</v>
      </c>
      <c r="G55" s="345">
        <v>0.74</v>
      </c>
      <c r="H55" s="359">
        <f>Inflows!$F55*Inflows!$G55</f>
        <v>74254745</v>
      </c>
    </row>
    <row r="56" spans="1:8">
      <c r="A56" s="342" t="s">
        <v>480</v>
      </c>
      <c r="B56" s="370" t="s">
        <v>7860</v>
      </c>
      <c r="C56" s="342" t="s">
        <v>213</v>
      </c>
      <c r="D56" s="362" t="s">
        <v>501</v>
      </c>
      <c r="E56" s="363">
        <v>2018</v>
      </c>
      <c r="F56" s="364">
        <v>129338500</v>
      </c>
      <c r="G56" s="345">
        <v>0.8</v>
      </c>
      <c r="H56" s="358">
        <f>Inflows!$F56*Inflows!$G56</f>
        <v>103470800</v>
      </c>
    </row>
    <row r="57" spans="1:8">
      <c r="A57" s="318" t="s">
        <v>480</v>
      </c>
      <c r="B57" s="369" t="s">
        <v>7860</v>
      </c>
      <c r="C57" s="318" t="s">
        <v>213</v>
      </c>
      <c r="D57" s="320" t="s">
        <v>501</v>
      </c>
      <c r="E57" s="339">
        <v>2019</v>
      </c>
      <c r="F57" s="324">
        <v>158332750</v>
      </c>
      <c r="G57" s="345">
        <v>0.85</v>
      </c>
      <c r="H57" s="359">
        <f>Inflows!$F57*Inflows!$G57</f>
        <v>134582837.5</v>
      </c>
    </row>
    <row r="58" spans="1:8">
      <c r="A58" s="342" t="s">
        <v>480</v>
      </c>
      <c r="B58" s="370" t="s">
        <v>7860</v>
      </c>
      <c r="C58" s="342" t="s">
        <v>213</v>
      </c>
      <c r="D58" s="362" t="s">
        <v>501</v>
      </c>
      <c r="E58" s="363">
        <v>2020</v>
      </c>
      <c r="F58" s="364">
        <v>187327000</v>
      </c>
      <c r="G58" s="345">
        <v>0.89</v>
      </c>
      <c r="H58" s="358">
        <f>Inflows!$F58*Inflows!$G58</f>
        <v>166721030</v>
      </c>
    </row>
    <row r="59" spans="1:8">
      <c r="A59" s="318" t="s">
        <v>480</v>
      </c>
      <c r="B59" s="369" t="s">
        <v>7860</v>
      </c>
      <c r="C59" s="318" t="s">
        <v>213</v>
      </c>
      <c r="D59" s="320" t="s">
        <v>501</v>
      </c>
      <c r="E59" s="339">
        <v>2021</v>
      </c>
      <c r="F59" s="324">
        <v>227436000</v>
      </c>
      <c r="G59" s="345">
        <v>0.91</v>
      </c>
      <c r="H59" s="359">
        <f>Inflows!$F59*Inflows!$G59</f>
        <v>206966760</v>
      </c>
    </row>
    <row r="60" spans="1:8">
      <c r="A60" s="10" t="s">
        <v>480</v>
      </c>
      <c r="B60" s="358">
        <v>851712</v>
      </c>
      <c r="C60" s="10" t="s">
        <v>214</v>
      </c>
      <c r="D60" s="10" t="s">
        <v>501</v>
      </c>
      <c r="E60" s="10">
        <v>2007</v>
      </c>
      <c r="F60" s="10">
        <v>3060271194</v>
      </c>
      <c r="G60" s="345">
        <v>0.44</v>
      </c>
      <c r="H60" s="358">
        <f>Inflows!$F60*Inflows!$G60</f>
        <v>1346519325.3599999</v>
      </c>
    </row>
    <row r="61" spans="1:8">
      <c r="A61" s="10" t="s">
        <v>480</v>
      </c>
      <c r="B61" s="358">
        <v>851712</v>
      </c>
      <c r="C61" s="10" t="s">
        <v>214</v>
      </c>
      <c r="D61" s="10" t="s">
        <v>501</v>
      </c>
      <c r="E61" s="10">
        <v>2008</v>
      </c>
      <c r="F61" s="10">
        <v>3268284852</v>
      </c>
      <c r="G61" s="345">
        <v>0.44</v>
      </c>
      <c r="H61" s="358">
        <f>Inflows!$F61*Inflows!$G61</f>
        <v>1438045334.8800001</v>
      </c>
    </row>
    <row r="62" spans="1:8">
      <c r="A62" s="10" t="s">
        <v>480</v>
      </c>
      <c r="B62" s="358">
        <v>851712</v>
      </c>
      <c r="C62" s="10" t="s">
        <v>214</v>
      </c>
      <c r="D62" s="10" t="s">
        <v>501</v>
      </c>
      <c r="E62" s="10">
        <v>2009</v>
      </c>
      <c r="F62" s="10">
        <v>3961501585</v>
      </c>
      <c r="G62" s="345">
        <v>0.44</v>
      </c>
      <c r="H62" s="358">
        <f>Inflows!$F62*Inflows!$G62</f>
        <v>1743060697.4000001</v>
      </c>
    </row>
    <row r="63" spans="1:8">
      <c r="A63" s="10" t="s">
        <v>480</v>
      </c>
      <c r="B63" s="358">
        <v>851712</v>
      </c>
      <c r="C63" s="10" t="s">
        <v>214</v>
      </c>
      <c r="D63" s="10" t="s">
        <v>501</v>
      </c>
      <c r="E63" s="10">
        <v>2010</v>
      </c>
      <c r="F63" s="10">
        <v>5219519587</v>
      </c>
      <c r="G63" s="345">
        <v>0.44</v>
      </c>
      <c r="H63" s="358">
        <f>Inflows!$F63*Inflows!$G63</f>
        <v>2296588618.2800002</v>
      </c>
    </row>
    <row r="64" spans="1:8">
      <c r="A64" s="10" t="s">
        <v>480</v>
      </c>
      <c r="B64" s="358">
        <v>851712</v>
      </c>
      <c r="C64" s="10" t="s">
        <v>214</v>
      </c>
      <c r="D64" s="10" t="s">
        <v>501</v>
      </c>
      <c r="E64" s="10">
        <v>2011</v>
      </c>
      <c r="F64" s="10">
        <v>5649981743</v>
      </c>
      <c r="G64" s="345">
        <v>0.44</v>
      </c>
      <c r="H64" s="358">
        <f>Inflows!$F64*Inflows!$G64</f>
        <v>2485991966.9200001</v>
      </c>
    </row>
    <row r="65" spans="1:8">
      <c r="A65" s="10" t="s">
        <v>480</v>
      </c>
      <c r="B65" s="358">
        <v>851712</v>
      </c>
      <c r="C65" s="10" t="s">
        <v>214</v>
      </c>
      <c r="D65" s="10" t="s">
        <v>501</v>
      </c>
      <c r="E65" s="10">
        <v>2012</v>
      </c>
      <c r="F65" s="10">
        <v>6345443394</v>
      </c>
      <c r="G65" s="345">
        <v>0.54</v>
      </c>
      <c r="H65" s="358">
        <f>Inflows!$F65*Inflows!$G65</f>
        <v>3426539432.7600002</v>
      </c>
    </row>
    <row r="66" spans="1:8">
      <c r="A66" s="10" t="s">
        <v>480</v>
      </c>
      <c r="B66" s="358">
        <v>851712</v>
      </c>
      <c r="C66" s="10" t="s">
        <v>214</v>
      </c>
      <c r="D66" s="10" t="s">
        <v>501</v>
      </c>
      <c r="E66" s="10">
        <v>2013</v>
      </c>
      <c r="F66" s="10">
        <v>7196955644</v>
      </c>
      <c r="G66" s="345">
        <v>0.62</v>
      </c>
      <c r="H66" s="358">
        <f>Inflows!$F66*Inflows!$G66</f>
        <v>4462112499.2799997</v>
      </c>
    </row>
    <row r="67" spans="1:8">
      <c r="A67" s="10" t="s">
        <v>480</v>
      </c>
      <c r="B67" s="358">
        <v>851712</v>
      </c>
      <c r="C67" s="10" t="s">
        <v>214</v>
      </c>
      <c r="D67" s="10" t="s">
        <v>501</v>
      </c>
      <c r="E67" s="10">
        <v>2014</v>
      </c>
      <c r="F67" s="10">
        <v>6178459235</v>
      </c>
      <c r="G67" s="345">
        <v>0.66</v>
      </c>
      <c r="H67" s="358">
        <f>Inflows!$F67*Inflows!$G67</f>
        <v>4077783095.1000004</v>
      </c>
    </row>
    <row r="68" spans="1:8">
      <c r="A68" s="10" t="s">
        <v>480</v>
      </c>
      <c r="B68" s="358">
        <v>851712</v>
      </c>
      <c r="C68" s="10" t="s">
        <v>214</v>
      </c>
      <c r="D68" s="10" t="s">
        <v>501</v>
      </c>
      <c r="E68" s="10">
        <v>2015</v>
      </c>
      <c r="F68" s="10">
        <v>6540897158</v>
      </c>
      <c r="G68" s="345">
        <v>0.7</v>
      </c>
      <c r="H68" s="358">
        <f>Inflows!$F68*Inflows!$G68</f>
        <v>4578628010.5999994</v>
      </c>
    </row>
    <row r="69" spans="1:8">
      <c r="A69" s="10" t="s">
        <v>480</v>
      </c>
      <c r="B69" s="358">
        <v>851712</v>
      </c>
      <c r="C69" s="10" t="s">
        <v>214</v>
      </c>
      <c r="D69" s="10" t="s">
        <v>501</v>
      </c>
      <c r="E69" s="10">
        <v>2016</v>
      </c>
      <c r="F69" s="10">
        <v>7026235263</v>
      </c>
      <c r="G69" s="345">
        <v>0.72</v>
      </c>
      <c r="H69" s="358">
        <f>Inflows!$F69*Inflows!$G69</f>
        <v>5058889389.3599997</v>
      </c>
    </row>
    <row r="70" spans="1:8">
      <c r="A70" s="10" t="s">
        <v>480</v>
      </c>
      <c r="B70" s="358">
        <v>851712</v>
      </c>
      <c r="C70" s="10" t="s">
        <v>214</v>
      </c>
      <c r="D70" s="10" t="s">
        <v>501</v>
      </c>
      <c r="E70" s="10">
        <v>2017</v>
      </c>
      <c r="F70" s="10">
        <v>8053885023</v>
      </c>
      <c r="G70" s="345">
        <v>0.74</v>
      </c>
      <c r="H70" s="358">
        <f>Inflows!$F70*Inflows!$G70</f>
        <v>5959874917.0199995</v>
      </c>
    </row>
    <row r="71" spans="1:8">
      <c r="A71" s="10" t="s">
        <v>480</v>
      </c>
      <c r="B71" s="358">
        <v>851712</v>
      </c>
      <c r="C71" s="10" t="s">
        <v>214</v>
      </c>
      <c r="D71" s="10" t="s">
        <v>501</v>
      </c>
      <c r="E71" s="10">
        <v>2018</v>
      </c>
      <c r="F71" s="10">
        <v>8304438185</v>
      </c>
      <c r="G71" s="345">
        <v>0.8</v>
      </c>
      <c r="H71" s="358">
        <f>Inflows!$F71*Inflows!$G71</f>
        <v>6643550548</v>
      </c>
    </row>
    <row r="72" spans="1:8">
      <c r="A72" s="10" t="s">
        <v>480</v>
      </c>
      <c r="B72" s="358">
        <v>851712</v>
      </c>
      <c r="C72" s="10" t="s">
        <v>214</v>
      </c>
      <c r="D72" s="10" t="s">
        <v>501</v>
      </c>
      <c r="E72" s="10">
        <v>2019</v>
      </c>
      <c r="F72" s="10">
        <v>8262482690</v>
      </c>
      <c r="G72" s="345">
        <v>0.85</v>
      </c>
      <c r="H72" s="358">
        <f>Inflows!$F72*Inflows!$G72</f>
        <v>7023110286.5</v>
      </c>
    </row>
    <row r="73" spans="1:8">
      <c r="A73" s="10" t="s">
        <v>480</v>
      </c>
      <c r="B73" s="358">
        <v>851712</v>
      </c>
      <c r="C73" s="10" t="s">
        <v>214</v>
      </c>
      <c r="D73" s="10" t="s">
        <v>501</v>
      </c>
      <c r="E73" s="10">
        <v>2020</v>
      </c>
      <c r="F73" s="10">
        <v>7842019746</v>
      </c>
      <c r="G73" s="345">
        <v>0.89</v>
      </c>
      <c r="H73" s="358">
        <f>Inflows!$F73*Inflows!$G73</f>
        <v>6979397573.9400005</v>
      </c>
    </row>
    <row r="74" spans="1:8">
      <c r="A74" s="10" t="s">
        <v>480</v>
      </c>
      <c r="B74" s="358">
        <v>851712</v>
      </c>
      <c r="C74" s="10" t="s">
        <v>214</v>
      </c>
      <c r="D74" s="10" t="s">
        <v>501</v>
      </c>
      <c r="E74" s="10">
        <v>2021</v>
      </c>
      <c r="F74" s="10">
        <v>7695862555</v>
      </c>
      <c r="G74" s="345">
        <v>0.91</v>
      </c>
      <c r="H74" s="358">
        <f>Inflows!$F74*Inflows!$G74</f>
        <v>7003234925.0500002</v>
      </c>
    </row>
    <row r="75" spans="1:8">
      <c r="A75" t="s">
        <v>480</v>
      </c>
      <c r="B75" s="359">
        <v>851712</v>
      </c>
      <c r="C75" t="s">
        <v>7856</v>
      </c>
      <c r="D75" t="s">
        <v>501</v>
      </c>
      <c r="E75">
        <v>2007</v>
      </c>
      <c r="F75">
        <v>406246420</v>
      </c>
      <c r="G75" s="345">
        <v>0.44</v>
      </c>
      <c r="H75" s="359">
        <f>Inflows!$F75*Inflows!$G75</f>
        <v>178748424.80000001</v>
      </c>
    </row>
    <row r="76" spans="1:8">
      <c r="A76" s="10" t="s">
        <v>480</v>
      </c>
      <c r="B76" s="358">
        <v>851712</v>
      </c>
      <c r="C76" s="10" t="s">
        <v>7856</v>
      </c>
      <c r="D76" s="10" t="s">
        <v>501</v>
      </c>
      <c r="E76" s="10">
        <v>2008</v>
      </c>
      <c r="F76" s="10">
        <v>639421343</v>
      </c>
      <c r="G76" s="345">
        <v>0.44</v>
      </c>
      <c r="H76" s="358">
        <f>Inflows!$F76*Inflows!$G76</f>
        <v>281345390.92000002</v>
      </c>
    </row>
    <row r="77" spans="1:8">
      <c r="A77" t="s">
        <v>480</v>
      </c>
      <c r="B77" s="359">
        <v>851712</v>
      </c>
      <c r="C77" t="s">
        <v>7856</v>
      </c>
      <c r="D77" t="s">
        <v>501</v>
      </c>
      <c r="E77">
        <v>2009</v>
      </c>
      <c r="F77">
        <v>1098296357</v>
      </c>
      <c r="G77" s="345">
        <v>0.44</v>
      </c>
      <c r="H77" s="359">
        <f>Inflows!$F77*Inflows!$G77</f>
        <v>483250397.07999998</v>
      </c>
    </row>
    <row r="78" spans="1:8">
      <c r="A78" s="10" t="s">
        <v>480</v>
      </c>
      <c r="B78" s="358">
        <v>851712</v>
      </c>
      <c r="C78" s="10" t="s">
        <v>7856</v>
      </c>
      <c r="D78" s="10" t="s">
        <v>501</v>
      </c>
      <c r="E78" s="10">
        <v>2010</v>
      </c>
      <c r="F78" s="10">
        <v>1272594606</v>
      </c>
      <c r="G78" s="345">
        <v>0.44</v>
      </c>
      <c r="H78" s="358">
        <f>Inflows!$F78*Inflows!$G78</f>
        <v>559941626.63999999</v>
      </c>
    </row>
    <row r="79" spans="1:8">
      <c r="A79" t="s">
        <v>480</v>
      </c>
      <c r="B79" s="359">
        <v>851712</v>
      </c>
      <c r="C79" t="s">
        <v>7856</v>
      </c>
      <c r="D79" t="s">
        <v>501</v>
      </c>
      <c r="E79">
        <v>2011</v>
      </c>
      <c r="F79">
        <v>1732687048</v>
      </c>
      <c r="G79" s="345">
        <v>0.44</v>
      </c>
      <c r="H79" s="359">
        <f>Inflows!$F79*Inflows!$G79</f>
        <v>762382301.12</v>
      </c>
    </row>
    <row r="80" spans="1:8">
      <c r="A80" s="10" t="s">
        <v>480</v>
      </c>
      <c r="B80" s="358">
        <v>851712</v>
      </c>
      <c r="C80" s="10" t="s">
        <v>7856</v>
      </c>
      <c r="D80" s="10" t="s">
        <v>501</v>
      </c>
      <c r="E80" s="10">
        <v>2012</v>
      </c>
      <c r="F80" s="10">
        <v>1411898799</v>
      </c>
      <c r="G80" s="345">
        <v>0.54</v>
      </c>
      <c r="H80" s="358">
        <f>Inflows!$F80*Inflows!$G80</f>
        <v>762425351.46000004</v>
      </c>
    </row>
    <row r="81" spans="1:8">
      <c r="A81" t="s">
        <v>480</v>
      </c>
      <c r="B81" s="359">
        <v>851712</v>
      </c>
      <c r="C81" t="s">
        <v>7856</v>
      </c>
      <c r="D81" t="s">
        <v>501</v>
      </c>
      <c r="E81">
        <v>2013</v>
      </c>
      <c r="F81">
        <v>1692166732</v>
      </c>
      <c r="G81" s="345">
        <v>0.62</v>
      </c>
      <c r="H81" s="359">
        <f>Inflows!$F81*Inflows!$G81</f>
        <v>1049143373.84</v>
      </c>
    </row>
    <row r="82" spans="1:8">
      <c r="A82" s="10" t="s">
        <v>480</v>
      </c>
      <c r="B82" s="358">
        <v>851712</v>
      </c>
      <c r="C82" s="10" t="s">
        <v>7856</v>
      </c>
      <c r="D82" s="10" t="s">
        <v>501</v>
      </c>
      <c r="E82" s="10">
        <v>2014</v>
      </c>
      <c r="F82" s="10">
        <v>1671336198</v>
      </c>
      <c r="G82" s="345">
        <v>0.66</v>
      </c>
      <c r="H82" s="358">
        <f>Inflows!$F82*Inflows!$G82</f>
        <v>1103081890.6800001</v>
      </c>
    </row>
    <row r="83" spans="1:8">
      <c r="A83" t="s">
        <v>480</v>
      </c>
      <c r="B83" s="359">
        <v>851712</v>
      </c>
      <c r="C83" t="s">
        <v>7856</v>
      </c>
      <c r="D83" t="s">
        <v>501</v>
      </c>
      <c r="E83">
        <v>2015</v>
      </c>
      <c r="F83">
        <v>1204387718</v>
      </c>
      <c r="G83" s="345">
        <v>0.7</v>
      </c>
      <c r="H83" s="359">
        <f>Inflows!$F83*Inflows!$G83</f>
        <v>843071402.5999999</v>
      </c>
    </row>
    <row r="84" spans="1:8">
      <c r="A84" s="10" t="s">
        <v>480</v>
      </c>
      <c r="B84" s="358">
        <v>851712</v>
      </c>
      <c r="C84" s="10" t="s">
        <v>7856</v>
      </c>
      <c r="D84" s="10" t="s">
        <v>501</v>
      </c>
      <c r="E84" s="10">
        <v>2016</v>
      </c>
      <c r="F84" s="10">
        <v>1264695399</v>
      </c>
      <c r="G84" s="345">
        <v>0.72</v>
      </c>
      <c r="H84" s="358">
        <f>Inflows!$F84*Inflows!$G84</f>
        <v>910580687.27999997</v>
      </c>
    </row>
    <row r="85" spans="1:8">
      <c r="A85" t="s">
        <v>480</v>
      </c>
      <c r="B85" s="359">
        <v>851712</v>
      </c>
      <c r="C85" t="s">
        <v>7856</v>
      </c>
      <c r="D85" t="s">
        <v>501</v>
      </c>
      <c r="E85">
        <v>2017</v>
      </c>
      <c r="F85">
        <v>1172590194</v>
      </c>
      <c r="G85" s="345">
        <v>0.74</v>
      </c>
      <c r="H85" s="359">
        <f>Inflows!$F85*Inflows!$G85</f>
        <v>867716743.55999994</v>
      </c>
    </row>
    <row r="86" spans="1:8">
      <c r="A86" s="10" t="s">
        <v>480</v>
      </c>
      <c r="B86" s="358">
        <v>851712</v>
      </c>
      <c r="C86" s="10" t="s">
        <v>7856</v>
      </c>
      <c r="D86" s="10" t="s">
        <v>501</v>
      </c>
      <c r="E86" s="10">
        <v>2018</v>
      </c>
      <c r="F86" s="10">
        <v>934114678</v>
      </c>
      <c r="G86" s="345">
        <v>0.8</v>
      </c>
      <c r="H86" s="358">
        <f>Inflows!$F86*Inflows!$G86</f>
        <v>747291742.4000001</v>
      </c>
    </row>
    <row r="87" spans="1:8">
      <c r="A87" t="s">
        <v>480</v>
      </c>
      <c r="B87" s="359">
        <v>851712</v>
      </c>
      <c r="C87" t="s">
        <v>7856</v>
      </c>
      <c r="D87" t="s">
        <v>501</v>
      </c>
      <c r="E87">
        <v>2019</v>
      </c>
      <c r="F87">
        <v>1183149536</v>
      </c>
      <c r="G87" s="345">
        <v>0.85</v>
      </c>
      <c r="H87" s="359">
        <f>Inflows!$F87*Inflows!$G87</f>
        <v>1005677105.6</v>
      </c>
    </row>
    <row r="88" spans="1:8">
      <c r="A88" s="10" t="s">
        <v>480</v>
      </c>
      <c r="B88" s="358">
        <v>851712</v>
      </c>
      <c r="C88" s="10" t="s">
        <v>7856</v>
      </c>
      <c r="D88" s="10" t="s">
        <v>501</v>
      </c>
      <c r="E88" s="10">
        <v>2020</v>
      </c>
      <c r="F88" s="10">
        <v>899203778</v>
      </c>
      <c r="G88" s="345">
        <v>0.89</v>
      </c>
      <c r="H88" s="358">
        <f>Inflows!$F88*Inflows!$G88</f>
        <v>800291362.41999996</v>
      </c>
    </row>
    <row r="89" spans="1:8">
      <c r="A89" t="s">
        <v>480</v>
      </c>
      <c r="B89" s="359">
        <v>851712</v>
      </c>
      <c r="C89" t="s">
        <v>7856</v>
      </c>
      <c r="D89" t="s">
        <v>501</v>
      </c>
      <c r="E89">
        <v>2021</v>
      </c>
      <c r="F89">
        <v>694279307</v>
      </c>
      <c r="G89" s="345">
        <v>0.91</v>
      </c>
      <c r="H89" s="359">
        <f>Inflows!$F89*Inflows!$G89</f>
        <v>631794169.37</v>
      </c>
    </row>
    <row r="90" spans="1:8">
      <c r="A90" s="353" t="s">
        <v>40</v>
      </c>
      <c r="B90" s="371" t="s">
        <v>7699</v>
      </c>
      <c r="C90" s="342" t="s">
        <v>213</v>
      </c>
      <c r="D90" s="343" t="s">
        <v>7857</v>
      </c>
      <c r="E90" s="344">
        <v>2008</v>
      </c>
      <c r="F90" s="256">
        <v>85156</v>
      </c>
      <c r="G90" s="345">
        <v>0.91363636363636369</v>
      </c>
      <c r="H90" s="354">
        <f>Inflows!$F90*Inflows!$G90</f>
        <v>77801.618181818179</v>
      </c>
    </row>
    <row r="91" spans="1:8">
      <c r="A91" s="355" t="s">
        <v>40</v>
      </c>
      <c r="B91" s="372" t="s">
        <v>7699</v>
      </c>
      <c r="C91" s="318" t="s">
        <v>213</v>
      </c>
      <c r="D91" s="338" t="s">
        <v>7857</v>
      </c>
      <c r="E91" s="347">
        <v>2009</v>
      </c>
      <c r="F91" s="257">
        <v>76937</v>
      </c>
      <c r="G91" s="345">
        <v>0.91363636363636369</v>
      </c>
      <c r="H91" s="352">
        <f>Inflows!$F91*Inflows!$G91</f>
        <v>70292.440909090918</v>
      </c>
    </row>
    <row r="92" spans="1:8">
      <c r="A92" s="316" t="s">
        <v>40</v>
      </c>
      <c r="B92" s="371" t="s">
        <v>7699</v>
      </c>
      <c r="C92" s="342" t="s">
        <v>213</v>
      </c>
      <c r="D92" s="343" t="s">
        <v>7857</v>
      </c>
      <c r="E92" s="344">
        <v>2010</v>
      </c>
      <c r="F92" s="256">
        <v>79354</v>
      </c>
      <c r="G92" s="345">
        <v>0.91363636363636369</v>
      </c>
      <c r="H92" s="356">
        <f>Inflows!$F92*Inflows!$G92</f>
        <v>72500.7</v>
      </c>
    </row>
    <row r="93" spans="1:8">
      <c r="A93" s="317" t="s">
        <v>40</v>
      </c>
      <c r="B93" s="372">
        <v>26201100</v>
      </c>
      <c r="C93" s="318" t="s">
        <v>213</v>
      </c>
      <c r="D93" s="338" t="s">
        <v>7857</v>
      </c>
      <c r="E93" s="347">
        <v>2011</v>
      </c>
      <c r="F93" s="257">
        <v>80202</v>
      </c>
      <c r="G93" s="340">
        <v>0.73333333333333328</v>
      </c>
      <c r="H93" s="357">
        <f>Inflows!$F93*Inflows!$G93</f>
        <v>58814.799999999996</v>
      </c>
    </row>
    <row r="94" spans="1:8">
      <c r="A94" s="316" t="s">
        <v>40</v>
      </c>
      <c r="B94" s="371">
        <v>26201100</v>
      </c>
      <c r="C94" s="342" t="s">
        <v>213</v>
      </c>
      <c r="D94" s="343" t="s">
        <v>7857</v>
      </c>
      <c r="E94" s="344">
        <v>2012</v>
      </c>
      <c r="F94" s="256">
        <v>97339</v>
      </c>
      <c r="G94" s="345">
        <v>0.58092485549132944</v>
      </c>
      <c r="H94" s="358">
        <f>Inflows!$F94*Inflows!$G94</f>
        <v>56546.644508670513</v>
      </c>
    </row>
    <row r="95" spans="1:8">
      <c r="A95" s="317" t="s">
        <v>40</v>
      </c>
      <c r="B95" s="372">
        <v>26201100</v>
      </c>
      <c r="C95" s="318" t="s">
        <v>213</v>
      </c>
      <c r="D95" s="338" t="s">
        <v>7857</v>
      </c>
      <c r="E95" s="347">
        <v>2013</v>
      </c>
      <c r="F95" s="257">
        <v>103986</v>
      </c>
      <c r="G95" s="340">
        <v>0.45134730538922158</v>
      </c>
      <c r="H95" s="359">
        <f>Inflows!$F95*Inflows!$G95</f>
        <v>46933.800898203597</v>
      </c>
    </row>
    <row r="96" spans="1:8">
      <c r="A96" s="316" t="s">
        <v>40</v>
      </c>
      <c r="B96" s="371">
        <v>26201100</v>
      </c>
      <c r="C96" s="342" t="s">
        <v>213</v>
      </c>
      <c r="D96" s="343" t="s">
        <v>7857</v>
      </c>
      <c r="E96" s="344">
        <v>2014</v>
      </c>
      <c r="F96" s="256">
        <v>94176</v>
      </c>
      <c r="G96" s="345">
        <v>0.43098076067065633</v>
      </c>
      <c r="H96" s="358">
        <f>Inflows!$F96*Inflows!$G96</f>
        <v>40588.044116919729</v>
      </c>
    </row>
    <row r="97" spans="1:8">
      <c r="A97" s="317" t="s">
        <v>40</v>
      </c>
      <c r="B97" s="372">
        <v>26201100</v>
      </c>
      <c r="C97" s="318" t="s">
        <v>213</v>
      </c>
      <c r="D97" s="338" t="s">
        <v>7857</v>
      </c>
      <c r="E97" s="347">
        <v>2015</v>
      </c>
      <c r="F97" s="257">
        <v>103153</v>
      </c>
      <c r="G97" s="340">
        <v>0.43950417677175957</v>
      </c>
      <c r="H97" s="359">
        <f>Inflows!$F97*Inflows!$G97</f>
        <v>45336.174346537315</v>
      </c>
    </row>
    <row r="98" spans="1:8">
      <c r="A98" s="316" t="s">
        <v>40</v>
      </c>
      <c r="B98" s="371">
        <v>26201100</v>
      </c>
      <c r="C98" s="342" t="s">
        <v>213</v>
      </c>
      <c r="D98" s="343" t="s">
        <v>7857</v>
      </c>
      <c r="E98" s="344">
        <v>2016</v>
      </c>
      <c r="F98" s="256">
        <v>102101</v>
      </c>
      <c r="G98" s="345">
        <v>0.47271630991860114</v>
      </c>
      <c r="H98" s="358">
        <f>Inflows!$F98*Inflows!$G98</f>
        <v>48264.807958999096</v>
      </c>
    </row>
    <row r="99" spans="1:8">
      <c r="A99" s="317" t="s">
        <v>40</v>
      </c>
      <c r="B99" s="372">
        <v>26201100</v>
      </c>
      <c r="C99" s="318" t="s">
        <v>213</v>
      </c>
      <c r="D99" s="338" t="s">
        <v>7857</v>
      </c>
      <c r="E99" s="347">
        <v>2017</v>
      </c>
      <c r="F99" s="257">
        <v>135480</v>
      </c>
      <c r="G99" s="340">
        <v>0.4967722102674455</v>
      </c>
      <c r="H99" s="359">
        <f>Inflows!$F99*Inflows!$G99</f>
        <v>67302.699047033515</v>
      </c>
    </row>
    <row r="100" spans="1:8">
      <c r="A100" s="316" t="s">
        <v>40</v>
      </c>
      <c r="B100" s="371">
        <v>26201100</v>
      </c>
      <c r="C100" s="342" t="s">
        <v>213</v>
      </c>
      <c r="D100" s="343" t="s">
        <v>7857</v>
      </c>
      <c r="E100" s="344">
        <v>2018</v>
      </c>
      <c r="F100" s="256">
        <v>151887</v>
      </c>
      <c r="G100" s="345">
        <v>0.51919385796545103</v>
      </c>
      <c r="H100" s="358">
        <f>Inflows!$F100*Inflows!$G100</f>
        <v>78858.797504798466</v>
      </c>
    </row>
    <row r="101" spans="1:8">
      <c r="A101" s="317" t="s">
        <v>40</v>
      </c>
      <c r="B101" s="372">
        <v>26201100</v>
      </c>
      <c r="C101" s="318" t="s">
        <v>213</v>
      </c>
      <c r="D101" s="338" t="s">
        <v>7857</v>
      </c>
      <c r="E101" s="347">
        <v>2019</v>
      </c>
      <c r="F101" s="257">
        <v>161112</v>
      </c>
      <c r="G101" s="340">
        <v>0.54402515723270439</v>
      </c>
      <c r="H101" s="359">
        <f>Inflows!$F101*Inflows!$G101</f>
        <v>87648.981132075467</v>
      </c>
    </row>
    <row r="102" spans="1:8">
      <c r="A102" s="316" t="s">
        <v>40</v>
      </c>
      <c r="B102" s="371">
        <v>26201100</v>
      </c>
      <c r="C102" s="342" t="s">
        <v>213</v>
      </c>
      <c r="D102" s="343" t="s">
        <v>7857</v>
      </c>
      <c r="E102" s="344">
        <v>2020</v>
      </c>
      <c r="F102" s="256">
        <v>263513</v>
      </c>
      <c r="G102" s="345">
        <v>0.57642487046632129</v>
      </c>
      <c r="H102" s="358">
        <f>Inflows!$F102*Inflows!$G102</f>
        <v>151895.44689119174</v>
      </c>
    </row>
    <row r="103" spans="1:8">
      <c r="A103" s="317" t="s">
        <v>40</v>
      </c>
      <c r="B103" s="372">
        <v>26201100</v>
      </c>
      <c r="C103" s="318" t="s">
        <v>213</v>
      </c>
      <c r="D103" s="338" t="s">
        <v>7857</v>
      </c>
      <c r="E103" s="347">
        <v>2021</v>
      </c>
      <c r="F103" s="257">
        <v>219758</v>
      </c>
      <c r="G103" s="340">
        <v>0.63442585377034155</v>
      </c>
      <c r="H103" s="359">
        <f>Inflows!$F103*Inflows!$G103</f>
        <v>139420.15677286271</v>
      </c>
    </row>
    <row r="104" spans="1:8">
      <c r="A104" s="353" t="s">
        <v>40</v>
      </c>
      <c r="B104" s="358">
        <v>847130</v>
      </c>
      <c r="C104" s="10" t="s">
        <v>214</v>
      </c>
      <c r="D104" s="10" t="s">
        <v>7857</v>
      </c>
      <c r="E104" s="10">
        <v>2000</v>
      </c>
      <c r="F104" s="10">
        <v>2863402</v>
      </c>
      <c r="G104" s="345">
        <v>1</v>
      </c>
      <c r="H104" s="383">
        <f>Inflows!$F104*Inflows!$G104</f>
        <v>2863402</v>
      </c>
    </row>
    <row r="105" spans="1:8">
      <c r="A105" s="355" t="s">
        <v>40</v>
      </c>
      <c r="B105" s="359">
        <v>847130</v>
      </c>
      <c r="C105" t="s">
        <v>214</v>
      </c>
      <c r="D105" t="s">
        <v>7857</v>
      </c>
      <c r="E105">
        <v>2001</v>
      </c>
      <c r="F105">
        <v>3044012</v>
      </c>
      <c r="G105" s="340">
        <v>1</v>
      </c>
      <c r="H105" s="359">
        <f>Inflows!$F105*Inflows!$G105</f>
        <v>3044012</v>
      </c>
    </row>
    <row r="106" spans="1:8">
      <c r="A106" s="353" t="s">
        <v>40</v>
      </c>
      <c r="B106" s="358">
        <v>847130</v>
      </c>
      <c r="C106" s="10" t="s">
        <v>214</v>
      </c>
      <c r="D106" s="10" t="s">
        <v>7857</v>
      </c>
      <c r="E106" s="10">
        <v>2002</v>
      </c>
      <c r="F106" s="10">
        <v>2780863</v>
      </c>
      <c r="G106" s="345">
        <v>1</v>
      </c>
      <c r="H106" s="358">
        <f>Inflows!$F106*Inflows!$G106</f>
        <v>2780863</v>
      </c>
    </row>
    <row r="107" spans="1:8">
      <c r="A107" s="355" t="s">
        <v>40</v>
      </c>
      <c r="B107" s="359">
        <v>847130</v>
      </c>
      <c r="C107" t="s">
        <v>214</v>
      </c>
      <c r="D107" t="s">
        <v>7857</v>
      </c>
      <c r="E107">
        <v>2003</v>
      </c>
      <c r="F107">
        <v>3352922</v>
      </c>
      <c r="G107" s="340">
        <v>1</v>
      </c>
      <c r="H107" s="359">
        <f>Inflows!$F107*Inflows!$G107</f>
        <v>3352922</v>
      </c>
    </row>
    <row r="108" spans="1:8">
      <c r="A108" s="353" t="s">
        <v>40</v>
      </c>
      <c r="B108" s="358">
        <v>847130</v>
      </c>
      <c r="C108" s="10" t="s">
        <v>214</v>
      </c>
      <c r="D108" s="10" t="s">
        <v>7857</v>
      </c>
      <c r="E108" s="10">
        <v>2004</v>
      </c>
      <c r="F108" s="10">
        <v>3694624</v>
      </c>
      <c r="G108" s="345">
        <v>1</v>
      </c>
      <c r="H108" s="358">
        <f>Inflows!$F108*Inflows!$G108</f>
        <v>3694624</v>
      </c>
    </row>
    <row r="109" spans="1:8">
      <c r="A109" s="355" t="s">
        <v>40</v>
      </c>
      <c r="B109" s="359">
        <v>847130</v>
      </c>
      <c r="C109" t="s">
        <v>214</v>
      </c>
      <c r="D109" t="s">
        <v>7857</v>
      </c>
      <c r="E109">
        <v>2005</v>
      </c>
      <c r="F109">
        <v>6186527</v>
      </c>
      <c r="G109" s="340">
        <v>1</v>
      </c>
      <c r="H109" s="359">
        <f>Inflows!$F109*Inflows!$G109</f>
        <v>6186527</v>
      </c>
    </row>
    <row r="110" spans="1:8">
      <c r="A110" s="353" t="s">
        <v>40</v>
      </c>
      <c r="B110" s="358">
        <v>847130</v>
      </c>
      <c r="C110" s="10" t="s">
        <v>214</v>
      </c>
      <c r="D110" s="10" t="s">
        <v>7857</v>
      </c>
      <c r="E110" s="10">
        <v>2006</v>
      </c>
      <c r="F110" s="10">
        <v>7480785</v>
      </c>
      <c r="G110" s="345">
        <v>1</v>
      </c>
      <c r="H110" s="358">
        <f>Inflows!$F110*Inflows!$G110</f>
        <v>7480785</v>
      </c>
    </row>
    <row r="111" spans="1:8">
      <c r="A111" s="355" t="s">
        <v>40</v>
      </c>
      <c r="B111" s="359">
        <v>847130</v>
      </c>
      <c r="C111" t="s">
        <v>214</v>
      </c>
      <c r="D111" t="s">
        <v>7857</v>
      </c>
      <c r="E111">
        <v>2007</v>
      </c>
      <c r="F111">
        <v>7096698</v>
      </c>
      <c r="G111" s="340">
        <v>1</v>
      </c>
      <c r="H111" s="359">
        <f>Inflows!$F111*Inflows!$G111</f>
        <v>7096698</v>
      </c>
    </row>
    <row r="112" spans="1:8">
      <c r="A112" s="353" t="s">
        <v>40</v>
      </c>
      <c r="B112" s="358">
        <v>847130</v>
      </c>
      <c r="C112" s="10" t="s">
        <v>214</v>
      </c>
      <c r="D112" s="10" t="s">
        <v>7857</v>
      </c>
      <c r="E112" s="10">
        <v>2008</v>
      </c>
      <c r="F112" s="10">
        <v>10746372</v>
      </c>
      <c r="G112" s="345">
        <v>1</v>
      </c>
      <c r="H112" s="358">
        <f>Inflows!$F112*Inflows!$G112</f>
        <v>10746372</v>
      </c>
    </row>
    <row r="113" spans="1:8">
      <c r="A113" s="355" t="s">
        <v>40</v>
      </c>
      <c r="B113" s="359">
        <v>847130</v>
      </c>
      <c r="C113" t="s">
        <v>214</v>
      </c>
      <c r="D113" t="s">
        <v>7857</v>
      </c>
      <c r="E113">
        <v>2009</v>
      </c>
      <c r="F113">
        <v>10327917</v>
      </c>
      <c r="G113" s="340">
        <v>1</v>
      </c>
      <c r="H113" s="359">
        <f>Inflows!$F113*Inflows!$G113</f>
        <v>10327917</v>
      </c>
    </row>
    <row r="114" spans="1:8">
      <c r="A114" s="353" t="s">
        <v>40</v>
      </c>
      <c r="B114" s="358">
        <v>847130</v>
      </c>
      <c r="C114" s="10" t="s">
        <v>214</v>
      </c>
      <c r="D114" s="10" t="s">
        <v>7857</v>
      </c>
      <c r="E114" s="10">
        <v>2010</v>
      </c>
      <c r="F114" s="10">
        <v>12289847</v>
      </c>
      <c r="G114" s="345">
        <v>0.53315649867374004</v>
      </c>
      <c r="H114" s="358">
        <f>Inflows!$F114*Inflows!$G114</f>
        <v>6552411.7957559684</v>
      </c>
    </row>
    <row r="115" spans="1:8">
      <c r="A115" s="355" t="s">
        <v>40</v>
      </c>
      <c r="B115" s="359">
        <v>847130</v>
      </c>
      <c r="C115" t="s">
        <v>214</v>
      </c>
      <c r="D115" t="s">
        <v>7857</v>
      </c>
      <c r="E115">
        <v>2011</v>
      </c>
      <c r="F115">
        <v>12670090</v>
      </c>
      <c r="G115" s="340">
        <v>0.47499999999999998</v>
      </c>
      <c r="H115" s="360">
        <f>Inflows!$F115*Inflows!$G115</f>
        <v>6018292.75</v>
      </c>
    </row>
    <row r="116" spans="1:8">
      <c r="A116" s="353" t="s">
        <v>40</v>
      </c>
      <c r="B116" s="358">
        <v>847130</v>
      </c>
      <c r="C116" s="10" t="s">
        <v>214</v>
      </c>
      <c r="D116" s="10" t="s">
        <v>7857</v>
      </c>
      <c r="E116" s="10">
        <v>2012</v>
      </c>
      <c r="F116" s="10">
        <v>17918117</v>
      </c>
      <c r="G116" s="345">
        <v>0.40688259109311742</v>
      </c>
      <c r="H116" s="361">
        <f>Inflows!$F116*Inflows!$G116</f>
        <v>7290569.8724696357</v>
      </c>
    </row>
    <row r="117" spans="1:8">
      <c r="A117" s="355" t="s">
        <v>40</v>
      </c>
      <c r="B117" s="359">
        <v>847130</v>
      </c>
      <c r="C117" t="s">
        <v>214</v>
      </c>
      <c r="D117" t="s">
        <v>7857</v>
      </c>
      <c r="E117">
        <v>2013</v>
      </c>
      <c r="F117">
        <v>20030384</v>
      </c>
      <c r="G117" s="340">
        <v>0.33800448430493274</v>
      </c>
      <c r="H117" s="360">
        <f>Inflows!$F117*Inflows!$G117</f>
        <v>6770359.6143497759</v>
      </c>
    </row>
    <row r="118" spans="1:8">
      <c r="A118" s="353" t="s">
        <v>40</v>
      </c>
      <c r="B118" s="358">
        <v>847130</v>
      </c>
      <c r="C118" s="10" t="s">
        <v>214</v>
      </c>
      <c r="D118" s="10" t="s">
        <v>7857</v>
      </c>
      <c r="E118" s="10">
        <v>2014</v>
      </c>
      <c r="F118" s="10">
        <v>19552570</v>
      </c>
      <c r="G118" s="345">
        <v>0.32380209204243537</v>
      </c>
      <c r="H118" s="361">
        <f>Inflows!$F118*Inflows!$G118</f>
        <v>6331163.0708061606</v>
      </c>
    </row>
    <row r="119" spans="1:8">
      <c r="A119" s="355" t="s">
        <v>40</v>
      </c>
      <c r="B119" s="359">
        <v>847130</v>
      </c>
      <c r="C119" t="s">
        <v>214</v>
      </c>
      <c r="D119" t="s">
        <v>7857</v>
      </c>
      <c r="E119">
        <v>2015</v>
      </c>
      <c r="F119">
        <v>18376250</v>
      </c>
      <c r="G119" s="340">
        <v>0.33649680214565708</v>
      </c>
      <c r="H119" s="360">
        <f>Inflows!$F119*Inflows!$G119</f>
        <v>6183549.3604291305</v>
      </c>
    </row>
    <row r="120" spans="1:8">
      <c r="A120" s="353" t="s">
        <v>40</v>
      </c>
      <c r="B120" s="358">
        <v>847130</v>
      </c>
      <c r="C120" s="10" t="s">
        <v>214</v>
      </c>
      <c r="D120" s="10" t="s">
        <v>7857</v>
      </c>
      <c r="E120" s="10">
        <v>2016</v>
      </c>
      <c r="F120" s="10">
        <v>18480366</v>
      </c>
      <c r="G120" s="345">
        <v>0.36045977011494257</v>
      </c>
      <c r="H120" s="361">
        <f>Inflows!$F120*Inflows!$G120</f>
        <v>6661428.4800000004</v>
      </c>
    </row>
    <row r="121" spans="1:8">
      <c r="A121" s="355" t="s">
        <v>40</v>
      </c>
      <c r="B121" s="359">
        <v>847130</v>
      </c>
      <c r="C121" t="s">
        <v>214</v>
      </c>
      <c r="D121" t="s">
        <v>7857</v>
      </c>
      <c r="E121">
        <v>2017</v>
      </c>
      <c r="F121">
        <v>17270897</v>
      </c>
      <c r="G121" s="340">
        <v>0.38194280311982987</v>
      </c>
      <c r="H121" s="360">
        <f>Inflows!$F121*Inflows!$G121</f>
        <v>6596494.8125738604</v>
      </c>
    </row>
    <row r="122" spans="1:8">
      <c r="A122" s="353" t="s">
        <v>40</v>
      </c>
      <c r="B122" s="358">
        <v>847130</v>
      </c>
      <c r="C122" s="10" t="s">
        <v>214</v>
      </c>
      <c r="D122" s="10" t="s">
        <v>7857</v>
      </c>
      <c r="E122" s="10">
        <v>2018</v>
      </c>
      <c r="F122" s="10">
        <v>17526366</v>
      </c>
      <c r="G122" s="345">
        <v>0.39877149877149876</v>
      </c>
      <c r="H122" s="361">
        <f>Inflows!$F122*Inflows!$G122</f>
        <v>6989015.237837838</v>
      </c>
    </row>
    <row r="123" spans="1:8">
      <c r="A123" s="355" t="s">
        <v>40</v>
      </c>
      <c r="B123" s="359">
        <v>847130</v>
      </c>
      <c r="C123" t="s">
        <v>214</v>
      </c>
      <c r="D123" t="s">
        <v>7857</v>
      </c>
      <c r="E123">
        <v>2019</v>
      </c>
      <c r="F123">
        <v>20829643</v>
      </c>
      <c r="G123" s="340">
        <v>0.4199029126213592</v>
      </c>
      <c r="H123" s="360">
        <f>Inflows!$F123*Inflows!$G123</f>
        <v>8746427.764563106</v>
      </c>
    </row>
    <row r="124" spans="1:8">
      <c r="A124" s="353" t="s">
        <v>40</v>
      </c>
      <c r="B124" s="358">
        <v>847130</v>
      </c>
      <c r="C124" s="10" t="s">
        <v>214</v>
      </c>
      <c r="D124" s="10" t="s">
        <v>7857</v>
      </c>
      <c r="E124" s="10">
        <v>2020</v>
      </c>
      <c r="F124" s="10">
        <v>23123937</v>
      </c>
      <c r="G124" s="345">
        <v>0.4776728209531988</v>
      </c>
      <c r="H124" s="361">
        <f>Inflows!$F124*Inflows!$G124</f>
        <v>11045676.218334049</v>
      </c>
    </row>
    <row r="125" spans="1:8">
      <c r="A125" s="355" t="s">
        <v>40</v>
      </c>
      <c r="B125" s="359">
        <v>847130</v>
      </c>
      <c r="C125" t="s">
        <v>214</v>
      </c>
      <c r="D125" t="s">
        <v>7857</v>
      </c>
      <c r="E125">
        <v>2021</v>
      </c>
      <c r="F125">
        <v>21348010</v>
      </c>
      <c r="G125" s="340">
        <v>0.5355000967305088</v>
      </c>
      <c r="H125" s="360">
        <f>Inflows!$F125*Inflows!$G125</f>
        <v>11431861.420003869</v>
      </c>
    </row>
    <row r="126" spans="1:8">
      <c r="A126" s="353" t="s">
        <v>40</v>
      </c>
      <c r="B126" s="358">
        <v>847130</v>
      </c>
      <c r="C126" s="10" t="s">
        <v>214</v>
      </c>
      <c r="D126" s="10" t="s">
        <v>7857</v>
      </c>
      <c r="E126" s="10">
        <v>2022</v>
      </c>
      <c r="F126" s="10">
        <v>19975892</v>
      </c>
      <c r="G126" s="340">
        <v>0.5355000967305088</v>
      </c>
      <c r="H126" s="361">
        <f>Inflows!$F126*Inflows!$G126</f>
        <v>10697092.098278197</v>
      </c>
    </row>
    <row r="127" spans="1:8">
      <c r="A127" s="353" t="s">
        <v>40</v>
      </c>
      <c r="B127" s="358">
        <v>847130</v>
      </c>
      <c r="C127" s="10" t="s">
        <v>214</v>
      </c>
      <c r="D127" s="10" t="s">
        <v>7857</v>
      </c>
      <c r="E127" s="10">
        <v>2023</v>
      </c>
      <c r="F127" s="10">
        <v>1817760</v>
      </c>
      <c r="G127" s="345">
        <v>0.53315649867374004</v>
      </c>
      <c r="H127" s="358">
        <f>Inflows!$F127*Inflows!$G127</f>
        <v>969150.55702917767</v>
      </c>
    </row>
    <row r="128" spans="1:8">
      <c r="A128" s="353" t="s">
        <v>40</v>
      </c>
      <c r="B128" s="358">
        <v>847130</v>
      </c>
      <c r="C128" s="10" t="s">
        <v>7856</v>
      </c>
      <c r="D128" s="10" t="s">
        <v>7857</v>
      </c>
      <c r="E128" s="10">
        <v>2000</v>
      </c>
      <c r="F128" s="10">
        <v>1466832</v>
      </c>
      <c r="G128" s="345">
        <v>0.53315649867374004</v>
      </c>
      <c r="H128" s="358">
        <f>Inflows!$F128*Inflows!$G128</f>
        <v>782051.01326259947</v>
      </c>
    </row>
    <row r="129" spans="1:8">
      <c r="A129" s="353" t="s">
        <v>40</v>
      </c>
      <c r="B129" s="358">
        <v>847130</v>
      </c>
      <c r="C129" s="10" t="s">
        <v>7856</v>
      </c>
      <c r="D129" s="10" t="s">
        <v>7857</v>
      </c>
      <c r="E129" s="10">
        <v>2001</v>
      </c>
      <c r="F129" s="10">
        <v>3065439</v>
      </c>
      <c r="G129" s="345">
        <v>0.53315649867374004</v>
      </c>
      <c r="H129" s="358">
        <f>Inflows!$F129*Inflows!$G129</f>
        <v>1634358.7241379309</v>
      </c>
    </row>
    <row r="130" spans="1:8">
      <c r="A130" s="353" t="s">
        <v>40</v>
      </c>
      <c r="B130" s="358">
        <v>847130</v>
      </c>
      <c r="C130" s="10" t="s">
        <v>7856</v>
      </c>
      <c r="D130" s="10" t="s">
        <v>7857</v>
      </c>
      <c r="E130" s="10">
        <v>2002</v>
      </c>
      <c r="F130" s="10">
        <v>1428784</v>
      </c>
      <c r="G130" s="345">
        <v>0.53315649867374004</v>
      </c>
      <c r="H130" s="358">
        <f>Inflows!$F130*Inflows!$G130</f>
        <v>761765.47480106098</v>
      </c>
    </row>
    <row r="131" spans="1:8">
      <c r="A131" s="353" t="s">
        <v>40</v>
      </c>
      <c r="B131" s="358">
        <v>847130</v>
      </c>
      <c r="C131" s="10" t="s">
        <v>7856</v>
      </c>
      <c r="D131" s="10" t="s">
        <v>7857</v>
      </c>
      <c r="E131" s="10">
        <v>2003</v>
      </c>
      <c r="F131" s="10">
        <v>921821</v>
      </c>
      <c r="G131" s="345">
        <v>0.53315649867374004</v>
      </c>
      <c r="H131" s="358">
        <f>Inflows!$F131*Inflows!$G131</f>
        <v>491474.85676392569</v>
      </c>
    </row>
    <row r="132" spans="1:8">
      <c r="A132" s="353" t="s">
        <v>40</v>
      </c>
      <c r="B132" s="358">
        <v>847130</v>
      </c>
      <c r="C132" s="10" t="s">
        <v>7856</v>
      </c>
      <c r="D132" s="10" t="s">
        <v>7857</v>
      </c>
      <c r="E132" s="10">
        <v>2004</v>
      </c>
      <c r="F132" s="10">
        <v>656704</v>
      </c>
      <c r="G132" s="345">
        <v>0.53315649867374004</v>
      </c>
      <c r="H132" s="358">
        <f>Inflows!$F132*Inflows!$G132</f>
        <v>350126.00530503975</v>
      </c>
    </row>
    <row r="133" spans="1:8">
      <c r="A133" s="353" t="s">
        <v>40</v>
      </c>
      <c r="B133" s="358">
        <v>847130</v>
      </c>
      <c r="C133" s="10" t="s">
        <v>7856</v>
      </c>
      <c r="D133" s="10" t="s">
        <v>7857</v>
      </c>
      <c r="E133" s="10">
        <v>2005</v>
      </c>
      <c r="F133" s="10">
        <v>1173461</v>
      </c>
      <c r="G133" s="345">
        <v>0.53315649867374004</v>
      </c>
      <c r="H133" s="358">
        <f>Inflows!$F133*Inflows!$G133</f>
        <v>625638.35809018568</v>
      </c>
    </row>
    <row r="134" spans="1:8">
      <c r="A134" s="353" t="s">
        <v>40</v>
      </c>
      <c r="B134" s="358">
        <v>847130</v>
      </c>
      <c r="C134" s="10" t="s">
        <v>7856</v>
      </c>
      <c r="D134" s="10" t="s">
        <v>7857</v>
      </c>
      <c r="E134" s="10">
        <v>2006</v>
      </c>
      <c r="F134" s="10">
        <v>1513901</v>
      </c>
      <c r="G134" s="345">
        <v>0.53315649867374004</v>
      </c>
      <c r="H134" s="358">
        <f>Inflows!$F134*Inflows!$G134</f>
        <v>807146.15649867372</v>
      </c>
    </row>
    <row r="135" spans="1:8">
      <c r="A135" s="353" t="s">
        <v>40</v>
      </c>
      <c r="B135" s="358">
        <v>847130</v>
      </c>
      <c r="C135" s="10" t="s">
        <v>7856</v>
      </c>
      <c r="D135" s="10" t="s">
        <v>7857</v>
      </c>
      <c r="E135" s="10">
        <v>2007</v>
      </c>
      <c r="F135" s="10">
        <v>1501357</v>
      </c>
      <c r="G135" s="345">
        <v>0.53315649867374004</v>
      </c>
      <c r="H135" s="358">
        <f>Inflows!$F135*Inflows!$G135</f>
        <v>800458.24137931038</v>
      </c>
    </row>
    <row r="136" spans="1:8">
      <c r="A136" s="353" t="s">
        <v>40</v>
      </c>
      <c r="B136" s="358">
        <v>847130</v>
      </c>
      <c r="C136" s="10" t="s">
        <v>7856</v>
      </c>
      <c r="D136" s="10" t="s">
        <v>7857</v>
      </c>
      <c r="E136" s="10">
        <v>2008</v>
      </c>
      <c r="F136" s="10">
        <v>1942871</v>
      </c>
      <c r="G136" s="345">
        <v>0.53315649867374004</v>
      </c>
      <c r="H136" s="358">
        <f>Inflows!$F136*Inflows!$G136</f>
        <v>1035854.299734748</v>
      </c>
    </row>
    <row r="137" spans="1:8">
      <c r="A137" s="353" t="s">
        <v>40</v>
      </c>
      <c r="B137" s="358">
        <v>847130</v>
      </c>
      <c r="C137" s="10" t="s">
        <v>7856</v>
      </c>
      <c r="D137" s="10" t="s">
        <v>7857</v>
      </c>
      <c r="E137" s="10">
        <v>2009</v>
      </c>
      <c r="F137" s="10">
        <v>1949366</v>
      </c>
      <c r="G137" s="345">
        <v>0.53315649867374004</v>
      </c>
      <c r="H137" s="358">
        <f>Inflows!$F137*Inflows!$G137</f>
        <v>1039317.1511936339</v>
      </c>
    </row>
    <row r="138" spans="1:8">
      <c r="A138" s="353" t="s">
        <v>40</v>
      </c>
      <c r="B138" s="358">
        <v>847130</v>
      </c>
      <c r="C138" s="10" t="s">
        <v>7856</v>
      </c>
      <c r="D138" s="10" t="s">
        <v>7857</v>
      </c>
      <c r="E138" s="10">
        <v>2010</v>
      </c>
      <c r="F138" s="10">
        <v>2596503</v>
      </c>
      <c r="G138" s="345">
        <v>0.53315649867374004</v>
      </c>
      <c r="H138" s="358">
        <f>Inflows!$F138*Inflows!$G138</f>
        <v>1384342.448275862</v>
      </c>
    </row>
    <row r="139" spans="1:8">
      <c r="A139" s="353" t="s">
        <v>40</v>
      </c>
      <c r="B139" s="358">
        <v>847130</v>
      </c>
      <c r="C139" s="10" t="s">
        <v>7856</v>
      </c>
      <c r="D139" s="10" t="s">
        <v>7857</v>
      </c>
      <c r="E139" s="10">
        <v>2011</v>
      </c>
      <c r="F139" s="10">
        <v>2434540</v>
      </c>
      <c r="G139" s="345">
        <v>0.47499999999999998</v>
      </c>
      <c r="H139" s="358">
        <f>Inflows!$F139*Inflows!$G139</f>
        <v>1156406.5</v>
      </c>
    </row>
    <row r="140" spans="1:8">
      <c r="A140" s="353" t="s">
        <v>40</v>
      </c>
      <c r="B140" s="358">
        <v>847130</v>
      </c>
      <c r="C140" s="10" t="s">
        <v>7856</v>
      </c>
      <c r="D140" s="10" t="s">
        <v>7857</v>
      </c>
      <c r="E140" s="10">
        <v>2012</v>
      </c>
      <c r="F140" s="10">
        <v>3618507</v>
      </c>
      <c r="G140" s="345">
        <v>0.40688259109311742</v>
      </c>
      <c r="H140" s="358">
        <f>Inflows!$F140*Inflows!$G140</f>
        <v>1472307.5040485831</v>
      </c>
    </row>
    <row r="141" spans="1:8">
      <c r="A141" s="353" t="s">
        <v>40</v>
      </c>
      <c r="B141" s="358">
        <v>847130</v>
      </c>
      <c r="C141" s="10" t="s">
        <v>7856</v>
      </c>
      <c r="D141" s="10" t="s">
        <v>7857</v>
      </c>
      <c r="E141" s="10">
        <v>2013</v>
      </c>
      <c r="F141" s="10">
        <v>3308856</v>
      </c>
      <c r="G141" s="345">
        <v>0.33800448430493274</v>
      </c>
      <c r="H141" s="358">
        <f>Inflows!$F141*Inflows!$G141</f>
        <v>1118408.1659192825</v>
      </c>
    </row>
    <row r="142" spans="1:8">
      <c r="A142" s="353" t="s">
        <v>40</v>
      </c>
      <c r="B142" s="358">
        <v>847130</v>
      </c>
      <c r="C142" s="10" t="s">
        <v>7856</v>
      </c>
      <c r="D142" s="10" t="s">
        <v>7857</v>
      </c>
      <c r="E142" s="10">
        <v>2014</v>
      </c>
      <c r="F142" s="10">
        <v>2932836</v>
      </c>
      <c r="G142" s="345">
        <v>0.32380209204243537</v>
      </c>
      <c r="H142" s="358">
        <f>Inflows!$F142*Inflows!$G142</f>
        <v>949658.43241736805</v>
      </c>
    </row>
    <row r="143" spans="1:8">
      <c r="A143" s="353" t="s">
        <v>40</v>
      </c>
      <c r="B143" s="358">
        <v>847130</v>
      </c>
      <c r="C143" s="10" t="s">
        <v>7856</v>
      </c>
      <c r="D143" s="10" t="s">
        <v>7857</v>
      </c>
      <c r="E143" s="10">
        <v>2015</v>
      </c>
      <c r="F143" s="10">
        <v>3051401</v>
      </c>
      <c r="G143" s="345">
        <v>0.33649680214565708</v>
      </c>
      <c r="H143" s="358">
        <f>Inflows!$F143*Inflows!$G143</f>
        <v>1026786.6785640601</v>
      </c>
    </row>
    <row r="144" spans="1:8">
      <c r="A144" s="353" t="s">
        <v>40</v>
      </c>
      <c r="B144" s="358">
        <v>847130</v>
      </c>
      <c r="C144" s="10" t="s">
        <v>7856</v>
      </c>
      <c r="D144" s="10" t="s">
        <v>7857</v>
      </c>
      <c r="E144" s="10">
        <v>2016</v>
      </c>
      <c r="F144" s="10">
        <v>3194573</v>
      </c>
      <c r="G144" s="345">
        <v>0.36045977011494257</v>
      </c>
      <c r="H144" s="358">
        <f>Inflows!$F144*Inflows!$G144</f>
        <v>1151515.0491954025</v>
      </c>
    </row>
    <row r="145" spans="1:8">
      <c r="A145" s="353" t="s">
        <v>40</v>
      </c>
      <c r="B145" s="358">
        <v>847130</v>
      </c>
      <c r="C145" s="10" t="s">
        <v>7856</v>
      </c>
      <c r="D145" s="10" t="s">
        <v>7857</v>
      </c>
      <c r="E145" s="10">
        <v>2017</v>
      </c>
      <c r="F145" s="10">
        <v>4189493</v>
      </c>
      <c r="G145" s="345">
        <v>0.38194280311982987</v>
      </c>
      <c r="H145" s="358">
        <f>Inflows!$F145*Inflows!$G145</f>
        <v>1600146.7000709055</v>
      </c>
    </row>
    <row r="146" spans="1:8">
      <c r="A146" s="353" t="s">
        <v>40</v>
      </c>
      <c r="B146" s="358">
        <v>847130</v>
      </c>
      <c r="C146" s="10" t="s">
        <v>7856</v>
      </c>
      <c r="D146" s="10" t="s">
        <v>7857</v>
      </c>
      <c r="E146" s="10">
        <v>2018</v>
      </c>
      <c r="F146" s="10">
        <v>3546543</v>
      </c>
      <c r="G146" s="345">
        <v>0.39877149877149876</v>
      </c>
      <c r="H146" s="358">
        <f>Inflows!$F146*Inflows!$G146</f>
        <v>1414260.2675675675</v>
      </c>
    </row>
    <row r="147" spans="1:8">
      <c r="A147" s="353" t="s">
        <v>40</v>
      </c>
      <c r="B147" s="358">
        <v>847130</v>
      </c>
      <c r="C147" s="10" t="s">
        <v>7856</v>
      </c>
      <c r="D147" s="10" t="s">
        <v>7857</v>
      </c>
      <c r="E147" s="10">
        <v>2019</v>
      </c>
      <c r="F147" s="10">
        <v>3509104</v>
      </c>
      <c r="G147" s="345">
        <v>0.4199029126213592</v>
      </c>
      <c r="H147" s="358">
        <f>Inflows!$F147*Inflows!$G147</f>
        <v>1473482.990291262</v>
      </c>
    </row>
    <row r="148" spans="1:8">
      <c r="A148" s="353" t="s">
        <v>40</v>
      </c>
      <c r="B148" s="358">
        <v>847130</v>
      </c>
      <c r="C148" s="10" t="s">
        <v>7856</v>
      </c>
      <c r="D148" s="10" t="s">
        <v>7857</v>
      </c>
      <c r="E148" s="10">
        <v>2020</v>
      </c>
      <c r="F148" s="10">
        <v>3547620</v>
      </c>
      <c r="G148" s="345">
        <v>0.4776728209531988</v>
      </c>
      <c r="H148" s="358">
        <f>Inflows!$F148*Inflows!$G148</f>
        <v>1694601.6530699872</v>
      </c>
    </row>
    <row r="149" spans="1:8">
      <c r="A149" s="353" t="s">
        <v>40</v>
      </c>
      <c r="B149" s="358">
        <v>847130</v>
      </c>
      <c r="C149" s="10" t="s">
        <v>7856</v>
      </c>
      <c r="D149" s="10" t="s">
        <v>7857</v>
      </c>
      <c r="E149" s="10">
        <v>2021</v>
      </c>
      <c r="F149" s="10">
        <v>4187000</v>
      </c>
      <c r="G149" s="345">
        <v>0.5355000967305088</v>
      </c>
      <c r="H149" s="358">
        <f>Inflows!$F149*Inflows!$G149</f>
        <v>2242138.9050106402</v>
      </c>
    </row>
    <row r="150" spans="1:8">
      <c r="A150" s="353" t="s">
        <v>40</v>
      </c>
      <c r="B150" s="358">
        <v>847130</v>
      </c>
      <c r="C150" s="10" t="s">
        <v>7856</v>
      </c>
      <c r="D150" s="10" t="s">
        <v>7857</v>
      </c>
      <c r="E150" s="10">
        <v>2022</v>
      </c>
      <c r="F150" s="10">
        <v>4167390</v>
      </c>
      <c r="G150" s="345">
        <v>0.5355000967305088</v>
      </c>
      <c r="H150" s="358">
        <f>Inflows!$F150*Inflows!$G150</f>
        <v>2231637.7481137551</v>
      </c>
    </row>
    <row r="151" spans="1:8">
      <c r="A151" s="355" t="s">
        <v>40</v>
      </c>
      <c r="B151" s="359">
        <v>847130</v>
      </c>
      <c r="C151" t="s">
        <v>7856</v>
      </c>
      <c r="D151" t="s">
        <v>7857</v>
      </c>
      <c r="E151">
        <v>2023</v>
      </c>
      <c r="F151">
        <v>199106</v>
      </c>
      <c r="G151" s="345">
        <v>0.5355000967305088</v>
      </c>
      <c r="H151" s="359">
        <f>Inflows!$F151*Inflows!$G151</f>
        <v>106621.28225962468</v>
      </c>
    </row>
    <row r="152" spans="1:8">
      <c r="A152" s="353" t="s">
        <v>40</v>
      </c>
      <c r="B152" s="370" t="s">
        <v>7860</v>
      </c>
      <c r="C152" s="342" t="s">
        <v>213</v>
      </c>
      <c r="D152" s="362" t="s">
        <v>501</v>
      </c>
      <c r="E152" s="344">
        <v>2008</v>
      </c>
      <c r="F152" s="364">
        <v>39841000</v>
      </c>
      <c r="G152" s="345">
        <v>0.91363636363636369</v>
      </c>
      <c r="H152" s="358">
        <f>Inflows!$F152*Inflows!$G152</f>
        <v>36400186.363636367</v>
      </c>
    </row>
    <row r="153" spans="1:8">
      <c r="A153" s="355" t="s">
        <v>40</v>
      </c>
      <c r="B153" s="369" t="s">
        <v>7860</v>
      </c>
      <c r="C153" s="318" t="s">
        <v>213</v>
      </c>
      <c r="D153" s="320" t="s">
        <v>501</v>
      </c>
      <c r="E153" s="347">
        <v>2009</v>
      </c>
      <c r="F153" s="324">
        <v>33312000</v>
      </c>
      <c r="G153" s="345">
        <v>0.91363636363636369</v>
      </c>
      <c r="H153" s="359">
        <f>Inflows!$F153*Inflows!$G153</f>
        <v>30435054.545454547</v>
      </c>
    </row>
    <row r="154" spans="1:8">
      <c r="A154" s="353" t="s">
        <v>40</v>
      </c>
      <c r="B154" s="371" t="s">
        <v>7699</v>
      </c>
      <c r="C154" s="342" t="s">
        <v>213</v>
      </c>
      <c r="D154" s="362" t="s">
        <v>501</v>
      </c>
      <c r="E154" s="363">
        <v>2010</v>
      </c>
      <c r="F154" s="364">
        <v>36093000</v>
      </c>
      <c r="G154" s="345">
        <v>0.91363636363636369</v>
      </c>
      <c r="H154" s="358">
        <f>Inflows!$F154*Inflows!$G154</f>
        <v>32975877.272727273</v>
      </c>
    </row>
    <row r="155" spans="1:8">
      <c r="A155" s="355" t="s">
        <v>40</v>
      </c>
      <c r="B155" s="372">
        <v>26201100</v>
      </c>
      <c r="C155" s="318" t="s">
        <v>213</v>
      </c>
      <c r="D155" s="320" t="s">
        <v>501</v>
      </c>
      <c r="E155" s="339">
        <v>2011</v>
      </c>
      <c r="F155" s="324">
        <v>38357000</v>
      </c>
      <c r="G155" s="340">
        <v>0.73333333333333328</v>
      </c>
      <c r="H155" s="359">
        <f>Inflows!$F155*Inflows!$G155</f>
        <v>28128466.666666664</v>
      </c>
    </row>
    <row r="156" spans="1:8">
      <c r="A156" s="353" t="s">
        <v>40</v>
      </c>
      <c r="B156" s="371">
        <v>26201100</v>
      </c>
      <c r="C156" s="342" t="s">
        <v>213</v>
      </c>
      <c r="D156" s="362" t="s">
        <v>501</v>
      </c>
      <c r="E156" s="363">
        <v>2012</v>
      </c>
      <c r="F156" s="364">
        <v>43226000</v>
      </c>
      <c r="G156" s="345">
        <v>0.58092485549132944</v>
      </c>
      <c r="H156" s="358">
        <f>Inflows!$F156*Inflows!$G156</f>
        <v>25111057.803468205</v>
      </c>
    </row>
    <row r="157" spans="1:8">
      <c r="A157" s="355" t="s">
        <v>40</v>
      </c>
      <c r="B157" s="372">
        <v>26201100</v>
      </c>
      <c r="C157" s="318" t="s">
        <v>213</v>
      </c>
      <c r="D157" s="320" t="s">
        <v>501</v>
      </c>
      <c r="E157" s="339">
        <v>2013</v>
      </c>
      <c r="F157" s="324">
        <v>50533000</v>
      </c>
      <c r="G157" s="340">
        <v>0.45134730538922158</v>
      </c>
      <c r="H157" s="359">
        <f>Inflows!$F157*Inflows!$G157</f>
        <v>22807933.383233532</v>
      </c>
    </row>
    <row r="158" spans="1:8">
      <c r="A158" s="353" t="s">
        <v>40</v>
      </c>
      <c r="B158" s="371">
        <v>26201100</v>
      </c>
      <c r="C158" s="342" t="s">
        <v>213</v>
      </c>
      <c r="D158" s="362" t="s">
        <v>501</v>
      </c>
      <c r="E158" s="363">
        <v>2014</v>
      </c>
      <c r="F158" s="364">
        <v>44793000</v>
      </c>
      <c r="G158" s="345">
        <v>0.43098076067065633</v>
      </c>
      <c r="H158" s="358">
        <f>Inflows!$F158*Inflows!$G158</f>
        <v>19304921.212720707</v>
      </c>
    </row>
    <row r="159" spans="1:8">
      <c r="A159" s="355" t="s">
        <v>40</v>
      </c>
      <c r="B159" s="372">
        <v>26201100</v>
      </c>
      <c r="C159" s="318" t="s">
        <v>213</v>
      </c>
      <c r="D159" s="320" t="s">
        <v>501</v>
      </c>
      <c r="E159" s="339">
        <v>2015</v>
      </c>
      <c r="F159" s="324">
        <v>49333000</v>
      </c>
      <c r="G159" s="340">
        <v>0.43950417677175957</v>
      </c>
      <c r="H159" s="359">
        <f>Inflows!$F159*Inflows!$G159</f>
        <v>21682059.552681215</v>
      </c>
    </row>
    <row r="160" spans="1:8">
      <c r="A160" s="353" t="s">
        <v>40</v>
      </c>
      <c r="B160" s="371">
        <v>26201100</v>
      </c>
      <c r="C160" s="342" t="s">
        <v>213</v>
      </c>
      <c r="D160" s="362" t="s">
        <v>501</v>
      </c>
      <c r="E160" s="363">
        <v>2016</v>
      </c>
      <c r="F160" s="364">
        <v>47762000</v>
      </c>
      <c r="G160" s="345">
        <v>0.47271630991860114</v>
      </c>
      <c r="H160" s="358">
        <f>Inflows!$F160*Inflows!$G160</f>
        <v>22577876.394332226</v>
      </c>
    </row>
    <row r="161" spans="1:8">
      <c r="A161" s="355" t="s">
        <v>40</v>
      </c>
      <c r="B161" s="372">
        <v>26201100</v>
      </c>
      <c r="C161" s="318" t="s">
        <v>213</v>
      </c>
      <c r="D161" s="320" t="s">
        <v>501</v>
      </c>
      <c r="E161" s="339">
        <v>2017</v>
      </c>
      <c r="F161" s="324">
        <v>58328000</v>
      </c>
      <c r="G161" s="340">
        <v>0.4967722102674455</v>
      </c>
      <c r="H161" s="359">
        <f>Inflows!$F161*Inflows!$G161</f>
        <v>28975729.480479561</v>
      </c>
    </row>
    <row r="162" spans="1:8">
      <c r="A162" s="353" t="s">
        <v>40</v>
      </c>
      <c r="B162" s="371">
        <v>26201100</v>
      </c>
      <c r="C162" s="342" t="s">
        <v>213</v>
      </c>
      <c r="D162" s="362" t="s">
        <v>501</v>
      </c>
      <c r="E162" s="363">
        <v>2018</v>
      </c>
      <c r="F162" s="364">
        <v>72335000</v>
      </c>
      <c r="G162" s="345">
        <v>0.51919385796545103</v>
      </c>
      <c r="H162" s="358">
        <f>Inflows!$F162*Inflows!$G162</f>
        <v>37555887.715930901</v>
      </c>
    </row>
    <row r="163" spans="1:8">
      <c r="A163" s="355" t="s">
        <v>40</v>
      </c>
      <c r="B163" s="372">
        <v>26201100</v>
      </c>
      <c r="C163" s="318" t="s">
        <v>213</v>
      </c>
      <c r="D163" s="320" t="s">
        <v>501</v>
      </c>
      <c r="E163" s="339">
        <v>2019</v>
      </c>
      <c r="F163" s="324">
        <v>87194000</v>
      </c>
      <c r="G163" s="340">
        <v>0.54402515723270439</v>
      </c>
      <c r="H163" s="359">
        <f>Inflows!$F163*Inflows!$G163</f>
        <v>47435729.559748426</v>
      </c>
    </row>
    <row r="164" spans="1:8">
      <c r="A164" s="353" t="s">
        <v>40</v>
      </c>
      <c r="B164" s="371">
        <v>26201100</v>
      </c>
      <c r="C164" s="342" t="s">
        <v>213</v>
      </c>
      <c r="D164" s="362" t="s">
        <v>501</v>
      </c>
      <c r="E164" s="363">
        <v>2020</v>
      </c>
      <c r="F164" s="364">
        <v>142464000</v>
      </c>
      <c r="G164" s="345">
        <v>0.57642487046632129</v>
      </c>
      <c r="H164" s="358">
        <f>Inflows!$F164*Inflows!$G164</f>
        <v>82119792.746114001</v>
      </c>
    </row>
    <row r="165" spans="1:8">
      <c r="A165" s="355" t="s">
        <v>40</v>
      </c>
      <c r="B165" s="372">
        <v>26201100</v>
      </c>
      <c r="C165" s="318" t="s">
        <v>213</v>
      </c>
      <c r="D165" s="320" t="s">
        <v>501</v>
      </c>
      <c r="E165" s="339">
        <v>2021</v>
      </c>
      <c r="F165" s="324">
        <v>145095000</v>
      </c>
      <c r="G165" s="340">
        <v>0.63442585377034155</v>
      </c>
      <c r="H165" s="359">
        <f>Inflows!$F165*Inflows!$G165</f>
        <v>92052019.252807707</v>
      </c>
    </row>
    <row r="166" spans="1:8">
      <c r="A166" s="353" t="s">
        <v>40</v>
      </c>
      <c r="B166" s="358">
        <v>847130</v>
      </c>
      <c r="C166" s="10" t="s">
        <v>214</v>
      </c>
      <c r="D166" s="10" t="s">
        <v>501</v>
      </c>
      <c r="E166" s="10">
        <v>2000</v>
      </c>
      <c r="F166" s="10">
        <v>1461673287</v>
      </c>
      <c r="G166" s="345">
        <v>0.53315649867374004</v>
      </c>
      <c r="H166" s="358">
        <f>Inflows!$F166*Inflows!$G166</f>
        <v>779300611.90185678</v>
      </c>
    </row>
    <row r="167" spans="1:8">
      <c r="A167" s="355" t="s">
        <v>40</v>
      </c>
      <c r="B167" s="359">
        <v>847130</v>
      </c>
      <c r="C167" t="s">
        <v>214</v>
      </c>
      <c r="D167" t="s">
        <v>501</v>
      </c>
      <c r="E167">
        <v>2001</v>
      </c>
      <c r="F167">
        <v>1327111350</v>
      </c>
      <c r="G167" s="340">
        <v>0.53315649867374004</v>
      </c>
      <c r="H167" s="359">
        <f>Inflows!$F167*Inflows!$G167</f>
        <v>707558040.71618032</v>
      </c>
    </row>
    <row r="168" spans="1:8">
      <c r="A168" s="353" t="s">
        <v>40</v>
      </c>
      <c r="B168" s="358">
        <v>847130</v>
      </c>
      <c r="C168" s="10" t="s">
        <v>214</v>
      </c>
      <c r="D168" s="10" t="s">
        <v>501</v>
      </c>
      <c r="E168" s="10">
        <v>2002</v>
      </c>
      <c r="F168" s="10">
        <v>1213491896</v>
      </c>
      <c r="G168" s="345">
        <v>0.53315649867374004</v>
      </c>
      <c r="H168" s="358">
        <f>Inflows!$F168*Inflows!$G168</f>
        <v>646981090.44031835</v>
      </c>
    </row>
    <row r="169" spans="1:8">
      <c r="A169" s="355" t="s">
        <v>40</v>
      </c>
      <c r="B169" s="359">
        <v>847130</v>
      </c>
      <c r="C169" t="s">
        <v>214</v>
      </c>
      <c r="D169" t="s">
        <v>501</v>
      </c>
      <c r="E169">
        <v>2003</v>
      </c>
      <c r="F169">
        <v>1349704289</v>
      </c>
      <c r="G169" s="340">
        <v>0.53315649867374004</v>
      </c>
      <c r="H169" s="359">
        <f>Inflows!$F169*Inflows!$G169</f>
        <v>719603612.96816969</v>
      </c>
    </row>
    <row r="170" spans="1:8">
      <c r="A170" s="353" t="s">
        <v>40</v>
      </c>
      <c r="B170" s="358">
        <v>847130</v>
      </c>
      <c r="C170" s="10" t="s">
        <v>214</v>
      </c>
      <c r="D170" s="10" t="s">
        <v>501</v>
      </c>
      <c r="E170" s="10">
        <v>2004</v>
      </c>
      <c r="F170" s="10">
        <v>1848611473</v>
      </c>
      <c r="G170" s="345">
        <v>0.53315649867374004</v>
      </c>
      <c r="H170" s="358">
        <f>Inflows!$F170*Inflows!$G170</f>
        <v>985599220.35278511</v>
      </c>
    </row>
    <row r="171" spans="1:8">
      <c r="A171" s="355" t="s">
        <v>40</v>
      </c>
      <c r="B171" s="359">
        <v>847130</v>
      </c>
      <c r="C171" t="s">
        <v>214</v>
      </c>
      <c r="D171" t="s">
        <v>501</v>
      </c>
      <c r="E171">
        <v>2005</v>
      </c>
      <c r="F171">
        <v>2079104443</v>
      </c>
      <c r="G171" s="340">
        <v>0.53315649867374004</v>
      </c>
      <c r="H171" s="359">
        <f>Inflows!$F171*Inflows!$G171</f>
        <v>1108488045.2068965</v>
      </c>
    </row>
    <row r="172" spans="1:8">
      <c r="A172" s="353" t="s">
        <v>40</v>
      </c>
      <c r="B172" s="358">
        <v>847130</v>
      </c>
      <c r="C172" s="10" t="s">
        <v>214</v>
      </c>
      <c r="D172" s="10" t="s">
        <v>501</v>
      </c>
      <c r="E172" s="10">
        <v>2006</v>
      </c>
      <c r="F172" s="10">
        <v>2456747459</v>
      </c>
      <c r="G172" s="345">
        <v>0.53315649867374004</v>
      </c>
      <c r="H172" s="358">
        <f>Inflows!$F172*Inflows!$G172</f>
        <v>1309830873.3660476</v>
      </c>
    </row>
    <row r="173" spans="1:8">
      <c r="A173" s="355" t="s">
        <v>40</v>
      </c>
      <c r="B173" s="359">
        <v>847130</v>
      </c>
      <c r="C173" t="s">
        <v>214</v>
      </c>
      <c r="D173" t="s">
        <v>501</v>
      </c>
      <c r="E173">
        <v>2007</v>
      </c>
      <c r="F173">
        <v>2559854193</v>
      </c>
      <c r="G173" s="340">
        <v>0.53315649867374004</v>
      </c>
      <c r="H173" s="359">
        <f>Inflows!$F173*Inflows!$G173</f>
        <v>1364802898.6551723</v>
      </c>
    </row>
    <row r="174" spans="1:8">
      <c r="A174" s="353" t="s">
        <v>40</v>
      </c>
      <c r="B174" s="358">
        <v>847130</v>
      </c>
      <c r="C174" s="10" t="s">
        <v>214</v>
      </c>
      <c r="D174" s="10" t="s">
        <v>501</v>
      </c>
      <c r="E174" s="10">
        <v>2008</v>
      </c>
      <c r="F174" s="10">
        <v>3096837781</v>
      </c>
      <c r="G174" s="345">
        <v>0.53315649867374004</v>
      </c>
      <c r="H174" s="358">
        <f>Inflows!$F174*Inflows!$G174</f>
        <v>1651099188.2785146</v>
      </c>
    </row>
    <row r="175" spans="1:8">
      <c r="A175" s="355" t="s">
        <v>40</v>
      </c>
      <c r="B175" s="359">
        <v>847130</v>
      </c>
      <c r="C175" t="s">
        <v>214</v>
      </c>
      <c r="D175" t="s">
        <v>501</v>
      </c>
      <c r="E175">
        <v>2009</v>
      </c>
      <c r="F175">
        <v>3025519140</v>
      </c>
      <c r="G175" s="340">
        <v>0.53315649867374004</v>
      </c>
      <c r="H175" s="359">
        <f>Inflows!$F175*Inflows!$G175</f>
        <v>1613075191.3527851</v>
      </c>
    </row>
    <row r="176" spans="1:8">
      <c r="A176" s="353" t="s">
        <v>40</v>
      </c>
      <c r="B176" s="358">
        <v>847130</v>
      </c>
      <c r="C176" s="10" t="s">
        <v>214</v>
      </c>
      <c r="D176" s="10" t="s">
        <v>501</v>
      </c>
      <c r="E176" s="10">
        <v>2010</v>
      </c>
      <c r="F176" s="10">
        <v>3709299536</v>
      </c>
      <c r="G176" s="345">
        <v>0.53315649867374004</v>
      </c>
      <c r="H176" s="358">
        <f>Inflows!$F176*Inflows!$G176</f>
        <v>1977637153.1458886</v>
      </c>
    </row>
    <row r="177" spans="1:8">
      <c r="A177" s="355" t="s">
        <v>40</v>
      </c>
      <c r="B177" s="359">
        <v>847130</v>
      </c>
      <c r="C177" t="s">
        <v>214</v>
      </c>
      <c r="D177" t="s">
        <v>501</v>
      </c>
      <c r="E177">
        <v>2011</v>
      </c>
      <c r="F177">
        <v>3629808981</v>
      </c>
      <c r="G177" s="340">
        <v>0.47499999999999998</v>
      </c>
      <c r="H177" s="359">
        <f>Inflows!$F177*Inflows!$G177</f>
        <v>1724159265.9749999</v>
      </c>
    </row>
    <row r="178" spans="1:8">
      <c r="A178" s="353" t="s">
        <v>40</v>
      </c>
      <c r="B178" s="358">
        <v>847130</v>
      </c>
      <c r="C178" s="10" t="s">
        <v>214</v>
      </c>
      <c r="D178" s="10" t="s">
        <v>501</v>
      </c>
      <c r="E178" s="10">
        <v>2012</v>
      </c>
      <c r="F178" s="10">
        <v>4387465730</v>
      </c>
      <c r="G178" s="345">
        <v>0.40688259109311742</v>
      </c>
      <c r="H178" s="358">
        <f>Inflows!$F178*Inflows!$G178</f>
        <v>1785183424.554656</v>
      </c>
    </row>
    <row r="179" spans="1:8">
      <c r="A179" s="355" t="s">
        <v>40</v>
      </c>
      <c r="B179" s="359">
        <v>847130</v>
      </c>
      <c r="C179" t="s">
        <v>214</v>
      </c>
      <c r="D179" t="s">
        <v>501</v>
      </c>
      <c r="E179">
        <v>2013</v>
      </c>
      <c r="F179">
        <v>4412142573</v>
      </c>
      <c r="G179" s="340">
        <v>0.33800448430493274</v>
      </c>
      <c r="H179" s="359">
        <f>Inflows!$F179*Inflows!$G179</f>
        <v>1491323975.066704</v>
      </c>
    </row>
    <row r="180" spans="1:8">
      <c r="A180" s="353" t="s">
        <v>40</v>
      </c>
      <c r="B180" s="358">
        <v>847130</v>
      </c>
      <c r="C180" s="10" t="s">
        <v>214</v>
      </c>
      <c r="D180" s="10" t="s">
        <v>501</v>
      </c>
      <c r="E180" s="10">
        <v>2014</v>
      </c>
      <c r="F180" s="10">
        <v>4141128343</v>
      </c>
      <c r="G180" s="345">
        <v>0.32380209204243537</v>
      </c>
      <c r="H180" s="358">
        <f>Inflows!$F180*Inflows!$G180</f>
        <v>1340906020.8796239</v>
      </c>
    </row>
    <row r="181" spans="1:8">
      <c r="A181" s="355" t="s">
        <v>40</v>
      </c>
      <c r="B181" s="359">
        <v>847130</v>
      </c>
      <c r="C181" t="s">
        <v>214</v>
      </c>
      <c r="D181" t="s">
        <v>501</v>
      </c>
      <c r="E181">
        <v>2015</v>
      </c>
      <c r="F181">
        <v>3990945258</v>
      </c>
      <c r="G181" s="340">
        <v>0.33649680214565708</v>
      </c>
      <c r="H181" s="359">
        <f>Inflows!$F181*Inflows!$G181</f>
        <v>1342940316.8553743</v>
      </c>
    </row>
    <row r="182" spans="1:8">
      <c r="A182" s="353" t="s">
        <v>40</v>
      </c>
      <c r="B182" s="358">
        <v>847130</v>
      </c>
      <c r="C182" s="10" t="s">
        <v>214</v>
      </c>
      <c r="D182" s="10" t="s">
        <v>501</v>
      </c>
      <c r="E182" s="10">
        <v>2016</v>
      </c>
      <c r="F182" s="10">
        <v>4294930906</v>
      </c>
      <c r="G182" s="345">
        <v>0.36045977011494257</v>
      </c>
      <c r="H182" s="358">
        <f>Inflows!$F182*Inflows!$G182</f>
        <v>1548149807.0363221</v>
      </c>
    </row>
    <row r="183" spans="1:8">
      <c r="A183" s="355" t="s">
        <v>40</v>
      </c>
      <c r="B183" s="359">
        <v>847130</v>
      </c>
      <c r="C183" t="s">
        <v>214</v>
      </c>
      <c r="D183" t="s">
        <v>501</v>
      </c>
      <c r="E183">
        <v>2017</v>
      </c>
      <c r="F183">
        <v>4709067557</v>
      </c>
      <c r="G183" s="340">
        <v>0.38194280311982987</v>
      </c>
      <c r="H183" s="359">
        <f>Inflows!$F183*Inflows!$G183</f>
        <v>1798594462.8012292</v>
      </c>
    </row>
    <row r="184" spans="1:8">
      <c r="A184" s="353" t="s">
        <v>40</v>
      </c>
      <c r="B184" s="358">
        <v>847130</v>
      </c>
      <c r="C184" s="10" t="s">
        <v>214</v>
      </c>
      <c r="D184" s="10" t="s">
        <v>501</v>
      </c>
      <c r="E184" s="10">
        <v>2018</v>
      </c>
      <c r="F184" s="10">
        <v>5377400459</v>
      </c>
      <c r="G184" s="345">
        <v>0.39877149877149876</v>
      </c>
      <c r="H184" s="358">
        <f>Inflows!$F184*Inflows!$G184</f>
        <v>2144354040.5299754</v>
      </c>
    </row>
    <row r="185" spans="1:8">
      <c r="A185" s="355" t="s">
        <v>40</v>
      </c>
      <c r="B185" s="359">
        <v>847130</v>
      </c>
      <c r="C185" t="s">
        <v>214</v>
      </c>
      <c r="D185" t="s">
        <v>501</v>
      </c>
      <c r="E185">
        <v>2019</v>
      </c>
      <c r="F185">
        <v>5883493991</v>
      </c>
      <c r="G185" s="340">
        <v>0.4199029126213592</v>
      </c>
      <c r="H185" s="359">
        <f>Inflows!$F185*Inflows!$G185</f>
        <v>2470496263.211165</v>
      </c>
    </row>
    <row r="186" spans="1:8">
      <c r="A186" s="353" t="s">
        <v>40</v>
      </c>
      <c r="B186" s="358">
        <v>847130</v>
      </c>
      <c r="C186" s="10" t="s">
        <v>214</v>
      </c>
      <c r="D186" s="10" t="s">
        <v>501</v>
      </c>
      <c r="E186" s="10">
        <v>2020</v>
      </c>
      <c r="F186" s="10">
        <v>7069397132</v>
      </c>
      <c r="G186" s="345">
        <v>0.4776728209531988</v>
      </c>
      <c r="H186" s="358">
        <f>Inflows!$F186*Inflows!$G186</f>
        <v>3376858870.4808931</v>
      </c>
    </row>
    <row r="187" spans="1:8">
      <c r="A187" s="355" t="s">
        <v>40</v>
      </c>
      <c r="B187" s="359">
        <v>847130</v>
      </c>
      <c r="C187" t="s">
        <v>214</v>
      </c>
      <c r="D187" t="s">
        <v>501</v>
      </c>
      <c r="E187">
        <v>2021</v>
      </c>
      <c r="F187">
        <v>7209255668</v>
      </c>
      <c r="G187" s="340">
        <v>0.5355000967305088</v>
      </c>
      <c r="H187" s="359">
        <f>Inflows!$F187*Inflows!$G187</f>
        <v>3860557107.5689688</v>
      </c>
    </row>
    <row r="188" spans="1:8">
      <c r="A188" s="353" t="s">
        <v>40</v>
      </c>
      <c r="B188" s="358">
        <v>847130</v>
      </c>
      <c r="C188" s="10" t="s">
        <v>214</v>
      </c>
      <c r="D188" s="10" t="s">
        <v>501</v>
      </c>
      <c r="E188" s="10">
        <v>2022</v>
      </c>
      <c r="F188" s="10">
        <v>7684280940</v>
      </c>
      <c r="G188" s="345">
        <v>0.5355000967305088</v>
      </c>
      <c r="H188" s="358">
        <f>Inflows!$F188*Inflows!$G188</f>
        <v>4114933186.6744051</v>
      </c>
    </row>
    <row r="189" spans="1:8">
      <c r="A189" s="353" t="s">
        <v>40</v>
      </c>
      <c r="B189" s="358">
        <v>847130</v>
      </c>
      <c r="C189" s="10" t="s">
        <v>214</v>
      </c>
      <c r="D189" s="10" t="s">
        <v>501</v>
      </c>
      <c r="E189" s="10">
        <v>2023</v>
      </c>
      <c r="F189" s="10">
        <v>498147994</v>
      </c>
      <c r="G189" s="345">
        <v>0.5355000967305088</v>
      </c>
      <c r="H189" s="358">
        <f>Inflows!$F189*Inflows!$G189</f>
        <v>266758298.97310892</v>
      </c>
    </row>
    <row r="190" spans="1:8">
      <c r="A190" s="353" t="s">
        <v>40</v>
      </c>
      <c r="B190" s="358">
        <v>847130</v>
      </c>
      <c r="C190" s="10" t="s">
        <v>7856</v>
      </c>
      <c r="D190" s="10" t="s">
        <v>501</v>
      </c>
      <c r="E190" s="10">
        <v>2000</v>
      </c>
      <c r="F190" s="10">
        <v>870005356</v>
      </c>
      <c r="G190" s="345">
        <v>0.53315649867374004</v>
      </c>
      <c r="H190" s="358">
        <f>Inflows!$F190*Inflows!$G190</f>
        <v>463849009.43236071</v>
      </c>
    </row>
    <row r="191" spans="1:8">
      <c r="A191" s="353" t="s">
        <v>40</v>
      </c>
      <c r="B191" s="358">
        <v>847130</v>
      </c>
      <c r="C191" s="10" t="s">
        <v>7856</v>
      </c>
      <c r="D191" s="10" t="s">
        <v>501</v>
      </c>
      <c r="E191" s="10">
        <v>2001</v>
      </c>
      <c r="F191" s="10">
        <v>889080867</v>
      </c>
      <c r="G191" s="345">
        <v>0.53315649867374004</v>
      </c>
      <c r="H191" s="358">
        <f>Inflows!$F191*Inflows!$G191</f>
        <v>474019242.08753318</v>
      </c>
    </row>
    <row r="192" spans="1:8">
      <c r="A192" s="353" t="s">
        <v>40</v>
      </c>
      <c r="B192" s="358">
        <v>847130</v>
      </c>
      <c r="C192" s="10" t="s">
        <v>7856</v>
      </c>
      <c r="D192" s="10" t="s">
        <v>501</v>
      </c>
      <c r="E192" s="10">
        <v>2002</v>
      </c>
      <c r="F192" s="10">
        <v>684583017</v>
      </c>
      <c r="G192" s="345">
        <v>0.53315649867374004</v>
      </c>
      <c r="H192" s="358">
        <f>Inflows!$F192*Inflows!$G192</f>
        <v>364989884.39522547</v>
      </c>
    </row>
    <row r="193" spans="1:8">
      <c r="A193" s="353" t="s">
        <v>40</v>
      </c>
      <c r="B193" s="358">
        <v>847130</v>
      </c>
      <c r="C193" s="10" t="s">
        <v>7856</v>
      </c>
      <c r="D193" s="10" t="s">
        <v>501</v>
      </c>
      <c r="E193" s="10">
        <v>2003</v>
      </c>
      <c r="F193" s="10">
        <v>498475313</v>
      </c>
      <c r="G193" s="345">
        <v>0.53315649867374004</v>
      </c>
      <c r="H193" s="358">
        <f>Inflows!$F193*Inflows!$G193</f>
        <v>265765352.55437666</v>
      </c>
    </row>
    <row r="194" spans="1:8">
      <c r="A194" s="353" t="s">
        <v>40</v>
      </c>
      <c r="B194" s="358">
        <v>847130</v>
      </c>
      <c r="C194" s="10" t="s">
        <v>7856</v>
      </c>
      <c r="D194" s="10" t="s">
        <v>501</v>
      </c>
      <c r="E194" s="10">
        <v>2004</v>
      </c>
      <c r="F194" s="10">
        <v>225842836</v>
      </c>
      <c r="G194" s="345">
        <v>0.53315649867374004</v>
      </c>
      <c r="H194" s="358">
        <f>Inflows!$F194*Inflows!$G194</f>
        <v>120409575.6923077</v>
      </c>
    </row>
    <row r="195" spans="1:8">
      <c r="A195" s="353" t="s">
        <v>40</v>
      </c>
      <c r="B195" s="358">
        <v>847130</v>
      </c>
      <c r="C195" s="10" t="s">
        <v>7856</v>
      </c>
      <c r="D195" s="10" t="s">
        <v>501</v>
      </c>
      <c r="E195" s="10">
        <v>2005</v>
      </c>
      <c r="F195" s="10">
        <v>267278719</v>
      </c>
      <c r="G195" s="345">
        <v>0.53315649867374004</v>
      </c>
      <c r="H195" s="358">
        <f>Inflows!$F195*Inflows!$G195</f>
        <v>142501385.99204245</v>
      </c>
    </row>
    <row r="196" spans="1:8">
      <c r="A196" s="353" t="s">
        <v>40</v>
      </c>
      <c r="B196" s="358">
        <v>847130</v>
      </c>
      <c r="C196" s="10" t="s">
        <v>7856</v>
      </c>
      <c r="D196" s="10" t="s">
        <v>501</v>
      </c>
      <c r="E196" s="10">
        <v>2006</v>
      </c>
      <c r="F196" s="10">
        <v>701535723</v>
      </c>
      <c r="G196" s="345">
        <v>0.53315649867374004</v>
      </c>
      <c r="H196" s="358">
        <f>Inflows!$F196*Inflows!$G196</f>
        <v>374028329.76923078</v>
      </c>
    </row>
    <row r="197" spans="1:8">
      <c r="A197" s="353" t="s">
        <v>40</v>
      </c>
      <c r="B197" s="358">
        <v>847130</v>
      </c>
      <c r="C197" s="10" t="s">
        <v>7856</v>
      </c>
      <c r="D197" s="10" t="s">
        <v>501</v>
      </c>
      <c r="E197" s="10">
        <v>2007</v>
      </c>
      <c r="F197" s="10">
        <v>305721027</v>
      </c>
      <c r="G197" s="345">
        <v>0.53315649867374004</v>
      </c>
      <c r="H197" s="358">
        <f>Inflows!$F197*Inflows!$G197</f>
        <v>162997152.32625994</v>
      </c>
    </row>
    <row r="198" spans="1:8">
      <c r="A198" s="353" t="s">
        <v>40</v>
      </c>
      <c r="B198" s="358">
        <v>847130</v>
      </c>
      <c r="C198" s="10" t="s">
        <v>7856</v>
      </c>
      <c r="D198" s="10" t="s">
        <v>501</v>
      </c>
      <c r="E198" s="10">
        <v>2008</v>
      </c>
      <c r="F198" s="10">
        <v>379936379</v>
      </c>
      <c r="G198" s="345">
        <v>0.53315649867374004</v>
      </c>
      <c r="H198" s="358">
        <f>Inflows!$F198*Inflows!$G198</f>
        <v>202565549.54641908</v>
      </c>
    </row>
    <row r="199" spans="1:8">
      <c r="A199" s="353" t="s">
        <v>40</v>
      </c>
      <c r="B199" s="358">
        <v>847130</v>
      </c>
      <c r="C199" s="10" t="s">
        <v>7856</v>
      </c>
      <c r="D199" s="10" t="s">
        <v>501</v>
      </c>
      <c r="E199" s="10">
        <v>2009</v>
      </c>
      <c r="F199" s="10">
        <v>419181305</v>
      </c>
      <c r="G199" s="345">
        <v>0.53315649867374004</v>
      </c>
      <c r="H199" s="358">
        <f>Inflows!$F199*Inflows!$G199</f>
        <v>223489236.88328913</v>
      </c>
    </row>
    <row r="200" spans="1:8">
      <c r="A200" s="353" t="s">
        <v>40</v>
      </c>
      <c r="B200" s="358">
        <v>847130</v>
      </c>
      <c r="C200" s="10" t="s">
        <v>7856</v>
      </c>
      <c r="D200" s="10" t="s">
        <v>501</v>
      </c>
      <c r="E200" s="10">
        <v>2010</v>
      </c>
      <c r="F200" s="10">
        <v>428196998</v>
      </c>
      <c r="G200" s="345">
        <v>0.53315649867374004</v>
      </c>
      <c r="H200" s="358">
        <f>Inflows!$F200*Inflows!$G200</f>
        <v>228296012.19628647</v>
      </c>
    </row>
    <row r="201" spans="1:8">
      <c r="A201" s="353" t="s">
        <v>40</v>
      </c>
      <c r="B201" s="358">
        <v>847130</v>
      </c>
      <c r="C201" s="10" t="s">
        <v>7856</v>
      </c>
      <c r="D201" s="10" t="s">
        <v>501</v>
      </c>
      <c r="E201" s="10">
        <v>2011</v>
      </c>
      <c r="F201" s="10">
        <v>509139181</v>
      </c>
      <c r="G201" s="345">
        <v>0.47499999999999998</v>
      </c>
      <c r="H201" s="358">
        <f>Inflows!$F201*Inflows!$G201</f>
        <v>241841110.97499999</v>
      </c>
    </row>
    <row r="202" spans="1:8">
      <c r="A202" s="353" t="s">
        <v>40</v>
      </c>
      <c r="B202" s="358">
        <v>847130</v>
      </c>
      <c r="C202" s="10" t="s">
        <v>7856</v>
      </c>
      <c r="D202" s="10" t="s">
        <v>501</v>
      </c>
      <c r="E202" s="10">
        <v>2012</v>
      </c>
      <c r="F202" s="10">
        <v>685897153</v>
      </c>
      <c r="G202" s="345">
        <v>0.40688259109311742</v>
      </c>
      <c r="H202" s="358">
        <f>Inflows!$F202*Inflows!$G202</f>
        <v>279079610.83603239</v>
      </c>
    </row>
    <row r="203" spans="1:8">
      <c r="A203" s="353" t="s">
        <v>40</v>
      </c>
      <c r="B203" s="358">
        <v>847130</v>
      </c>
      <c r="C203" s="10" t="s">
        <v>7856</v>
      </c>
      <c r="D203" s="10" t="s">
        <v>501</v>
      </c>
      <c r="E203" s="10">
        <v>2013</v>
      </c>
      <c r="F203" s="10">
        <v>620332019</v>
      </c>
      <c r="G203" s="345">
        <v>0.33800448430493274</v>
      </c>
      <c r="H203" s="358">
        <f>Inflows!$F203*Inflows!$G203</f>
        <v>209675004.17993274</v>
      </c>
    </row>
    <row r="204" spans="1:8">
      <c r="A204" s="353" t="s">
        <v>40</v>
      </c>
      <c r="B204" s="358">
        <v>847130</v>
      </c>
      <c r="C204" s="10" t="s">
        <v>7856</v>
      </c>
      <c r="D204" s="10" t="s">
        <v>501</v>
      </c>
      <c r="E204" s="10">
        <v>2014</v>
      </c>
      <c r="F204" s="10">
        <v>590993890</v>
      </c>
      <c r="G204" s="345">
        <v>0.32380209204243537</v>
      </c>
      <c r="H204" s="358">
        <f>Inflows!$F204*Inflows!$G204</f>
        <v>191365057.96629694</v>
      </c>
    </row>
    <row r="205" spans="1:8">
      <c r="A205" s="353" t="s">
        <v>40</v>
      </c>
      <c r="B205" s="358">
        <v>847130</v>
      </c>
      <c r="C205" s="10" t="s">
        <v>7856</v>
      </c>
      <c r="D205" s="10" t="s">
        <v>501</v>
      </c>
      <c r="E205" s="10">
        <v>2015</v>
      </c>
      <c r="F205" s="10">
        <v>603341098</v>
      </c>
      <c r="G205" s="345">
        <v>0.33649680214565708</v>
      </c>
      <c r="H205" s="358">
        <f>Inflows!$F205*Inflows!$G205</f>
        <v>203022350.08004948</v>
      </c>
    </row>
    <row r="206" spans="1:8">
      <c r="A206" s="353" t="s">
        <v>40</v>
      </c>
      <c r="B206" s="358">
        <v>847130</v>
      </c>
      <c r="C206" s="10" t="s">
        <v>7856</v>
      </c>
      <c r="D206" s="10" t="s">
        <v>501</v>
      </c>
      <c r="E206" s="10">
        <v>2016</v>
      </c>
      <c r="F206" s="10">
        <v>661374905</v>
      </c>
      <c r="G206" s="345">
        <v>0.36045977011494257</v>
      </c>
      <c r="H206" s="358">
        <f>Inflows!$F206*Inflows!$G206</f>
        <v>238399046.21609199</v>
      </c>
    </row>
    <row r="207" spans="1:8">
      <c r="A207" s="353" t="s">
        <v>40</v>
      </c>
      <c r="B207" s="358">
        <v>847130</v>
      </c>
      <c r="C207" s="10" t="s">
        <v>7856</v>
      </c>
      <c r="D207" s="10" t="s">
        <v>501</v>
      </c>
      <c r="E207" s="10">
        <v>2017</v>
      </c>
      <c r="F207" s="10">
        <v>675667346</v>
      </c>
      <c r="G207" s="345">
        <v>0.38194280311982987</v>
      </c>
      <c r="H207" s="358">
        <f>Inflows!$F207*Inflows!$G207</f>
        <v>258066280.10777596</v>
      </c>
    </row>
    <row r="208" spans="1:8">
      <c r="A208" s="353" t="s">
        <v>40</v>
      </c>
      <c r="B208" s="358">
        <v>847130</v>
      </c>
      <c r="C208" s="10" t="s">
        <v>7856</v>
      </c>
      <c r="D208" s="10" t="s">
        <v>501</v>
      </c>
      <c r="E208" s="10">
        <v>2018</v>
      </c>
      <c r="F208" s="10">
        <v>753737368</v>
      </c>
      <c r="G208" s="345">
        <v>0.39877149877149876</v>
      </c>
      <c r="H208" s="358">
        <f>Inflows!$F208*Inflows!$G208</f>
        <v>300568979.91744471</v>
      </c>
    </row>
    <row r="209" spans="1:8">
      <c r="A209" s="353" t="s">
        <v>40</v>
      </c>
      <c r="B209" s="358">
        <v>847130</v>
      </c>
      <c r="C209" s="10" t="s">
        <v>7856</v>
      </c>
      <c r="D209" s="10" t="s">
        <v>501</v>
      </c>
      <c r="E209" s="10">
        <v>2019</v>
      </c>
      <c r="F209" s="10">
        <v>864955787</v>
      </c>
      <c r="G209" s="345">
        <v>0.4199029126213592</v>
      </c>
      <c r="H209" s="358">
        <f>Inflows!$F209*Inflows!$G209</f>
        <v>363197454.25</v>
      </c>
    </row>
    <row r="210" spans="1:8">
      <c r="A210" s="353" t="s">
        <v>40</v>
      </c>
      <c r="B210" s="358">
        <v>847130</v>
      </c>
      <c r="C210" s="10" t="s">
        <v>7856</v>
      </c>
      <c r="D210" s="10" t="s">
        <v>501</v>
      </c>
      <c r="E210" s="10">
        <v>2020</v>
      </c>
      <c r="F210" s="10">
        <v>879621238</v>
      </c>
      <c r="G210" s="345">
        <v>0.4776728209531988</v>
      </c>
      <c r="H210" s="358">
        <f>Inflows!$F210*Inflows!$G210</f>
        <v>420171158.12580508</v>
      </c>
    </row>
    <row r="211" spans="1:8">
      <c r="A211" s="353" t="s">
        <v>40</v>
      </c>
      <c r="B211" s="358">
        <v>847130</v>
      </c>
      <c r="C211" s="10" t="s">
        <v>7856</v>
      </c>
      <c r="D211" s="10" t="s">
        <v>501</v>
      </c>
      <c r="E211" s="10">
        <v>2021</v>
      </c>
      <c r="F211" s="10">
        <v>895590051</v>
      </c>
      <c r="G211" s="345">
        <v>0.5355000967305088</v>
      </c>
      <c r="H211" s="358">
        <f>Inflows!$F211*Inflows!$G211</f>
        <v>479588558.94138134</v>
      </c>
    </row>
    <row r="212" spans="1:8">
      <c r="A212" s="353" t="s">
        <v>40</v>
      </c>
      <c r="B212" s="358">
        <v>847130</v>
      </c>
      <c r="C212" s="10" t="s">
        <v>7856</v>
      </c>
      <c r="D212" s="10" t="s">
        <v>501</v>
      </c>
      <c r="E212" s="10">
        <v>2022</v>
      </c>
      <c r="F212" s="10">
        <v>1106865652</v>
      </c>
      <c r="G212" s="345">
        <v>0.5355000967305088</v>
      </c>
      <c r="H212" s="358">
        <f>Inflows!$F212*Inflows!$G212</f>
        <v>592726663.71367764</v>
      </c>
    </row>
    <row r="213" spans="1:8">
      <c r="A213" s="365" t="s">
        <v>40</v>
      </c>
      <c r="B213" s="367">
        <v>847130</v>
      </c>
      <c r="C213" s="313" t="s">
        <v>7856</v>
      </c>
      <c r="D213" s="313" t="s">
        <v>501</v>
      </c>
      <c r="E213" s="313">
        <v>2023</v>
      </c>
      <c r="F213" s="313">
        <v>63429436</v>
      </c>
      <c r="G213" s="366">
        <v>0.5355000967305088</v>
      </c>
      <c r="H213" s="385">
        <f>Inflows!$F213*Inflows!$G213</f>
        <v>33966469.113561615</v>
      </c>
    </row>
    <row r="214" spans="1:8">
      <c r="A214" s="353" t="s">
        <v>91</v>
      </c>
      <c r="B214" s="371" t="s">
        <v>7699</v>
      </c>
      <c r="C214" s="342" t="s">
        <v>213</v>
      </c>
      <c r="D214" s="343" t="s">
        <v>7857</v>
      </c>
      <c r="E214" s="344">
        <v>2008</v>
      </c>
      <c r="F214" s="256">
        <v>85156</v>
      </c>
      <c r="G214" s="384">
        <v>8.6363636363636365E-2</v>
      </c>
      <c r="H214" s="385">
        <f>Inflows!$F214*Inflows!$G214</f>
        <v>7354.3818181818178</v>
      </c>
    </row>
    <row r="215" spans="1:8">
      <c r="A215" s="353" t="s">
        <v>91</v>
      </c>
      <c r="B215" s="372" t="s">
        <v>7699</v>
      </c>
      <c r="C215" s="318" t="s">
        <v>213</v>
      </c>
      <c r="D215" s="338" t="s">
        <v>7857</v>
      </c>
      <c r="E215" s="347">
        <v>2009</v>
      </c>
      <c r="F215" s="257">
        <v>76937</v>
      </c>
      <c r="G215" s="384">
        <v>8.6363636363636365E-2</v>
      </c>
      <c r="H215" s="385">
        <f>Inflows!$F215*Inflows!$G215</f>
        <v>6644.5590909090906</v>
      </c>
    </row>
    <row r="216" spans="1:8">
      <c r="A216" s="353" t="s">
        <v>91</v>
      </c>
      <c r="B216" s="371" t="s">
        <v>7699</v>
      </c>
      <c r="C216" s="342" t="s">
        <v>213</v>
      </c>
      <c r="D216" s="343" t="s">
        <v>7857</v>
      </c>
      <c r="E216" s="344">
        <v>2010</v>
      </c>
      <c r="F216" s="256">
        <v>79354</v>
      </c>
      <c r="G216" s="384">
        <v>8.6363636363636365E-2</v>
      </c>
      <c r="H216" s="385">
        <f>Inflows!$F216*Inflows!$G216</f>
        <v>6853.3</v>
      </c>
    </row>
    <row r="217" spans="1:8">
      <c r="A217" s="353" t="s">
        <v>91</v>
      </c>
      <c r="B217" s="372">
        <v>26201100</v>
      </c>
      <c r="C217" s="318" t="s">
        <v>213</v>
      </c>
      <c r="D217" s="338" t="s">
        <v>7857</v>
      </c>
      <c r="E217" s="347">
        <v>2011</v>
      </c>
      <c r="F217" s="257">
        <v>80202</v>
      </c>
      <c r="G217" s="384">
        <v>0.26666666666666666</v>
      </c>
      <c r="H217" s="385">
        <f>Inflows!$F217*Inflows!$G217</f>
        <v>21387.200000000001</v>
      </c>
    </row>
    <row r="218" spans="1:8">
      <c r="A218" s="353" t="s">
        <v>91</v>
      </c>
      <c r="B218" s="371">
        <v>26201100</v>
      </c>
      <c r="C218" s="342" t="s">
        <v>213</v>
      </c>
      <c r="D218" s="343" t="s">
        <v>7857</v>
      </c>
      <c r="E218" s="344">
        <v>2012</v>
      </c>
      <c r="F218" s="256">
        <v>97339</v>
      </c>
      <c r="G218" s="384">
        <v>0.41907514450867051</v>
      </c>
      <c r="H218" s="385">
        <f>Inflows!$F218*Inflows!$G218</f>
        <v>40792.355491329479</v>
      </c>
    </row>
    <row r="219" spans="1:8">
      <c r="A219" s="353" t="s">
        <v>91</v>
      </c>
      <c r="B219" s="372">
        <v>26201100</v>
      </c>
      <c r="C219" s="318" t="s">
        <v>213</v>
      </c>
      <c r="D219" s="338" t="s">
        <v>7857</v>
      </c>
      <c r="E219" s="347">
        <v>2013</v>
      </c>
      <c r="F219" s="257">
        <v>103986</v>
      </c>
      <c r="G219" s="384">
        <v>0.54865269461077848</v>
      </c>
      <c r="H219" s="385">
        <f>Inflows!$F219*Inflows!$G219</f>
        <v>57052.19910179641</v>
      </c>
    </row>
    <row r="220" spans="1:8">
      <c r="A220" s="353" t="s">
        <v>91</v>
      </c>
      <c r="B220" s="371">
        <v>26201100</v>
      </c>
      <c r="C220" s="342" t="s">
        <v>213</v>
      </c>
      <c r="D220" s="343" t="s">
        <v>7857</v>
      </c>
      <c r="E220" s="344">
        <v>2014</v>
      </c>
      <c r="F220" s="256">
        <v>94176</v>
      </c>
      <c r="G220" s="384">
        <v>0.56901923932934373</v>
      </c>
      <c r="H220" s="385">
        <f>Inflows!$F220*Inflows!$G220</f>
        <v>53587.955883080278</v>
      </c>
    </row>
    <row r="221" spans="1:8">
      <c r="A221" s="353" t="s">
        <v>91</v>
      </c>
      <c r="B221" s="372">
        <v>26201100</v>
      </c>
      <c r="C221" s="318" t="s">
        <v>213</v>
      </c>
      <c r="D221" s="338" t="s">
        <v>7857</v>
      </c>
      <c r="E221" s="347">
        <v>2015</v>
      </c>
      <c r="F221" s="257">
        <v>103153</v>
      </c>
      <c r="G221" s="384">
        <v>0.56049582322824032</v>
      </c>
      <c r="H221" s="385">
        <f>Inflows!$F221*Inflows!$G221</f>
        <v>57816.825653462671</v>
      </c>
    </row>
    <row r="222" spans="1:8">
      <c r="A222" s="353" t="s">
        <v>91</v>
      </c>
      <c r="B222" s="371">
        <v>26201100</v>
      </c>
      <c r="C222" s="342" t="s">
        <v>213</v>
      </c>
      <c r="D222" s="343" t="s">
        <v>7857</v>
      </c>
      <c r="E222" s="344">
        <v>2016</v>
      </c>
      <c r="F222" s="256">
        <v>102101</v>
      </c>
      <c r="G222" s="384">
        <v>0.52728369008139875</v>
      </c>
      <c r="H222" s="385">
        <f>Inflows!$F222*Inflows!$G222</f>
        <v>53836.192041000897</v>
      </c>
    </row>
    <row r="223" spans="1:8">
      <c r="A223" s="353" t="s">
        <v>91</v>
      </c>
      <c r="B223" s="372">
        <v>26201100</v>
      </c>
      <c r="C223" s="318" t="s">
        <v>213</v>
      </c>
      <c r="D223" s="338" t="s">
        <v>7857</v>
      </c>
      <c r="E223" s="347">
        <v>2017</v>
      </c>
      <c r="F223" s="257">
        <v>135480</v>
      </c>
      <c r="G223" s="384">
        <v>0.50322778973255455</v>
      </c>
      <c r="H223" s="385">
        <f>Inflows!$F223*Inflows!$G223</f>
        <v>68177.300952966485</v>
      </c>
    </row>
    <row r="224" spans="1:8">
      <c r="A224" s="353" t="s">
        <v>91</v>
      </c>
      <c r="B224" s="371">
        <v>26201100</v>
      </c>
      <c r="C224" s="342" t="s">
        <v>213</v>
      </c>
      <c r="D224" s="343" t="s">
        <v>7857</v>
      </c>
      <c r="E224" s="344">
        <v>2018</v>
      </c>
      <c r="F224" s="256">
        <v>151887</v>
      </c>
      <c r="G224" s="384">
        <v>0.48080614203454897</v>
      </c>
      <c r="H224" s="385">
        <f>Inflows!$F224*Inflows!$G224</f>
        <v>73028.202495201534</v>
      </c>
    </row>
    <row r="225" spans="1:8">
      <c r="A225" s="353" t="s">
        <v>91</v>
      </c>
      <c r="B225" s="372">
        <v>26201100</v>
      </c>
      <c r="C225" s="318" t="s">
        <v>213</v>
      </c>
      <c r="D225" s="338" t="s">
        <v>7857</v>
      </c>
      <c r="E225" s="347">
        <v>2019</v>
      </c>
      <c r="F225" s="257">
        <v>161112</v>
      </c>
      <c r="G225" s="384">
        <v>0.45597484276729561</v>
      </c>
      <c r="H225" s="385">
        <f>Inflows!$F225*Inflows!$G225</f>
        <v>73463.018867924533</v>
      </c>
    </row>
    <row r="226" spans="1:8">
      <c r="A226" s="353" t="s">
        <v>91</v>
      </c>
      <c r="B226" s="371">
        <v>26201100</v>
      </c>
      <c r="C226" s="342" t="s">
        <v>213</v>
      </c>
      <c r="D226" s="343" t="s">
        <v>7857</v>
      </c>
      <c r="E226" s="344">
        <v>2020</v>
      </c>
      <c r="F226" s="256">
        <v>263513</v>
      </c>
      <c r="G226" s="384">
        <v>0.42357512953367876</v>
      </c>
      <c r="H226" s="385">
        <f>Inflows!$F226*Inflows!$G226</f>
        <v>111617.55310880829</v>
      </c>
    </row>
    <row r="227" spans="1:8">
      <c r="A227" s="353" t="s">
        <v>91</v>
      </c>
      <c r="B227" s="372">
        <v>26201100</v>
      </c>
      <c r="C227" s="318" t="s">
        <v>213</v>
      </c>
      <c r="D227" s="338" t="s">
        <v>7857</v>
      </c>
      <c r="E227" s="347">
        <v>2021</v>
      </c>
      <c r="F227" s="257">
        <v>219758</v>
      </c>
      <c r="G227" s="384">
        <v>0.3655741462296585</v>
      </c>
      <c r="H227" s="385">
        <f>Inflows!$F227*Inflows!$G227</f>
        <v>80337.843227137288</v>
      </c>
    </row>
    <row r="228" spans="1:8">
      <c r="A228" s="353" t="s">
        <v>91</v>
      </c>
      <c r="B228" s="358">
        <v>847130</v>
      </c>
      <c r="C228" s="10" t="s">
        <v>214</v>
      </c>
      <c r="D228" s="10" t="s">
        <v>7857</v>
      </c>
      <c r="E228" s="10">
        <v>2000</v>
      </c>
      <c r="F228" s="10">
        <v>2863402</v>
      </c>
      <c r="G228" s="384">
        <v>5.0397877984084884E-2</v>
      </c>
      <c r="H228" s="385">
        <f>Inflows!$F228*Inflows!$G228</f>
        <v>144309.38461538462</v>
      </c>
    </row>
    <row r="229" spans="1:8">
      <c r="A229" s="353" t="s">
        <v>91</v>
      </c>
      <c r="B229" s="359">
        <v>847130</v>
      </c>
      <c r="C229" t="s">
        <v>214</v>
      </c>
      <c r="D229" t="s">
        <v>7857</v>
      </c>
      <c r="E229">
        <v>2001</v>
      </c>
      <c r="F229">
        <v>3044012</v>
      </c>
      <c r="G229" s="384">
        <v>5.0397877984084884E-2</v>
      </c>
      <c r="H229" s="385">
        <f>Inflows!$F229*Inflows!$G229</f>
        <v>153411.74535809021</v>
      </c>
    </row>
    <row r="230" spans="1:8">
      <c r="A230" s="353" t="s">
        <v>91</v>
      </c>
      <c r="B230" s="358">
        <v>847130</v>
      </c>
      <c r="C230" s="10" t="s">
        <v>214</v>
      </c>
      <c r="D230" s="10" t="s">
        <v>7857</v>
      </c>
      <c r="E230" s="10">
        <v>2002</v>
      </c>
      <c r="F230" s="10">
        <v>2780863</v>
      </c>
      <c r="G230" s="384">
        <v>5.0397877984084884E-2</v>
      </c>
      <c r="H230" s="385">
        <f>Inflows!$F230*Inflows!$G230</f>
        <v>140149.59416445624</v>
      </c>
    </row>
    <row r="231" spans="1:8">
      <c r="A231" s="353" t="s">
        <v>91</v>
      </c>
      <c r="B231" s="359">
        <v>847130</v>
      </c>
      <c r="C231" t="s">
        <v>214</v>
      </c>
      <c r="D231" t="s">
        <v>7857</v>
      </c>
      <c r="E231">
        <v>2003</v>
      </c>
      <c r="F231">
        <v>3352922</v>
      </c>
      <c r="G231" s="384">
        <v>5.0397877984084884E-2</v>
      </c>
      <c r="H231" s="385">
        <f>Inflows!$F231*Inflows!$G231</f>
        <v>168980.15384615384</v>
      </c>
    </row>
    <row r="232" spans="1:8">
      <c r="A232" s="353" t="s">
        <v>91</v>
      </c>
      <c r="B232" s="358">
        <v>847130</v>
      </c>
      <c r="C232" s="10" t="s">
        <v>214</v>
      </c>
      <c r="D232" s="10" t="s">
        <v>7857</v>
      </c>
      <c r="E232" s="10">
        <v>2004</v>
      </c>
      <c r="F232" s="10">
        <v>3694624</v>
      </c>
      <c r="G232" s="384">
        <v>5.0397877984084884E-2</v>
      </c>
      <c r="H232" s="385">
        <f>Inflows!$F232*Inflows!$G232</f>
        <v>186201.20954907162</v>
      </c>
    </row>
    <row r="233" spans="1:8">
      <c r="A233" s="353" t="s">
        <v>91</v>
      </c>
      <c r="B233" s="359">
        <v>847130</v>
      </c>
      <c r="C233" t="s">
        <v>214</v>
      </c>
      <c r="D233" t="s">
        <v>7857</v>
      </c>
      <c r="E233">
        <v>2005</v>
      </c>
      <c r="F233">
        <v>6186527</v>
      </c>
      <c r="G233" s="384">
        <v>5.0397877984084884E-2</v>
      </c>
      <c r="H233" s="385">
        <f>Inflows!$F233*Inflows!$G233</f>
        <v>311787.83289124671</v>
      </c>
    </row>
    <row r="234" spans="1:8">
      <c r="A234" s="353" t="s">
        <v>91</v>
      </c>
      <c r="B234" s="358">
        <v>847130</v>
      </c>
      <c r="C234" s="10" t="s">
        <v>214</v>
      </c>
      <c r="D234" s="10" t="s">
        <v>7857</v>
      </c>
      <c r="E234" s="10">
        <v>2006</v>
      </c>
      <c r="F234" s="10">
        <v>7480785</v>
      </c>
      <c r="G234" s="384">
        <v>5.0397877984084884E-2</v>
      </c>
      <c r="H234" s="385">
        <f>Inflows!$F234*Inflows!$G234</f>
        <v>377015.68965517246</v>
      </c>
    </row>
    <row r="235" spans="1:8">
      <c r="A235" s="353" t="s">
        <v>91</v>
      </c>
      <c r="B235" s="359">
        <v>847130</v>
      </c>
      <c r="C235" t="s">
        <v>214</v>
      </c>
      <c r="D235" t="s">
        <v>7857</v>
      </c>
      <c r="E235">
        <v>2007</v>
      </c>
      <c r="F235">
        <v>7096698</v>
      </c>
      <c r="G235" s="384">
        <v>5.0397877984084884E-2</v>
      </c>
      <c r="H235" s="385">
        <f>Inflows!$F235*Inflows!$G235</f>
        <v>357658.51989389921</v>
      </c>
    </row>
    <row r="236" spans="1:8">
      <c r="A236" s="353" t="s">
        <v>91</v>
      </c>
      <c r="B236" s="358">
        <v>847130</v>
      </c>
      <c r="C236" s="10" t="s">
        <v>214</v>
      </c>
      <c r="D236" s="10" t="s">
        <v>7857</v>
      </c>
      <c r="E236" s="10">
        <v>2008</v>
      </c>
      <c r="F236" s="10">
        <v>10746372</v>
      </c>
      <c r="G236" s="384">
        <v>5.0397877984084884E-2</v>
      </c>
      <c r="H236" s="385">
        <f>Inflows!$F236*Inflows!$G236</f>
        <v>541594.3448275862</v>
      </c>
    </row>
    <row r="237" spans="1:8">
      <c r="A237" s="353" t="s">
        <v>91</v>
      </c>
      <c r="B237" s="359">
        <v>847130</v>
      </c>
      <c r="C237" t="s">
        <v>214</v>
      </c>
      <c r="D237" t="s">
        <v>7857</v>
      </c>
      <c r="E237">
        <v>2009</v>
      </c>
      <c r="F237">
        <v>10327917</v>
      </c>
      <c r="G237" s="384">
        <v>5.0397877984084884E-2</v>
      </c>
      <c r="H237" s="385">
        <f>Inflows!$F237*Inflows!$G237</f>
        <v>520505.10079575598</v>
      </c>
    </row>
    <row r="238" spans="1:8">
      <c r="A238" s="353" t="s">
        <v>91</v>
      </c>
      <c r="B238" s="358">
        <v>847130</v>
      </c>
      <c r="C238" s="10" t="s">
        <v>214</v>
      </c>
      <c r="D238" s="10" t="s">
        <v>7857</v>
      </c>
      <c r="E238" s="10">
        <v>2010</v>
      </c>
      <c r="F238" s="10">
        <v>12289847</v>
      </c>
      <c r="G238" s="384">
        <v>5.0397877984084884E-2</v>
      </c>
      <c r="H238" s="385">
        <f>Inflows!$F238*Inflows!$G238</f>
        <v>619382.20954907162</v>
      </c>
    </row>
    <row r="239" spans="1:8">
      <c r="A239" s="353" t="s">
        <v>91</v>
      </c>
      <c r="B239" s="359">
        <v>847130</v>
      </c>
      <c r="C239" t="s">
        <v>214</v>
      </c>
      <c r="D239" t="s">
        <v>7857</v>
      </c>
      <c r="E239">
        <v>2011</v>
      </c>
      <c r="F239">
        <v>12670090</v>
      </c>
      <c r="G239" s="384">
        <v>0.17272727272727273</v>
      </c>
      <c r="H239" s="385">
        <f>Inflows!$F239*Inflows!$G239</f>
        <v>2188470.0909090908</v>
      </c>
    </row>
    <row r="240" spans="1:8">
      <c r="A240" s="353" t="s">
        <v>91</v>
      </c>
      <c r="B240" s="358">
        <v>847130</v>
      </c>
      <c r="C240" s="10" t="s">
        <v>214</v>
      </c>
      <c r="D240" s="10" t="s">
        <v>7857</v>
      </c>
      <c r="E240" s="10">
        <v>2012</v>
      </c>
      <c r="F240" s="10">
        <v>17918117</v>
      </c>
      <c r="G240" s="384">
        <v>0.29352226720647773</v>
      </c>
      <c r="H240" s="385">
        <f>Inflows!$F240*Inflows!$G240</f>
        <v>5259366.3259109315</v>
      </c>
    </row>
    <row r="241" spans="1:8">
      <c r="A241" s="353" t="s">
        <v>91</v>
      </c>
      <c r="B241" s="359">
        <v>847130</v>
      </c>
      <c r="C241" t="s">
        <v>214</v>
      </c>
      <c r="D241" t="s">
        <v>7857</v>
      </c>
      <c r="E241">
        <v>2013</v>
      </c>
      <c r="F241">
        <v>20030384</v>
      </c>
      <c r="G241" s="384">
        <v>0.4108744394618834</v>
      </c>
      <c r="H241" s="385">
        <f>Inflows!$F241*Inflows!$G241</f>
        <v>8229972.7982062781</v>
      </c>
    </row>
    <row r="242" spans="1:8">
      <c r="A242" s="353" t="s">
        <v>91</v>
      </c>
      <c r="B242" s="358">
        <v>847130</v>
      </c>
      <c r="C242" s="10" t="s">
        <v>214</v>
      </c>
      <c r="D242" s="10" t="s">
        <v>7857</v>
      </c>
      <c r="E242" s="10">
        <v>2014</v>
      </c>
      <c r="F242" s="10">
        <v>19552570</v>
      </c>
      <c r="G242" s="384">
        <v>0.42751240176132876</v>
      </c>
      <c r="H242" s="385">
        <f>Inflows!$F242*Inflows!$G242</f>
        <v>8358966.1613065042</v>
      </c>
    </row>
    <row r="243" spans="1:8">
      <c r="A243" s="353" t="s">
        <v>91</v>
      </c>
      <c r="B243" s="359">
        <v>847130</v>
      </c>
      <c r="C243" t="s">
        <v>214</v>
      </c>
      <c r="D243" t="s">
        <v>7857</v>
      </c>
      <c r="E243">
        <v>2015</v>
      </c>
      <c r="F243">
        <v>18376250</v>
      </c>
      <c r="G243" s="384">
        <v>0.42913142149783373</v>
      </c>
      <c r="H243" s="385">
        <f>Inflows!$F243*Inflows!$G243</f>
        <v>7885826.2842995673</v>
      </c>
    </row>
    <row r="244" spans="1:8">
      <c r="A244" s="353" t="s">
        <v>91</v>
      </c>
      <c r="B244" s="358">
        <v>847130</v>
      </c>
      <c r="C244" s="10" t="s">
        <v>214</v>
      </c>
      <c r="D244" s="10" t="s">
        <v>7857</v>
      </c>
      <c r="E244" s="10">
        <v>2016</v>
      </c>
      <c r="F244" s="10">
        <v>18480366</v>
      </c>
      <c r="G244" s="384">
        <v>0.40206896551724142</v>
      </c>
      <c r="H244" s="385">
        <f>Inflows!$F244*Inflows!$G244</f>
        <v>7430381.6400000006</v>
      </c>
    </row>
    <row r="245" spans="1:8">
      <c r="A245" s="353" t="s">
        <v>91</v>
      </c>
      <c r="B245" s="359">
        <v>847130</v>
      </c>
      <c r="C245" t="s">
        <v>214</v>
      </c>
      <c r="D245" t="s">
        <v>7857</v>
      </c>
      <c r="E245">
        <v>2017</v>
      </c>
      <c r="F245">
        <v>17270897</v>
      </c>
      <c r="G245" s="384">
        <v>0.38690616875443157</v>
      </c>
      <c r="H245" s="385">
        <f>Inflows!$F245*Inflows!$G245</f>
        <v>6682216.589222406</v>
      </c>
    </row>
    <row r="246" spans="1:8">
      <c r="A246" s="353" t="s">
        <v>91</v>
      </c>
      <c r="B246" s="358">
        <v>847130</v>
      </c>
      <c r="C246" s="10" t="s">
        <v>214</v>
      </c>
      <c r="D246" s="10" t="s">
        <v>7857</v>
      </c>
      <c r="E246" s="10">
        <v>2018</v>
      </c>
      <c r="F246" s="10">
        <v>17526366</v>
      </c>
      <c r="G246" s="384">
        <v>0.36928746928746925</v>
      </c>
      <c r="H246" s="385">
        <f>Inflows!$F246*Inflows!$G246</f>
        <v>6472267.345945945</v>
      </c>
    </row>
    <row r="247" spans="1:8">
      <c r="A247" s="353" t="s">
        <v>91</v>
      </c>
      <c r="B247" s="359">
        <v>847130</v>
      </c>
      <c r="C247" t="s">
        <v>214</v>
      </c>
      <c r="D247" t="s">
        <v>7857</v>
      </c>
      <c r="E247">
        <v>2019</v>
      </c>
      <c r="F247">
        <v>20829643</v>
      </c>
      <c r="G247" s="384">
        <v>0.35194174757281554</v>
      </c>
      <c r="H247" s="385">
        <f>Inflows!$F247*Inflows!$G247</f>
        <v>7330820.9587378642</v>
      </c>
    </row>
    <row r="248" spans="1:8">
      <c r="A248" s="353" t="s">
        <v>91</v>
      </c>
      <c r="B248" s="358">
        <v>847130</v>
      </c>
      <c r="C248" s="10" t="s">
        <v>214</v>
      </c>
      <c r="D248" s="10" t="s">
        <v>7857</v>
      </c>
      <c r="E248" s="10">
        <v>2020</v>
      </c>
      <c r="F248" s="10">
        <v>23123937</v>
      </c>
      <c r="G248" s="384">
        <v>0.35100901674538426</v>
      </c>
      <c r="H248" s="385">
        <f>Inflows!$F248*Inflows!$G248</f>
        <v>8116710.3896522103</v>
      </c>
    </row>
    <row r="249" spans="1:8">
      <c r="A249" s="353" t="s">
        <v>91</v>
      </c>
      <c r="B249" s="359">
        <v>847130</v>
      </c>
      <c r="C249" t="s">
        <v>214</v>
      </c>
      <c r="D249" t="s">
        <v>7857</v>
      </c>
      <c r="E249">
        <v>2021</v>
      </c>
      <c r="F249">
        <v>21348010</v>
      </c>
      <c r="G249" s="384">
        <v>0.3085703230798994</v>
      </c>
      <c r="H249" s="385">
        <f>Inflows!$F249*Inflows!$G249</f>
        <v>6587362.3428129228</v>
      </c>
    </row>
    <row r="250" spans="1:8">
      <c r="A250" s="353" t="s">
        <v>91</v>
      </c>
      <c r="B250" s="358">
        <v>847130</v>
      </c>
      <c r="C250" s="10" t="s">
        <v>214</v>
      </c>
      <c r="D250" s="10" t="s">
        <v>7857</v>
      </c>
      <c r="E250" s="10">
        <v>2022</v>
      </c>
      <c r="F250" s="10">
        <v>19975892</v>
      </c>
      <c r="G250" s="384">
        <v>0.3085703230798994</v>
      </c>
      <c r="H250" s="385">
        <f>Inflows!$F250*Inflows!$G250</f>
        <v>6163967.448249178</v>
      </c>
    </row>
    <row r="251" spans="1:8">
      <c r="A251" s="353" t="s">
        <v>91</v>
      </c>
      <c r="B251" s="358">
        <v>847130</v>
      </c>
      <c r="C251" s="10" t="s">
        <v>214</v>
      </c>
      <c r="D251" s="10" t="s">
        <v>7857</v>
      </c>
      <c r="E251" s="10">
        <v>2023</v>
      </c>
      <c r="F251" s="10">
        <v>1817760</v>
      </c>
      <c r="G251" s="384">
        <v>0.3085703230798994</v>
      </c>
      <c r="H251" s="385">
        <f>Inflows!$F251*Inflows!$G251</f>
        <v>560906.79048171791</v>
      </c>
    </row>
    <row r="252" spans="1:8">
      <c r="A252" s="353" t="s">
        <v>91</v>
      </c>
      <c r="B252" s="358">
        <v>847130</v>
      </c>
      <c r="C252" s="10" t="s">
        <v>7856</v>
      </c>
      <c r="D252" s="10" t="s">
        <v>7857</v>
      </c>
      <c r="E252" s="10">
        <v>2000</v>
      </c>
      <c r="F252" s="10">
        <v>1466832</v>
      </c>
      <c r="G252" s="384">
        <v>5.0397877984084884E-2</v>
      </c>
      <c r="H252" s="385">
        <f>Inflows!$F252*Inflows!$G252</f>
        <v>73925.220159151198</v>
      </c>
    </row>
    <row r="253" spans="1:8">
      <c r="A253" s="353" t="s">
        <v>91</v>
      </c>
      <c r="B253" s="358">
        <v>847130</v>
      </c>
      <c r="C253" s="10" t="s">
        <v>7856</v>
      </c>
      <c r="D253" s="10" t="s">
        <v>7857</v>
      </c>
      <c r="E253" s="10">
        <v>2001</v>
      </c>
      <c r="F253" s="10">
        <v>3065439</v>
      </c>
      <c r="G253" s="384">
        <v>5.0397877984084884E-2</v>
      </c>
      <c r="H253" s="385">
        <f>Inflows!$F253*Inflows!$G253</f>
        <v>154491.62068965519</v>
      </c>
    </row>
    <row r="254" spans="1:8">
      <c r="A254" s="353" t="s">
        <v>91</v>
      </c>
      <c r="B254" s="358">
        <v>847130</v>
      </c>
      <c r="C254" s="10" t="s">
        <v>7856</v>
      </c>
      <c r="D254" s="10" t="s">
        <v>7857</v>
      </c>
      <c r="E254" s="10">
        <v>2002</v>
      </c>
      <c r="F254" s="10">
        <v>1428784</v>
      </c>
      <c r="G254" s="384">
        <v>5.0397877984084884E-2</v>
      </c>
      <c r="H254" s="385">
        <f>Inflows!$F254*Inflows!$G254</f>
        <v>72007.68169761273</v>
      </c>
    </row>
    <row r="255" spans="1:8">
      <c r="A255" s="353" t="s">
        <v>91</v>
      </c>
      <c r="B255" s="358">
        <v>847130</v>
      </c>
      <c r="C255" s="10" t="s">
        <v>7856</v>
      </c>
      <c r="D255" s="10" t="s">
        <v>7857</v>
      </c>
      <c r="E255" s="10">
        <v>2003</v>
      </c>
      <c r="F255" s="10">
        <v>921821</v>
      </c>
      <c r="G255" s="384">
        <v>5.0397877984084884E-2</v>
      </c>
      <c r="H255" s="385">
        <f>Inflows!$F255*Inflows!$G255</f>
        <v>46457.822281167115</v>
      </c>
    </row>
    <row r="256" spans="1:8">
      <c r="A256" s="353" t="s">
        <v>91</v>
      </c>
      <c r="B256" s="358">
        <v>847130</v>
      </c>
      <c r="C256" s="10" t="s">
        <v>7856</v>
      </c>
      <c r="D256" s="10" t="s">
        <v>7857</v>
      </c>
      <c r="E256" s="10">
        <v>2004</v>
      </c>
      <c r="F256" s="10">
        <v>656704</v>
      </c>
      <c r="G256" s="384">
        <v>5.0397877984084884E-2</v>
      </c>
      <c r="H256" s="385">
        <f>Inflows!$F256*Inflows!$G256</f>
        <v>33096.488063660479</v>
      </c>
    </row>
    <row r="257" spans="1:8">
      <c r="A257" s="353" t="s">
        <v>91</v>
      </c>
      <c r="B257" s="358">
        <v>847130</v>
      </c>
      <c r="C257" s="10" t="s">
        <v>7856</v>
      </c>
      <c r="D257" s="10" t="s">
        <v>7857</v>
      </c>
      <c r="E257" s="10">
        <v>2005</v>
      </c>
      <c r="F257" s="10">
        <v>1173461</v>
      </c>
      <c r="G257" s="384">
        <v>5.0397877984084884E-2</v>
      </c>
      <c r="H257" s="385">
        <f>Inflows!$F257*Inflows!$G257</f>
        <v>59139.944297082235</v>
      </c>
    </row>
    <row r="258" spans="1:8">
      <c r="A258" s="353" t="s">
        <v>91</v>
      </c>
      <c r="B258" s="358">
        <v>847130</v>
      </c>
      <c r="C258" s="10" t="s">
        <v>7856</v>
      </c>
      <c r="D258" s="10" t="s">
        <v>7857</v>
      </c>
      <c r="E258" s="10">
        <v>2006</v>
      </c>
      <c r="F258" s="10">
        <v>1513901</v>
      </c>
      <c r="G258" s="384">
        <v>5.0397877984084884E-2</v>
      </c>
      <c r="H258" s="385">
        <f>Inflows!$F258*Inflows!$G258</f>
        <v>76297.397877984084</v>
      </c>
    </row>
    <row r="259" spans="1:8">
      <c r="A259" s="353" t="s">
        <v>91</v>
      </c>
      <c r="B259" s="358">
        <v>847130</v>
      </c>
      <c r="C259" s="10" t="s">
        <v>7856</v>
      </c>
      <c r="D259" s="10" t="s">
        <v>7857</v>
      </c>
      <c r="E259" s="10">
        <v>2007</v>
      </c>
      <c r="F259" s="10">
        <v>1501357</v>
      </c>
      <c r="G259" s="384">
        <v>5.0397877984084884E-2</v>
      </c>
      <c r="H259" s="385">
        <f>Inflows!$F259*Inflows!$G259</f>
        <v>75665.206896551725</v>
      </c>
    </row>
    <row r="260" spans="1:8">
      <c r="A260" s="353" t="s">
        <v>91</v>
      </c>
      <c r="B260" s="358">
        <v>847130</v>
      </c>
      <c r="C260" s="10" t="s">
        <v>7856</v>
      </c>
      <c r="D260" s="10" t="s">
        <v>7857</v>
      </c>
      <c r="E260" s="10">
        <v>2008</v>
      </c>
      <c r="F260" s="10">
        <v>1942871</v>
      </c>
      <c r="G260" s="384">
        <v>5.0397877984084884E-2</v>
      </c>
      <c r="H260" s="385">
        <f>Inflows!$F260*Inflows!$G260</f>
        <v>97916.575596816983</v>
      </c>
    </row>
    <row r="261" spans="1:8">
      <c r="A261" s="353" t="s">
        <v>91</v>
      </c>
      <c r="B261" s="358">
        <v>847130</v>
      </c>
      <c r="C261" s="10" t="s">
        <v>7856</v>
      </c>
      <c r="D261" s="10" t="s">
        <v>7857</v>
      </c>
      <c r="E261" s="10">
        <v>2009</v>
      </c>
      <c r="F261" s="10">
        <v>1949366</v>
      </c>
      <c r="G261" s="384">
        <v>5.0397877984084884E-2</v>
      </c>
      <c r="H261" s="385">
        <f>Inflows!$F261*Inflows!$G261</f>
        <v>98243.909814323619</v>
      </c>
    </row>
    <row r="262" spans="1:8">
      <c r="A262" s="353" t="s">
        <v>91</v>
      </c>
      <c r="B262" s="358">
        <v>847130</v>
      </c>
      <c r="C262" s="10" t="s">
        <v>7856</v>
      </c>
      <c r="D262" s="10" t="s">
        <v>7857</v>
      </c>
      <c r="E262" s="10">
        <v>2010</v>
      </c>
      <c r="F262" s="10">
        <v>2596503</v>
      </c>
      <c r="G262" s="384">
        <v>5.0397877984084884E-2</v>
      </c>
      <c r="H262" s="385">
        <f>Inflows!$F262*Inflows!$G262</f>
        <v>130858.24137931035</v>
      </c>
    </row>
    <row r="263" spans="1:8">
      <c r="A263" s="353" t="s">
        <v>91</v>
      </c>
      <c r="B263" s="358">
        <v>847130</v>
      </c>
      <c r="C263" s="10" t="s">
        <v>7856</v>
      </c>
      <c r="D263" s="10" t="s">
        <v>7857</v>
      </c>
      <c r="E263" s="10">
        <v>2011</v>
      </c>
      <c r="F263" s="10">
        <v>2434540</v>
      </c>
      <c r="G263" s="384">
        <v>0.17272727272727273</v>
      </c>
      <c r="H263" s="385">
        <f>Inflows!$F263*Inflows!$G263</f>
        <v>420511.45454545453</v>
      </c>
    </row>
    <row r="264" spans="1:8">
      <c r="A264" s="353" t="s">
        <v>91</v>
      </c>
      <c r="B264" s="358">
        <v>847130</v>
      </c>
      <c r="C264" s="10" t="s">
        <v>7856</v>
      </c>
      <c r="D264" s="10" t="s">
        <v>7857</v>
      </c>
      <c r="E264" s="10">
        <v>2012</v>
      </c>
      <c r="F264" s="10">
        <v>3618507</v>
      </c>
      <c r="G264" s="384">
        <v>0.29352226720647773</v>
      </c>
      <c r="H264" s="385">
        <f>Inflows!$F264*Inflows!$G264</f>
        <v>1062112.3785425101</v>
      </c>
    </row>
    <row r="265" spans="1:8">
      <c r="A265" s="353" t="s">
        <v>91</v>
      </c>
      <c r="B265" s="358">
        <v>847130</v>
      </c>
      <c r="C265" s="10" t="s">
        <v>7856</v>
      </c>
      <c r="D265" s="10" t="s">
        <v>7857</v>
      </c>
      <c r="E265" s="10">
        <v>2013</v>
      </c>
      <c r="F265" s="10">
        <v>3308856</v>
      </c>
      <c r="G265" s="384">
        <v>0.4108744394618834</v>
      </c>
      <c r="H265" s="385">
        <f>Inflows!$F265*Inflows!$G265</f>
        <v>1359524.3542600896</v>
      </c>
    </row>
    <row r="266" spans="1:8">
      <c r="A266" s="353" t="s">
        <v>91</v>
      </c>
      <c r="B266" s="358">
        <v>847130</v>
      </c>
      <c r="C266" s="10" t="s">
        <v>7856</v>
      </c>
      <c r="D266" s="10" t="s">
        <v>7857</v>
      </c>
      <c r="E266" s="10">
        <v>2014</v>
      </c>
      <c r="F266" s="10">
        <v>2932836</v>
      </c>
      <c r="G266" s="384">
        <v>0.42751240176132876</v>
      </c>
      <c r="H266" s="385">
        <f>Inflows!$F266*Inflows!$G266</f>
        <v>1253823.7623320883</v>
      </c>
    </row>
    <row r="267" spans="1:8">
      <c r="A267" s="353" t="s">
        <v>91</v>
      </c>
      <c r="B267" s="358">
        <v>847130</v>
      </c>
      <c r="C267" s="10" t="s">
        <v>7856</v>
      </c>
      <c r="D267" s="10" t="s">
        <v>7857</v>
      </c>
      <c r="E267" s="10">
        <v>2015</v>
      </c>
      <c r="F267" s="10">
        <v>3051401</v>
      </c>
      <c r="G267" s="384">
        <v>0.42913142149783373</v>
      </c>
      <c r="H267" s="385">
        <f>Inflows!$F267*Inflows!$G267</f>
        <v>1309452.0486899114</v>
      </c>
    </row>
    <row r="268" spans="1:8">
      <c r="A268" s="353" t="s">
        <v>91</v>
      </c>
      <c r="B268" s="358">
        <v>847130</v>
      </c>
      <c r="C268" s="10" t="s">
        <v>7856</v>
      </c>
      <c r="D268" s="10" t="s">
        <v>7857</v>
      </c>
      <c r="E268" s="10">
        <v>2016</v>
      </c>
      <c r="F268" s="10">
        <v>3194573</v>
      </c>
      <c r="G268" s="384">
        <v>0.40206896551724142</v>
      </c>
      <c r="H268" s="385">
        <f>Inflows!$F268*Inflows!$G268</f>
        <v>1284438.6613793105</v>
      </c>
    </row>
    <row r="269" spans="1:8">
      <c r="A269" s="353" t="s">
        <v>91</v>
      </c>
      <c r="B269" s="358">
        <v>847130</v>
      </c>
      <c r="C269" s="10" t="s">
        <v>7856</v>
      </c>
      <c r="D269" s="10" t="s">
        <v>7857</v>
      </c>
      <c r="E269" s="10">
        <v>2017</v>
      </c>
      <c r="F269" s="10">
        <v>4189493</v>
      </c>
      <c r="G269" s="384">
        <v>0.38690616875443157</v>
      </c>
      <c r="H269" s="385">
        <f>Inflows!$F269*Inflows!$G269</f>
        <v>1620940.6856535098</v>
      </c>
    </row>
    <row r="270" spans="1:8">
      <c r="A270" s="353" t="s">
        <v>91</v>
      </c>
      <c r="B270" s="358">
        <v>847130</v>
      </c>
      <c r="C270" s="10" t="s">
        <v>7856</v>
      </c>
      <c r="D270" s="10" t="s">
        <v>7857</v>
      </c>
      <c r="E270" s="10">
        <v>2018</v>
      </c>
      <c r="F270" s="10">
        <v>3546543</v>
      </c>
      <c r="G270" s="384">
        <v>0.36928746928746925</v>
      </c>
      <c r="H270" s="385">
        <f>Inflows!$F270*Inflows!$G270</f>
        <v>1309693.8891891891</v>
      </c>
    </row>
    <row r="271" spans="1:8">
      <c r="A271" s="353" t="s">
        <v>91</v>
      </c>
      <c r="B271" s="358">
        <v>847130</v>
      </c>
      <c r="C271" s="10" t="s">
        <v>7856</v>
      </c>
      <c r="D271" s="10" t="s">
        <v>7857</v>
      </c>
      <c r="E271" s="10">
        <v>2019</v>
      </c>
      <c r="F271" s="10">
        <v>3509104</v>
      </c>
      <c r="G271" s="384">
        <v>0.35194174757281554</v>
      </c>
      <c r="H271" s="385">
        <f>Inflows!$F271*Inflows!$G271</f>
        <v>1235000.1941747572</v>
      </c>
    </row>
    <row r="272" spans="1:8">
      <c r="A272" s="353" t="s">
        <v>91</v>
      </c>
      <c r="B272" s="358">
        <v>847130</v>
      </c>
      <c r="C272" s="10" t="s">
        <v>7856</v>
      </c>
      <c r="D272" s="10" t="s">
        <v>7857</v>
      </c>
      <c r="E272" s="10">
        <v>2020</v>
      </c>
      <c r="F272" s="10">
        <v>3547620</v>
      </c>
      <c r="G272" s="384">
        <v>0.35100901674538426</v>
      </c>
      <c r="H272" s="385">
        <f>Inflows!$F272*Inflows!$G272</f>
        <v>1245246.6079862602</v>
      </c>
    </row>
    <row r="273" spans="1:8">
      <c r="A273" s="353" t="s">
        <v>91</v>
      </c>
      <c r="B273" s="358">
        <v>847130</v>
      </c>
      <c r="C273" s="10" t="s">
        <v>7856</v>
      </c>
      <c r="D273" s="10" t="s">
        <v>7857</v>
      </c>
      <c r="E273" s="10">
        <v>2021</v>
      </c>
      <c r="F273" s="10">
        <v>4187000</v>
      </c>
      <c r="G273" s="384">
        <v>0.3085703230798994</v>
      </c>
      <c r="H273" s="385">
        <f>Inflows!$F273*Inflows!$G273</f>
        <v>1291983.9427355388</v>
      </c>
    </row>
    <row r="274" spans="1:8">
      <c r="A274" s="353" t="s">
        <v>91</v>
      </c>
      <c r="B274" s="358">
        <v>847130</v>
      </c>
      <c r="C274" s="10" t="s">
        <v>7856</v>
      </c>
      <c r="D274" s="10" t="s">
        <v>7857</v>
      </c>
      <c r="E274" s="10">
        <v>2022</v>
      </c>
      <c r="F274" s="10">
        <v>4167390</v>
      </c>
      <c r="G274" s="384">
        <v>0.3085703230798994</v>
      </c>
      <c r="H274" s="385">
        <f>Inflows!$F274*Inflows!$G274</f>
        <v>1285932.878699942</v>
      </c>
    </row>
    <row r="275" spans="1:8">
      <c r="A275" s="353" t="s">
        <v>91</v>
      </c>
      <c r="B275" s="359">
        <v>847130</v>
      </c>
      <c r="C275" t="s">
        <v>7856</v>
      </c>
      <c r="D275" t="s">
        <v>7857</v>
      </c>
      <c r="E275">
        <v>2023</v>
      </c>
      <c r="F275">
        <v>199106</v>
      </c>
      <c r="G275" s="384">
        <v>0.3085703230798994</v>
      </c>
      <c r="H275" s="385">
        <f>Inflows!$F275*Inflows!$G275</f>
        <v>61438.202747146453</v>
      </c>
    </row>
    <row r="276" spans="1:8">
      <c r="A276" s="353" t="s">
        <v>91</v>
      </c>
      <c r="B276" s="370" t="s">
        <v>7860</v>
      </c>
      <c r="C276" s="342" t="s">
        <v>213</v>
      </c>
      <c r="D276" s="362" t="s">
        <v>501</v>
      </c>
      <c r="E276" s="344">
        <v>2008</v>
      </c>
      <c r="F276" s="364">
        <v>39841000</v>
      </c>
      <c r="G276" s="384">
        <v>8.6363636363636365E-2</v>
      </c>
      <c r="H276" s="385">
        <f>Inflows!$F276*Inflows!$G276</f>
        <v>3440813.6363636362</v>
      </c>
    </row>
    <row r="277" spans="1:8">
      <c r="A277" s="353" t="s">
        <v>91</v>
      </c>
      <c r="B277" s="369" t="s">
        <v>7860</v>
      </c>
      <c r="C277" s="318" t="s">
        <v>213</v>
      </c>
      <c r="D277" s="320" t="s">
        <v>501</v>
      </c>
      <c r="E277" s="347">
        <v>2009</v>
      </c>
      <c r="F277" s="324">
        <v>33312000</v>
      </c>
      <c r="G277" s="384">
        <v>8.6363636363636365E-2</v>
      </c>
      <c r="H277" s="385">
        <f>Inflows!$F277*Inflows!$G277</f>
        <v>2876945.4545454546</v>
      </c>
    </row>
    <row r="278" spans="1:8">
      <c r="A278" s="353" t="s">
        <v>91</v>
      </c>
      <c r="B278" s="371" t="s">
        <v>7699</v>
      </c>
      <c r="C278" s="342" t="s">
        <v>213</v>
      </c>
      <c r="D278" s="362" t="s">
        <v>501</v>
      </c>
      <c r="E278" s="363">
        <v>2010</v>
      </c>
      <c r="F278" s="364">
        <v>36093000</v>
      </c>
      <c r="G278" s="384">
        <v>8.6363636363636365E-2</v>
      </c>
      <c r="H278" s="385">
        <f>Inflows!$F278*Inflows!$G278</f>
        <v>3117122.7272727275</v>
      </c>
    </row>
    <row r="279" spans="1:8">
      <c r="A279" s="353" t="s">
        <v>91</v>
      </c>
      <c r="B279" s="372">
        <v>26201100</v>
      </c>
      <c r="C279" s="318" t="s">
        <v>213</v>
      </c>
      <c r="D279" s="320" t="s">
        <v>501</v>
      </c>
      <c r="E279" s="339">
        <v>2011</v>
      </c>
      <c r="F279" s="324">
        <v>38357000</v>
      </c>
      <c r="G279" s="384">
        <v>0.26666666666666666</v>
      </c>
      <c r="H279" s="385">
        <f>Inflows!$F279*Inflows!$G279</f>
        <v>10228533.333333334</v>
      </c>
    </row>
    <row r="280" spans="1:8">
      <c r="A280" s="353" t="s">
        <v>91</v>
      </c>
      <c r="B280" s="371">
        <v>26201100</v>
      </c>
      <c r="C280" s="342" t="s">
        <v>213</v>
      </c>
      <c r="D280" s="362" t="s">
        <v>501</v>
      </c>
      <c r="E280" s="363">
        <v>2012</v>
      </c>
      <c r="F280" s="364">
        <v>43226000</v>
      </c>
      <c r="G280" s="384">
        <v>0.41907514450867051</v>
      </c>
      <c r="H280" s="385">
        <f>Inflows!$F280*Inflows!$G280</f>
        <v>18114942.196531791</v>
      </c>
    </row>
    <row r="281" spans="1:8">
      <c r="A281" s="353" t="s">
        <v>91</v>
      </c>
      <c r="B281" s="372">
        <v>26201100</v>
      </c>
      <c r="C281" s="318" t="s">
        <v>213</v>
      </c>
      <c r="D281" s="320" t="s">
        <v>501</v>
      </c>
      <c r="E281" s="339">
        <v>2013</v>
      </c>
      <c r="F281" s="324">
        <v>50533000</v>
      </c>
      <c r="G281" s="384">
        <v>0.54865269461077848</v>
      </c>
      <c r="H281" s="385">
        <f>Inflows!$F281*Inflows!$G281</f>
        <v>27725066.616766468</v>
      </c>
    </row>
    <row r="282" spans="1:8">
      <c r="A282" s="353" t="s">
        <v>91</v>
      </c>
      <c r="B282" s="371">
        <v>26201100</v>
      </c>
      <c r="C282" s="342" t="s">
        <v>213</v>
      </c>
      <c r="D282" s="362" t="s">
        <v>501</v>
      </c>
      <c r="E282" s="363">
        <v>2014</v>
      </c>
      <c r="F282" s="364">
        <v>44793000</v>
      </c>
      <c r="G282" s="384">
        <v>0.56901923932934373</v>
      </c>
      <c r="H282" s="385">
        <f>Inflows!$F282*Inflows!$G282</f>
        <v>25488078.787279293</v>
      </c>
    </row>
    <row r="283" spans="1:8">
      <c r="A283" s="353" t="s">
        <v>91</v>
      </c>
      <c r="B283" s="372">
        <v>26201100</v>
      </c>
      <c r="C283" s="318" t="s">
        <v>213</v>
      </c>
      <c r="D283" s="320" t="s">
        <v>501</v>
      </c>
      <c r="E283" s="339">
        <v>2015</v>
      </c>
      <c r="F283" s="324">
        <v>49333000</v>
      </c>
      <c r="G283" s="384">
        <v>0.56049582322824032</v>
      </c>
      <c r="H283" s="385">
        <f>Inflows!$F283*Inflows!$G283</f>
        <v>27650940.447318781</v>
      </c>
    </row>
    <row r="284" spans="1:8">
      <c r="A284" s="353" t="s">
        <v>91</v>
      </c>
      <c r="B284" s="371">
        <v>26201100</v>
      </c>
      <c r="C284" s="342" t="s">
        <v>213</v>
      </c>
      <c r="D284" s="362" t="s">
        <v>501</v>
      </c>
      <c r="E284" s="363">
        <v>2016</v>
      </c>
      <c r="F284" s="364">
        <v>47762000</v>
      </c>
      <c r="G284" s="384">
        <v>0.52728369008139875</v>
      </c>
      <c r="H284" s="385">
        <f>Inflows!$F284*Inflows!$G284</f>
        <v>25184123.605667766</v>
      </c>
    </row>
    <row r="285" spans="1:8">
      <c r="A285" s="353" t="s">
        <v>91</v>
      </c>
      <c r="B285" s="372">
        <v>26201100</v>
      </c>
      <c r="C285" s="318" t="s">
        <v>213</v>
      </c>
      <c r="D285" s="320" t="s">
        <v>501</v>
      </c>
      <c r="E285" s="339">
        <v>2017</v>
      </c>
      <c r="F285" s="324">
        <v>58328000</v>
      </c>
      <c r="G285" s="384">
        <v>0.50322778973255455</v>
      </c>
      <c r="H285" s="385">
        <f>Inflows!$F285*Inflows!$G285</f>
        <v>29352270.519520443</v>
      </c>
    </row>
    <row r="286" spans="1:8">
      <c r="A286" s="353" t="s">
        <v>91</v>
      </c>
      <c r="B286" s="371">
        <v>26201100</v>
      </c>
      <c r="C286" s="342" t="s">
        <v>213</v>
      </c>
      <c r="D286" s="362" t="s">
        <v>501</v>
      </c>
      <c r="E286" s="363">
        <v>2018</v>
      </c>
      <c r="F286" s="364">
        <v>72335000</v>
      </c>
      <c r="G286" s="384">
        <v>0.48080614203454897</v>
      </c>
      <c r="H286" s="385">
        <f>Inflows!$F286*Inflows!$G286</f>
        <v>34779112.284069099</v>
      </c>
    </row>
    <row r="287" spans="1:8">
      <c r="A287" s="353" t="s">
        <v>91</v>
      </c>
      <c r="B287" s="372">
        <v>26201100</v>
      </c>
      <c r="C287" s="318" t="s">
        <v>213</v>
      </c>
      <c r="D287" s="320" t="s">
        <v>501</v>
      </c>
      <c r="E287" s="339">
        <v>2019</v>
      </c>
      <c r="F287" s="324">
        <v>87194000</v>
      </c>
      <c r="G287" s="384">
        <v>0.45597484276729561</v>
      </c>
      <c r="H287" s="385">
        <f>Inflows!$F287*Inflows!$G287</f>
        <v>39758270.440251574</v>
      </c>
    </row>
    <row r="288" spans="1:8">
      <c r="A288" s="353" t="s">
        <v>91</v>
      </c>
      <c r="B288" s="371">
        <v>26201100</v>
      </c>
      <c r="C288" s="342" t="s">
        <v>213</v>
      </c>
      <c r="D288" s="362" t="s">
        <v>501</v>
      </c>
      <c r="E288" s="363">
        <v>2020</v>
      </c>
      <c r="F288" s="364">
        <v>142464000</v>
      </c>
      <c r="G288" s="384">
        <v>0.42357512953367876</v>
      </c>
      <c r="H288" s="385">
        <f>Inflows!$F288*Inflows!$G288</f>
        <v>60344207.253886014</v>
      </c>
    </row>
    <row r="289" spans="1:8">
      <c r="A289" s="353" t="s">
        <v>91</v>
      </c>
      <c r="B289" s="372">
        <v>26201100</v>
      </c>
      <c r="C289" s="318" t="s">
        <v>213</v>
      </c>
      <c r="D289" s="320" t="s">
        <v>501</v>
      </c>
      <c r="E289" s="339">
        <v>2021</v>
      </c>
      <c r="F289" s="324">
        <v>145095000</v>
      </c>
      <c r="G289" s="384">
        <v>0.3655741462296585</v>
      </c>
      <c r="H289" s="385">
        <f>Inflows!$F289*Inflows!$G289</f>
        <v>53042980.747192301</v>
      </c>
    </row>
    <row r="290" spans="1:8">
      <c r="A290" s="353" t="s">
        <v>91</v>
      </c>
      <c r="B290" s="358">
        <v>847130</v>
      </c>
      <c r="C290" s="10" t="s">
        <v>214</v>
      </c>
      <c r="D290" s="10" t="s">
        <v>501</v>
      </c>
      <c r="E290" s="10">
        <v>2000</v>
      </c>
      <c r="F290" s="10">
        <v>1461673287</v>
      </c>
      <c r="G290" s="384">
        <v>5.0397877984084884E-2</v>
      </c>
      <c r="H290" s="385">
        <f>Inflows!$F290*Inflows!$G290</f>
        <v>73665231.97082229</v>
      </c>
    </row>
    <row r="291" spans="1:8">
      <c r="A291" s="353" t="s">
        <v>91</v>
      </c>
      <c r="B291" s="359">
        <v>847130</v>
      </c>
      <c r="C291" t="s">
        <v>214</v>
      </c>
      <c r="D291" t="s">
        <v>501</v>
      </c>
      <c r="E291">
        <v>2001</v>
      </c>
      <c r="F291">
        <v>1327111350</v>
      </c>
      <c r="G291" s="384">
        <v>5.0397877984084884E-2</v>
      </c>
      <c r="H291" s="385">
        <f>Inflows!$F291*Inflows!$G291</f>
        <v>66883595.888594165</v>
      </c>
    </row>
    <row r="292" spans="1:8">
      <c r="A292" s="353" t="s">
        <v>91</v>
      </c>
      <c r="B292" s="358">
        <v>847130</v>
      </c>
      <c r="C292" s="10" t="s">
        <v>214</v>
      </c>
      <c r="D292" s="10" t="s">
        <v>501</v>
      </c>
      <c r="E292" s="10">
        <v>2002</v>
      </c>
      <c r="F292" s="10">
        <v>1213491896</v>
      </c>
      <c r="G292" s="384">
        <v>5.0397877984084884E-2</v>
      </c>
      <c r="H292" s="385">
        <f>Inflows!$F292*Inflows!$G292</f>
        <v>61157416.509283826</v>
      </c>
    </row>
    <row r="293" spans="1:8">
      <c r="A293" s="353" t="s">
        <v>91</v>
      </c>
      <c r="B293" s="359">
        <v>847130</v>
      </c>
      <c r="C293" t="s">
        <v>214</v>
      </c>
      <c r="D293" t="s">
        <v>501</v>
      </c>
      <c r="E293">
        <v>2003</v>
      </c>
      <c r="F293">
        <v>1349704289</v>
      </c>
      <c r="G293" s="384">
        <v>5.0397877984084884E-2</v>
      </c>
      <c r="H293" s="385">
        <f>Inflows!$F293*Inflows!$G293</f>
        <v>68022232.071618035</v>
      </c>
    </row>
    <row r="294" spans="1:8">
      <c r="A294" s="353" t="s">
        <v>91</v>
      </c>
      <c r="B294" s="358">
        <v>847130</v>
      </c>
      <c r="C294" s="10" t="s">
        <v>214</v>
      </c>
      <c r="D294" s="10" t="s">
        <v>501</v>
      </c>
      <c r="E294" s="10">
        <v>2004</v>
      </c>
      <c r="F294" s="10">
        <v>1848611473</v>
      </c>
      <c r="G294" s="384">
        <v>5.0397877984084884E-2</v>
      </c>
      <c r="H294" s="385">
        <f>Inflows!$F294*Inflows!$G294</f>
        <v>93166095.456233427</v>
      </c>
    </row>
    <row r="295" spans="1:8">
      <c r="A295" s="353" t="s">
        <v>91</v>
      </c>
      <c r="B295" s="359">
        <v>847130</v>
      </c>
      <c r="C295" t="s">
        <v>214</v>
      </c>
      <c r="D295" t="s">
        <v>501</v>
      </c>
      <c r="E295">
        <v>2005</v>
      </c>
      <c r="F295">
        <v>2079104443</v>
      </c>
      <c r="G295" s="384">
        <v>5.0397877984084884E-2</v>
      </c>
      <c r="H295" s="385">
        <f>Inflows!$F295*Inflows!$G295</f>
        <v>104782452.03448276</v>
      </c>
    </row>
    <row r="296" spans="1:8">
      <c r="A296" s="353" t="s">
        <v>91</v>
      </c>
      <c r="B296" s="358">
        <v>847130</v>
      </c>
      <c r="C296" s="10" t="s">
        <v>214</v>
      </c>
      <c r="D296" s="10" t="s">
        <v>501</v>
      </c>
      <c r="E296" s="10">
        <v>2006</v>
      </c>
      <c r="F296" s="10">
        <v>2456747459</v>
      </c>
      <c r="G296" s="384">
        <v>5.0397877984084884E-2</v>
      </c>
      <c r="H296" s="385">
        <f>Inflows!$F296*Inflows!$G296</f>
        <v>123814858.67639259</v>
      </c>
    </row>
    <row r="297" spans="1:8">
      <c r="A297" s="353" t="s">
        <v>91</v>
      </c>
      <c r="B297" s="359">
        <v>847130</v>
      </c>
      <c r="C297" t="s">
        <v>214</v>
      </c>
      <c r="D297" t="s">
        <v>501</v>
      </c>
      <c r="E297">
        <v>2007</v>
      </c>
      <c r="F297">
        <v>2559854193</v>
      </c>
      <c r="G297" s="384">
        <v>5.0397877984084884E-2</v>
      </c>
      <c r="H297" s="385">
        <f>Inflows!$F297*Inflows!$G297</f>
        <v>129011219.27586208</v>
      </c>
    </row>
    <row r="298" spans="1:8">
      <c r="A298" s="353" t="s">
        <v>91</v>
      </c>
      <c r="B298" s="358">
        <v>847130</v>
      </c>
      <c r="C298" s="10" t="s">
        <v>214</v>
      </c>
      <c r="D298" s="10" t="s">
        <v>501</v>
      </c>
      <c r="E298" s="10">
        <v>2008</v>
      </c>
      <c r="F298" s="10">
        <v>3096837781</v>
      </c>
      <c r="G298" s="384">
        <v>5.0397877984084884E-2</v>
      </c>
      <c r="H298" s="385">
        <f>Inflows!$F298*Inflows!$G298</f>
        <v>156074052.62334219</v>
      </c>
    </row>
    <row r="299" spans="1:8">
      <c r="A299" s="353" t="s">
        <v>91</v>
      </c>
      <c r="B299" s="359">
        <v>847130</v>
      </c>
      <c r="C299" t="s">
        <v>214</v>
      </c>
      <c r="D299" t="s">
        <v>501</v>
      </c>
      <c r="E299">
        <v>2009</v>
      </c>
      <c r="F299">
        <v>3025519140</v>
      </c>
      <c r="G299" s="384">
        <v>5.0397877984084884E-2</v>
      </c>
      <c r="H299" s="385">
        <f>Inflows!$F299*Inflows!$G299</f>
        <v>152479744.45623344</v>
      </c>
    </row>
    <row r="300" spans="1:8">
      <c r="A300" s="353" t="s">
        <v>91</v>
      </c>
      <c r="B300" s="358">
        <v>847130</v>
      </c>
      <c r="C300" s="10" t="s">
        <v>214</v>
      </c>
      <c r="D300" s="10" t="s">
        <v>501</v>
      </c>
      <c r="E300" s="10">
        <v>2010</v>
      </c>
      <c r="F300" s="10">
        <v>3709299536</v>
      </c>
      <c r="G300" s="384">
        <v>5.0397877984084884E-2</v>
      </c>
      <c r="H300" s="385">
        <f>Inflows!$F300*Inflows!$G300</f>
        <v>186940825.42175066</v>
      </c>
    </row>
    <row r="301" spans="1:8">
      <c r="A301" s="353" t="s">
        <v>91</v>
      </c>
      <c r="B301" s="359">
        <v>847130</v>
      </c>
      <c r="C301" t="s">
        <v>214</v>
      </c>
      <c r="D301" t="s">
        <v>501</v>
      </c>
      <c r="E301">
        <v>2011</v>
      </c>
      <c r="F301">
        <v>3629808981</v>
      </c>
      <c r="G301" s="384">
        <v>0.17272727272727273</v>
      </c>
      <c r="H301" s="385">
        <f>Inflows!$F301*Inflows!$G301</f>
        <v>626967005.80909097</v>
      </c>
    </row>
    <row r="302" spans="1:8">
      <c r="A302" s="353" t="s">
        <v>91</v>
      </c>
      <c r="B302" s="358">
        <v>847130</v>
      </c>
      <c r="C302" s="10" t="s">
        <v>214</v>
      </c>
      <c r="D302" s="10" t="s">
        <v>501</v>
      </c>
      <c r="E302" s="10">
        <v>2012</v>
      </c>
      <c r="F302" s="10">
        <v>4387465730</v>
      </c>
      <c r="G302" s="384">
        <v>0.29352226720647773</v>
      </c>
      <c r="H302" s="385">
        <f>Inflows!$F302*Inflows!$G302</f>
        <v>1287818888.3603239</v>
      </c>
    </row>
    <row r="303" spans="1:8">
      <c r="A303" s="353" t="s">
        <v>91</v>
      </c>
      <c r="B303" s="359">
        <v>847130</v>
      </c>
      <c r="C303" t="s">
        <v>214</v>
      </c>
      <c r="D303" t="s">
        <v>501</v>
      </c>
      <c r="E303">
        <v>2013</v>
      </c>
      <c r="F303">
        <v>4412142573</v>
      </c>
      <c r="G303" s="384">
        <v>0.4108744394618834</v>
      </c>
      <c r="H303" s="385">
        <f>Inflows!$F303*Inflows!$G303</f>
        <v>1812836606.507287</v>
      </c>
    </row>
    <row r="304" spans="1:8">
      <c r="A304" s="353" t="s">
        <v>91</v>
      </c>
      <c r="B304" s="358">
        <v>847130</v>
      </c>
      <c r="C304" s="10" t="s">
        <v>214</v>
      </c>
      <c r="D304" s="10" t="s">
        <v>501</v>
      </c>
      <c r="E304" s="10">
        <v>2014</v>
      </c>
      <c r="F304" s="10">
        <v>4141128343</v>
      </c>
      <c r="G304" s="384">
        <v>0.42751240176132876</v>
      </c>
      <c r="H304" s="385">
        <f>Inflows!$F304*Inflows!$G304</f>
        <v>1770383723.9178417</v>
      </c>
    </row>
    <row r="305" spans="1:8">
      <c r="A305" s="353" t="s">
        <v>91</v>
      </c>
      <c r="B305" s="359">
        <v>847130</v>
      </c>
      <c r="C305" t="s">
        <v>214</v>
      </c>
      <c r="D305" t="s">
        <v>501</v>
      </c>
      <c r="E305">
        <v>2015</v>
      </c>
      <c r="F305">
        <v>3990945258</v>
      </c>
      <c r="G305" s="384">
        <v>0.42913142149783373</v>
      </c>
      <c r="H305" s="385">
        <f>Inflows!$F305*Inflows!$G305</f>
        <v>1712640011.6855788</v>
      </c>
    </row>
    <row r="306" spans="1:8">
      <c r="A306" s="353" t="s">
        <v>91</v>
      </c>
      <c r="B306" s="358">
        <v>847130</v>
      </c>
      <c r="C306" s="10" t="s">
        <v>214</v>
      </c>
      <c r="D306" s="10" t="s">
        <v>501</v>
      </c>
      <c r="E306" s="10">
        <v>2016</v>
      </c>
      <c r="F306" s="10">
        <v>4294930906</v>
      </c>
      <c r="G306" s="384">
        <v>0.40206896551724142</v>
      </c>
      <c r="H306" s="385">
        <f>Inflows!$F306*Inflows!$G306</f>
        <v>1726858426.3434484</v>
      </c>
    </row>
    <row r="307" spans="1:8">
      <c r="A307" s="353" t="s">
        <v>91</v>
      </c>
      <c r="B307" s="359">
        <v>847130</v>
      </c>
      <c r="C307" t="s">
        <v>214</v>
      </c>
      <c r="D307" t="s">
        <v>501</v>
      </c>
      <c r="E307">
        <v>2017</v>
      </c>
      <c r="F307">
        <v>4709067557</v>
      </c>
      <c r="G307" s="384">
        <v>0.38690616875443157</v>
      </c>
      <c r="H307" s="385">
        <f>Inflows!$F307*Inflows!$G307</f>
        <v>1821967286.8846607</v>
      </c>
    </row>
    <row r="308" spans="1:8">
      <c r="A308" s="353" t="s">
        <v>91</v>
      </c>
      <c r="B308" s="358">
        <v>847130</v>
      </c>
      <c r="C308" s="10" t="s">
        <v>214</v>
      </c>
      <c r="D308" s="10" t="s">
        <v>501</v>
      </c>
      <c r="E308" s="10">
        <v>2018</v>
      </c>
      <c r="F308" s="10">
        <v>5377400459</v>
      </c>
      <c r="G308" s="384">
        <v>0.36928746928746925</v>
      </c>
      <c r="H308" s="385">
        <f>Inflows!$F308*Inflows!$G308</f>
        <v>1985806606.8493855</v>
      </c>
    </row>
    <row r="309" spans="1:8">
      <c r="A309" s="353" t="s">
        <v>91</v>
      </c>
      <c r="B309" s="359">
        <v>847130</v>
      </c>
      <c r="C309" t="s">
        <v>214</v>
      </c>
      <c r="D309" t="s">
        <v>501</v>
      </c>
      <c r="E309">
        <v>2019</v>
      </c>
      <c r="F309">
        <v>5883493991</v>
      </c>
      <c r="G309" s="384">
        <v>0.35194174757281554</v>
      </c>
      <c r="H309" s="385">
        <f>Inflows!$F309*Inflows!$G309</f>
        <v>2070647157.0266991</v>
      </c>
    </row>
    <row r="310" spans="1:8">
      <c r="A310" s="353" t="s">
        <v>91</v>
      </c>
      <c r="B310" s="358">
        <v>847130</v>
      </c>
      <c r="C310" s="10" t="s">
        <v>214</v>
      </c>
      <c r="D310" s="10" t="s">
        <v>501</v>
      </c>
      <c r="E310" s="10">
        <v>2020</v>
      </c>
      <c r="F310" s="10">
        <v>7069397132</v>
      </c>
      <c r="G310" s="384">
        <v>0.35100901674538426</v>
      </c>
      <c r="H310" s="385">
        <f>Inflows!$F310*Inflows!$G310</f>
        <v>2481422136.2859592</v>
      </c>
    </row>
    <row r="311" spans="1:8">
      <c r="A311" s="353" t="s">
        <v>91</v>
      </c>
      <c r="B311" s="359">
        <v>847130</v>
      </c>
      <c r="C311" t="s">
        <v>214</v>
      </c>
      <c r="D311" t="s">
        <v>501</v>
      </c>
      <c r="E311">
        <v>2021</v>
      </c>
      <c r="F311">
        <v>7209255668</v>
      </c>
      <c r="G311" s="384">
        <v>0.3085703230798994</v>
      </c>
      <c r="H311" s="385">
        <f>Inflows!$F311*Inflows!$G311</f>
        <v>2224562350.6403561</v>
      </c>
    </row>
    <row r="312" spans="1:8">
      <c r="A312" s="353" t="s">
        <v>91</v>
      </c>
      <c r="B312" s="358">
        <v>847130</v>
      </c>
      <c r="C312" s="10" t="s">
        <v>214</v>
      </c>
      <c r="D312" s="10" t="s">
        <v>501</v>
      </c>
      <c r="E312" s="10">
        <v>2022</v>
      </c>
      <c r="F312" s="10">
        <v>7684280940</v>
      </c>
      <c r="G312" s="384">
        <v>0.3085703230798994</v>
      </c>
      <c r="H312" s="385">
        <f>Inflows!$F312*Inflows!$G312</f>
        <v>2371141052.2925129</v>
      </c>
    </row>
    <row r="313" spans="1:8">
      <c r="A313" s="353" t="s">
        <v>91</v>
      </c>
      <c r="B313" s="358">
        <v>847130</v>
      </c>
      <c r="C313" s="10" t="s">
        <v>214</v>
      </c>
      <c r="D313" s="10" t="s">
        <v>501</v>
      </c>
      <c r="E313" s="10">
        <v>2023</v>
      </c>
      <c r="F313" s="10">
        <v>498147994</v>
      </c>
      <c r="G313" s="384">
        <v>0.3085703230798994</v>
      </c>
      <c r="H313" s="385">
        <f>Inflows!$F313*Inflows!$G313</f>
        <v>153713687.45018378</v>
      </c>
    </row>
    <row r="314" spans="1:8">
      <c r="A314" s="353" t="s">
        <v>91</v>
      </c>
      <c r="B314" s="358">
        <v>847130</v>
      </c>
      <c r="C314" s="10" t="s">
        <v>7856</v>
      </c>
      <c r="D314" s="10" t="s">
        <v>501</v>
      </c>
      <c r="E314" s="10">
        <v>2000</v>
      </c>
      <c r="F314" s="10">
        <v>870005356</v>
      </c>
      <c r="G314" s="384">
        <v>5.0397877984084884E-2</v>
      </c>
      <c r="H314" s="385">
        <f>Inflows!$F314*Inflows!$G314</f>
        <v>43846423.777188331</v>
      </c>
    </row>
    <row r="315" spans="1:8">
      <c r="A315" s="353" t="s">
        <v>91</v>
      </c>
      <c r="B315" s="358">
        <v>847130</v>
      </c>
      <c r="C315" s="10" t="s">
        <v>7856</v>
      </c>
      <c r="D315" s="10" t="s">
        <v>501</v>
      </c>
      <c r="E315" s="10">
        <v>2001</v>
      </c>
      <c r="F315" s="10">
        <v>889080867</v>
      </c>
      <c r="G315" s="384">
        <v>5.0397877984084884E-2</v>
      </c>
      <c r="H315" s="385">
        <f>Inflows!$F315*Inflows!$G315</f>
        <v>44807789.053050399</v>
      </c>
    </row>
    <row r="316" spans="1:8">
      <c r="A316" s="353" t="s">
        <v>91</v>
      </c>
      <c r="B316" s="358">
        <v>847130</v>
      </c>
      <c r="C316" s="10" t="s">
        <v>7856</v>
      </c>
      <c r="D316" s="10" t="s">
        <v>501</v>
      </c>
      <c r="E316" s="10">
        <v>2002</v>
      </c>
      <c r="F316" s="10">
        <v>684583017</v>
      </c>
      <c r="G316" s="384">
        <v>5.0397877984084884E-2</v>
      </c>
      <c r="H316" s="385">
        <f>Inflows!$F316*Inflows!$G316</f>
        <v>34501531.360742711</v>
      </c>
    </row>
    <row r="317" spans="1:8">
      <c r="A317" s="353" t="s">
        <v>91</v>
      </c>
      <c r="B317" s="358">
        <v>847130</v>
      </c>
      <c r="C317" s="10" t="s">
        <v>7856</v>
      </c>
      <c r="D317" s="10" t="s">
        <v>501</v>
      </c>
      <c r="E317" s="10">
        <v>2003</v>
      </c>
      <c r="F317" s="10">
        <v>498475313</v>
      </c>
      <c r="G317" s="384">
        <v>5.0397877984084884E-2</v>
      </c>
      <c r="H317" s="385">
        <f>Inflows!$F317*Inflows!$G317</f>
        <v>25122098.002652522</v>
      </c>
    </row>
    <row r="318" spans="1:8">
      <c r="A318" s="353" t="s">
        <v>91</v>
      </c>
      <c r="B318" s="358">
        <v>847130</v>
      </c>
      <c r="C318" s="10" t="s">
        <v>7856</v>
      </c>
      <c r="D318" s="10" t="s">
        <v>501</v>
      </c>
      <c r="E318" s="10">
        <v>2004</v>
      </c>
      <c r="F318" s="10">
        <v>225842836</v>
      </c>
      <c r="G318" s="384">
        <v>5.0397877984084884E-2</v>
      </c>
      <c r="H318" s="385">
        <f>Inflows!$F318*Inflows!$G318</f>
        <v>11381999.692307694</v>
      </c>
    </row>
    <row r="319" spans="1:8">
      <c r="A319" s="353" t="s">
        <v>91</v>
      </c>
      <c r="B319" s="358">
        <v>847130</v>
      </c>
      <c r="C319" s="10" t="s">
        <v>7856</v>
      </c>
      <c r="D319" s="10" t="s">
        <v>501</v>
      </c>
      <c r="E319" s="10">
        <v>2005</v>
      </c>
      <c r="F319" s="10">
        <v>267278719</v>
      </c>
      <c r="G319" s="384">
        <v>5.0397877984084884E-2</v>
      </c>
      <c r="H319" s="385">
        <f>Inflows!$F319*Inflows!$G319</f>
        <v>13470280.267904511</v>
      </c>
    </row>
    <row r="320" spans="1:8">
      <c r="A320" s="353" t="s">
        <v>91</v>
      </c>
      <c r="B320" s="358">
        <v>847130</v>
      </c>
      <c r="C320" s="10" t="s">
        <v>7856</v>
      </c>
      <c r="D320" s="10" t="s">
        <v>501</v>
      </c>
      <c r="E320" s="10">
        <v>2006</v>
      </c>
      <c r="F320" s="10">
        <v>701535723</v>
      </c>
      <c r="G320" s="384">
        <v>5.0397877984084884E-2</v>
      </c>
      <c r="H320" s="385">
        <f>Inflows!$F320*Inflows!$G320</f>
        <v>35355911.769230768</v>
      </c>
    </row>
    <row r="321" spans="1:8">
      <c r="A321" s="353" t="s">
        <v>91</v>
      </c>
      <c r="B321" s="358">
        <v>847130</v>
      </c>
      <c r="C321" s="10" t="s">
        <v>7856</v>
      </c>
      <c r="D321" s="10" t="s">
        <v>501</v>
      </c>
      <c r="E321" s="10">
        <v>2007</v>
      </c>
      <c r="F321" s="10">
        <v>305721027</v>
      </c>
      <c r="G321" s="384">
        <v>5.0397877984084884E-2</v>
      </c>
      <c r="H321" s="385">
        <f>Inflows!$F321*Inflows!$G321</f>
        <v>15407691.01591512</v>
      </c>
    </row>
    <row r="322" spans="1:8">
      <c r="A322" s="353" t="s">
        <v>91</v>
      </c>
      <c r="B322" s="358">
        <v>847130</v>
      </c>
      <c r="C322" s="10" t="s">
        <v>7856</v>
      </c>
      <c r="D322" s="10" t="s">
        <v>501</v>
      </c>
      <c r="E322" s="10">
        <v>2008</v>
      </c>
      <c r="F322" s="10">
        <v>379936379</v>
      </c>
      <c r="G322" s="384">
        <v>5.0397877984084884E-2</v>
      </c>
      <c r="H322" s="385">
        <f>Inflows!$F322*Inflows!$G322</f>
        <v>19147987.270557031</v>
      </c>
    </row>
    <row r="323" spans="1:8">
      <c r="A323" s="353" t="s">
        <v>91</v>
      </c>
      <c r="B323" s="358">
        <v>847130</v>
      </c>
      <c r="C323" s="10" t="s">
        <v>7856</v>
      </c>
      <c r="D323" s="10" t="s">
        <v>501</v>
      </c>
      <c r="E323" s="10">
        <v>2009</v>
      </c>
      <c r="F323" s="10">
        <v>419181305</v>
      </c>
      <c r="G323" s="384">
        <v>5.0397877984084884E-2</v>
      </c>
      <c r="H323" s="385">
        <f>Inflows!$F323*Inflows!$G323</f>
        <v>21125848.262599472</v>
      </c>
    </row>
    <row r="324" spans="1:8">
      <c r="A324" s="353" t="s">
        <v>91</v>
      </c>
      <c r="B324" s="358">
        <v>847130</v>
      </c>
      <c r="C324" s="10" t="s">
        <v>7856</v>
      </c>
      <c r="D324" s="10" t="s">
        <v>501</v>
      </c>
      <c r="E324" s="10">
        <v>2010</v>
      </c>
      <c r="F324" s="10">
        <v>428196998</v>
      </c>
      <c r="G324" s="384">
        <v>5.0397877984084884E-2</v>
      </c>
      <c r="H324" s="385">
        <f>Inflows!$F324*Inflows!$G324</f>
        <v>21580220.058355439</v>
      </c>
    </row>
    <row r="325" spans="1:8">
      <c r="A325" s="353" t="s">
        <v>91</v>
      </c>
      <c r="B325" s="358">
        <v>847130</v>
      </c>
      <c r="C325" s="10" t="s">
        <v>7856</v>
      </c>
      <c r="D325" s="10" t="s">
        <v>501</v>
      </c>
      <c r="E325" s="10">
        <v>2011</v>
      </c>
      <c r="F325" s="10">
        <v>509139181</v>
      </c>
      <c r="G325" s="384">
        <v>0.17272727272727273</v>
      </c>
      <c r="H325" s="385">
        <f>Inflows!$F325*Inflows!$G325</f>
        <v>87942222.172727272</v>
      </c>
    </row>
    <row r="326" spans="1:8">
      <c r="A326" s="353" t="s">
        <v>91</v>
      </c>
      <c r="B326" s="358">
        <v>847130</v>
      </c>
      <c r="C326" s="10" t="s">
        <v>7856</v>
      </c>
      <c r="D326" s="10" t="s">
        <v>501</v>
      </c>
      <c r="E326" s="10">
        <v>2012</v>
      </c>
      <c r="F326" s="10">
        <v>685897153</v>
      </c>
      <c r="G326" s="384">
        <v>0.29352226720647773</v>
      </c>
      <c r="H326" s="385">
        <f>Inflows!$F326*Inflows!$G326</f>
        <v>201326087.41902834</v>
      </c>
    </row>
    <row r="327" spans="1:8">
      <c r="A327" s="353" t="s">
        <v>91</v>
      </c>
      <c r="B327" s="358">
        <v>847130</v>
      </c>
      <c r="C327" s="10" t="s">
        <v>7856</v>
      </c>
      <c r="D327" s="10" t="s">
        <v>501</v>
      </c>
      <c r="E327" s="10">
        <v>2013</v>
      </c>
      <c r="F327" s="10">
        <v>620332019</v>
      </c>
      <c r="G327" s="384">
        <v>0.4108744394618834</v>
      </c>
      <c r="H327" s="385">
        <f>Inflows!$F327*Inflows!$G327</f>
        <v>254878570.5868834</v>
      </c>
    </row>
    <row r="328" spans="1:8">
      <c r="A328" s="353" t="s">
        <v>91</v>
      </c>
      <c r="B328" s="358">
        <v>847130</v>
      </c>
      <c r="C328" s="10" t="s">
        <v>7856</v>
      </c>
      <c r="D328" s="10" t="s">
        <v>501</v>
      </c>
      <c r="E328" s="10">
        <v>2014</v>
      </c>
      <c r="F328" s="10">
        <v>590993890</v>
      </c>
      <c r="G328" s="384">
        <v>0.42751240176132876</v>
      </c>
      <c r="H328" s="385">
        <f>Inflows!$F328*Inflows!$G328</f>
        <v>252657217.34017053</v>
      </c>
    </row>
    <row r="329" spans="1:8">
      <c r="A329" s="353" t="s">
        <v>91</v>
      </c>
      <c r="B329" s="358">
        <v>847130</v>
      </c>
      <c r="C329" s="10" t="s">
        <v>7856</v>
      </c>
      <c r="D329" s="10" t="s">
        <v>501</v>
      </c>
      <c r="E329" s="10">
        <v>2015</v>
      </c>
      <c r="F329" s="10">
        <v>603341098</v>
      </c>
      <c r="G329" s="384">
        <v>0.42913142149783373</v>
      </c>
      <c r="H329" s="385">
        <f>Inflows!$F329*Inflows!$G329</f>
        <v>258912623.0328038</v>
      </c>
    </row>
    <row r="330" spans="1:8">
      <c r="A330" s="353" t="s">
        <v>91</v>
      </c>
      <c r="B330" s="358">
        <v>847130</v>
      </c>
      <c r="C330" s="10" t="s">
        <v>7856</v>
      </c>
      <c r="D330" s="10" t="s">
        <v>501</v>
      </c>
      <c r="E330" s="10">
        <v>2016</v>
      </c>
      <c r="F330" s="10">
        <v>661374905</v>
      </c>
      <c r="G330" s="384">
        <v>0.40206896551724142</v>
      </c>
      <c r="H330" s="385">
        <f>Inflows!$F330*Inflows!$G330</f>
        <v>265918323.87241381</v>
      </c>
    </row>
    <row r="331" spans="1:8">
      <c r="A331" s="353" t="s">
        <v>91</v>
      </c>
      <c r="B331" s="358">
        <v>847130</v>
      </c>
      <c r="C331" s="10" t="s">
        <v>7856</v>
      </c>
      <c r="D331" s="10" t="s">
        <v>501</v>
      </c>
      <c r="E331" s="10">
        <v>2017</v>
      </c>
      <c r="F331" s="10">
        <v>675667346</v>
      </c>
      <c r="G331" s="384">
        <v>0.38690616875443157</v>
      </c>
      <c r="H331" s="385">
        <f>Inflows!$F331*Inflows!$G331</f>
        <v>261419864.19333491</v>
      </c>
    </row>
    <row r="332" spans="1:8">
      <c r="A332" s="353" t="s">
        <v>91</v>
      </c>
      <c r="B332" s="358">
        <v>847130</v>
      </c>
      <c r="C332" s="10" t="s">
        <v>7856</v>
      </c>
      <c r="D332" s="10" t="s">
        <v>501</v>
      </c>
      <c r="E332" s="10">
        <v>2018</v>
      </c>
      <c r="F332" s="10">
        <v>753737368</v>
      </c>
      <c r="G332" s="384">
        <v>0.36928746928746925</v>
      </c>
      <c r="H332" s="385">
        <f>Inflows!$F332*Inflows!$G332</f>
        <v>278345765.13611794</v>
      </c>
    </row>
    <row r="333" spans="1:8">
      <c r="A333" s="353" t="s">
        <v>91</v>
      </c>
      <c r="B333" s="358">
        <v>847130</v>
      </c>
      <c r="C333" s="10" t="s">
        <v>7856</v>
      </c>
      <c r="D333" s="10" t="s">
        <v>501</v>
      </c>
      <c r="E333" s="10">
        <v>2019</v>
      </c>
      <c r="F333" s="10">
        <v>864955787</v>
      </c>
      <c r="G333" s="384">
        <v>0.35194174757281554</v>
      </c>
      <c r="H333" s="385">
        <f>Inflows!$F333*Inflows!$G333</f>
        <v>304414051.25</v>
      </c>
    </row>
    <row r="334" spans="1:8">
      <c r="A334" s="353" t="s">
        <v>91</v>
      </c>
      <c r="B334" s="358">
        <v>847130</v>
      </c>
      <c r="C334" s="10" t="s">
        <v>7856</v>
      </c>
      <c r="D334" s="10" t="s">
        <v>501</v>
      </c>
      <c r="E334" s="10">
        <v>2020</v>
      </c>
      <c r="F334" s="10">
        <v>879621238</v>
      </c>
      <c r="G334" s="384">
        <v>0.35100901674538426</v>
      </c>
      <c r="H334" s="385">
        <f>Inflows!$F334*Inflows!$G334</f>
        <v>308754985.85873765</v>
      </c>
    </row>
    <row r="335" spans="1:8">
      <c r="A335" s="353" t="s">
        <v>91</v>
      </c>
      <c r="B335" s="358">
        <v>847130</v>
      </c>
      <c r="C335" s="10" t="s">
        <v>7856</v>
      </c>
      <c r="D335" s="10" t="s">
        <v>501</v>
      </c>
      <c r="E335" s="10">
        <v>2021</v>
      </c>
      <c r="F335" s="10">
        <v>895590051</v>
      </c>
      <c r="G335" s="384">
        <v>0.3085703230798994</v>
      </c>
      <c r="H335" s="385">
        <f>Inflows!$F335*Inflows!$G335</f>
        <v>276352511.38421357</v>
      </c>
    </row>
    <row r="336" spans="1:8">
      <c r="A336" s="353" t="s">
        <v>91</v>
      </c>
      <c r="B336" s="358">
        <v>847130</v>
      </c>
      <c r="C336" s="10" t="s">
        <v>7856</v>
      </c>
      <c r="D336" s="10" t="s">
        <v>501</v>
      </c>
      <c r="E336" s="10">
        <v>2022</v>
      </c>
      <c r="F336" s="10">
        <v>1106865652</v>
      </c>
      <c r="G336" s="384">
        <v>0.3085703230798994</v>
      </c>
      <c r="H336" s="385">
        <f>Inflows!$F336*Inflows!$G336</f>
        <v>341545891.84368348</v>
      </c>
    </row>
    <row r="337" spans="1:8">
      <c r="A337" s="353" t="s">
        <v>91</v>
      </c>
      <c r="B337" s="367">
        <v>847130</v>
      </c>
      <c r="C337" s="313" t="s">
        <v>7856</v>
      </c>
      <c r="D337" s="313" t="s">
        <v>501</v>
      </c>
      <c r="E337" s="313">
        <v>2023</v>
      </c>
      <c r="F337" s="313">
        <v>63429436</v>
      </c>
      <c r="G337" s="384">
        <v>0.3085703230798994</v>
      </c>
      <c r="H337" s="385">
        <f>Inflows!$F337*Inflows!$G337</f>
        <v>19572441.559295803</v>
      </c>
    </row>
  </sheetData>
  <phoneticPr fontId="1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EDAEB-9911-F542-BB94-0495EE6FE9DC}">
  <dimension ref="A1:C52"/>
  <sheetViews>
    <sheetView topLeftCell="A23" workbookViewId="0">
      <selection activeCell="H42" sqref="H42"/>
    </sheetView>
  </sheetViews>
  <sheetFormatPr baseColWidth="10" defaultRowHeight="16"/>
  <cols>
    <col min="3" max="3" width="14" bestFit="1" customWidth="1"/>
  </cols>
  <sheetData>
    <row r="1" spans="1:3" ht="17">
      <c r="A1" s="93" t="s">
        <v>6924</v>
      </c>
      <c r="B1" s="94" t="s">
        <v>175</v>
      </c>
      <c r="C1" s="95" t="s">
        <v>501</v>
      </c>
    </row>
    <row r="2" spans="1:3">
      <c r="A2" t="s">
        <v>40</v>
      </c>
      <c r="B2" s="44">
        <v>1970</v>
      </c>
    </row>
    <row r="3" spans="1:3">
      <c r="A3" t="s">
        <v>40</v>
      </c>
      <c r="B3" s="44">
        <v>1971</v>
      </c>
    </row>
    <row r="4" spans="1:3">
      <c r="A4" t="s">
        <v>40</v>
      </c>
      <c r="B4" s="44">
        <v>1972</v>
      </c>
    </row>
    <row r="5" spans="1:3">
      <c r="A5" t="s">
        <v>40</v>
      </c>
      <c r="B5" s="44">
        <v>1973</v>
      </c>
    </row>
    <row r="6" spans="1:3">
      <c r="A6" t="s">
        <v>40</v>
      </c>
      <c r="B6" s="44">
        <v>1974</v>
      </c>
    </row>
    <row r="7" spans="1:3">
      <c r="A7" t="s">
        <v>40</v>
      </c>
      <c r="B7" s="44">
        <v>1975</v>
      </c>
    </row>
    <row r="8" spans="1:3">
      <c r="A8" t="s">
        <v>40</v>
      </c>
      <c r="B8" s="44">
        <v>1976</v>
      </c>
    </row>
    <row r="9" spans="1:3">
      <c r="A9" t="s">
        <v>40</v>
      </c>
      <c r="B9" s="44">
        <v>1977</v>
      </c>
    </row>
    <row r="10" spans="1:3">
      <c r="A10" t="s">
        <v>40</v>
      </c>
      <c r="B10" s="44">
        <v>1978</v>
      </c>
    </row>
    <row r="11" spans="1:3">
      <c r="A11" t="s">
        <v>40</v>
      </c>
      <c r="B11" s="44">
        <v>1979</v>
      </c>
    </row>
    <row r="12" spans="1:3">
      <c r="A12" t="s">
        <v>40</v>
      </c>
      <c r="B12" s="44">
        <v>1980</v>
      </c>
    </row>
    <row r="13" spans="1:3">
      <c r="A13" t="s">
        <v>40</v>
      </c>
      <c r="B13" s="44">
        <v>1981</v>
      </c>
    </row>
    <row r="14" spans="1:3">
      <c r="A14" t="s">
        <v>40</v>
      </c>
      <c r="B14" s="44">
        <v>1982</v>
      </c>
    </row>
    <row r="15" spans="1:3">
      <c r="A15" t="s">
        <v>40</v>
      </c>
      <c r="B15" s="44">
        <v>1983</v>
      </c>
    </row>
    <row r="16" spans="1:3">
      <c r="A16" t="s">
        <v>40</v>
      </c>
      <c r="B16" s="44">
        <v>1984</v>
      </c>
    </row>
    <row r="17" spans="1:3">
      <c r="A17" t="s">
        <v>40</v>
      </c>
      <c r="B17" s="44">
        <v>1985</v>
      </c>
    </row>
    <row r="18" spans="1:3">
      <c r="A18" t="s">
        <v>40</v>
      </c>
      <c r="B18" s="44">
        <v>1986</v>
      </c>
    </row>
    <row r="19" spans="1:3">
      <c r="A19" t="s">
        <v>40</v>
      </c>
      <c r="B19" s="44">
        <v>1987</v>
      </c>
    </row>
    <row r="20" spans="1:3">
      <c r="A20" t="s">
        <v>40</v>
      </c>
      <c r="B20" s="44">
        <v>1988</v>
      </c>
    </row>
    <row r="21" spans="1:3">
      <c r="A21" t="s">
        <v>40</v>
      </c>
      <c r="B21" s="44">
        <v>1989</v>
      </c>
      <c r="C21" s="45">
        <v>10801</v>
      </c>
    </row>
    <row r="22" spans="1:3">
      <c r="A22" t="s">
        <v>40</v>
      </c>
      <c r="B22" s="44">
        <v>1990</v>
      </c>
      <c r="C22" s="45">
        <v>54578</v>
      </c>
    </row>
    <row r="23" spans="1:3">
      <c r="A23" t="s">
        <v>40</v>
      </c>
      <c r="B23" s="44">
        <v>1991</v>
      </c>
      <c r="C23" s="45">
        <v>150482</v>
      </c>
    </row>
    <row r="24" spans="1:3">
      <c r="A24" t="s">
        <v>40</v>
      </c>
      <c r="B24" s="44">
        <v>1992</v>
      </c>
      <c r="C24" s="45">
        <v>282910</v>
      </c>
    </row>
    <row r="25" spans="1:3">
      <c r="A25" t="s">
        <v>40</v>
      </c>
      <c r="B25" s="44">
        <v>1993</v>
      </c>
      <c r="C25" s="45">
        <v>432996</v>
      </c>
    </row>
    <row r="26" spans="1:3">
      <c r="A26" t="s">
        <v>40</v>
      </c>
      <c r="B26" s="44">
        <v>1994</v>
      </c>
      <c r="C26" s="45">
        <v>588887</v>
      </c>
    </row>
    <row r="27" spans="1:3">
      <c r="A27" t="s">
        <v>40</v>
      </c>
      <c r="B27" s="44">
        <v>1995</v>
      </c>
      <c r="C27" s="45">
        <v>745825</v>
      </c>
    </row>
    <row r="28" spans="1:3">
      <c r="A28" t="s">
        <v>40</v>
      </c>
      <c r="B28" s="44">
        <v>1996</v>
      </c>
      <c r="C28" s="45">
        <v>902589</v>
      </c>
    </row>
    <row r="29" spans="1:3">
      <c r="A29" t="s">
        <v>40</v>
      </c>
      <c r="B29" s="44">
        <v>1997</v>
      </c>
      <c r="C29" s="45">
        <v>1058482</v>
      </c>
    </row>
    <row r="30" spans="1:3">
      <c r="A30" t="s">
        <v>40</v>
      </c>
      <c r="B30" s="44">
        <v>1998</v>
      </c>
      <c r="C30" s="45">
        <v>1211682</v>
      </c>
    </row>
    <row r="31" spans="1:3">
      <c r="A31" t="s">
        <v>40</v>
      </c>
      <c r="B31" s="44">
        <v>1999</v>
      </c>
      <c r="C31" s="45">
        <v>1358895</v>
      </c>
    </row>
    <row r="32" spans="1:3">
      <c r="A32" t="s">
        <v>40</v>
      </c>
      <c r="B32" s="44">
        <v>2000</v>
      </c>
      <c r="C32" s="45">
        <v>1498474</v>
      </c>
    </row>
    <row r="33" spans="1:3">
      <c r="A33" t="s">
        <v>40</v>
      </c>
      <c r="B33" s="44">
        <v>2001</v>
      </c>
      <c r="C33" s="45">
        <v>1639709</v>
      </c>
    </row>
    <row r="34" spans="1:3">
      <c r="A34" t="s">
        <v>40</v>
      </c>
      <c r="B34" s="44">
        <v>2002</v>
      </c>
      <c r="C34" s="45">
        <v>1820758</v>
      </c>
    </row>
    <row r="35" spans="1:3">
      <c r="A35" t="s">
        <v>40</v>
      </c>
      <c r="B35" s="44">
        <v>2003</v>
      </c>
      <c r="C35" s="45">
        <v>2133906</v>
      </c>
    </row>
    <row r="36" spans="1:3">
      <c r="A36" t="s">
        <v>40</v>
      </c>
      <c r="B36" s="44">
        <v>2004</v>
      </c>
      <c r="C36" s="45">
        <v>2720586</v>
      </c>
    </row>
    <row r="37" spans="1:3">
      <c r="A37" t="s">
        <v>40</v>
      </c>
      <c r="B37" s="44">
        <v>2005</v>
      </c>
      <c r="C37" s="45">
        <v>3675247</v>
      </c>
    </row>
    <row r="38" spans="1:3">
      <c r="A38" t="s">
        <v>40</v>
      </c>
      <c r="B38" s="44">
        <v>2006</v>
      </c>
      <c r="C38" s="45">
        <v>5121224</v>
      </c>
    </row>
    <row r="39" spans="1:3">
      <c r="A39" t="s">
        <v>40</v>
      </c>
      <c r="B39" s="44">
        <v>2007</v>
      </c>
      <c r="C39" s="45">
        <v>7165669</v>
      </c>
    </row>
    <row r="40" spans="1:3">
      <c r="A40" t="s">
        <v>40</v>
      </c>
      <c r="B40" s="44">
        <v>2008</v>
      </c>
      <c r="C40" s="45">
        <v>9722731</v>
      </c>
    </row>
    <row r="41" spans="1:3">
      <c r="A41" t="s">
        <v>40</v>
      </c>
      <c r="B41" s="44">
        <v>2009</v>
      </c>
      <c r="C41" s="45">
        <v>12336242</v>
      </c>
    </row>
    <row r="42" spans="1:3">
      <c r="A42" t="s">
        <v>40</v>
      </c>
      <c r="B42" s="44">
        <v>2010</v>
      </c>
      <c r="C42" s="45">
        <v>14315573</v>
      </c>
    </row>
    <row r="43" spans="1:3">
      <c r="A43" t="s">
        <v>40</v>
      </c>
      <c r="B43" s="44">
        <v>2011</v>
      </c>
      <c r="C43" s="45">
        <v>15445957</v>
      </c>
    </row>
    <row r="44" spans="1:3">
      <c r="A44" t="s">
        <v>40</v>
      </c>
      <c r="B44" s="44">
        <v>2012</v>
      </c>
      <c r="C44" s="45">
        <v>16171985</v>
      </c>
    </row>
    <row r="45" spans="1:3">
      <c r="A45" t="s">
        <v>40</v>
      </c>
      <c r="B45" s="44">
        <v>2013</v>
      </c>
      <c r="C45" s="45">
        <v>17082399</v>
      </c>
    </row>
    <row r="46" spans="1:3">
      <c r="A46" t="s">
        <v>40</v>
      </c>
      <c r="B46" s="44">
        <v>2014</v>
      </c>
      <c r="C46" s="45">
        <v>18480710</v>
      </c>
    </row>
    <row r="47" spans="1:3">
      <c r="A47" t="s">
        <v>40</v>
      </c>
      <c r="B47" s="44">
        <v>2015</v>
      </c>
      <c r="C47" s="45">
        <v>20270198</v>
      </c>
    </row>
    <row r="48" spans="1:3">
      <c r="A48" t="s">
        <v>40</v>
      </c>
      <c r="B48" s="44">
        <v>2016</v>
      </c>
      <c r="C48" s="45">
        <v>22184967</v>
      </c>
    </row>
    <row r="49" spans="1:3">
      <c r="A49" t="s">
        <v>40</v>
      </c>
      <c r="B49" s="44">
        <v>2017</v>
      </c>
      <c r="C49" s="45">
        <v>24032807</v>
      </c>
    </row>
    <row r="50" spans="1:3">
      <c r="A50" t="s">
        <v>40</v>
      </c>
      <c r="B50" s="44">
        <v>2018</v>
      </c>
      <c r="C50" s="45">
        <v>25771458</v>
      </c>
    </row>
    <row r="51" spans="1:3">
      <c r="A51" t="s">
        <v>40</v>
      </c>
      <c r="B51" s="44">
        <v>2019</v>
      </c>
      <c r="C51" s="45">
        <v>27434754</v>
      </c>
    </row>
    <row r="52" spans="1:3">
      <c r="A52" t="s">
        <v>40</v>
      </c>
      <c r="B52" s="44">
        <v>2020</v>
      </c>
      <c r="C52" s="45">
        <v>29033376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E6EE-1846-7E4E-8699-1163FD4C07DD}">
  <dimension ref="A1:A5"/>
  <sheetViews>
    <sheetView workbookViewId="0">
      <selection activeCell="F33" sqref="F33"/>
    </sheetView>
  </sheetViews>
  <sheetFormatPr baseColWidth="10" defaultRowHeight="16"/>
  <sheetData>
    <row r="1" spans="1:1">
      <c r="A1" t="s">
        <v>189</v>
      </c>
    </row>
    <row r="2" spans="1:1">
      <c r="A2" t="s">
        <v>190</v>
      </c>
    </row>
    <row r="3" spans="1:1">
      <c r="A3" t="s">
        <v>191</v>
      </c>
    </row>
    <row r="4" spans="1:1">
      <c r="A4" t="s">
        <v>192</v>
      </c>
    </row>
    <row r="5" spans="1:1">
      <c r="A5" t="s">
        <v>193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CD195-A6E3-F44A-891C-11A2CF34CCE8}">
  <dimension ref="A1:J19"/>
  <sheetViews>
    <sheetView workbookViewId="0"/>
  </sheetViews>
  <sheetFormatPr baseColWidth="10" defaultRowHeight="16"/>
  <sheetData>
    <row r="1" spans="1:10">
      <c r="A1" t="s">
        <v>7870</v>
      </c>
    </row>
    <row r="3" spans="1:10">
      <c r="A3" s="1" t="s">
        <v>175</v>
      </c>
      <c r="B3" s="1" t="s">
        <v>7871</v>
      </c>
      <c r="C3" s="1" t="s">
        <v>40</v>
      </c>
      <c r="D3" s="1" t="s">
        <v>91</v>
      </c>
      <c r="E3" s="1" t="s">
        <v>7738</v>
      </c>
      <c r="F3" s="1" t="s">
        <v>7872</v>
      </c>
      <c r="G3" s="1" t="s">
        <v>7873</v>
      </c>
      <c r="H3" s="1" t="s">
        <v>7874</v>
      </c>
      <c r="I3" s="1" t="s">
        <v>7875</v>
      </c>
      <c r="J3" s="1" t="s">
        <v>7876</v>
      </c>
    </row>
    <row r="4" spans="1:10">
      <c r="A4">
        <v>2010</v>
      </c>
      <c r="B4">
        <v>157</v>
      </c>
      <c r="C4">
        <v>201</v>
      </c>
      <c r="D4">
        <v>19</v>
      </c>
      <c r="E4">
        <f>SUM(B4:D4)</f>
        <v>377</v>
      </c>
      <c r="F4">
        <f>SUM(C4:D4)</f>
        <v>220</v>
      </c>
      <c r="G4" s="5">
        <f>C4/E4</f>
        <v>0.53315649867374004</v>
      </c>
      <c r="H4" s="5">
        <f>D4/E4</f>
        <v>5.0397877984084884E-2</v>
      </c>
      <c r="I4" s="5">
        <f>C4/F4</f>
        <v>0.91363636363636369</v>
      </c>
      <c r="J4" s="5">
        <f>D4/F4</f>
        <v>8.6363636363636365E-2</v>
      </c>
    </row>
    <row r="5" spans="1:10">
      <c r="A5">
        <v>2011</v>
      </c>
      <c r="B5">
        <v>155</v>
      </c>
      <c r="C5">
        <v>209</v>
      </c>
      <c r="D5">
        <v>76</v>
      </c>
      <c r="E5">
        <f t="shared" ref="E5:E19" si="0">SUM(B5:D5)</f>
        <v>440</v>
      </c>
      <c r="F5">
        <f t="shared" ref="F5:F19" si="1">SUM(C5:D5)</f>
        <v>285</v>
      </c>
      <c r="G5" s="5">
        <f t="shared" ref="G5:G19" si="2">C5/E5</f>
        <v>0.47499999999999998</v>
      </c>
      <c r="H5" s="5">
        <f t="shared" ref="H5:H19" si="3">D5/E5</f>
        <v>0.17272727272727273</v>
      </c>
      <c r="I5" s="5">
        <f t="shared" ref="I5:I19" si="4">C5/F5</f>
        <v>0.73333333333333328</v>
      </c>
      <c r="J5" s="5">
        <f t="shared" ref="J5:J19" si="5">D5/F5</f>
        <v>0.26666666666666666</v>
      </c>
    </row>
    <row r="6" spans="1:10">
      <c r="A6">
        <v>2012</v>
      </c>
      <c r="B6">
        <v>148</v>
      </c>
      <c r="C6">
        <v>201</v>
      </c>
      <c r="D6">
        <v>145</v>
      </c>
      <c r="E6">
        <f t="shared" si="0"/>
        <v>494</v>
      </c>
      <c r="F6">
        <f t="shared" si="1"/>
        <v>346</v>
      </c>
      <c r="G6" s="5">
        <f t="shared" si="2"/>
        <v>0.40688259109311742</v>
      </c>
      <c r="H6" s="5">
        <f t="shared" si="3"/>
        <v>0.29352226720647773</v>
      </c>
      <c r="I6" s="5">
        <f t="shared" si="4"/>
        <v>0.58092485549132944</v>
      </c>
      <c r="J6" s="5">
        <f t="shared" si="5"/>
        <v>0.41907514450867051</v>
      </c>
    </row>
    <row r="7" spans="1:10">
      <c r="A7">
        <v>2013</v>
      </c>
      <c r="B7">
        <v>134.4</v>
      </c>
      <c r="C7">
        <v>180.9</v>
      </c>
      <c r="D7">
        <v>219.9</v>
      </c>
      <c r="E7">
        <f t="shared" si="0"/>
        <v>535.20000000000005</v>
      </c>
      <c r="F7">
        <f t="shared" si="1"/>
        <v>400.8</v>
      </c>
      <c r="G7" s="5">
        <f t="shared" si="2"/>
        <v>0.33800448430493274</v>
      </c>
      <c r="H7" s="5">
        <f t="shared" si="3"/>
        <v>0.4108744394618834</v>
      </c>
      <c r="I7" s="5">
        <f t="shared" si="4"/>
        <v>0.45134730538922158</v>
      </c>
      <c r="J7" s="5">
        <f t="shared" si="5"/>
        <v>0.54865269461077848</v>
      </c>
    </row>
    <row r="8" spans="1:10">
      <c r="A8">
        <v>2014</v>
      </c>
      <c r="B8">
        <v>133.85</v>
      </c>
      <c r="C8">
        <v>174.28</v>
      </c>
      <c r="D8">
        <v>230.1</v>
      </c>
      <c r="E8">
        <f t="shared" si="0"/>
        <v>538.23</v>
      </c>
      <c r="F8">
        <f t="shared" si="1"/>
        <v>404.38</v>
      </c>
      <c r="G8" s="5">
        <f t="shared" si="2"/>
        <v>0.32380209204243537</v>
      </c>
      <c r="H8" s="5">
        <f t="shared" si="3"/>
        <v>0.42751240176132876</v>
      </c>
      <c r="I8" s="5">
        <f t="shared" si="4"/>
        <v>0.43098076067065633</v>
      </c>
      <c r="J8" s="5">
        <f t="shared" si="5"/>
        <v>0.56901923932934373</v>
      </c>
    </row>
    <row r="9" spans="1:10">
      <c r="A9">
        <v>2015</v>
      </c>
      <c r="B9">
        <v>113.6</v>
      </c>
      <c r="C9">
        <v>163.1</v>
      </c>
      <c r="D9">
        <v>208</v>
      </c>
      <c r="E9">
        <f t="shared" si="0"/>
        <v>484.7</v>
      </c>
      <c r="F9">
        <f t="shared" si="1"/>
        <v>371.1</v>
      </c>
      <c r="G9" s="5">
        <f t="shared" si="2"/>
        <v>0.33649680214565708</v>
      </c>
      <c r="H9" s="5">
        <f t="shared" si="3"/>
        <v>0.42913142149783373</v>
      </c>
      <c r="I9" s="5">
        <f t="shared" si="4"/>
        <v>0.43950417677175957</v>
      </c>
      <c r="J9" s="5">
        <f t="shared" si="5"/>
        <v>0.56049582322824032</v>
      </c>
    </row>
    <row r="10" spans="1:10">
      <c r="A10">
        <v>2016</v>
      </c>
      <c r="B10">
        <v>103.3</v>
      </c>
      <c r="C10">
        <v>156.80000000000001</v>
      </c>
      <c r="D10">
        <v>174.9</v>
      </c>
      <c r="E10">
        <f t="shared" si="0"/>
        <v>435</v>
      </c>
      <c r="F10">
        <f t="shared" si="1"/>
        <v>331.70000000000005</v>
      </c>
      <c r="G10" s="5">
        <f t="shared" si="2"/>
        <v>0.36045977011494257</v>
      </c>
      <c r="H10" s="5">
        <f t="shared" si="3"/>
        <v>0.40206896551724142</v>
      </c>
      <c r="I10" s="5">
        <f t="shared" si="4"/>
        <v>0.47271630991860114</v>
      </c>
      <c r="J10" s="5">
        <f t="shared" si="5"/>
        <v>0.52728369008139875</v>
      </c>
    </row>
    <row r="11" spans="1:10">
      <c r="A11">
        <v>2017</v>
      </c>
      <c r="B11">
        <v>97.8</v>
      </c>
      <c r="C11">
        <v>161.6</v>
      </c>
      <c r="D11">
        <v>163.69999999999999</v>
      </c>
      <c r="E11">
        <f t="shared" si="0"/>
        <v>423.09999999999997</v>
      </c>
      <c r="F11">
        <f t="shared" si="1"/>
        <v>325.29999999999995</v>
      </c>
      <c r="G11" s="5">
        <f t="shared" si="2"/>
        <v>0.38194280311982987</v>
      </c>
      <c r="H11" s="5">
        <f t="shared" si="3"/>
        <v>0.38690616875443157</v>
      </c>
      <c r="I11" s="5">
        <f t="shared" si="4"/>
        <v>0.4967722102674455</v>
      </c>
      <c r="J11" s="5">
        <f t="shared" si="5"/>
        <v>0.50322778973255455</v>
      </c>
    </row>
    <row r="12" spans="1:10">
      <c r="A12">
        <v>2018</v>
      </c>
      <c r="B12">
        <v>94.4</v>
      </c>
      <c r="C12">
        <v>162.30000000000001</v>
      </c>
      <c r="D12">
        <v>150.30000000000001</v>
      </c>
      <c r="E12">
        <f t="shared" si="0"/>
        <v>407.00000000000006</v>
      </c>
      <c r="F12">
        <f t="shared" si="1"/>
        <v>312.60000000000002</v>
      </c>
      <c r="G12" s="5">
        <f t="shared" si="2"/>
        <v>0.39877149877149876</v>
      </c>
      <c r="H12" s="5">
        <f t="shared" si="3"/>
        <v>0.36928746928746925</v>
      </c>
      <c r="I12" s="5">
        <f t="shared" si="4"/>
        <v>0.51919385796545103</v>
      </c>
      <c r="J12" s="5">
        <f t="shared" si="5"/>
        <v>0.48080614203454897</v>
      </c>
    </row>
    <row r="13" spans="1:10">
      <c r="A13">
        <v>2019</v>
      </c>
      <c r="B13">
        <v>94</v>
      </c>
      <c r="C13">
        <v>173</v>
      </c>
      <c r="D13">
        <v>145</v>
      </c>
      <c r="E13">
        <f t="shared" si="0"/>
        <v>412</v>
      </c>
      <c r="F13">
        <f t="shared" si="1"/>
        <v>318</v>
      </c>
      <c r="G13" s="5">
        <f t="shared" si="2"/>
        <v>0.4199029126213592</v>
      </c>
      <c r="H13" s="5">
        <f t="shared" si="3"/>
        <v>0.35194174757281554</v>
      </c>
      <c r="I13" s="5">
        <f t="shared" si="4"/>
        <v>0.54402515723270439</v>
      </c>
      <c r="J13" s="5">
        <f t="shared" si="5"/>
        <v>0.45597484276729561</v>
      </c>
    </row>
    <row r="14" spans="1:10">
      <c r="A14">
        <v>2020</v>
      </c>
      <c r="B14">
        <v>79.8</v>
      </c>
      <c r="C14">
        <v>222.5</v>
      </c>
      <c r="D14">
        <v>163.5</v>
      </c>
      <c r="E14">
        <f t="shared" si="0"/>
        <v>465.8</v>
      </c>
      <c r="F14">
        <f t="shared" si="1"/>
        <v>386</v>
      </c>
      <c r="G14" s="5">
        <f t="shared" si="2"/>
        <v>0.4776728209531988</v>
      </c>
      <c r="H14" s="5">
        <f t="shared" si="3"/>
        <v>0.35100901674538426</v>
      </c>
      <c r="I14" s="5">
        <f t="shared" si="4"/>
        <v>0.57642487046632129</v>
      </c>
      <c r="J14" s="5">
        <f t="shared" si="5"/>
        <v>0.42357512953367876</v>
      </c>
    </row>
    <row r="15" spans="1:10">
      <c r="A15">
        <v>2021</v>
      </c>
      <c r="B15">
        <v>80.599999999999994</v>
      </c>
      <c r="C15">
        <v>276.8</v>
      </c>
      <c r="D15">
        <v>159.5</v>
      </c>
      <c r="E15">
        <f t="shared" si="0"/>
        <v>516.9</v>
      </c>
      <c r="F15">
        <f t="shared" si="1"/>
        <v>436.3</v>
      </c>
      <c r="G15" s="5">
        <f t="shared" si="2"/>
        <v>0.5355000967305088</v>
      </c>
      <c r="H15" s="5">
        <f t="shared" si="3"/>
        <v>0.3085703230798994</v>
      </c>
      <c r="I15" s="5">
        <f t="shared" si="4"/>
        <v>0.63442585377034155</v>
      </c>
      <c r="J15" s="5">
        <f t="shared" si="5"/>
        <v>0.3655741462296585</v>
      </c>
    </row>
    <row r="16" spans="1:10">
      <c r="A16">
        <v>2022</v>
      </c>
      <c r="B16">
        <v>77</v>
      </c>
      <c r="C16">
        <v>263.39999999999998</v>
      </c>
      <c r="D16">
        <v>148</v>
      </c>
      <c r="E16">
        <f t="shared" si="0"/>
        <v>488.4</v>
      </c>
      <c r="F16">
        <f t="shared" si="1"/>
        <v>411.4</v>
      </c>
      <c r="G16" s="5">
        <f t="shared" si="2"/>
        <v>0.5393120393120393</v>
      </c>
      <c r="H16" s="5">
        <f t="shared" si="3"/>
        <v>0.30303030303030304</v>
      </c>
      <c r="I16" s="5">
        <f t="shared" si="4"/>
        <v>0.64025279533300916</v>
      </c>
      <c r="J16" s="5">
        <f t="shared" si="5"/>
        <v>0.35974720466699078</v>
      </c>
    </row>
    <row r="17" spans="1:10">
      <c r="A17">
        <v>2023</v>
      </c>
      <c r="B17">
        <v>73.099999999999994</v>
      </c>
      <c r="C17">
        <v>260.8</v>
      </c>
      <c r="D17">
        <v>142.1</v>
      </c>
      <c r="E17">
        <f t="shared" si="0"/>
        <v>476</v>
      </c>
      <c r="F17">
        <f t="shared" si="1"/>
        <v>402.9</v>
      </c>
      <c r="G17" s="5">
        <f t="shared" si="2"/>
        <v>0.5478991596638656</v>
      </c>
      <c r="H17" s="5">
        <f t="shared" si="3"/>
        <v>0.29852941176470588</v>
      </c>
      <c r="I17" s="5">
        <f t="shared" si="4"/>
        <v>0.64730702407545304</v>
      </c>
      <c r="J17" s="5">
        <f t="shared" si="5"/>
        <v>0.35269297592454701</v>
      </c>
    </row>
    <row r="18" spans="1:10">
      <c r="A18">
        <v>2024</v>
      </c>
      <c r="B18">
        <v>72.099999999999994</v>
      </c>
      <c r="C18">
        <v>261.60000000000002</v>
      </c>
      <c r="D18">
        <v>142.9</v>
      </c>
      <c r="E18">
        <f t="shared" si="0"/>
        <v>476.6</v>
      </c>
      <c r="F18">
        <f t="shared" si="1"/>
        <v>404.5</v>
      </c>
      <c r="G18" s="5">
        <f t="shared" si="2"/>
        <v>0.54888795635753251</v>
      </c>
      <c r="H18" s="5">
        <f t="shared" si="3"/>
        <v>0.29983214435585398</v>
      </c>
      <c r="I18" s="5">
        <f t="shared" si="4"/>
        <v>0.64672435105067994</v>
      </c>
      <c r="J18" s="5">
        <f t="shared" si="5"/>
        <v>0.35327564894932018</v>
      </c>
    </row>
    <row r="19" spans="1:10">
      <c r="A19">
        <v>2025</v>
      </c>
      <c r="B19">
        <v>69.599999999999994</v>
      </c>
      <c r="C19">
        <v>272.39999999999998</v>
      </c>
      <c r="D19">
        <v>141.5</v>
      </c>
      <c r="E19">
        <f t="shared" si="0"/>
        <v>483.5</v>
      </c>
      <c r="F19">
        <f t="shared" si="1"/>
        <v>413.9</v>
      </c>
      <c r="G19" s="5">
        <f t="shared" si="2"/>
        <v>0.56339193381592545</v>
      </c>
      <c r="H19" s="5">
        <f t="shared" si="3"/>
        <v>0.29265770423991727</v>
      </c>
      <c r="I19" s="5">
        <f t="shared" si="4"/>
        <v>0.65812998308770232</v>
      </c>
      <c r="J19" s="5">
        <f t="shared" si="5"/>
        <v>0.34187001691229768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AADCC-0A2A-8441-8A38-0DB731E22D96}">
  <dimension ref="A1:E1533"/>
  <sheetViews>
    <sheetView workbookViewId="0">
      <selection activeCell="B1126" sqref="B1126"/>
    </sheetView>
  </sheetViews>
  <sheetFormatPr baseColWidth="10" defaultRowHeight="16"/>
  <cols>
    <col min="1" max="2" width="14.83203125" customWidth="1"/>
    <col min="3" max="3" width="12.83203125" customWidth="1"/>
    <col min="4" max="4" width="16.6640625" customWidth="1"/>
  </cols>
  <sheetData>
    <row r="1" spans="1:5">
      <c r="A1" t="s">
        <v>171</v>
      </c>
      <c r="B1" t="s">
        <v>6925</v>
      </c>
      <c r="C1" t="s">
        <v>6909</v>
      </c>
      <c r="D1" t="s">
        <v>208</v>
      </c>
      <c r="E1" t="s">
        <v>501</v>
      </c>
    </row>
    <row r="2" spans="1:5">
      <c r="A2" t="s">
        <v>40</v>
      </c>
      <c r="B2" t="s">
        <v>449</v>
      </c>
      <c r="C2" t="s">
        <v>6910</v>
      </c>
      <c r="D2" t="s">
        <v>437</v>
      </c>
      <c r="E2">
        <v>0.8</v>
      </c>
    </row>
    <row r="3" spans="1:5">
      <c r="A3" t="s">
        <v>40</v>
      </c>
      <c r="B3" t="s">
        <v>449</v>
      </c>
      <c r="C3" t="s">
        <v>6910</v>
      </c>
      <c r="D3" t="s">
        <v>6911</v>
      </c>
      <c r="E3">
        <v>44</v>
      </c>
    </row>
    <row r="4" spans="1:5">
      <c r="A4" t="s">
        <v>40</v>
      </c>
      <c r="B4" t="s">
        <v>449</v>
      </c>
      <c r="C4" t="s">
        <v>6910</v>
      </c>
      <c r="D4" t="s">
        <v>441</v>
      </c>
      <c r="E4">
        <v>368.6</v>
      </c>
    </row>
    <row r="5" spans="1:5">
      <c r="A5" t="s">
        <v>40</v>
      </c>
      <c r="B5" t="s">
        <v>449</v>
      </c>
      <c r="C5" t="s">
        <v>6910</v>
      </c>
      <c r="D5" t="s">
        <v>6912</v>
      </c>
      <c r="E5">
        <v>9.4</v>
      </c>
    </row>
    <row r="6" spans="1:5">
      <c r="A6" t="s">
        <v>40</v>
      </c>
      <c r="B6" t="s">
        <v>449</v>
      </c>
      <c r="C6" t="s">
        <v>6910</v>
      </c>
      <c r="D6" t="s">
        <v>447</v>
      </c>
      <c r="E6">
        <v>3.5</v>
      </c>
    </row>
    <row r="7" spans="1:5">
      <c r="A7" t="s">
        <v>40</v>
      </c>
      <c r="B7" t="s">
        <v>449</v>
      </c>
      <c r="C7" t="s">
        <v>6910</v>
      </c>
      <c r="D7" t="s">
        <v>448</v>
      </c>
      <c r="E7">
        <v>426.3</v>
      </c>
    </row>
    <row r="8" spans="1:5">
      <c r="A8" t="s">
        <v>40</v>
      </c>
      <c r="B8" t="s">
        <v>449</v>
      </c>
      <c r="C8" t="s">
        <v>6913</v>
      </c>
      <c r="D8" t="s">
        <v>437</v>
      </c>
      <c r="E8">
        <v>22.7</v>
      </c>
    </row>
    <row r="9" spans="1:5">
      <c r="A9" t="s">
        <v>40</v>
      </c>
      <c r="B9" t="s">
        <v>449</v>
      </c>
      <c r="C9" t="s">
        <v>6913</v>
      </c>
      <c r="D9" t="s">
        <v>313</v>
      </c>
      <c r="E9">
        <v>1.5</v>
      </c>
    </row>
    <row r="10" spans="1:5">
      <c r="A10" t="s">
        <v>40</v>
      </c>
      <c r="B10" t="s">
        <v>449</v>
      </c>
      <c r="C10" t="s">
        <v>6913</v>
      </c>
      <c r="D10" t="s">
        <v>6911</v>
      </c>
      <c r="E10">
        <v>206.3</v>
      </c>
    </row>
    <row r="11" spans="1:5">
      <c r="A11" t="s">
        <v>40</v>
      </c>
      <c r="B11" t="s">
        <v>449</v>
      </c>
      <c r="C11" t="s">
        <v>6913</v>
      </c>
      <c r="D11" t="s">
        <v>447</v>
      </c>
      <c r="E11">
        <v>0.1</v>
      </c>
    </row>
    <row r="12" spans="1:5">
      <c r="A12" t="s">
        <v>40</v>
      </c>
      <c r="B12" t="s">
        <v>449</v>
      </c>
      <c r="C12" t="s">
        <v>6913</v>
      </c>
      <c r="D12" t="s">
        <v>448</v>
      </c>
      <c r="E12">
        <v>230.6</v>
      </c>
    </row>
    <row r="13" spans="1:5">
      <c r="A13" t="s">
        <v>40</v>
      </c>
      <c r="B13" t="s">
        <v>449</v>
      </c>
      <c r="C13" t="s">
        <v>6914</v>
      </c>
      <c r="D13" t="s">
        <v>313</v>
      </c>
      <c r="E13">
        <v>69.3</v>
      </c>
    </row>
    <row r="14" spans="1:5">
      <c r="A14" t="s">
        <v>40</v>
      </c>
      <c r="B14" t="s">
        <v>449</v>
      </c>
      <c r="C14" t="s">
        <v>6914</v>
      </c>
      <c r="D14" t="s">
        <v>6911</v>
      </c>
      <c r="E14">
        <v>226.5</v>
      </c>
    </row>
    <row r="15" spans="1:5">
      <c r="A15" t="s">
        <v>40</v>
      </c>
      <c r="B15" t="s">
        <v>449</v>
      </c>
      <c r="C15" t="s">
        <v>6914</v>
      </c>
      <c r="D15" t="s">
        <v>6915</v>
      </c>
      <c r="E15">
        <v>0.8</v>
      </c>
    </row>
    <row r="16" spans="1:5">
      <c r="A16" t="s">
        <v>40</v>
      </c>
      <c r="B16" t="s">
        <v>449</v>
      </c>
      <c r="C16" t="s">
        <v>6914</v>
      </c>
      <c r="D16" t="s">
        <v>447</v>
      </c>
      <c r="E16">
        <v>0.4</v>
      </c>
    </row>
    <row r="17" spans="1:5">
      <c r="A17" t="s">
        <v>40</v>
      </c>
      <c r="B17" t="s">
        <v>449</v>
      </c>
      <c r="C17" t="s">
        <v>6914</v>
      </c>
      <c r="D17" t="s">
        <v>448</v>
      </c>
      <c r="E17">
        <v>297</v>
      </c>
    </row>
    <row r="18" spans="1:5">
      <c r="A18" t="s">
        <v>40</v>
      </c>
      <c r="B18" t="s">
        <v>449</v>
      </c>
      <c r="C18" t="s">
        <v>467</v>
      </c>
      <c r="D18" t="s">
        <v>217</v>
      </c>
      <c r="E18">
        <v>3.6</v>
      </c>
    </row>
    <row r="19" spans="1:5">
      <c r="A19" t="s">
        <v>40</v>
      </c>
      <c r="B19" t="s">
        <v>449</v>
      </c>
      <c r="C19" t="s">
        <v>467</v>
      </c>
      <c r="D19" t="s">
        <v>313</v>
      </c>
      <c r="E19">
        <v>170.5</v>
      </c>
    </row>
    <row r="20" spans="1:5">
      <c r="A20" t="s">
        <v>40</v>
      </c>
      <c r="B20" t="s">
        <v>449</v>
      </c>
      <c r="C20" t="s">
        <v>467</v>
      </c>
      <c r="D20" t="s">
        <v>6911</v>
      </c>
      <c r="E20">
        <v>263.5</v>
      </c>
    </row>
    <row r="21" spans="1:5">
      <c r="A21" t="s">
        <v>40</v>
      </c>
      <c r="B21" t="s">
        <v>449</v>
      </c>
      <c r="C21" t="s">
        <v>467</v>
      </c>
      <c r="D21" t="s">
        <v>6912</v>
      </c>
      <c r="E21">
        <v>42.3</v>
      </c>
    </row>
    <row r="22" spans="1:5">
      <c r="A22" t="s">
        <v>40</v>
      </c>
      <c r="B22" t="s">
        <v>449</v>
      </c>
      <c r="C22" t="s">
        <v>467</v>
      </c>
      <c r="D22" t="s">
        <v>443</v>
      </c>
      <c r="E22">
        <v>265</v>
      </c>
    </row>
    <row r="23" spans="1:5">
      <c r="A23" t="s">
        <v>40</v>
      </c>
      <c r="B23" t="s">
        <v>449</v>
      </c>
      <c r="C23" t="s">
        <v>467</v>
      </c>
      <c r="D23" t="s">
        <v>447</v>
      </c>
      <c r="E23">
        <v>4.8</v>
      </c>
    </row>
    <row r="24" spans="1:5">
      <c r="A24" t="s">
        <v>40</v>
      </c>
      <c r="B24" t="s">
        <v>449</v>
      </c>
      <c r="C24" t="s">
        <v>467</v>
      </c>
      <c r="D24" t="s">
        <v>448</v>
      </c>
      <c r="E24">
        <v>749.7</v>
      </c>
    </row>
    <row r="25" spans="1:5">
      <c r="A25" t="s">
        <v>40</v>
      </c>
      <c r="B25" t="s">
        <v>449</v>
      </c>
      <c r="C25" t="s">
        <v>65</v>
      </c>
      <c r="D25" t="s">
        <v>437</v>
      </c>
      <c r="E25">
        <v>0.3</v>
      </c>
    </row>
    <row r="26" spans="1:5">
      <c r="A26" t="s">
        <v>40</v>
      </c>
      <c r="B26" t="s">
        <v>449</v>
      </c>
      <c r="C26" t="s">
        <v>65</v>
      </c>
      <c r="D26" t="s">
        <v>313</v>
      </c>
      <c r="E26">
        <v>0.3</v>
      </c>
    </row>
    <row r="27" spans="1:5">
      <c r="A27" t="s">
        <v>40</v>
      </c>
      <c r="B27" t="s">
        <v>449</v>
      </c>
      <c r="C27" t="s">
        <v>65</v>
      </c>
      <c r="D27" t="s">
        <v>6911</v>
      </c>
      <c r="E27">
        <v>7</v>
      </c>
    </row>
    <row r="28" spans="1:5">
      <c r="A28" t="s">
        <v>40</v>
      </c>
      <c r="B28" t="s">
        <v>449</v>
      </c>
      <c r="C28" t="s">
        <v>65</v>
      </c>
      <c r="D28" t="s">
        <v>6912</v>
      </c>
      <c r="E28">
        <v>0.2</v>
      </c>
    </row>
    <row r="29" spans="1:5">
      <c r="A29" t="s">
        <v>40</v>
      </c>
      <c r="B29" t="s">
        <v>449</v>
      </c>
      <c r="C29" t="s">
        <v>65</v>
      </c>
      <c r="D29" t="s">
        <v>447</v>
      </c>
      <c r="E29">
        <v>0.1</v>
      </c>
    </row>
    <row r="30" spans="1:5">
      <c r="A30" t="s">
        <v>40</v>
      </c>
      <c r="B30" t="s">
        <v>449</v>
      </c>
      <c r="C30" t="s">
        <v>65</v>
      </c>
      <c r="D30" t="s">
        <v>448</v>
      </c>
      <c r="E30">
        <v>7.9</v>
      </c>
    </row>
    <row r="31" spans="1:5">
      <c r="A31" t="s">
        <v>40</v>
      </c>
      <c r="B31" t="s">
        <v>449</v>
      </c>
      <c r="C31" t="s">
        <v>455</v>
      </c>
      <c r="D31" t="s">
        <v>437</v>
      </c>
      <c r="E31">
        <v>27.85</v>
      </c>
    </row>
    <row r="32" spans="1:5">
      <c r="A32" t="s">
        <v>40</v>
      </c>
      <c r="B32" t="s">
        <v>449</v>
      </c>
      <c r="C32" t="s">
        <v>455</v>
      </c>
      <c r="D32" t="s">
        <v>217</v>
      </c>
      <c r="E32">
        <v>1.81</v>
      </c>
    </row>
    <row r="33" spans="1:5">
      <c r="A33" t="s">
        <v>40</v>
      </c>
      <c r="B33" t="s">
        <v>449</v>
      </c>
      <c r="C33" t="s">
        <v>455</v>
      </c>
      <c r="D33" t="s">
        <v>313</v>
      </c>
      <c r="E33">
        <v>94.3</v>
      </c>
    </row>
    <row r="34" spans="1:5">
      <c r="A34" t="s">
        <v>40</v>
      </c>
      <c r="B34" t="s">
        <v>449</v>
      </c>
      <c r="C34" t="s">
        <v>455</v>
      </c>
      <c r="D34" t="s">
        <v>6911</v>
      </c>
      <c r="E34">
        <v>16.989999999999998</v>
      </c>
    </row>
    <row r="35" spans="1:5">
      <c r="A35" t="s">
        <v>40</v>
      </c>
      <c r="B35" t="s">
        <v>449</v>
      </c>
      <c r="C35" t="s">
        <v>455</v>
      </c>
      <c r="D35" t="s">
        <v>6912</v>
      </c>
      <c r="E35">
        <v>16.600000000000001</v>
      </c>
    </row>
    <row r="36" spans="1:5">
      <c r="A36" t="s">
        <v>40</v>
      </c>
      <c r="B36" t="s">
        <v>449</v>
      </c>
      <c r="C36" t="s">
        <v>455</v>
      </c>
      <c r="D36" t="s">
        <v>447</v>
      </c>
      <c r="E36">
        <v>18.239999999999998</v>
      </c>
    </row>
    <row r="37" spans="1:5">
      <c r="A37" t="s">
        <v>40</v>
      </c>
      <c r="B37" t="s">
        <v>449</v>
      </c>
      <c r="C37" t="s">
        <v>455</v>
      </c>
      <c r="D37" t="s">
        <v>448</v>
      </c>
      <c r="E37">
        <v>175.79</v>
      </c>
    </row>
    <row r="38" spans="1:5">
      <c r="A38" t="s">
        <v>40</v>
      </c>
      <c r="B38" t="s">
        <v>449</v>
      </c>
      <c r="C38" t="s">
        <v>6916</v>
      </c>
      <c r="D38" t="s">
        <v>437</v>
      </c>
      <c r="E38">
        <v>37.299999999999997</v>
      </c>
    </row>
    <row r="39" spans="1:5">
      <c r="A39" t="s">
        <v>40</v>
      </c>
      <c r="B39" t="s">
        <v>449</v>
      </c>
      <c r="C39" t="s">
        <v>6916</v>
      </c>
      <c r="D39" t="s">
        <v>217</v>
      </c>
      <c r="E39">
        <v>14.1</v>
      </c>
    </row>
    <row r="40" spans="1:5">
      <c r="A40" t="s">
        <v>40</v>
      </c>
      <c r="B40" t="s">
        <v>449</v>
      </c>
      <c r="C40" t="s">
        <v>6916</v>
      </c>
      <c r="D40" t="s">
        <v>313</v>
      </c>
      <c r="E40">
        <v>0.5</v>
      </c>
    </row>
    <row r="41" spans="1:5">
      <c r="A41" t="s">
        <v>40</v>
      </c>
      <c r="B41" t="s">
        <v>449</v>
      </c>
      <c r="C41" t="s">
        <v>6916</v>
      </c>
      <c r="D41" t="s">
        <v>448</v>
      </c>
      <c r="E41">
        <v>51.9</v>
      </c>
    </row>
    <row r="42" spans="1:5">
      <c r="A42" t="s">
        <v>40</v>
      </c>
      <c r="B42" t="s">
        <v>449</v>
      </c>
      <c r="C42" t="s">
        <v>457</v>
      </c>
      <c r="D42" t="s">
        <v>437</v>
      </c>
      <c r="E42">
        <v>109.42</v>
      </c>
    </row>
    <row r="43" spans="1:5">
      <c r="A43" t="s">
        <v>40</v>
      </c>
      <c r="B43" t="s">
        <v>449</v>
      </c>
      <c r="C43" t="s">
        <v>457</v>
      </c>
      <c r="D43" t="s">
        <v>217</v>
      </c>
      <c r="E43">
        <v>0.1</v>
      </c>
    </row>
    <row r="44" spans="1:5">
      <c r="A44" t="s">
        <v>40</v>
      </c>
      <c r="B44" t="s">
        <v>449</v>
      </c>
      <c r="C44" t="s">
        <v>457</v>
      </c>
      <c r="D44" t="s">
        <v>6911</v>
      </c>
      <c r="E44">
        <v>54.7</v>
      </c>
    </row>
    <row r="45" spans="1:5">
      <c r="A45" t="s">
        <v>40</v>
      </c>
      <c r="B45" t="s">
        <v>449</v>
      </c>
      <c r="C45" t="s">
        <v>457</v>
      </c>
      <c r="D45" t="s">
        <v>6915</v>
      </c>
      <c r="E45">
        <v>10.5</v>
      </c>
    </row>
    <row r="46" spans="1:5">
      <c r="A46" t="s">
        <v>40</v>
      </c>
      <c r="B46" t="s">
        <v>449</v>
      </c>
      <c r="C46" t="s">
        <v>457</v>
      </c>
      <c r="D46" t="s">
        <v>447</v>
      </c>
      <c r="E46">
        <v>0.57999999999999996</v>
      </c>
    </row>
    <row r="47" spans="1:5">
      <c r="A47" t="s">
        <v>40</v>
      </c>
      <c r="B47" t="s">
        <v>449</v>
      </c>
      <c r="C47" t="s">
        <v>457</v>
      </c>
      <c r="D47" t="s">
        <v>448</v>
      </c>
      <c r="E47">
        <v>175.3</v>
      </c>
    </row>
    <row r="48" spans="1:5">
      <c r="A48" t="s">
        <v>40</v>
      </c>
      <c r="B48" t="s">
        <v>449</v>
      </c>
      <c r="C48" t="s">
        <v>497</v>
      </c>
      <c r="D48" t="s">
        <v>437</v>
      </c>
      <c r="E48">
        <v>21.7</v>
      </c>
    </row>
    <row r="49" spans="1:5">
      <c r="A49" t="s">
        <v>40</v>
      </c>
      <c r="B49" t="s">
        <v>449</v>
      </c>
      <c r="C49" t="s">
        <v>497</v>
      </c>
      <c r="D49" t="s">
        <v>313</v>
      </c>
      <c r="E49">
        <v>0.5</v>
      </c>
    </row>
    <row r="50" spans="1:5">
      <c r="A50" t="s">
        <v>40</v>
      </c>
      <c r="B50" t="s">
        <v>449</v>
      </c>
      <c r="C50" t="s">
        <v>497</v>
      </c>
      <c r="D50" t="s">
        <v>6912</v>
      </c>
      <c r="E50">
        <v>326.3</v>
      </c>
    </row>
    <row r="51" spans="1:5">
      <c r="A51" t="s">
        <v>40</v>
      </c>
      <c r="B51" t="s">
        <v>449</v>
      </c>
      <c r="C51" t="s">
        <v>497</v>
      </c>
      <c r="D51" t="s">
        <v>447</v>
      </c>
      <c r="E51">
        <v>1.2</v>
      </c>
    </row>
    <row r="52" spans="1:5">
      <c r="A52" t="s">
        <v>40</v>
      </c>
      <c r="B52" t="s">
        <v>449</v>
      </c>
      <c r="C52" t="s">
        <v>497</v>
      </c>
      <c r="D52" t="s">
        <v>448</v>
      </c>
      <c r="E52">
        <v>349.7</v>
      </c>
    </row>
    <row r="53" spans="1:5">
      <c r="A53" t="s">
        <v>40</v>
      </c>
      <c r="B53" t="s">
        <v>449</v>
      </c>
      <c r="C53" t="s">
        <v>6917</v>
      </c>
      <c r="D53" t="s">
        <v>437</v>
      </c>
      <c r="E53">
        <v>86.8</v>
      </c>
    </row>
    <row r="54" spans="1:5">
      <c r="A54" t="s">
        <v>40</v>
      </c>
      <c r="B54" t="s">
        <v>449</v>
      </c>
      <c r="C54" t="s">
        <v>6917</v>
      </c>
      <c r="D54" t="s">
        <v>217</v>
      </c>
      <c r="E54">
        <v>1.7</v>
      </c>
    </row>
    <row r="55" spans="1:5">
      <c r="A55" t="s">
        <v>40</v>
      </c>
      <c r="B55" t="s">
        <v>449</v>
      </c>
      <c r="C55" t="s">
        <v>6917</v>
      </c>
      <c r="D55" t="s">
        <v>313</v>
      </c>
      <c r="E55">
        <v>31.5</v>
      </c>
    </row>
    <row r="56" spans="1:5">
      <c r="A56" t="s">
        <v>40</v>
      </c>
      <c r="B56" t="s">
        <v>449</v>
      </c>
      <c r="C56" t="s">
        <v>6917</v>
      </c>
      <c r="D56" t="s">
        <v>6911</v>
      </c>
      <c r="E56">
        <v>99.9</v>
      </c>
    </row>
    <row r="57" spans="1:5">
      <c r="A57" t="s">
        <v>40</v>
      </c>
      <c r="B57" t="s">
        <v>449</v>
      </c>
      <c r="C57" t="s">
        <v>6917</v>
      </c>
      <c r="D57" t="s">
        <v>6912</v>
      </c>
      <c r="E57">
        <v>16.55</v>
      </c>
    </row>
    <row r="58" spans="1:5">
      <c r="A58" t="s">
        <v>40</v>
      </c>
      <c r="B58" t="s">
        <v>449</v>
      </c>
      <c r="C58" t="s">
        <v>6917</v>
      </c>
      <c r="D58" t="s">
        <v>447</v>
      </c>
      <c r="E58">
        <v>27.65</v>
      </c>
    </row>
    <row r="59" spans="1:5">
      <c r="A59" t="s">
        <v>40</v>
      </c>
      <c r="B59" t="s">
        <v>449</v>
      </c>
      <c r="C59" t="s">
        <v>6917</v>
      </c>
      <c r="D59" t="s">
        <v>448</v>
      </c>
      <c r="E59">
        <v>264.10000000000002</v>
      </c>
    </row>
    <row r="60" spans="1:5">
      <c r="A60" t="s">
        <v>40</v>
      </c>
      <c r="B60" t="s">
        <v>449</v>
      </c>
      <c r="C60" t="s">
        <v>382</v>
      </c>
      <c r="D60" t="s">
        <v>437</v>
      </c>
      <c r="E60">
        <v>1.4</v>
      </c>
    </row>
    <row r="61" spans="1:5">
      <c r="A61" t="s">
        <v>40</v>
      </c>
      <c r="B61" t="s">
        <v>449</v>
      </c>
      <c r="C61" t="s">
        <v>382</v>
      </c>
      <c r="D61" t="s">
        <v>6911</v>
      </c>
      <c r="E61">
        <v>2.8</v>
      </c>
    </row>
    <row r="62" spans="1:5">
      <c r="A62" t="s">
        <v>40</v>
      </c>
      <c r="B62" t="s">
        <v>449</v>
      </c>
      <c r="C62" t="s">
        <v>382</v>
      </c>
      <c r="D62" t="s">
        <v>447</v>
      </c>
      <c r="E62">
        <v>11.4</v>
      </c>
    </row>
    <row r="63" spans="1:5">
      <c r="A63" t="s">
        <v>40</v>
      </c>
      <c r="B63" t="s">
        <v>449</v>
      </c>
      <c r="C63" t="s">
        <v>382</v>
      </c>
      <c r="D63" t="s">
        <v>448</v>
      </c>
      <c r="E63">
        <v>15.6</v>
      </c>
    </row>
    <row r="64" spans="1:5">
      <c r="A64" t="s">
        <v>40</v>
      </c>
      <c r="B64" t="s">
        <v>449</v>
      </c>
      <c r="C64" t="s">
        <v>460</v>
      </c>
      <c r="D64" t="s">
        <v>437</v>
      </c>
      <c r="E64">
        <v>58.8</v>
      </c>
    </row>
    <row r="65" spans="1:5">
      <c r="A65" t="s">
        <v>40</v>
      </c>
      <c r="B65" t="s">
        <v>449</v>
      </c>
      <c r="C65" t="s">
        <v>460</v>
      </c>
      <c r="D65" t="s">
        <v>217</v>
      </c>
      <c r="E65">
        <v>1</v>
      </c>
    </row>
    <row r="66" spans="1:5">
      <c r="A66" t="s">
        <v>40</v>
      </c>
      <c r="B66" t="s">
        <v>449</v>
      </c>
      <c r="C66" t="s">
        <v>460</v>
      </c>
      <c r="D66" t="s">
        <v>313</v>
      </c>
      <c r="E66">
        <v>58.8</v>
      </c>
    </row>
    <row r="67" spans="1:5">
      <c r="A67" t="s">
        <v>40</v>
      </c>
      <c r="B67" t="s">
        <v>449</v>
      </c>
      <c r="C67" t="s">
        <v>460</v>
      </c>
      <c r="D67" t="s">
        <v>6911</v>
      </c>
      <c r="E67">
        <v>102.5</v>
      </c>
    </row>
    <row r="68" spans="1:5">
      <c r="A68" t="s">
        <v>40</v>
      </c>
      <c r="B68" t="s">
        <v>449</v>
      </c>
      <c r="C68" t="s">
        <v>460</v>
      </c>
      <c r="D68" t="s">
        <v>6912</v>
      </c>
      <c r="E68">
        <v>14.8</v>
      </c>
    </row>
    <row r="69" spans="1:5">
      <c r="A69" t="s">
        <v>40</v>
      </c>
      <c r="B69" t="s">
        <v>449</v>
      </c>
      <c r="C69" t="s">
        <v>460</v>
      </c>
      <c r="D69" t="s">
        <v>447</v>
      </c>
      <c r="E69">
        <v>10.5</v>
      </c>
    </row>
    <row r="70" spans="1:5">
      <c r="A70" t="s">
        <v>40</v>
      </c>
      <c r="B70" t="s">
        <v>449</v>
      </c>
      <c r="C70" t="s">
        <v>460</v>
      </c>
      <c r="D70" t="s">
        <v>448</v>
      </c>
      <c r="E70">
        <v>246.4</v>
      </c>
    </row>
    <row r="71" spans="1:5">
      <c r="A71" t="s">
        <v>40</v>
      </c>
      <c r="B71" t="s">
        <v>449</v>
      </c>
      <c r="C71" t="s">
        <v>448</v>
      </c>
      <c r="D71" t="s">
        <v>437</v>
      </c>
      <c r="E71">
        <v>367.07</v>
      </c>
    </row>
    <row r="72" spans="1:5">
      <c r="A72" t="s">
        <v>40</v>
      </c>
      <c r="B72" t="s">
        <v>449</v>
      </c>
      <c r="C72" t="s">
        <v>448</v>
      </c>
      <c r="D72" t="s">
        <v>217</v>
      </c>
      <c r="E72">
        <v>22.31</v>
      </c>
    </row>
    <row r="73" spans="1:5">
      <c r="A73" t="s">
        <v>40</v>
      </c>
      <c r="B73" t="s">
        <v>449</v>
      </c>
      <c r="C73" t="s">
        <v>448</v>
      </c>
      <c r="D73" t="s">
        <v>313</v>
      </c>
      <c r="E73">
        <v>427.2</v>
      </c>
    </row>
    <row r="74" spans="1:5">
      <c r="A74" t="s">
        <v>40</v>
      </c>
      <c r="B74" t="s">
        <v>449</v>
      </c>
      <c r="C74" t="s">
        <v>448</v>
      </c>
      <c r="D74" t="s">
        <v>6911</v>
      </c>
      <c r="E74">
        <v>1024.19</v>
      </c>
    </row>
    <row r="75" spans="1:5">
      <c r="A75" t="s">
        <v>40</v>
      </c>
      <c r="B75" t="s">
        <v>449</v>
      </c>
      <c r="C75" t="s">
        <v>448</v>
      </c>
      <c r="D75" t="s">
        <v>441</v>
      </c>
      <c r="E75">
        <v>368.6</v>
      </c>
    </row>
    <row r="76" spans="1:5">
      <c r="A76" t="s">
        <v>40</v>
      </c>
      <c r="B76" t="s">
        <v>449</v>
      </c>
      <c r="C76" t="s">
        <v>448</v>
      </c>
      <c r="D76" t="s">
        <v>6912</v>
      </c>
      <c r="E76">
        <v>426.15</v>
      </c>
    </row>
    <row r="77" spans="1:5">
      <c r="A77" t="s">
        <v>40</v>
      </c>
      <c r="B77" t="s">
        <v>449</v>
      </c>
      <c r="C77" t="s">
        <v>448</v>
      </c>
      <c r="D77" t="s">
        <v>443</v>
      </c>
      <c r="E77">
        <v>265</v>
      </c>
    </row>
    <row r="78" spans="1:5">
      <c r="A78" t="s">
        <v>40</v>
      </c>
      <c r="B78" t="s">
        <v>449</v>
      </c>
      <c r="C78" t="s">
        <v>448</v>
      </c>
      <c r="D78" t="s">
        <v>6915</v>
      </c>
      <c r="E78">
        <v>11.3</v>
      </c>
    </row>
    <row r="79" spans="1:5">
      <c r="A79" t="s">
        <v>40</v>
      </c>
      <c r="B79" t="s">
        <v>449</v>
      </c>
      <c r="C79" t="s">
        <v>448</v>
      </c>
      <c r="D79" t="s">
        <v>447</v>
      </c>
      <c r="E79">
        <v>78.47</v>
      </c>
    </row>
    <row r="80" spans="1:5">
      <c r="A80" t="s">
        <v>40</v>
      </c>
      <c r="B80" t="s">
        <v>449</v>
      </c>
      <c r="C80" t="s">
        <v>448</v>
      </c>
      <c r="D80" t="s">
        <v>448</v>
      </c>
      <c r="E80">
        <v>2990.29</v>
      </c>
    </row>
    <row r="81" spans="1:5">
      <c r="A81" t="s">
        <v>40</v>
      </c>
      <c r="B81" t="s">
        <v>461</v>
      </c>
      <c r="C81" t="s">
        <v>6910</v>
      </c>
      <c r="D81" t="s">
        <v>437</v>
      </c>
      <c r="E81">
        <v>0.7</v>
      </c>
    </row>
    <row r="82" spans="1:5">
      <c r="A82" t="s">
        <v>40</v>
      </c>
      <c r="B82" t="s">
        <v>461</v>
      </c>
      <c r="C82" t="s">
        <v>6910</v>
      </c>
      <c r="D82" t="s">
        <v>6911</v>
      </c>
      <c r="E82">
        <v>50</v>
      </c>
    </row>
    <row r="83" spans="1:5">
      <c r="A83" t="s">
        <v>40</v>
      </c>
      <c r="B83" t="s">
        <v>461</v>
      </c>
      <c r="C83" t="s">
        <v>6910</v>
      </c>
      <c r="D83" t="s">
        <v>441</v>
      </c>
      <c r="E83">
        <v>749.9</v>
      </c>
    </row>
    <row r="84" spans="1:5">
      <c r="A84" t="s">
        <v>40</v>
      </c>
      <c r="B84" t="s">
        <v>461</v>
      </c>
      <c r="C84" t="s">
        <v>6910</v>
      </c>
      <c r="D84" t="s">
        <v>6912</v>
      </c>
      <c r="E84">
        <v>8.9</v>
      </c>
    </row>
    <row r="85" spans="1:5">
      <c r="A85" t="s">
        <v>40</v>
      </c>
      <c r="B85" t="s">
        <v>461</v>
      </c>
      <c r="C85" t="s">
        <v>6910</v>
      </c>
      <c r="D85" t="s">
        <v>447</v>
      </c>
      <c r="E85">
        <v>2.7</v>
      </c>
    </row>
    <row r="86" spans="1:5">
      <c r="A86" t="s">
        <v>40</v>
      </c>
      <c r="B86" t="s">
        <v>461</v>
      </c>
      <c r="C86" t="s">
        <v>6910</v>
      </c>
      <c r="D86" t="s">
        <v>448</v>
      </c>
      <c r="E86">
        <v>812.2</v>
      </c>
    </row>
    <row r="87" spans="1:5">
      <c r="A87" t="s">
        <v>40</v>
      </c>
      <c r="B87" t="s">
        <v>461</v>
      </c>
      <c r="C87" t="s">
        <v>6913</v>
      </c>
      <c r="D87" t="s">
        <v>437</v>
      </c>
      <c r="E87">
        <v>90</v>
      </c>
    </row>
    <row r="88" spans="1:5">
      <c r="A88" t="s">
        <v>40</v>
      </c>
      <c r="B88" t="s">
        <v>461</v>
      </c>
      <c r="C88" t="s">
        <v>6913</v>
      </c>
      <c r="D88" t="s">
        <v>313</v>
      </c>
      <c r="E88">
        <v>7.1</v>
      </c>
    </row>
    <row r="89" spans="1:5">
      <c r="A89" t="s">
        <v>40</v>
      </c>
      <c r="B89" t="s">
        <v>461</v>
      </c>
      <c r="C89" t="s">
        <v>6913</v>
      </c>
      <c r="D89" t="s">
        <v>6911</v>
      </c>
      <c r="E89">
        <v>215.9</v>
      </c>
    </row>
    <row r="90" spans="1:5">
      <c r="A90" t="s">
        <v>40</v>
      </c>
      <c r="B90" t="s">
        <v>461</v>
      </c>
      <c r="C90" t="s">
        <v>6913</v>
      </c>
      <c r="D90" t="s">
        <v>447</v>
      </c>
      <c r="E90">
        <v>7.9</v>
      </c>
    </row>
    <row r="91" spans="1:5">
      <c r="A91" t="s">
        <v>40</v>
      </c>
      <c r="B91" t="s">
        <v>461</v>
      </c>
      <c r="C91" t="s">
        <v>6913</v>
      </c>
      <c r="D91" t="s">
        <v>448</v>
      </c>
      <c r="E91">
        <v>320.89999999999998</v>
      </c>
    </row>
    <row r="92" spans="1:5">
      <c r="A92" t="s">
        <v>40</v>
      </c>
      <c r="B92" t="s">
        <v>461</v>
      </c>
      <c r="C92" t="s">
        <v>6914</v>
      </c>
      <c r="D92" t="s">
        <v>313</v>
      </c>
      <c r="E92">
        <v>2.1</v>
      </c>
    </row>
    <row r="93" spans="1:5">
      <c r="A93" t="s">
        <v>40</v>
      </c>
      <c r="B93" t="s">
        <v>461</v>
      </c>
      <c r="C93" t="s">
        <v>6914</v>
      </c>
      <c r="D93" t="s">
        <v>6911</v>
      </c>
      <c r="E93">
        <v>254.8</v>
      </c>
    </row>
    <row r="94" spans="1:5">
      <c r="A94" t="s">
        <v>40</v>
      </c>
      <c r="B94" t="s">
        <v>461</v>
      </c>
      <c r="C94" t="s">
        <v>6914</v>
      </c>
      <c r="D94" t="s">
        <v>6915</v>
      </c>
      <c r="E94">
        <v>0.2</v>
      </c>
    </row>
    <row r="95" spans="1:5">
      <c r="A95" t="s">
        <v>40</v>
      </c>
      <c r="B95" t="s">
        <v>461</v>
      </c>
      <c r="C95" t="s">
        <v>6914</v>
      </c>
      <c r="D95" t="s">
        <v>447</v>
      </c>
      <c r="E95">
        <v>0.4</v>
      </c>
    </row>
    <row r="96" spans="1:5">
      <c r="A96" t="s">
        <v>40</v>
      </c>
      <c r="B96" t="s">
        <v>461</v>
      </c>
      <c r="C96" t="s">
        <v>6914</v>
      </c>
      <c r="D96" t="s">
        <v>448</v>
      </c>
      <c r="E96">
        <v>257.5</v>
      </c>
    </row>
    <row r="97" spans="1:5">
      <c r="A97" t="s">
        <v>40</v>
      </c>
      <c r="B97" t="s">
        <v>461</v>
      </c>
      <c r="C97" t="s">
        <v>467</v>
      </c>
      <c r="D97" t="s">
        <v>437</v>
      </c>
      <c r="E97">
        <v>34.4</v>
      </c>
    </row>
    <row r="98" spans="1:5">
      <c r="A98" t="s">
        <v>40</v>
      </c>
      <c r="B98" t="s">
        <v>461</v>
      </c>
      <c r="C98" t="s">
        <v>467</v>
      </c>
      <c r="D98" t="s">
        <v>217</v>
      </c>
      <c r="E98">
        <v>7.1</v>
      </c>
    </row>
    <row r="99" spans="1:5">
      <c r="A99" t="s">
        <v>40</v>
      </c>
      <c r="B99" t="s">
        <v>461</v>
      </c>
      <c r="C99" t="s">
        <v>467</v>
      </c>
      <c r="D99" t="s">
        <v>313</v>
      </c>
      <c r="E99">
        <v>263.39999999999998</v>
      </c>
    </row>
    <row r="100" spans="1:5">
      <c r="A100" t="s">
        <v>40</v>
      </c>
      <c r="B100" t="s">
        <v>461</v>
      </c>
      <c r="C100" t="s">
        <v>467</v>
      </c>
      <c r="D100" t="s">
        <v>6911</v>
      </c>
      <c r="E100">
        <v>287.7</v>
      </c>
    </row>
    <row r="101" spans="1:5">
      <c r="A101" t="s">
        <v>40</v>
      </c>
      <c r="B101" t="s">
        <v>461</v>
      </c>
      <c r="C101" t="s">
        <v>467</v>
      </c>
      <c r="D101" t="s">
        <v>6912</v>
      </c>
      <c r="E101">
        <v>29.1</v>
      </c>
    </row>
    <row r="102" spans="1:5">
      <c r="A102" t="s">
        <v>40</v>
      </c>
      <c r="B102" t="s">
        <v>461</v>
      </c>
      <c r="C102" t="s">
        <v>467</v>
      </c>
      <c r="D102" t="s">
        <v>443</v>
      </c>
      <c r="E102">
        <v>283</v>
      </c>
    </row>
    <row r="103" spans="1:5">
      <c r="A103" t="s">
        <v>40</v>
      </c>
      <c r="B103" t="s">
        <v>461</v>
      </c>
      <c r="C103" t="s">
        <v>467</v>
      </c>
      <c r="D103" t="s">
        <v>448</v>
      </c>
      <c r="E103">
        <v>904.7</v>
      </c>
    </row>
    <row r="104" spans="1:5">
      <c r="A104" t="s">
        <v>40</v>
      </c>
      <c r="B104" t="s">
        <v>461</v>
      </c>
      <c r="C104" t="s">
        <v>65</v>
      </c>
      <c r="D104" t="s">
        <v>437</v>
      </c>
      <c r="E104">
        <v>45.8</v>
      </c>
    </row>
    <row r="105" spans="1:5">
      <c r="A105" t="s">
        <v>40</v>
      </c>
      <c r="B105" t="s">
        <v>461</v>
      </c>
      <c r="C105" t="s">
        <v>65</v>
      </c>
      <c r="D105" t="s">
        <v>217</v>
      </c>
      <c r="E105">
        <v>22.2</v>
      </c>
    </row>
    <row r="106" spans="1:5">
      <c r="A106" t="s">
        <v>40</v>
      </c>
      <c r="B106" t="s">
        <v>461</v>
      </c>
      <c r="C106" t="s">
        <v>65</v>
      </c>
      <c r="D106" t="s">
        <v>313</v>
      </c>
      <c r="E106">
        <v>1.5</v>
      </c>
    </row>
    <row r="107" spans="1:5">
      <c r="A107" t="s">
        <v>40</v>
      </c>
      <c r="B107" t="s">
        <v>461</v>
      </c>
      <c r="C107" t="s">
        <v>65</v>
      </c>
      <c r="D107" t="s">
        <v>6911</v>
      </c>
      <c r="E107">
        <v>7.3</v>
      </c>
    </row>
    <row r="108" spans="1:5">
      <c r="A108" t="s">
        <v>40</v>
      </c>
      <c r="B108" t="s">
        <v>461</v>
      </c>
      <c r="C108" t="s">
        <v>65</v>
      </c>
      <c r="D108" t="s">
        <v>6912</v>
      </c>
      <c r="E108">
        <v>56</v>
      </c>
    </row>
    <row r="109" spans="1:5">
      <c r="A109" t="s">
        <v>40</v>
      </c>
      <c r="B109" t="s">
        <v>461</v>
      </c>
      <c r="C109" t="s">
        <v>65</v>
      </c>
      <c r="D109" t="s">
        <v>448</v>
      </c>
      <c r="E109">
        <v>132.80000000000001</v>
      </c>
    </row>
    <row r="110" spans="1:5">
      <c r="A110" t="s">
        <v>40</v>
      </c>
      <c r="B110" t="s">
        <v>461</v>
      </c>
      <c r="C110" t="s">
        <v>455</v>
      </c>
      <c r="D110" t="s">
        <v>437</v>
      </c>
      <c r="E110">
        <v>41.94</v>
      </c>
    </row>
    <row r="111" spans="1:5">
      <c r="A111" t="s">
        <v>40</v>
      </c>
      <c r="B111" t="s">
        <v>461</v>
      </c>
      <c r="C111" t="s">
        <v>455</v>
      </c>
      <c r="D111" t="s">
        <v>217</v>
      </c>
      <c r="E111">
        <v>3.48</v>
      </c>
    </row>
    <row r="112" spans="1:5">
      <c r="A112" t="s">
        <v>40</v>
      </c>
      <c r="B112" t="s">
        <v>461</v>
      </c>
      <c r="C112" t="s">
        <v>455</v>
      </c>
      <c r="D112" t="s">
        <v>313</v>
      </c>
      <c r="E112">
        <v>73.72</v>
      </c>
    </row>
    <row r="113" spans="1:5">
      <c r="A113" t="s">
        <v>40</v>
      </c>
      <c r="B113" t="s">
        <v>461</v>
      </c>
      <c r="C113" t="s">
        <v>455</v>
      </c>
      <c r="D113" t="s">
        <v>6911</v>
      </c>
      <c r="E113">
        <v>12.5</v>
      </c>
    </row>
    <row r="114" spans="1:5">
      <c r="A114" t="s">
        <v>40</v>
      </c>
      <c r="B114" t="s">
        <v>461</v>
      </c>
      <c r="C114" t="s">
        <v>455</v>
      </c>
      <c r="D114" t="s">
        <v>6912</v>
      </c>
      <c r="E114">
        <v>13.96</v>
      </c>
    </row>
    <row r="115" spans="1:5">
      <c r="A115" t="s">
        <v>40</v>
      </c>
      <c r="B115" t="s">
        <v>461</v>
      </c>
      <c r="C115" t="s">
        <v>455</v>
      </c>
      <c r="D115" t="s">
        <v>447</v>
      </c>
      <c r="E115">
        <v>15.3</v>
      </c>
    </row>
    <row r="116" spans="1:5">
      <c r="A116" t="s">
        <v>40</v>
      </c>
      <c r="B116" t="s">
        <v>461</v>
      </c>
      <c r="C116" t="s">
        <v>455</v>
      </c>
      <c r="D116" t="s">
        <v>448</v>
      </c>
      <c r="E116">
        <v>160.9</v>
      </c>
    </row>
    <row r="117" spans="1:5">
      <c r="A117" t="s">
        <v>40</v>
      </c>
      <c r="B117" t="s">
        <v>461</v>
      </c>
      <c r="C117" t="s">
        <v>6916</v>
      </c>
      <c r="D117" t="s">
        <v>437</v>
      </c>
      <c r="E117">
        <v>46.8</v>
      </c>
    </row>
    <row r="118" spans="1:5">
      <c r="A118" t="s">
        <v>40</v>
      </c>
      <c r="B118" t="s">
        <v>461</v>
      </c>
      <c r="C118" t="s">
        <v>6916</v>
      </c>
      <c r="D118" t="s">
        <v>217</v>
      </c>
      <c r="E118">
        <v>11.7</v>
      </c>
    </row>
    <row r="119" spans="1:5">
      <c r="A119" t="s">
        <v>40</v>
      </c>
      <c r="B119" t="s">
        <v>461</v>
      </c>
      <c r="C119" t="s">
        <v>6916</v>
      </c>
      <c r="D119" t="s">
        <v>448</v>
      </c>
      <c r="E119">
        <v>58.5</v>
      </c>
    </row>
    <row r="120" spans="1:5">
      <c r="A120" t="s">
        <v>40</v>
      </c>
      <c r="B120" t="s">
        <v>461</v>
      </c>
      <c r="C120" t="s">
        <v>457</v>
      </c>
      <c r="D120" t="s">
        <v>437</v>
      </c>
      <c r="E120">
        <v>18.12</v>
      </c>
    </row>
    <row r="121" spans="1:5">
      <c r="A121" t="s">
        <v>40</v>
      </c>
      <c r="B121" t="s">
        <v>461</v>
      </c>
      <c r="C121" t="s">
        <v>457</v>
      </c>
      <c r="D121" t="s">
        <v>217</v>
      </c>
      <c r="E121">
        <v>47.5</v>
      </c>
    </row>
    <row r="122" spans="1:5">
      <c r="A122" t="s">
        <v>40</v>
      </c>
      <c r="B122" t="s">
        <v>461</v>
      </c>
      <c r="C122" t="s">
        <v>457</v>
      </c>
      <c r="D122" t="s">
        <v>313</v>
      </c>
      <c r="E122">
        <v>175.68</v>
      </c>
    </row>
    <row r="123" spans="1:5">
      <c r="A123" t="s">
        <v>40</v>
      </c>
      <c r="B123" t="s">
        <v>461</v>
      </c>
      <c r="C123" t="s">
        <v>457</v>
      </c>
      <c r="D123" t="s">
        <v>6911</v>
      </c>
      <c r="E123">
        <v>31.2</v>
      </c>
    </row>
    <row r="124" spans="1:5">
      <c r="A124" t="s">
        <v>40</v>
      </c>
      <c r="B124" t="s">
        <v>461</v>
      </c>
      <c r="C124" t="s">
        <v>457</v>
      </c>
      <c r="D124" t="s">
        <v>447</v>
      </c>
      <c r="E124">
        <v>0.1</v>
      </c>
    </row>
    <row r="125" spans="1:5">
      <c r="A125" t="s">
        <v>40</v>
      </c>
      <c r="B125" t="s">
        <v>461</v>
      </c>
      <c r="C125" t="s">
        <v>457</v>
      </c>
      <c r="D125" t="s">
        <v>448</v>
      </c>
      <c r="E125">
        <v>272.60000000000002</v>
      </c>
    </row>
    <row r="126" spans="1:5">
      <c r="A126" t="s">
        <v>40</v>
      </c>
      <c r="B126" t="s">
        <v>461</v>
      </c>
      <c r="C126" t="s">
        <v>497</v>
      </c>
      <c r="D126" t="s">
        <v>313</v>
      </c>
      <c r="E126">
        <v>1.9</v>
      </c>
    </row>
    <row r="127" spans="1:5">
      <c r="A127" t="s">
        <v>40</v>
      </c>
      <c r="B127" t="s">
        <v>461</v>
      </c>
      <c r="C127" t="s">
        <v>497</v>
      </c>
      <c r="D127" t="s">
        <v>6911</v>
      </c>
      <c r="E127">
        <v>1.1000000000000001</v>
      </c>
    </row>
    <row r="128" spans="1:5">
      <c r="A128" t="s">
        <v>40</v>
      </c>
      <c r="B128" t="s">
        <v>461</v>
      </c>
      <c r="C128" t="s">
        <v>497</v>
      </c>
      <c r="D128" t="s">
        <v>6912</v>
      </c>
      <c r="E128">
        <v>389.6</v>
      </c>
    </row>
    <row r="129" spans="1:5">
      <c r="A129" t="s">
        <v>40</v>
      </c>
      <c r="B129" t="s">
        <v>461</v>
      </c>
      <c r="C129" t="s">
        <v>497</v>
      </c>
      <c r="D129" t="s">
        <v>448</v>
      </c>
      <c r="E129">
        <v>392.6</v>
      </c>
    </row>
    <row r="130" spans="1:5">
      <c r="A130" t="s">
        <v>40</v>
      </c>
      <c r="B130" t="s">
        <v>461</v>
      </c>
      <c r="C130" t="s">
        <v>6917</v>
      </c>
      <c r="D130" t="s">
        <v>437</v>
      </c>
      <c r="E130">
        <v>60.6</v>
      </c>
    </row>
    <row r="131" spans="1:5">
      <c r="A131" t="s">
        <v>40</v>
      </c>
      <c r="B131" t="s">
        <v>461</v>
      </c>
      <c r="C131" t="s">
        <v>6917</v>
      </c>
      <c r="D131" t="s">
        <v>217</v>
      </c>
      <c r="E131">
        <v>1.5</v>
      </c>
    </row>
    <row r="132" spans="1:5">
      <c r="A132" t="s">
        <v>40</v>
      </c>
      <c r="B132" t="s">
        <v>461</v>
      </c>
      <c r="C132" t="s">
        <v>6917</v>
      </c>
      <c r="D132" t="s">
        <v>313</v>
      </c>
      <c r="E132">
        <v>58.2</v>
      </c>
    </row>
    <row r="133" spans="1:5">
      <c r="A133" t="s">
        <v>40</v>
      </c>
      <c r="B133" t="s">
        <v>461</v>
      </c>
      <c r="C133" t="s">
        <v>6917</v>
      </c>
      <c r="D133" t="s">
        <v>6911</v>
      </c>
      <c r="E133">
        <v>102.1</v>
      </c>
    </row>
    <row r="134" spans="1:5">
      <c r="A134" t="s">
        <v>40</v>
      </c>
      <c r="B134" t="s">
        <v>461</v>
      </c>
      <c r="C134" t="s">
        <v>6917</v>
      </c>
      <c r="D134" t="s">
        <v>6912</v>
      </c>
      <c r="E134">
        <v>11.7</v>
      </c>
    </row>
    <row r="135" spans="1:5">
      <c r="A135" t="s">
        <v>40</v>
      </c>
      <c r="B135" t="s">
        <v>461</v>
      </c>
      <c r="C135" t="s">
        <v>6917</v>
      </c>
      <c r="D135" t="s">
        <v>447</v>
      </c>
      <c r="E135">
        <v>12.7</v>
      </c>
    </row>
    <row r="136" spans="1:5">
      <c r="A136" t="s">
        <v>40</v>
      </c>
      <c r="B136" t="s">
        <v>461</v>
      </c>
      <c r="C136" t="s">
        <v>6917</v>
      </c>
      <c r="D136" t="s">
        <v>448</v>
      </c>
      <c r="E136">
        <v>246.8</v>
      </c>
    </row>
    <row r="137" spans="1:5">
      <c r="A137" t="s">
        <v>40</v>
      </c>
      <c r="B137" t="s">
        <v>461</v>
      </c>
      <c r="C137" t="s">
        <v>382</v>
      </c>
      <c r="D137" t="s">
        <v>437</v>
      </c>
      <c r="E137">
        <v>1.6</v>
      </c>
    </row>
    <row r="138" spans="1:5">
      <c r="A138" t="s">
        <v>40</v>
      </c>
      <c r="B138" t="s">
        <v>461</v>
      </c>
      <c r="C138" t="s">
        <v>382</v>
      </c>
      <c r="D138" t="s">
        <v>313</v>
      </c>
      <c r="E138">
        <v>9.76</v>
      </c>
    </row>
    <row r="139" spans="1:5">
      <c r="A139" t="s">
        <v>40</v>
      </c>
      <c r="B139" t="s">
        <v>461</v>
      </c>
      <c r="C139" t="s">
        <v>382</v>
      </c>
      <c r="D139" t="s">
        <v>6911</v>
      </c>
      <c r="E139">
        <v>2.44</v>
      </c>
    </row>
    <row r="140" spans="1:5">
      <c r="A140" t="s">
        <v>40</v>
      </c>
      <c r="B140" t="s">
        <v>461</v>
      </c>
      <c r="C140" t="s">
        <v>382</v>
      </c>
      <c r="D140" t="s">
        <v>6915</v>
      </c>
      <c r="E140">
        <v>1.4</v>
      </c>
    </row>
    <row r="141" spans="1:5">
      <c r="A141" t="s">
        <v>40</v>
      </c>
      <c r="B141" t="s">
        <v>461</v>
      </c>
      <c r="C141" t="s">
        <v>382</v>
      </c>
      <c r="D141" t="s">
        <v>447</v>
      </c>
      <c r="E141">
        <v>0.8</v>
      </c>
    </row>
    <row r="142" spans="1:5">
      <c r="A142" t="s">
        <v>40</v>
      </c>
      <c r="B142" t="s">
        <v>461</v>
      </c>
      <c r="C142" t="s">
        <v>382</v>
      </c>
      <c r="D142" t="s">
        <v>448</v>
      </c>
      <c r="E142">
        <v>16</v>
      </c>
    </row>
    <row r="143" spans="1:5">
      <c r="A143" t="s">
        <v>40</v>
      </c>
      <c r="B143" t="s">
        <v>461</v>
      </c>
      <c r="C143" t="s">
        <v>460</v>
      </c>
      <c r="D143" t="s">
        <v>437</v>
      </c>
      <c r="E143">
        <v>1.22</v>
      </c>
    </row>
    <row r="144" spans="1:5">
      <c r="A144" t="s">
        <v>40</v>
      </c>
      <c r="B144" t="s">
        <v>461</v>
      </c>
      <c r="C144" t="s">
        <v>460</v>
      </c>
      <c r="D144" t="s">
        <v>217</v>
      </c>
      <c r="E144">
        <v>1.7</v>
      </c>
    </row>
    <row r="145" spans="1:5">
      <c r="A145" t="s">
        <v>40</v>
      </c>
      <c r="B145" t="s">
        <v>461</v>
      </c>
      <c r="C145" t="s">
        <v>460</v>
      </c>
      <c r="D145" t="s">
        <v>313</v>
      </c>
      <c r="E145">
        <v>51</v>
      </c>
    </row>
    <row r="146" spans="1:5">
      <c r="A146" t="s">
        <v>40</v>
      </c>
      <c r="B146" t="s">
        <v>461</v>
      </c>
      <c r="C146" t="s">
        <v>460</v>
      </c>
      <c r="D146" t="s">
        <v>6911</v>
      </c>
      <c r="E146">
        <v>87.15</v>
      </c>
    </row>
    <row r="147" spans="1:5">
      <c r="A147" t="s">
        <v>40</v>
      </c>
      <c r="B147" t="s">
        <v>461</v>
      </c>
      <c r="C147" t="s">
        <v>460</v>
      </c>
      <c r="D147" t="s">
        <v>6912</v>
      </c>
      <c r="E147">
        <v>20.65</v>
      </c>
    </row>
    <row r="148" spans="1:5">
      <c r="A148" t="s">
        <v>40</v>
      </c>
      <c r="B148" t="s">
        <v>461</v>
      </c>
      <c r="C148" t="s">
        <v>460</v>
      </c>
      <c r="D148" t="s">
        <v>6915</v>
      </c>
      <c r="E148">
        <v>2.1</v>
      </c>
    </row>
    <row r="149" spans="1:5">
      <c r="A149" t="s">
        <v>40</v>
      </c>
      <c r="B149" t="s">
        <v>461</v>
      </c>
      <c r="C149" t="s">
        <v>460</v>
      </c>
      <c r="D149" t="s">
        <v>447</v>
      </c>
      <c r="E149">
        <v>11.88</v>
      </c>
    </row>
    <row r="150" spans="1:5">
      <c r="A150" t="s">
        <v>40</v>
      </c>
      <c r="B150" t="s">
        <v>461</v>
      </c>
      <c r="C150" t="s">
        <v>460</v>
      </c>
      <c r="D150" t="s">
        <v>448</v>
      </c>
      <c r="E150">
        <v>175.7</v>
      </c>
    </row>
    <row r="151" spans="1:5">
      <c r="A151" t="s">
        <v>40</v>
      </c>
      <c r="B151" t="s">
        <v>461</v>
      </c>
      <c r="C151" t="s">
        <v>448</v>
      </c>
      <c r="D151" t="s">
        <v>437</v>
      </c>
      <c r="E151">
        <v>341.18</v>
      </c>
    </row>
    <row r="152" spans="1:5">
      <c r="A152" t="s">
        <v>40</v>
      </c>
      <c r="B152" t="s">
        <v>461</v>
      </c>
      <c r="C152" t="s">
        <v>448</v>
      </c>
      <c r="D152" t="s">
        <v>217</v>
      </c>
      <c r="E152">
        <v>95.18</v>
      </c>
    </row>
    <row r="153" spans="1:5">
      <c r="A153" t="s">
        <v>40</v>
      </c>
      <c r="B153" t="s">
        <v>461</v>
      </c>
      <c r="C153" t="s">
        <v>448</v>
      </c>
      <c r="D153" t="s">
        <v>313</v>
      </c>
      <c r="E153">
        <v>644.36</v>
      </c>
    </row>
    <row r="154" spans="1:5">
      <c r="A154" t="s">
        <v>40</v>
      </c>
      <c r="B154" t="s">
        <v>461</v>
      </c>
      <c r="C154" t="s">
        <v>448</v>
      </c>
      <c r="D154" t="s">
        <v>6911</v>
      </c>
      <c r="E154">
        <v>1052.19</v>
      </c>
    </row>
    <row r="155" spans="1:5">
      <c r="A155" t="s">
        <v>40</v>
      </c>
      <c r="B155" t="s">
        <v>461</v>
      </c>
      <c r="C155" t="s">
        <v>448</v>
      </c>
      <c r="D155" t="s">
        <v>441</v>
      </c>
      <c r="E155">
        <v>749.9</v>
      </c>
    </row>
    <row r="156" spans="1:5">
      <c r="A156" t="s">
        <v>40</v>
      </c>
      <c r="B156" t="s">
        <v>461</v>
      </c>
      <c r="C156" t="s">
        <v>448</v>
      </c>
      <c r="D156" t="s">
        <v>6912</v>
      </c>
      <c r="E156">
        <v>529.91</v>
      </c>
    </row>
    <row r="157" spans="1:5">
      <c r="A157" t="s">
        <v>40</v>
      </c>
      <c r="B157" t="s">
        <v>461</v>
      </c>
      <c r="C157" t="s">
        <v>448</v>
      </c>
      <c r="D157" t="s">
        <v>443</v>
      </c>
      <c r="E157">
        <v>283</v>
      </c>
    </row>
    <row r="158" spans="1:5">
      <c r="A158" t="s">
        <v>40</v>
      </c>
      <c r="B158" t="s">
        <v>461</v>
      </c>
      <c r="C158" t="s">
        <v>448</v>
      </c>
      <c r="D158" t="s">
        <v>6915</v>
      </c>
      <c r="E158">
        <v>3.7</v>
      </c>
    </row>
    <row r="159" spans="1:5">
      <c r="A159" t="s">
        <v>40</v>
      </c>
      <c r="B159" t="s">
        <v>461</v>
      </c>
      <c r="C159" t="s">
        <v>448</v>
      </c>
      <c r="D159" t="s">
        <v>447</v>
      </c>
      <c r="E159">
        <v>51.78</v>
      </c>
    </row>
    <row r="160" spans="1:5">
      <c r="A160" t="s">
        <v>40</v>
      </c>
      <c r="B160" t="s">
        <v>461</v>
      </c>
      <c r="C160" t="s">
        <v>448</v>
      </c>
      <c r="D160" t="s">
        <v>448</v>
      </c>
      <c r="E160">
        <v>3751.2</v>
      </c>
    </row>
    <row r="161" spans="1:5">
      <c r="A161" t="s">
        <v>40</v>
      </c>
      <c r="B161" t="s">
        <v>462</v>
      </c>
      <c r="C161" t="s">
        <v>6910</v>
      </c>
      <c r="D161" t="s">
        <v>437</v>
      </c>
      <c r="E161">
        <v>1.6</v>
      </c>
    </row>
    <row r="162" spans="1:5">
      <c r="A162" t="s">
        <v>40</v>
      </c>
      <c r="B162" t="s">
        <v>462</v>
      </c>
      <c r="C162" t="s">
        <v>6910</v>
      </c>
      <c r="D162" t="s">
        <v>6911</v>
      </c>
      <c r="E162">
        <v>51.4</v>
      </c>
    </row>
    <row r="163" spans="1:5">
      <c r="A163" t="s">
        <v>40</v>
      </c>
      <c r="B163" t="s">
        <v>462</v>
      </c>
      <c r="C163" t="s">
        <v>6910</v>
      </c>
      <c r="D163" t="s">
        <v>441</v>
      </c>
      <c r="E163">
        <v>359.1</v>
      </c>
    </row>
    <row r="164" spans="1:5">
      <c r="A164" t="s">
        <v>40</v>
      </c>
      <c r="B164" t="s">
        <v>462</v>
      </c>
      <c r="C164" t="s">
        <v>6910</v>
      </c>
      <c r="D164" t="s">
        <v>6912</v>
      </c>
      <c r="E164">
        <v>8.9</v>
      </c>
    </row>
    <row r="165" spans="1:5">
      <c r="A165" t="s">
        <v>40</v>
      </c>
      <c r="B165" t="s">
        <v>462</v>
      </c>
      <c r="C165" t="s">
        <v>6910</v>
      </c>
      <c r="D165" t="s">
        <v>447</v>
      </c>
      <c r="E165">
        <v>0.9</v>
      </c>
    </row>
    <row r="166" spans="1:5">
      <c r="A166" t="s">
        <v>40</v>
      </c>
      <c r="B166" t="s">
        <v>462</v>
      </c>
      <c r="C166" t="s">
        <v>6910</v>
      </c>
      <c r="D166" t="s">
        <v>448</v>
      </c>
      <c r="E166">
        <v>421.9</v>
      </c>
    </row>
    <row r="167" spans="1:5">
      <c r="A167" t="s">
        <v>40</v>
      </c>
      <c r="B167" t="s">
        <v>462</v>
      </c>
      <c r="C167" t="s">
        <v>6913</v>
      </c>
      <c r="D167" t="s">
        <v>313</v>
      </c>
      <c r="E167">
        <v>1</v>
      </c>
    </row>
    <row r="168" spans="1:5">
      <c r="A168" t="s">
        <v>40</v>
      </c>
      <c r="B168" t="s">
        <v>462</v>
      </c>
      <c r="C168" t="s">
        <v>6913</v>
      </c>
      <c r="D168" t="s">
        <v>6911</v>
      </c>
      <c r="E168">
        <v>147</v>
      </c>
    </row>
    <row r="169" spans="1:5">
      <c r="A169" t="s">
        <v>40</v>
      </c>
      <c r="B169" t="s">
        <v>462</v>
      </c>
      <c r="C169" t="s">
        <v>6913</v>
      </c>
      <c r="D169" t="s">
        <v>448</v>
      </c>
      <c r="E169">
        <v>148</v>
      </c>
    </row>
    <row r="170" spans="1:5">
      <c r="A170" t="s">
        <v>40</v>
      </c>
      <c r="B170" t="s">
        <v>462</v>
      </c>
      <c r="C170" t="s">
        <v>6914</v>
      </c>
      <c r="D170" t="s">
        <v>437</v>
      </c>
      <c r="E170">
        <v>15</v>
      </c>
    </row>
    <row r="171" spans="1:5">
      <c r="A171" t="s">
        <v>40</v>
      </c>
      <c r="B171" t="s">
        <v>462</v>
      </c>
      <c r="C171" t="s">
        <v>6914</v>
      </c>
      <c r="D171" t="s">
        <v>6911</v>
      </c>
      <c r="E171">
        <v>250</v>
      </c>
    </row>
    <row r="172" spans="1:5">
      <c r="A172" t="s">
        <v>40</v>
      </c>
      <c r="B172" t="s">
        <v>462</v>
      </c>
      <c r="C172" t="s">
        <v>6914</v>
      </c>
      <c r="D172" t="s">
        <v>448</v>
      </c>
      <c r="E172">
        <v>265</v>
      </c>
    </row>
    <row r="173" spans="1:5">
      <c r="A173" t="s">
        <v>40</v>
      </c>
      <c r="B173" t="s">
        <v>462</v>
      </c>
      <c r="C173" t="s">
        <v>463</v>
      </c>
      <c r="D173" t="s">
        <v>437</v>
      </c>
      <c r="E173">
        <v>143.69999999999999</v>
      </c>
    </row>
    <row r="174" spans="1:5">
      <c r="A174" t="s">
        <v>40</v>
      </c>
      <c r="B174" t="s">
        <v>462</v>
      </c>
      <c r="C174" t="s">
        <v>463</v>
      </c>
      <c r="D174" t="s">
        <v>217</v>
      </c>
      <c r="E174">
        <v>12</v>
      </c>
    </row>
    <row r="175" spans="1:5">
      <c r="A175" t="s">
        <v>40</v>
      </c>
      <c r="B175" t="s">
        <v>462</v>
      </c>
      <c r="C175" t="s">
        <v>463</v>
      </c>
      <c r="D175" t="s">
        <v>313</v>
      </c>
      <c r="E175">
        <v>31</v>
      </c>
    </row>
    <row r="176" spans="1:5">
      <c r="A176" t="s">
        <v>40</v>
      </c>
      <c r="B176" t="s">
        <v>462</v>
      </c>
      <c r="C176" t="s">
        <v>463</v>
      </c>
      <c r="D176" t="s">
        <v>6911</v>
      </c>
      <c r="E176">
        <v>81.95</v>
      </c>
    </row>
    <row r="177" spans="1:5">
      <c r="A177" t="s">
        <v>40</v>
      </c>
      <c r="B177" t="s">
        <v>462</v>
      </c>
      <c r="C177" t="s">
        <v>463</v>
      </c>
      <c r="D177" t="s">
        <v>6912</v>
      </c>
      <c r="E177">
        <v>22.153400000000001</v>
      </c>
    </row>
    <row r="178" spans="1:5">
      <c r="A178" t="s">
        <v>40</v>
      </c>
      <c r="B178" t="s">
        <v>462</v>
      </c>
      <c r="C178" t="s">
        <v>463</v>
      </c>
      <c r="D178" t="s">
        <v>443</v>
      </c>
      <c r="E178">
        <v>166.02</v>
      </c>
    </row>
    <row r="179" spans="1:5">
      <c r="A179" t="s">
        <v>40</v>
      </c>
      <c r="B179" t="s">
        <v>462</v>
      </c>
      <c r="C179" t="s">
        <v>463</v>
      </c>
      <c r="D179" t="s">
        <v>447</v>
      </c>
      <c r="E179">
        <v>129.119</v>
      </c>
    </row>
    <row r="180" spans="1:5">
      <c r="A180" t="s">
        <v>40</v>
      </c>
      <c r="B180" t="s">
        <v>462</v>
      </c>
      <c r="C180" t="s">
        <v>463</v>
      </c>
      <c r="D180" t="s">
        <v>448</v>
      </c>
      <c r="E180">
        <v>585.94240000000002</v>
      </c>
    </row>
    <row r="181" spans="1:5">
      <c r="A181" t="s">
        <v>40</v>
      </c>
      <c r="B181" t="s">
        <v>462</v>
      </c>
      <c r="C181" t="s">
        <v>65</v>
      </c>
      <c r="D181" t="s">
        <v>437</v>
      </c>
      <c r="E181">
        <v>7</v>
      </c>
    </row>
    <row r="182" spans="1:5">
      <c r="A182" t="s">
        <v>40</v>
      </c>
      <c r="B182" t="s">
        <v>462</v>
      </c>
      <c r="C182" t="s">
        <v>65</v>
      </c>
      <c r="D182" t="s">
        <v>313</v>
      </c>
      <c r="E182">
        <v>16</v>
      </c>
    </row>
    <row r="183" spans="1:5">
      <c r="A183" t="s">
        <v>40</v>
      </c>
      <c r="B183" t="s">
        <v>462</v>
      </c>
      <c r="C183" t="s">
        <v>65</v>
      </c>
      <c r="D183" t="s">
        <v>6911</v>
      </c>
      <c r="E183">
        <v>18</v>
      </c>
    </row>
    <row r="184" spans="1:5">
      <c r="A184" t="s">
        <v>40</v>
      </c>
      <c r="B184" t="s">
        <v>462</v>
      </c>
      <c r="C184" t="s">
        <v>65</v>
      </c>
      <c r="D184" t="s">
        <v>6912</v>
      </c>
      <c r="E184">
        <v>0</v>
      </c>
    </row>
    <row r="185" spans="1:5">
      <c r="A185" t="s">
        <v>40</v>
      </c>
      <c r="B185" t="s">
        <v>462</v>
      </c>
      <c r="C185" t="s">
        <v>65</v>
      </c>
      <c r="D185" t="s">
        <v>447</v>
      </c>
      <c r="E185">
        <v>5</v>
      </c>
    </row>
    <row r="186" spans="1:5">
      <c r="A186" t="s">
        <v>40</v>
      </c>
      <c r="B186" t="s">
        <v>462</v>
      </c>
      <c r="C186" t="s">
        <v>65</v>
      </c>
      <c r="D186" t="s">
        <v>448</v>
      </c>
      <c r="E186">
        <v>46</v>
      </c>
    </row>
    <row r="187" spans="1:5">
      <c r="A187" t="s">
        <v>40</v>
      </c>
      <c r="B187" t="s">
        <v>462</v>
      </c>
      <c r="C187" t="s">
        <v>455</v>
      </c>
      <c r="D187" t="s">
        <v>437</v>
      </c>
      <c r="E187">
        <v>35</v>
      </c>
    </row>
    <row r="188" spans="1:5">
      <c r="A188" t="s">
        <v>40</v>
      </c>
      <c r="B188" t="s">
        <v>462</v>
      </c>
      <c r="C188" t="s">
        <v>455</v>
      </c>
      <c r="D188" t="s">
        <v>313</v>
      </c>
      <c r="E188">
        <v>55</v>
      </c>
    </row>
    <row r="189" spans="1:5">
      <c r="A189" t="s">
        <v>40</v>
      </c>
      <c r="B189" t="s">
        <v>462</v>
      </c>
      <c r="C189" t="s">
        <v>455</v>
      </c>
      <c r="D189" t="s">
        <v>6911</v>
      </c>
      <c r="E189">
        <v>9</v>
      </c>
    </row>
    <row r="190" spans="1:5">
      <c r="A190" t="s">
        <v>40</v>
      </c>
      <c r="B190" t="s">
        <v>462</v>
      </c>
      <c r="C190" t="s">
        <v>455</v>
      </c>
      <c r="D190" t="s">
        <v>6912</v>
      </c>
      <c r="E190">
        <v>14</v>
      </c>
    </row>
    <row r="191" spans="1:5">
      <c r="A191" t="s">
        <v>40</v>
      </c>
      <c r="B191" t="s">
        <v>462</v>
      </c>
      <c r="C191" t="s">
        <v>455</v>
      </c>
      <c r="D191" t="s">
        <v>447</v>
      </c>
      <c r="E191">
        <v>9</v>
      </c>
    </row>
    <row r="192" spans="1:5">
      <c r="A192" t="s">
        <v>40</v>
      </c>
      <c r="B192" t="s">
        <v>462</v>
      </c>
      <c r="C192" t="s">
        <v>455</v>
      </c>
      <c r="D192" t="s">
        <v>448</v>
      </c>
      <c r="E192">
        <v>122</v>
      </c>
    </row>
    <row r="193" spans="1:5">
      <c r="A193" t="s">
        <v>40</v>
      </c>
      <c r="B193" t="s">
        <v>462</v>
      </c>
      <c r="C193" t="s">
        <v>6916</v>
      </c>
      <c r="D193" t="s">
        <v>437</v>
      </c>
      <c r="E193">
        <v>21</v>
      </c>
    </row>
    <row r="194" spans="1:5">
      <c r="A194" t="s">
        <v>40</v>
      </c>
      <c r="B194" t="s">
        <v>462</v>
      </c>
      <c r="C194" t="s">
        <v>6916</v>
      </c>
      <c r="D194" t="s">
        <v>217</v>
      </c>
      <c r="E194">
        <v>9</v>
      </c>
    </row>
    <row r="195" spans="1:5">
      <c r="A195" t="s">
        <v>40</v>
      </c>
      <c r="B195" t="s">
        <v>462</v>
      </c>
      <c r="C195" t="s">
        <v>6916</v>
      </c>
      <c r="D195" t="s">
        <v>313</v>
      </c>
      <c r="E195">
        <v>34</v>
      </c>
    </row>
    <row r="196" spans="1:5">
      <c r="A196" t="s">
        <v>40</v>
      </c>
      <c r="B196" t="s">
        <v>462</v>
      </c>
      <c r="C196" t="s">
        <v>6916</v>
      </c>
      <c r="D196" t="s">
        <v>448</v>
      </c>
      <c r="E196">
        <v>64</v>
      </c>
    </row>
    <row r="197" spans="1:5">
      <c r="A197" t="s">
        <v>40</v>
      </c>
      <c r="B197" t="s">
        <v>462</v>
      </c>
      <c r="C197" t="s">
        <v>457</v>
      </c>
      <c r="D197" t="s">
        <v>437</v>
      </c>
      <c r="E197">
        <v>101</v>
      </c>
    </row>
    <row r="198" spans="1:5">
      <c r="A198" t="s">
        <v>40</v>
      </c>
      <c r="B198" t="s">
        <v>462</v>
      </c>
      <c r="C198" t="s">
        <v>457</v>
      </c>
      <c r="D198" t="s">
        <v>6911</v>
      </c>
      <c r="E198">
        <v>11</v>
      </c>
    </row>
    <row r="199" spans="1:5">
      <c r="A199" t="s">
        <v>40</v>
      </c>
      <c r="B199" t="s">
        <v>462</v>
      </c>
      <c r="C199" t="s">
        <v>457</v>
      </c>
      <c r="D199" t="s">
        <v>448</v>
      </c>
      <c r="E199">
        <v>112</v>
      </c>
    </row>
    <row r="200" spans="1:5">
      <c r="A200" t="s">
        <v>40</v>
      </c>
      <c r="B200" t="s">
        <v>462</v>
      </c>
      <c r="C200" t="s">
        <v>497</v>
      </c>
      <c r="D200" t="s">
        <v>6912</v>
      </c>
      <c r="E200">
        <v>290</v>
      </c>
    </row>
    <row r="201" spans="1:5">
      <c r="A201" t="s">
        <v>40</v>
      </c>
      <c r="B201" t="s">
        <v>462</v>
      </c>
      <c r="C201" t="s">
        <v>497</v>
      </c>
      <c r="D201" t="s">
        <v>447</v>
      </c>
      <c r="E201">
        <v>10</v>
      </c>
    </row>
    <row r="202" spans="1:5">
      <c r="A202" t="s">
        <v>40</v>
      </c>
      <c r="B202" t="s">
        <v>462</v>
      </c>
      <c r="C202" t="s">
        <v>497</v>
      </c>
      <c r="D202" t="s">
        <v>448</v>
      </c>
      <c r="E202">
        <v>300</v>
      </c>
    </row>
    <row r="203" spans="1:5">
      <c r="A203" t="s">
        <v>40</v>
      </c>
      <c r="B203" t="s">
        <v>462</v>
      </c>
      <c r="C203" t="s">
        <v>6917</v>
      </c>
      <c r="D203" t="s">
        <v>437</v>
      </c>
      <c r="E203">
        <v>94</v>
      </c>
    </row>
    <row r="204" spans="1:5">
      <c r="A204" t="s">
        <v>40</v>
      </c>
      <c r="B204" t="s">
        <v>462</v>
      </c>
      <c r="C204" t="s">
        <v>6917</v>
      </c>
      <c r="D204" t="s">
        <v>217</v>
      </c>
      <c r="E204">
        <v>2</v>
      </c>
    </row>
    <row r="205" spans="1:5">
      <c r="A205" t="s">
        <v>40</v>
      </c>
      <c r="B205" t="s">
        <v>462</v>
      </c>
      <c r="C205" t="s">
        <v>6917</v>
      </c>
      <c r="D205" t="s">
        <v>313</v>
      </c>
      <c r="E205">
        <v>75</v>
      </c>
    </row>
    <row r="206" spans="1:5">
      <c r="A206" t="s">
        <v>40</v>
      </c>
      <c r="B206" t="s">
        <v>462</v>
      </c>
      <c r="C206" t="s">
        <v>6917</v>
      </c>
      <c r="D206" t="s">
        <v>6911</v>
      </c>
      <c r="E206">
        <v>87</v>
      </c>
    </row>
    <row r="207" spans="1:5">
      <c r="A207" t="s">
        <v>40</v>
      </c>
      <c r="B207" t="s">
        <v>462</v>
      </c>
      <c r="C207" t="s">
        <v>6917</v>
      </c>
      <c r="D207" t="s">
        <v>6912</v>
      </c>
      <c r="E207">
        <v>24</v>
      </c>
    </row>
    <row r="208" spans="1:5">
      <c r="A208" t="s">
        <v>40</v>
      </c>
      <c r="B208" t="s">
        <v>462</v>
      </c>
      <c r="C208" t="s">
        <v>6917</v>
      </c>
      <c r="D208" t="s">
        <v>447</v>
      </c>
      <c r="E208">
        <v>11</v>
      </c>
    </row>
    <row r="209" spans="1:5">
      <c r="A209" t="s">
        <v>40</v>
      </c>
      <c r="B209" t="s">
        <v>462</v>
      </c>
      <c r="C209" t="s">
        <v>6917</v>
      </c>
      <c r="D209" t="s">
        <v>448</v>
      </c>
      <c r="E209">
        <v>293</v>
      </c>
    </row>
    <row r="210" spans="1:5">
      <c r="A210" t="s">
        <v>40</v>
      </c>
      <c r="B210" t="s">
        <v>462</v>
      </c>
      <c r="C210" t="s">
        <v>382</v>
      </c>
      <c r="D210" t="s">
        <v>437</v>
      </c>
      <c r="E210">
        <v>4</v>
      </c>
    </row>
    <row r="211" spans="1:5">
      <c r="A211" t="s">
        <v>40</v>
      </c>
      <c r="B211" t="s">
        <v>462</v>
      </c>
      <c r="C211" t="s">
        <v>382</v>
      </c>
      <c r="D211" t="s">
        <v>6911</v>
      </c>
      <c r="E211">
        <v>2</v>
      </c>
    </row>
    <row r="212" spans="1:5">
      <c r="A212" t="s">
        <v>40</v>
      </c>
      <c r="B212" t="s">
        <v>462</v>
      </c>
      <c r="C212" t="s">
        <v>382</v>
      </c>
      <c r="D212" t="s">
        <v>447</v>
      </c>
      <c r="E212">
        <v>10</v>
      </c>
    </row>
    <row r="213" spans="1:5">
      <c r="A213" t="s">
        <v>40</v>
      </c>
      <c r="B213" t="s">
        <v>462</v>
      </c>
      <c r="C213" t="s">
        <v>382</v>
      </c>
      <c r="D213" t="s">
        <v>448</v>
      </c>
      <c r="E213">
        <v>16</v>
      </c>
    </row>
    <row r="214" spans="1:5">
      <c r="A214" t="s">
        <v>40</v>
      </c>
      <c r="B214" t="s">
        <v>462</v>
      </c>
      <c r="C214" t="s">
        <v>460</v>
      </c>
      <c r="D214" t="s">
        <v>437</v>
      </c>
      <c r="E214">
        <v>91</v>
      </c>
    </row>
    <row r="215" spans="1:5">
      <c r="A215" t="s">
        <v>40</v>
      </c>
      <c r="B215" t="s">
        <v>462</v>
      </c>
      <c r="C215" t="s">
        <v>460</v>
      </c>
      <c r="D215" t="s">
        <v>217</v>
      </c>
      <c r="E215">
        <v>1</v>
      </c>
    </row>
    <row r="216" spans="1:5">
      <c r="A216" t="s">
        <v>40</v>
      </c>
      <c r="B216" t="s">
        <v>462</v>
      </c>
      <c r="C216" t="s">
        <v>460</v>
      </c>
      <c r="D216" t="s">
        <v>313</v>
      </c>
      <c r="E216">
        <v>85</v>
      </c>
    </row>
    <row r="217" spans="1:5">
      <c r="A217" t="s">
        <v>40</v>
      </c>
      <c r="B217" t="s">
        <v>462</v>
      </c>
      <c r="C217" t="s">
        <v>460</v>
      </c>
      <c r="D217" t="s">
        <v>6911</v>
      </c>
      <c r="E217">
        <v>101</v>
      </c>
    </row>
    <row r="218" spans="1:5">
      <c r="A218" t="s">
        <v>40</v>
      </c>
      <c r="B218" t="s">
        <v>462</v>
      </c>
      <c r="C218" t="s">
        <v>460</v>
      </c>
      <c r="D218" t="s">
        <v>6912</v>
      </c>
      <c r="E218">
        <v>83</v>
      </c>
    </row>
    <row r="219" spans="1:5">
      <c r="A219" t="s">
        <v>40</v>
      </c>
      <c r="B219" t="s">
        <v>462</v>
      </c>
      <c r="C219" t="s">
        <v>460</v>
      </c>
      <c r="D219" t="s">
        <v>447</v>
      </c>
      <c r="E219">
        <v>2</v>
      </c>
    </row>
    <row r="220" spans="1:5">
      <c r="A220" t="s">
        <v>40</v>
      </c>
      <c r="B220" t="s">
        <v>462</v>
      </c>
      <c r="C220" t="s">
        <v>460</v>
      </c>
      <c r="D220" t="s">
        <v>448</v>
      </c>
      <c r="E220">
        <v>363</v>
      </c>
    </row>
    <row r="221" spans="1:5">
      <c r="A221" t="s">
        <v>40</v>
      </c>
      <c r="B221" t="s">
        <v>462</v>
      </c>
      <c r="C221" t="s">
        <v>448</v>
      </c>
      <c r="D221" t="s">
        <v>437</v>
      </c>
      <c r="E221">
        <v>513.29999999999995</v>
      </c>
    </row>
    <row r="222" spans="1:5">
      <c r="A222" t="s">
        <v>40</v>
      </c>
      <c r="B222" t="s">
        <v>462</v>
      </c>
      <c r="C222" t="s">
        <v>448</v>
      </c>
      <c r="D222" t="s">
        <v>217</v>
      </c>
      <c r="E222">
        <v>24</v>
      </c>
    </row>
    <row r="223" spans="1:5">
      <c r="A223" t="s">
        <v>40</v>
      </c>
      <c r="B223" t="s">
        <v>462</v>
      </c>
      <c r="C223" t="s">
        <v>448</v>
      </c>
      <c r="D223" t="s">
        <v>313</v>
      </c>
      <c r="E223">
        <v>297</v>
      </c>
    </row>
    <row r="224" spans="1:5">
      <c r="A224" t="s">
        <v>40</v>
      </c>
      <c r="B224" t="s">
        <v>462</v>
      </c>
      <c r="C224" t="s">
        <v>448</v>
      </c>
      <c r="D224" t="s">
        <v>6911</v>
      </c>
      <c r="E224">
        <v>758.35</v>
      </c>
    </row>
    <row r="225" spans="1:5">
      <c r="A225" t="s">
        <v>40</v>
      </c>
      <c r="B225" t="s">
        <v>462</v>
      </c>
      <c r="C225" t="s">
        <v>448</v>
      </c>
      <c r="D225" t="s">
        <v>441</v>
      </c>
      <c r="E225">
        <v>359.1</v>
      </c>
    </row>
    <row r="226" spans="1:5">
      <c r="A226" t="s">
        <v>40</v>
      </c>
      <c r="B226" t="s">
        <v>462</v>
      </c>
      <c r="C226" t="s">
        <v>448</v>
      </c>
      <c r="D226" t="s">
        <v>6912</v>
      </c>
      <c r="E226">
        <v>442.05340000000001</v>
      </c>
    </row>
    <row r="227" spans="1:5">
      <c r="A227" t="s">
        <v>40</v>
      </c>
      <c r="B227" t="s">
        <v>462</v>
      </c>
      <c r="C227" t="s">
        <v>448</v>
      </c>
      <c r="D227" t="s">
        <v>443</v>
      </c>
      <c r="E227">
        <v>166.02</v>
      </c>
    </row>
    <row r="228" spans="1:5">
      <c r="A228" t="s">
        <v>40</v>
      </c>
      <c r="B228" t="s">
        <v>462</v>
      </c>
      <c r="C228" t="s">
        <v>448</v>
      </c>
      <c r="D228" t="s">
        <v>447</v>
      </c>
      <c r="E228">
        <v>177.01900000000001</v>
      </c>
    </row>
    <row r="229" spans="1:5">
      <c r="A229" t="s">
        <v>40</v>
      </c>
      <c r="B229" t="s">
        <v>462</v>
      </c>
      <c r="C229" t="s">
        <v>448</v>
      </c>
      <c r="D229" t="s">
        <v>448</v>
      </c>
      <c r="E229">
        <v>2736.8424</v>
      </c>
    </row>
    <row r="230" spans="1:5">
      <c r="A230" t="s">
        <v>40</v>
      </c>
      <c r="B230" t="s">
        <v>464</v>
      </c>
      <c r="C230" t="s">
        <v>6910</v>
      </c>
      <c r="D230" t="s">
        <v>441</v>
      </c>
      <c r="E230">
        <v>423.7</v>
      </c>
    </row>
    <row r="231" spans="1:5">
      <c r="A231" t="s">
        <v>40</v>
      </c>
      <c r="B231" t="s">
        <v>464</v>
      </c>
      <c r="C231" t="s">
        <v>6910</v>
      </c>
      <c r="D231" t="s">
        <v>448</v>
      </c>
      <c r="E231">
        <v>423.7</v>
      </c>
    </row>
    <row r="232" spans="1:5">
      <c r="A232" t="s">
        <v>40</v>
      </c>
      <c r="B232" t="s">
        <v>464</v>
      </c>
      <c r="C232" t="s">
        <v>6913</v>
      </c>
      <c r="D232" t="s">
        <v>437</v>
      </c>
      <c r="E232">
        <v>142.6</v>
      </c>
    </row>
    <row r="233" spans="1:5">
      <c r="A233" t="s">
        <v>40</v>
      </c>
      <c r="B233" t="s">
        <v>464</v>
      </c>
      <c r="C233" t="s">
        <v>6913</v>
      </c>
      <c r="D233" t="s">
        <v>313</v>
      </c>
      <c r="E233">
        <v>24</v>
      </c>
    </row>
    <row r="234" spans="1:5">
      <c r="A234" t="s">
        <v>40</v>
      </c>
      <c r="B234" t="s">
        <v>464</v>
      </c>
      <c r="C234" t="s">
        <v>6913</v>
      </c>
      <c r="D234" t="s">
        <v>6911</v>
      </c>
      <c r="E234">
        <v>143.1</v>
      </c>
    </row>
    <row r="235" spans="1:5">
      <c r="A235" t="s">
        <v>40</v>
      </c>
      <c r="B235" t="s">
        <v>464</v>
      </c>
      <c r="C235" t="s">
        <v>6913</v>
      </c>
      <c r="D235" t="s">
        <v>447</v>
      </c>
      <c r="E235">
        <v>2.1</v>
      </c>
    </row>
    <row r="236" spans="1:5">
      <c r="A236" t="s">
        <v>40</v>
      </c>
      <c r="B236" t="s">
        <v>464</v>
      </c>
      <c r="C236" t="s">
        <v>6913</v>
      </c>
      <c r="D236" t="s">
        <v>448</v>
      </c>
      <c r="E236">
        <v>311.8</v>
      </c>
    </row>
    <row r="237" spans="1:5">
      <c r="A237" t="s">
        <v>40</v>
      </c>
      <c r="B237" t="s">
        <v>464</v>
      </c>
      <c r="C237" t="s">
        <v>6914</v>
      </c>
      <c r="D237" t="s">
        <v>437</v>
      </c>
      <c r="E237">
        <v>4.9000000000000004</v>
      </c>
    </row>
    <row r="238" spans="1:5">
      <c r="A238" t="s">
        <v>40</v>
      </c>
      <c r="B238" t="s">
        <v>464</v>
      </c>
      <c r="C238" t="s">
        <v>6914</v>
      </c>
      <c r="D238" t="s">
        <v>6911</v>
      </c>
      <c r="E238">
        <v>165</v>
      </c>
    </row>
    <row r="239" spans="1:5">
      <c r="A239" t="s">
        <v>40</v>
      </c>
      <c r="B239" t="s">
        <v>464</v>
      </c>
      <c r="C239" t="s">
        <v>6914</v>
      </c>
      <c r="D239" t="s">
        <v>447</v>
      </c>
      <c r="E239">
        <v>14.1</v>
      </c>
    </row>
    <row r="240" spans="1:5">
      <c r="A240" t="s">
        <v>40</v>
      </c>
      <c r="B240" t="s">
        <v>464</v>
      </c>
      <c r="C240" t="s">
        <v>6914</v>
      </c>
      <c r="D240" t="s">
        <v>448</v>
      </c>
      <c r="E240">
        <v>184</v>
      </c>
    </row>
    <row r="241" spans="1:5">
      <c r="A241" t="s">
        <v>40</v>
      </c>
      <c r="B241" t="s">
        <v>464</v>
      </c>
      <c r="C241" t="s">
        <v>467</v>
      </c>
      <c r="D241" t="s">
        <v>437</v>
      </c>
      <c r="E241">
        <v>3.1</v>
      </c>
    </row>
    <row r="242" spans="1:5">
      <c r="A242" t="s">
        <v>40</v>
      </c>
      <c r="B242" t="s">
        <v>464</v>
      </c>
      <c r="C242" t="s">
        <v>467</v>
      </c>
      <c r="D242" t="s">
        <v>217</v>
      </c>
      <c r="E242">
        <v>8.5</v>
      </c>
    </row>
    <row r="243" spans="1:5">
      <c r="A243" t="s">
        <v>40</v>
      </c>
      <c r="B243" t="s">
        <v>464</v>
      </c>
      <c r="C243" t="s">
        <v>467</v>
      </c>
      <c r="D243" t="s">
        <v>313</v>
      </c>
      <c r="E243">
        <v>94.1</v>
      </c>
    </row>
    <row r="244" spans="1:5">
      <c r="A244" t="s">
        <v>40</v>
      </c>
      <c r="B244" t="s">
        <v>464</v>
      </c>
      <c r="C244" t="s">
        <v>467</v>
      </c>
      <c r="D244" t="s">
        <v>6911</v>
      </c>
      <c r="E244">
        <v>249.5</v>
      </c>
    </row>
    <row r="245" spans="1:5">
      <c r="A245" t="s">
        <v>40</v>
      </c>
      <c r="B245" t="s">
        <v>464</v>
      </c>
      <c r="C245" t="s">
        <v>467</v>
      </c>
      <c r="D245" t="s">
        <v>6912</v>
      </c>
      <c r="E245">
        <v>22.1</v>
      </c>
    </row>
    <row r="246" spans="1:5">
      <c r="A246" t="s">
        <v>40</v>
      </c>
      <c r="B246" t="s">
        <v>464</v>
      </c>
      <c r="C246" t="s">
        <v>467</v>
      </c>
      <c r="D246" t="s">
        <v>443</v>
      </c>
      <c r="E246">
        <v>245</v>
      </c>
    </row>
    <row r="247" spans="1:5">
      <c r="A247" t="s">
        <v>40</v>
      </c>
      <c r="B247" t="s">
        <v>464</v>
      </c>
      <c r="C247" t="s">
        <v>467</v>
      </c>
      <c r="D247" t="s">
        <v>6915</v>
      </c>
      <c r="E247">
        <v>1.4</v>
      </c>
    </row>
    <row r="248" spans="1:5">
      <c r="A248" t="s">
        <v>40</v>
      </c>
      <c r="B248" t="s">
        <v>464</v>
      </c>
      <c r="C248" t="s">
        <v>467</v>
      </c>
      <c r="D248" t="s">
        <v>447</v>
      </c>
      <c r="E248">
        <v>5.6</v>
      </c>
    </row>
    <row r="249" spans="1:5">
      <c r="A249" t="s">
        <v>40</v>
      </c>
      <c r="B249" t="s">
        <v>464</v>
      </c>
      <c r="C249" t="s">
        <v>467</v>
      </c>
      <c r="D249" t="s">
        <v>448</v>
      </c>
      <c r="E249">
        <v>629.29999999999995</v>
      </c>
    </row>
    <row r="250" spans="1:5">
      <c r="A250" t="s">
        <v>40</v>
      </c>
      <c r="B250" t="s">
        <v>464</v>
      </c>
      <c r="C250" t="s">
        <v>65</v>
      </c>
      <c r="D250" t="s">
        <v>437</v>
      </c>
      <c r="E250">
        <v>0.7</v>
      </c>
    </row>
    <row r="251" spans="1:5">
      <c r="A251" t="s">
        <v>40</v>
      </c>
      <c r="B251" t="s">
        <v>464</v>
      </c>
      <c r="C251" t="s">
        <v>65</v>
      </c>
      <c r="D251" t="s">
        <v>6911</v>
      </c>
      <c r="E251">
        <v>14.1</v>
      </c>
    </row>
    <row r="252" spans="1:5">
      <c r="A252" t="s">
        <v>40</v>
      </c>
      <c r="B252" t="s">
        <v>464</v>
      </c>
      <c r="C252" t="s">
        <v>65</v>
      </c>
      <c r="D252" t="s">
        <v>447</v>
      </c>
      <c r="E252">
        <v>0.1</v>
      </c>
    </row>
    <row r="253" spans="1:5">
      <c r="A253" t="s">
        <v>40</v>
      </c>
      <c r="B253" t="s">
        <v>464</v>
      </c>
      <c r="C253" t="s">
        <v>65</v>
      </c>
      <c r="D253" t="s">
        <v>448</v>
      </c>
      <c r="E253">
        <v>14.9</v>
      </c>
    </row>
    <row r="254" spans="1:5">
      <c r="A254" t="s">
        <v>40</v>
      </c>
      <c r="B254" t="s">
        <v>464</v>
      </c>
      <c r="C254" t="s">
        <v>455</v>
      </c>
      <c r="D254" t="s">
        <v>437</v>
      </c>
      <c r="E254">
        <v>20.149999999999999</v>
      </c>
    </row>
    <row r="255" spans="1:5">
      <c r="A255" t="s">
        <v>40</v>
      </c>
      <c r="B255" t="s">
        <v>464</v>
      </c>
      <c r="C255" t="s">
        <v>455</v>
      </c>
      <c r="D255" t="s">
        <v>217</v>
      </c>
      <c r="E255">
        <v>2.0099999999999998</v>
      </c>
    </row>
    <row r="256" spans="1:5">
      <c r="A256" t="s">
        <v>40</v>
      </c>
      <c r="B256" t="s">
        <v>464</v>
      </c>
      <c r="C256" t="s">
        <v>455</v>
      </c>
      <c r="D256" t="s">
        <v>313</v>
      </c>
      <c r="E256">
        <v>57</v>
      </c>
    </row>
    <row r="257" spans="1:5">
      <c r="A257" t="s">
        <v>40</v>
      </c>
      <c r="B257" t="s">
        <v>464</v>
      </c>
      <c r="C257" t="s">
        <v>455</v>
      </c>
      <c r="D257" t="s">
        <v>6911</v>
      </c>
      <c r="E257">
        <v>29.64</v>
      </c>
    </row>
    <row r="258" spans="1:5">
      <c r="A258" t="s">
        <v>40</v>
      </c>
      <c r="B258" t="s">
        <v>464</v>
      </c>
      <c r="C258" t="s">
        <v>455</v>
      </c>
      <c r="D258" t="s">
        <v>447</v>
      </c>
      <c r="E258">
        <v>5.8</v>
      </c>
    </row>
    <row r="259" spans="1:5">
      <c r="A259" t="s">
        <v>40</v>
      </c>
      <c r="B259" t="s">
        <v>464</v>
      </c>
      <c r="C259" t="s">
        <v>455</v>
      </c>
      <c r="D259" t="s">
        <v>448</v>
      </c>
      <c r="E259">
        <v>114.6</v>
      </c>
    </row>
    <row r="260" spans="1:5">
      <c r="A260" t="s">
        <v>40</v>
      </c>
      <c r="B260" t="s">
        <v>464</v>
      </c>
      <c r="C260" t="s">
        <v>6916</v>
      </c>
      <c r="D260" t="s">
        <v>437</v>
      </c>
      <c r="E260">
        <v>61.5</v>
      </c>
    </row>
    <row r="261" spans="1:5">
      <c r="A261" t="s">
        <v>40</v>
      </c>
      <c r="B261" t="s">
        <v>464</v>
      </c>
      <c r="C261" t="s">
        <v>6916</v>
      </c>
      <c r="D261" t="s">
        <v>448</v>
      </c>
      <c r="E261">
        <v>61.5</v>
      </c>
    </row>
    <row r="262" spans="1:5">
      <c r="A262" t="s">
        <v>40</v>
      </c>
      <c r="B262" t="s">
        <v>464</v>
      </c>
      <c r="C262" t="s">
        <v>457</v>
      </c>
      <c r="D262" t="s">
        <v>313</v>
      </c>
      <c r="E262">
        <v>59.8</v>
      </c>
    </row>
    <row r="263" spans="1:5">
      <c r="A263" t="s">
        <v>40</v>
      </c>
      <c r="B263" t="s">
        <v>464</v>
      </c>
      <c r="C263" t="s">
        <v>457</v>
      </c>
      <c r="D263" t="s">
        <v>6911</v>
      </c>
      <c r="E263">
        <v>39</v>
      </c>
    </row>
    <row r="264" spans="1:5">
      <c r="A264" t="s">
        <v>40</v>
      </c>
      <c r="B264" t="s">
        <v>464</v>
      </c>
      <c r="C264" t="s">
        <v>457</v>
      </c>
      <c r="D264" t="s">
        <v>447</v>
      </c>
      <c r="E264">
        <v>15.3</v>
      </c>
    </row>
    <row r="265" spans="1:5">
      <c r="A265" t="s">
        <v>40</v>
      </c>
      <c r="B265" t="s">
        <v>464</v>
      </c>
      <c r="C265" t="s">
        <v>457</v>
      </c>
      <c r="D265" t="s">
        <v>448</v>
      </c>
      <c r="E265">
        <v>114.1</v>
      </c>
    </row>
    <row r="266" spans="1:5">
      <c r="A266" t="s">
        <v>40</v>
      </c>
      <c r="B266" t="s">
        <v>464</v>
      </c>
      <c r="C266" t="s">
        <v>497</v>
      </c>
      <c r="D266" t="s">
        <v>437</v>
      </c>
      <c r="E266">
        <v>12.5</v>
      </c>
    </row>
    <row r="267" spans="1:5">
      <c r="A267" t="s">
        <v>40</v>
      </c>
      <c r="B267" t="s">
        <v>464</v>
      </c>
      <c r="C267" t="s">
        <v>497</v>
      </c>
      <c r="D267" t="s">
        <v>6911</v>
      </c>
      <c r="E267">
        <v>290</v>
      </c>
    </row>
    <row r="268" spans="1:5">
      <c r="A268" t="s">
        <v>40</v>
      </c>
      <c r="B268" t="s">
        <v>464</v>
      </c>
      <c r="C268" t="s">
        <v>497</v>
      </c>
      <c r="D268" t="s">
        <v>447</v>
      </c>
      <c r="E268">
        <v>8.4</v>
      </c>
    </row>
    <row r="269" spans="1:5">
      <c r="A269" t="s">
        <v>40</v>
      </c>
      <c r="B269" t="s">
        <v>464</v>
      </c>
      <c r="C269" t="s">
        <v>497</v>
      </c>
      <c r="D269" t="s">
        <v>448</v>
      </c>
      <c r="E269">
        <v>310.89999999999998</v>
      </c>
    </row>
    <row r="270" spans="1:5">
      <c r="A270" t="s">
        <v>40</v>
      </c>
      <c r="B270" t="s">
        <v>464</v>
      </c>
      <c r="C270" t="s">
        <v>6917</v>
      </c>
      <c r="D270" t="s">
        <v>437</v>
      </c>
      <c r="E270">
        <v>26.1</v>
      </c>
    </row>
    <row r="271" spans="1:5">
      <c r="A271" t="s">
        <v>40</v>
      </c>
      <c r="B271" t="s">
        <v>464</v>
      </c>
      <c r="C271" t="s">
        <v>6917</v>
      </c>
      <c r="D271" t="s">
        <v>313</v>
      </c>
      <c r="E271">
        <v>215.8</v>
      </c>
    </row>
    <row r="272" spans="1:5">
      <c r="A272" t="s">
        <v>40</v>
      </c>
      <c r="B272" t="s">
        <v>464</v>
      </c>
      <c r="C272" t="s">
        <v>6917</v>
      </c>
      <c r="D272" t="s">
        <v>6911</v>
      </c>
      <c r="E272">
        <v>113</v>
      </c>
    </row>
    <row r="273" spans="1:5">
      <c r="A273" t="s">
        <v>40</v>
      </c>
      <c r="B273" t="s">
        <v>464</v>
      </c>
      <c r="C273" t="s">
        <v>6917</v>
      </c>
      <c r="D273" t="s">
        <v>448</v>
      </c>
      <c r="E273">
        <v>354.9</v>
      </c>
    </row>
    <row r="274" spans="1:5">
      <c r="A274" t="s">
        <v>40</v>
      </c>
      <c r="B274" t="s">
        <v>464</v>
      </c>
      <c r="C274" t="s">
        <v>382</v>
      </c>
      <c r="D274" t="s">
        <v>217</v>
      </c>
      <c r="E274">
        <v>4.8</v>
      </c>
    </row>
    <row r="275" spans="1:5">
      <c r="A275" t="s">
        <v>40</v>
      </c>
      <c r="B275" t="s">
        <v>464</v>
      </c>
      <c r="C275" t="s">
        <v>382</v>
      </c>
      <c r="D275" t="s">
        <v>6911</v>
      </c>
      <c r="E275">
        <v>14.9</v>
      </c>
    </row>
    <row r="276" spans="1:5">
      <c r="A276" t="s">
        <v>40</v>
      </c>
      <c r="B276" t="s">
        <v>464</v>
      </c>
      <c r="C276" t="s">
        <v>382</v>
      </c>
      <c r="D276" t="s">
        <v>448</v>
      </c>
      <c r="E276">
        <v>19.7</v>
      </c>
    </row>
    <row r="277" spans="1:5">
      <c r="A277" t="s">
        <v>40</v>
      </c>
      <c r="B277" t="s">
        <v>464</v>
      </c>
      <c r="C277" t="s">
        <v>460</v>
      </c>
      <c r="D277" t="s">
        <v>437</v>
      </c>
      <c r="E277">
        <v>21.8</v>
      </c>
    </row>
    <row r="278" spans="1:5">
      <c r="A278" t="s">
        <v>40</v>
      </c>
      <c r="B278" t="s">
        <v>464</v>
      </c>
      <c r="C278" t="s">
        <v>460</v>
      </c>
      <c r="D278" t="s">
        <v>217</v>
      </c>
      <c r="E278">
        <v>2.5</v>
      </c>
    </row>
    <row r="279" spans="1:5">
      <c r="A279" t="s">
        <v>40</v>
      </c>
      <c r="B279" t="s">
        <v>464</v>
      </c>
      <c r="C279" t="s">
        <v>460</v>
      </c>
      <c r="D279" t="s">
        <v>313</v>
      </c>
      <c r="E279">
        <v>16</v>
      </c>
    </row>
    <row r="280" spans="1:5">
      <c r="A280" t="s">
        <v>40</v>
      </c>
      <c r="B280" t="s">
        <v>464</v>
      </c>
      <c r="C280" t="s">
        <v>460</v>
      </c>
      <c r="D280" t="s">
        <v>6911</v>
      </c>
      <c r="E280">
        <v>127.6</v>
      </c>
    </row>
    <row r="281" spans="1:5">
      <c r="A281" t="s">
        <v>40</v>
      </c>
      <c r="B281" t="s">
        <v>464</v>
      </c>
      <c r="C281" t="s">
        <v>460</v>
      </c>
      <c r="D281" t="s">
        <v>448</v>
      </c>
      <c r="E281">
        <v>167.9</v>
      </c>
    </row>
    <row r="282" spans="1:5">
      <c r="A282" t="s">
        <v>40</v>
      </c>
      <c r="B282" t="s">
        <v>464</v>
      </c>
      <c r="C282" t="s">
        <v>448</v>
      </c>
      <c r="D282" t="s">
        <v>437</v>
      </c>
      <c r="E282">
        <v>293.35000000000002</v>
      </c>
    </row>
    <row r="283" spans="1:5">
      <c r="A283" t="s">
        <v>40</v>
      </c>
      <c r="B283" t="s">
        <v>464</v>
      </c>
      <c r="C283" t="s">
        <v>448</v>
      </c>
      <c r="D283" t="s">
        <v>217</v>
      </c>
      <c r="E283">
        <v>17.809999999999999</v>
      </c>
    </row>
    <row r="284" spans="1:5">
      <c r="A284" t="s">
        <v>40</v>
      </c>
      <c r="B284" t="s">
        <v>464</v>
      </c>
      <c r="C284" t="s">
        <v>448</v>
      </c>
      <c r="D284" t="s">
        <v>313</v>
      </c>
      <c r="E284">
        <v>466.7</v>
      </c>
    </row>
    <row r="285" spans="1:5">
      <c r="A285" t="s">
        <v>40</v>
      </c>
      <c r="B285" t="s">
        <v>464</v>
      </c>
      <c r="C285" t="s">
        <v>448</v>
      </c>
      <c r="D285" t="s">
        <v>6911</v>
      </c>
      <c r="E285">
        <v>1185.8399999999999</v>
      </c>
    </row>
    <row r="286" spans="1:5">
      <c r="A286" t="s">
        <v>40</v>
      </c>
      <c r="B286" t="s">
        <v>464</v>
      </c>
      <c r="C286" t="s">
        <v>448</v>
      </c>
      <c r="D286" t="s">
        <v>441</v>
      </c>
      <c r="E286">
        <v>423.7</v>
      </c>
    </row>
    <row r="287" spans="1:5">
      <c r="A287" t="s">
        <v>40</v>
      </c>
      <c r="B287" t="s">
        <v>464</v>
      </c>
      <c r="C287" t="s">
        <v>448</v>
      </c>
      <c r="D287" t="s">
        <v>6912</v>
      </c>
      <c r="E287">
        <v>22.1</v>
      </c>
    </row>
    <row r="288" spans="1:5">
      <c r="A288" t="s">
        <v>40</v>
      </c>
      <c r="B288" t="s">
        <v>464</v>
      </c>
      <c r="C288" t="s">
        <v>448</v>
      </c>
      <c r="D288" t="s">
        <v>443</v>
      </c>
      <c r="E288">
        <v>245</v>
      </c>
    </row>
    <row r="289" spans="1:5">
      <c r="A289" t="s">
        <v>40</v>
      </c>
      <c r="B289" t="s">
        <v>464</v>
      </c>
      <c r="C289" t="s">
        <v>448</v>
      </c>
      <c r="D289" t="s">
        <v>6915</v>
      </c>
      <c r="E289">
        <v>1.4</v>
      </c>
    </row>
    <row r="290" spans="1:5">
      <c r="A290" t="s">
        <v>40</v>
      </c>
      <c r="B290" t="s">
        <v>464</v>
      </c>
      <c r="C290" t="s">
        <v>448</v>
      </c>
      <c r="D290" t="s">
        <v>447</v>
      </c>
      <c r="E290">
        <v>51.4</v>
      </c>
    </row>
    <row r="291" spans="1:5">
      <c r="A291" t="s">
        <v>40</v>
      </c>
      <c r="B291" t="s">
        <v>464</v>
      </c>
      <c r="C291" t="s">
        <v>448</v>
      </c>
      <c r="D291" t="s">
        <v>448</v>
      </c>
      <c r="E291">
        <v>2707.3</v>
      </c>
    </row>
    <row r="292" spans="1:5">
      <c r="A292" t="s">
        <v>40</v>
      </c>
      <c r="B292" t="s">
        <v>465</v>
      </c>
      <c r="C292" t="s">
        <v>6910</v>
      </c>
      <c r="D292" t="s">
        <v>6911</v>
      </c>
      <c r="E292">
        <v>63.435000000000002</v>
      </c>
    </row>
    <row r="293" spans="1:5">
      <c r="A293" t="s">
        <v>40</v>
      </c>
      <c r="B293" t="s">
        <v>465</v>
      </c>
      <c r="C293" t="s">
        <v>6910</v>
      </c>
      <c r="D293" t="s">
        <v>441</v>
      </c>
      <c r="E293">
        <v>359.46499999999997</v>
      </c>
    </row>
    <row r="294" spans="1:5">
      <c r="A294" t="s">
        <v>40</v>
      </c>
      <c r="B294" t="s">
        <v>465</v>
      </c>
      <c r="C294" t="s">
        <v>6910</v>
      </c>
      <c r="D294" t="s">
        <v>447</v>
      </c>
      <c r="E294">
        <v>2.6</v>
      </c>
    </row>
    <row r="295" spans="1:5">
      <c r="A295" t="s">
        <v>40</v>
      </c>
      <c r="B295" t="s">
        <v>465</v>
      </c>
      <c r="C295" t="s">
        <v>6910</v>
      </c>
      <c r="D295" t="s">
        <v>448</v>
      </c>
      <c r="E295">
        <v>425.5</v>
      </c>
    </row>
    <row r="296" spans="1:5">
      <c r="A296" t="s">
        <v>40</v>
      </c>
      <c r="B296" t="s">
        <v>465</v>
      </c>
      <c r="C296" t="s">
        <v>6913</v>
      </c>
      <c r="D296" t="s">
        <v>437</v>
      </c>
      <c r="E296">
        <v>81.599999999999994</v>
      </c>
    </row>
    <row r="297" spans="1:5">
      <c r="A297" t="s">
        <v>40</v>
      </c>
      <c r="B297" t="s">
        <v>465</v>
      </c>
      <c r="C297" t="s">
        <v>6913</v>
      </c>
      <c r="D297" t="s">
        <v>217</v>
      </c>
      <c r="E297">
        <v>0.5</v>
      </c>
    </row>
    <row r="298" spans="1:5">
      <c r="A298" t="s">
        <v>40</v>
      </c>
      <c r="B298" t="s">
        <v>465</v>
      </c>
      <c r="C298" t="s">
        <v>6913</v>
      </c>
      <c r="D298" t="s">
        <v>313</v>
      </c>
      <c r="E298">
        <v>9.8000000000000007</v>
      </c>
    </row>
    <row r="299" spans="1:5">
      <c r="A299" t="s">
        <v>40</v>
      </c>
      <c r="B299" t="s">
        <v>465</v>
      </c>
      <c r="C299" t="s">
        <v>6913</v>
      </c>
      <c r="D299" t="s">
        <v>6911</v>
      </c>
      <c r="E299">
        <v>175.1</v>
      </c>
    </row>
    <row r="300" spans="1:5">
      <c r="A300" t="s">
        <v>40</v>
      </c>
      <c r="B300" t="s">
        <v>465</v>
      </c>
      <c r="C300" t="s">
        <v>6913</v>
      </c>
      <c r="D300" t="s">
        <v>447</v>
      </c>
      <c r="E300">
        <v>0.2</v>
      </c>
    </row>
    <row r="301" spans="1:5">
      <c r="A301" t="s">
        <v>40</v>
      </c>
      <c r="B301" t="s">
        <v>465</v>
      </c>
      <c r="C301" t="s">
        <v>6913</v>
      </c>
      <c r="D301" t="s">
        <v>448</v>
      </c>
      <c r="E301">
        <v>267.2</v>
      </c>
    </row>
    <row r="302" spans="1:5">
      <c r="A302" t="s">
        <v>40</v>
      </c>
      <c r="B302" t="s">
        <v>465</v>
      </c>
      <c r="C302" t="s">
        <v>6914</v>
      </c>
      <c r="D302" t="s">
        <v>437</v>
      </c>
      <c r="E302">
        <v>14.2</v>
      </c>
    </row>
    <row r="303" spans="1:5">
      <c r="A303" t="s">
        <v>40</v>
      </c>
      <c r="B303" t="s">
        <v>465</v>
      </c>
      <c r="C303" t="s">
        <v>6914</v>
      </c>
      <c r="D303" t="s">
        <v>217</v>
      </c>
      <c r="E303">
        <v>9</v>
      </c>
    </row>
    <row r="304" spans="1:5">
      <c r="A304" t="s">
        <v>40</v>
      </c>
      <c r="B304" t="s">
        <v>465</v>
      </c>
      <c r="C304" t="s">
        <v>6914</v>
      </c>
      <c r="D304" t="s">
        <v>313</v>
      </c>
      <c r="E304">
        <v>0.4</v>
      </c>
    </row>
    <row r="305" spans="1:5">
      <c r="A305" t="s">
        <v>40</v>
      </c>
      <c r="B305" t="s">
        <v>465</v>
      </c>
      <c r="C305" t="s">
        <v>6914</v>
      </c>
      <c r="D305" t="s">
        <v>6911</v>
      </c>
      <c r="E305">
        <v>170.1</v>
      </c>
    </row>
    <row r="306" spans="1:5">
      <c r="A306" t="s">
        <v>40</v>
      </c>
      <c r="B306" t="s">
        <v>465</v>
      </c>
      <c r="C306" t="s">
        <v>6914</v>
      </c>
      <c r="D306" t="s">
        <v>448</v>
      </c>
      <c r="E306">
        <v>193.7</v>
      </c>
    </row>
    <row r="307" spans="1:5">
      <c r="A307" t="s">
        <v>40</v>
      </c>
      <c r="B307" t="s">
        <v>465</v>
      </c>
      <c r="C307" t="s">
        <v>467</v>
      </c>
      <c r="D307" t="s">
        <v>217</v>
      </c>
      <c r="E307">
        <v>12.2</v>
      </c>
    </row>
    <row r="308" spans="1:5">
      <c r="A308" t="s">
        <v>40</v>
      </c>
      <c r="B308" t="s">
        <v>465</v>
      </c>
      <c r="C308" t="s">
        <v>467</v>
      </c>
      <c r="D308" t="s">
        <v>313</v>
      </c>
      <c r="E308">
        <v>100.1</v>
      </c>
    </row>
    <row r="309" spans="1:5">
      <c r="A309" t="s">
        <v>40</v>
      </c>
      <c r="B309" t="s">
        <v>465</v>
      </c>
      <c r="C309" t="s">
        <v>467</v>
      </c>
      <c r="D309" t="s">
        <v>6911</v>
      </c>
      <c r="E309">
        <v>238.5</v>
      </c>
    </row>
    <row r="310" spans="1:5">
      <c r="A310" t="s">
        <v>40</v>
      </c>
      <c r="B310" t="s">
        <v>465</v>
      </c>
      <c r="C310" t="s">
        <v>467</v>
      </c>
      <c r="D310" t="s">
        <v>6912</v>
      </c>
      <c r="E310">
        <v>33.799999999999997</v>
      </c>
    </row>
    <row r="311" spans="1:5">
      <c r="A311" t="s">
        <v>40</v>
      </c>
      <c r="B311" t="s">
        <v>465</v>
      </c>
      <c r="C311" t="s">
        <v>467</v>
      </c>
      <c r="D311" t="s">
        <v>443</v>
      </c>
      <c r="E311">
        <v>270</v>
      </c>
    </row>
    <row r="312" spans="1:5">
      <c r="A312" t="s">
        <v>40</v>
      </c>
      <c r="B312" t="s">
        <v>465</v>
      </c>
      <c r="C312" t="s">
        <v>467</v>
      </c>
      <c r="D312" t="s">
        <v>447</v>
      </c>
      <c r="E312">
        <v>1.2</v>
      </c>
    </row>
    <row r="313" spans="1:5">
      <c r="A313" t="s">
        <v>40</v>
      </c>
      <c r="B313" t="s">
        <v>465</v>
      </c>
      <c r="C313" t="s">
        <v>467</v>
      </c>
      <c r="D313" t="s">
        <v>448</v>
      </c>
      <c r="E313">
        <v>655.8</v>
      </c>
    </row>
    <row r="314" spans="1:5">
      <c r="A314" t="s">
        <v>40</v>
      </c>
      <c r="B314" t="s">
        <v>465</v>
      </c>
      <c r="C314" t="s">
        <v>65</v>
      </c>
      <c r="D314" t="s">
        <v>217</v>
      </c>
      <c r="E314">
        <v>2.83</v>
      </c>
    </row>
    <row r="315" spans="1:5">
      <c r="A315" t="s">
        <v>40</v>
      </c>
      <c r="B315" t="s">
        <v>465</v>
      </c>
      <c r="C315" t="s">
        <v>65</v>
      </c>
      <c r="D315" t="s">
        <v>313</v>
      </c>
      <c r="E315">
        <v>10.1</v>
      </c>
    </row>
    <row r="316" spans="1:5">
      <c r="A316" t="s">
        <v>40</v>
      </c>
      <c r="B316" t="s">
        <v>465</v>
      </c>
      <c r="C316" t="s">
        <v>65</v>
      </c>
      <c r="D316" t="s">
        <v>6911</v>
      </c>
      <c r="E316">
        <v>3.04</v>
      </c>
    </row>
    <row r="317" spans="1:5">
      <c r="A317" t="s">
        <v>40</v>
      </c>
      <c r="B317" t="s">
        <v>465</v>
      </c>
      <c r="C317" t="s">
        <v>65</v>
      </c>
      <c r="D317" t="s">
        <v>6912</v>
      </c>
      <c r="E317">
        <v>4.33</v>
      </c>
    </row>
    <row r="318" spans="1:5">
      <c r="A318" t="s">
        <v>40</v>
      </c>
      <c r="B318" t="s">
        <v>465</v>
      </c>
      <c r="C318" t="s">
        <v>65</v>
      </c>
      <c r="D318" t="s">
        <v>447</v>
      </c>
      <c r="E318">
        <v>0.1</v>
      </c>
    </row>
    <row r="319" spans="1:5">
      <c r="A319" t="s">
        <v>40</v>
      </c>
      <c r="B319" t="s">
        <v>465</v>
      </c>
      <c r="C319" t="s">
        <v>65</v>
      </c>
      <c r="D319" t="s">
        <v>448</v>
      </c>
      <c r="E319">
        <v>20.399999999999999</v>
      </c>
    </row>
    <row r="320" spans="1:5">
      <c r="A320" t="s">
        <v>40</v>
      </c>
      <c r="B320" t="s">
        <v>465</v>
      </c>
      <c r="C320" t="s">
        <v>455</v>
      </c>
      <c r="D320" t="s">
        <v>437</v>
      </c>
      <c r="E320">
        <v>58.94</v>
      </c>
    </row>
    <row r="321" spans="1:5">
      <c r="A321" t="s">
        <v>40</v>
      </c>
      <c r="B321" t="s">
        <v>465</v>
      </c>
      <c r="C321" t="s">
        <v>455</v>
      </c>
      <c r="D321" t="s">
        <v>313</v>
      </c>
      <c r="E321">
        <v>31.06</v>
      </c>
    </row>
    <row r="322" spans="1:5">
      <c r="A322" t="s">
        <v>40</v>
      </c>
      <c r="B322" t="s">
        <v>465</v>
      </c>
      <c r="C322" t="s">
        <v>455</v>
      </c>
      <c r="D322" t="s">
        <v>6911</v>
      </c>
      <c r="E322">
        <v>18</v>
      </c>
    </row>
    <row r="323" spans="1:5">
      <c r="A323" t="s">
        <v>40</v>
      </c>
      <c r="B323" t="s">
        <v>465</v>
      </c>
      <c r="C323" t="s">
        <v>455</v>
      </c>
      <c r="D323" t="s">
        <v>6912</v>
      </c>
      <c r="E323">
        <v>13.5</v>
      </c>
    </row>
    <row r="324" spans="1:5">
      <c r="A324" t="s">
        <v>40</v>
      </c>
      <c r="B324" t="s">
        <v>465</v>
      </c>
      <c r="C324" t="s">
        <v>455</v>
      </c>
      <c r="D324" t="s">
        <v>447</v>
      </c>
      <c r="E324">
        <v>7.7</v>
      </c>
    </row>
    <row r="325" spans="1:5">
      <c r="A325" t="s">
        <v>40</v>
      </c>
      <c r="B325" t="s">
        <v>465</v>
      </c>
      <c r="C325" t="s">
        <v>455</v>
      </c>
      <c r="D325" t="s">
        <v>448</v>
      </c>
      <c r="E325">
        <v>129.19999999999999</v>
      </c>
    </row>
    <row r="326" spans="1:5">
      <c r="A326" t="s">
        <v>40</v>
      </c>
      <c r="B326" t="s">
        <v>465</v>
      </c>
      <c r="C326" t="s">
        <v>6916</v>
      </c>
      <c r="D326" t="s">
        <v>437</v>
      </c>
      <c r="E326">
        <v>80.7</v>
      </c>
    </row>
    <row r="327" spans="1:5">
      <c r="A327" t="s">
        <v>40</v>
      </c>
      <c r="B327" t="s">
        <v>465</v>
      </c>
      <c r="C327" t="s">
        <v>6916</v>
      </c>
      <c r="D327" t="s">
        <v>448</v>
      </c>
      <c r="E327">
        <v>80.7</v>
      </c>
    </row>
    <row r="328" spans="1:5">
      <c r="A328" t="s">
        <v>40</v>
      </c>
      <c r="B328" t="s">
        <v>465</v>
      </c>
      <c r="C328" t="s">
        <v>457</v>
      </c>
      <c r="D328" t="s">
        <v>437</v>
      </c>
      <c r="E328">
        <v>2.4</v>
      </c>
    </row>
    <row r="329" spans="1:5">
      <c r="A329" t="s">
        <v>40</v>
      </c>
      <c r="B329" t="s">
        <v>465</v>
      </c>
      <c r="C329" t="s">
        <v>457</v>
      </c>
      <c r="D329" t="s">
        <v>217</v>
      </c>
      <c r="E329">
        <v>1.9</v>
      </c>
    </row>
    <row r="330" spans="1:5">
      <c r="A330" t="s">
        <v>40</v>
      </c>
      <c r="B330" t="s">
        <v>465</v>
      </c>
      <c r="C330" t="s">
        <v>457</v>
      </c>
      <c r="D330" t="s">
        <v>313</v>
      </c>
      <c r="E330">
        <v>56.7</v>
      </c>
    </row>
    <row r="331" spans="1:5">
      <c r="A331" t="s">
        <v>40</v>
      </c>
      <c r="B331" t="s">
        <v>465</v>
      </c>
      <c r="C331" t="s">
        <v>457</v>
      </c>
      <c r="D331" t="s">
        <v>6911</v>
      </c>
      <c r="E331">
        <v>41.4</v>
      </c>
    </row>
    <row r="332" spans="1:5">
      <c r="A332" t="s">
        <v>40</v>
      </c>
      <c r="B332" t="s">
        <v>465</v>
      </c>
      <c r="C332" t="s">
        <v>457</v>
      </c>
      <c r="D332" t="s">
        <v>6912</v>
      </c>
      <c r="E332">
        <v>2.4</v>
      </c>
    </row>
    <row r="333" spans="1:5">
      <c r="A333" t="s">
        <v>40</v>
      </c>
      <c r="B333" t="s">
        <v>465</v>
      </c>
      <c r="C333" t="s">
        <v>457</v>
      </c>
      <c r="D333" t="s">
        <v>447</v>
      </c>
      <c r="E333">
        <v>3.4</v>
      </c>
    </row>
    <row r="334" spans="1:5">
      <c r="A334" t="s">
        <v>40</v>
      </c>
      <c r="B334" t="s">
        <v>465</v>
      </c>
      <c r="C334" t="s">
        <v>457</v>
      </c>
      <c r="D334" t="s">
        <v>448</v>
      </c>
      <c r="E334">
        <v>108.2</v>
      </c>
    </row>
    <row r="335" spans="1:5">
      <c r="A335" t="s">
        <v>40</v>
      </c>
      <c r="B335" t="s">
        <v>465</v>
      </c>
      <c r="C335" t="s">
        <v>497</v>
      </c>
      <c r="D335" t="s">
        <v>437</v>
      </c>
      <c r="E335">
        <v>24.4</v>
      </c>
    </row>
    <row r="336" spans="1:5">
      <c r="A336" t="s">
        <v>40</v>
      </c>
      <c r="B336" t="s">
        <v>465</v>
      </c>
      <c r="C336" t="s">
        <v>497</v>
      </c>
      <c r="D336" t="s">
        <v>313</v>
      </c>
      <c r="E336">
        <v>3.1</v>
      </c>
    </row>
    <row r="337" spans="1:5">
      <c r="A337" t="s">
        <v>40</v>
      </c>
      <c r="B337" t="s">
        <v>465</v>
      </c>
      <c r="C337" t="s">
        <v>497</v>
      </c>
      <c r="D337" t="s">
        <v>6912</v>
      </c>
      <c r="E337">
        <v>294.8</v>
      </c>
    </row>
    <row r="338" spans="1:5">
      <c r="A338" t="s">
        <v>40</v>
      </c>
      <c r="B338" t="s">
        <v>465</v>
      </c>
      <c r="C338" t="s">
        <v>497</v>
      </c>
      <c r="D338" t="s">
        <v>448</v>
      </c>
      <c r="E338">
        <v>322.3</v>
      </c>
    </row>
    <row r="339" spans="1:5">
      <c r="A339" t="s">
        <v>40</v>
      </c>
      <c r="B339" t="s">
        <v>465</v>
      </c>
      <c r="C339" t="s">
        <v>6917</v>
      </c>
      <c r="D339" t="s">
        <v>437</v>
      </c>
      <c r="E339">
        <v>52.39</v>
      </c>
    </row>
    <row r="340" spans="1:5">
      <c r="A340" t="s">
        <v>40</v>
      </c>
      <c r="B340" t="s">
        <v>465</v>
      </c>
      <c r="C340" t="s">
        <v>6917</v>
      </c>
      <c r="D340" t="s">
        <v>217</v>
      </c>
      <c r="E340">
        <v>6.18</v>
      </c>
    </row>
    <row r="341" spans="1:5">
      <c r="A341" t="s">
        <v>40</v>
      </c>
      <c r="B341" t="s">
        <v>465</v>
      </c>
      <c r="C341" t="s">
        <v>6917</v>
      </c>
      <c r="D341" t="s">
        <v>313</v>
      </c>
      <c r="E341">
        <v>180.66</v>
      </c>
    </row>
    <row r="342" spans="1:5">
      <c r="A342" t="s">
        <v>40</v>
      </c>
      <c r="B342" t="s">
        <v>465</v>
      </c>
      <c r="C342" t="s">
        <v>6917</v>
      </c>
      <c r="D342" t="s">
        <v>6911</v>
      </c>
      <c r="E342">
        <v>97.89</v>
      </c>
    </row>
    <row r="343" spans="1:5">
      <c r="A343" t="s">
        <v>40</v>
      </c>
      <c r="B343" t="s">
        <v>465</v>
      </c>
      <c r="C343" t="s">
        <v>6917</v>
      </c>
      <c r="D343" t="s">
        <v>6912</v>
      </c>
      <c r="E343">
        <v>23.1</v>
      </c>
    </row>
    <row r="344" spans="1:5">
      <c r="A344" t="s">
        <v>40</v>
      </c>
      <c r="B344" t="s">
        <v>465</v>
      </c>
      <c r="C344" t="s">
        <v>6917</v>
      </c>
      <c r="D344" t="s">
        <v>447</v>
      </c>
      <c r="E344">
        <v>5.88</v>
      </c>
    </row>
    <row r="345" spans="1:5">
      <c r="A345" t="s">
        <v>40</v>
      </c>
      <c r="B345" t="s">
        <v>465</v>
      </c>
      <c r="C345" t="s">
        <v>6917</v>
      </c>
      <c r="D345" t="s">
        <v>448</v>
      </c>
      <c r="E345">
        <v>366.1</v>
      </c>
    </row>
    <row r="346" spans="1:5">
      <c r="A346" t="s">
        <v>40</v>
      </c>
      <c r="B346" t="s">
        <v>465</v>
      </c>
      <c r="C346" t="s">
        <v>382</v>
      </c>
      <c r="D346" t="s">
        <v>437</v>
      </c>
      <c r="E346">
        <v>2.7</v>
      </c>
    </row>
    <row r="347" spans="1:5">
      <c r="A347" t="s">
        <v>40</v>
      </c>
      <c r="B347" t="s">
        <v>465</v>
      </c>
      <c r="C347" t="s">
        <v>382</v>
      </c>
      <c r="D347" t="s">
        <v>217</v>
      </c>
      <c r="E347">
        <v>1.9</v>
      </c>
    </row>
    <row r="348" spans="1:5">
      <c r="A348" t="s">
        <v>40</v>
      </c>
      <c r="B348" t="s">
        <v>465</v>
      </c>
      <c r="C348" t="s">
        <v>382</v>
      </c>
      <c r="D348" t="s">
        <v>313</v>
      </c>
      <c r="E348">
        <v>1.3</v>
      </c>
    </row>
    <row r="349" spans="1:5">
      <c r="A349" t="s">
        <v>40</v>
      </c>
      <c r="B349" t="s">
        <v>465</v>
      </c>
      <c r="C349" t="s">
        <v>382</v>
      </c>
      <c r="D349" t="s">
        <v>6911</v>
      </c>
      <c r="E349">
        <v>12.3</v>
      </c>
    </row>
    <row r="350" spans="1:5">
      <c r="A350" t="s">
        <v>40</v>
      </c>
      <c r="B350" t="s">
        <v>465</v>
      </c>
      <c r="C350" t="s">
        <v>382</v>
      </c>
      <c r="D350" t="s">
        <v>6912</v>
      </c>
      <c r="E350">
        <v>2.4</v>
      </c>
    </row>
    <row r="351" spans="1:5">
      <c r="A351" t="s">
        <v>40</v>
      </c>
      <c r="B351" t="s">
        <v>465</v>
      </c>
      <c r="C351" t="s">
        <v>382</v>
      </c>
      <c r="D351" t="s">
        <v>447</v>
      </c>
      <c r="E351">
        <v>1.5</v>
      </c>
    </row>
    <row r="352" spans="1:5">
      <c r="A352" t="s">
        <v>40</v>
      </c>
      <c r="B352" t="s">
        <v>465</v>
      </c>
      <c r="C352" t="s">
        <v>382</v>
      </c>
      <c r="D352" t="s">
        <v>448</v>
      </c>
      <c r="E352">
        <v>22.1</v>
      </c>
    </row>
    <row r="353" spans="1:5">
      <c r="A353" t="s">
        <v>40</v>
      </c>
      <c r="B353" t="s">
        <v>465</v>
      </c>
      <c r="C353" t="s">
        <v>460</v>
      </c>
      <c r="D353" t="s">
        <v>437</v>
      </c>
      <c r="E353">
        <v>41.49</v>
      </c>
    </row>
    <row r="354" spans="1:5">
      <c r="A354" t="s">
        <v>40</v>
      </c>
      <c r="B354" t="s">
        <v>465</v>
      </c>
      <c r="C354" t="s">
        <v>460</v>
      </c>
      <c r="D354" t="s">
        <v>217</v>
      </c>
      <c r="E354">
        <v>2.4</v>
      </c>
    </row>
    <row r="355" spans="1:5">
      <c r="A355" t="s">
        <v>40</v>
      </c>
      <c r="B355" t="s">
        <v>465</v>
      </c>
      <c r="C355" t="s">
        <v>460</v>
      </c>
      <c r="D355" t="s">
        <v>313</v>
      </c>
      <c r="E355">
        <v>2.8</v>
      </c>
    </row>
    <row r="356" spans="1:5">
      <c r="A356" t="s">
        <v>40</v>
      </c>
      <c r="B356" t="s">
        <v>465</v>
      </c>
      <c r="C356" t="s">
        <v>460</v>
      </c>
      <c r="D356" t="s">
        <v>6911</v>
      </c>
      <c r="E356">
        <v>117.18</v>
      </c>
    </row>
    <row r="357" spans="1:5">
      <c r="A357" t="s">
        <v>40</v>
      </c>
      <c r="B357" t="s">
        <v>465</v>
      </c>
      <c r="C357" t="s">
        <v>460</v>
      </c>
      <c r="D357" t="s">
        <v>6912</v>
      </c>
      <c r="E357">
        <v>31.33</v>
      </c>
    </row>
    <row r="358" spans="1:5">
      <c r="A358" t="s">
        <v>40</v>
      </c>
      <c r="B358" t="s">
        <v>465</v>
      </c>
      <c r="C358" t="s">
        <v>460</v>
      </c>
      <c r="D358" t="s">
        <v>447</v>
      </c>
      <c r="E358">
        <v>9.8000000000000007</v>
      </c>
    </row>
    <row r="359" spans="1:5">
      <c r="A359" t="s">
        <v>40</v>
      </c>
      <c r="B359" t="s">
        <v>465</v>
      </c>
      <c r="C359" t="s">
        <v>460</v>
      </c>
      <c r="D359" t="s">
        <v>448</v>
      </c>
      <c r="E359">
        <v>205</v>
      </c>
    </row>
    <row r="360" spans="1:5">
      <c r="A360" t="s">
        <v>40</v>
      </c>
      <c r="B360" t="s">
        <v>465</v>
      </c>
      <c r="C360" t="s">
        <v>448</v>
      </c>
      <c r="D360" t="s">
        <v>437</v>
      </c>
      <c r="E360">
        <v>358.82</v>
      </c>
    </row>
    <row r="361" spans="1:5">
      <c r="A361" t="s">
        <v>40</v>
      </c>
      <c r="B361" t="s">
        <v>465</v>
      </c>
      <c r="C361" t="s">
        <v>448</v>
      </c>
      <c r="D361" t="s">
        <v>217</v>
      </c>
      <c r="E361">
        <v>36.909999999999997</v>
      </c>
    </row>
    <row r="362" spans="1:5">
      <c r="A362" t="s">
        <v>40</v>
      </c>
      <c r="B362" t="s">
        <v>465</v>
      </c>
      <c r="C362" t="s">
        <v>448</v>
      </c>
      <c r="D362" t="s">
        <v>313</v>
      </c>
      <c r="E362">
        <v>396.02</v>
      </c>
    </row>
    <row r="363" spans="1:5">
      <c r="A363" t="s">
        <v>40</v>
      </c>
      <c r="B363" t="s">
        <v>465</v>
      </c>
      <c r="C363" t="s">
        <v>448</v>
      </c>
      <c r="D363" t="s">
        <v>6911</v>
      </c>
      <c r="E363">
        <v>936.94500000000005</v>
      </c>
    </row>
    <row r="364" spans="1:5">
      <c r="A364" t="s">
        <v>40</v>
      </c>
      <c r="B364" t="s">
        <v>465</v>
      </c>
      <c r="C364" t="s">
        <v>448</v>
      </c>
      <c r="D364" t="s">
        <v>441</v>
      </c>
      <c r="E364">
        <v>359.46499999999997</v>
      </c>
    </row>
    <row r="365" spans="1:5">
      <c r="A365" t="s">
        <v>40</v>
      </c>
      <c r="B365" t="s">
        <v>465</v>
      </c>
      <c r="C365" t="s">
        <v>448</v>
      </c>
      <c r="D365" t="s">
        <v>6912</v>
      </c>
      <c r="E365">
        <v>405.66</v>
      </c>
    </row>
    <row r="366" spans="1:5">
      <c r="A366" t="s">
        <v>40</v>
      </c>
      <c r="B366" t="s">
        <v>465</v>
      </c>
      <c r="C366" t="s">
        <v>448</v>
      </c>
      <c r="D366" t="s">
        <v>443</v>
      </c>
      <c r="E366">
        <v>270</v>
      </c>
    </row>
    <row r="367" spans="1:5">
      <c r="A367" t="s">
        <v>40</v>
      </c>
      <c r="B367" t="s">
        <v>465</v>
      </c>
      <c r="C367" t="s">
        <v>448</v>
      </c>
      <c r="D367" t="s">
        <v>447</v>
      </c>
      <c r="E367">
        <v>32.380000000000003</v>
      </c>
    </row>
    <row r="368" spans="1:5">
      <c r="A368" t="s">
        <v>40</v>
      </c>
      <c r="B368" t="s">
        <v>465</v>
      </c>
      <c r="C368" t="s">
        <v>448</v>
      </c>
      <c r="D368" t="s">
        <v>448</v>
      </c>
      <c r="E368">
        <v>2796.2</v>
      </c>
    </row>
    <row r="369" spans="1:5">
      <c r="A369" t="s">
        <v>40</v>
      </c>
      <c r="B369" t="s">
        <v>466</v>
      </c>
      <c r="C369" t="s">
        <v>6910</v>
      </c>
      <c r="D369" t="s">
        <v>437</v>
      </c>
      <c r="E369">
        <v>4.0999999999999996</v>
      </c>
    </row>
    <row r="370" spans="1:5">
      <c r="A370" t="s">
        <v>40</v>
      </c>
      <c r="B370" t="s">
        <v>466</v>
      </c>
      <c r="C370" t="s">
        <v>6910</v>
      </c>
      <c r="D370" t="s">
        <v>6911</v>
      </c>
      <c r="E370">
        <v>75.400000000000006</v>
      </c>
    </row>
    <row r="371" spans="1:5">
      <c r="A371" t="s">
        <v>40</v>
      </c>
      <c r="B371" t="s">
        <v>466</v>
      </c>
      <c r="C371" t="s">
        <v>6910</v>
      </c>
      <c r="D371" t="s">
        <v>441</v>
      </c>
      <c r="E371">
        <v>543.79999999999995</v>
      </c>
    </row>
    <row r="372" spans="1:5">
      <c r="A372" t="s">
        <v>40</v>
      </c>
      <c r="B372" t="s">
        <v>466</v>
      </c>
      <c r="C372" t="s">
        <v>6910</v>
      </c>
      <c r="D372" t="s">
        <v>6912</v>
      </c>
      <c r="E372">
        <v>7.6</v>
      </c>
    </row>
    <row r="373" spans="1:5">
      <c r="A373" t="s">
        <v>40</v>
      </c>
      <c r="B373" t="s">
        <v>466</v>
      </c>
      <c r="C373" t="s">
        <v>6910</v>
      </c>
      <c r="D373" t="s">
        <v>447</v>
      </c>
      <c r="E373">
        <v>2.8</v>
      </c>
    </row>
    <row r="374" spans="1:5">
      <c r="A374" t="s">
        <v>40</v>
      </c>
      <c r="B374" t="s">
        <v>466</v>
      </c>
      <c r="C374" t="s">
        <v>6910</v>
      </c>
      <c r="D374" t="s">
        <v>448</v>
      </c>
      <c r="E374">
        <v>633.70000000000005</v>
      </c>
    </row>
    <row r="375" spans="1:5">
      <c r="A375" t="s">
        <v>40</v>
      </c>
      <c r="B375" t="s">
        <v>466</v>
      </c>
      <c r="C375" t="s">
        <v>6913</v>
      </c>
      <c r="D375" t="s">
        <v>437</v>
      </c>
      <c r="E375">
        <v>150.4</v>
      </c>
    </row>
    <row r="376" spans="1:5">
      <c r="A376" t="s">
        <v>40</v>
      </c>
      <c r="B376" t="s">
        <v>466</v>
      </c>
      <c r="C376" t="s">
        <v>6913</v>
      </c>
      <c r="D376" t="s">
        <v>6911</v>
      </c>
      <c r="E376">
        <v>232.7</v>
      </c>
    </row>
    <row r="377" spans="1:5">
      <c r="A377" t="s">
        <v>40</v>
      </c>
      <c r="B377" t="s">
        <v>466</v>
      </c>
      <c r="C377" t="s">
        <v>6913</v>
      </c>
      <c r="D377" t="s">
        <v>447</v>
      </c>
      <c r="E377">
        <v>4.2</v>
      </c>
    </row>
    <row r="378" spans="1:5">
      <c r="A378" t="s">
        <v>40</v>
      </c>
      <c r="B378" t="s">
        <v>466</v>
      </c>
      <c r="C378" t="s">
        <v>6913</v>
      </c>
      <c r="D378" t="s">
        <v>448</v>
      </c>
      <c r="E378">
        <v>387.3</v>
      </c>
    </row>
    <row r="379" spans="1:5">
      <c r="A379" t="s">
        <v>40</v>
      </c>
      <c r="B379" t="s">
        <v>466</v>
      </c>
      <c r="C379" t="s">
        <v>6914</v>
      </c>
      <c r="D379" t="s">
        <v>437</v>
      </c>
      <c r="E379">
        <v>48.9</v>
      </c>
    </row>
    <row r="380" spans="1:5">
      <c r="A380" t="s">
        <v>40</v>
      </c>
      <c r="B380" t="s">
        <v>466</v>
      </c>
      <c r="C380" t="s">
        <v>6914</v>
      </c>
      <c r="D380" t="s">
        <v>6911</v>
      </c>
      <c r="E380">
        <v>253.5</v>
      </c>
    </row>
    <row r="381" spans="1:5">
      <c r="A381" t="s">
        <v>40</v>
      </c>
      <c r="B381" t="s">
        <v>466</v>
      </c>
      <c r="C381" t="s">
        <v>6914</v>
      </c>
      <c r="D381" t="s">
        <v>6915</v>
      </c>
      <c r="E381">
        <v>40.700000000000003</v>
      </c>
    </row>
    <row r="382" spans="1:5">
      <c r="A382" t="s">
        <v>40</v>
      </c>
      <c r="B382" t="s">
        <v>466</v>
      </c>
      <c r="C382" t="s">
        <v>6914</v>
      </c>
      <c r="D382" t="s">
        <v>448</v>
      </c>
      <c r="E382">
        <v>343.1</v>
      </c>
    </row>
    <row r="383" spans="1:5">
      <c r="A383" t="s">
        <v>40</v>
      </c>
      <c r="B383" t="s">
        <v>466</v>
      </c>
      <c r="C383" t="s">
        <v>467</v>
      </c>
      <c r="D383" t="s">
        <v>437</v>
      </c>
      <c r="E383">
        <v>202.7</v>
      </c>
    </row>
    <row r="384" spans="1:5">
      <c r="A384" t="s">
        <v>40</v>
      </c>
      <c r="B384" t="s">
        <v>466</v>
      </c>
      <c r="C384" t="s">
        <v>467</v>
      </c>
      <c r="D384" t="s">
        <v>6911</v>
      </c>
      <c r="E384">
        <v>71.900000000000006</v>
      </c>
    </row>
    <row r="385" spans="1:5">
      <c r="A385" t="s">
        <v>40</v>
      </c>
      <c r="B385" t="s">
        <v>466</v>
      </c>
      <c r="C385" t="s">
        <v>467</v>
      </c>
      <c r="D385" t="s">
        <v>6912</v>
      </c>
      <c r="E385">
        <v>24.2</v>
      </c>
    </row>
    <row r="386" spans="1:5">
      <c r="A386" t="s">
        <v>40</v>
      </c>
      <c r="B386" t="s">
        <v>466</v>
      </c>
      <c r="C386" t="s">
        <v>467</v>
      </c>
      <c r="D386" t="s">
        <v>443</v>
      </c>
      <c r="E386">
        <v>234.2</v>
      </c>
    </row>
    <row r="387" spans="1:5">
      <c r="A387" t="s">
        <v>40</v>
      </c>
      <c r="B387" t="s">
        <v>466</v>
      </c>
      <c r="C387" t="s">
        <v>467</v>
      </c>
      <c r="D387" t="s">
        <v>447</v>
      </c>
      <c r="E387">
        <v>180.7</v>
      </c>
    </row>
    <row r="388" spans="1:5">
      <c r="A388" t="s">
        <v>40</v>
      </c>
      <c r="B388" t="s">
        <v>466</v>
      </c>
      <c r="C388" t="s">
        <v>467</v>
      </c>
      <c r="D388" t="s">
        <v>448</v>
      </c>
      <c r="E388">
        <v>713.7</v>
      </c>
    </row>
    <row r="389" spans="1:5">
      <c r="A389" t="s">
        <v>40</v>
      </c>
      <c r="B389" t="s">
        <v>466</v>
      </c>
      <c r="C389" t="s">
        <v>65</v>
      </c>
      <c r="D389" t="s">
        <v>6911</v>
      </c>
      <c r="E389">
        <v>14.7</v>
      </c>
    </row>
    <row r="390" spans="1:5">
      <c r="A390" t="s">
        <v>40</v>
      </c>
      <c r="B390" t="s">
        <v>466</v>
      </c>
      <c r="C390" t="s">
        <v>65</v>
      </c>
      <c r="D390" t="s">
        <v>448</v>
      </c>
      <c r="E390">
        <v>14.7</v>
      </c>
    </row>
    <row r="391" spans="1:5">
      <c r="A391" t="s">
        <v>40</v>
      </c>
      <c r="B391" t="s">
        <v>466</v>
      </c>
      <c r="C391" t="s">
        <v>455</v>
      </c>
      <c r="D391" t="s">
        <v>437</v>
      </c>
      <c r="E391">
        <v>80.92</v>
      </c>
    </row>
    <row r="392" spans="1:5">
      <c r="A392" t="s">
        <v>40</v>
      </c>
      <c r="B392" t="s">
        <v>466</v>
      </c>
      <c r="C392" t="s">
        <v>455</v>
      </c>
      <c r="D392" t="s">
        <v>6911</v>
      </c>
      <c r="E392">
        <v>43.56</v>
      </c>
    </row>
    <row r="393" spans="1:5">
      <c r="A393" t="s">
        <v>40</v>
      </c>
      <c r="B393" t="s">
        <v>466</v>
      </c>
      <c r="C393" t="s">
        <v>455</v>
      </c>
      <c r="D393" t="s">
        <v>6912</v>
      </c>
      <c r="E393">
        <v>14.52</v>
      </c>
    </row>
    <row r="394" spans="1:5">
      <c r="A394" t="s">
        <v>40</v>
      </c>
      <c r="B394" t="s">
        <v>466</v>
      </c>
      <c r="C394" t="s">
        <v>455</v>
      </c>
      <c r="D394" t="s">
        <v>448</v>
      </c>
      <c r="E394">
        <v>139</v>
      </c>
    </row>
    <row r="395" spans="1:5">
      <c r="A395" t="s">
        <v>40</v>
      </c>
      <c r="B395" t="s">
        <v>466</v>
      </c>
      <c r="C395" t="s">
        <v>6916</v>
      </c>
      <c r="D395" t="s">
        <v>437</v>
      </c>
      <c r="E395">
        <v>86.55</v>
      </c>
    </row>
    <row r="396" spans="1:5">
      <c r="A396" t="s">
        <v>40</v>
      </c>
      <c r="B396" t="s">
        <v>466</v>
      </c>
      <c r="C396" t="s">
        <v>6916</v>
      </c>
      <c r="D396" t="s">
        <v>217</v>
      </c>
      <c r="E396">
        <v>85.35</v>
      </c>
    </row>
    <row r="397" spans="1:5">
      <c r="A397" t="s">
        <v>40</v>
      </c>
      <c r="B397" t="s">
        <v>466</v>
      </c>
      <c r="C397" t="s">
        <v>6916</v>
      </c>
      <c r="D397" t="s">
        <v>448</v>
      </c>
      <c r="E397">
        <v>171.9</v>
      </c>
    </row>
    <row r="398" spans="1:5">
      <c r="A398" t="s">
        <v>40</v>
      </c>
      <c r="B398" t="s">
        <v>466</v>
      </c>
      <c r="C398" t="s">
        <v>457</v>
      </c>
      <c r="D398" t="s">
        <v>437</v>
      </c>
      <c r="E398">
        <v>47.6</v>
      </c>
    </row>
    <row r="399" spans="1:5">
      <c r="A399" t="s">
        <v>40</v>
      </c>
      <c r="B399" t="s">
        <v>466</v>
      </c>
      <c r="C399" t="s">
        <v>457</v>
      </c>
      <c r="D399" t="s">
        <v>6911</v>
      </c>
      <c r="E399">
        <v>64.400000000000006</v>
      </c>
    </row>
    <row r="400" spans="1:5">
      <c r="A400" t="s">
        <v>40</v>
      </c>
      <c r="B400" t="s">
        <v>466</v>
      </c>
      <c r="C400" t="s">
        <v>457</v>
      </c>
      <c r="D400" t="s">
        <v>6912</v>
      </c>
      <c r="E400">
        <v>20.6</v>
      </c>
    </row>
    <row r="401" spans="1:5">
      <c r="A401" t="s">
        <v>40</v>
      </c>
      <c r="B401" t="s">
        <v>466</v>
      </c>
      <c r="C401" t="s">
        <v>457</v>
      </c>
      <c r="D401" t="s">
        <v>448</v>
      </c>
      <c r="E401">
        <v>132.6</v>
      </c>
    </row>
    <row r="402" spans="1:5">
      <c r="A402" t="s">
        <v>40</v>
      </c>
      <c r="B402" t="s">
        <v>466</v>
      </c>
      <c r="C402" t="s">
        <v>497</v>
      </c>
      <c r="D402" t="s">
        <v>6912</v>
      </c>
      <c r="E402">
        <v>279.8</v>
      </c>
    </row>
    <row r="403" spans="1:5">
      <c r="A403" t="s">
        <v>40</v>
      </c>
      <c r="B403" t="s">
        <v>466</v>
      </c>
      <c r="C403" t="s">
        <v>497</v>
      </c>
      <c r="D403" t="s">
        <v>447</v>
      </c>
      <c r="E403">
        <v>19.399999999999999</v>
      </c>
    </row>
    <row r="404" spans="1:5">
      <c r="A404" t="s">
        <v>40</v>
      </c>
      <c r="B404" t="s">
        <v>466</v>
      </c>
      <c r="C404" t="s">
        <v>497</v>
      </c>
      <c r="D404" t="s">
        <v>448</v>
      </c>
      <c r="E404">
        <v>299.2</v>
      </c>
    </row>
    <row r="405" spans="1:5">
      <c r="A405" t="s">
        <v>40</v>
      </c>
      <c r="B405" t="s">
        <v>466</v>
      </c>
      <c r="C405" t="s">
        <v>6917</v>
      </c>
      <c r="D405" t="s">
        <v>437</v>
      </c>
      <c r="E405">
        <v>129.74</v>
      </c>
    </row>
    <row r="406" spans="1:5">
      <c r="A406" t="s">
        <v>40</v>
      </c>
      <c r="B406" t="s">
        <v>466</v>
      </c>
      <c r="C406" t="s">
        <v>6917</v>
      </c>
      <c r="D406" t="s">
        <v>313</v>
      </c>
      <c r="E406">
        <v>49.65</v>
      </c>
    </row>
    <row r="407" spans="1:5">
      <c r="A407" t="s">
        <v>40</v>
      </c>
      <c r="B407" t="s">
        <v>466</v>
      </c>
      <c r="C407" t="s">
        <v>6917</v>
      </c>
      <c r="D407" t="s">
        <v>6911</v>
      </c>
      <c r="E407">
        <v>26.91</v>
      </c>
    </row>
    <row r="408" spans="1:5">
      <c r="A408" t="s">
        <v>40</v>
      </c>
      <c r="B408" t="s">
        <v>466</v>
      </c>
      <c r="C408" t="s">
        <v>6917</v>
      </c>
      <c r="D408" t="s">
        <v>6912</v>
      </c>
      <c r="E408">
        <v>11.9</v>
      </c>
    </row>
    <row r="409" spans="1:5">
      <c r="A409" t="s">
        <v>40</v>
      </c>
      <c r="B409" t="s">
        <v>466</v>
      </c>
      <c r="C409" t="s">
        <v>6917</v>
      </c>
      <c r="D409" t="s">
        <v>448</v>
      </c>
      <c r="E409">
        <v>218.2</v>
      </c>
    </row>
    <row r="410" spans="1:5">
      <c r="A410" t="s">
        <v>40</v>
      </c>
      <c r="B410" t="s">
        <v>466</v>
      </c>
      <c r="C410" t="s">
        <v>382</v>
      </c>
      <c r="D410" t="s">
        <v>6911</v>
      </c>
      <c r="E410">
        <v>12.7</v>
      </c>
    </row>
    <row r="411" spans="1:5">
      <c r="A411" t="s">
        <v>40</v>
      </c>
      <c r="B411" t="s">
        <v>466</v>
      </c>
      <c r="C411" t="s">
        <v>382</v>
      </c>
      <c r="D411" t="s">
        <v>448</v>
      </c>
      <c r="E411">
        <v>12.7</v>
      </c>
    </row>
    <row r="412" spans="1:5">
      <c r="A412" t="s">
        <v>40</v>
      </c>
      <c r="B412" t="s">
        <v>466</v>
      </c>
      <c r="C412" t="s">
        <v>460</v>
      </c>
      <c r="D412" t="s">
        <v>437</v>
      </c>
      <c r="E412">
        <v>22.3</v>
      </c>
    </row>
    <row r="413" spans="1:5">
      <c r="A413" t="s">
        <v>40</v>
      </c>
      <c r="B413" t="s">
        <v>466</v>
      </c>
      <c r="C413" t="s">
        <v>460</v>
      </c>
      <c r="D413" t="s">
        <v>313</v>
      </c>
      <c r="E413">
        <v>8.9</v>
      </c>
    </row>
    <row r="414" spans="1:5">
      <c r="A414" t="s">
        <v>40</v>
      </c>
      <c r="B414" t="s">
        <v>466</v>
      </c>
      <c r="C414" t="s">
        <v>460</v>
      </c>
      <c r="D414" t="s">
        <v>6911</v>
      </c>
      <c r="E414">
        <v>136.80000000000001</v>
      </c>
    </row>
    <row r="415" spans="1:5">
      <c r="A415" t="s">
        <v>40</v>
      </c>
      <c r="B415" t="s">
        <v>466</v>
      </c>
      <c r="C415" t="s">
        <v>460</v>
      </c>
      <c r="D415" t="s">
        <v>6912</v>
      </c>
      <c r="E415">
        <v>24.6</v>
      </c>
    </row>
    <row r="416" spans="1:5">
      <c r="A416" t="s">
        <v>40</v>
      </c>
      <c r="B416" t="s">
        <v>466</v>
      </c>
      <c r="C416" t="s">
        <v>460</v>
      </c>
      <c r="D416" t="s">
        <v>447</v>
      </c>
      <c r="E416">
        <v>4.4000000000000004</v>
      </c>
    </row>
    <row r="417" spans="1:5">
      <c r="A417" t="s">
        <v>40</v>
      </c>
      <c r="B417" t="s">
        <v>466</v>
      </c>
      <c r="C417" t="s">
        <v>460</v>
      </c>
      <c r="D417" t="s">
        <v>448</v>
      </c>
      <c r="E417">
        <v>197</v>
      </c>
    </row>
    <row r="418" spans="1:5">
      <c r="A418" t="s">
        <v>40</v>
      </c>
      <c r="B418" t="s">
        <v>466</v>
      </c>
      <c r="C418" t="s">
        <v>448</v>
      </c>
      <c r="D418" t="s">
        <v>437</v>
      </c>
      <c r="E418">
        <v>773.21</v>
      </c>
    </row>
    <row r="419" spans="1:5">
      <c r="A419" t="s">
        <v>40</v>
      </c>
      <c r="B419" t="s">
        <v>466</v>
      </c>
      <c r="C419" t="s">
        <v>448</v>
      </c>
      <c r="D419" t="s">
        <v>217</v>
      </c>
      <c r="E419">
        <v>85.35</v>
      </c>
    </row>
    <row r="420" spans="1:5">
      <c r="A420" t="s">
        <v>40</v>
      </c>
      <c r="B420" t="s">
        <v>466</v>
      </c>
      <c r="C420" t="s">
        <v>448</v>
      </c>
      <c r="D420" t="s">
        <v>313</v>
      </c>
      <c r="E420">
        <v>58.55</v>
      </c>
    </row>
    <row r="421" spans="1:5">
      <c r="A421" t="s">
        <v>40</v>
      </c>
      <c r="B421" t="s">
        <v>466</v>
      </c>
      <c r="C421" t="s">
        <v>448</v>
      </c>
      <c r="D421" t="s">
        <v>6911</v>
      </c>
      <c r="E421">
        <v>932.57</v>
      </c>
    </row>
    <row r="422" spans="1:5">
      <c r="A422" t="s">
        <v>40</v>
      </c>
      <c r="B422" t="s">
        <v>466</v>
      </c>
      <c r="C422" t="s">
        <v>448</v>
      </c>
      <c r="D422" t="s">
        <v>441</v>
      </c>
      <c r="E422">
        <v>543.79999999999995</v>
      </c>
    </row>
    <row r="423" spans="1:5">
      <c r="A423" t="s">
        <v>40</v>
      </c>
      <c r="B423" t="s">
        <v>466</v>
      </c>
      <c r="C423" t="s">
        <v>448</v>
      </c>
      <c r="D423" t="s">
        <v>6912</v>
      </c>
      <c r="E423">
        <v>383.22</v>
      </c>
    </row>
    <row r="424" spans="1:5">
      <c r="A424" t="s">
        <v>40</v>
      </c>
      <c r="B424" t="s">
        <v>466</v>
      </c>
      <c r="C424" t="s">
        <v>448</v>
      </c>
      <c r="D424" t="s">
        <v>443</v>
      </c>
      <c r="E424">
        <v>234.2</v>
      </c>
    </row>
    <row r="425" spans="1:5">
      <c r="A425" t="s">
        <v>40</v>
      </c>
      <c r="B425" t="s">
        <v>466</v>
      </c>
      <c r="C425" t="s">
        <v>448</v>
      </c>
      <c r="D425" t="s">
        <v>6915</v>
      </c>
      <c r="E425">
        <v>40.700000000000003</v>
      </c>
    </row>
    <row r="426" spans="1:5">
      <c r="A426" t="s">
        <v>40</v>
      </c>
      <c r="B426" t="s">
        <v>466</v>
      </c>
      <c r="C426" t="s">
        <v>448</v>
      </c>
      <c r="D426" t="s">
        <v>447</v>
      </c>
      <c r="E426">
        <v>211.5</v>
      </c>
    </row>
    <row r="427" spans="1:5">
      <c r="A427" t="s">
        <v>40</v>
      </c>
      <c r="B427" t="s">
        <v>466</v>
      </c>
      <c r="C427" t="s">
        <v>448</v>
      </c>
      <c r="D427" t="s">
        <v>448</v>
      </c>
      <c r="E427">
        <v>3263.1</v>
      </c>
    </row>
    <row r="428" spans="1:5">
      <c r="A428" t="s">
        <v>40</v>
      </c>
      <c r="B428" t="s">
        <v>468</v>
      </c>
      <c r="C428" t="s">
        <v>6910</v>
      </c>
      <c r="D428" t="s">
        <v>437</v>
      </c>
      <c r="E428">
        <v>1.3</v>
      </c>
    </row>
    <row r="429" spans="1:5">
      <c r="A429" t="s">
        <v>40</v>
      </c>
      <c r="B429" t="s">
        <v>468</v>
      </c>
      <c r="C429" t="s">
        <v>6910</v>
      </c>
      <c r="D429" t="s">
        <v>6911</v>
      </c>
      <c r="E429">
        <v>32.6</v>
      </c>
    </row>
    <row r="430" spans="1:5">
      <c r="A430" t="s">
        <v>40</v>
      </c>
      <c r="B430" t="s">
        <v>468</v>
      </c>
      <c r="C430" t="s">
        <v>6910</v>
      </c>
      <c r="D430" t="s">
        <v>441</v>
      </c>
      <c r="E430">
        <v>274.89999999999998</v>
      </c>
    </row>
    <row r="431" spans="1:5">
      <c r="A431" t="s">
        <v>40</v>
      </c>
      <c r="B431" t="s">
        <v>468</v>
      </c>
      <c r="C431" t="s">
        <v>6910</v>
      </c>
      <c r="D431" t="s">
        <v>6912</v>
      </c>
      <c r="E431">
        <v>8.8000000000000007</v>
      </c>
    </row>
    <row r="432" spans="1:5">
      <c r="A432" t="s">
        <v>40</v>
      </c>
      <c r="B432" t="s">
        <v>468</v>
      </c>
      <c r="C432" t="s">
        <v>6910</v>
      </c>
      <c r="D432" t="s">
        <v>447</v>
      </c>
      <c r="E432">
        <v>1.3</v>
      </c>
    </row>
    <row r="433" spans="1:5">
      <c r="A433" t="s">
        <v>40</v>
      </c>
      <c r="B433" t="s">
        <v>468</v>
      </c>
      <c r="C433" t="s">
        <v>6910</v>
      </c>
      <c r="D433" t="s">
        <v>448</v>
      </c>
      <c r="E433">
        <v>318.89999999999998</v>
      </c>
    </row>
    <row r="434" spans="1:5">
      <c r="A434" t="s">
        <v>40</v>
      </c>
      <c r="B434" t="s">
        <v>468</v>
      </c>
      <c r="C434" t="s">
        <v>6913</v>
      </c>
      <c r="D434" t="s">
        <v>437</v>
      </c>
      <c r="E434">
        <v>76.16</v>
      </c>
    </row>
    <row r="435" spans="1:5">
      <c r="A435" t="s">
        <v>40</v>
      </c>
      <c r="B435" t="s">
        <v>468</v>
      </c>
      <c r="C435" t="s">
        <v>6913</v>
      </c>
      <c r="D435" t="s">
        <v>6911</v>
      </c>
      <c r="E435">
        <v>144.54</v>
      </c>
    </row>
    <row r="436" spans="1:5">
      <c r="A436" t="s">
        <v>40</v>
      </c>
      <c r="B436" t="s">
        <v>468</v>
      </c>
      <c r="C436" t="s">
        <v>6913</v>
      </c>
      <c r="D436" t="s">
        <v>6915</v>
      </c>
      <c r="E436">
        <v>69.400000000000006</v>
      </c>
    </row>
    <row r="437" spans="1:5">
      <c r="A437" t="s">
        <v>40</v>
      </c>
      <c r="B437" t="s">
        <v>468</v>
      </c>
      <c r="C437" t="s">
        <v>6913</v>
      </c>
      <c r="D437" t="s">
        <v>448</v>
      </c>
      <c r="E437">
        <v>290.10000000000002</v>
      </c>
    </row>
    <row r="438" spans="1:5">
      <c r="A438" t="s">
        <v>40</v>
      </c>
      <c r="B438" t="s">
        <v>468</v>
      </c>
      <c r="C438" t="s">
        <v>6914</v>
      </c>
      <c r="D438" t="s">
        <v>437</v>
      </c>
      <c r="E438">
        <v>148.6</v>
      </c>
    </row>
    <row r="439" spans="1:5">
      <c r="A439" t="s">
        <v>40</v>
      </c>
      <c r="B439" t="s">
        <v>468</v>
      </c>
      <c r="C439" t="s">
        <v>6914</v>
      </c>
      <c r="D439" t="s">
        <v>6911</v>
      </c>
      <c r="E439">
        <v>51</v>
      </c>
    </row>
    <row r="440" spans="1:5">
      <c r="A440" t="s">
        <v>40</v>
      </c>
      <c r="B440" t="s">
        <v>468</v>
      </c>
      <c r="C440" t="s">
        <v>6914</v>
      </c>
      <c r="D440" t="s">
        <v>448</v>
      </c>
      <c r="E440">
        <v>199.6</v>
      </c>
    </row>
    <row r="441" spans="1:5">
      <c r="A441" t="s">
        <v>40</v>
      </c>
      <c r="B441" t="s">
        <v>468</v>
      </c>
      <c r="C441" t="s">
        <v>467</v>
      </c>
      <c r="D441" t="s">
        <v>437</v>
      </c>
      <c r="E441">
        <v>53.55</v>
      </c>
    </row>
    <row r="442" spans="1:5">
      <c r="A442" t="s">
        <v>40</v>
      </c>
      <c r="B442" t="s">
        <v>468</v>
      </c>
      <c r="C442" t="s">
        <v>467</v>
      </c>
      <c r="D442" t="s">
        <v>217</v>
      </c>
      <c r="E442">
        <v>9.36</v>
      </c>
    </row>
    <row r="443" spans="1:5">
      <c r="A443" t="s">
        <v>40</v>
      </c>
      <c r="B443" t="s">
        <v>468</v>
      </c>
      <c r="C443" t="s">
        <v>467</v>
      </c>
      <c r="D443" t="s">
        <v>313</v>
      </c>
      <c r="E443">
        <v>5.04</v>
      </c>
    </row>
    <row r="444" spans="1:5">
      <c r="A444" t="s">
        <v>40</v>
      </c>
      <c r="B444" t="s">
        <v>468</v>
      </c>
      <c r="C444" t="s">
        <v>467</v>
      </c>
      <c r="D444" t="s">
        <v>6911</v>
      </c>
      <c r="E444">
        <v>57.33</v>
      </c>
    </row>
    <row r="445" spans="1:5">
      <c r="A445" t="s">
        <v>40</v>
      </c>
      <c r="B445" t="s">
        <v>468</v>
      </c>
      <c r="C445" t="s">
        <v>467</v>
      </c>
      <c r="D445" t="s">
        <v>6912</v>
      </c>
      <c r="E445">
        <v>2.7</v>
      </c>
    </row>
    <row r="446" spans="1:5">
      <c r="A446" t="s">
        <v>40</v>
      </c>
      <c r="B446" t="s">
        <v>468</v>
      </c>
      <c r="C446" t="s">
        <v>467</v>
      </c>
      <c r="D446" t="s">
        <v>443</v>
      </c>
      <c r="E446">
        <v>363.6</v>
      </c>
    </row>
    <row r="447" spans="1:5">
      <c r="A447" t="s">
        <v>40</v>
      </c>
      <c r="B447" t="s">
        <v>468</v>
      </c>
      <c r="C447" t="s">
        <v>467</v>
      </c>
      <c r="D447" t="s">
        <v>447</v>
      </c>
      <c r="E447">
        <v>22.725000000000001</v>
      </c>
    </row>
    <row r="448" spans="1:5">
      <c r="A448" t="s">
        <v>40</v>
      </c>
      <c r="B448" t="s">
        <v>468</v>
      </c>
      <c r="C448" t="s">
        <v>467</v>
      </c>
      <c r="D448" t="s">
        <v>448</v>
      </c>
      <c r="E448">
        <v>514.30499999999995</v>
      </c>
    </row>
    <row r="449" spans="1:5">
      <c r="A449" t="s">
        <v>40</v>
      </c>
      <c r="B449" t="s">
        <v>468</v>
      </c>
      <c r="C449" t="s">
        <v>65</v>
      </c>
      <c r="D449" t="s">
        <v>6911</v>
      </c>
      <c r="E449">
        <v>23.3</v>
      </c>
    </row>
    <row r="450" spans="1:5">
      <c r="A450" t="s">
        <v>40</v>
      </c>
      <c r="B450" t="s">
        <v>468</v>
      </c>
      <c r="C450" t="s">
        <v>65</v>
      </c>
      <c r="D450" t="s">
        <v>448</v>
      </c>
      <c r="E450">
        <v>23.3</v>
      </c>
    </row>
    <row r="451" spans="1:5">
      <c r="A451" t="s">
        <v>40</v>
      </c>
      <c r="B451" t="s">
        <v>468</v>
      </c>
      <c r="C451" t="s">
        <v>455</v>
      </c>
      <c r="D451" t="s">
        <v>437</v>
      </c>
      <c r="E451">
        <v>62.8</v>
      </c>
    </row>
    <row r="452" spans="1:5">
      <c r="A452" t="s">
        <v>40</v>
      </c>
      <c r="B452" t="s">
        <v>468</v>
      </c>
      <c r="C452" t="s">
        <v>455</v>
      </c>
      <c r="D452" t="s">
        <v>313</v>
      </c>
      <c r="E452">
        <v>61.814999999999998</v>
      </c>
    </row>
    <row r="453" spans="1:5">
      <c r="A453" t="s">
        <v>40</v>
      </c>
      <c r="B453" t="s">
        <v>468</v>
      </c>
      <c r="C453" t="s">
        <v>455</v>
      </c>
      <c r="D453" t="s">
        <v>6911</v>
      </c>
      <c r="E453">
        <v>6.0750000000000002</v>
      </c>
    </row>
    <row r="454" spans="1:5">
      <c r="A454" t="s">
        <v>40</v>
      </c>
      <c r="B454" t="s">
        <v>468</v>
      </c>
      <c r="C454" t="s">
        <v>455</v>
      </c>
      <c r="D454" t="s">
        <v>6912</v>
      </c>
      <c r="E454">
        <v>9.51</v>
      </c>
    </row>
    <row r="455" spans="1:5">
      <c r="A455" t="s">
        <v>40</v>
      </c>
      <c r="B455" t="s">
        <v>468</v>
      </c>
      <c r="C455" t="s">
        <v>455</v>
      </c>
      <c r="D455" t="s">
        <v>448</v>
      </c>
      <c r="E455">
        <v>140.19999999999999</v>
      </c>
    </row>
    <row r="456" spans="1:5">
      <c r="A456" t="s">
        <v>40</v>
      </c>
      <c r="B456" t="s">
        <v>468</v>
      </c>
      <c r="C456" t="s">
        <v>6916</v>
      </c>
      <c r="D456" t="s">
        <v>437</v>
      </c>
      <c r="E456">
        <v>39.119999999999997</v>
      </c>
    </row>
    <row r="457" spans="1:5">
      <c r="A457" t="s">
        <v>40</v>
      </c>
      <c r="B457" t="s">
        <v>468</v>
      </c>
      <c r="C457" t="s">
        <v>6916</v>
      </c>
      <c r="D457" t="s">
        <v>217</v>
      </c>
      <c r="E457">
        <v>9.7799999999999994</v>
      </c>
    </row>
    <row r="458" spans="1:5">
      <c r="A458" t="s">
        <v>40</v>
      </c>
      <c r="B458" t="s">
        <v>468</v>
      </c>
      <c r="C458" t="s">
        <v>6916</v>
      </c>
      <c r="D458" t="s">
        <v>448</v>
      </c>
      <c r="E458">
        <v>48.9</v>
      </c>
    </row>
    <row r="459" spans="1:5">
      <c r="A459" t="s">
        <v>40</v>
      </c>
      <c r="B459" t="s">
        <v>468</v>
      </c>
      <c r="C459" t="s">
        <v>457</v>
      </c>
      <c r="D459" t="s">
        <v>437</v>
      </c>
      <c r="E459">
        <v>74.3</v>
      </c>
    </row>
    <row r="460" spans="1:5">
      <c r="A460" t="s">
        <v>40</v>
      </c>
      <c r="B460" t="s">
        <v>468</v>
      </c>
      <c r="C460" t="s">
        <v>457</v>
      </c>
      <c r="D460" t="s">
        <v>6911</v>
      </c>
      <c r="E460">
        <v>37.28</v>
      </c>
    </row>
    <row r="461" spans="1:5">
      <c r="A461" t="s">
        <v>40</v>
      </c>
      <c r="B461" t="s">
        <v>468</v>
      </c>
      <c r="C461" t="s">
        <v>457</v>
      </c>
      <c r="D461" t="s">
        <v>448</v>
      </c>
      <c r="E461">
        <v>111.58</v>
      </c>
    </row>
    <row r="462" spans="1:5">
      <c r="A462" t="s">
        <v>40</v>
      </c>
      <c r="B462" t="s">
        <v>468</v>
      </c>
      <c r="C462" t="s">
        <v>497</v>
      </c>
      <c r="D462" t="s">
        <v>6912</v>
      </c>
      <c r="E462">
        <v>288.3</v>
      </c>
    </row>
    <row r="463" spans="1:5">
      <c r="A463" t="s">
        <v>40</v>
      </c>
      <c r="B463" t="s">
        <v>468</v>
      </c>
      <c r="C463" t="s">
        <v>497</v>
      </c>
      <c r="D463" t="s">
        <v>447</v>
      </c>
      <c r="E463">
        <v>46.3</v>
      </c>
    </row>
    <row r="464" spans="1:5">
      <c r="A464" t="s">
        <v>40</v>
      </c>
      <c r="B464" t="s">
        <v>468</v>
      </c>
      <c r="C464" t="s">
        <v>497</v>
      </c>
      <c r="D464" t="s">
        <v>448</v>
      </c>
      <c r="E464">
        <v>334.6</v>
      </c>
    </row>
    <row r="465" spans="1:5">
      <c r="A465" t="s">
        <v>40</v>
      </c>
      <c r="B465" t="s">
        <v>468</v>
      </c>
      <c r="C465" t="s">
        <v>6917</v>
      </c>
      <c r="D465" t="s">
        <v>437</v>
      </c>
      <c r="E465">
        <v>12.84</v>
      </c>
    </row>
    <row r="466" spans="1:5">
      <c r="A466" t="s">
        <v>40</v>
      </c>
      <c r="B466" t="s">
        <v>468</v>
      </c>
      <c r="C466" t="s">
        <v>6917</v>
      </c>
      <c r="D466" t="s">
        <v>217</v>
      </c>
      <c r="E466">
        <v>26.16</v>
      </c>
    </row>
    <row r="467" spans="1:5">
      <c r="A467" t="s">
        <v>40</v>
      </c>
      <c r="B467" t="s">
        <v>468</v>
      </c>
      <c r="C467" t="s">
        <v>6917</v>
      </c>
      <c r="D467" t="s">
        <v>313</v>
      </c>
      <c r="E467">
        <v>29.3</v>
      </c>
    </row>
    <row r="468" spans="1:5">
      <c r="A468" t="s">
        <v>40</v>
      </c>
      <c r="B468" t="s">
        <v>468</v>
      </c>
      <c r="C468" t="s">
        <v>6917</v>
      </c>
      <c r="D468" t="s">
        <v>6911</v>
      </c>
      <c r="E468">
        <v>59.36</v>
      </c>
    </row>
    <row r="469" spans="1:5">
      <c r="A469" t="s">
        <v>40</v>
      </c>
      <c r="B469" t="s">
        <v>468</v>
      </c>
      <c r="C469" t="s">
        <v>6917</v>
      </c>
      <c r="D469" t="s">
        <v>6912</v>
      </c>
      <c r="E469">
        <v>15.94</v>
      </c>
    </row>
    <row r="470" spans="1:5">
      <c r="A470" t="s">
        <v>40</v>
      </c>
      <c r="B470" t="s">
        <v>468</v>
      </c>
      <c r="C470" t="s">
        <v>6917</v>
      </c>
      <c r="D470" t="s">
        <v>448</v>
      </c>
      <c r="E470">
        <v>143.6</v>
      </c>
    </row>
    <row r="471" spans="1:5">
      <c r="A471" t="s">
        <v>40</v>
      </c>
      <c r="B471" t="s">
        <v>468</v>
      </c>
      <c r="C471" t="s">
        <v>382</v>
      </c>
      <c r="D471" t="s">
        <v>6911</v>
      </c>
      <c r="E471">
        <v>27.6</v>
      </c>
    </row>
    <row r="472" spans="1:5">
      <c r="A472" t="s">
        <v>40</v>
      </c>
      <c r="B472" t="s">
        <v>468</v>
      </c>
      <c r="C472" t="s">
        <v>382</v>
      </c>
      <c r="D472" t="s">
        <v>448</v>
      </c>
      <c r="E472">
        <v>27.6</v>
      </c>
    </row>
    <row r="473" spans="1:5">
      <c r="A473" t="s">
        <v>40</v>
      </c>
      <c r="B473" t="s">
        <v>468</v>
      </c>
      <c r="C473" t="s">
        <v>460</v>
      </c>
      <c r="D473" t="s">
        <v>437</v>
      </c>
      <c r="E473">
        <v>74.484999999999999</v>
      </c>
    </row>
    <row r="474" spans="1:5">
      <c r="A474" t="s">
        <v>40</v>
      </c>
      <c r="B474" t="s">
        <v>468</v>
      </c>
      <c r="C474" t="s">
        <v>460</v>
      </c>
      <c r="D474" t="s">
        <v>313</v>
      </c>
      <c r="E474">
        <v>13.7</v>
      </c>
    </row>
    <row r="475" spans="1:5">
      <c r="A475" t="s">
        <v>40</v>
      </c>
      <c r="B475" t="s">
        <v>468</v>
      </c>
      <c r="C475" t="s">
        <v>460</v>
      </c>
      <c r="D475" t="s">
        <v>6911</v>
      </c>
      <c r="E475">
        <v>153.22499999999999</v>
      </c>
    </row>
    <row r="476" spans="1:5">
      <c r="A476" t="s">
        <v>40</v>
      </c>
      <c r="B476" t="s">
        <v>468</v>
      </c>
      <c r="C476" t="s">
        <v>460</v>
      </c>
      <c r="D476" t="s">
        <v>6912</v>
      </c>
      <c r="E476">
        <v>31.74</v>
      </c>
    </row>
    <row r="477" spans="1:5">
      <c r="A477" t="s">
        <v>40</v>
      </c>
      <c r="B477" t="s">
        <v>468</v>
      </c>
      <c r="C477" t="s">
        <v>460</v>
      </c>
      <c r="D477" t="s">
        <v>447</v>
      </c>
      <c r="E477">
        <v>10.8</v>
      </c>
    </row>
    <row r="478" spans="1:5">
      <c r="A478" t="s">
        <v>40</v>
      </c>
      <c r="B478" t="s">
        <v>468</v>
      </c>
      <c r="C478" t="s">
        <v>460</v>
      </c>
      <c r="D478" t="s">
        <v>448</v>
      </c>
      <c r="E478">
        <v>283.95</v>
      </c>
    </row>
    <row r="479" spans="1:5">
      <c r="A479" t="s">
        <v>40</v>
      </c>
      <c r="B479" t="s">
        <v>468</v>
      </c>
      <c r="C479" t="s">
        <v>448</v>
      </c>
      <c r="D479" t="s">
        <v>437</v>
      </c>
      <c r="E479">
        <v>543.15499999999997</v>
      </c>
    </row>
    <row r="480" spans="1:5">
      <c r="A480" t="s">
        <v>40</v>
      </c>
      <c r="B480" t="s">
        <v>468</v>
      </c>
      <c r="C480" t="s">
        <v>448</v>
      </c>
      <c r="D480" t="s">
        <v>217</v>
      </c>
      <c r="E480">
        <v>45.3</v>
      </c>
    </row>
    <row r="481" spans="1:5">
      <c r="A481" t="s">
        <v>40</v>
      </c>
      <c r="B481" t="s">
        <v>468</v>
      </c>
      <c r="C481" t="s">
        <v>448</v>
      </c>
      <c r="D481" t="s">
        <v>313</v>
      </c>
      <c r="E481">
        <v>109.855</v>
      </c>
    </row>
    <row r="482" spans="1:5">
      <c r="A482" t="s">
        <v>40</v>
      </c>
      <c r="B482" t="s">
        <v>468</v>
      </c>
      <c r="C482" t="s">
        <v>448</v>
      </c>
      <c r="D482" t="s">
        <v>6911</v>
      </c>
      <c r="E482">
        <v>592.30999999999995</v>
      </c>
    </row>
    <row r="483" spans="1:5">
      <c r="A483" t="s">
        <v>40</v>
      </c>
      <c r="B483" t="s">
        <v>468</v>
      </c>
      <c r="C483" t="s">
        <v>448</v>
      </c>
      <c r="D483" t="s">
        <v>441</v>
      </c>
      <c r="E483">
        <v>274.89999999999998</v>
      </c>
    </row>
    <row r="484" spans="1:5">
      <c r="A484" t="s">
        <v>40</v>
      </c>
      <c r="B484" t="s">
        <v>468</v>
      </c>
      <c r="C484" t="s">
        <v>448</v>
      </c>
      <c r="D484" t="s">
        <v>6912</v>
      </c>
      <c r="E484">
        <v>356.99</v>
      </c>
    </row>
    <row r="485" spans="1:5">
      <c r="A485" t="s">
        <v>40</v>
      </c>
      <c r="B485" t="s">
        <v>468</v>
      </c>
      <c r="C485" t="s">
        <v>448</v>
      </c>
      <c r="D485" t="s">
        <v>443</v>
      </c>
      <c r="E485">
        <v>363.6</v>
      </c>
    </row>
    <row r="486" spans="1:5">
      <c r="A486" t="s">
        <v>40</v>
      </c>
      <c r="B486" t="s">
        <v>468</v>
      </c>
      <c r="C486" t="s">
        <v>448</v>
      </c>
      <c r="D486" t="s">
        <v>6915</v>
      </c>
      <c r="E486">
        <v>69.400000000000006</v>
      </c>
    </row>
    <row r="487" spans="1:5">
      <c r="A487" t="s">
        <v>40</v>
      </c>
      <c r="B487" t="s">
        <v>468</v>
      </c>
      <c r="C487" t="s">
        <v>448</v>
      </c>
      <c r="D487" t="s">
        <v>447</v>
      </c>
      <c r="E487">
        <v>81.125</v>
      </c>
    </row>
    <row r="488" spans="1:5">
      <c r="A488" t="s">
        <v>40</v>
      </c>
      <c r="B488" t="s">
        <v>468</v>
      </c>
      <c r="C488" t="s">
        <v>448</v>
      </c>
      <c r="D488" t="s">
        <v>448</v>
      </c>
      <c r="E488">
        <v>2436.6350000000002</v>
      </c>
    </row>
    <row r="489" spans="1:5">
      <c r="A489" t="s">
        <v>40</v>
      </c>
      <c r="B489" t="s">
        <v>469</v>
      </c>
      <c r="C489" t="s">
        <v>6910</v>
      </c>
      <c r="D489" t="s">
        <v>313</v>
      </c>
      <c r="E489">
        <v>3.92</v>
      </c>
    </row>
    <row r="490" spans="1:5">
      <c r="A490" t="s">
        <v>40</v>
      </c>
      <c r="B490" t="s">
        <v>469</v>
      </c>
      <c r="C490" t="s">
        <v>6910</v>
      </c>
      <c r="D490" t="s">
        <v>6911</v>
      </c>
      <c r="E490">
        <v>32.9</v>
      </c>
    </row>
    <row r="491" spans="1:5">
      <c r="A491" t="s">
        <v>40</v>
      </c>
      <c r="B491" t="s">
        <v>469</v>
      </c>
      <c r="C491" t="s">
        <v>6910</v>
      </c>
      <c r="D491" t="s">
        <v>441</v>
      </c>
      <c r="E491">
        <v>265.2</v>
      </c>
    </row>
    <row r="492" spans="1:5">
      <c r="A492" t="s">
        <v>40</v>
      </c>
      <c r="B492" t="s">
        <v>469</v>
      </c>
      <c r="C492" t="s">
        <v>6910</v>
      </c>
      <c r="D492" t="s">
        <v>6912</v>
      </c>
      <c r="E492">
        <v>8.6</v>
      </c>
    </row>
    <row r="493" spans="1:5">
      <c r="A493" t="s">
        <v>40</v>
      </c>
      <c r="B493" t="s">
        <v>469</v>
      </c>
      <c r="C493" t="s">
        <v>6910</v>
      </c>
      <c r="D493" t="s">
        <v>447</v>
      </c>
      <c r="E493">
        <v>0.98</v>
      </c>
    </row>
    <row r="494" spans="1:5">
      <c r="A494" t="s">
        <v>40</v>
      </c>
      <c r="B494" t="s">
        <v>469</v>
      </c>
      <c r="C494" t="s">
        <v>6910</v>
      </c>
      <c r="D494" t="s">
        <v>448</v>
      </c>
      <c r="E494">
        <v>311.60000000000002</v>
      </c>
    </row>
    <row r="495" spans="1:5">
      <c r="A495" t="s">
        <v>40</v>
      </c>
      <c r="B495" t="s">
        <v>469</v>
      </c>
      <c r="C495" t="s">
        <v>6913</v>
      </c>
      <c r="D495" t="s">
        <v>437</v>
      </c>
      <c r="E495">
        <v>10.199999999999999</v>
      </c>
    </row>
    <row r="496" spans="1:5">
      <c r="A496" t="s">
        <v>40</v>
      </c>
      <c r="B496" t="s">
        <v>469</v>
      </c>
      <c r="C496" t="s">
        <v>6913</v>
      </c>
      <c r="D496" t="s">
        <v>313</v>
      </c>
      <c r="E496">
        <v>10.199999999999999</v>
      </c>
    </row>
    <row r="497" spans="1:5">
      <c r="A497" t="s">
        <v>40</v>
      </c>
      <c r="B497" t="s">
        <v>469</v>
      </c>
      <c r="C497" t="s">
        <v>6913</v>
      </c>
      <c r="D497" t="s">
        <v>6911</v>
      </c>
      <c r="E497">
        <v>154.80000000000001</v>
      </c>
    </row>
    <row r="498" spans="1:5">
      <c r="A498" t="s">
        <v>40</v>
      </c>
      <c r="B498" t="s">
        <v>469</v>
      </c>
      <c r="C498" t="s">
        <v>6913</v>
      </c>
      <c r="D498" t="s">
        <v>447</v>
      </c>
      <c r="E498">
        <v>6.3</v>
      </c>
    </row>
    <row r="499" spans="1:5">
      <c r="A499" t="s">
        <v>40</v>
      </c>
      <c r="B499" t="s">
        <v>469</v>
      </c>
      <c r="C499" t="s">
        <v>6913</v>
      </c>
      <c r="D499" t="s">
        <v>448</v>
      </c>
      <c r="E499">
        <v>181.5</v>
      </c>
    </row>
    <row r="500" spans="1:5">
      <c r="A500" t="s">
        <v>40</v>
      </c>
      <c r="B500" t="s">
        <v>469</v>
      </c>
      <c r="C500" t="s">
        <v>6914</v>
      </c>
      <c r="D500" t="s">
        <v>437</v>
      </c>
      <c r="E500">
        <v>6.4</v>
      </c>
    </row>
    <row r="501" spans="1:5">
      <c r="A501" t="s">
        <v>40</v>
      </c>
      <c r="B501" t="s">
        <v>469</v>
      </c>
      <c r="C501" t="s">
        <v>6914</v>
      </c>
      <c r="D501" t="s">
        <v>217</v>
      </c>
      <c r="E501">
        <v>6.5</v>
      </c>
    </row>
    <row r="502" spans="1:5">
      <c r="A502" t="s">
        <v>40</v>
      </c>
      <c r="B502" t="s">
        <v>469</v>
      </c>
      <c r="C502" t="s">
        <v>6914</v>
      </c>
      <c r="D502" t="s">
        <v>313</v>
      </c>
      <c r="E502">
        <v>1.7</v>
      </c>
    </row>
    <row r="503" spans="1:5">
      <c r="A503" t="s">
        <v>40</v>
      </c>
      <c r="B503" t="s">
        <v>469</v>
      </c>
      <c r="C503" t="s">
        <v>6914</v>
      </c>
      <c r="D503" t="s">
        <v>6911</v>
      </c>
      <c r="E503">
        <v>181.4</v>
      </c>
    </row>
    <row r="504" spans="1:5">
      <c r="A504" t="s">
        <v>40</v>
      </c>
      <c r="B504" t="s">
        <v>469</v>
      </c>
      <c r="C504" t="s">
        <v>6914</v>
      </c>
      <c r="D504" t="s">
        <v>447</v>
      </c>
      <c r="E504">
        <v>0.2</v>
      </c>
    </row>
    <row r="505" spans="1:5">
      <c r="A505" t="s">
        <v>40</v>
      </c>
      <c r="B505" t="s">
        <v>469</v>
      </c>
      <c r="C505" t="s">
        <v>6914</v>
      </c>
      <c r="D505" t="s">
        <v>448</v>
      </c>
      <c r="E505">
        <v>196.2</v>
      </c>
    </row>
    <row r="506" spans="1:5">
      <c r="A506" t="s">
        <v>40</v>
      </c>
      <c r="B506" t="s">
        <v>469</v>
      </c>
      <c r="C506" t="s">
        <v>467</v>
      </c>
      <c r="D506" t="s">
        <v>437</v>
      </c>
      <c r="E506">
        <v>5.2</v>
      </c>
    </row>
    <row r="507" spans="1:5">
      <c r="A507" t="s">
        <v>40</v>
      </c>
      <c r="B507" t="s">
        <v>469</v>
      </c>
      <c r="C507" t="s">
        <v>467</v>
      </c>
      <c r="D507" t="s">
        <v>313</v>
      </c>
      <c r="E507">
        <v>65</v>
      </c>
    </row>
    <row r="508" spans="1:5">
      <c r="A508" t="s">
        <v>40</v>
      </c>
      <c r="B508" t="s">
        <v>469</v>
      </c>
      <c r="C508" t="s">
        <v>467</v>
      </c>
      <c r="D508" t="s">
        <v>6911</v>
      </c>
      <c r="E508">
        <v>219.9</v>
      </c>
    </row>
    <row r="509" spans="1:5">
      <c r="A509" t="s">
        <v>40</v>
      </c>
      <c r="B509" t="s">
        <v>469</v>
      </c>
      <c r="C509" t="s">
        <v>467</v>
      </c>
      <c r="D509" t="s">
        <v>6912</v>
      </c>
      <c r="E509">
        <v>26.6</v>
      </c>
    </row>
    <row r="510" spans="1:5">
      <c r="A510" t="s">
        <v>40</v>
      </c>
      <c r="B510" t="s">
        <v>469</v>
      </c>
      <c r="C510" t="s">
        <v>467</v>
      </c>
      <c r="D510" t="s">
        <v>443</v>
      </c>
      <c r="E510">
        <v>208.1</v>
      </c>
    </row>
    <row r="511" spans="1:5">
      <c r="A511" t="s">
        <v>40</v>
      </c>
      <c r="B511" t="s">
        <v>469</v>
      </c>
      <c r="C511" t="s">
        <v>467</v>
      </c>
      <c r="D511" t="s">
        <v>447</v>
      </c>
      <c r="E511">
        <v>13.1</v>
      </c>
    </row>
    <row r="512" spans="1:5">
      <c r="A512" t="s">
        <v>40</v>
      </c>
      <c r="B512" t="s">
        <v>469</v>
      </c>
      <c r="C512" t="s">
        <v>467</v>
      </c>
      <c r="D512" t="s">
        <v>448</v>
      </c>
      <c r="E512">
        <v>537.9</v>
      </c>
    </row>
    <row r="513" spans="1:5">
      <c r="A513" t="s">
        <v>40</v>
      </c>
      <c r="B513" t="s">
        <v>469</v>
      </c>
      <c r="C513" t="s">
        <v>65</v>
      </c>
      <c r="D513" t="s">
        <v>217</v>
      </c>
      <c r="E513">
        <v>0.75</v>
      </c>
    </row>
    <row r="514" spans="1:5">
      <c r="A514" t="s">
        <v>40</v>
      </c>
      <c r="B514" t="s">
        <v>469</v>
      </c>
      <c r="C514" t="s">
        <v>65</v>
      </c>
      <c r="D514" t="s">
        <v>313</v>
      </c>
      <c r="E514">
        <v>2.5499999999999998</v>
      </c>
    </row>
    <row r="515" spans="1:5">
      <c r="A515" t="s">
        <v>40</v>
      </c>
      <c r="B515" t="s">
        <v>469</v>
      </c>
      <c r="C515" t="s">
        <v>65</v>
      </c>
      <c r="D515" t="s">
        <v>6911</v>
      </c>
      <c r="E515">
        <v>18.95</v>
      </c>
    </row>
    <row r="516" spans="1:5">
      <c r="A516" t="s">
        <v>40</v>
      </c>
      <c r="B516" t="s">
        <v>469</v>
      </c>
      <c r="C516" t="s">
        <v>65</v>
      </c>
      <c r="D516" t="s">
        <v>6912</v>
      </c>
      <c r="E516">
        <v>0.45</v>
      </c>
    </row>
    <row r="517" spans="1:5">
      <c r="A517" t="s">
        <v>40</v>
      </c>
      <c r="B517" t="s">
        <v>469</v>
      </c>
      <c r="C517" t="s">
        <v>65</v>
      </c>
      <c r="D517" t="s">
        <v>447</v>
      </c>
      <c r="E517">
        <v>0.2</v>
      </c>
    </row>
    <row r="518" spans="1:5">
      <c r="A518" t="s">
        <v>40</v>
      </c>
      <c r="B518" t="s">
        <v>469</v>
      </c>
      <c r="C518" t="s">
        <v>65</v>
      </c>
      <c r="D518" t="s">
        <v>448</v>
      </c>
      <c r="E518">
        <v>22.9</v>
      </c>
    </row>
    <row r="519" spans="1:5">
      <c r="A519" t="s">
        <v>40</v>
      </c>
      <c r="B519" t="s">
        <v>469</v>
      </c>
      <c r="C519" t="s">
        <v>455</v>
      </c>
      <c r="D519" t="s">
        <v>437</v>
      </c>
      <c r="E519">
        <v>50.3</v>
      </c>
    </row>
    <row r="520" spans="1:5">
      <c r="A520" t="s">
        <v>40</v>
      </c>
      <c r="B520" t="s">
        <v>469</v>
      </c>
      <c r="C520" t="s">
        <v>455</v>
      </c>
      <c r="D520" t="s">
        <v>313</v>
      </c>
      <c r="E520">
        <v>38</v>
      </c>
    </row>
    <row r="521" spans="1:5">
      <c r="A521" t="s">
        <v>40</v>
      </c>
      <c r="B521" t="s">
        <v>469</v>
      </c>
      <c r="C521" t="s">
        <v>455</v>
      </c>
      <c r="D521" t="s">
        <v>6911</v>
      </c>
      <c r="E521">
        <v>7.05</v>
      </c>
    </row>
    <row r="522" spans="1:5">
      <c r="A522" t="s">
        <v>40</v>
      </c>
      <c r="B522" t="s">
        <v>469</v>
      </c>
      <c r="C522" t="s">
        <v>455</v>
      </c>
      <c r="D522" t="s">
        <v>6912</v>
      </c>
      <c r="E522">
        <v>14.6</v>
      </c>
    </row>
    <row r="523" spans="1:5">
      <c r="A523" t="s">
        <v>40</v>
      </c>
      <c r="B523" t="s">
        <v>469</v>
      </c>
      <c r="C523" t="s">
        <v>455</v>
      </c>
      <c r="D523" t="s">
        <v>447</v>
      </c>
      <c r="E523">
        <v>8.3000000000000007</v>
      </c>
    </row>
    <row r="524" spans="1:5">
      <c r="A524" t="s">
        <v>40</v>
      </c>
      <c r="B524" t="s">
        <v>469</v>
      </c>
      <c r="C524" t="s">
        <v>455</v>
      </c>
      <c r="D524" t="s">
        <v>448</v>
      </c>
      <c r="E524">
        <v>118.25</v>
      </c>
    </row>
    <row r="525" spans="1:5">
      <c r="A525" t="s">
        <v>40</v>
      </c>
      <c r="B525" t="s">
        <v>469</v>
      </c>
      <c r="C525" t="s">
        <v>6916</v>
      </c>
      <c r="D525" t="s">
        <v>437</v>
      </c>
      <c r="E525">
        <v>45.6</v>
      </c>
    </row>
    <row r="526" spans="1:5">
      <c r="A526" t="s">
        <v>40</v>
      </c>
      <c r="B526" t="s">
        <v>469</v>
      </c>
      <c r="C526" t="s">
        <v>6916</v>
      </c>
      <c r="D526" t="s">
        <v>217</v>
      </c>
      <c r="E526">
        <v>45.6</v>
      </c>
    </row>
    <row r="527" spans="1:5">
      <c r="A527" t="s">
        <v>40</v>
      </c>
      <c r="B527" t="s">
        <v>469</v>
      </c>
      <c r="C527" t="s">
        <v>6916</v>
      </c>
      <c r="D527" t="s">
        <v>313</v>
      </c>
      <c r="E527">
        <v>0.4</v>
      </c>
    </row>
    <row r="528" spans="1:5">
      <c r="A528" t="s">
        <v>40</v>
      </c>
      <c r="B528" t="s">
        <v>469</v>
      </c>
      <c r="C528" t="s">
        <v>6916</v>
      </c>
      <c r="D528" t="s">
        <v>6912</v>
      </c>
      <c r="E528">
        <v>6.2</v>
      </c>
    </row>
    <row r="529" spans="1:5">
      <c r="A529" t="s">
        <v>40</v>
      </c>
      <c r="B529" t="s">
        <v>469</v>
      </c>
      <c r="C529" t="s">
        <v>6916</v>
      </c>
      <c r="D529" t="s">
        <v>447</v>
      </c>
      <c r="E529">
        <v>0.3</v>
      </c>
    </row>
    <row r="530" spans="1:5">
      <c r="A530" t="s">
        <v>40</v>
      </c>
      <c r="B530" t="s">
        <v>469</v>
      </c>
      <c r="C530" t="s">
        <v>6916</v>
      </c>
      <c r="D530" t="s">
        <v>448</v>
      </c>
      <c r="E530">
        <v>98.1</v>
      </c>
    </row>
    <row r="531" spans="1:5">
      <c r="A531" t="s">
        <v>40</v>
      </c>
      <c r="B531" t="s">
        <v>469</v>
      </c>
      <c r="C531" t="s">
        <v>457</v>
      </c>
      <c r="D531" t="s">
        <v>437</v>
      </c>
      <c r="E531">
        <v>77.599999999999994</v>
      </c>
    </row>
    <row r="532" spans="1:5">
      <c r="A532" t="s">
        <v>40</v>
      </c>
      <c r="B532" t="s">
        <v>469</v>
      </c>
      <c r="C532" t="s">
        <v>457</v>
      </c>
      <c r="D532" t="s">
        <v>313</v>
      </c>
      <c r="E532">
        <v>2.1</v>
      </c>
    </row>
    <row r="533" spans="1:5">
      <c r="A533" t="s">
        <v>40</v>
      </c>
      <c r="B533" t="s">
        <v>469</v>
      </c>
      <c r="C533" t="s">
        <v>457</v>
      </c>
      <c r="D533" t="s">
        <v>6911</v>
      </c>
      <c r="E533">
        <v>37</v>
      </c>
    </row>
    <row r="534" spans="1:5">
      <c r="A534" t="s">
        <v>40</v>
      </c>
      <c r="B534" t="s">
        <v>469</v>
      </c>
      <c r="C534" t="s">
        <v>457</v>
      </c>
      <c r="D534" t="s">
        <v>447</v>
      </c>
      <c r="E534">
        <v>17.100000000000001</v>
      </c>
    </row>
    <row r="535" spans="1:5">
      <c r="A535" t="s">
        <v>40</v>
      </c>
      <c r="B535" t="s">
        <v>469</v>
      </c>
      <c r="C535" t="s">
        <v>457</v>
      </c>
      <c r="D535" t="s">
        <v>448</v>
      </c>
      <c r="E535">
        <v>133.80000000000001</v>
      </c>
    </row>
    <row r="536" spans="1:5">
      <c r="A536" t="s">
        <v>40</v>
      </c>
      <c r="B536" t="s">
        <v>469</v>
      </c>
      <c r="C536" t="s">
        <v>497</v>
      </c>
      <c r="D536" t="s">
        <v>217</v>
      </c>
      <c r="E536">
        <v>2.6</v>
      </c>
    </row>
    <row r="537" spans="1:5">
      <c r="A537" t="s">
        <v>40</v>
      </c>
      <c r="B537" t="s">
        <v>469</v>
      </c>
      <c r="C537" t="s">
        <v>497</v>
      </c>
      <c r="D537" t="s">
        <v>313</v>
      </c>
      <c r="E537">
        <v>14.8</v>
      </c>
    </row>
    <row r="538" spans="1:5">
      <c r="A538" t="s">
        <v>40</v>
      </c>
      <c r="B538" t="s">
        <v>469</v>
      </c>
      <c r="C538" t="s">
        <v>497</v>
      </c>
      <c r="D538" t="s">
        <v>6911</v>
      </c>
      <c r="E538">
        <v>109</v>
      </c>
    </row>
    <row r="539" spans="1:5">
      <c r="A539" t="s">
        <v>40</v>
      </c>
      <c r="B539" t="s">
        <v>469</v>
      </c>
      <c r="C539" t="s">
        <v>497</v>
      </c>
      <c r="D539" t="s">
        <v>6912</v>
      </c>
      <c r="E539">
        <v>231.2</v>
      </c>
    </row>
    <row r="540" spans="1:5">
      <c r="A540" t="s">
        <v>40</v>
      </c>
      <c r="B540" t="s">
        <v>469</v>
      </c>
      <c r="C540" t="s">
        <v>497</v>
      </c>
      <c r="D540" t="s">
        <v>447</v>
      </c>
      <c r="E540">
        <v>4.2</v>
      </c>
    </row>
    <row r="541" spans="1:5">
      <c r="A541" t="s">
        <v>40</v>
      </c>
      <c r="B541" t="s">
        <v>469</v>
      </c>
      <c r="C541" t="s">
        <v>497</v>
      </c>
      <c r="D541" t="s">
        <v>448</v>
      </c>
      <c r="E541">
        <v>361.8</v>
      </c>
    </row>
    <row r="542" spans="1:5">
      <c r="A542" t="s">
        <v>40</v>
      </c>
      <c r="B542" t="s">
        <v>469</v>
      </c>
      <c r="C542" t="s">
        <v>6917</v>
      </c>
      <c r="D542" t="s">
        <v>437</v>
      </c>
      <c r="E542">
        <v>75</v>
      </c>
    </row>
    <row r="543" spans="1:5">
      <c r="A543" t="s">
        <v>40</v>
      </c>
      <c r="B543" t="s">
        <v>469</v>
      </c>
      <c r="C543" t="s">
        <v>6917</v>
      </c>
      <c r="D543" t="s">
        <v>217</v>
      </c>
      <c r="E543">
        <v>4.5999999999999996</v>
      </c>
    </row>
    <row r="544" spans="1:5">
      <c r="A544" t="s">
        <v>40</v>
      </c>
      <c r="B544" t="s">
        <v>469</v>
      </c>
      <c r="C544" t="s">
        <v>6917</v>
      </c>
      <c r="D544" t="s">
        <v>313</v>
      </c>
      <c r="E544">
        <v>72.400000000000006</v>
      </c>
    </row>
    <row r="545" spans="1:5">
      <c r="A545" t="s">
        <v>40</v>
      </c>
      <c r="B545" t="s">
        <v>469</v>
      </c>
      <c r="C545" t="s">
        <v>6917</v>
      </c>
      <c r="D545" t="s">
        <v>6911</v>
      </c>
      <c r="E545">
        <v>58</v>
      </c>
    </row>
    <row r="546" spans="1:5">
      <c r="A546" t="s">
        <v>40</v>
      </c>
      <c r="B546" t="s">
        <v>469</v>
      </c>
      <c r="C546" t="s">
        <v>6917</v>
      </c>
      <c r="D546" t="s">
        <v>6912</v>
      </c>
      <c r="E546">
        <v>20.7</v>
      </c>
    </row>
    <row r="547" spans="1:5">
      <c r="A547" t="s">
        <v>40</v>
      </c>
      <c r="B547" t="s">
        <v>469</v>
      </c>
      <c r="C547" t="s">
        <v>6917</v>
      </c>
      <c r="D547" t="s">
        <v>448</v>
      </c>
      <c r="E547">
        <v>230.7</v>
      </c>
    </row>
    <row r="548" spans="1:5">
      <c r="A548" t="s">
        <v>40</v>
      </c>
      <c r="B548" t="s">
        <v>469</v>
      </c>
      <c r="C548" t="s">
        <v>382</v>
      </c>
      <c r="D548" t="s">
        <v>217</v>
      </c>
      <c r="E548">
        <v>0.1</v>
      </c>
    </row>
    <row r="549" spans="1:5">
      <c r="A549" t="s">
        <v>40</v>
      </c>
      <c r="B549" t="s">
        <v>469</v>
      </c>
      <c r="C549" t="s">
        <v>382</v>
      </c>
      <c r="D549" t="s">
        <v>313</v>
      </c>
      <c r="E549">
        <v>4.3</v>
      </c>
    </row>
    <row r="550" spans="1:5">
      <c r="A550" t="s">
        <v>40</v>
      </c>
      <c r="B550" t="s">
        <v>469</v>
      </c>
      <c r="C550" t="s">
        <v>382</v>
      </c>
      <c r="D550" t="s">
        <v>6911</v>
      </c>
      <c r="E550">
        <v>15.9</v>
      </c>
    </row>
    <row r="551" spans="1:5">
      <c r="A551" t="s">
        <v>40</v>
      </c>
      <c r="B551" t="s">
        <v>469</v>
      </c>
      <c r="C551" t="s">
        <v>382</v>
      </c>
      <c r="D551" t="s">
        <v>447</v>
      </c>
      <c r="E551">
        <v>0.8</v>
      </c>
    </row>
    <row r="552" spans="1:5">
      <c r="A552" t="s">
        <v>40</v>
      </c>
      <c r="B552" t="s">
        <v>469</v>
      </c>
      <c r="C552" t="s">
        <v>382</v>
      </c>
      <c r="D552" t="s">
        <v>448</v>
      </c>
      <c r="E552">
        <v>21.1</v>
      </c>
    </row>
    <row r="553" spans="1:5">
      <c r="A553" t="s">
        <v>40</v>
      </c>
      <c r="B553" t="s">
        <v>469</v>
      </c>
      <c r="C553" t="s">
        <v>460</v>
      </c>
      <c r="D553" t="s">
        <v>437</v>
      </c>
      <c r="E553">
        <v>14.52</v>
      </c>
    </row>
    <row r="554" spans="1:5">
      <c r="A554" t="s">
        <v>40</v>
      </c>
      <c r="B554" t="s">
        <v>469</v>
      </c>
      <c r="C554" t="s">
        <v>460</v>
      </c>
      <c r="D554" t="s">
        <v>217</v>
      </c>
      <c r="E554">
        <v>2.1</v>
      </c>
    </row>
    <row r="555" spans="1:5">
      <c r="A555" t="s">
        <v>40</v>
      </c>
      <c r="B555" t="s">
        <v>469</v>
      </c>
      <c r="C555" t="s">
        <v>460</v>
      </c>
      <c r="D555" t="s">
        <v>313</v>
      </c>
      <c r="E555">
        <v>8.1999999999999993</v>
      </c>
    </row>
    <row r="556" spans="1:5">
      <c r="A556" t="s">
        <v>40</v>
      </c>
      <c r="B556" t="s">
        <v>469</v>
      </c>
      <c r="C556" t="s">
        <v>460</v>
      </c>
      <c r="D556" t="s">
        <v>6911</v>
      </c>
      <c r="E556">
        <v>150.56</v>
      </c>
    </row>
    <row r="557" spans="1:5">
      <c r="A557" t="s">
        <v>40</v>
      </c>
      <c r="B557" t="s">
        <v>469</v>
      </c>
      <c r="C557" t="s">
        <v>460</v>
      </c>
      <c r="D557" t="s">
        <v>6912</v>
      </c>
      <c r="E557">
        <v>47</v>
      </c>
    </row>
    <row r="558" spans="1:5">
      <c r="A558" t="s">
        <v>40</v>
      </c>
      <c r="B558" t="s">
        <v>469</v>
      </c>
      <c r="C558" t="s">
        <v>460</v>
      </c>
      <c r="D558" t="s">
        <v>6915</v>
      </c>
      <c r="E558">
        <v>1.1000000000000001</v>
      </c>
    </row>
    <row r="559" spans="1:5">
      <c r="A559" t="s">
        <v>40</v>
      </c>
      <c r="B559" t="s">
        <v>469</v>
      </c>
      <c r="C559" t="s">
        <v>460</v>
      </c>
      <c r="D559" t="s">
        <v>447</v>
      </c>
      <c r="E559">
        <v>11.72</v>
      </c>
    </row>
    <row r="560" spans="1:5">
      <c r="A560" t="s">
        <v>40</v>
      </c>
      <c r="B560" t="s">
        <v>469</v>
      </c>
      <c r="C560" t="s">
        <v>460</v>
      </c>
      <c r="D560" t="s">
        <v>448</v>
      </c>
      <c r="E560">
        <v>235.2</v>
      </c>
    </row>
    <row r="561" spans="1:5">
      <c r="A561" t="s">
        <v>40</v>
      </c>
      <c r="B561" t="s">
        <v>469</v>
      </c>
      <c r="C561" t="s">
        <v>448</v>
      </c>
      <c r="D561" t="s">
        <v>437</v>
      </c>
      <c r="E561">
        <v>284.82</v>
      </c>
    </row>
    <row r="562" spans="1:5">
      <c r="A562" t="s">
        <v>40</v>
      </c>
      <c r="B562" t="s">
        <v>469</v>
      </c>
      <c r="C562" t="s">
        <v>448</v>
      </c>
      <c r="D562" t="s">
        <v>217</v>
      </c>
      <c r="E562">
        <v>62.25</v>
      </c>
    </row>
    <row r="563" spans="1:5">
      <c r="A563" t="s">
        <v>40</v>
      </c>
      <c r="B563" t="s">
        <v>469</v>
      </c>
      <c r="C563" t="s">
        <v>448</v>
      </c>
      <c r="D563" t="s">
        <v>313</v>
      </c>
      <c r="E563">
        <v>223.57</v>
      </c>
    </row>
    <row r="564" spans="1:5">
      <c r="A564" t="s">
        <v>40</v>
      </c>
      <c r="B564" t="s">
        <v>469</v>
      </c>
      <c r="C564" t="s">
        <v>448</v>
      </c>
      <c r="D564" t="s">
        <v>6911</v>
      </c>
      <c r="E564">
        <v>985.46</v>
      </c>
    </row>
    <row r="565" spans="1:5">
      <c r="A565" t="s">
        <v>40</v>
      </c>
      <c r="B565" t="s">
        <v>469</v>
      </c>
      <c r="C565" t="s">
        <v>448</v>
      </c>
      <c r="D565" t="s">
        <v>441</v>
      </c>
      <c r="E565">
        <v>265.2</v>
      </c>
    </row>
    <row r="566" spans="1:5">
      <c r="A566" t="s">
        <v>40</v>
      </c>
      <c r="B566" t="s">
        <v>469</v>
      </c>
      <c r="C566" t="s">
        <v>448</v>
      </c>
      <c r="D566" t="s">
        <v>6912</v>
      </c>
      <c r="E566">
        <v>355.35</v>
      </c>
    </row>
    <row r="567" spans="1:5">
      <c r="A567" t="s">
        <v>40</v>
      </c>
      <c r="B567" t="s">
        <v>469</v>
      </c>
      <c r="C567" t="s">
        <v>448</v>
      </c>
      <c r="D567" t="s">
        <v>443</v>
      </c>
      <c r="E567">
        <v>208.1</v>
      </c>
    </row>
    <row r="568" spans="1:5">
      <c r="A568" t="s">
        <v>40</v>
      </c>
      <c r="B568" t="s">
        <v>469</v>
      </c>
      <c r="C568" t="s">
        <v>448</v>
      </c>
      <c r="D568" t="s">
        <v>6915</v>
      </c>
      <c r="E568">
        <v>1.1000000000000001</v>
      </c>
    </row>
    <row r="569" spans="1:5">
      <c r="A569" t="s">
        <v>40</v>
      </c>
      <c r="B569" t="s">
        <v>469</v>
      </c>
      <c r="C569" t="s">
        <v>448</v>
      </c>
      <c r="D569" t="s">
        <v>447</v>
      </c>
      <c r="E569">
        <v>63.2</v>
      </c>
    </row>
    <row r="570" spans="1:5">
      <c r="A570" t="s">
        <v>40</v>
      </c>
      <c r="B570" t="s">
        <v>469</v>
      </c>
      <c r="C570" t="s">
        <v>448</v>
      </c>
      <c r="D570" t="s">
        <v>448</v>
      </c>
      <c r="E570">
        <v>2449.0500000000002</v>
      </c>
    </row>
    <row r="571" spans="1:5">
      <c r="A571" t="s">
        <v>40</v>
      </c>
      <c r="B571" t="s">
        <v>470</v>
      </c>
      <c r="C571" t="s">
        <v>6910</v>
      </c>
      <c r="D571" t="s">
        <v>313</v>
      </c>
      <c r="E571">
        <v>5.4</v>
      </c>
    </row>
    <row r="572" spans="1:5">
      <c r="A572" t="s">
        <v>40</v>
      </c>
      <c r="B572" t="s">
        <v>470</v>
      </c>
      <c r="C572" t="s">
        <v>6910</v>
      </c>
      <c r="D572" t="s">
        <v>6911</v>
      </c>
      <c r="E572">
        <v>75.900000000000006</v>
      </c>
    </row>
    <row r="573" spans="1:5">
      <c r="A573" t="s">
        <v>40</v>
      </c>
      <c r="B573" t="s">
        <v>470</v>
      </c>
      <c r="C573" t="s">
        <v>6910</v>
      </c>
      <c r="D573" t="s">
        <v>441</v>
      </c>
      <c r="E573">
        <v>413.2</v>
      </c>
    </row>
    <row r="574" spans="1:5">
      <c r="A574" t="s">
        <v>40</v>
      </c>
      <c r="B574" t="s">
        <v>470</v>
      </c>
      <c r="C574" t="s">
        <v>6910</v>
      </c>
      <c r="D574" t="s">
        <v>6912</v>
      </c>
      <c r="E574">
        <v>6.6</v>
      </c>
    </row>
    <row r="575" spans="1:5">
      <c r="A575" t="s">
        <v>40</v>
      </c>
      <c r="B575" t="s">
        <v>470</v>
      </c>
      <c r="C575" t="s">
        <v>6910</v>
      </c>
      <c r="D575" t="s">
        <v>447</v>
      </c>
      <c r="E575">
        <v>4</v>
      </c>
    </row>
    <row r="576" spans="1:5">
      <c r="A576" t="s">
        <v>40</v>
      </c>
      <c r="B576" t="s">
        <v>470</v>
      </c>
      <c r="C576" t="s">
        <v>6910</v>
      </c>
      <c r="D576" t="s">
        <v>448</v>
      </c>
      <c r="E576">
        <v>505.1</v>
      </c>
    </row>
    <row r="577" spans="1:5">
      <c r="A577" t="s">
        <v>40</v>
      </c>
      <c r="B577" t="s">
        <v>470</v>
      </c>
      <c r="C577" t="s">
        <v>6913</v>
      </c>
      <c r="D577" t="s">
        <v>313</v>
      </c>
      <c r="E577">
        <v>3.7</v>
      </c>
    </row>
    <row r="578" spans="1:5">
      <c r="A578" t="s">
        <v>40</v>
      </c>
      <c r="B578" t="s">
        <v>470</v>
      </c>
      <c r="C578" t="s">
        <v>6913</v>
      </c>
      <c r="D578" t="s">
        <v>6915</v>
      </c>
      <c r="E578">
        <v>246.3</v>
      </c>
    </row>
    <row r="579" spans="1:5">
      <c r="A579" t="s">
        <v>40</v>
      </c>
      <c r="B579" t="s">
        <v>470</v>
      </c>
      <c r="C579" t="s">
        <v>6913</v>
      </c>
      <c r="D579" t="s">
        <v>447</v>
      </c>
      <c r="E579">
        <v>14.3</v>
      </c>
    </row>
    <row r="580" spans="1:5">
      <c r="A580" t="s">
        <v>40</v>
      </c>
      <c r="B580" t="s">
        <v>470</v>
      </c>
      <c r="C580" t="s">
        <v>6913</v>
      </c>
      <c r="D580" t="s">
        <v>448</v>
      </c>
      <c r="E580">
        <v>264.3</v>
      </c>
    </row>
    <row r="581" spans="1:5">
      <c r="A581" t="s">
        <v>40</v>
      </c>
      <c r="B581" t="s">
        <v>470</v>
      </c>
      <c r="C581" t="s">
        <v>6914</v>
      </c>
      <c r="D581" t="s">
        <v>313</v>
      </c>
      <c r="E581">
        <v>3.4</v>
      </c>
    </row>
    <row r="582" spans="1:5">
      <c r="A582" t="s">
        <v>40</v>
      </c>
      <c r="B582" t="s">
        <v>470</v>
      </c>
      <c r="C582" t="s">
        <v>6914</v>
      </c>
      <c r="D582" t="s">
        <v>6911</v>
      </c>
      <c r="E582">
        <v>14.7</v>
      </c>
    </row>
    <row r="583" spans="1:5">
      <c r="A583" t="s">
        <v>40</v>
      </c>
      <c r="B583" t="s">
        <v>470</v>
      </c>
      <c r="C583" t="s">
        <v>6914</v>
      </c>
      <c r="D583" t="s">
        <v>6915</v>
      </c>
      <c r="E583">
        <v>159.80000000000001</v>
      </c>
    </row>
    <row r="584" spans="1:5">
      <c r="A584" t="s">
        <v>40</v>
      </c>
      <c r="B584" t="s">
        <v>470</v>
      </c>
      <c r="C584" t="s">
        <v>6914</v>
      </c>
      <c r="D584" t="s">
        <v>447</v>
      </c>
      <c r="E584">
        <v>0.8</v>
      </c>
    </row>
    <row r="585" spans="1:5">
      <c r="A585" t="s">
        <v>40</v>
      </c>
      <c r="B585" t="s">
        <v>470</v>
      </c>
      <c r="C585" t="s">
        <v>6914</v>
      </c>
      <c r="D585" t="s">
        <v>448</v>
      </c>
      <c r="E585">
        <v>178.7</v>
      </c>
    </row>
    <row r="586" spans="1:5">
      <c r="A586" t="s">
        <v>40</v>
      </c>
      <c r="B586" t="s">
        <v>470</v>
      </c>
      <c r="C586" t="s">
        <v>467</v>
      </c>
      <c r="D586" t="s">
        <v>437</v>
      </c>
      <c r="E586">
        <v>4</v>
      </c>
    </row>
    <row r="587" spans="1:5">
      <c r="A587" t="s">
        <v>40</v>
      </c>
      <c r="B587" t="s">
        <v>470</v>
      </c>
      <c r="C587" t="s">
        <v>467</v>
      </c>
      <c r="D587" t="s">
        <v>217</v>
      </c>
      <c r="E587">
        <v>24.6</v>
      </c>
    </row>
    <row r="588" spans="1:5">
      <c r="A588" t="s">
        <v>40</v>
      </c>
      <c r="B588" t="s">
        <v>470</v>
      </c>
      <c r="C588" t="s">
        <v>467</v>
      </c>
      <c r="D588" t="s">
        <v>313</v>
      </c>
      <c r="E588">
        <v>105.2</v>
      </c>
    </row>
    <row r="589" spans="1:5">
      <c r="A589" t="s">
        <v>40</v>
      </c>
      <c r="B589" t="s">
        <v>470</v>
      </c>
      <c r="C589" t="s">
        <v>467</v>
      </c>
      <c r="D589" t="s">
        <v>6911</v>
      </c>
      <c r="E589">
        <v>194.1</v>
      </c>
    </row>
    <row r="590" spans="1:5">
      <c r="A590" t="s">
        <v>40</v>
      </c>
      <c r="B590" t="s">
        <v>470</v>
      </c>
      <c r="C590" t="s">
        <v>467</v>
      </c>
      <c r="D590" t="s">
        <v>6912</v>
      </c>
      <c r="E590">
        <v>20.9</v>
      </c>
    </row>
    <row r="591" spans="1:5">
      <c r="A591" t="s">
        <v>40</v>
      </c>
      <c r="B591" t="s">
        <v>470</v>
      </c>
      <c r="C591" t="s">
        <v>467</v>
      </c>
      <c r="D591" t="s">
        <v>443</v>
      </c>
      <c r="E591">
        <v>190</v>
      </c>
    </row>
    <row r="592" spans="1:5">
      <c r="A592" t="s">
        <v>40</v>
      </c>
      <c r="B592" t="s">
        <v>470</v>
      </c>
      <c r="C592" t="s">
        <v>467</v>
      </c>
      <c r="D592" t="s">
        <v>447</v>
      </c>
      <c r="E592">
        <v>9.9</v>
      </c>
    </row>
    <row r="593" spans="1:5">
      <c r="A593" t="s">
        <v>40</v>
      </c>
      <c r="B593" t="s">
        <v>470</v>
      </c>
      <c r="C593" t="s">
        <v>467</v>
      </c>
      <c r="D593" t="s">
        <v>448</v>
      </c>
      <c r="E593">
        <v>548.70000000000005</v>
      </c>
    </row>
    <row r="594" spans="1:5">
      <c r="A594" t="s">
        <v>40</v>
      </c>
      <c r="B594" t="s">
        <v>470</v>
      </c>
      <c r="C594" t="s">
        <v>65</v>
      </c>
      <c r="D594" t="s">
        <v>437</v>
      </c>
      <c r="E594">
        <v>5.7</v>
      </c>
    </row>
    <row r="595" spans="1:5">
      <c r="A595" t="s">
        <v>40</v>
      </c>
      <c r="B595" t="s">
        <v>470</v>
      </c>
      <c r="C595" t="s">
        <v>65</v>
      </c>
      <c r="D595" t="s">
        <v>217</v>
      </c>
      <c r="E595">
        <v>5.6</v>
      </c>
    </row>
    <row r="596" spans="1:5">
      <c r="A596" t="s">
        <v>40</v>
      </c>
      <c r="B596" t="s">
        <v>470</v>
      </c>
      <c r="C596" t="s">
        <v>65</v>
      </c>
      <c r="D596" t="s">
        <v>313</v>
      </c>
      <c r="E596">
        <v>5.0999999999999996</v>
      </c>
    </row>
    <row r="597" spans="1:5">
      <c r="A597" t="s">
        <v>40</v>
      </c>
      <c r="B597" t="s">
        <v>470</v>
      </c>
      <c r="C597" t="s">
        <v>65</v>
      </c>
      <c r="D597" t="s">
        <v>6911</v>
      </c>
      <c r="E597">
        <v>18.100000000000001</v>
      </c>
    </row>
    <row r="598" spans="1:5">
      <c r="A598" t="s">
        <v>40</v>
      </c>
      <c r="B598" t="s">
        <v>470</v>
      </c>
      <c r="C598" t="s">
        <v>65</v>
      </c>
      <c r="D598" t="s">
        <v>6912</v>
      </c>
      <c r="E598">
        <v>1.4</v>
      </c>
    </row>
    <row r="599" spans="1:5">
      <c r="A599" t="s">
        <v>40</v>
      </c>
      <c r="B599" t="s">
        <v>470</v>
      </c>
      <c r="C599" t="s">
        <v>65</v>
      </c>
      <c r="D599" t="s">
        <v>448</v>
      </c>
      <c r="E599">
        <v>35.9</v>
      </c>
    </row>
    <row r="600" spans="1:5">
      <c r="A600" t="s">
        <v>40</v>
      </c>
      <c r="B600" t="s">
        <v>470</v>
      </c>
      <c r="C600" t="s">
        <v>455</v>
      </c>
      <c r="D600" t="s">
        <v>437</v>
      </c>
      <c r="E600">
        <v>38.200000000000003</v>
      </c>
    </row>
    <row r="601" spans="1:5">
      <c r="A601" t="s">
        <v>40</v>
      </c>
      <c r="B601" t="s">
        <v>470</v>
      </c>
      <c r="C601" t="s">
        <v>455</v>
      </c>
      <c r="D601" t="s">
        <v>217</v>
      </c>
      <c r="E601">
        <v>0.6</v>
      </c>
    </row>
    <row r="602" spans="1:5">
      <c r="A602" t="s">
        <v>40</v>
      </c>
      <c r="B602" t="s">
        <v>470</v>
      </c>
      <c r="C602" t="s">
        <v>455</v>
      </c>
      <c r="D602" t="s">
        <v>313</v>
      </c>
      <c r="E602">
        <v>59.6</v>
      </c>
    </row>
    <row r="603" spans="1:5">
      <c r="A603" t="s">
        <v>40</v>
      </c>
      <c r="B603" t="s">
        <v>470</v>
      </c>
      <c r="C603" t="s">
        <v>455</v>
      </c>
      <c r="D603" t="s">
        <v>6911</v>
      </c>
      <c r="E603">
        <v>3.85</v>
      </c>
    </row>
    <row r="604" spans="1:5">
      <c r="A604" t="s">
        <v>40</v>
      </c>
      <c r="B604" t="s">
        <v>470</v>
      </c>
      <c r="C604" t="s">
        <v>455</v>
      </c>
      <c r="D604" t="s">
        <v>6912</v>
      </c>
      <c r="E604">
        <v>10.7</v>
      </c>
    </row>
    <row r="605" spans="1:5">
      <c r="A605" t="s">
        <v>40</v>
      </c>
      <c r="B605" t="s">
        <v>470</v>
      </c>
      <c r="C605" t="s">
        <v>455</v>
      </c>
      <c r="D605" t="s">
        <v>447</v>
      </c>
      <c r="E605">
        <v>14.7</v>
      </c>
    </row>
    <row r="606" spans="1:5">
      <c r="A606" t="s">
        <v>40</v>
      </c>
      <c r="B606" t="s">
        <v>470</v>
      </c>
      <c r="C606" t="s">
        <v>455</v>
      </c>
      <c r="D606" t="s">
        <v>448</v>
      </c>
      <c r="E606">
        <v>127.65</v>
      </c>
    </row>
    <row r="607" spans="1:5">
      <c r="A607" t="s">
        <v>40</v>
      </c>
      <c r="B607" t="s">
        <v>470</v>
      </c>
      <c r="C607" t="s">
        <v>6916</v>
      </c>
      <c r="D607" t="s">
        <v>437</v>
      </c>
      <c r="E607">
        <v>28.35</v>
      </c>
    </row>
    <row r="608" spans="1:5">
      <c r="A608" t="s">
        <v>40</v>
      </c>
      <c r="B608" t="s">
        <v>470</v>
      </c>
      <c r="C608" t="s">
        <v>6916</v>
      </c>
      <c r="D608" t="s">
        <v>217</v>
      </c>
      <c r="E608">
        <v>28.35</v>
      </c>
    </row>
    <row r="609" spans="1:5">
      <c r="A609" t="s">
        <v>40</v>
      </c>
      <c r="B609" t="s">
        <v>470</v>
      </c>
      <c r="C609" t="s">
        <v>6916</v>
      </c>
      <c r="D609" t="s">
        <v>447</v>
      </c>
      <c r="E609">
        <v>1.7</v>
      </c>
    </row>
    <row r="610" spans="1:5">
      <c r="A610" t="s">
        <v>40</v>
      </c>
      <c r="B610" t="s">
        <v>470</v>
      </c>
      <c r="C610" t="s">
        <v>6916</v>
      </c>
      <c r="D610" t="s">
        <v>448</v>
      </c>
      <c r="E610">
        <v>58.4</v>
      </c>
    </row>
    <row r="611" spans="1:5">
      <c r="A611" t="s">
        <v>40</v>
      </c>
      <c r="B611" t="s">
        <v>470</v>
      </c>
      <c r="C611" t="s">
        <v>457</v>
      </c>
      <c r="D611" t="s">
        <v>437</v>
      </c>
      <c r="E611">
        <v>89.7</v>
      </c>
    </row>
    <row r="612" spans="1:5">
      <c r="A612" t="s">
        <v>40</v>
      </c>
      <c r="B612" t="s">
        <v>470</v>
      </c>
      <c r="C612" t="s">
        <v>457</v>
      </c>
      <c r="D612" t="s">
        <v>313</v>
      </c>
      <c r="E612">
        <v>3.1</v>
      </c>
    </row>
    <row r="613" spans="1:5">
      <c r="A613" t="s">
        <v>40</v>
      </c>
      <c r="B613" t="s">
        <v>470</v>
      </c>
      <c r="C613" t="s">
        <v>457</v>
      </c>
      <c r="D613" t="s">
        <v>6911</v>
      </c>
      <c r="E613">
        <v>32.799999999999997</v>
      </c>
    </row>
    <row r="614" spans="1:5">
      <c r="A614" t="s">
        <v>40</v>
      </c>
      <c r="B614" t="s">
        <v>470</v>
      </c>
      <c r="C614" t="s">
        <v>457</v>
      </c>
      <c r="D614" t="s">
        <v>447</v>
      </c>
      <c r="E614">
        <v>16.600000000000001</v>
      </c>
    </row>
    <row r="615" spans="1:5">
      <c r="A615" t="s">
        <v>40</v>
      </c>
      <c r="B615" t="s">
        <v>470</v>
      </c>
      <c r="C615" t="s">
        <v>457</v>
      </c>
      <c r="D615" t="s">
        <v>448</v>
      </c>
      <c r="E615">
        <v>142.19999999999999</v>
      </c>
    </row>
    <row r="616" spans="1:5">
      <c r="A616" t="s">
        <v>40</v>
      </c>
      <c r="B616" t="s">
        <v>470</v>
      </c>
      <c r="C616" t="s">
        <v>497</v>
      </c>
      <c r="D616" t="s">
        <v>217</v>
      </c>
      <c r="E616">
        <v>2.4</v>
      </c>
    </row>
    <row r="617" spans="1:5">
      <c r="A617" t="s">
        <v>40</v>
      </c>
      <c r="B617" t="s">
        <v>470</v>
      </c>
      <c r="C617" t="s">
        <v>497</v>
      </c>
      <c r="D617" t="s">
        <v>313</v>
      </c>
      <c r="E617">
        <v>15.95</v>
      </c>
    </row>
    <row r="618" spans="1:5">
      <c r="A618" t="s">
        <v>40</v>
      </c>
      <c r="B618" t="s">
        <v>470</v>
      </c>
      <c r="C618" t="s">
        <v>497</v>
      </c>
      <c r="D618" t="s">
        <v>6912</v>
      </c>
      <c r="E618">
        <v>249.85</v>
      </c>
    </row>
    <row r="619" spans="1:5">
      <c r="A619" t="s">
        <v>40</v>
      </c>
      <c r="B619" t="s">
        <v>470</v>
      </c>
      <c r="C619" t="s">
        <v>497</v>
      </c>
      <c r="D619" t="s">
        <v>447</v>
      </c>
      <c r="E619">
        <v>2</v>
      </c>
    </row>
    <row r="620" spans="1:5">
      <c r="A620" t="s">
        <v>40</v>
      </c>
      <c r="B620" t="s">
        <v>470</v>
      </c>
      <c r="C620" t="s">
        <v>497</v>
      </c>
      <c r="D620" t="s">
        <v>448</v>
      </c>
      <c r="E620">
        <v>270.2</v>
      </c>
    </row>
    <row r="621" spans="1:5">
      <c r="A621" t="s">
        <v>40</v>
      </c>
      <c r="B621" t="s">
        <v>470</v>
      </c>
      <c r="C621" t="s">
        <v>6917</v>
      </c>
      <c r="D621" t="s">
        <v>437</v>
      </c>
      <c r="E621">
        <v>71.400000000000006</v>
      </c>
    </row>
    <row r="622" spans="1:5">
      <c r="A622" t="s">
        <v>40</v>
      </c>
      <c r="B622" t="s">
        <v>470</v>
      </c>
      <c r="C622" t="s">
        <v>6917</v>
      </c>
      <c r="D622" t="s">
        <v>217</v>
      </c>
      <c r="E622">
        <v>3.03</v>
      </c>
    </row>
    <row r="623" spans="1:5">
      <c r="A623" t="s">
        <v>40</v>
      </c>
      <c r="B623" t="s">
        <v>470</v>
      </c>
      <c r="C623" t="s">
        <v>6917</v>
      </c>
      <c r="D623" t="s">
        <v>313</v>
      </c>
      <c r="E623">
        <v>62.89</v>
      </c>
    </row>
    <row r="624" spans="1:5">
      <c r="A624" t="s">
        <v>40</v>
      </c>
      <c r="B624" t="s">
        <v>470</v>
      </c>
      <c r="C624" t="s">
        <v>6917</v>
      </c>
      <c r="D624" t="s">
        <v>6911</v>
      </c>
      <c r="E624">
        <v>65.099999999999994</v>
      </c>
    </row>
    <row r="625" spans="1:5">
      <c r="A625" t="s">
        <v>40</v>
      </c>
      <c r="B625" t="s">
        <v>470</v>
      </c>
      <c r="C625" t="s">
        <v>6917</v>
      </c>
      <c r="D625" t="s">
        <v>6912</v>
      </c>
      <c r="E625">
        <v>23.88</v>
      </c>
    </row>
    <row r="626" spans="1:5">
      <c r="A626" t="s">
        <v>40</v>
      </c>
      <c r="B626" t="s">
        <v>470</v>
      </c>
      <c r="C626" t="s">
        <v>6917</v>
      </c>
      <c r="D626" t="s">
        <v>447</v>
      </c>
      <c r="E626">
        <v>0.1</v>
      </c>
    </row>
    <row r="627" spans="1:5">
      <c r="A627" t="s">
        <v>40</v>
      </c>
      <c r="B627" t="s">
        <v>470</v>
      </c>
      <c r="C627" t="s">
        <v>6917</v>
      </c>
      <c r="D627" t="s">
        <v>448</v>
      </c>
      <c r="E627">
        <v>226.4</v>
      </c>
    </row>
    <row r="628" spans="1:5">
      <c r="A628" t="s">
        <v>40</v>
      </c>
      <c r="B628" t="s">
        <v>470</v>
      </c>
      <c r="C628" t="s">
        <v>382</v>
      </c>
      <c r="D628" t="s">
        <v>217</v>
      </c>
      <c r="E628">
        <v>0.1</v>
      </c>
    </row>
    <row r="629" spans="1:5">
      <c r="A629" t="s">
        <v>40</v>
      </c>
      <c r="B629" t="s">
        <v>470</v>
      </c>
      <c r="C629" t="s">
        <v>382</v>
      </c>
      <c r="D629" t="s">
        <v>313</v>
      </c>
      <c r="E629">
        <v>4.8</v>
      </c>
    </row>
    <row r="630" spans="1:5">
      <c r="A630" t="s">
        <v>40</v>
      </c>
      <c r="B630" t="s">
        <v>470</v>
      </c>
      <c r="C630" t="s">
        <v>382</v>
      </c>
      <c r="D630" t="s">
        <v>6911</v>
      </c>
      <c r="E630">
        <v>6.8</v>
      </c>
    </row>
    <row r="631" spans="1:5">
      <c r="A631" t="s">
        <v>40</v>
      </c>
      <c r="B631" t="s">
        <v>470</v>
      </c>
      <c r="C631" t="s">
        <v>382</v>
      </c>
      <c r="D631" t="s">
        <v>447</v>
      </c>
      <c r="E631">
        <v>0.3</v>
      </c>
    </row>
    <row r="632" spans="1:5">
      <c r="A632" t="s">
        <v>40</v>
      </c>
      <c r="B632" t="s">
        <v>470</v>
      </c>
      <c r="C632" t="s">
        <v>382</v>
      </c>
      <c r="D632" t="s">
        <v>448</v>
      </c>
      <c r="E632">
        <v>12</v>
      </c>
    </row>
    <row r="633" spans="1:5">
      <c r="A633" t="s">
        <v>40</v>
      </c>
      <c r="B633" t="s">
        <v>470</v>
      </c>
      <c r="C633" t="s">
        <v>460</v>
      </c>
      <c r="D633" t="s">
        <v>437</v>
      </c>
      <c r="E633">
        <v>11.4</v>
      </c>
    </row>
    <row r="634" spans="1:5">
      <c r="A634" t="s">
        <v>40</v>
      </c>
      <c r="B634" t="s">
        <v>470</v>
      </c>
      <c r="C634" t="s">
        <v>460</v>
      </c>
      <c r="D634" t="s">
        <v>217</v>
      </c>
      <c r="E634">
        <v>4.5999999999999996</v>
      </c>
    </row>
    <row r="635" spans="1:5">
      <c r="A635" t="s">
        <v>40</v>
      </c>
      <c r="B635" t="s">
        <v>470</v>
      </c>
      <c r="C635" t="s">
        <v>460</v>
      </c>
      <c r="D635" t="s">
        <v>313</v>
      </c>
      <c r="E635">
        <v>14.5</v>
      </c>
    </row>
    <row r="636" spans="1:5">
      <c r="A636" t="s">
        <v>40</v>
      </c>
      <c r="B636" t="s">
        <v>470</v>
      </c>
      <c r="C636" t="s">
        <v>460</v>
      </c>
      <c r="D636" t="s">
        <v>6911</v>
      </c>
      <c r="E636">
        <v>166.3</v>
      </c>
    </row>
    <row r="637" spans="1:5">
      <c r="A637" t="s">
        <v>40</v>
      </c>
      <c r="B637" t="s">
        <v>470</v>
      </c>
      <c r="C637" t="s">
        <v>460</v>
      </c>
      <c r="D637" t="s">
        <v>6912</v>
      </c>
      <c r="E637">
        <v>38.799999999999997</v>
      </c>
    </row>
    <row r="638" spans="1:5">
      <c r="A638" t="s">
        <v>40</v>
      </c>
      <c r="B638" t="s">
        <v>470</v>
      </c>
      <c r="C638" t="s">
        <v>460</v>
      </c>
      <c r="D638" t="s">
        <v>447</v>
      </c>
      <c r="E638">
        <v>10.9</v>
      </c>
    </row>
    <row r="639" spans="1:5">
      <c r="A639" t="s">
        <v>40</v>
      </c>
      <c r="B639" t="s">
        <v>470</v>
      </c>
      <c r="C639" t="s">
        <v>460</v>
      </c>
      <c r="D639" t="s">
        <v>448</v>
      </c>
      <c r="E639">
        <v>246.5</v>
      </c>
    </row>
    <row r="640" spans="1:5">
      <c r="A640" t="s">
        <v>40</v>
      </c>
      <c r="B640" t="s">
        <v>470</v>
      </c>
      <c r="C640" t="s">
        <v>448</v>
      </c>
      <c r="D640" t="s">
        <v>437</v>
      </c>
      <c r="E640">
        <v>248.75</v>
      </c>
    </row>
    <row r="641" spans="1:5">
      <c r="A641" t="s">
        <v>40</v>
      </c>
      <c r="B641" t="s">
        <v>470</v>
      </c>
      <c r="C641" t="s">
        <v>448</v>
      </c>
      <c r="D641" t="s">
        <v>217</v>
      </c>
      <c r="E641">
        <v>69.28</v>
      </c>
    </row>
    <row r="642" spans="1:5">
      <c r="A642" t="s">
        <v>40</v>
      </c>
      <c r="B642" t="s">
        <v>470</v>
      </c>
      <c r="C642" t="s">
        <v>448</v>
      </c>
      <c r="D642" t="s">
        <v>313</v>
      </c>
      <c r="E642">
        <v>283.64</v>
      </c>
    </row>
    <row r="643" spans="1:5">
      <c r="A643" t="s">
        <v>40</v>
      </c>
      <c r="B643" t="s">
        <v>470</v>
      </c>
      <c r="C643" t="s">
        <v>448</v>
      </c>
      <c r="D643" t="s">
        <v>6911</v>
      </c>
      <c r="E643">
        <v>577.65</v>
      </c>
    </row>
    <row r="644" spans="1:5">
      <c r="A644" t="s">
        <v>40</v>
      </c>
      <c r="B644" t="s">
        <v>470</v>
      </c>
      <c r="C644" t="s">
        <v>448</v>
      </c>
      <c r="D644" t="s">
        <v>441</v>
      </c>
      <c r="E644">
        <v>413.2</v>
      </c>
    </row>
    <row r="645" spans="1:5">
      <c r="A645" t="s">
        <v>40</v>
      </c>
      <c r="B645" t="s">
        <v>470</v>
      </c>
      <c r="C645" t="s">
        <v>448</v>
      </c>
      <c r="D645" t="s">
        <v>6912</v>
      </c>
      <c r="E645">
        <v>352.13</v>
      </c>
    </row>
    <row r="646" spans="1:5">
      <c r="A646" t="s">
        <v>40</v>
      </c>
      <c r="B646" t="s">
        <v>470</v>
      </c>
      <c r="C646" t="s">
        <v>448</v>
      </c>
      <c r="D646" t="s">
        <v>443</v>
      </c>
      <c r="E646">
        <v>190</v>
      </c>
    </row>
    <row r="647" spans="1:5">
      <c r="A647" t="s">
        <v>40</v>
      </c>
      <c r="B647" t="s">
        <v>470</v>
      </c>
      <c r="C647" t="s">
        <v>448</v>
      </c>
      <c r="D647" t="s">
        <v>6915</v>
      </c>
      <c r="E647">
        <v>406.1</v>
      </c>
    </row>
    <row r="648" spans="1:5">
      <c r="A648" t="s">
        <v>40</v>
      </c>
      <c r="B648" t="s">
        <v>470</v>
      </c>
      <c r="C648" t="s">
        <v>448</v>
      </c>
      <c r="D648" t="s">
        <v>447</v>
      </c>
      <c r="E648">
        <v>75.3</v>
      </c>
    </row>
    <row r="649" spans="1:5">
      <c r="A649" t="s">
        <v>40</v>
      </c>
      <c r="B649" t="s">
        <v>470</v>
      </c>
      <c r="C649" t="s">
        <v>448</v>
      </c>
      <c r="D649" t="s">
        <v>448</v>
      </c>
      <c r="E649">
        <v>2616.0500000000002</v>
      </c>
    </row>
    <row r="650" spans="1:5">
      <c r="A650" t="s">
        <v>40</v>
      </c>
      <c r="B650" t="s">
        <v>471</v>
      </c>
      <c r="C650" t="s">
        <v>6910</v>
      </c>
      <c r="D650" t="s">
        <v>217</v>
      </c>
      <c r="E650">
        <v>7.3</v>
      </c>
    </row>
    <row r="651" spans="1:5">
      <c r="A651" t="s">
        <v>40</v>
      </c>
      <c r="B651" t="s">
        <v>471</v>
      </c>
      <c r="C651" t="s">
        <v>6910</v>
      </c>
      <c r="D651" t="s">
        <v>313</v>
      </c>
      <c r="E651">
        <v>9.6</v>
      </c>
    </row>
    <row r="652" spans="1:5">
      <c r="A652" t="s">
        <v>40</v>
      </c>
      <c r="B652" t="s">
        <v>471</v>
      </c>
      <c r="C652" t="s">
        <v>6910</v>
      </c>
      <c r="D652" t="s">
        <v>6911</v>
      </c>
      <c r="E652">
        <v>74.7</v>
      </c>
    </row>
    <row r="653" spans="1:5">
      <c r="A653" t="s">
        <v>40</v>
      </c>
      <c r="B653" t="s">
        <v>471</v>
      </c>
      <c r="C653" t="s">
        <v>6910</v>
      </c>
      <c r="D653" t="s">
        <v>441</v>
      </c>
      <c r="E653">
        <v>406.5</v>
      </c>
    </row>
    <row r="654" spans="1:5">
      <c r="A654" t="s">
        <v>40</v>
      </c>
      <c r="B654" t="s">
        <v>471</v>
      </c>
      <c r="C654" t="s">
        <v>6910</v>
      </c>
      <c r="D654" t="s">
        <v>6912</v>
      </c>
      <c r="E654">
        <v>7.2</v>
      </c>
    </row>
    <row r="655" spans="1:5">
      <c r="A655" t="s">
        <v>40</v>
      </c>
      <c r="B655" t="s">
        <v>471</v>
      </c>
      <c r="C655" t="s">
        <v>6910</v>
      </c>
      <c r="D655" t="s">
        <v>447</v>
      </c>
      <c r="E655">
        <v>1.8</v>
      </c>
    </row>
    <row r="656" spans="1:5">
      <c r="A656" t="s">
        <v>40</v>
      </c>
      <c r="B656" t="s">
        <v>471</v>
      </c>
      <c r="C656" t="s">
        <v>6910</v>
      </c>
      <c r="D656" t="s">
        <v>448</v>
      </c>
      <c r="E656">
        <v>507.1</v>
      </c>
    </row>
    <row r="657" spans="1:5">
      <c r="A657" t="s">
        <v>40</v>
      </c>
      <c r="B657" t="s">
        <v>471</v>
      </c>
      <c r="C657" t="s">
        <v>6913</v>
      </c>
      <c r="D657" t="s">
        <v>437</v>
      </c>
      <c r="E657">
        <v>10</v>
      </c>
    </row>
    <row r="658" spans="1:5">
      <c r="A658" t="s">
        <v>40</v>
      </c>
      <c r="B658" t="s">
        <v>471</v>
      </c>
      <c r="C658" t="s">
        <v>6913</v>
      </c>
      <c r="D658" t="s">
        <v>313</v>
      </c>
      <c r="E658">
        <v>4.5</v>
      </c>
    </row>
    <row r="659" spans="1:5">
      <c r="A659" t="s">
        <v>40</v>
      </c>
      <c r="B659" t="s">
        <v>471</v>
      </c>
      <c r="C659" t="s">
        <v>6913</v>
      </c>
      <c r="D659" t="s">
        <v>6911</v>
      </c>
      <c r="E659">
        <v>3.4</v>
      </c>
    </row>
    <row r="660" spans="1:5">
      <c r="A660" t="s">
        <v>40</v>
      </c>
      <c r="B660" t="s">
        <v>471</v>
      </c>
      <c r="C660" t="s">
        <v>6913</v>
      </c>
      <c r="D660" t="s">
        <v>6915</v>
      </c>
      <c r="E660">
        <v>226.4</v>
      </c>
    </row>
    <row r="661" spans="1:5">
      <c r="A661" t="s">
        <v>40</v>
      </c>
      <c r="B661" t="s">
        <v>471</v>
      </c>
      <c r="C661" t="s">
        <v>6913</v>
      </c>
      <c r="D661" t="s">
        <v>447</v>
      </c>
      <c r="E661">
        <v>7.6</v>
      </c>
    </row>
    <row r="662" spans="1:5">
      <c r="A662" t="s">
        <v>40</v>
      </c>
      <c r="B662" t="s">
        <v>471</v>
      </c>
      <c r="C662" t="s">
        <v>6913</v>
      </c>
      <c r="D662" t="s">
        <v>448</v>
      </c>
      <c r="E662">
        <v>251.9</v>
      </c>
    </row>
    <row r="663" spans="1:5">
      <c r="A663" t="s">
        <v>40</v>
      </c>
      <c r="B663" t="s">
        <v>471</v>
      </c>
      <c r="C663" t="s">
        <v>6914</v>
      </c>
      <c r="D663" t="s">
        <v>217</v>
      </c>
      <c r="E663">
        <v>12.9</v>
      </c>
    </row>
    <row r="664" spans="1:5">
      <c r="A664" t="s">
        <v>40</v>
      </c>
      <c r="B664" t="s">
        <v>471</v>
      </c>
      <c r="C664" t="s">
        <v>6914</v>
      </c>
      <c r="D664" t="s">
        <v>313</v>
      </c>
      <c r="E664">
        <v>2.6</v>
      </c>
    </row>
    <row r="665" spans="1:5">
      <c r="A665" t="s">
        <v>40</v>
      </c>
      <c r="B665" t="s">
        <v>471</v>
      </c>
      <c r="C665" t="s">
        <v>6914</v>
      </c>
      <c r="D665" t="s">
        <v>6911</v>
      </c>
      <c r="E665">
        <v>10.8</v>
      </c>
    </row>
    <row r="666" spans="1:5">
      <c r="A666" t="s">
        <v>40</v>
      </c>
      <c r="B666" t="s">
        <v>471</v>
      </c>
      <c r="C666" t="s">
        <v>6914</v>
      </c>
      <c r="D666" t="s">
        <v>6915</v>
      </c>
      <c r="E666">
        <v>161.9</v>
      </c>
    </row>
    <row r="667" spans="1:5">
      <c r="A667" t="s">
        <v>40</v>
      </c>
      <c r="B667" t="s">
        <v>471</v>
      </c>
      <c r="C667" t="s">
        <v>6914</v>
      </c>
      <c r="D667" t="s">
        <v>447</v>
      </c>
      <c r="E667">
        <v>2.7</v>
      </c>
    </row>
    <row r="668" spans="1:5">
      <c r="A668" t="s">
        <v>40</v>
      </c>
      <c r="B668" t="s">
        <v>471</v>
      </c>
      <c r="C668" t="s">
        <v>6914</v>
      </c>
      <c r="D668" t="s">
        <v>448</v>
      </c>
      <c r="E668">
        <v>190.9</v>
      </c>
    </row>
    <row r="669" spans="1:5">
      <c r="A669" t="s">
        <v>40</v>
      </c>
      <c r="B669" t="s">
        <v>471</v>
      </c>
      <c r="C669" t="s">
        <v>467</v>
      </c>
      <c r="D669" t="s">
        <v>437</v>
      </c>
      <c r="E669">
        <v>3.9</v>
      </c>
    </row>
    <row r="670" spans="1:5">
      <c r="A670" t="s">
        <v>40</v>
      </c>
      <c r="B670" t="s">
        <v>471</v>
      </c>
      <c r="C670" t="s">
        <v>467</v>
      </c>
      <c r="D670" t="s">
        <v>217</v>
      </c>
      <c r="E670">
        <v>10.8</v>
      </c>
    </row>
    <row r="671" spans="1:5">
      <c r="A671" t="s">
        <v>40</v>
      </c>
      <c r="B671" t="s">
        <v>471</v>
      </c>
      <c r="C671" t="s">
        <v>467</v>
      </c>
      <c r="D671" t="s">
        <v>313</v>
      </c>
      <c r="E671">
        <v>117.2</v>
      </c>
    </row>
    <row r="672" spans="1:5">
      <c r="A672" t="s">
        <v>40</v>
      </c>
      <c r="B672" t="s">
        <v>471</v>
      </c>
      <c r="C672" t="s">
        <v>467</v>
      </c>
      <c r="D672" t="s">
        <v>6911</v>
      </c>
      <c r="E672">
        <v>193.4</v>
      </c>
    </row>
    <row r="673" spans="1:5">
      <c r="A673" t="s">
        <v>40</v>
      </c>
      <c r="B673" t="s">
        <v>471</v>
      </c>
      <c r="C673" t="s">
        <v>467</v>
      </c>
      <c r="D673" t="s">
        <v>6912</v>
      </c>
      <c r="E673">
        <v>20.9</v>
      </c>
    </row>
    <row r="674" spans="1:5">
      <c r="A674" t="s">
        <v>40</v>
      </c>
      <c r="B674" t="s">
        <v>471</v>
      </c>
      <c r="C674" t="s">
        <v>467</v>
      </c>
      <c r="D674" t="s">
        <v>443</v>
      </c>
      <c r="E674">
        <v>190</v>
      </c>
    </row>
    <row r="675" spans="1:5">
      <c r="A675" t="s">
        <v>40</v>
      </c>
      <c r="B675" t="s">
        <v>471</v>
      </c>
      <c r="C675" t="s">
        <v>467</v>
      </c>
      <c r="D675" t="s">
        <v>447</v>
      </c>
      <c r="E675">
        <v>2.8</v>
      </c>
    </row>
    <row r="676" spans="1:5">
      <c r="A676" t="s">
        <v>40</v>
      </c>
      <c r="B676" t="s">
        <v>471</v>
      </c>
      <c r="C676" t="s">
        <v>467</v>
      </c>
      <c r="D676" t="s">
        <v>448</v>
      </c>
      <c r="E676">
        <v>539</v>
      </c>
    </row>
    <row r="677" spans="1:5">
      <c r="A677" t="s">
        <v>40</v>
      </c>
      <c r="B677" t="s">
        <v>471</v>
      </c>
      <c r="C677" t="s">
        <v>65</v>
      </c>
      <c r="D677" t="s">
        <v>437</v>
      </c>
      <c r="E677">
        <v>5.8</v>
      </c>
    </row>
    <row r="678" spans="1:5">
      <c r="A678" t="s">
        <v>40</v>
      </c>
      <c r="B678" t="s">
        <v>471</v>
      </c>
      <c r="C678" t="s">
        <v>65</v>
      </c>
      <c r="D678" t="s">
        <v>217</v>
      </c>
      <c r="E678">
        <v>3.6</v>
      </c>
    </row>
    <row r="679" spans="1:5">
      <c r="A679" t="s">
        <v>40</v>
      </c>
      <c r="B679" t="s">
        <v>471</v>
      </c>
      <c r="C679" t="s">
        <v>65</v>
      </c>
      <c r="D679" t="s">
        <v>313</v>
      </c>
      <c r="E679">
        <v>0.4</v>
      </c>
    </row>
    <row r="680" spans="1:5">
      <c r="A680" t="s">
        <v>40</v>
      </c>
      <c r="B680" t="s">
        <v>471</v>
      </c>
      <c r="C680" t="s">
        <v>65</v>
      </c>
      <c r="D680" t="s">
        <v>6911</v>
      </c>
      <c r="E680">
        <v>18.399999999999999</v>
      </c>
    </row>
    <row r="681" spans="1:5">
      <c r="A681" t="s">
        <v>40</v>
      </c>
      <c r="B681" t="s">
        <v>471</v>
      </c>
      <c r="C681" t="s">
        <v>65</v>
      </c>
      <c r="D681" t="s">
        <v>6912</v>
      </c>
      <c r="E681">
        <v>3.6</v>
      </c>
    </row>
    <row r="682" spans="1:5">
      <c r="A682" t="s">
        <v>40</v>
      </c>
      <c r="B682" t="s">
        <v>471</v>
      </c>
      <c r="C682" t="s">
        <v>65</v>
      </c>
      <c r="D682" t="s">
        <v>447</v>
      </c>
      <c r="E682">
        <v>0.1</v>
      </c>
    </row>
    <row r="683" spans="1:5">
      <c r="A683" t="s">
        <v>40</v>
      </c>
      <c r="B683" t="s">
        <v>471</v>
      </c>
      <c r="C683" t="s">
        <v>65</v>
      </c>
      <c r="D683" t="s">
        <v>448</v>
      </c>
      <c r="E683">
        <v>31.9</v>
      </c>
    </row>
    <row r="684" spans="1:5">
      <c r="A684" t="s">
        <v>40</v>
      </c>
      <c r="B684" t="s">
        <v>471</v>
      </c>
      <c r="C684" t="s">
        <v>455</v>
      </c>
      <c r="D684" t="s">
        <v>437</v>
      </c>
      <c r="E684">
        <v>67.88</v>
      </c>
    </row>
    <row r="685" spans="1:5">
      <c r="A685" t="s">
        <v>40</v>
      </c>
      <c r="B685" t="s">
        <v>471</v>
      </c>
      <c r="C685" t="s">
        <v>455</v>
      </c>
      <c r="D685" t="s">
        <v>217</v>
      </c>
      <c r="E685">
        <v>2.7</v>
      </c>
    </row>
    <row r="686" spans="1:5">
      <c r="A686" t="s">
        <v>40</v>
      </c>
      <c r="B686" t="s">
        <v>471</v>
      </c>
      <c r="C686" t="s">
        <v>455</v>
      </c>
      <c r="D686" t="s">
        <v>313</v>
      </c>
      <c r="E686">
        <v>33.08</v>
      </c>
    </row>
    <row r="687" spans="1:5">
      <c r="A687" t="s">
        <v>40</v>
      </c>
      <c r="B687" t="s">
        <v>471</v>
      </c>
      <c r="C687" t="s">
        <v>455</v>
      </c>
      <c r="D687" t="s">
        <v>6911</v>
      </c>
      <c r="E687">
        <v>4.84</v>
      </c>
    </row>
    <row r="688" spans="1:5">
      <c r="A688" t="s">
        <v>40</v>
      </c>
      <c r="B688" t="s">
        <v>471</v>
      </c>
      <c r="C688" t="s">
        <v>455</v>
      </c>
      <c r="D688" t="s">
        <v>6912</v>
      </c>
      <c r="E688">
        <v>10.6</v>
      </c>
    </row>
    <row r="689" spans="1:5">
      <c r="A689" t="s">
        <v>40</v>
      </c>
      <c r="B689" t="s">
        <v>471</v>
      </c>
      <c r="C689" t="s">
        <v>455</v>
      </c>
      <c r="D689" t="s">
        <v>447</v>
      </c>
      <c r="E689">
        <v>11.8</v>
      </c>
    </row>
    <row r="690" spans="1:5">
      <c r="A690" t="s">
        <v>40</v>
      </c>
      <c r="B690" t="s">
        <v>471</v>
      </c>
      <c r="C690" t="s">
        <v>455</v>
      </c>
      <c r="D690" t="s">
        <v>448</v>
      </c>
      <c r="E690">
        <v>130.9</v>
      </c>
    </row>
    <row r="691" spans="1:5">
      <c r="A691" t="s">
        <v>40</v>
      </c>
      <c r="B691" t="s">
        <v>471</v>
      </c>
      <c r="C691" t="s">
        <v>6916</v>
      </c>
      <c r="D691" t="s">
        <v>437</v>
      </c>
      <c r="E691">
        <v>27.55</v>
      </c>
    </row>
    <row r="692" spans="1:5">
      <c r="A692" t="s">
        <v>40</v>
      </c>
      <c r="B692" t="s">
        <v>471</v>
      </c>
      <c r="C692" t="s">
        <v>6916</v>
      </c>
      <c r="D692" t="s">
        <v>217</v>
      </c>
      <c r="E692">
        <v>27.55</v>
      </c>
    </row>
    <row r="693" spans="1:5">
      <c r="A693" t="s">
        <v>40</v>
      </c>
      <c r="B693" t="s">
        <v>471</v>
      </c>
      <c r="C693" t="s">
        <v>6916</v>
      </c>
      <c r="D693" t="s">
        <v>448</v>
      </c>
      <c r="E693">
        <v>55.1</v>
      </c>
    </row>
    <row r="694" spans="1:5">
      <c r="A694" t="s">
        <v>40</v>
      </c>
      <c r="B694" t="s">
        <v>471</v>
      </c>
      <c r="C694" t="s">
        <v>457</v>
      </c>
      <c r="D694" t="s">
        <v>437</v>
      </c>
      <c r="E694">
        <v>93.3</v>
      </c>
    </row>
    <row r="695" spans="1:5">
      <c r="A695" t="s">
        <v>40</v>
      </c>
      <c r="B695" t="s">
        <v>471</v>
      </c>
      <c r="C695" t="s">
        <v>457</v>
      </c>
      <c r="D695" t="s">
        <v>313</v>
      </c>
      <c r="E695">
        <v>2</v>
      </c>
    </row>
    <row r="696" spans="1:5">
      <c r="A696" t="s">
        <v>40</v>
      </c>
      <c r="B696" t="s">
        <v>471</v>
      </c>
      <c r="C696" t="s">
        <v>457</v>
      </c>
      <c r="D696" t="s">
        <v>6911</v>
      </c>
      <c r="E696">
        <v>32.1</v>
      </c>
    </row>
    <row r="697" spans="1:5">
      <c r="A697" t="s">
        <v>40</v>
      </c>
      <c r="B697" t="s">
        <v>471</v>
      </c>
      <c r="C697" t="s">
        <v>457</v>
      </c>
      <c r="D697" t="s">
        <v>447</v>
      </c>
      <c r="E697">
        <v>18.3</v>
      </c>
    </row>
    <row r="698" spans="1:5">
      <c r="A698" t="s">
        <v>40</v>
      </c>
      <c r="B698" t="s">
        <v>471</v>
      </c>
      <c r="C698" t="s">
        <v>457</v>
      </c>
      <c r="D698" t="s">
        <v>448</v>
      </c>
      <c r="E698">
        <v>145.69999999999999</v>
      </c>
    </row>
    <row r="699" spans="1:5">
      <c r="A699" t="s">
        <v>40</v>
      </c>
      <c r="B699" t="s">
        <v>471</v>
      </c>
      <c r="C699" t="s">
        <v>497</v>
      </c>
      <c r="D699" t="s">
        <v>437</v>
      </c>
      <c r="E699">
        <v>2.1</v>
      </c>
    </row>
    <row r="700" spans="1:5">
      <c r="A700" t="s">
        <v>40</v>
      </c>
      <c r="B700" t="s">
        <v>471</v>
      </c>
      <c r="C700" t="s">
        <v>497</v>
      </c>
      <c r="D700" t="s">
        <v>313</v>
      </c>
      <c r="E700">
        <v>4.9000000000000004</v>
      </c>
    </row>
    <row r="701" spans="1:5">
      <c r="A701" t="s">
        <v>40</v>
      </c>
      <c r="B701" t="s">
        <v>471</v>
      </c>
      <c r="C701" t="s">
        <v>497</v>
      </c>
      <c r="D701" t="s">
        <v>6911</v>
      </c>
      <c r="E701">
        <v>9.4499999999999993</v>
      </c>
    </row>
    <row r="702" spans="1:5">
      <c r="A702" t="s">
        <v>40</v>
      </c>
      <c r="B702" t="s">
        <v>471</v>
      </c>
      <c r="C702" t="s">
        <v>497</v>
      </c>
      <c r="D702" t="s">
        <v>6912</v>
      </c>
      <c r="E702">
        <v>269.95</v>
      </c>
    </row>
    <row r="703" spans="1:5">
      <c r="A703" t="s">
        <v>40</v>
      </c>
      <c r="B703" t="s">
        <v>471</v>
      </c>
      <c r="C703" t="s">
        <v>497</v>
      </c>
      <c r="D703" t="s">
        <v>447</v>
      </c>
      <c r="E703">
        <v>1.9</v>
      </c>
    </row>
    <row r="704" spans="1:5">
      <c r="A704" t="s">
        <v>40</v>
      </c>
      <c r="B704" t="s">
        <v>471</v>
      </c>
      <c r="C704" t="s">
        <v>497</v>
      </c>
      <c r="D704" t="s">
        <v>448</v>
      </c>
      <c r="E704">
        <v>288.3</v>
      </c>
    </row>
    <row r="705" spans="1:5">
      <c r="A705" t="s">
        <v>40</v>
      </c>
      <c r="B705" t="s">
        <v>471</v>
      </c>
      <c r="C705" t="s">
        <v>6917</v>
      </c>
      <c r="D705" t="s">
        <v>437</v>
      </c>
      <c r="E705">
        <v>83.8</v>
      </c>
    </row>
    <row r="706" spans="1:5">
      <c r="A706" t="s">
        <v>40</v>
      </c>
      <c r="B706" t="s">
        <v>471</v>
      </c>
      <c r="C706" t="s">
        <v>6917</v>
      </c>
      <c r="D706" t="s">
        <v>217</v>
      </c>
      <c r="E706">
        <v>4.0999999999999996</v>
      </c>
    </row>
    <row r="707" spans="1:5">
      <c r="A707" t="s">
        <v>40</v>
      </c>
      <c r="B707" t="s">
        <v>471</v>
      </c>
      <c r="C707" t="s">
        <v>6917</v>
      </c>
      <c r="D707" t="s">
        <v>313</v>
      </c>
      <c r="E707">
        <v>42.82</v>
      </c>
    </row>
    <row r="708" spans="1:5">
      <c r="A708" t="s">
        <v>40</v>
      </c>
      <c r="B708" t="s">
        <v>471</v>
      </c>
      <c r="C708" t="s">
        <v>6917</v>
      </c>
      <c r="D708" t="s">
        <v>6911</v>
      </c>
      <c r="E708">
        <v>70.599999999999994</v>
      </c>
    </row>
    <row r="709" spans="1:5">
      <c r="A709" t="s">
        <v>40</v>
      </c>
      <c r="B709" t="s">
        <v>471</v>
      </c>
      <c r="C709" t="s">
        <v>6917</v>
      </c>
      <c r="D709" t="s">
        <v>6912</v>
      </c>
      <c r="E709">
        <v>23.88</v>
      </c>
    </row>
    <row r="710" spans="1:5">
      <c r="A710" t="s">
        <v>40</v>
      </c>
      <c r="B710" t="s">
        <v>471</v>
      </c>
      <c r="C710" t="s">
        <v>6917</v>
      </c>
      <c r="D710" t="s">
        <v>447</v>
      </c>
      <c r="E710">
        <v>0.2</v>
      </c>
    </row>
    <row r="711" spans="1:5">
      <c r="A711" t="s">
        <v>40</v>
      </c>
      <c r="B711" t="s">
        <v>471</v>
      </c>
      <c r="C711" t="s">
        <v>6917</v>
      </c>
      <c r="D711" t="s">
        <v>448</v>
      </c>
      <c r="E711">
        <v>225.4</v>
      </c>
    </row>
    <row r="712" spans="1:5">
      <c r="A712" t="s">
        <v>40</v>
      </c>
      <c r="B712" t="s">
        <v>471</v>
      </c>
      <c r="C712" t="s">
        <v>382</v>
      </c>
      <c r="D712" t="s">
        <v>217</v>
      </c>
      <c r="E712">
        <v>0.1</v>
      </c>
    </row>
    <row r="713" spans="1:5">
      <c r="A713" t="s">
        <v>40</v>
      </c>
      <c r="B713" t="s">
        <v>471</v>
      </c>
      <c r="C713" t="s">
        <v>382</v>
      </c>
      <c r="D713" t="s">
        <v>313</v>
      </c>
      <c r="E713">
        <v>4.8</v>
      </c>
    </row>
    <row r="714" spans="1:5">
      <c r="A714" t="s">
        <v>40</v>
      </c>
      <c r="B714" t="s">
        <v>471</v>
      </c>
      <c r="C714" t="s">
        <v>382</v>
      </c>
      <c r="D714" t="s">
        <v>6911</v>
      </c>
      <c r="E714">
        <v>6.8</v>
      </c>
    </row>
    <row r="715" spans="1:5">
      <c r="A715" t="s">
        <v>40</v>
      </c>
      <c r="B715" t="s">
        <v>471</v>
      </c>
      <c r="C715" t="s">
        <v>382</v>
      </c>
      <c r="D715" t="s">
        <v>447</v>
      </c>
      <c r="E715">
        <v>0.3</v>
      </c>
    </row>
    <row r="716" spans="1:5">
      <c r="A716" t="s">
        <v>40</v>
      </c>
      <c r="B716" t="s">
        <v>471</v>
      </c>
      <c r="C716" t="s">
        <v>382</v>
      </c>
      <c r="D716" t="s">
        <v>448</v>
      </c>
      <c r="E716">
        <v>12</v>
      </c>
    </row>
    <row r="717" spans="1:5">
      <c r="A717" t="s">
        <v>40</v>
      </c>
      <c r="B717" t="s">
        <v>471</v>
      </c>
      <c r="C717" t="s">
        <v>460</v>
      </c>
      <c r="D717" t="s">
        <v>437</v>
      </c>
      <c r="E717">
        <v>11.4</v>
      </c>
    </row>
    <row r="718" spans="1:5">
      <c r="A718" t="s">
        <v>40</v>
      </c>
      <c r="B718" t="s">
        <v>471</v>
      </c>
      <c r="C718" t="s">
        <v>460</v>
      </c>
      <c r="D718" t="s">
        <v>217</v>
      </c>
      <c r="E718">
        <v>7.66</v>
      </c>
    </row>
    <row r="719" spans="1:5">
      <c r="A719" t="s">
        <v>40</v>
      </c>
      <c r="B719" t="s">
        <v>471</v>
      </c>
      <c r="C719" t="s">
        <v>460</v>
      </c>
      <c r="D719" t="s">
        <v>313</v>
      </c>
      <c r="E719">
        <v>16.100000000000001</v>
      </c>
    </row>
    <row r="720" spans="1:5">
      <c r="A720" t="s">
        <v>40</v>
      </c>
      <c r="B720" t="s">
        <v>471</v>
      </c>
      <c r="C720" t="s">
        <v>460</v>
      </c>
      <c r="D720" t="s">
        <v>6911</v>
      </c>
      <c r="E720">
        <v>168.24</v>
      </c>
    </row>
    <row r="721" spans="1:5">
      <c r="A721" t="s">
        <v>40</v>
      </c>
      <c r="B721" t="s">
        <v>471</v>
      </c>
      <c r="C721" t="s">
        <v>460</v>
      </c>
      <c r="D721" t="s">
        <v>6912</v>
      </c>
      <c r="E721">
        <v>39.200000000000003</v>
      </c>
    </row>
    <row r="722" spans="1:5">
      <c r="A722" t="s">
        <v>40</v>
      </c>
      <c r="B722" t="s">
        <v>471</v>
      </c>
      <c r="C722" t="s">
        <v>460</v>
      </c>
      <c r="D722" t="s">
        <v>447</v>
      </c>
      <c r="E722">
        <v>5.5</v>
      </c>
    </row>
    <row r="723" spans="1:5">
      <c r="A723" t="s">
        <v>40</v>
      </c>
      <c r="B723" t="s">
        <v>471</v>
      </c>
      <c r="C723" t="s">
        <v>460</v>
      </c>
      <c r="D723" t="s">
        <v>448</v>
      </c>
      <c r="E723">
        <v>248.1</v>
      </c>
    </row>
    <row r="724" spans="1:5">
      <c r="A724" t="s">
        <v>40</v>
      </c>
      <c r="B724" t="s">
        <v>471</v>
      </c>
      <c r="C724" t="s">
        <v>448</v>
      </c>
      <c r="D724" t="s">
        <v>437</v>
      </c>
      <c r="E724">
        <v>305.73</v>
      </c>
    </row>
    <row r="725" spans="1:5">
      <c r="A725" t="s">
        <v>40</v>
      </c>
      <c r="B725" t="s">
        <v>471</v>
      </c>
      <c r="C725" t="s">
        <v>448</v>
      </c>
      <c r="D725" t="s">
        <v>217</v>
      </c>
      <c r="E725">
        <v>76.709999999999994</v>
      </c>
    </row>
    <row r="726" spans="1:5">
      <c r="A726" t="s">
        <v>40</v>
      </c>
      <c r="B726" t="s">
        <v>471</v>
      </c>
      <c r="C726" t="s">
        <v>448</v>
      </c>
      <c r="D726" t="s">
        <v>313</v>
      </c>
      <c r="E726">
        <v>238</v>
      </c>
    </row>
    <row r="727" spans="1:5">
      <c r="A727" t="s">
        <v>40</v>
      </c>
      <c r="B727" t="s">
        <v>471</v>
      </c>
      <c r="C727" t="s">
        <v>448</v>
      </c>
      <c r="D727" t="s">
        <v>6911</v>
      </c>
      <c r="E727">
        <v>592.73</v>
      </c>
    </row>
    <row r="728" spans="1:5">
      <c r="A728" t="s">
        <v>40</v>
      </c>
      <c r="B728" t="s">
        <v>471</v>
      </c>
      <c r="C728" t="s">
        <v>448</v>
      </c>
      <c r="D728" t="s">
        <v>441</v>
      </c>
      <c r="E728">
        <v>406.5</v>
      </c>
    </row>
    <row r="729" spans="1:5">
      <c r="A729" t="s">
        <v>40</v>
      </c>
      <c r="B729" t="s">
        <v>471</v>
      </c>
      <c r="C729" t="s">
        <v>448</v>
      </c>
      <c r="D729" t="s">
        <v>6912</v>
      </c>
      <c r="E729">
        <v>375.33</v>
      </c>
    </row>
    <row r="730" spans="1:5">
      <c r="A730" t="s">
        <v>40</v>
      </c>
      <c r="B730" t="s">
        <v>471</v>
      </c>
      <c r="C730" t="s">
        <v>448</v>
      </c>
      <c r="D730" t="s">
        <v>443</v>
      </c>
      <c r="E730">
        <v>190</v>
      </c>
    </row>
    <row r="731" spans="1:5">
      <c r="A731" t="s">
        <v>40</v>
      </c>
      <c r="B731" t="s">
        <v>471</v>
      </c>
      <c r="C731" t="s">
        <v>448</v>
      </c>
      <c r="D731" t="s">
        <v>6915</v>
      </c>
      <c r="E731">
        <v>388.3</v>
      </c>
    </row>
    <row r="732" spans="1:5">
      <c r="A732" t="s">
        <v>40</v>
      </c>
      <c r="B732" t="s">
        <v>471</v>
      </c>
      <c r="C732" t="s">
        <v>448</v>
      </c>
      <c r="D732" t="s">
        <v>447</v>
      </c>
      <c r="E732">
        <v>53</v>
      </c>
    </row>
    <row r="733" spans="1:5">
      <c r="A733" t="s">
        <v>40</v>
      </c>
      <c r="B733" t="s">
        <v>471</v>
      </c>
      <c r="C733" t="s">
        <v>448</v>
      </c>
      <c r="D733" t="s">
        <v>448</v>
      </c>
      <c r="E733">
        <v>2626.3</v>
      </c>
    </row>
    <row r="734" spans="1:5">
      <c r="A734" t="s">
        <v>40</v>
      </c>
      <c r="B734" t="s">
        <v>472</v>
      </c>
      <c r="C734" t="s">
        <v>6910</v>
      </c>
      <c r="D734" t="s">
        <v>217</v>
      </c>
      <c r="E734">
        <v>1.25</v>
      </c>
    </row>
    <row r="735" spans="1:5">
      <c r="A735" t="s">
        <v>40</v>
      </c>
      <c r="B735" t="s">
        <v>472</v>
      </c>
      <c r="C735" t="s">
        <v>6910</v>
      </c>
      <c r="D735" t="s">
        <v>313</v>
      </c>
      <c r="E735">
        <v>1.25</v>
      </c>
    </row>
    <row r="736" spans="1:5">
      <c r="A736" t="s">
        <v>40</v>
      </c>
      <c r="B736" t="s">
        <v>472</v>
      </c>
      <c r="C736" t="s">
        <v>6910</v>
      </c>
      <c r="D736" t="s">
        <v>6911</v>
      </c>
      <c r="E736">
        <v>40.200000000000003</v>
      </c>
    </row>
    <row r="737" spans="1:5">
      <c r="A737" t="s">
        <v>40</v>
      </c>
      <c r="B737" t="s">
        <v>472</v>
      </c>
      <c r="C737" t="s">
        <v>6910</v>
      </c>
      <c r="D737" t="s">
        <v>441</v>
      </c>
      <c r="E737">
        <v>272.10000000000002</v>
      </c>
    </row>
    <row r="738" spans="1:5">
      <c r="A738" t="s">
        <v>40</v>
      </c>
      <c r="B738" t="s">
        <v>472</v>
      </c>
      <c r="C738" t="s">
        <v>6910</v>
      </c>
      <c r="D738" t="s">
        <v>6912</v>
      </c>
      <c r="E738">
        <v>7.8</v>
      </c>
    </row>
    <row r="739" spans="1:5">
      <c r="A739" t="s">
        <v>40</v>
      </c>
      <c r="B739" t="s">
        <v>472</v>
      </c>
      <c r="C739" t="s">
        <v>6910</v>
      </c>
      <c r="D739" t="s">
        <v>447</v>
      </c>
      <c r="E739">
        <v>1.2</v>
      </c>
    </row>
    <row r="740" spans="1:5">
      <c r="A740" t="s">
        <v>40</v>
      </c>
      <c r="B740" t="s">
        <v>472</v>
      </c>
      <c r="C740" t="s">
        <v>6910</v>
      </c>
      <c r="D740" t="s">
        <v>448</v>
      </c>
      <c r="E740">
        <v>323.8</v>
      </c>
    </row>
    <row r="741" spans="1:5">
      <c r="A741" t="s">
        <v>40</v>
      </c>
      <c r="B741" t="s">
        <v>472</v>
      </c>
      <c r="C741" t="s">
        <v>473</v>
      </c>
      <c r="D741" t="s">
        <v>437</v>
      </c>
      <c r="E741">
        <v>0.4</v>
      </c>
    </row>
    <row r="742" spans="1:5">
      <c r="A742" t="s">
        <v>40</v>
      </c>
      <c r="B742" t="s">
        <v>472</v>
      </c>
      <c r="C742" t="s">
        <v>473</v>
      </c>
      <c r="D742" t="s">
        <v>313</v>
      </c>
      <c r="E742">
        <v>128.80000000000001</v>
      </c>
    </row>
    <row r="743" spans="1:5">
      <c r="A743" t="s">
        <v>40</v>
      </c>
      <c r="B743" t="s">
        <v>472</v>
      </c>
      <c r="C743" t="s">
        <v>473</v>
      </c>
      <c r="D743" t="s">
        <v>6911</v>
      </c>
      <c r="E743">
        <v>255.8</v>
      </c>
    </row>
    <row r="744" spans="1:5">
      <c r="A744" t="s">
        <v>40</v>
      </c>
      <c r="B744" t="s">
        <v>472</v>
      </c>
      <c r="C744" t="s">
        <v>473</v>
      </c>
      <c r="D744" t="s">
        <v>447</v>
      </c>
      <c r="E744">
        <v>1.6</v>
      </c>
    </row>
    <row r="745" spans="1:5">
      <c r="A745" t="s">
        <v>40</v>
      </c>
      <c r="B745" t="s">
        <v>472</v>
      </c>
      <c r="C745" t="s">
        <v>473</v>
      </c>
      <c r="D745" t="s">
        <v>448</v>
      </c>
      <c r="E745">
        <v>386.6</v>
      </c>
    </row>
    <row r="746" spans="1:5">
      <c r="A746" t="s">
        <v>40</v>
      </c>
      <c r="B746" t="s">
        <v>472</v>
      </c>
      <c r="C746" t="s">
        <v>467</v>
      </c>
      <c r="D746" t="s">
        <v>437</v>
      </c>
      <c r="E746">
        <v>82.3</v>
      </c>
    </row>
    <row r="747" spans="1:5">
      <c r="A747" t="s">
        <v>40</v>
      </c>
      <c r="B747" t="s">
        <v>472</v>
      </c>
      <c r="C747" t="s">
        <v>467</v>
      </c>
      <c r="D747" t="s">
        <v>217</v>
      </c>
      <c r="E747">
        <v>2.1</v>
      </c>
    </row>
    <row r="748" spans="1:5">
      <c r="A748" t="s">
        <v>40</v>
      </c>
      <c r="B748" t="s">
        <v>472</v>
      </c>
      <c r="C748" t="s">
        <v>467</v>
      </c>
      <c r="D748" t="s">
        <v>313</v>
      </c>
      <c r="E748">
        <v>74.3</v>
      </c>
    </row>
    <row r="749" spans="1:5">
      <c r="A749" t="s">
        <v>40</v>
      </c>
      <c r="B749" t="s">
        <v>472</v>
      </c>
      <c r="C749" t="s">
        <v>467</v>
      </c>
      <c r="D749" t="s">
        <v>6911</v>
      </c>
      <c r="E749">
        <v>519.65</v>
      </c>
    </row>
    <row r="750" spans="1:5">
      <c r="A750" t="s">
        <v>40</v>
      </c>
      <c r="B750" t="s">
        <v>472</v>
      </c>
      <c r="C750" t="s">
        <v>467</v>
      </c>
      <c r="D750" t="s">
        <v>6912</v>
      </c>
      <c r="E750">
        <v>25.3</v>
      </c>
    </row>
    <row r="751" spans="1:5">
      <c r="A751" t="s">
        <v>40</v>
      </c>
      <c r="B751" t="s">
        <v>472</v>
      </c>
      <c r="C751" t="s">
        <v>467</v>
      </c>
      <c r="D751" t="s">
        <v>443</v>
      </c>
      <c r="E751">
        <v>207.3</v>
      </c>
    </row>
    <row r="752" spans="1:5">
      <c r="A752" t="s">
        <v>40</v>
      </c>
      <c r="B752" t="s">
        <v>472</v>
      </c>
      <c r="C752" t="s">
        <v>467</v>
      </c>
      <c r="D752" t="s">
        <v>447</v>
      </c>
      <c r="E752">
        <v>6.95</v>
      </c>
    </row>
    <row r="753" spans="1:5">
      <c r="A753" t="s">
        <v>40</v>
      </c>
      <c r="B753" t="s">
        <v>472</v>
      </c>
      <c r="C753" t="s">
        <v>467</v>
      </c>
      <c r="D753" t="s">
        <v>448</v>
      </c>
      <c r="E753">
        <v>917.9</v>
      </c>
    </row>
    <row r="754" spans="1:5">
      <c r="A754" t="s">
        <v>40</v>
      </c>
      <c r="B754" t="s">
        <v>472</v>
      </c>
      <c r="C754" t="s">
        <v>65</v>
      </c>
      <c r="D754" t="s">
        <v>437</v>
      </c>
      <c r="E754">
        <v>0.4</v>
      </c>
    </row>
    <row r="755" spans="1:5">
      <c r="A755" t="s">
        <v>40</v>
      </c>
      <c r="B755" t="s">
        <v>472</v>
      </c>
      <c r="C755" t="s">
        <v>65</v>
      </c>
      <c r="D755" t="s">
        <v>217</v>
      </c>
      <c r="E755">
        <v>1.1000000000000001</v>
      </c>
    </row>
    <row r="756" spans="1:5">
      <c r="A756" t="s">
        <v>40</v>
      </c>
      <c r="B756" t="s">
        <v>472</v>
      </c>
      <c r="C756" t="s">
        <v>65</v>
      </c>
      <c r="D756" t="s">
        <v>313</v>
      </c>
      <c r="E756">
        <v>14.75</v>
      </c>
    </row>
    <row r="757" spans="1:5">
      <c r="A757" t="s">
        <v>40</v>
      </c>
      <c r="B757" t="s">
        <v>472</v>
      </c>
      <c r="C757" t="s">
        <v>65</v>
      </c>
      <c r="D757" t="s">
        <v>6911</v>
      </c>
      <c r="E757">
        <v>16.649999999999999</v>
      </c>
    </row>
    <row r="758" spans="1:5">
      <c r="A758" t="s">
        <v>40</v>
      </c>
      <c r="B758" t="s">
        <v>472</v>
      </c>
      <c r="C758" t="s">
        <v>65</v>
      </c>
      <c r="D758" t="s">
        <v>6912</v>
      </c>
      <c r="E758">
        <v>0.7</v>
      </c>
    </row>
    <row r="759" spans="1:5">
      <c r="A759" t="s">
        <v>40</v>
      </c>
      <c r="B759" t="s">
        <v>472</v>
      </c>
      <c r="C759" t="s">
        <v>65</v>
      </c>
      <c r="D759" t="s">
        <v>447</v>
      </c>
      <c r="E759">
        <v>2.1</v>
      </c>
    </row>
    <row r="760" spans="1:5">
      <c r="A760" t="s">
        <v>40</v>
      </c>
      <c r="B760" t="s">
        <v>472</v>
      </c>
      <c r="C760" t="s">
        <v>65</v>
      </c>
      <c r="D760" t="s">
        <v>448</v>
      </c>
      <c r="E760">
        <v>35.700000000000003</v>
      </c>
    </row>
    <row r="761" spans="1:5">
      <c r="A761" t="s">
        <v>40</v>
      </c>
      <c r="B761" t="s">
        <v>472</v>
      </c>
      <c r="C761" t="s">
        <v>455</v>
      </c>
      <c r="D761" t="s">
        <v>437</v>
      </c>
      <c r="E761">
        <v>8.8000000000000007</v>
      </c>
    </row>
    <row r="762" spans="1:5">
      <c r="A762" t="s">
        <v>40</v>
      </c>
      <c r="B762" t="s">
        <v>472</v>
      </c>
      <c r="C762" t="s">
        <v>455</v>
      </c>
      <c r="D762" t="s">
        <v>313</v>
      </c>
      <c r="E762">
        <v>25.7</v>
      </c>
    </row>
    <row r="763" spans="1:5">
      <c r="A763" t="s">
        <v>40</v>
      </c>
      <c r="B763" t="s">
        <v>472</v>
      </c>
      <c r="C763" t="s">
        <v>455</v>
      </c>
      <c r="D763" t="s">
        <v>6911</v>
      </c>
      <c r="E763">
        <v>50</v>
      </c>
    </row>
    <row r="764" spans="1:5">
      <c r="A764" t="s">
        <v>40</v>
      </c>
      <c r="B764" t="s">
        <v>472</v>
      </c>
      <c r="C764" t="s">
        <v>455</v>
      </c>
      <c r="D764" t="s">
        <v>6912</v>
      </c>
      <c r="E764">
        <v>12.2</v>
      </c>
    </row>
    <row r="765" spans="1:5">
      <c r="A765" t="s">
        <v>40</v>
      </c>
      <c r="B765" t="s">
        <v>472</v>
      </c>
      <c r="C765" t="s">
        <v>455</v>
      </c>
      <c r="D765" t="s">
        <v>447</v>
      </c>
      <c r="E765">
        <v>9.5</v>
      </c>
    </row>
    <row r="766" spans="1:5">
      <c r="A766" t="s">
        <v>40</v>
      </c>
      <c r="B766" t="s">
        <v>472</v>
      </c>
      <c r="C766" t="s">
        <v>455</v>
      </c>
      <c r="D766" t="s">
        <v>448</v>
      </c>
      <c r="E766">
        <v>106.2</v>
      </c>
    </row>
    <row r="767" spans="1:5">
      <c r="A767" t="s">
        <v>40</v>
      </c>
      <c r="B767" t="s">
        <v>472</v>
      </c>
      <c r="C767" t="s">
        <v>6916</v>
      </c>
      <c r="D767" t="s">
        <v>437</v>
      </c>
      <c r="E767">
        <v>17.7</v>
      </c>
    </row>
    <row r="768" spans="1:5">
      <c r="A768" t="s">
        <v>40</v>
      </c>
      <c r="B768" t="s">
        <v>472</v>
      </c>
      <c r="C768" t="s">
        <v>6916</v>
      </c>
      <c r="D768" t="s">
        <v>217</v>
      </c>
      <c r="E768">
        <v>15.7</v>
      </c>
    </row>
    <row r="769" spans="1:5">
      <c r="A769" t="s">
        <v>40</v>
      </c>
      <c r="B769" t="s">
        <v>472</v>
      </c>
      <c r="C769" t="s">
        <v>6916</v>
      </c>
      <c r="D769" t="s">
        <v>313</v>
      </c>
      <c r="E769">
        <v>4.5</v>
      </c>
    </row>
    <row r="770" spans="1:5">
      <c r="A770" t="s">
        <v>40</v>
      </c>
      <c r="B770" t="s">
        <v>472</v>
      </c>
      <c r="C770" t="s">
        <v>6916</v>
      </c>
      <c r="D770" t="s">
        <v>6911</v>
      </c>
      <c r="E770">
        <v>0.1</v>
      </c>
    </row>
    <row r="771" spans="1:5">
      <c r="A771" t="s">
        <v>40</v>
      </c>
      <c r="B771" t="s">
        <v>472</v>
      </c>
      <c r="C771" t="s">
        <v>6916</v>
      </c>
      <c r="D771" t="s">
        <v>447</v>
      </c>
      <c r="E771">
        <v>1</v>
      </c>
    </row>
    <row r="772" spans="1:5">
      <c r="A772" t="s">
        <v>40</v>
      </c>
      <c r="B772" t="s">
        <v>472</v>
      </c>
      <c r="C772" t="s">
        <v>6916</v>
      </c>
      <c r="D772" t="s">
        <v>448</v>
      </c>
      <c r="E772">
        <v>39</v>
      </c>
    </row>
    <row r="773" spans="1:5">
      <c r="A773" t="s">
        <v>40</v>
      </c>
      <c r="B773" t="s">
        <v>472</v>
      </c>
      <c r="C773" t="s">
        <v>457</v>
      </c>
      <c r="D773" t="s">
        <v>437</v>
      </c>
      <c r="E773">
        <v>54</v>
      </c>
    </row>
    <row r="774" spans="1:5">
      <c r="A774" t="s">
        <v>40</v>
      </c>
      <c r="B774" t="s">
        <v>472</v>
      </c>
      <c r="C774" t="s">
        <v>457</v>
      </c>
      <c r="D774" t="s">
        <v>217</v>
      </c>
      <c r="E774">
        <v>0.35</v>
      </c>
    </row>
    <row r="775" spans="1:5">
      <c r="A775" t="s">
        <v>40</v>
      </c>
      <c r="B775" t="s">
        <v>472</v>
      </c>
      <c r="C775" t="s">
        <v>457</v>
      </c>
      <c r="D775" t="s">
        <v>313</v>
      </c>
      <c r="E775">
        <v>162</v>
      </c>
    </row>
    <row r="776" spans="1:5">
      <c r="A776" t="s">
        <v>40</v>
      </c>
      <c r="B776" t="s">
        <v>472</v>
      </c>
      <c r="C776" t="s">
        <v>457</v>
      </c>
      <c r="D776" t="s">
        <v>6911</v>
      </c>
      <c r="E776">
        <v>164.95</v>
      </c>
    </row>
    <row r="777" spans="1:5">
      <c r="A777" t="s">
        <v>40</v>
      </c>
      <c r="B777" t="s">
        <v>472</v>
      </c>
      <c r="C777" t="s">
        <v>457</v>
      </c>
      <c r="D777" t="s">
        <v>6912</v>
      </c>
      <c r="E777">
        <v>24.9</v>
      </c>
    </row>
    <row r="778" spans="1:5">
      <c r="A778" t="s">
        <v>40</v>
      </c>
      <c r="B778" t="s">
        <v>472</v>
      </c>
      <c r="C778" t="s">
        <v>457</v>
      </c>
      <c r="D778" t="s">
        <v>448</v>
      </c>
      <c r="E778">
        <v>406.2</v>
      </c>
    </row>
    <row r="779" spans="1:5">
      <c r="A779" t="s">
        <v>40</v>
      </c>
      <c r="B779" t="s">
        <v>472</v>
      </c>
      <c r="C779" t="s">
        <v>497</v>
      </c>
      <c r="D779" t="s">
        <v>313</v>
      </c>
      <c r="E779">
        <v>18.100000000000001</v>
      </c>
    </row>
    <row r="780" spans="1:5">
      <c r="A780" t="s">
        <v>40</v>
      </c>
      <c r="B780" t="s">
        <v>472</v>
      </c>
      <c r="C780" t="s">
        <v>497</v>
      </c>
      <c r="D780" t="s">
        <v>6911</v>
      </c>
      <c r="E780">
        <v>44.9</v>
      </c>
    </row>
    <row r="781" spans="1:5">
      <c r="A781" t="s">
        <v>40</v>
      </c>
      <c r="B781" t="s">
        <v>472</v>
      </c>
      <c r="C781" t="s">
        <v>497</v>
      </c>
      <c r="D781" t="s">
        <v>6912</v>
      </c>
      <c r="E781">
        <v>138.9</v>
      </c>
    </row>
    <row r="782" spans="1:5">
      <c r="A782" t="s">
        <v>40</v>
      </c>
      <c r="B782" t="s">
        <v>472</v>
      </c>
      <c r="C782" t="s">
        <v>497</v>
      </c>
      <c r="D782" t="s">
        <v>447</v>
      </c>
      <c r="E782">
        <v>8.3000000000000007</v>
      </c>
    </row>
    <row r="783" spans="1:5">
      <c r="A783" t="s">
        <v>40</v>
      </c>
      <c r="B783" t="s">
        <v>472</v>
      </c>
      <c r="C783" t="s">
        <v>497</v>
      </c>
      <c r="D783" t="s">
        <v>448</v>
      </c>
      <c r="E783">
        <v>210.2</v>
      </c>
    </row>
    <row r="784" spans="1:5">
      <c r="A784" t="s">
        <v>40</v>
      </c>
      <c r="B784" t="s">
        <v>472</v>
      </c>
      <c r="C784" t="s">
        <v>6917</v>
      </c>
      <c r="D784" t="s">
        <v>437</v>
      </c>
      <c r="E784">
        <v>61.9</v>
      </c>
    </row>
    <row r="785" spans="1:5">
      <c r="A785" t="s">
        <v>40</v>
      </c>
      <c r="B785" t="s">
        <v>472</v>
      </c>
      <c r="C785" t="s">
        <v>6917</v>
      </c>
      <c r="D785" t="s">
        <v>217</v>
      </c>
      <c r="E785">
        <v>3.5</v>
      </c>
    </row>
    <row r="786" spans="1:5">
      <c r="A786" t="s">
        <v>40</v>
      </c>
      <c r="B786" t="s">
        <v>472</v>
      </c>
      <c r="C786" t="s">
        <v>6917</v>
      </c>
      <c r="D786" t="s">
        <v>313</v>
      </c>
      <c r="E786">
        <v>54.1</v>
      </c>
    </row>
    <row r="787" spans="1:5">
      <c r="A787" t="s">
        <v>40</v>
      </c>
      <c r="B787" t="s">
        <v>472</v>
      </c>
      <c r="C787" t="s">
        <v>6917</v>
      </c>
      <c r="D787" t="s">
        <v>6911</v>
      </c>
      <c r="E787">
        <v>28.3</v>
      </c>
    </row>
    <row r="788" spans="1:5">
      <c r="A788" t="s">
        <v>40</v>
      </c>
      <c r="B788" t="s">
        <v>472</v>
      </c>
      <c r="C788" t="s">
        <v>6917</v>
      </c>
      <c r="D788" t="s">
        <v>6912</v>
      </c>
      <c r="E788">
        <v>12.8</v>
      </c>
    </row>
    <row r="789" spans="1:5">
      <c r="A789" t="s">
        <v>40</v>
      </c>
      <c r="B789" t="s">
        <v>472</v>
      </c>
      <c r="C789" t="s">
        <v>6917</v>
      </c>
      <c r="D789" t="s">
        <v>447</v>
      </c>
      <c r="E789">
        <v>13.1</v>
      </c>
    </row>
    <row r="790" spans="1:5">
      <c r="A790" t="s">
        <v>40</v>
      </c>
      <c r="B790" t="s">
        <v>472</v>
      </c>
      <c r="C790" t="s">
        <v>6917</v>
      </c>
      <c r="D790" t="s">
        <v>448</v>
      </c>
      <c r="E790">
        <v>173.7</v>
      </c>
    </row>
    <row r="791" spans="1:5">
      <c r="A791" t="s">
        <v>40</v>
      </c>
      <c r="B791" t="s">
        <v>472</v>
      </c>
      <c r="C791" t="s">
        <v>382</v>
      </c>
      <c r="D791" t="s">
        <v>437</v>
      </c>
      <c r="E791">
        <v>0.25</v>
      </c>
    </row>
    <row r="792" spans="1:5">
      <c r="A792" t="s">
        <v>40</v>
      </c>
      <c r="B792" t="s">
        <v>472</v>
      </c>
      <c r="C792" t="s">
        <v>382</v>
      </c>
      <c r="D792" t="s">
        <v>313</v>
      </c>
      <c r="E792">
        <v>2.2999999999999998</v>
      </c>
    </row>
    <row r="793" spans="1:5">
      <c r="A793" t="s">
        <v>40</v>
      </c>
      <c r="B793" t="s">
        <v>472</v>
      </c>
      <c r="C793" t="s">
        <v>382</v>
      </c>
      <c r="D793" t="s">
        <v>6911</v>
      </c>
      <c r="E793">
        <v>4.6500000000000004</v>
      </c>
    </row>
    <row r="794" spans="1:5">
      <c r="A794" t="s">
        <v>40</v>
      </c>
      <c r="B794" t="s">
        <v>472</v>
      </c>
      <c r="C794" t="s">
        <v>382</v>
      </c>
      <c r="D794" t="s">
        <v>447</v>
      </c>
      <c r="E794">
        <v>0.1</v>
      </c>
    </row>
    <row r="795" spans="1:5">
      <c r="A795" t="s">
        <v>40</v>
      </c>
      <c r="B795" t="s">
        <v>472</v>
      </c>
      <c r="C795" t="s">
        <v>382</v>
      </c>
      <c r="D795" t="s">
        <v>448</v>
      </c>
      <c r="E795">
        <v>7.3</v>
      </c>
    </row>
    <row r="796" spans="1:5">
      <c r="A796" t="s">
        <v>40</v>
      </c>
      <c r="B796" t="s">
        <v>472</v>
      </c>
      <c r="C796" t="s">
        <v>460</v>
      </c>
      <c r="D796" t="s">
        <v>313</v>
      </c>
      <c r="E796">
        <v>30.35</v>
      </c>
    </row>
    <row r="797" spans="1:5">
      <c r="A797" t="s">
        <v>40</v>
      </c>
      <c r="B797" t="s">
        <v>472</v>
      </c>
      <c r="C797" t="s">
        <v>460</v>
      </c>
      <c r="D797" t="s">
        <v>6911</v>
      </c>
      <c r="E797">
        <v>2.5</v>
      </c>
    </row>
    <row r="798" spans="1:5">
      <c r="A798" t="s">
        <v>40</v>
      </c>
      <c r="B798" t="s">
        <v>472</v>
      </c>
      <c r="C798" t="s">
        <v>460</v>
      </c>
      <c r="D798" t="s">
        <v>6912</v>
      </c>
      <c r="E798">
        <v>45.05</v>
      </c>
    </row>
    <row r="799" spans="1:5">
      <c r="A799" t="s">
        <v>40</v>
      </c>
      <c r="B799" t="s">
        <v>472</v>
      </c>
      <c r="C799" t="s">
        <v>460</v>
      </c>
      <c r="D799" t="s">
        <v>447</v>
      </c>
      <c r="E799">
        <v>0.5</v>
      </c>
    </row>
    <row r="800" spans="1:5">
      <c r="A800" t="s">
        <v>40</v>
      </c>
      <c r="B800" t="s">
        <v>472</v>
      </c>
      <c r="C800" t="s">
        <v>460</v>
      </c>
      <c r="D800" t="s">
        <v>448</v>
      </c>
      <c r="E800">
        <v>78.400000000000006</v>
      </c>
    </row>
    <row r="801" spans="1:5">
      <c r="A801" t="s">
        <v>40</v>
      </c>
      <c r="B801" t="s">
        <v>472</v>
      </c>
      <c r="C801" t="s">
        <v>448</v>
      </c>
      <c r="D801" t="s">
        <v>437</v>
      </c>
      <c r="E801">
        <v>225.75</v>
      </c>
    </row>
    <row r="802" spans="1:5">
      <c r="A802" t="s">
        <v>40</v>
      </c>
      <c r="B802" t="s">
        <v>472</v>
      </c>
      <c r="C802" t="s">
        <v>448</v>
      </c>
      <c r="D802" t="s">
        <v>217</v>
      </c>
      <c r="E802">
        <v>24</v>
      </c>
    </row>
    <row r="803" spans="1:5">
      <c r="A803" t="s">
        <v>40</v>
      </c>
      <c r="B803" t="s">
        <v>472</v>
      </c>
      <c r="C803" t="s">
        <v>448</v>
      </c>
      <c r="D803" t="s">
        <v>313</v>
      </c>
      <c r="E803">
        <v>516.15</v>
      </c>
    </row>
    <row r="804" spans="1:5">
      <c r="A804" t="s">
        <v>40</v>
      </c>
      <c r="B804" t="s">
        <v>472</v>
      </c>
      <c r="C804" t="s">
        <v>448</v>
      </c>
      <c r="D804" t="s">
        <v>6911</v>
      </c>
      <c r="E804">
        <v>1127.7</v>
      </c>
    </row>
    <row r="805" spans="1:5">
      <c r="A805" t="s">
        <v>40</v>
      </c>
      <c r="B805" t="s">
        <v>472</v>
      </c>
      <c r="C805" t="s">
        <v>448</v>
      </c>
      <c r="D805" t="s">
        <v>441</v>
      </c>
      <c r="E805">
        <v>272.10000000000002</v>
      </c>
    </row>
    <row r="806" spans="1:5">
      <c r="A806" t="s">
        <v>40</v>
      </c>
      <c r="B806" t="s">
        <v>472</v>
      </c>
      <c r="C806" t="s">
        <v>448</v>
      </c>
      <c r="D806" t="s">
        <v>6912</v>
      </c>
      <c r="E806">
        <v>267.64999999999998</v>
      </c>
    </row>
    <row r="807" spans="1:5">
      <c r="A807" t="s">
        <v>40</v>
      </c>
      <c r="B807" t="s">
        <v>472</v>
      </c>
      <c r="C807" t="s">
        <v>448</v>
      </c>
      <c r="D807" t="s">
        <v>443</v>
      </c>
      <c r="E807">
        <v>207.3</v>
      </c>
    </row>
    <row r="808" spans="1:5">
      <c r="A808" t="s">
        <v>40</v>
      </c>
      <c r="B808" t="s">
        <v>472</v>
      </c>
      <c r="C808" t="s">
        <v>448</v>
      </c>
      <c r="D808" t="s">
        <v>447</v>
      </c>
      <c r="E808">
        <v>44.35</v>
      </c>
    </row>
    <row r="809" spans="1:5">
      <c r="A809" t="s">
        <v>40</v>
      </c>
      <c r="B809" t="s">
        <v>472</v>
      </c>
      <c r="C809" t="s">
        <v>448</v>
      </c>
      <c r="D809" t="s">
        <v>448</v>
      </c>
      <c r="E809">
        <v>2685</v>
      </c>
    </row>
    <row r="810" spans="1:5">
      <c r="A810" t="s">
        <v>40</v>
      </c>
      <c r="B810" t="s">
        <v>474</v>
      </c>
      <c r="C810" t="s">
        <v>6910</v>
      </c>
      <c r="D810" t="s">
        <v>217</v>
      </c>
      <c r="E810">
        <v>1.62</v>
      </c>
    </row>
    <row r="811" spans="1:5">
      <c r="A811" t="s">
        <v>40</v>
      </c>
      <c r="B811" t="s">
        <v>474</v>
      </c>
      <c r="C811" t="s">
        <v>6910</v>
      </c>
      <c r="D811" t="s">
        <v>313</v>
      </c>
      <c r="E811">
        <v>2.93</v>
      </c>
    </row>
    <row r="812" spans="1:5">
      <c r="A812" t="s">
        <v>40</v>
      </c>
      <c r="B812" t="s">
        <v>474</v>
      </c>
      <c r="C812" t="s">
        <v>6910</v>
      </c>
      <c r="D812" t="s">
        <v>6911</v>
      </c>
      <c r="E812">
        <v>40.14</v>
      </c>
    </row>
    <row r="813" spans="1:5">
      <c r="A813" t="s">
        <v>40</v>
      </c>
      <c r="B813" t="s">
        <v>474</v>
      </c>
      <c r="C813" t="s">
        <v>6910</v>
      </c>
      <c r="D813" t="s">
        <v>441</v>
      </c>
      <c r="E813">
        <v>273.88</v>
      </c>
    </row>
    <row r="814" spans="1:5">
      <c r="A814" t="s">
        <v>40</v>
      </c>
      <c r="B814" t="s">
        <v>474</v>
      </c>
      <c r="C814" t="s">
        <v>6910</v>
      </c>
      <c r="D814" t="s">
        <v>6912</v>
      </c>
      <c r="E814">
        <v>5.31</v>
      </c>
    </row>
    <row r="815" spans="1:5">
      <c r="A815" t="s">
        <v>40</v>
      </c>
      <c r="B815" t="s">
        <v>474</v>
      </c>
      <c r="C815" t="s">
        <v>6910</v>
      </c>
      <c r="D815" t="s">
        <v>448</v>
      </c>
      <c r="E815">
        <v>323.88</v>
      </c>
    </row>
    <row r="816" spans="1:5">
      <c r="A816" t="s">
        <v>40</v>
      </c>
      <c r="B816" t="s">
        <v>474</v>
      </c>
      <c r="C816" t="s">
        <v>6913</v>
      </c>
      <c r="D816" t="s">
        <v>437</v>
      </c>
      <c r="E816">
        <v>4.43</v>
      </c>
    </row>
    <row r="817" spans="1:5">
      <c r="A817" t="s">
        <v>40</v>
      </c>
      <c r="B817" t="s">
        <v>474</v>
      </c>
      <c r="C817" t="s">
        <v>6913</v>
      </c>
      <c r="D817" t="s">
        <v>313</v>
      </c>
      <c r="E817">
        <v>10.029999999999999</v>
      </c>
    </row>
    <row r="818" spans="1:5">
      <c r="A818" t="s">
        <v>40</v>
      </c>
      <c r="B818" t="s">
        <v>474</v>
      </c>
      <c r="C818" t="s">
        <v>6913</v>
      </c>
      <c r="D818" t="s">
        <v>6911</v>
      </c>
      <c r="E818">
        <v>32.92</v>
      </c>
    </row>
    <row r="819" spans="1:5">
      <c r="A819" t="s">
        <v>40</v>
      </c>
      <c r="B819" t="s">
        <v>474</v>
      </c>
      <c r="C819" t="s">
        <v>6913</v>
      </c>
      <c r="D819" t="s">
        <v>6915</v>
      </c>
      <c r="E819">
        <v>123.89</v>
      </c>
    </row>
    <row r="820" spans="1:5">
      <c r="A820" t="s">
        <v>40</v>
      </c>
      <c r="B820" t="s">
        <v>474</v>
      </c>
      <c r="C820" t="s">
        <v>6913</v>
      </c>
      <c r="D820" t="s">
        <v>447</v>
      </c>
      <c r="E820">
        <v>1.87</v>
      </c>
    </row>
    <row r="821" spans="1:5">
      <c r="A821" t="s">
        <v>40</v>
      </c>
      <c r="B821" t="s">
        <v>474</v>
      </c>
      <c r="C821" t="s">
        <v>6913</v>
      </c>
      <c r="D821" t="s">
        <v>448</v>
      </c>
      <c r="E821">
        <v>173.14</v>
      </c>
    </row>
    <row r="822" spans="1:5">
      <c r="A822" t="s">
        <v>40</v>
      </c>
      <c r="B822" t="s">
        <v>474</v>
      </c>
      <c r="C822" t="s">
        <v>6914</v>
      </c>
      <c r="D822" t="s">
        <v>448</v>
      </c>
      <c r="E822">
        <v>0</v>
      </c>
    </row>
    <row r="823" spans="1:5">
      <c r="A823" t="s">
        <v>40</v>
      </c>
      <c r="B823" t="s">
        <v>474</v>
      </c>
      <c r="C823" t="s">
        <v>467</v>
      </c>
      <c r="D823" t="s">
        <v>437</v>
      </c>
      <c r="E823">
        <v>112.84</v>
      </c>
    </row>
    <row r="824" spans="1:5">
      <c r="A824" t="s">
        <v>40</v>
      </c>
      <c r="B824" t="s">
        <v>474</v>
      </c>
      <c r="C824" t="s">
        <v>467</v>
      </c>
      <c r="D824" t="s">
        <v>217</v>
      </c>
      <c r="E824">
        <v>5.43</v>
      </c>
    </row>
    <row r="825" spans="1:5">
      <c r="A825" t="s">
        <v>40</v>
      </c>
      <c r="B825" t="s">
        <v>474</v>
      </c>
      <c r="C825" t="s">
        <v>467</v>
      </c>
      <c r="D825" t="s">
        <v>313</v>
      </c>
      <c r="E825">
        <v>47.64</v>
      </c>
    </row>
    <row r="826" spans="1:5">
      <c r="A826" t="s">
        <v>40</v>
      </c>
      <c r="B826" t="s">
        <v>474</v>
      </c>
      <c r="C826" t="s">
        <v>467</v>
      </c>
      <c r="D826" t="s">
        <v>6911</v>
      </c>
      <c r="E826">
        <v>129.345</v>
      </c>
    </row>
    <row r="827" spans="1:5">
      <c r="A827" t="s">
        <v>40</v>
      </c>
      <c r="B827" t="s">
        <v>474</v>
      </c>
      <c r="C827" t="s">
        <v>467</v>
      </c>
      <c r="D827" t="s">
        <v>6912</v>
      </c>
      <c r="E827">
        <v>18.260000000000002</v>
      </c>
    </row>
    <row r="828" spans="1:5">
      <c r="A828" t="s">
        <v>40</v>
      </c>
      <c r="B828" t="s">
        <v>474</v>
      </c>
      <c r="C828" t="s">
        <v>467</v>
      </c>
      <c r="D828" t="s">
        <v>443</v>
      </c>
      <c r="E828">
        <v>84.72</v>
      </c>
    </row>
    <row r="829" spans="1:5">
      <c r="A829" t="s">
        <v>40</v>
      </c>
      <c r="B829" t="s">
        <v>474</v>
      </c>
      <c r="C829" t="s">
        <v>467</v>
      </c>
      <c r="D829" t="s">
        <v>6915</v>
      </c>
      <c r="E829">
        <v>70.2</v>
      </c>
    </row>
    <row r="830" spans="1:5">
      <c r="A830" t="s">
        <v>40</v>
      </c>
      <c r="B830" t="s">
        <v>474</v>
      </c>
      <c r="C830" t="s">
        <v>467</v>
      </c>
      <c r="D830" t="s">
        <v>447</v>
      </c>
      <c r="E830">
        <v>4.53</v>
      </c>
    </row>
    <row r="831" spans="1:5">
      <c r="A831" t="s">
        <v>40</v>
      </c>
      <c r="B831" t="s">
        <v>474</v>
      </c>
      <c r="C831" t="s">
        <v>467</v>
      </c>
      <c r="D831" t="s">
        <v>448</v>
      </c>
      <c r="E831">
        <v>472.96499999999997</v>
      </c>
    </row>
    <row r="832" spans="1:5">
      <c r="A832" t="s">
        <v>40</v>
      </c>
      <c r="B832" t="s">
        <v>474</v>
      </c>
      <c r="C832" t="s">
        <v>65</v>
      </c>
      <c r="D832" t="s">
        <v>217</v>
      </c>
      <c r="E832">
        <v>0.35</v>
      </c>
    </row>
    <row r="833" spans="1:5">
      <c r="A833" t="s">
        <v>40</v>
      </c>
      <c r="B833" t="s">
        <v>474</v>
      </c>
      <c r="C833" t="s">
        <v>65</v>
      </c>
      <c r="D833" t="s">
        <v>313</v>
      </c>
      <c r="E833">
        <v>4.0999999999999996</v>
      </c>
    </row>
    <row r="834" spans="1:5">
      <c r="A834" t="s">
        <v>40</v>
      </c>
      <c r="B834" t="s">
        <v>474</v>
      </c>
      <c r="C834" t="s">
        <v>65</v>
      </c>
      <c r="D834" t="s">
        <v>6911</v>
      </c>
      <c r="E834">
        <v>4.91</v>
      </c>
    </row>
    <row r="835" spans="1:5">
      <c r="A835" t="s">
        <v>40</v>
      </c>
      <c r="B835" t="s">
        <v>474</v>
      </c>
      <c r="C835" t="s">
        <v>65</v>
      </c>
      <c r="D835" t="s">
        <v>6912</v>
      </c>
      <c r="E835">
        <v>2.59</v>
      </c>
    </row>
    <row r="836" spans="1:5">
      <c r="A836" t="s">
        <v>40</v>
      </c>
      <c r="B836" t="s">
        <v>474</v>
      </c>
      <c r="C836" t="s">
        <v>65</v>
      </c>
      <c r="D836" t="s">
        <v>447</v>
      </c>
      <c r="E836">
        <v>0.13</v>
      </c>
    </row>
    <row r="837" spans="1:5">
      <c r="A837" t="s">
        <v>40</v>
      </c>
      <c r="B837" t="s">
        <v>474</v>
      </c>
      <c r="C837" t="s">
        <v>65</v>
      </c>
      <c r="D837" t="s">
        <v>448</v>
      </c>
      <c r="E837">
        <v>12.08</v>
      </c>
    </row>
    <row r="838" spans="1:5">
      <c r="A838" t="s">
        <v>40</v>
      </c>
      <c r="B838" t="s">
        <v>474</v>
      </c>
      <c r="C838" t="s">
        <v>455</v>
      </c>
      <c r="D838" t="s">
        <v>217</v>
      </c>
      <c r="E838">
        <v>0.54</v>
      </c>
    </row>
    <row r="839" spans="1:5">
      <c r="A839" t="s">
        <v>40</v>
      </c>
      <c r="B839" t="s">
        <v>474</v>
      </c>
      <c r="C839" t="s">
        <v>455</v>
      </c>
      <c r="D839" t="s">
        <v>313</v>
      </c>
      <c r="E839">
        <v>49.2</v>
      </c>
    </row>
    <row r="840" spans="1:5">
      <c r="A840" t="s">
        <v>40</v>
      </c>
      <c r="B840" t="s">
        <v>474</v>
      </c>
      <c r="C840" t="s">
        <v>455</v>
      </c>
      <c r="D840" t="s">
        <v>6911</v>
      </c>
      <c r="E840">
        <v>3.6</v>
      </c>
    </row>
    <row r="841" spans="1:5">
      <c r="A841" t="s">
        <v>40</v>
      </c>
      <c r="B841" t="s">
        <v>474</v>
      </c>
      <c r="C841" t="s">
        <v>455</v>
      </c>
      <c r="D841" t="s">
        <v>6912</v>
      </c>
      <c r="E841">
        <v>5</v>
      </c>
    </row>
    <row r="842" spans="1:5">
      <c r="A842" t="s">
        <v>40</v>
      </c>
      <c r="B842" t="s">
        <v>474</v>
      </c>
      <c r="C842" t="s">
        <v>455</v>
      </c>
      <c r="D842" t="s">
        <v>447</v>
      </c>
      <c r="E842">
        <v>4.25</v>
      </c>
    </row>
    <row r="843" spans="1:5">
      <c r="A843" t="s">
        <v>40</v>
      </c>
      <c r="B843" t="s">
        <v>474</v>
      </c>
      <c r="C843" t="s">
        <v>455</v>
      </c>
      <c r="D843" t="s">
        <v>448</v>
      </c>
      <c r="E843">
        <v>62.59</v>
      </c>
    </row>
    <row r="844" spans="1:5">
      <c r="A844" t="s">
        <v>40</v>
      </c>
      <c r="B844" t="s">
        <v>474</v>
      </c>
      <c r="C844" t="s">
        <v>6916</v>
      </c>
      <c r="D844" t="s">
        <v>437</v>
      </c>
      <c r="E844">
        <v>4.45</v>
      </c>
    </row>
    <row r="845" spans="1:5">
      <c r="A845" t="s">
        <v>40</v>
      </c>
      <c r="B845" t="s">
        <v>474</v>
      </c>
      <c r="C845" t="s">
        <v>6916</v>
      </c>
      <c r="D845" t="s">
        <v>217</v>
      </c>
      <c r="E845">
        <v>19.59</v>
      </c>
    </row>
    <row r="846" spans="1:5">
      <c r="A846" t="s">
        <v>40</v>
      </c>
      <c r="B846" t="s">
        <v>474</v>
      </c>
      <c r="C846" t="s">
        <v>6916</v>
      </c>
      <c r="D846" t="s">
        <v>313</v>
      </c>
      <c r="E846">
        <v>2.2599999999999998</v>
      </c>
    </row>
    <row r="847" spans="1:5">
      <c r="A847" t="s">
        <v>40</v>
      </c>
      <c r="B847" t="s">
        <v>474</v>
      </c>
      <c r="C847" t="s">
        <v>6916</v>
      </c>
      <c r="D847" t="s">
        <v>448</v>
      </c>
      <c r="E847">
        <v>26.3</v>
      </c>
    </row>
    <row r="848" spans="1:5">
      <c r="A848" t="s">
        <v>40</v>
      </c>
      <c r="B848" t="s">
        <v>474</v>
      </c>
      <c r="C848" t="s">
        <v>457</v>
      </c>
      <c r="D848" t="s">
        <v>437</v>
      </c>
      <c r="E848">
        <v>8.5500000000000007</v>
      </c>
    </row>
    <row r="849" spans="1:5">
      <c r="A849" t="s">
        <v>40</v>
      </c>
      <c r="B849" t="s">
        <v>474</v>
      </c>
      <c r="C849" t="s">
        <v>457</v>
      </c>
      <c r="D849" t="s">
        <v>217</v>
      </c>
      <c r="E849">
        <v>0.41</v>
      </c>
    </row>
    <row r="850" spans="1:5">
      <c r="A850" t="s">
        <v>40</v>
      </c>
      <c r="B850" t="s">
        <v>474</v>
      </c>
      <c r="C850" t="s">
        <v>457</v>
      </c>
      <c r="D850" t="s">
        <v>313</v>
      </c>
      <c r="E850">
        <v>54.04</v>
      </c>
    </row>
    <row r="851" spans="1:5">
      <c r="A851" t="s">
        <v>40</v>
      </c>
      <c r="B851" t="s">
        <v>474</v>
      </c>
      <c r="C851" t="s">
        <v>457</v>
      </c>
      <c r="D851" t="s">
        <v>6911</v>
      </c>
      <c r="E851">
        <v>141.72999999999999</v>
      </c>
    </row>
    <row r="852" spans="1:5">
      <c r="A852" t="s">
        <v>40</v>
      </c>
      <c r="B852" t="s">
        <v>474</v>
      </c>
      <c r="C852" t="s">
        <v>457</v>
      </c>
      <c r="D852" t="s">
        <v>6912</v>
      </c>
      <c r="E852">
        <v>20.86</v>
      </c>
    </row>
    <row r="853" spans="1:5">
      <c r="A853" t="s">
        <v>40</v>
      </c>
      <c r="B853" t="s">
        <v>474</v>
      </c>
      <c r="C853" t="s">
        <v>457</v>
      </c>
      <c r="D853" t="s">
        <v>6915</v>
      </c>
      <c r="E853">
        <v>20.329999999999998</v>
      </c>
    </row>
    <row r="854" spans="1:5">
      <c r="A854" t="s">
        <v>40</v>
      </c>
      <c r="B854" t="s">
        <v>474</v>
      </c>
      <c r="C854" t="s">
        <v>457</v>
      </c>
      <c r="D854" t="s">
        <v>447</v>
      </c>
      <c r="E854">
        <v>4.0199999999999996</v>
      </c>
    </row>
    <row r="855" spans="1:5">
      <c r="A855" t="s">
        <v>40</v>
      </c>
      <c r="B855" t="s">
        <v>474</v>
      </c>
      <c r="C855" t="s">
        <v>457</v>
      </c>
      <c r="D855" t="s">
        <v>448</v>
      </c>
      <c r="E855">
        <v>249.94</v>
      </c>
    </row>
    <row r="856" spans="1:5">
      <c r="A856" t="s">
        <v>40</v>
      </c>
      <c r="B856" t="s">
        <v>474</v>
      </c>
      <c r="C856" t="s">
        <v>497</v>
      </c>
      <c r="D856" t="s">
        <v>437</v>
      </c>
      <c r="E856">
        <v>0.16</v>
      </c>
    </row>
    <row r="857" spans="1:5">
      <c r="A857" t="s">
        <v>40</v>
      </c>
      <c r="B857" t="s">
        <v>474</v>
      </c>
      <c r="C857" t="s">
        <v>497</v>
      </c>
      <c r="D857" t="s">
        <v>217</v>
      </c>
      <c r="E857">
        <v>4.82</v>
      </c>
    </row>
    <row r="858" spans="1:5">
      <c r="A858" t="s">
        <v>40</v>
      </c>
      <c r="B858" t="s">
        <v>474</v>
      </c>
      <c r="C858" t="s">
        <v>497</v>
      </c>
      <c r="D858" t="s">
        <v>313</v>
      </c>
      <c r="E858">
        <v>34.79</v>
      </c>
    </row>
    <row r="859" spans="1:5">
      <c r="A859" t="s">
        <v>40</v>
      </c>
      <c r="B859" t="s">
        <v>474</v>
      </c>
      <c r="C859" t="s">
        <v>497</v>
      </c>
      <c r="D859" t="s">
        <v>6911</v>
      </c>
      <c r="E859">
        <v>41.59</v>
      </c>
    </row>
    <row r="860" spans="1:5">
      <c r="A860" t="s">
        <v>40</v>
      </c>
      <c r="B860" t="s">
        <v>474</v>
      </c>
      <c r="C860" t="s">
        <v>497</v>
      </c>
      <c r="D860" t="s">
        <v>6912</v>
      </c>
      <c r="E860">
        <v>130.24</v>
      </c>
    </row>
    <row r="861" spans="1:5">
      <c r="A861" t="s">
        <v>40</v>
      </c>
      <c r="B861" t="s">
        <v>474</v>
      </c>
      <c r="C861" t="s">
        <v>497</v>
      </c>
      <c r="D861" t="s">
        <v>447</v>
      </c>
      <c r="E861">
        <v>3.35</v>
      </c>
    </row>
    <row r="862" spans="1:5">
      <c r="A862" t="s">
        <v>40</v>
      </c>
      <c r="B862" t="s">
        <v>474</v>
      </c>
      <c r="C862" t="s">
        <v>497</v>
      </c>
      <c r="D862" t="s">
        <v>448</v>
      </c>
      <c r="E862">
        <v>214.95</v>
      </c>
    </row>
    <row r="863" spans="1:5">
      <c r="A863" t="s">
        <v>40</v>
      </c>
      <c r="B863" t="s">
        <v>474</v>
      </c>
      <c r="C863" t="s">
        <v>6917</v>
      </c>
      <c r="D863" t="s">
        <v>437</v>
      </c>
      <c r="E863">
        <v>56.76</v>
      </c>
    </row>
    <row r="864" spans="1:5">
      <c r="A864" t="s">
        <v>40</v>
      </c>
      <c r="B864" t="s">
        <v>474</v>
      </c>
      <c r="C864" t="s">
        <v>6917</v>
      </c>
      <c r="D864" t="s">
        <v>217</v>
      </c>
      <c r="E864">
        <v>3.68</v>
      </c>
    </row>
    <row r="865" spans="1:5">
      <c r="A865" t="s">
        <v>40</v>
      </c>
      <c r="B865" t="s">
        <v>474</v>
      </c>
      <c r="C865" t="s">
        <v>6917</v>
      </c>
      <c r="D865" t="s">
        <v>313</v>
      </c>
      <c r="E865">
        <v>50.55</v>
      </c>
    </row>
    <row r="866" spans="1:5">
      <c r="A866" t="s">
        <v>40</v>
      </c>
      <c r="B866" t="s">
        <v>474</v>
      </c>
      <c r="C866" t="s">
        <v>6917</v>
      </c>
      <c r="D866" t="s">
        <v>6911</v>
      </c>
      <c r="E866">
        <v>21.43</v>
      </c>
    </row>
    <row r="867" spans="1:5">
      <c r="A867" t="s">
        <v>40</v>
      </c>
      <c r="B867" t="s">
        <v>474</v>
      </c>
      <c r="C867" t="s">
        <v>6917</v>
      </c>
      <c r="D867" t="s">
        <v>6912</v>
      </c>
      <c r="E867">
        <v>12.29</v>
      </c>
    </row>
    <row r="868" spans="1:5">
      <c r="A868" t="s">
        <v>40</v>
      </c>
      <c r="B868" t="s">
        <v>474</v>
      </c>
      <c r="C868" t="s">
        <v>6917</v>
      </c>
      <c r="D868" t="s">
        <v>447</v>
      </c>
      <c r="E868">
        <v>0.43</v>
      </c>
    </row>
    <row r="869" spans="1:5">
      <c r="A869" t="s">
        <v>40</v>
      </c>
      <c r="B869" t="s">
        <v>474</v>
      </c>
      <c r="C869" t="s">
        <v>6917</v>
      </c>
      <c r="D869" t="s">
        <v>448</v>
      </c>
      <c r="E869">
        <v>145.13999999999999</v>
      </c>
    </row>
    <row r="870" spans="1:5">
      <c r="A870" t="s">
        <v>40</v>
      </c>
      <c r="B870" t="s">
        <v>474</v>
      </c>
      <c r="C870" t="s">
        <v>382</v>
      </c>
      <c r="D870" t="s">
        <v>217</v>
      </c>
      <c r="E870">
        <v>0.25</v>
      </c>
    </row>
    <row r="871" spans="1:5">
      <c r="A871" t="s">
        <v>40</v>
      </c>
      <c r="B871" t="s">
        <v>474</v>
      </c>
      <c r="C871" t="s">
        <v>382</v>
      </c>
      <c r="D871" t="s">
        <v>313</v>
      </c>
      <c r="E871">
        <v>2.93</v>
      </c>
    </row>
    <row r="872" spans="1:5">
      <c r="A872" t="s">
        <v>40</v>
      </c>
      <c r="B872" t="s">
        <v>474</v>
      </c>
      <c r="C872" t="s">
        <v>382</v>
      </c>
      <c r="D872" t="s">
        <v>6911</v>
      </c>
      <c r="E872">
        <v>1.95</v>
      </c>
    </row>
    <row r="873" spans="1:5">
      <c r="A873" t="s">
        <v>40</v>
      </c>
      <c r="B873" t="s">
        <v>474</v>
      </c>
      <c r="C873" t="s">
        <v>382</v>
      </c>
      <c r="D873" t="s">
        <v>448</v>
      </c>
      <c r="E873">
        <v>5.13</v>
      </c>
    </row>
    <row r="874" spans="1:5">
      <c r="A874" t="s">
        <v>40</v>
      </c>
      <c r="B874" t="s">
        <v>474</v>
      </c>
      <c r="C874" t="s">
        <v>460</v>
      </c>
      <c r="D874" t="s">
        <v>437</v>
      </c>
      <c r="E874">
        <v>2.4</v>
      </c>
    </row>
    <row r="875" spans="1:5">
      <c r="A875" t="s">
        <v>40</v>
      </c>
      <c r="B875" t="s">
        <v>474</v>
      </c>
      <c r="C875" t="s">
        <v>460</v>
      </c>
      <c r="D875" t="s">
        <v>217</v>
      </c>
      <c r="E875">
        <v>2.21</v>
      </c>
    </row>
    <row r="876" spans="1:5">
      <c r="A876" t="s">
        <v>40</v>
      </c>
      <c r="B876" t="s">
        <v>474</v>
      </c>
      <c r="C876" t="s">
        <v>460</v>
      </c>
      <c r="D876" t="s">
        <v>313</v>
      </c>
      <c r="E876">
        <v>9.6</v>
      </c>
    </row>
    <row r="877" spans="1:5">
      <c r="A877" t="s">
        <v>40</v>
      </c>
      <c r="B877" t="s">
        <v>474</v>
      </c>
      <c r="C877" t="s">
        <v>460</v>
      </c>
      <c r="D877" t="s">
        <v>6911</v>
      </c>
      <c r="E877">
        <v>9.9</v>
      </c>
    </row>
    <row r="878" spans="1:5">
      <c r="A878" t="s">
        <v>40</v>
      </c>
      <c r="B878" t="s">
        <v>474</v>
      </c>
      <c r="C878" t="s">
        <v>460</v>
      </c>
      <c r="D878" t="s">
        <v>6912</v>
      </c>
      <c r="E878">
        <v>34.17</v>
      </c>
    </row>
    <row r="879" spans="1:5">
      <c r="A879" t="s">
        <v>40</v>
      </c>
      <c r="B879" t="s">
        <v>474</v>
      </c>
      <c r="C879" t="s">
        <v>460</v>
      </c>
      <c r="D879" t="s">
        <v>447</v>
      </c>
      <c r="E879">
        <v>0.53</v>
      </c>
    </row>
    <row r="880" spans="1:5">
      <c r="A880" t="s">
        <v>40</v>
      </c>
      <c r="B880" t="s">
        <v>474</v>
      </c>
      <c r="C880" t="s">
        <v>460</v>
      </c>
      <c r="D880" t="s">
        <v>448</v>
      </c>
      <c r="E880">
        <v>58.81</v>
      </c>
    </row>
    <row r="881" spans="1:5">
      <c r="A881" t="s">
        <v>40</v>
      </c>
      <c r="B881" t="s">
        <v>474</v>
      </c>
      <c r="C881" t="s">
        <v>448</v>
      </c>
      <c r="D881" t="s">
        <v>437</v>
      </c>
      <c r="E881">
        <v>189.59</v>
      </c>
    </row>
    <row r="882" spans="1:5">
      <c r="A882" t="s">
        <v>40</v>
      </c>
      <c r="B882" t="s">
        <v>474</v>
      </c>
      <c r="C882" t="s">
        <v>448</v>
      </c>
      <c r="D882" t="s">
        <v>217</v>
      </c>
      <c r="E882">
        <v>38.9</v>
      </c>
    </row>
    <row r="883" spans="1:5">
      <c r="A883" t="s">
        <v>40</v>
      </c>
      <c r="B883" t="s">
        <v>474</v>
      </c>
      <c r="C883" t="s">
        <v>448</v>
      </c>
      <c r="D883" t="s">
        <v>313</v>
      </c>
      <c r="E883">
        <v>268.07</v>
      </c>
    </row>
    <row r="884" spans="1:5">
      <c r="A884" t="s">
        <v>40</v>
      </c>
      <c r="B884" t="s">
        <v>474</v>
      </c>
      <c r="C884" t="s">
        <v>448</v>
      </c>
      <c r="D884" t="s">
        <v>6911</v>
      </c>
      <c r="E884">
        <v>427.51499999999999</v>
      </c>
    </row>
    <row r="885" spans="1:5">
      <c r="A885" t="s">
        <v>40</v>
      </c>
      <c r="B885" t="s">
        <v>474</v>
      </c>
      <c r="C885" t="s">
        <v>448</v>
      </c>
      <c r="D885" t="s">
        <v>441</v>
      </c>
      <c r="E885">
        <v>273.88</v>
      </c>
    </row>
    <row r="886" spans="1:5">
      <c r="A886" t="s">
        <v>40</v>
      </c>
      <c r="B886" t="s">
        <v>474</v>
      </c>
      <c r="C886" t="s">
        <v>448</v>
      </c>
      <c r="D886" t="s">
        <v>6912</v>
      </c>
      <c r="E886">
        <v>228.72</v>
      </c>
    </row>
    <row r="887" spans="1:5">
      <c r="A887" t="s">
        <v>40</v>
      </c>
      <c r="B887" t="s">
        <v>474</v>
      </c>
      <c r="C887" t="s">
        <v>448</v>
      </c>
      <c r="D887" t="s">
        <v>443</v>
      </c>
      <c r="E887">
        <v>84.72</v>
      </c>
    </row>
    <row r="888" spans="1:5">
      <c r="A888" t="s">
        <v>40</v>
      </c>
      <c r="B888" t="s">
        <v>474</v>
      </c>
      <c r="C888" t="s">
        <v>448</v>
      </c>
      <c r="D888" t="s">
        <v>6915</v>
      </c>
      <c r="E888">
        <v>214.42</v>
      </c>
    </row>
    <row r="889" spans="1:5">
      <c r="A889" t="s">
        <v>40</v>
      </c>
      <c r="B889" t="s">
        <v>474</v>
      </c>
      <c r="C889" t="s">
        <v>448</v>
      </c>
      <c r="D889" t="s">
        <v>447</v>
      </c>
      <c r="E889">
        <v>19.11</v>
      </c>
    </row>
    <row r="890" spans="1:5">
      <c r="A890" t="s">
        <v>40</v>
      </c>
      <c r="B890" t="s">
        <v>474</v>
      </c>
      <c r="C890" t="s">
        <v>448</v>
      </c>
      <c r="D890" t="s">
        <v>448</v>
      </c>
      <c r="E890">
        <v>1744.925</v>
      </c>
    </row>
    <row r="891" spans="1:5">
      <c r="A891" t="s">
        <v>40</v>
      </c>
      <c r="B891" t="s">
        <v>475</v>
      </c>
      <c r="C891" t="s">
        <v>6910</v>
      </c>
      <c r="D891" t="s">
        <v>217</v>
      </c>
      <c r="E891">
        <v>1.05</v>
      </c>
    </row>
    <row r="892" spans="1:5">
      <c r="A892" t="s">
        <v>40</v>
      </c>
      <c r="B892" t="s">
        <v>475</v>
      </c>
      <c r="C892" t="s">
        <v>6910</v>
      </c>
      <c r="D892" t="s">
        <v>6911</v>
      </c>
      <c r="E892">
        <v>35.75</v>
      </c>
    </row>
    <row r="893" spans="1:5">
      <c r="A893" t="s">
        <v>40</v>
      </c>
      <c r="B893" t="s">
        <v>475</v>
      </c>
      <c r="C893" t="s">
        <v>6910</v>
      </c>
      <c r="D893" t="s">
        <v>441</v>
      </c>
      <c r="E893">
        <v>274.5</v>
      </c>
    </row>
    <row r="894" spans="1:5">
      <c r="A894" t="s">
        <v>40</v>
      </c>
      <c r="B894" t="s">
        <v>475</v>
      </c>
      <c r="C894" t="s">
        <v>6910</v>
      </c>
      <c r="D894" t="s">
        <v>6912</v>
      </c>
      <c r="E894">
        <v>5</v>
      </c>
    </row>
    <row r="895" spans="1:5">
      <c r="A895" t="s">
        <v>40</v>
      </c>
      <c r="B895" t="s">
        <v>475</v>
      </c>
      <c r="C895" t="s">
        <v>6910</v>
      </c>
      <c r="D895" t="s">
        <v>447</v>
      </c>
      <c r="E895">
        <v>0.2</v>
      </c>
    </row>
    <row r="896" spans="1:5">
      <c r="A896" t="s">
        <v>40</v>
      </c>
      <c r="B896" t="s">
        <v>475</v>
      </c>
      <c r="C896" t="s">
        <v>6910</v>
      </c>
      <c r="D896" t="s">
        <v>448</v>
      </c>
      <c r="E896">
        <v>316.5</v>
      </c>
    </row>
    <row r="897" spans="1:5">
      <c r="A897" t="s">
        <v>40</v>
      </c>
      <c r="B897" t="s">
        <v>475</v>
      </c>
      <c r="C897" t="s">
        <v>6913</v>
      </c>
      <c r="D897" t="s">
        <v>437</v>
      </c>
      <c r="E897">
        <v>12.8</v>
      </c>
    </row>
    <row r="898" spans="1:5">
      <c r="A898" t="s">
        <v>40</v>
      </c>
      <c r="B898" t="s">
        <v>475</v>
      </c>
      <c r="C898" t="s">
        <v>6913</v>
      </c>
      <c r="D898" t="s">
        <v>313</v>
      </c>
      <c r="E898">
        <v>13.6</v>
      </c>
    </row>
    <row r="899" spans="1:5">
      <c r="A899" t="s">
        <v>40</v>
      </c>
      <c r="B899" t="s">
        <v>475</v>
      </c>
      <c r="C899" t="s">
        <v>6913</v>
      </c>
      <c r="D899" t="s">
        <v>6911</v>
      </c>
      <c r="E899">
        <v>21.7</v>
      </c>
    </row>
    <row r="900" spans="1:5">
      <c r="A900" t="s">
        <v>40</v>
      </c>
      <c r="B900" t="s">
        <v>475</v>
      </c>
      <c r="C900" t="s">
        <v>6913</v>
      </c>
      <c r="D900" t="s">
        <v>6915</v>
      </c>
      <c r="E900">
        <v>219.1</v>
      </c>
    </row>
    <row r="901" spans="1:5">
      <c r="A901" t="s">
        <v>40</v>
      </c>
      <c r="B901" t="s">
        <v>475</v>
      </c>
      <c r="C901" t="s">
        <v>6913</v>
      </c>
      <c r="D901" t="s">
        <v>447</v>
      </c>
      <c r="E901">
        <v>1.9</v>
      </c>
    </row>
    <row r="902" spans="1:5">
      <c r="A902" t="s">
        <v>40</v>
      </c>
      <c r="B902" t="s">
        <v>475</v>
      </c>
      <c r="C902" t="s">
        <v>6913</v>
      </c>
      <c r="D902" t="s">
        <v>448</v>
      </c>
      <c r="E902">
        <v>269.10000000000002</v>
      </c>
    </row>
    <row r="903" spans="1:5">
      <c r="A903" t="s">
        <v>40</v>
      </c>
      <c r="B903" t="s">
        <v>475</v>
      </c>
      <c r="C903" t="s">
        <v>6914</v>
      </c>
      <c r="D903" t="s">
        <v>437</v>
      </c>
      <c r="E903">
        <v>108.38500000000001</v>
      </c>
    </row>
    <row r="904" spans="1:5">
      <c r="A904" t="s">
        <v>40</v>
      </c>
      <c r="B904" t="s">
        <v>475</v>
      </c>
      <c r="C904" t="s">
        <v>6914</v>
      </c>
      <c r="D904" t="s">
        <v>6915</v>
      </c>
      <c r="E904">
        <v>96.12</v>
      </c>
    </row>
    <row r="905" spans="1:5">
      <c r="A905" t="s">
        <v>40</v>
      </c>
      <c r="B905" t="s">
        <v>475</v>
      </c>
      <c r="C905" t="s">
        <v>6914</v>
      </c>
      <c r="D905" t="s">
        <v>448</v>
      </c>
      <c r="E905">
        <v>204.505</v>
      </c>
    </row>
    <row r="906" spans="1:5">
      <c r="A906" t="s">
        <v>40</v>
      </c>
      <c r="B906" t="s">
        <v>475</v>
      </c>
      <c r="C906" t="s">
        <v>467</v>
      </c>
      <c r="D906" t="s">
        <v>437</v>
      </c>
      <c r="E906">
        <v>86.75</v>
      </c>
    </row>
    <row r="907" spans="1:5">
      <c r="A907" t="s">
        <v>40</v>
      </c>
      <c r="B907" t="s">
        <v>475</v>
      </c>
      <c r="C907" t="s">
        <v>467</v>
      </c>
      <c r="D907" t="s">
        <v>217</v>
      </c>
      <c r="E907">
        <v>0.65</v>
      </c>
    </row>
    <row r="908" spans="1:5">
      <c r="A908" t="s">
        <v>40</v>
      </c>
      <c r="B908" t="s">
        <v>475</v>
      </c>
      <c r="C908" t="s">
        <v>467</v>
      </c>
      <c r="D908" t="s">
        <v>313</v>
      </c>
      <c r="E908">
        <v>45.25</v>
      </c>
    </row>
    <row r="909" spans="1:5">
      <c r="A909" t="s">
        <v>40</v>
      </c>
      <c r="B909" t="s">
        <v>475</v>
      </c>
      <c r="C909" t="s">
        <v>467</v>
      </c>
      <c r="D909" t="s">
        <v>6911</v>
      </c>
      <c r="E909">
        <v>241.05</v>
      </c>
    </row>
    <row r="910" spans="1:5">
      <c r="A910" t="s">
        <v>40</v>
      </c>
      <c r="B910" t="s">
        <v>475</v>
      </c>
      <c r="C910" t="s">
        <v>467</v>
      </c>
      <c r="D910" t="s">
        <v>6912</v>
      </c>
      <c r="E910">
        <v>27</v>
      </c>
    </row>
    <row r="911" spans="1:5">
      <c r="A911" t="s">
        <v>40</v>
      </c>
      <c r="B911" t="s">
        <v>475</v>
      </c>
      <c r="C911" t="s">
        <v>467</v>
      </c>
      <c r="D911" t="s">
        <v>443</v>
      </c>
      <c r="E911">
        <v>169.2</v>
      </c>
    </row>
    <row r="912" spans="1:5">
      <c r="A912" t="s">
        <v>40</v>
      </c>
      <c r="B912" t="s">
        <v>475</v>
      </c>
      <c r="C912" t="s">
        <v>467</v>
      </c>
      <c r="D912" t="s">
        <v>447</v>
      </c>
      <c r="E912">
        <v>4.4000000000000004</v>
      </c>
    </row>
    <row r="913" spans="1:5">
      <c r="A913" t="s">
        <v>40</v>
      </c>
      <c r="B913" t="s">
        <v>475</v>
      </c>
      <c r="C913" t="s">
        <v>467</v>
      </c>
      <c r="D913" t="s">
        <v>448</v>
      </c>
      <c r="E913">
        <v>574.29999999999995</v>
      </c>
    </row>
    <row r="914" spans="1:5">
      <c r="A914" t="s">
        <v>40</v>
      </c>
      <c r="B914" t="s">
        <v>475</v>
      </c>
      <c r="C914" t="s">
        <v>65</v>
      </c>
      <c r="D914" t="s">
        <v>437</v>
      </c>
      <c r="E914">
        <v>6.3</v>
      </c>
    </row>
    <row r="915" spans="1:5">
      <c r="A915" t="s">
        <v>40</v>
      </c>
      <c r="B915" t="s">
        <v>475</v>
      </c>
      <c r="C915" t="s">
        <v>65</v>
      </c>
      <c r="D915" t="s">
        <v>217</v>
      </c>
      <c r="E915">
        <v>1.2</v>
      </c>
    </row>
    <row r="916" spans="1:5">
      <c r="A916" t="s">
        <v>40</v>
      </c>
      <c r="B916" t="s">
        <v>475</v>
      </c>
      <c r="C916" t="s">
        <v>65</v>
      </c>
      <c r="D916" t="s">
        <v>313</v>
      </c>
      <c r="E916">
        <v>3.1</v>
      </c>
    </row>
    <row r="917" spans="1:5">
      <c r="A917" t="s">
        <v>40</v>
      </c>
      <c r="B917" t="s">
        <v>475</v>
      </c>
      <c r="C917" t="s">
        <v>65</v>
      </c>
      <c r="D917" t="s">
        <v>6911</v>
      </c>
      <c r="E917">
        <v>18.899999999999999</v>
      </c>
    </row>
    <row r="918" spans="1:5">
      <c r="A918" t="s">
        <v>40</v>
      </c>
      <c r="B918" t="s">
        <v>475</v>
      </c>
      <c r="C918" t="s">
        <v>65</v>
      </c>
      <c r="D918" t="s">
        <v>6912</v>
      </c>
      <c r="E918">
        <v>0.5</v>
      </c>
    </row>
    <row r="919" spans="1:5">
      <c r="A919" t="s">
        <v>40</v>
      </c>
      <c r="B919" t="s">
        <v>475</v>
      </c>
      <c r="C919" t="s">
        <v>65</v>
      </c>
      <c r="D919" t="s">
        <v>447</v>
      </c>
      <c r="E919">
        <v>3.3</v>
      </c>
    </row>
    <row r="920" spans="1:5">
      <c r="A920" t="s">
        <v>40</v>
      </c>
      <c r="B920" t="s">
        <v>475</v>
      </c>
      <c r="C920" t="s">
        <v>65</v>
      </c>
      <c r="D920" t="s">
        <v>448</v>
      </c>
      <c r="E920">
        <v>33.299999999999997</v>
      </c>
    </row>
    <row r="921" spans="1:5">
      <c r="A921" t="s">
        <v>40</v>
      </c>
      <c r="B921" t="s">
        <v>475</v>
      </c>
      <c r="C921" t="s">
        <v>455</v>
      </c>
      <c r="D921" t="s">
        <v>437</v>
      </c>
      <c r="E921">
        <v>20.9</v>
      </c>
    </row>
    <row r="922" spans="1:5">
      <c r="A922" t="s">
        <v>40</v>
      </c>
      <c r="B922" t="s">
        <v>475</v>
      </c>
      <c r="C922" t="s">
        <v>455</v>
      </c>
      <c r="D922" t="s">
        <v>217</v>
      </c>
      <c r="E922">
        <v>0.6</v>
      </c>
    </row>
    <row r="923" spans="1:5">
      <c r="A923" t="s">
        <v>40</v>
      </c>
      <c r="B923" t="s">
        <v>475</v>
      </c>
      <c r="C923" t="s">
        <v>455</v>
      </c>
      <c r="D923" t="s">
        <v>313</v>
      </c>
      <c r="E923">
        <v>39.9</v>
      </c>
    </row>
    <row r="924" spans="1:5">
      <c r="A924" t="s">
        <v>40</v>
      </c>
      <c r="B924" t="s">
        <v>475</v>
      </c>
      <c r="C924" t="s">
        <v>455</v>
      </c>
      <c r="D924" t="s">
        <v>6911</v>
      </c>
      <c r="E924">
        <v>27.2</v>
      </c>
    </row>
    <row r="925" spans="1:5">
      <c r="A925" t="s">
        <v>40</v>
      </c>
      <c r="B925" t="s">
        <v>475</v>
      </c>
      <c r="C925" t="s">
        <v>455</v>
      </c>
      <c r="D925" t="s">
        <v>6912</v>
      </c>
      <c r="E925">
        <v>11.1</v>
      </c>
    </row>
    <row r="926" spans="1:5">
      <c r="A926" t="s">
        <v>40</v>
      </c>
      <c r="B926" t="s">
        <v>475</v>
      </c>
      <c r="C926" t="s">
        <v>455</v>
      </c>
      <c r="D926" t="s">
        <v>447</v>
      </c>
      <c r="E926">
        <v>9.6999999999999993</v>
      </c>
    </row>
    <row r="927" spans="1:5">
      <c r="A927" t="s">
        <v>40</v>
      </c>
      <c r="B927" t="s">
        <v>475</v>
      </c>
      <c r="C927" t="s">
        <v>455</v>
      </c>
      <c r="D927" t="s">
        <v>448</v>
      </c>
      <c r="E927">
        <v>109.4</v>
      </c>
    </row>
    <row r="928" spans="1:5">
      <c r="A928" t="s">
        <v>40</v>
      </c>
      <c r="B928" t="s">
        <v>475</v>
      </c>
      <c r="C928" t="s">
        <v>6916</v>
      </c>
      <c r="D928" t="s">
        <v>437</v>
      </c>
      <c r="E928">
        <v>15.6</v>
      </c>
    </row>
    <row r="929" spans="1:5">
      <c r="A929" t="s">
        <v>40</v>
      </c>
      <c r="B929" t="s">
        <v>475</v>
      </c>
      <c r="C929" t="s">
        <v>6916</v>
      </c>
      <c r="D929" t="s">
        <v>217</v>
      </c>
      <c r="E929">
        <v>19.2</v>
      </c>
    </row>
    <row r="930" spans="1:5">
      <c r="A930" t="s">
        <v>40</v>
      </c>
      <c r="B930" t="s">
        <v>475</v>
      </c>
      <c r="C930" t="s">
        <v>6916</v>
      </c>
      <c r="D930" t="s">
        <v>313</v>
      </c>
      <c r="E930">
        <v>3.4</v>
      </c>
    </row>
    <row r="931" spans="1:5">
      <c r="A931" t="s">
        <v>40</v>
      </c>
      <c r="B931" t="s">
        <v>475</v>
      </c>
      <c r="C931" t="s">
        <v>6916</v>
      </c>
      <c r="D931" t="s">
        <v>447</v>
      </c>
      <c r="E931">
        <v>0.3</v>
      </c>
    </row>
    <row r="932" spans="1:5">
      <c r="A932" t="s">
        <v>40</v>
      </c>
      <c r="B932" t="s">
        <v>475</v>
      </c>
      <c r="C932" t="s">
        <v>6916</v>
      </c>
      <c r="D932" t="s">
        <v>448</v>
      </c>
      <c r="E932">
        <v>38.5</v>
      </c>
    </row>
    <row r="933" spans="1:5">
      <c r="A933" t="s">
        <v>40</v>
      </c>
      <c r="B933" t="s">
        <v>475</v>
      </c>
      <c r="C933" t="s">
        <v>457</v>
      </c>
      <c r="D933" t="s">
        <v>437</v>
      </c>
      <c r="E933">
        <v>101.91</v>
      </c>
    </row>
    <row r="934" spans="1:5">
      <c r="A934" t="s">
        <v>40</v>
      </c>
      <c r="B934" t="s">
        <v>475</v>
      </c>
      <c r="C934" t="s">
        <v>457</v>
      </c>
      <c r="D934" t="s">
        <v>217</v>
      </c>
      <c r="E934">
        <v>1.6</v>
      </c>
    </row>
    <row r="935" spans="1:5">
      <c r="A935" t="s">
        <v>40</v>
      </c>
      <c r="B935" t="s">
        <v>475</v>
      </c>
      <c r="C935" t="s">
        <v>457</v>
      </c>
      <c r="D935" t="s">
        <v>313</v>
      </c>
      <c r="E935">
        <v>53</v>
      </c>
    </row>
    <row r="936" spans="1:5">
      <c r="A936" t="s">
        <v>40</v>
      </c>
      <c r="B936" t="s">
        <v>475</v>
      </c>
      <c r="C936" t="s">
        <v>457</v>
      </c>
      <c r="D936" t="s">
        <v>6911</v>
      </c>
      <c r="E936">
        <v>137.29</v>
      </c>
    </row>
    <row r="937" spans="1:5">
      <c r="A937" t="s">
        <v>40</v>
      </c>
      <c r="B937" t="s">
        <v>475</v>
      </c>
      <c r="C937" t="s">
        <v>457</v>
      </c>
      <c r="D937" t="s">
        <v>6912</v>
      </c>
      <c r="E937">
        <v>10.1</v>
      </c>
    </row>
    <row r="938" spans="1:5">
      <c r="A938" t="s">
        <v>40</v>
      </c>
      <c r="B938" t="s">
        <v>475</v>
      </c>
      <c r="C938" t="s">
        <v>457</v>
      </c>
      <c r="D938" t="s">
        <v>6915</v>
      </c>
      <c r="E938">
        <v>10.3</v>
      </c>
    </row>
    <row r="939" spans="1:5">
      <c r="A939" t="s">
        <v>40</v>
      </c>
      <c r="B939" t="s">
        <v>475</v>
      </c>
      <c r="C939" t="s">
        <v>457</v>
      </c>
      <c r="D939" t="s">
        <v>447</v>
      </c>
      <c r="E939">
        <v>8.5</v>
      </c>
    </row>
    <row r="940" spans="1:5">
      <c r="A940" t="s">
        <v>40</v>
      </c>
      <c r="B940" t="s">
        <v>475</v>
      </c>
      <c r="C940" t="s">
        <v>457</v>
      </c>
      <c r="D940" t="s">
        <v>448</v>
      </c>
      <c r="E940">
        <v>322.7</v>
      </c>
    </row>
    <row r="941" spans="1:5">
      <c r="A941" t="s">
        <v>40</v>
      </c>
      <c r="B941" t="s">
        <v>475</v>
      </c>
      <c r="C941" t="s">
        <v>497</v>
      </c>
      <c r="D941" t="s">
        <v>217</v>
      </c>
      <c r="E941">
        <v>1.95</v>
      </c>
    </row>
    <row r="942" spans="1:5">
      <c r="A942" t="s">
        <v>40</v>
      </c>
      <c r="B942" t="s">
        <v>475</v>
      </c>
      <c r="C942" t="s">
        <v>497</v>
      </c>
      <c r="D942" t="s">
        <v>313</v>
      </c>
      <c r="E942">
        <v>35.549999999999997</v>
      </c>
    </row>
    <row r="943" spans="1:5">
      <c r="A943" t="s">
        <v>40</v>
      </c>
      <c r="B943" t="s">
        <v>475</v>
      </c>
      <c r="C943" t="s">
        <v>497</v>
      </c>
      <c r="D943" t="s">
        <v>6911</v>
      </c>
      <c r="E943">
        <v>34</v>
      </c>
    </row>
    <row r="944" spans="1:5">
      <c r="A944" t="s">
        <v>40</v>
      </c>
      <c r="B944" t="s">
        <v>475</v>
      </c>
      <c r="C944" t="s">
        <v>497</v>
      </c>
      <c r="D944" t="s">
        <v>6912</v>
      </c>
      <c r="E944">
        <v>138</v>
      </c>
    </row>
    <row r="945" spans="1:5">
      <c r="A945" t="s">
        <v>40</v>
      </c>
      <c r="B945" t="s">
        <v>475</v>
      </c>
      <c r="C945" t="s">
        <v>497</v>
      </c>
      <c r="D945" t="s">
        <v>448</v>
      </c>
      <c r="E945">
        <v>209.5</v>
      </c>
    </row>
    <row r="946" spans="1:5">
      <c r="A946" t="s">
        <v>40</v>
      </c>
      <c r="B946" t="s">
        <v>475</v>
      </c>
      <c r="C946" t="s">
        <v>6917</v>
      </c>
      <c r="D946" t="s">
        <v>437</v>
      </c>
      <c r="E946">
        <v>62.5</v>
      </c>
    </row>
    <row r="947" spans="1:5">
      <c r="A947" t="s">
        <v>40</v>
      </c>
      <c r="B947" t="s">
        <v>475</v>
      </c>
      <c r="C947" t="s">
        <v>6917</v>
      </c>
      <c r="D947" t="s">
        <v>217</v>
      </c>
      <c r="E947">
        <v>8.6</v>
      </c>
    </row>
    <row r="948" spans="1:5">
      <c r="A948" t="s">
        <v>40</v>
      </c>
      <c r="B948" t="s">
        <v>475</v>
      </c>
      <c r="C948" t="s">
        <v>6917</v>
      </c>
      <c r="D948" t="s">
        <v>313</v>
      </c>
      <c r="E948">
        <v>47.4</v>
      </c>
    </row>
    <row r="949" spans="1:5">
      <c r="A949" t="s">
        <v>40</v>
      </c>
      <c r="B949" t="s">
        <v>475</v>
      </c>
      <c r="C949" t="s">
        <v>6917</v>
      </c>
      <c r="D949" t="s">
        <v>6911</v>
      </c>
      <c r="E949">
        <v>36.65</v>
      </c>
    </row>
    <row r="950" spans="1:5">
      <c r="A950" t="s">
        <v>40</v>
      </c>
      <c r="B950" t="s">
        <v>475</v>
      </c>
      <c r="C950" t="s">
        <v>6917</v>
      </c>
      <c r="D950" t="s">
        <v>6912</v>
      </c>
      <c r="E950">
        <v>15.4</v>
      </c>
    </row>
    <row r="951" spans="1:5">
      <c r="A951" t="s">
        <v>40</v>
      </c>
      <c r="B951" t="s">
        <v>475</v>
      </c>
      <c r="C951" t="s">
        <v>6917</v>
      </c>
      <c r="D951" t="s">
        <v>447</v>
      </c>
      <c r="E951">
        <v>9.35</v>
      </c>
    </row>
    <row r="952" spans="1:5">
      <c r="A952" t="s">
        <v>40</v>
      </c>
      <c r="B952" t="s">
        <v>475</v>
      </c>
      <c r="C952" t="s">
        <v>6917</v>
      </c>
      <c r="D952" t="s">
        <v>448</v>
      </c>
      <c r="E952">
        <v>179.9</v>
      </c>
    </row>
    <row r="953" spans="1:5">
      <c r="A953" t="s">
        <v>40</v>
      </c>
      <c r="B953" t="s">
        <v>475</v>
      </c>
      <c r="C953" t="s">
        <v>382</v>
      </c>
      <c r="D953" t="s">
        <v>217</v>
      </c>
      <c r="E953">
        <v>0.4</v>
      </c>
    </row>
    <row r="954" spans="1:5">
      <c r="A954" t="s">
        <v>40</v>
      </c>
      <c r="B954" t="s">
        <v>475</v>
      </c>
      <c r="C954" t="s">
        <v>382</v>
      </c>
      <c r="D954" t="s">
        <v>313</v>
      </c>
      <c r="E954">
        <v>3.8</v>
      </c>
    </row>
    <row r="955" spans="1:5">
      <c r="A955" t="s">
        <v>40</v>
      </c>
      <c r="B955" t="s">
        <v>475</v>
      </c>
      <c r="C955" t="s">
        <v>382</v>
      </c>
      <c r="D955" t="s">
        <v>6911</v>
      </c>
      <c r="E955">
        <v>14.2</v>
      </c>
    </row>
    <row r="956" spans="1:5">
      <c r="A956" t="s">
        <v>40</v>
      </c>
      <c r="B956" t="s">
        <v>475</v>
      </c>
      <c r="C956" t="s">
        <v>382</v>
      </c>
      <c r="D956" t="s">
        <v>448</v>
      </c>
      <c r="E956">
        <v>18.399999999999999</v>
      </c>
    </row>
    <row r="957" spans="1:5">
      <c r="A957" t="s">
        <v>40</v>
      </c>
      <c r="B957" t="s">
        <v>475</v>
      </c>
      <c r="C957" t="s">
        <v>460</v>
      </c>
      <c r="D957" t="s">
        <v>437</v>
      </c>
      <c r="E957">
        <v>9.6</v>
      </c>
    </row>
    <row r="958" spans="1:5">
      <c r="A958" t="s">
        <v>40</v>
      </c>
      <c r="B958" t="s">
        <v>475</v>
      </c>
      <c r="C958" t="s">
        <v>460</v>
      </c>
      <c r="D958" t="s">
        <v>217</v>
      </c>
      <c r="E958">
        <v>0.1</v>
      </c>
    </row>
    <row r="959" spans="1:5">
      <c r="A959" t="s">
        <v>40</v>
      </c>
      <c r="B959" t="s">
        <v>475</v>
      </c>
      <c r="C959" t="s">
        <v>460</v>
      </c>
      <c r="D959" t="s">
        <v>313</v>
      </c>
      <c r="E959">
        <v>30.9</v>
      </c>
    </row>
    <row r="960" spans="1:5">
      <c r="A960" t="s">
        <v>40</v>
      </c>
      <c r="B960" t="s">
        <v>475</v>
      </c>
      <c r="C960" t="s">
        <v>460</v>
      </c>
      <c r="D960" t="s">
        <v>6911</v>
      </c>
      <c r="E960">
        <v>25.8</v>
      </c>
    </row>
    <row r="961" spans="1:5">
      <c r="A961" t="s">
        <v>40</v>
      </c>
      <c r="B961" t="s">
        <v>475</v>
      </c>
      <c r="C961" t="s">
        <v>460</v>
      </c>
      <c r="D961" t="s">
        <v>6912</v>
      </c>
      <c r="E961">
        <v>61.3</v>
      </c>
    </row>
    <row r="962" spans="1:5">
      <c r="A962" t="s">
        <v>40</v>
      </c>
      <c r="B962" t="s">
        <v>475</v>
      </c>
      <c r="C962" t="s">
        <v>460</v>
      </c>
      <c r="D962" t="s">
        <v>447</v>
      </c>
      <c r="E962">
        <v>3.6</v>
      </c>
    </row>
    <row r="963" spans="1:5">
      <c r="A963" t="s">
        <v>40</v>
      </c>
      <c r="B963" t="s">
        <v>475</v>
      </c>
      <c r="C963" t="s">
        <v>460</v>
      </c>
      <c r="D963" t="s">
        <v>448</v>
      </c>
      <c r="E963">
        <v>131.30000000000001</v>
      </c>
    </row>
    <row r="964" spans="1:5">
      <c r="A964" t="s">
        <v>40</v>
      </c>
      <c r="B964" t="s">
        <v>475</v>
      </c>
      <c r="C964" t="s">
        <v>448</v>
      </c>
      <c r="D964" t="s">
        <v>437</v>
      </c>
      <c r="E964">
        <v>424.745</v>
      </c>
    </row>
    <row r="965" spans="1:5">
      <c r="A965" t="s">
        <v>40</v>
      </c>
      <c r="B965" t="s">
        <v>475</v>
      </c>
      <c r="C965" t="s">
        <v>448</v>
      </c>
      <c r="D965" t="s">
        <v>217</v>
      </c>
      <c r="E965">
        <v>35.35</v>
      </c>
    </row>
    <row r="966" spans="1:5">
      <c r="A966" t="s">
        <v>40</v>
      </c>
      <c r="B966" t="s">
        <v>475</v>
      </c>
      <c r="C966" t="s">
        <v>448</v>
      </c>
      <c r="D966" t="s">
        <v>313</v>
      </c>
      <c r="E966">
        <v>275.89999999999998</v>
      </c>
    </row>
    <row r="967" spans="1:5">
      <c r="A967" t="s">
        <v>40</v>
      </c>
      <c r="B967" t="s">
        <v>475</v>
      </c>
      <c r="C967" t="s">
        <v>448</v>
      </c>
      <c r="D967" t="s">
        <v>6911</v>
      </c>
      <c r="E967">
        <v>592.54</v>
      </c>
    </row>
    <row r="968" spans="1:5">
      <c r="A968" t="s">
        <v>40</v>
      </c>
      <c r="B968" t="s">
        <v>475</v>
      </c>
      <c r="C968" t="s">
        <v>448</v>
      </c>
      <c r="D968" t="s">
        <v>441</v>
      </c>
      <c r="E968">
        <v>274.5</v>
      </c>
    </row>
    <row r="969" spans="1:5">
      <c r="A969" t="s">
        <v>40</v>
      </c>
      <c r="B969" t="s">
        <v>475</v>
      </c>
      <c r="C969" t="s">
        <v>448</v>
      </c>
      <c r="D969" t="s">
        <v>6912</v>
      </c>
      <c r="E969">
        <v>268.39999999999998</v>
      </c>
    </row>
    <row r="970" spans="1:5">
      <c r="A970" t="s">
        <v>40</v>
      </c>
      <c r="B970" t="s">
        <v>475</v>
      </c>
      <c r="C970" t="s">
        <v>448</v>
      </c>
      <c r="D970" t="s">
        <v>443</v>
      </c>
      <c r="E970">
        <v>169.2</v>
      </c>
    </row>
    <row r="971" spans="1:5">
      <c r="A971" t="s">
        <v>40</v>
      </c>
      <c r="B971" t="s">
        <v>475</v>
      </c>
      <c r="C971" t="s">
        <v>448</v>
      </c>
      <c r="D971" t="s">
        <v>6915</v>
      </c>
      <c r="E971">
        <v>325.52</v>
      </c>
    </row>
    <row r="972" spans="1:5">
      <c r="A972" t="s">
        <v>40</v>
      </c>
      <c r="B972" t="s">
        <v>475</v>
      </c>
      <c r="C972" t="s">
        <v>448</v>
      </c>
      <c r="D972" t="s">
        <v>447</v>
      </c>
      <c r="E972">
        <v>41.25</v>
      </c>
    </row>
    <row r="973" spans="1:5">
      <c r="A973" t="s">
        <v>40</v>
      </c>
      <c r="B973" t="s">
        <v>475</v>
      </c>
      <c r="C973" t="s">
        <v>448</v>
      </c>
      <c r="D973" t="s">
        <v>448</v>
      </c>
      <c r="E973">
        <v>2407.4050000000002</v>
      </c>
    </row>
    <row r="974" spans="1:5">
      <c r="A974" t="s">
        <v>40</v>
      </c>
      <c r="B974" t="s">
        <v>476</v>
      </c>
      <c r="C974" t="s">
        <v>6910</v>
      </c>
      <c r="D974" t="s">
        <v>313</v>
      </c>
      <c r="E974">
        <v>7.2</v>
      </c>
    </row>
    <row r="975" spans="1:5">
      <c r="A975" t="s">
        <v>40</v>
      </c>
      <c r="B975" t="s">
        <v>476</v>
      </c>
      <c r="C975" t="s">
        <v>6910</v>
      </c>
      <c r="D975" t="s">
        <v>6911</v>
      </c>
      <c r="E975">
        <v>45</v>
      </c>
    </row>
    <row r="976" spans="1:5">
      <c r="A976" t="s">
        <v>40</v>
      </c>
      <c r="B976" t="s">
        <v>476</v>
      </c>
      <c r="C976" t="s">
        <v>6910</v>
      </c>
      <c r="D976" t="s">
        <v>441</v>
      </c>
      <c r="E976">
        <v>373.7</v>
      </c>
    </row>
    <row r="977" spans="1:5">
      <c r="A977" t="s">
        <v>40</v>
      </c>
      <c r="B977" t="s">
        <v>476</v>
      </c>
      <c r="C977" t="s">
        <v>6910</v>
      </c>
      <c r="D977" t="s">
        <v>6912</v>
      </c>
      <c r="E977">
        <v>4</v>
      </c>
    </row>
    <row r="978" spans="1:5">
      <c r="A978" t="s">
        <v>40</v>
      </c>
      <c r="B978" t="s">
        <v>476</v>
      </c>
      <c r="C978" t="s">
        <v>6910</v>
      </c>
      <c r="D978" t="s">
        <v>448</v>
      </c>
      <c r="E978">
        <v>429.9</v>
      </c>
    </row>
    <row r="979" spans="1:5">
      <c r="A979" t="s">
        <v>40</v>
      </c>
      <c r="B979" t="s">
        <v>476</v>
      </c>
      <c r="C979" t="s">
        <v>6913</v>
      </c>
      <c r="D979" t="s">
        <v>313</v>
      </c>
      <c r="E979">
        <v>17.5</v>
      </c>
    </row>
    <row r="980" spans="1:5">
      <c r="A980" t="s">
        <v>40</v>
      </c>
      <c r="B980" t="s">
        <v>476</v>
      </c>
      <c r="C980" t="s">
        <v>6913</v>
      </c>
      <c r="D980" t="s">
        <v>6911</v>
      </c>
      <c r="E980">
        <v>44.9</v>
      </c>
    </row>
    <row r="981" spans="1:5">
      <c r="A981" t="s">
        <v>40</v>
      </c>
      <c r="B981" t="s">
        <v>476</v>
      </c>
      <c r="C981" t="s">
        <v>6913</v>
      </c>
      <c r="D981" t="s">
        <v>6915</v>
      </c>
      <c r="E981">
        <v>305.7</v>
      </c>
    </row>
    <row r="982" spans="1:5">
      <c r="A982" t="s">
        <v>40</v>
      </c>
      <c r="B982" t="s">
        <v>476</v>
      </c>
      <c r="C982" t="s">
        <v>6913</v>
      </c>
      <c r="D982" t="s">
        <v>447</v>
      </c>
      <c r="E982">
        <v>1.8</v>
      </c>
    </row>
    <row r="983" spans="1:5">
      <c r="A983" t="s">
        <v>40</v>
      </c>
      <c r="B983" t="s">
        <v>476</v>
      </c>
      <c r="C983" t="s">
        <v>6913</v>
      </c>
      <c r="D983" t="s">
        <v>448</v>
      </c>
      <c r="E983">
        <v>369.9</v>
      </c>
    </row>
    <row r="984" spans="1:5">
      <c r="A984" t="s">
        <v>40</v>
      </c>
      <c r="B984" t="s">
        <v>476</v>
      </c>
      <c r="C984" t="s">
        <v>467</v>
      </c>
      <c r="D984" t="s">
        <v>437</v>
      </c>
      <c r="E984">
        <v>231.31</v>
      </c>
    </row>
    <row r="985" spans="1:5">
      <c r="A985" t="s">
        <v>40</v>
      </c>
      <c r="B985" t="s">
        <v>476</v>
      </c>
      <c r="C985" t="s">
        <v>467</v>
      </c>
      <c r="D985" t="s">
        <v>313</v>
      </c>
      <c r="E985">
        <v>167.3</v>
      </c>
    </row>
    <row r="986" spans="1:5">
      <c r="A986" t="s">
        <v>40</v>
      </c>
      <c r="B986" t="s">
        <v>476</v>
      </c>
      <c r="C986" t="s">
        <v>467</v>
      </c>
      <c r="D986" t="s">
        <v>6911</v>
      </c>
      <c r="E986">
        <v>313.10000000000002</v>
      </c>
    </row>
    <row r="987" spans="1:5">
      <c r="A987" t="s">
        <v>40</v>
      </c>
      <c r="B987" t="s">
        <v>476</v>
      </c>
      <c r="C987" t="s">
        <v>467</v>
      </c>
      <c r="D987" t="s">
        <v>6912</v>
      </c>
      <c r="E987">
        <v>25</v>
      </c>
    </row>
    <row r="988" spans="1:5">
      <c r="A988" t="s">
        <v>40</v>
      </c>
      <c r="B988" t="s">
        <v>476</v>
      </c>
      <c r="C988" t="s">
        <v>467</v>
      </c>
      <c r="D988" t="s">
        <v>443</v>
      </c>
      <c r="E988">
        <v>315</v>
      </c>
    </row>
    <row r="989" spans="1:5">
      <c r="A989" t="s">
        <v>40</v>
      </c>
      <c r="B989" t="s">
        <v>476</v>
      </c>
      <c r="C989" t="s">
        <v>467</v>
      </c>
      <c r="D989" t="s">
        <v>6915</v>
      </c>
      <c r="E989">
        <v>188</v>
      </c>
    </row>
    <row r="990" spans="1:5">
      <c r="A990" t="s">
        <v>40</v>
      </c>
      <c r="B990" t="s">
        <v>476</v>
      </c>
      <c r="C990" t="s">
        <v>467</v>
      </c>
      <c r="D990" t="s">
        <v>447</v>
      </c>
      <c r="E990">
        <v>5.0999999999999996</v>
      </c>
    </row>
    <row r="991" spans="1:5">
      <c r="A991" t="s">
        <v>40</v>
      </c>
      <c r="B991" t="s">
        <v>476</v>
      </c>
      <c r="C991" t="s">
        <v>467</v>
      </c>
      <c r="D991" t="s">
        <v>448</v>
      </c>
      <c r="E991">
        <v>1244.81</v>
      </c>
    </row>
    <row r="992" spans="1:5">
      <c r="A992" t="s">
        <v>40</v>
      </c>
      <c r="B992" t="s">
        <v>476</v>
      </c>
      <c r="C992" t="s">
        <v>65</v>
      </c>
      <c r="D992" t="s">
        <v>437</v>
      </c>
      <c r="E992">
        <v>0.3</v>
      </c>
    </row>
    <row r="993" spans="1:5">
      <c r="A993" t="s">
        <v>40</v>
      </c>
      <c r="B993" t="s">
        <v>476</v>
      </c>
      <c r="C993" t="s">
        <v>65</v>
      </c>
      <c r="D993" t="s">
        <v>217</v>
      </c>
      <c r="E993">
        <v>1.2</v>
      </c>
    </row>
    <row r="994" spans="1:5">
      <c r="A994" t="s">
        <v>40</v>
      </c>
      <c r="B994" t="s">
        <v>476</v>
      </c>
      <c r="C994" t="s">
        <v>65</v>
      </c>
      <c r="D994" t="s">
        <v>313</v>
      </c>
      <c r="E994">
        <v>9.3000000000000007</v>
      </c>
    </row>
    <row r="995" spans="1:5">
      <c r="A995" t="s">
        <v>40</v>
      </c>
      <c r="B995" t="s">
        <v>476</v>
      </c>
      <c r="C995" t="s">
        <v>65</v>
      </c>
      <c r="D995" t="s">
        <v>6911</v>
      </c>
      <c r="E995">
        <v>15.6</v>
      </c>
    </row>
    <row r="996" spans="1:5">
      <c r="A996" t="s">
        <v>40</v>
      </c>
      <c r="B996" t="s">
        <v>476</v>
      </c>
      <c r="C996" t="s">
        <v>65</v>
      </c>
      <c r="D996" t="s">
        <v>6912</v>
      </c>
      <c r="E996">
        <v>0.5</v>
      </c>
    </row>
    <row r="997" spans="1:5">
      <c r="A997" t="s">
        <v>40</v>
      </c>
      <c r="B997" t="s">
        <v>476</v>
      </c>
      <c r="C997" t="s">
        <v>65</v>
      </c>
      <c r="D997" t="s">
        <v>448</v>
      </c>
      <c r="E997">
        <v>26.9</v>
      </c>
    </row>
    <row r="998" spans="1:5">
      <c r="A998" t="s">
        <v>40</v>
      </c>
      <c r="B998" t="s">
        <v>476</v>
      </c>
      <c r="C998" t="s">
        <v>6916</v>
      </c>
      <c r="D998" t="s">
        <v>437</v>
      </c>
      <c r="E998">
        <v>82</v>
      </c>
    </row>
    <row r="999" spans="1:5">
      <c r="A999" t="s">
        <v>40</v>
      </c>
      <c r="B999" t="s">
        <v>476</v>
      </c>
      <c r="C999" t="s">
        <v>6916</v>
      </c>
      <c r="D999" t="s">
        <v>217</v>
      </c>
      <c r="E999">
        <v>58.5</v>
      </c>
    </row>
    <row r="1000" spans="1:5">
      <c r="A1000" t="s">
        <v>40</v>
      </c>
      <c r="B1000" t="s">
        <v>476</v>
      </c>
      <c r="C1000" t="s">
        <v>6916</v>
      </c>
      <c r="D1000" t="s">
        <v>313</v>
      </c>
      <c r="E1000">
        <v>18.899999999999999</v>
      </c>
    </row>
    <row r="1001" spans="1:5">
      <c r="A1001" t="s">
        <v>40</v>
      </c>
      <c r="B1001" t="s">
        <v>476</v>
      </c>
      <c r="C1001" t="s">
        <v>6916</v>
      </c>
      <c r="D1001" t="s">
        <v>6911</v>
      </c>
      <c r="E1001">
        <v>2</v>
      </c>
    </row>
    <row r="1002" spans="1:5">
      <c r="A1002" t="s">
        <v>40</v>
      </c>
      <c r="B1002" t="s">
        <v>476</v>
      </c>
      <c r="C1002" t="s">
        <v>6916</v>
      </c>
      <c r="D1002" t="s">
        <v>448</v>
      </c>
      <c r="E1002">
        <v>161.4</v>
      </c>
    </row>
    <row r="1003" spans="1:5">
      <c r="A1003" t="s">
        <v>40</v>
      </c>
      <c r="B1003" t="s">
        <v>476</v>
      </c>
      <c r="C1003" t="s">
        <v>457</v>
      </c>
      <c r="D1003" t="s">
        <v>437</v>
      </c>
      <c r="E1003">
        <v>153.9</v>
      </c>
    </row>
    <row r="1004" spans="1:5">
      <c r="A1004" t="s">
        <v>40</v>
      </c>
      <c r="B1004" t="s">
        <v>476</v>
      </c>
      <c r="C1004" t="s">
        <v>457</v>
      </c>
      <c r="D1004" t="s">
        <v>217</v>
      </c>
      <c r="E1004">
        <v>7.8</v>
      </c>
    </row>
    <row r="1005" spans="1:5">
      <c r="A1005" t="s">
        <v>40</v>
      </c>
      <c r="B1005" t="s">
        <v>476</v>
      </c>
      <c r="C1005" t="s">
        <v>457</v>
      </c>
      <c r="D1005" t="s">
        <v>313</v>
      </c>
      <c r="E1005">
        <v>44.28</v>
      </c>
    </row>
    <row r="1006" spans="1:5">
      <c r="A1006" t="s">
        <v>40</v>
      </c>
      <c r="B1006" t="s">
        <v>476</v>
      </c>
      <c r="C1006" t="s">
        <v>457</v>
      </c>
      <c r="D1006" t="s">
        <v>6911</v>
      </c>
      <c r="E1006">
        <v>197.39</v>
      </c>
    </row>
    <row r="1007" spans="1:5">
      <c r="A1007" t="s">
        <v>40</v>
      </c>
      <c r="B1007" t="s">
        <v>476</v>
      </c>
      <c r="C1007" t="s">
        <v>457</v>
      </c>
      <c r="D1007" t="s">
        <v>6912</v>
      </c>
      <c r="E1007">
        <v>17.63</v>
      </c>
    </row>
    <row r="1008" spans="1:5">
      <c r="A1008" t="s">
        <v>40</v>
      </c>
      <c r="B1008" t="s">
        <v>476</v>
      </c>
      <c r="C1008" t="s">
        <v>457</v>
      </c>
      <c r="D1008" t="s">
        <v>447</v>
      </c>
      <c r="E1008">
        <v>3.4</v>
      </c>
    </row>
    <row r="1009" spans="1:5">
      <c r="A1009" t="s">
        <v>40</v>
      </c>
      <c r="B1009" t="s">
        <v>476</v>
      </c>
      <c r="C1009" t="s">
        <v>457</v>
      </c>
      <c r="D1009" t="s">
        <v>448</v>
      </c>
      <c r="E1009">
        <v>424.4</v>
      </c>
    </row>
    <row r="1010" spans="1:5">
      <c r="A1010" t="s">
        <v>40</v>
      </c>
      <c r="B1010" t="s">
        <v>476</v>
      </c>
      <c r="C1010" t="s">
        <v>497</v>
      </c>
      <c r="D1010" t="s">
        <v>437</v>
      </c>
      <c r="E1010">
        <v>2.9</v>
      </c>
    </row>
    <row r="1011" spans="1:5">
      <c r="A1011" t="s">
        <v>40</v>
      </c>
      <c r="B1011" t="s">
        <v>476</v>
      </c>
      <c r="C1011" t="s">
        <v>497</v>
      </c>
      <c r="D1011" t="s">
        <v>313</v>
      </c>
      <c r="E1011">
        <v>32.700000000000003</v>
      </c>
    </row>
    <row r="1012" spans="1:5">
      <c r="A1012" t="s">
        <v>40</v>
      </c>
      <c r="B1012" t="s">
        <v>476</v>
      </c>
      <c r="C1012" t="s">
        <v>497</v>
      </c>
      <c r="D1012" t="s">
        <v>6911</v>
      </c>
      <c r="E1012">
        <v>29</v>
      </c>
    </row>
    <row r="1013" spans="1:5">
      <c r="A1013" t="s">
        <v>40</v>
      </c>
      <c r="B1013" t="s">
        <v>476</v>
      </c>
      <c r="C1013" t="s">
        <v>497</v>
      </c>
      <c r="D1013" t="s">
        <v>6912</v>
      </c>
      <c r="E1013">
        <v>280</v>
      </c>
    </row>
    <row r="1014" spans="1:5">
      <c r="A1014" t="s">
        <v>40</v>
      </c>
      <c r="B1014" t="s">
        <v>476</v>
      </c>
      <c r="C1014" t="s">
        <v>497</v>
      </c>
      <c r="D1014" t="s">
        <v>447</v>
      </c>
      <c r="E1014">
        <v>2.9</v>
      </c>
    </row>
    <row r="1015" spans="1:5">
      <c r="A1015" t="s">
        <v>40</v>
      </c>
      <c r="B1015" t="s">
        <v>476</v>
      </c>
      <c r="C1015" t="s">
        <v>497</v>
      </c>
      <c r="D1015" t="s">
        <v>448</v>
      </c>
      <c r="E1015">
        <v>347.5</v>
      </c>
    </row>
    <row r="1016" spans="1:5">
      <c r="A1016" t="s">
        <v>40</v>
      </c>
      <c r="B1016" t="s">
        <v>476</v>
      </c>
      <c r="C1016" t="s">
        <v>6917</v>
      </c>
      <c r="D1016" t="s">
        <v>437</v>
      </c>
      <c r="E1016">
        <v>60.48</v>
      </c>
    </row>
    <row r="1017" spans="1:5">
      <c r="A1017" t="s">
        <v>40</v>
      </c>
      <c r="B1017" t="s">
        <v>476</v>
      </c>
      <c r="C1017" t="s">
        <v>6917</v>
      </c>
      <c r="D1017" t="s">
        <v>217</v>
      </c>
      <c r="E1017">
        <v>4.5650000000000004</v>
      </c>
    </row>
    <row r="1018" spans="1:5">
      <c r="A1018" t="s">
        <v>40</v>
      </c>
      <c r="B1018" t="s">
        <v>476</v>
      </c>
      <c r="C1018" t="s">
        <v>6917</v>
      </c>
      <c r="D1018" t="s">
        <v>313</v>
      </c>
      <c r="E1018">
        <v>49.32</v>
      </c>
    </row>
    <row r="1019" spans="1:5">
      <c r="A1019" t="s">
        <v>40</v>
      </c>
      <c r="B1019" t="s">
        <v>476</v>
      </c>
      <c r="C1019" t="s">
        <v>6917</v>
      </c>
      <c r="D1019" t="s">
        <v>6911</v>
      </c>
      <c r="E1019">
        <v>33.950000000000003</v>
      </c>
    </row>
    <row r="1020" spans="1:5">
      <c r="A1020" t="s">
        <v>40</v>
      </c>
      <c r="B1020" t="s">
        <v>476</v>
      </c>
      <c r="C1020" t="s">
        <v>6917</v>
      </c>
      <c r="D1020" t="s">
        <v>6912</v>
      </c>
      <c r="E1020">
        <v>17.84</v>
      </c>
    </row>
    <row r="1021" spans="1:5">
      <c r="A1021" t="s">
        <v>40</v>
      </c>
      <c r="B1021" t="s">
        <v>476</v>
      </c>
      <c r="C1021" t="s">
        <v>6917</v>
      </c>
      <c r="D1021" t="s">
        <v>447</v>
      </c>
      <c r="E1021">
        <v>7.9450000000000003</v>
      </c>
    </row>
    <row r="1022" spans="1:5">
      <c r="A1022" t="s">
        <v>40</v>
      </c>
      <c r="B1022" t="s">
        <v>476</v>
      </c>
      <c r="C1022" t="s">
        <v>6917</v>
      </c>
      <c r="D1022" t="s">
        <v>448</v>
      </c>
      <c r="E1022">
        <v>174.1</v>
      </c>
    </row>
    <row r="1023" spans="1:5">
      <c r="A1023" t="s">
        <v>40</v>
      </c>
      <c r="B1023" t="s">
        <v>476</v>
      </c>
      <c r="C1023" t="s">
        <v>382</v>
      </c>
      <c r="D1023" t="s">
        <v>437</v>
      </c>
      <c r="E1023">
        <v>0.4</v>
      </c>
    </row>
    <row r="1024" spans="1:5">
      <c r="A1024" t="s">
        <v>40</v>
      </c>
      <c r="B1024" t="s">
        <v>476</v>
      </c>
      <c r="C1024" t="s">
        <v>382</v>
      </c>
      <c r="D1024" t="s">
        <v>217</v>
      </c>
      <c r="E1024">
        <v>0.3</v>
      </c>
    </row>
    <row r="1025" spans="1:5">
      <c r="A1025" t="s">
        <v>40</v>
      </c>
      <c r="B1025" t="s">
        <v>476</v>
      </c>
      <c r="C1025" t="s">
        <v>382</v>
      </c>
      <c r="D1025" t="s">
        <v>313</v>
      </c>
      <c r="E1025">
        <v>4.5999999999999996</v>
      </c>
    </row>
    <row r="1026" spans="1:5">
      <c r="A1026" t="s">
        <v>40</v>
      </c>
      <c r="B1026" t="s">
        <v>476</v>
      </c>
      <c r="C1026" t="s">
        <v>382</v>
      </c>
      <c r="D1026" t="s">
        <v>6911</v>
      </c>
      <c r="E1026">
        <v>31.8</v>
      </c>
    </row>
    <row r="1027" spans="1:5">
      <c r="A1027" t="s">
        <v>40</v>
      </c>
      <c r="B1027" t="s">
        <v>476</v>
      </c>
      <c r="C1027" t="s">
        <v>382</v>
      </c>
      <c r="D1027" t="s">
        <v>447</v>
      </c>
      <c r="E1027">
        <v>0.1</v>
      </c>
    </row>
    <row r="1028" spans="1:5">
      <c r="A1028" t="s">
        <v>40</v>
      </c>
      <c r="B1028" t="s">
        <v>476</v>
      </c>
      <c r="C1028" t="s">
        <v>382</v>
      </c>
      <c r="D1028" t="s">
        <v>448</v>
      </c>
      <c r="E1028">
        <v>37.200000000000003</v>
      </c>
    </row>
    <row r="1029" spans="1:5">
      <c r="A1029" t="s">
        <v>40</v>
      </c>
      <c r="B1029" t="s">
        <v>476</v>
      </c>
      <c r="C1029" t="s">
        <v>460</v>
      </c>
      <c r="D1029" t="s">
        <v>437</v>
      </c>
      <c r="E1029">
        <v>27.8</v>
      </c>
    </row>
    <row r="1030" spans="1:5">
      <c r="A1030" t="s">
        <v>40</v>
      </c>
      <c r="B1030" t="s">
        <v>476</v>
      </c>
      <c r="C1030" t="s">
        <v>460</v>
      </c>
      <c r="D1030" t="s">
        <v>217</v>
      </c>
      <c r="E1030">
        <v>0.4</v>
      </c>
    </row>
    <row r="1031" spans="1:5">
      <c r="A1031" t="s">
        <v>40</v>
      </c>
      <c r="B1031" t="s">
        <v>476</v>
      </c>
      <c r="C1031" t="s">
        <v>460</v>
      </c>
      <c r="D1031" t="s">
        <v>313</v>
      </c>
      <c r="E1031">
        <v>4.9000000000000004</v>
      </c>
    </row>
    <row r="1032" spans="1:5">
      <c r="A1032" t="s">
        <v>40</v>
      </c>
      <c r="B1032" t="s">
        <v>476</v>
      </c>
      <c r="C1032" t="s">
        <v>460</v>
      </c>
      <c r="D1032" t="s">
        <v>6911</v>
      </c>
      <c r="E1032">
        <v>52.48</v>
      </c>
    </row>
    <row r="1033" spans="1:5">
      <c r="A1033" t="s">
        <v>40</v>
      </c>
      <c r="B1033" t="s">
        <v>476</v>
      </c>
      <c r="C1033" t="s">
        <v>460</v>
      </c>
      <c r="D1033" t="s">
        <v>6912</v>
      </c>
      <c r="E1033">
        <v>23.6</v>
      </c>
    </row>
    <row r="1034" spans="1:5">
      <c r="A1034" t="s">
        <v>40</v>
      </c>
      <c r="B1034" t="s">
        <v>476</v>
      </c>
      <c r="C1034" t="s">
        <v>460</v>
      </c>
      <c r="D1034" t="s">
        <v>447</v>
      </c>
      <c r="E1034">
        <v>3.22</v>
      </c>
    </row>
    <row r="1035" spans="1:5">
      <c r="A1035" t="s">
        <v>40</v>
      </c>
      <c r="B1035" t="s">
        <v>476</v>
      </c>
      <c r="C1035" t="s">
        <v>460</v>
      </c>
      <c r="D1035" t="s">
        <v>448</v>
      </c>
      <c r="E1035">
        <v>112.4</v>
      </c>
    </row>
    <row r="1036" spans="1:5">
      <c r="A1036" t="s">
        <v>40</v>
      </c>
      <c r="B1036" t="s">
        <v>476</v>
      </c>
      <c r="C1036" t="s">
        <v>448</v>
      </c>
      <c r="D1036" t="s">
        <v>437</v>
      </c>
      <c r="E1036">
        <v>559.09</v>
      </c>
    </row>
    <row r="1037" spans="1:5">
      <c r="A1037" t="s">
        <v>40</v>
      </c>
      <c r="B1037" t="s">
        <v>476</v>
      </c>
      <c r="C1037" t="s">
        <v>448</v>
      </c>
      <c r="D1037" t="s">
        <v>217</v>
      </c>
      <c r="E1037">
        <v>72.765000000000001</v>
      </c>
    </row>
    <row r="1038" spans="1:5">
      <c r="A1038" t="s">
        <v>40</v>
      </c>
      <c r="B1038" t="s">
        <v>476</v>
      </c>
      <c r="C1038" t="s">
        <v>448</v>
      </c>
      <c r="D1038" t="s">
        <v>313</v>
      </c>
      <c r="E1038">
        <v>356</v>
      </c>
    </row>
    <row r="1039" spans="1:5">
      <c r="A1039" t="s">
        <v>40</v>
      </c>
      <c r="B1039" t="s">
        <v>476</v>
      </c>
      <c r="C1039" t="s">
        <v>448</v>
      </c>
      <c r="D1039" t="s">
        <v>6911</v>
      </c>
      <c r="E1039">
        <v>765.22</v>
      </c>
    </row>
    <row r="1040" spans="1:5">
      <c r="A1040" t="s">
        <v>40</v>
      </c>
      <c r="B1040" t="s">
        <v>476</v>
      </c>
      <c r="C1040" t="s">
        <v>448</v>
      </c>
      <c r="D1040" t="s">
        <v>441</v>
      </c>
      <c r="E1040">
        <v>373.7</v>
      </c>
    </row>
    <row r="1041" spans="1:5">
      <c r="A1041" t="s">
        <v>40</v>
      </c>
      <c r="B1041" t="s">
        <v>476</v>
      </c>
      <c r="C1041" t="s">
        <v>448</v>
      </c>
      <c r="D1041" t="s">
        <v>6912</v>
      </c>
      <c r="E1041">
        <v>368.57</v>
      </c>
    </row>
    <row r="1042" spans="1:5">
      <c r="A1042" t="s">
        <v>40</v>
      </c>
      <c r="B1042" t="s">
        <v>476</v>
      </c>
      <c r="C1042" t="s">
        <v>448</v>
      </c>
      <c r="D1042" t="s">
        <v>443</v>
      </c>
      <c r="E1042">
        <v>315</v>
      </c>
    </row>
    <row r="1043" spans="1:5">
      <c r="A1043" t="s">
        <v>40</v>
      </c>
      <c r="B1043" t="s">
        <v>476</v>
      </c>
      <c r="C1043" t="s">
        <v>448</v>
      </c>
      <c r="D1043" t="s">
        <v>6915</v>
      </c>
      <c r="E1043">
        <v>493.7</v>
      </c>
    </row>
    <row r="1044" spans="1:5">
      <c r="A1044" t="s">
        <v>40</v>
      </c>
      <c r="B1044" t="s">
        <v>476</v>
      </c>
      <c r="C1044" t="s">
        <v>448</v>
      </c>
      <c r="D1044" t="s">
        <v>447</v>
      </c>
      <c r="E1044">
        <v>24.465</v>
      </c>
    </row>
    <row r="1045" spans="1:5">
      <c r="A1045" t="s">
        <v>40</v>
      </c>
      <c r="B1045" t="s">
        <v>476</v>
      </c>
      <c r="C1045" t="s">
        <v>448</v>
      </c>
      <c r="D1045" t="s">
        <v>448</v>
      </c>
      <c r="E1045">
        <v>3328.51</v>
      </c>
    </row>
    <row r="1046" spans="1:5">
      <c r="A1046" t="s">
        <v>40</v>
      </c>
      <c r="B1046" t="s">
        <v>477</v>
      </c>
      <c r="C1046" t="s">
        <v>6910</v>
      </c>
      <c r="D1046" t="s">
        <v>313</v>
      </c>
      <c r="E1046">
        <v>1.5</v>
      </c>
    </row>
    <row r="1047" spans="1:5">
      <c r="A1047" t="s">
        <v>40</v>
      </c>
      <c r="B1047" t="s">
        <v>477</v>
      </c>
      <c r="C1047" t="s">
        <v>6910</v>
      </c>
      <c r="D1047" t="s">
        <v>6911</v>
      </c>
      <c r="E1047">
        <v>35</v>
      </c>
    </row>
    <row r="1048" spans="1:5">
      <c r="A1048" t="s">
        <v>40</v>
      </c>
      <c r="B1048" t="s">
        <v>477</v>
      </c>
      <c r="C1048" t="s">
        <v>6910</v>
      </c>
      <c r="D1048" t="s">
        <v>441</v>
      </c>
      <c r="E1048">
        <v>285</v>
      </c>
    </row>
    <row r="1049" spans="1:5">
      <c r="A1049" t="s">
        <v>40</v>
      </c>
      <c r="B1049" t="s">
        <v>477</v>
      </c>
      <c r="C1049" t="s">
        <v>6910</v>
      </c>
      <c r="D1049" t="s">
        <v>6912</v>
      </c>
      <c r="E1049">
        <v>8</v>
      </c>
    </row>
    <row r="1050" spans="1:5">
      <c r="A1050" t="s">
        <v>40</v>
      </c>
      <c r="B1050" t="s">
        <v>477</v>
      </c>
      <c r="C1050" t="s">
        <v>6910</v>
      </c>
      <c r="D1050" t="s">
        <v>447</v>
      </c>
      <c r="E1050">
        <v>1.5</v>
      </c>
    </row>
    <row r="1051" spans="1:5">
      <c r="A1051" t="s">
        <v>40</v>
      </c>
      <c r="B1051" t="s">
        <v>477</v>
      </c>
      <c r="C1051" t="s">
        <v>6910</v>
      </c>
      <c r="D1051" t="s">
        <v>448</v>
      </c>
      <c r="E1051">
        <v>331</v>
      </c>
    </row>
    <row r="1052" spans="1:5">
      <c r="A1052" t="s">
        <v>40</v>
      </c>
      <c r="B1052" t="s">
        <v>477</v>
      </c>
      <c r="C1052" t="s">
        <v>6913</v>
      </c>
      <c r="D1052" t="s">
        <v>437</v>
      </c>
      <c r="E1052">
        <v>32.64</v>
      </c>
    </row>
    <row r="1053" spans="1:5">
      <c r="A1053" t="s">
        <v>40</v>
      </c>
      <c r="B1053" t="s">
        <v>477</v>
      </c>
      <c r="C1053" t="s">
        <v>6913</v>
      </c>
      <c r="D1053" t="s">
        <v>313</v>
      </c>
      <c r="E1053">
        <v>1.2</v>
      </c>
    </row>
    <row r="1054" spans="1:5">
      <c r="A1054" t="s">
        <v>40</v>
      </c>
      <c r="B1054" t="s">
        <v>477</v>
      </c>
      <c r="C1054" t="s">
        <v>6913</v>
      </c>
      <c r="D1054" t="s">
        <v>6911</v>
      </c>
      <c r="E1054">
        <v>1.1000000000000001</v>
      </c>
    </row>
    <row r="1055" spans="1:5">
      <c r="A1055" t="s">
        <v>40</v>
      </c>
      <c r="B1055" t="s">
        <v>477</v>
      </c>
      <c r="C1055" t="s">
        <v>6913</v>
      </c>
      <c r="D1055" t="s">
        <v>6915</v>
      </c>
      <c r="E1055">
        <v>239.7</v>
      </c>
    </row>
    <row r="1056" spans="1:5">
      <c r="A1056" t="s">
        <v>40</v>
      </c>
      <c r="B1056" t="s">
        <v>477</v>
      </c>
      <c r="C1056" t="s">
        <v>6913</v>
      </c>
      <c r="D1056" t="s">
        <v>447</v>
      </c>
      <c r="E1056">
        <v>10.26</v>
      </c>
    </row>
    <row r="1057" spans="1:5">
      <c r="A1057" t="s">
        <v>40</v>
      </c>
      <c r="B1057" t="s">
        <v>477</v>
      </c>
      <c r="C1057" t="s">
        <v>6913</v>
      </c>
      <c r="D1057" t="s">
        <v>448</v>
      </c>
      <c r="E1057">
        <v>284.89999999999998</v>
      </c>
    </row>
    <row r="1058" spans="1:5">
      <c r="A1058" t="s">
        <v>40</v>
      </c>
      <c r="B1058" t="s">
        <v>477</v>
      </c>
      <c r="C1058" t="s">
        <v>6914</v>
      </c>
      <c r="D1058" t="s">
        <v>437</v>
      </c>
      <c r="E1058">
        <v>20.07</v>
      </c>
    </row>
    <row r="1059" spans="1:5">
      <c r="A1059" t="s">
        <v>40</v>
      </c>
      <c r="B1059" t="s">
        <v>477</v>
      </c>
      <c r="C1059" t="s">
        <v>6914</v>
      </c>
      <c r="D1059" t="s">
        <v>217</v>
      </c>
      <c r="E1059">
        <v>13.4</v>
      </c>
    </row>
    <row r="1060" spans="1:5">
      <c r="A1060" t="s">
        <v>40</v>
      </c>
      <c r="B1060" t="s">
        <v>477</v>
      </c>
      <c r="C1060" t="s">
        <v>6914</v>
      </c>
      <c r="D1060" t="s">
        <v>313</v>
      </c>
      <c r="E1060">
        <v>43.1</v>
      </c>
    </row>
    <row r="1061" spans="1:5">
      <c r="A1061" t="s">
        <v>40</v>
      </c>
      <c r="B1061" t="s">
        <v>477</v>
      </c>
      <c r="C1061" t="s">
        <v>6914</v>
      </c>
      <c r="D1061" t="s">
        <v>6911</v>
      </c>
      <c r="E1061">
        <v>16.3</v>
      </c>
    </row>
    <row r="1062" spans="1:5">
      <c r="A1062" t="s">
        <v>40</v>
      </c>
      <c r="B1062" t="s">
        <v>477</v>
      </c>
      <c r="C1062" t="s">
        <v>6914</v>
      </c>
      <c r="D1062" t="s">
        <v>6912</v>
      </c>
      <c r="E1062">
        <v>0.6</v>
      </c>
    </row>
    <row r="1063" spans="1:5">
      <c r="A1063" t="s">
        <v>40</v>
      </c>
      <c r="B1063" t="s">
        <v>477</v>
      </c>
      <c r="C1063" t="s">
        <v>6914</v>
      </c>
      <c r="D1063" t="s">
        <v>6915</v>
      </c>
      <c r="E1063">
        <v>150.44999999999999</v>
      </c>
    </row>
    <row r="1064" spans="1:5">
      <c r="A1064" t="s">
        <v>40</v>
      </c>
      <c r="B1064" t="s">
        <v>477</v>
      </c>
      <c r="C1064" t="s">
        <v>6914</v>
      </c>
      <c r="D1064" t="s">
        <v>447</v>
      </c>
      <c r="E1064">
        <v>7.48</v>
      </c>
    </row>
    <row r="1065" spans="1:5">
      <c r="A1065" t="s">
        <v>40</v>
      </c>
      <c r="B1065" t="s">
        <v>477</v>
      </c>
      <c r="C1065" t="s">
        <v>6914</v>
      </c>
      <c r="D1065" t="s">
        <v>448</v>
      </c>
      <c r="E1065">
        <v>251.4</v>
      </c>
    </row>
    <row r="1066" spans="1:5">
      <c r="A1066" t="s">
        <v>40</v>
      </c>
      <c r="B1066" t="s">
        <v>477</v>
      </c>
      <c r="C1066" t="s">
        <v>467</v>
      </c>
      <c r="D1066" t="s">
        <v>313</v>
      </c>
      <c r="E1066">
        <v>36.9</v>
      </c>
    </row>
    <row r="1067" spans="1:5">
      <c r="A1067" t="s">
        <v>40</v>
      </c>
      <c r="B1067" t="s">
        <v>477</v>
      </c>
      <c r="C1067" t="s">
        <v>467</v>
      </c>
      <c r="D1067" t="s">
        <v>6911</v>
      </c>
      <c r="E1067">
        <v>175</v>
      </c>
    </row>
    <row r="1068" spans="1:5">
      <c r="A1068" t="s">
        <v>40</v>
      </c>
      <c r="B1068" t="s">
        <v>477</v>
      </c>
      <c r="C1068" t="s">
        <v>467</v>
      </c>
      <c r="D1068" t="s">
        <v>6912</v>
      </c>
      <c r="E1068">
        <v>20</v>
      </c>
    </row>
    <row r="1069" spans="1:5">
      <c r="A1069" t="s">
        <v>40</v>
      </c>
      <c r="B1069" t="s">
        <v>477</v>
      </c>
      <c r="C1069" t="s">
        <v>467</v>
      </c>
      <c r="D1069" t="s">
        <v>443</v>
      </c>
      <c r="E1069">
        <v>170</v>
      </c>
    </row>
    <row r="1070" spans="1:5">
      <c r="A1070" t="s">
        <v>40</v>
      </c>
      <c r="B1070" t="s">
        <v>477</v>
      </c>
      <c r="C1070" t="s">
        <v>467</v>
      </c>
      <c r="D1070" t="s">
        <v>6915</v>
      </c>
      <c r="E1070">
        <v>9</v>
      </c>
    </row>
    <row r="1071" spans="1:5">
      <c r="A1071" t="s">
        <v>40</v>
      </c>
      <c r="B1071" t="s">
        <v>477</v>
      </c>
      <c r="C1071" t="s">
        <v>467</v>
      </c>
      <c r="D1071" t="s">
        <v>447</v>
      </c>
      <c r="E1071">
        <v>3.5</v>
      </c>
    </row>
    <row r="1072" spans="1:5">
      <c r="A1072" t="s">
        <v>40</v>
      </c>
      <c r="B1072" t="s">
        <v>477</v>
      </c>
      <c r="C1072" t="s">
        <v>467</v>
      </c>
      <c r="D1072" t="s">
        <v>448</v>
      </c>
      <c r="E1072">
        <v>414.4</v>
      </c>
    </row>
    <row r="1073" spans="1:5">
      <c r="A1073" t="s">
        <v>40</v>
      </c>
      <c r="B1073" t="s">
        <v>477</v>
      </c>
      <c r="C1073" t="s">
        <v>65</v>
      </c>
      <c r="D1073" t="s">
        <v>437</v>
      </c>
      <c r="E1073">
        <v>2.69</v>
      </c>
    </row>
    <row r="1074" spans="1:5">
      <c r="A1074" t="s">
        <v>40</v>
      </c>
      <c r="B1074" t="s">
        <v>477</v>
      </c>
      <c r="C1074" t="s">
        <v>65</v>
      </c>
      <c r="D1074" t="s">
        <v>217</v>
      </c>
      <c r="E1074">
        <v>0.7</v>
      </c>
    </row>
    <row r="1075" spans="1:5">
      <c r="A1075" t="s">
        <v>40</v>
      </c>
      <c r="B1075" t="s">
        <v>477</v>
      </c>
      <c r="C1075" t="s">
        <v>65</v>
      </c>
      <c r="D1075" t="s">
        <v>313</v>
      </c>
      <c r="E1075">
        <v>0.7</v>
      </c>
    </row>
    <row r="1076" spans="1:5">
      <c r="A1076" t="s">
        <v>40</v>
      </c>
      <c r="B1076" t="s">
        <v>477</v>
      </c>
      <c r="C1076" t="s">
        <v>65</v>
      </c>
      <c r="D1076" t="s">
        <v>6911</v>
      </c>
      <c r="E1076">
        <v>15.2</v>
      </c>
    </row>
    <row r="1077" spans="1:5">
      <c r="A1077" t="s">
        <v>40</v>
      </c>
      <c r="B1077" t="s">
        <v>477</v>
      </c>
      <c r="C1077" t="s">
        <v>65</v>
      </c>
      <c r="D1077" t="s">
        <v>6912</v>
      </c>
      <c r="E1077">
        <v>2.5</v>
      </c>
    </row>
    <row r="1078" spans="1:5">
      <c r="A1078" t="s">
        <v>40</v>
      </c>
      <c r="B1078" t="s">
        <v>477</v>
      </c>
      <c r="C1078" t="s">
        <v>65</v>
      </c>
      <c r="D1078" t="s">
        <v>447</v>
      </c>
      <c r="E1078">
        <v>0.7</v>
      </c>
    </row>
    <row r="1079" spans="1:5">
      <c r="A1079" t="s">
        <v>40</v>
      </c>
      <c r="B1079" t="s">
        <v>477</v>
      </c>
      <c r="C1079" t="s">
        <v>65</v>
      </c>
      <c r="D1079" t="s">
        <v>448</v>
      </c>
      <c r="E1079">
        <v>22.49</v>
      </c>
    </row>
    <row r="1080" spans="1:5">
      <c r="A1080" t="s">
        <v>40</v>
      </c>
      <c r="B1080" t="s">
        <v>477</v>
      </c>
      <c r="C1080" t="s">
        <v>455</v>
      </c>
      <c r="D1080" t="s">
        <v>217</v>
      </c>
      <c r="E1080">
        <v>0.4</v>
      </c>
    </row>
    <row r="1081" spans="1:5">
      <c r="A1081" t="s">
        <v>40</v>
      </c>
      <c r="B1081" t="s">
        <v>477</v>
      </c>
      <c r="C1081" t="s">
        <v>455</v>
      </c>
      <c r="D1081" t="s">
        <v>313</v>
      </c>
      <c r="E1081">
        <v>91.87</v>
      </c>
    </row>
    <row r="1082" spans="1:5">
      <c r="A1082" t="s">
        <v>40</v>
      </c>
      <c r="B1082" t="s">
        <v>477</v>
      </c>
      <c r="C1082" t="s">
        <v>455</v>
      </c>
      <c r="D1082" t="s">
        <v>6912</v>
      </c>
      <c r="E1082">
        <v>11.6</v>
      </c>
    </row>
    <row r="1083" spans="1:5">
      <c r="A1083" t="s">
        <v>40</v>
      </c>
      <c r="B1083" t="s">
        <v>477</v>
      </c>
      <c r="C1083" t="s">
        <v>455</v>
      </c>
      <c r="D1083" t="s">
        <v>447</v>
      </c>
      <c r="E1083">
        <v>6.5</v>
      </c>
    </row>
    <row r="1084" spans="1:5">
      <c r="A1084" t="s">
        <v>40</v>
      </c>
      <c r="B1084" t="s">
        <v>477</v>
      </c>
      <c r="C1084" t="s">
        <v>455</v>
      </c>
      <c r="D1084" t="s">
        <v>448</v>
      </c>
      <c r="E1084">
        <v>110.37</v>
      </c>
    </row>
    <row r="1085" spans="1:5">
      <c r="A1085" t="s">
        <v>40</v>
      </c>
      <c r="B1085" t="s">
        <v>477</v>
      </c>
      <c r="C1085" t="s">
        <v>6916</v>
      </c>
      <c r="D1085" t="s">
        <v>437</v>
      </c>
      <c r="E1085">
        <v>22.7</v>
      </c>
    </row>
    <row r="1086" spans="1:5">
      <c r="A1086" t="s">
        <v>40</v>
      </c>
      <c r="B1086" t="s">
        <v>477</v>
      </c>
      <c r="C1086" t="s">
        <v>6916</v>
      </c>
      <c r="D1086" t="s">
        <v>217</v>
      </c>
      <c r="E1086">
        <v>22.6</v>
      </c>
    </row>
    <row r="1087" spans="1:5">
      <c r="A1087" t="s">
        <v>40</v>
      </c>
      <c r="B1087" t="s">
        <v>477</v>
      </c>
      <c r="C1087" t="s">
        <v>6916</v>
      </c>
      <c r="D1087" t="s">
        <v>313</v>
      </c>
      <c r="E1087">
        <v>8.6</v>
      </c>
    </row>
    <row r="1088" spans="1:5">
      <c r="A1088" t="s">
        <v>40</v>
      </c>
      <c r="B1088" t="s">
        <v>477</v>
      </c>
      <c r="C1088" t="s">
        <v>6916</v>
      </c>
      <c r="D1088" t="s">
        <v>448</v>
      </c>
      <c r="E1088">
        <v>53.9</v>
      </c>
    </row>
    <row r="1089" spans="1:5">
      <c r="A1089" t="s">
        <v>40</v>
      </c>
      <c r="B1089" t="s">
        <v>477</v>
      </c>
      <c r="C1089" t="s">
        <v>457</v>
      </c>
      <c r="D1089" t="s">
        <v>437</v>
      </c>
      <c r="E1089">
        <v>63</v>
      </c>
    </row>
    <row r="1090" spans="1:5">
      <c r="A1090" t="s">
        <v>40</v>
      </c>
      <c r="B1090" t="s">
        <v>477</v>
      </c>
      <c r="C1090" t="s">
        <v>457</v>
      </c>
      <c r="D1090" t="s">
        <v>6911</v>
      </c>
      <c r="E1090">
        <v>66.099999999999994</v>
      </c>
    </row>
    <row r="1091" spans="1:5">
      <c r="A1091" t="s">
        <v>40</v>
      </c>
      <c r="B1091" t="s">
        <v>477</v>
      </c>
      <c r="C1091" t="s">
        <v>457</v>
      </c>
      <c r="D1091" t="s">
        <v>448</v>
      </c>
      <c r="E1091">
        <v>129.1</v>
      </c>
    </row>
    <row r="1092" spans="1:5">
      <c r="A1092" t="s">
        <v>40</v>
      </c>
      <c r="B1092" t="s">
        <v>477</v>
      </c>
      <c r="C1092" t="s">
        <v>497</v>
      </c>
      <c r="D1092" t="s">
        <v>313</v>
      </c>
      <c r="E1092">
        <v>1.8</v>
      </c>
    </row>
    <row r="1093" spans="1:5">
      <c r="A1093" t="s">
        <v>40</v>
      </c>
      <c r="B1093" t="s">
        <v>477</v>
      </c>
      <c r="C1093" t="s">
        <v>497</v>
      </c>
      <c r="D1093" t="s">
        <v>6912</v>
      </c>
      <c r="E1093">
        <v>300</v>
      </c>
    </row>
    <row r="1094" spans="1:5">
      <c r="A1094" t="s">
        <v>40</v>
      </c>
      <c r="B1094" t="s">
        <v>477</v>
      </c>
      <c r="C1094" t="s">
        <v>497</v>
      </c>
      <c r="D1094" t="s">
        <v>448</v>
      </c>
      <c r="E1094">
        <v>301.8</v>
      </c>
    </row>
    <row r="1095" spans="1:5">
      <c r="A1095" t="s">
        <v>40</v>
      </c>
      <c r="B1095" t="s">
        <v>477</v>
      </c>
      <c r="C1095" t="s">
        <v>6917</v>
      </c>
      <c r="D1095" t="s">
        <v>437</v>
      </c>
      <c r="E1095">
        <v>54.2</v>
      </c>
    </row>
    <row r="1096" spans="1:5">
      <c r="A1096" t="s">
        <v>40</v>
      </c>
      <c r="B1096" t="s">
        <v>477</v>
      </c>
      <c r="C1096" t="s">
        <v>6917</v>
      </c>
      <c r="D1096" t="s">
        <v>217</v>
      </c>
      <c r="E1096">
        <v>1.8</v>
      </c>
    </row>
    <row r="1097" spans="1:5">
      <c r="A1097" t="s">
        <v>40</v>
      </c>
      <c r="B1097" t="s">
        <v>477</v>
      </c>
      <c r="C1097" t="s">
        <v>6917</v>
      </c>
      <c r="D1097" t="s">
        <v>313</v>
      </c>
      <c r="E1097">
        <v>51</v>
      </c>
    </row>
    <row r="1098" spans="1:5">
      <c r="A1098" t="s">
        <v>40</v>
      </c>
      <c r="B1098" t="s">
        <v>477</v>
      </c>
      <c r="C1098" t="s">
        <v>6917</v>
      </c>
      <c r="D1098" t="s">
        <v>6911</v>
      </c>
      <c r="E1098">
        <v>23.3</v>
      </c>
    </row>
    <row r="1099" spans="1:5">
      <c r="A1099" t="s">
        <v>40</v>
      </c>
      <c r="B1099" t="s">
        <v>477</v>
      </c>
      <c r="C1099" t="s">
        <v>6917</v>
      </c>
      <c r="D1099" t="s">
        <v>6912</v>
      </c>
      <c r="E1099">
        <v>16.3</v>
      </c>
    </row>
    <row r="1100" spans="1:5">
      <c r="A1100" t="s">
        <v>40</v>
      </c>
      <c r="B1100" t="s">
        <v>477</v>
      </c>
      <c r="C1100" t="s">
        <v>6917</v>
      </c>
      <c r="D1100" t="s">
        <v>447</v>
      </c>
      <c r="E1100">
        <v>1</v>
      </c>
    </row>
    <row r="1101" spans="1:5">
      <c r="A1101" t="s">
        <v>40</v>
      </c>
      <c r="B1101" t="s">
        <v>477</v>
      </c>
      <c r="C1101" t="s">
        <v>6917</v>
      </c>
      <c r="D1101" t="s">
        <v>448</v>
      </c>
      <c r="E1101">
        <v>147.6</v>
      </c>
    </row>
    <row r="1102" spans="1:5">
      <c r="A1102" t="s">
        <v>40</v>
      </c>
      <c r="B1102" t="s">
        <v>477</v>
      </c>
      <c r="C1102" t="s">
        <v>382</v>
      </c>
      <c r="D1102" t="s">
        <v>6911</v>
      </c>
      <c r="E1102">
        <v>11.2</v>
      </c>
    </row>
    <row r="1103" spans="1:5">
      <c r="A1103" t="s">
        <v>40</v>
      </c>
      <c r="B1103" t="s">
        <v>477</v>
      </c>
      <c r="C1103" t="s">
        <v>382</v>
      </c>
      <c r="D1103" t="s">
        <v>447</v>
      </c>
      <c r="E1103">
        <v>2.6</v>
      </c>
    </row>
    <row r="1104" spans="1:5">
      <c r="A1104" t="s">
        <v>40</v>
      </c>
      <c r="B1104" t="s">
        <v>477</v>
      </c>
      <c r="C1104" t="s">
        <v>382</v>
      </c>
      <c r="D1104" t="s">
        <v>448</v>
      </c>
      <c r="E1104">
        <v>13.8</v>
      </c>
    </row>
    <row r="1105" spans="1:5">
      <c r="A1105" t="s">
        <v>40</v>
      </c>
      <c r="B1105" t="s">
        <v>477</v>
      </c>
      <c r="C1105" t="s">
        <v>460</v>
      </c>
      <c r="D1105" t="s">
        <v>437</v>
      </c>
      <c r="E1105">
        <v>1.8</v>
      </c>
    </row>
    <row r="1106" spans="1:5">
      <c r="A1106" t="s">
        <v>40</v>
      </c>
      <c r="B1106" t="s">
        <v>477</v>
      </c>
      <c r="C1106" t="s">
        <v>460</v>
      </c>
      <c r="D1106" t="s">
        <v>313</v>
      </c>
      <c r="E1106">
        <v>56.9</v>
      </c>
    </row>
    <row r="1107" spans="1:5">
      <c r="A1107" t="s">
        <v>40</v>
      </c>
      <c r="B1107" t="s">
        <v>477</v>
      </c>
      <c r="C1107" t="s">
        <v>460</v>
      </c>
      <c r="D1107" t="s">
        <v>6911</v>
      </c>
      <c r="E1107">
        <v>169.7</v>
      </c>
    </row>
    <row r="1108" spans="1:5">
      <c r="A1108" t="s">
        <v>40</v>
      </c>
      <c r="B1108" t="s">
        <v>477</v>
      </c>
      <c r="C1108" t="s">
        <v>460</v>
      </c>
      <c r="D1108" t="s">
        <v>6912</v>
      </c>
      <c r="E1108">
        <v>17.899999999999999</v>
      </c>
    </row>
    <row r="1109" spans="1:5">
      <c r="A1109" t="s">
        <v>40</v>
      </c>
      <c r="B1109" t="s">
        <v>477</v>
      </c>
      <c r="C1109" t="s">
        <v>460</v>
      </c>
      <c r="D1109" t="s">
        <v>447</v>
      </c>
      <c r="E1109">
        <v>22.8</v>
      </c>
    </row>
    <row r="1110" spans="1:5">
      <c r="A1110" t="s">
        <v>40</v>
      </c>
      <c r="B1110" t="s">
        <v>477</v>
      </c>
      <c r="C1110" t="s">
        <v>460</v>
      </c>
      <c r="D1110" t="s">
        <v>448</v>
      </c>
      <c r="E1110">
        <v>269.10000000000002</v>
      </c>
    </row>
    <row r="1111" spans="1:5">
      <c r="A1111" t="s">
        <v>40</v>
      </c>
      <c r="B1111" t="s">
        <v>477</v>
      </c>
      <c r="C1111" t="s">
        <v>448</v>
      </c>
      <c r="D1111" t="s">
        <v>437</v>
      </c>
      <c r="E1111">
        <v>197.1</v>
      </c>
    </row>
    <row r="1112" spans="1:5">
      <c r="A1112" t="s">
        <v>40</v>
      </c>
      <c r="B1112" t="s">
        <v>477</v>
      </c>
      <c r="C1112" t="s">
        <v>448</v>
      </c>
      <c r="D1112" t="s">
        <v>217</v>
      </c>
      <c r="E1112">
        <v>38.9</v>
      </c>
    </row>
    <row r="1113" spans="1:5">
      <c r="A1113" t="s">
        <v>40</v>
      </c>
      <c r="B1113" t="s">
        <v>477</v>
      </c>
      <c r="C1113" t="s">
        <v>448</v>
      </c>
      <c r="D1113" t="s">
        <v>313</v>
      </c>
      <c r="E1113">
        <v>293.57</v>
      </c>
    </row>
    <row r="1114" spans="1:5">
      <c r="A1114" t="s">
        <v>40</v>
      </c>
      <c r="B1114" t="s">
        <v>477</v>
      </c>
      <c r="C1114" t="s">
        <v>448</v>
      </c>
      <c r="D1114" t="s">
        <v>6911</v>
      </c>
      <c r="E1114">
        <v>512.9</v>
      </c>
    </row>
    <row r="1115" spans="1:5">
      <c r="A1115" t="s">
        <v>40</v>
      </c>
      <c r="B1115" t="s">
        <v>477</v>
      </c>
      <c r="C1115" t="s">
        <v>448</v>
      </c>
      <c r="D1115" t="s">
        <v>441</v>
      </c>
      <c r="E1115">
        <v>285</v>
      </c>
    </row>
    <row r="1116" spans="1:5">
      <c r="A1116" t="s">
        <v>40</v>
      </c>
      <c r="B1116" t="s">
        <v>477</v>
      </c>
      <c r="C1116" t="s">
        <v>448</v>
      </c>
      <c r="D1116" t="s">
        <v>6912</v>
      </c>
      <c r="E1116">
        <v>376.9</v>
      </c>
    </row>
    <row r="1117" spans="1:5">
      <c r="A1117" t="s">
        <v>40</v>
      </c>
      <c r="B1117" t="s">
        <v>477</v>
      </c>
      <c r="C1117" t="s">
        <v>448</v>
      </c>
      <c r="D1117" t="s">
        <v>443</v>
      </c>
      <c r="E1117">
        <v>170</v>
      </c>
    </row>
    <row r="1118" spans="1:5">
      <c r="A1118" t="s">
        <v>40</v>
      </c>
      <c r="B1118" t="s">
        <v>477</v>
      </c>
      <c r="C1118" t="s">
        <v>448</v>
      </c>
      <c r="D1118" t="s">
        <v>6915</v>
      </c>
      <c r="E1118">
        <v>399.15</v>
      </c>
    </row>
    <row r="1119" spans="1:5">
      <c r="A1119" t="s">
        <v>40</v>
      </c>
      <c r="B1119" t="s">
        <v>477</v>
      </c>
      <c r="C1119" t="s">
        <v>448</v>
      </c>
      <c r="D1119" t="s">
        <v>447</v>
      </c>
      <c r="E1119">
        <v>56.34</v>
      </c>
    </row>
    <row r="1120" spans="1:5">
      <c r="A1120" t="s">
        <v>40</v>
      </c>
      <c r="B1120" t="s">
        <v>477</v>
      </c>
      <c r="C1120" t="s">
        <v>448</v>
      </c>
      <c r="D1120" t="s">
        <v>448</v>
      </c>
      <c r="E1120">
        <v>2329.86</v>
      </c>
    </row>
    <row r="1121" spans="1:5">
      <c r="A1121" t="s">
        <v>40</v>
      </c>
      <c r="B1121" t="s">
        <v>7651</v>
      </c>
      <c r="C1121" t="s">
        <v>6910</v>
      </c>
      <c r="D1121" t="s">
        <v>313</v>
      </c>
      <c r="E1121">
        <v>1.3</v>
      </c>
    </row>
    <row r="1122" spans="1:5">
      <c r="A1122" t="s">
        <v>40</v>
      </c>
      <c r="B1122" t="s">
        <v>7651</v>
      </c>
      <c r="C1122" t="s">
        <v>6910</v>
      </c>
      <c r="D1122" t="s">
        <v>6911</v>
      </c>
      <c r="E1122">
        <v>0.3</v>
      </c>
    </row>
    <row r="1123" spans="1:5">
      <c r="A1123" t="s">
        <v>40</v>
      </c>
      <c r="B1123" t="s">
        <v>7651</v>
      </c>
      <c r="C1123" t="s">
        <v>6910</v>
      </c>
      <c r="D1123" t="s">
        <v>441</v>
      </c>
      <c r="E1123">
        <v>460</v>
      </c>
    </row>
    <row r="1124" spans="1:5">
      <c r="A1124" t="s">
        <v>40</v>
      </c>
      <c r="B1124" t="s">
        <v>7651</v>
      </c>
      <c r="C1124" t="s">
        <v>6910</v>
      </c>
      <c r="D1124" t="s">
        <v>447</v>
      </c>
      <c r="E1124">
        <v>4.7</v>
      </c>
    </row>
    <row r="1125" spans="1:5">
      <c r="A1125" t="s">
        <v>40</v>
      </c>
      <c r="B1125" t="s">
        <v>479</v>
      </c>
      <c r="C1125" t="s">
        <v>6910</v>
      </c>
      <c r="D1125" t="s">
        <v>448</v>
      </c>
      <c r="E1125">
        <v>466.3</v>
      </c>
    </row>
    <row r="1126" spans="1:5">
      <c r="A1126" t="s">
        <v>40</v>
      </c>
      <c r="B1126" t="s">
        <v>7651</v>
      </c>
      <c r="C1126" t="s">
        <v>6913</v>
      </c>
      <c r="D1126" t="s">
        <v>437</v>
      </c>
      <c r="E1126">
        <v>198</v>
      </c>
    </row>
    <row r="1127" spans="1:5">
      <c r="A1127" t="s">
        <v>40</v>
      </c>
      <c r="B1127" t="s">
        <v>7651</v>
      </c>
      <c r="C1127" t="s">
        <v>6913</v>
      </c>
      <c r="D1127" t="s">
        <v>313</v>
      </c>
      <c r="E1127">
        <v>1.3</v>
      </c>
    </row>
    <row r="1128" spans="1:5">
      <c r="A1128" t="s">
        <v>40</v>
      </c>
      <c r="B1128" t="s">
        <v>479</v>
      </c>
      <c r="C1128" t="s">
        <v>6913</v>
      </c>
      <c r="D1128" t="s">
        <v>448</v>
      </c>
      <c r="E1128">
        <v>199.3</v>
      </c>
    </row>
    <row r="1129" spans="1:5">
      <c r="A1129" t="s">
        <v>40</v>
      </c>
      <c r="B1129" t="s">
        <v>7651</v>
      </c>
      <c r="C1129" t="s">
        <v>6914</v>
      </c>
      <c r="D1129" t="s">
        <v>437</v>
      </c>
      <c r="E1129">
        <v>288</v>
      </c>
    </row>
    <row r="1130" spans="1:5">
      <c r="A1130" t="s">
        <v>40</v>
      </c>
      <c r="B1130" t="s">
        <v>7651</v>
      </c>
      <c r="C1130" t="s">
        <v>6914</v>
      </c>
      <c r="D1130" t="s">
        <v>313</v>
      </c>
      <c r="E1130">
        <v>24.8</v>
      </c>
    </row>
    <row r="1131" spans="1:5">
      <c r="A1131" t="s">
        <v>40</v>
      </c>
      <c r="B1131" t="s">
        <v>7651</v>
      </c>
      <c r="C1131" t="s">
        <v>6914</v>
      </c>
      <c r="D1131" t="s">
        <v>447</v>
      </c>
      <c r="E1131">
        <v>4.4000000000000004</v>
      </c>
    </row>
    <row r="1132" spans="1:5">
      <c r="A1132" t="s">
        <v>40</v>
      </c>
      <c r="B1132" t="s">
        <v>479</v>
      </c>
      <c r="C1132" t="s">
        <v>6914</v>
      </c>
      <c r="D1132" t="s">
        <v>448</v>
      </c>
      <c r="E1132">
        <v>317.2</v>
      </c>
    </row>
    <row r="1133" spans="1:5">
      <c r="A1133" t="s">
        <v>40</v>
      </c>
      <c r="B1133" t="s">
        <v>7651</v>
      </c>
      <c r="C1133" t="s">
        <v>467</v>
      </c>
      <c r="D1133" t="s">
        <v>437</v>
      </c>
      <c r="E1133">
        <v>86.3</v>
      </c>
    </row>
    <row r="1134" spans="1:5">
      <c r="A1134" t="s">
        <v>40</v>
      </c>
      <c r="B1134" t="s">
        <v>7651</v>
      </c>
      <c r="C1134" t="s">
        <v>467</v>
      </c>
      <c r="D1134" t="s">
        <v>217</v>
      </c>
      <c r="E1134">
        <v>0.3</v>
      </c>
    </row>
    <row r="1135" spans="1:5">
      <c r="A1135" t="s">
        <v>40</v>
      </c>
      <c r="B1135" t="s">
        <v>7651</v>
      </c>
      <c r="C1135" t="s">
        <v>467</v>
      </c>
      <c r="D1135" t="s">
        <v>313</v>
      </c>
      <c r="E1135">
        <v>2.2000000000000002</v>
      </c>
    </row>
    <row r="1136" spans="1:5">
      <c r="A1136" t="s">
        <v>40</v>
      </c>
      <c r="B1136" t="s">
        <v>7651</v>
      </c>
      <c r="C1136" t="s">
        <v>467</v>
      </c>
      <c r="D1136" t="s">
        <v>6911</v>
      </c>
      <c r="E1136">
        <v>145.1</v>
      </c>
    </row>
    <row r="1137" spans="1:5">
      <c r="A1137" t="s">
        <v>40</v>
      </c>
      <c r="B1137" t="s">
        <v>7651</v>
      </c>
      <c r="C1137" t="s">
        <v>467</v>
      </c>
      <c r="D1137" t="s">
        <v>443</v>
      </c>
      <c r="E1137">
        <v>219</v>
      </c>
    </row>
    <row r="1138" spans="1:5">
      <c r="A1138" t="s">
        <v>40</v>
      </c>
      <c r="B1138" t="s">
        <v>7651</v>
      </c>
      <c r="C1138" t="s">
        <v>467</v>
      </c>
      <c r="D1138" t="s">
        <v>447</v>
      </c>
      <c r="E1138">
        <v>13.1</v>
      </c>
    </row>
    <row r="1139" spans="1:5">
      <c r="A1139" t="s">
        <v>40</v>
      </c>
      <c r="B1139" t="s">
        <v>479</v>
      </c>
      <c r="C1139" t="s">
        <v>467</v>
      </c>
      <c r="D1139" t="s">
        <v>448</v>
      </c>
      <c r="E1139">
        <v>466</v>
      </c>
    </row>
    <row r="1140" spans="1:5">
      <c r="A1140" t="s">
        <v>40</v>
      </c>
      <c r="B1140" t="s">
        <v>7651</v>
      </c>
      <c r="C1140" t="s">
        <v>65</v>
      </c>
      <c r="D1140" t="s">
        <v>437</v>
      </c>
      <c r="E1140">
        <v>12.4</v>
      </c>
    </row>
    <row r="1141" spans="1:5">
      <c r="A1141" t="s">
        <v>40</v>
      </c>
      <c r="B1141" t="s">
        <v>7651</v>
      </c>
      <c r="C1141" t="s">
        <v>65</v>
      </c>
      <c r="D1141" t="s">
        <v>217</v>
      </c>
      <c r="E1141">
        <v>0.8</v>
      </c>
    </row>
    <row r="1142" spans="1:5">
      <c r="A1142" t="s">
        <v>40</v>
      </c>
      <c r="B1142" t="s">
        <v>7651</v>
      </c>
      <c r="C1142" t="s">
        <v>65</v>
      </c>
      <c r="D1142" t="s">
        <v>313</v>
      </c>
      <c r="E1142">
        <v>4.2</v>
      </c>
    </row>
    <row r="1143" spans="1:5">
      <c r="A1143" t="s">
        <v>40</v>
      </c>
      <c r="B1143" t="s">
        <v>7651</v>
      </c>
      <c r="C1143" t="s">
        <v>65</v>
      </c>
      <c r="D1143" t="s">
        <v>6911</v>
      </c>
      <c r="E1143">
        <v>5.2</v>
      </c>
    </row>
    <row r="1144" spans="1:5">
      <c r="A1144" t="s">
        <v>40</v>
      </c>
      <c r="B1144" t="s">
        <v>7651</v>
      </c>
      <c r="C1144" t="s">
        <v>65</v>
      </c>
      <c r="D1144" t="s">
        <v>6912</v>
      </c>
      <c r="E1144">
        <v>2.4</v>
      </c>
    </row>
    <row r="1145" spans="1:5">
      <c r="A1145" t="s">
        <v>40</v>
      </c>
      <c r="B1145" t="s">
        <v>7651</v>
      </c>
      <c r="C1145" t="s">
        <v>65</v>
      </c>
      <c r="D1145" t="s">
        <v>6915</v>
      </c>
      <c r="E1145">
        <v>9</v>
      </c>
    </row>
    <row r="1146" spans="1:5">
      <c r="A1146" t="s">
        <v>40</v>
      </c>
      <c r="B1146" t="s">
        <v>479</v>
      </c>
      <c r="C1146" t="s">
        <v>65</v>
      </c>
      <c r="D1146" t="s">
        <v>448</v>
      </c>
      <c r="E1146">
        <v>34</v>
      </c>
    </row>
    <row r="1147" spans="1:5">
      <c r="A1147" t="s">
        <v>40</v>
      </c>
      <c r="B1147" t="s">
        <v>7651</v>
      </c>
      <c r="C1147" t="s">
        <v>455</v>
      </c>
      <c r="D1147" t="s">
        <v>437</v>
      </c>
      <c r="E1147">
        <v>3.5</v>
      </c>
    </row>
    <row r="1148" spans="1:5">
      <c r="A1148" t="s">
        <v>40</v>
      </c>
      <c r="B1148" t="s">
        <v>7651</v>
      </c>
      <c r="C1148" t="s">
        <v>455</v>
      </c>
      <c r="D1148" t="s">
        <v>217</v>
      </c>
      <c r="E1148">
        <v>0.7</v>
      </c>
    </row>
    <row r="1149" spans="1:5">
      <c r="A1149" t="s">
        <v>40</v>
      </c>
      <c r="B1149" t="s">
        <v>7651</v>
      </c>
      <c r="C1149" t="s">
        <v>455</v>
      </c>
      <c r="D1149" t="s">
        <v>313</v>
      </c>
      <c r="E1149">
        <v>61.1</v>
      </c>
    </row>
    <row r="1150" spans="1:5">
      <c r="A1150" t="s">
        <v>40</v>
      </c>
      <c r="B1150" t="s">
        <v>7651</v>
      </c>
      <c r="C1150" t="s">
        <v>455</v>
      </c>
      <c r="D1150" t="s">
        <v>6911</v>
      </c>
      <c r="E1150">
        <v>29.5</v>
      </c>
    </row>
    <row r="1151" spans="1:5">
      <c r="A1151" t="s">
        <v>40</v>
      </c>
      <c r="B1151" t="s">
        <v>7651</v>
      </c>
      <c r="C1151" t="s">
        <v>455</v>
      </c>
      <c r="D1151" t="s">
        <v>6912</v>
      </c>
      <c r="E1151">
        <v>11.4</v>
      </c>
    </row>
    <row r="1152" spans="1:5">
      <c r="A1152" t="s">
        <v>40</v>
      </c>
      <c r="B1152" t="s">
        <v>7651</v>
      </c>
      <c r="C1152" t="s">
        <v>455</v>
      </c>
      <c r="D1152" t="s">
        <v>447</v>
      </c>
      <c r="E1152">
        <v>6.6</v>
      </c>
    </row>
    <row r="1153" spans="1:5">
      <c r="A1153" t="s">
        <v>40</v>
      </c>
      <c r="B1153" t="s">
        <v>479</v>
      </c>
      <c r="C1153" t="s">
        <v>455</v>
      </c>
      <c r="D1153" t="s">
        <v>448</v>
      </c>
      <c r="E1153">
        <v>112.8</v>
      </c>
    </row>
    <row r="1154" spans="1:5">
      <c r="A1154" t="s">
        <v>40</v>
      </c>
      <c r="B1154" t="s">
        <v>7651</v>
      </c>
      <c r="C1154" t="s">
        <v>6916</v>
      </c>
      <c r="D1154" t="s">
        <v>437</v>
      </c>
      <c r="E1154">
        <v>12</v>
      </c>
    </row>
    <row r="1155" spans="1:5">
      <c r="A1155" t="s">
        <v>40</v>
      </c>
      <c r="B1155" t="s">
        <v>7651</v>
      </c>
      <c r="C1155" t="s">
        <v>6916</v>
      </c>
      <c r="D1155" t="s">
        <v>217</v>
      </c>
      <c r="E1155">
        <v>29</v>
      </c>
    </row>
    <row r="1156" spans="1:5">
      <c r="A1156" t="s">
        <v>40</v>
      </c>
      <c r="B1156" t="s">
        <v>7651</v>
      </c>
      <c r="C1156" t="s">
        <v>6916</v>
      </c>
      <c r="D1156" t="s">
        <v>313</v>
      </c>
      <c r="E1156">
        <v>2.5</v>
      </c>
    </row>
    <row r="1157" spans="1:5">
      <c r="A1157" t="s">
        <v>40</v>
      </c>
      <c r="B1157" t="s">
        <v>479</v>
      </c>
      <c r="C1157" t="s">
        <v>6916</v>
      </c>
      <c r="D1157" t="s">
        <v>448</v>
      </c>
      <c r="E1157">
        <v>43.5</v>
      </c>
    </row>
    <row r="1158" spans="1:5">
      <c r="A1158" t="s">
        <v>40</v>
      </c>
      <c r="B1158" t="s">
        <v>7651</v>
      </c>
      <c r="C1158" t="s">
        <v>457</v>
      </c>
      <c r="D1158" t="s">
        <v>437</v>
      </c>
      <c r="E1158">
        <v>36</v>
      </c>
    </row>
    <row r="1159" spans="1:5">
      <c r="A1159" t="s">
        <v>40</v>
      </c>
      <c r="B1159" t="s">
        <v>7651</v>
      </c>
      <c r="C1159" t="s">
        <v>457</v>
      </c>
      <c r="D1159" t="s">
        <v>313</v>
      </c>
      <c r="E1159">
        <v>1</v>
      </c>
    </row>
    <row r="1160" spans="1:5">
      <c r="A1160" t="s">
        <v>40</v>
      </c>
      <c r="B1160" t="s">
        <v>7651</v>
      </c>
      <c r="C1160" t="s">
        <v>457</v>
      </c>
      <c r="D1160" t="s">
        <v>6911</v>
      </c>
      <c r="E1160">
        <v>56</v>
      </c>
    </row>
    <row r="1161" spans="1:5">
      <c r="A1161" t="s">
        <v>40</v>
      </c>
      <c r="B1161" t="s">
        <v>479</v>
      </c>
      <c r="C1161" t="s">
        <v>457</v>
      </c>
      <c r="D1161" t="s">
        <v>448</v>
      </c>
      <c r="E1161">
        <v>93</v>
      </c>
    </row>
    <row r="1162" spans="1:5">
      <c r="A1162" t="s">
        <v>40</v>
      </c>
      <c r="B1162" t="s">
        <v>7651</v>
      </c>
      <c r="C1162" t="s">
        <v>497</v>
      </c>
      <c r="D1162" t="s">
        <v>437</v>
      </c>
      <c r="E1162">
        <v>2.7</v>
      </c>
    </row>
    <row r="1163" spans="1:5">
      <c r="A1163" t="s">
        <v>40</v>
      </c>
      <c r="B1163" t="s">
        <v>7651</v>
      </c>
      <c r="C1163" t="s">
        <v>497</v>
      </c>
      <c r="D1163" t="s">
        <v>313</v>
      </c>
      <c r="E1163">
        <v>1.9</v>
      </c>
    </row>
    <row r="1164" spans="1:5">
      <c r="A1164" t="s">
        <v>40</v>
      </c>
      <c r="B1164" t="s">
        <v>7651</v>
      </c>
      <c r="C1164" t="s">
        <v>497</v>
      </c>
      <c r="D1164" t="s">
        <v>6912</v>
      </c>
      <c r="E1164">
        <v>195</v>
      </c>
    </row>
    <row r="1165" spans="1:5">
      <c r="A1165" t="s">
        <v>40</v>
      </c>
      <c r="B1165" t="s">
        <v>7651</v>
      </c>
      <c r="C1165" t="s">
        <v>497</v>
      </c>
      <c r="D1165" t="s">
        <v>6915</v>
      </c>
      <c r="E1165">
        <v>1</v>
      </c>
    </row>
    <row r="1166" spans="1:5">
      <c r="A1166" t="s">
        <v>40</v>
      </c>
      <c r="B1166" t="s">
        <v>479</v>
      </c>
      <c r="C1166" t="s">
        <v>497</v>
      </c>
      <c r="D1166" t="s">
        <v>448</v>
      </c>
      <c r="E1166">
        <v>200.6</v>
      </c>
    </row>
    <row r="1167" spans="1:5">
      <c r="A1167" t="s">
        <v>40</v>
      </c>
      <c r="B1167" t="s">
        <v>7651</v>
      </c>
      <c r="C1167" t="s">
        <v>6917</v>
      </c>
      <c r="D1167" t="s">
        <v>437</v>
      </c>
      <c r="E1167">
        <v>56.4</v>
      </c>
    </row>
    <row r="1168" spans="1:5">
      <c r="A1168" t="s">
        <v>40</v>
      </c>
      <c r="B1168" t="s">
        <v>7651</v>
      </c>
      <c r="C1168" t="s">
        <v>6917</v>
      </c>
      <c r="D1168" t="s">
        <v>217</v>
      </c>
      <c r="E1168">
        <v>3.7</v>
      </c>
    </row>
    <row r="1169" spans="1:5">
      <c r="A1169" t="s">
        <v>40</v>
      </c>
      <c r="B1169" t="s">
        <v>7651</v>
      </c>
      <c r="C1169" t="s">
        <v>6917</v>
      </c>
      <c r="D1169" t="s">
        <v>313</v>
      </c>
      <c r="E1169">
        <v>51.4</v>
      </c>
    </row>
    <row r="1170" spans="1:5">
      <c r="A1170" t="s">
        <v>40</v>
      </c>
      <c r="B1170" t="s">
        <v>7651</v>
      </c>
      <c r="C1170" t="s">
        <v>6917</v>
      </c>
      <c r="D1170" t="s">
        <v>6911</v>
      </c>
      <c r="E1170">
        <v>5.9</v>
      </c>
    </row>
    <row r="1171" spans="1:5">
      <c r="A1171" t="s">
        <v>40</v>
      </c>
      <c r="B1171" t="s">
        <v>7651</v>
      </c>
      <c r="C1171" t="s">
        <v>6917</v>
      </c>
      <c r="D1171" t="s">
        <v>6912</v>
      </c>
      <c r="E1171">
        <v>10.3</v>
      </c>
    </row>
    <row r="1172" spans="1:5">
      <c r="A1172" t="s">
        <v>40</v>
      </c>
      <c r="B1172" t="s">
        <v>7651</v>
      </c>
      <c r="C1172" t="s">
        <v>6917</v>
      </c>
      <c r="D1172" t="s">
        <v>447</v>
      </c>
      <c r="E1172">
        <v>0.5</v>
      </c>
    </row>
    <row r="1173" spans="1:5">
      <c r="A1173" t="s">
        <v>40</v>
      </c>
      <c r="B1173" t="s">
        <v>479</v>
      </c>
      <c r="C1173" t="s">
        <v>6917</v>
      </c>
      <c r="D1173" t="s">
        <v>448</v>
      </c>
      <c r="E1173">
        <v>128.19999999999999</v>
      </c>
    </row>
    <row r="1174" spans="1:5">
      <c r="A1174" t="s">
        <v>40</v>
      </c>
      <c r="B1174" t="s">
        <v>7651</v>
      </c>
      <c r="C1174" t="s">
        <v>382</v>
      </c>
      <c r="D1174" t="s">
        <v>313</v>
      </c>
      <c r="E1174">
        <v>0.5</v>
      </c>
    </row>
    <row r="1175" spans="1:5">
      <c r="A1175" t="s">
        <v>40</v>
      </c>
      <c r="B1175" t="s">
        <v>7651</v>
      </c>
      <c r="C1175" t="s">
        <v>382</v>
      </c>
      <c r="D1175" t="s">
        <v>6911</v>
      </c>
      <c r="E1175">
        <v>13.6</v>
      </c>
    </row>
    <row r="1176" spans="1:5">
      <c r="A1176" t="s">
        <v>40</v>
      </c>
      <c r="B1176" t="s">
        <v>7651</v>
      </c>
      <c r="C1176" t="s">
        <v>382</v>
      </c>
      <c r="D1176" t="s">
        <v>447</v>
      </c>
      <c r="E1176">
        <v>0.3</v>
      </c>
    </row>
    <row r="1177" spans="1:5">
      <c r="A1177" t="s">
        <v>40</v>
      </c>
      <c r="B1177" t="s">
        <v>479</v>
      </c>
      <c r="C1177" t="s">
        <v>382</v>
      </c>
      <c r="D1177" t="s">
        <v>448</v>
      </c>
      <c r="E1177">
        <v>14.4</v>
      </c>
    </row>
    <row r="1178" spans="1:5">
      <c r="A1178" t="s">
        <v>40</v>
      </c>
      <c r="B1178" t="s">
        <v>7651</v>
      </c>
      <c r="C1178" t="s">
        <v>460</v>
      </c>
      <c r="D1178" t="s">
        <v>437</v>
      </c>
      <c r="E1178">
        <v>329.2</v>
      </c>
    </row>
    <row r="1179" spans="1:5">
      <c r="A1179" t="s">
        <v>40</v>
      </c>
      <c r="B1179" t="s">
        <v>7651</v>
      </c>
      <c r="C1179" t="s">
        <v>460</v>
      </c>
      <c r="D1179" t="s">
        <v>313</v>
      </c>
      <c r="E1179">
        <v>2.5</v>
      </c>
    </row>
    <row r="1180" spans="1:5">
      <c r="A1180" t="s">
        <v>40</v>
      </c>
      <c r="B1180" t="s">
        <v>7651</v>
      </c>
      <c r="C1180" t="s">
        <v>460</v>
      </c>
      <c r="D1180" t="s">
        <v>6911</v>
      </c>
      <c r="E1180">
        <v>24.4</v>
      </c>
    </row>
    <row r="1181" spans="1:5">
      <c r="A1181" t="s">
        <v>40</v>
      </c>
      <c r="B1181" t="s">
        <v>7651</v>
      </c>
      <c r="C1181" t="s">
        <v>460</v>
      </c>
      <c r="D1181" t="s">
        <v>447</v>
      </c>
      <c r="E1181">
        <v>1.5</v>
      </c>
    </row>
    <row r="1182" spans="1:5">
      <c r="A1182" t="s">
        <v>40</v>
      </c>
      <c r="B1182" t="s">
        <v>479</v>
      </c>
      <c r="C1182" t="s">
        <v>460</v>
      </c>
      <c r="D1182" t="s">
        <v>448</v>
      </c>
      <c r="E1182">
        <v>357.6</v>
      </c>
    </row>
    <row r="1183" spans="1:5">
      <c r="A1183" t="s">
        <v>40</v>
      </c>
      <c r="B1183" t="s">
        <v>479</v>
      </c>
      <c r="C1183" t="s">
        <v>448</v>
      </c>
      <c r="D1183" t="s">
        <v>437</v>
      </c>
      <c r="E1183">
        <v>1024.5</v>
      </c>
    </row>
    <row r="1184" spans="1:5">
      <c r="A1184" t="s">
        <v>40</v>
      </c>
      <c r="B1184" t="s">
        <v>479</v>
      </c>
      <c r="C1184" t="s">
        <v>448</v>
      </c>
      <c r="D1184" t="s">
        <v>217</v>
      </c>
      <c r="E1184">
        <v>34.5</v>
      </c>
    </row>
    <row r="1185" spans="1:5">
      <c r="A1185" t="s">
        <v>40</v>
      </c>
      <c r="B1185" t="s">
        <v>479</v>
      </c>
      <c r="C1185" t="s">
        <v>448</v>
      </c>
      <c r="D1185" t="s">
        <v>313</v>
      </c>
      <c r="E1185">
        <v>154.69999999999999</v>
      </c>
    </row>
    <row r="1186" spans="1:5">
      <c r="A1186" t="s">
        <v>40</v>
      </c>
      <c r="B1186" t="s">
        <v>479</v>
      </c>
      <c r="C1186" t="s">
        <v>448</v>
      </c>
      <c r="D1186" t="s">
        <v>6911</v>
      </c>
      <c r="E1186">
        <v>280</v>
      </c>
    </row>
    <row r="1187" spans="1:5">
      <c r="A1187" t="s">
        <v>40</v>
      </c>
      <c r="B1187" t="s">
        <v>479</v>
      </c>
      <c r="C1187" t="s">
        <v>448</v>
      </c>
      <c r="D1187" t="s">
        <v>441</v>
      </c>
      <c r="E1187">
        <v>460</v>
      </c>
    </row>
    <row r="1188" spans="1:5">
      <c r="A1188" t="s">
        <v>40</v>
      </c>
      <c r="B1188" t="s">
        <v>479</v>
      </c>
      <c r="C1188" t="s">
        <v>448</v>
      </c>
      <c r="D1188" t="s">
        <v>6912</v>
      </c>
      <c r="E1188">
        <v>219.1</v>
      </c>
    </row>
    <row r="1189" spans="1:5">
      <c r="A1189" t="s">
        <v>40</v>
      </c>
      <c r="B1189" t="s">
        <v>479</v>
      </c>
      <c r="C1189" t="s">
        <v>448</v>
      </c>
      <c r="D1189" t="s">
        <v>443</v>
      </c>
      <c r="E1189">
        <v>219</v>
      </c>
    </row>
    <row r="1190" spans="1:5">
      <c r="A1190" t="s">
        <v>40</v>
      </c>
      <c r="B1190" t="s">
        <v>479</v>
      </c>
      <c r="C1190" t="s">
        <v>448</v>
      </c>
      <c r="D1190" t="s">
        <v>6915</v>
      </c>
      <c r="E1190">
        <v>10</v>
      </c>
    </row>
    <row r="1191" spans="1:5">
      <c r="A1191" t="s">
        <v>40</v>
      </c>
      <c r="B1191" t="s">
        <v>479</v>
      </c>
      <c r="C1191" t="s">
        <v>448</v>
      </c>
      <c r="D1191" t="s">
        <v>447</v>
      </c>
      <c r="E1191">
        <v>31.1</v>
      </c>
    </row>
    <row r="1192" spans="1:5">
      <c r="A1192" t="s">
        <v>40</v>
      </c>
      <c r="B1192" t="s">
        <v>479</v>
      </c>
      <c r="C1192" t="s">
        <v>448</v>
      </c>
      <c r="D1192" t="s">
        <v>448</v>
      </c>
      <c r="E1192">
        <v>2432.9</v>
      </c>
    </row>
    <row r="1193" spans="1:5">
      <c r="A1193" t="s">
        <v>480</v>
      </c>
      <c r="B1193" t="s">
        <v>481</v>
      </c>
      <c r="C1193" t="s">
        <v>467</v>
      </c>
      <c r="D1193" t="s">
        <v>443</v>
      </c>
      <c r="E1193">
        <v>30.1</v>
      </c>
    </row>
    <row r="1194" spans="1:5">
      <c r="A1194" t="s">
        <v>480</v>
      </c>
      <c r="B1194" t="s">
        <v>481</v>
      </c>
      <c r="C1194" t="s">
        <v>467</v>
      </c>
      <c r="D1194" t="s">
        <v>448</v>
      </c>
      <c r="E1194">
        <v>30.1</v>
      </c>
    </row>
    <row r="1195" spans="1:5">
      <c r="A1195" t="s">
        <v>480</v>
      </c>
      <c r="B1195" t="s">
        <v>481</v>
      </c>
      <c r="C1195" t="s">
        <v>482</v>
      </c>
      <c r="D1195" t="s">
        <v>437</v>
      </c>
      <c r="E1195">
        <v>5.5</v>
      </c>
    </row>
    <row r="1196" spans="1:5">
      <c r="A1196" t="s">
        <v>480</v>
      </c>
      <c r="B1196" t="s">
        <v>481</v>
      </c>
      <c r="C1196" t="s">
        <v>482</v>
      </c>
      <c r="D1196" t="s">
        <v>217</v>
      </c>
      <c r="E1196">
        <v>2.2000000000000002</v>
      </c>
    </row>
    <row r="1197" spans="1:5">
      <c r="A1197" t="s">
        <v>480</v>
      </c>
      <c r="B1197" t="s">
        <v>481</v>
      </c>
      <c r="C1197" t="s">
        <v>482</v>
      </c>
      <c r="D1197" t="s">
        <v>313</v>
      </c>
      <c r="E1197">
        <v>1</v>
      </c>
    </row>
    <row r="1198" spans="1:5">
      <c r="A1198" t="s">
        <v>480</v>
      </c>
      <c r="B1198" t="s">
        <v>481</v>
      </c>
      <c r="C1198" t="s">
        <v>482</v>
      </c>
      <c r="D1198" t="s">
        <v>6911</v>
      </c>
      <c r="E1198">
        <v>37.9</v>
      </c>
    </row>
    <row r="1199" spans="1:5">
      <c r="A1199" t="s">
        <v>480</v>
      </c>
      <c r="B1199" t="s">
        <v>481</v>
      </c>
      <c r="C1199" t="s">
        <v>482</v>
      </c>
      <c r="D1199" t="s">
        <v>441</v>
      </c>
      <c r="E1199">
        <v>41.5</v>
      </c>
    </row>
    <row r="1200" spans="1:5">
      <c r="A1200" t="s">
        <v>480</v>
      </c>
      <c r="B1200" t="s">
        <v>481</v>
      </c>
      <c r="C1200" t="s">
        <v>482</v>
      </c>
      <c r="D1200" t="s">
        <v>6912</v>
      </c>
      <c r="E1200">
        <v>48.3</v>
      </c>
    </row>
    <row r="1201" spans="1:5">
      <c r="A1201" t="s">
        <v>480</v>
      </c>
      <c r="B1201" t="s">
        <v>481</v>
      </c>
      <c r="C1201" t="s">
        <v>482</v>
      </c>
      <c r="D1201" t="s">
        <v>447</v>
      </c>
      <c r="E1201">
        <v>13.3</v>
      </c>
    </row>
    <row r="1202" spans="1:5">
      <c r="A1202" t="s">
        <v>480</v>
      </c>
      <c r="B1202" t="s">
        <v>481</v>
      </c>
      <c r="C1202" t="s">
        <v>482</v>
      </c>
      <c r="D1202" t="s">
        <v>448</v>
      </c>
      <c r="E1202">
        <v>149.69999999999999</v>
      </c>
    </row>
    <row r="1203" spans="1:5">
      <c r="A1203" t="s">
        <v>480</v>
      </c>
      <c r="B1203" t="s">
        <v>481</v>
      </c>
      <c r="C1203" t="s">
        <v>448</v>
      </c>
      <c r="D1203" t="s">
        <v>437</v>
      </c>
      <c r="E1203">
        <v>5.5</v>
      </c>
    </row>
    <row r="1204" spans="1:5">
      <c r="A1204" t="s">
        <v>480</v>
      </c>
      <c r="B1204" t="s">
        <v>481</v>
      </c>
      <c r="C1204" t="s">
        <v>448</v>
      </c>
      <c r="D1204" t="s">
        <v>217</v>
      </c>
      <c r="E1204">
        <v>2.2000000000000002</v>
      </c>
    </row>
    <row r="1205" spans="1:5">
      <c r="A1205" t="s">
        <v>480</v>
      </c>
      <c r="B1205" t="s">
        <v>481</v>
      </c>
      <c r="C1205" t="s">
        <v>448</v>
      </c>
      <c r="D1205" t="s">
        <v>313</v>
      </c>
      <c r="E1205">
        <v>1</v>
      </c>
    </row>
    <row r="1206" spans="1:5">
      <c r="A1206" t="s">
        <v>480</v>
      </c>
      <c r="B1206" t="s">
        <v>481</v>
      </c>
      <c r="C1206" t="s">
        <v>448</v>
      </c>
      <c r="D1206" t="s">
        <v>6911</v>
      </c>
      <c r="E1206">
        <v>37.9</v>
      </c>
    </row>
    <row r="1207" spans="1:5">
      <c r="A1207" t="s">
        <v>480</v>
      </c>
      <c r="B1207" t="s">
        <v>481</v>
      </c>
      <c r="C1207" t="s">
        <v>448</v>
      </c>
      <c r="D1207" t="s">
        <v>441</v>
      </c>
      <c r="E1207">
        <v>41.5</v>
      </c>
    </row>
    <row r="1208" spans="1:5">
      <c r="A1208" t="s">
        <v>480</v>
      </c>
      <c r="B1208" t="s">
        <v>481</v>
      </c>
      <c r="C1208" t="s">
        <v>448</v>
      </c>
      <c r="D1208" t="s">
        <v>6912</v>
      </c>
      <c r="E1208">
        <v>48.3</v>
      </c>
    </row>
    <row r="1209" spans="1:5">
      <c r="A1209" t="s">
        <v>480</v>
      </c>
      <c r="B1209" t="s">
        <v>481</v>
      </c>
      <c r="C1209" t="s">
        <v>448</v>
      </c>
      <c r="D1209" t="s">
        <v>443</v>
      </c>
      <c r="E1209">
        <v>30.1</v>
      </c>
    </row>
    <row r="1210" spans="1:5">
      <c r="A1210" t="s">
        <v>480</v>
      </c>
      <c r="B1210" t="s">
        <v>481</v>
      </c>
      <c r="C1210" t="s">
        <v>448</v>
      </c>
      <c r="D1210" t="s">
        <v>447</v>
      </c>
      <c r="E1210">
        <v>13.3</v>
      </c>
    </row>
    <row r="1211" spans="1:5">
      <c r="A1211" t="s">
        <v>480</v>
      </c>
      <c r="B1211" t="s">
        <v>481</v>
      </c>
      <c r="C1211" t="s">
        <v>448</v>
      </c>
      <c r="D1211" t="s">
        <v>448</v>
      </c>
      <c r="E1211">
        <v>179.8</v>
      </c>
    </row>
    <row r="1212" spans="1:5">
      <c r="A1212" t="s">
        <v>480</v>
      </c>
      <c r="B1212" t="s">
        <v>483</v>
      </c>
      <c r="C1212" t="s">
        <v>467</v>
      </c>
      <c r="D1212" t="s">
        <v>443</v>
      </c>
      <c r="E1212">
        <v>9.3000000000000007</v>
      </c>
    </row>
    <row r="1213" spans="1:5">
      <c r="A1213" t="s">
        <v>480</v>
      </c>
      <c r="B1213" t="s">
        <v>483</v>
      </c>
      <c r="C1213" t="s">
        <v>467</v>
      </c>
      <c r="D1213" t="s">
        <v>448</v>
      </c>
      <c r="E1213">
        <v>9.3000000000000007</v>
      </c>
    </row>
    <row r="1214" spans="1:5">
      <c r="A1214" t="s">
        <v>480</v>
      </c>
      <c r="B1214" t="s">
        <v>483</v>
      </c>
      <c r="C1214" t="s">
        <v>482</v>
      </c>
      <c r="D1214" t="s">
        <v>217</v>
      </c>
      <c r="E1214">
        <v>2.2000000000000002</v>
      </c>
    </row>
    <row r="1215" spans="1:5">
      <c r="A1215" t="s">
        <v>480</v>
      </c>
      <c r="B1215" t="s">
        <v>483</v>
      </c>
      <c r="C1215" t="s">
        <v>482</v>
      </c>
      <c r="D1215" t="s">
        <v>313</v>
      </c>
      <c r="E1215">
        <v>0.5</v>
      </c>
    </row>
    <row r="1216" spans="1:5">
      <c r="A1216" t="s">
        <v>480</v>
      </c>
      <c r="B1216" t="s">
        <v>483</v>
      </c>
      <c r="C1216" t="s">
        <v>482</v>
      </c>
      <c r="D1216" t="s">
        <v>6911</v>
      </c>
      <c r="E1216">
        <v>35.6</v>
      </c>
    </row>
    <row r="1217" spans="1:5">
      <c r="A1217" t="s">
        <v>480</v>
      </c>
      <c r="B1217" t="s">
        <v>483</v>
      </c>
      <c r="C1217" t="s">
        <v>482</v>
      </c>
      <c r="D1217" t="s">
        <v>441</v>
      </c>
      <c r="E1217">
        <v>22.4</v>
      </c>
    </row>
    <row r="1218" spans="1:5">
      <c r="A1218" t="s">
        <v>480</v>
      </c>
      <c r="B1218" t="s">
        <v>483</v>
      </c>
      <c r="C1218" t="s">
        <v>482</v>
      </c>
      <c r="D1218" t="s">
        <v>6912</v>
      </c>
      <c r="E1218">
        <v>11.4</v>
      </c>
    </row>
    <row r="1219" spans="1:5">
      <c r="A1219" t="s">
        <v>480</v>
      </c>
      <c r="B1219" t="s">
        <v>483</v>
      </c>
      <c r="C1219" t="s">
        <v>482</v>
      </c>
      <c r="D1219" t="s">
        <v>447</v>
      </c>
      <c r="E1219">
        <v>9.8000000000000007</v>
      </c>
    </row>
    <row r="1220" spans="1:5">
      <c r="A1220" t="s">
        <v>480</v>
      </c>
      <c r="B1220" t="s">
        <v>483</v>
      </c>
      <c r="C1220" t="s">
        <v>482</v>
      </c>
      <c r="D1220" t="s">
        <v>448</v>
      </c>
      <c r="E1220">
        <v>81.900000000000006</v>
      </c>
    </row>
    <row r="1221" spans="1:5">
      <c r="A1221" t="s">
        <v>480</v>
      </c>
      <c r="B1221" t="s">
        <v>483</v>
      </c>
      <c r="C1221" t="s">
        <v>448</v>
      </c>
      <c r="D1221" t="s">
        <v>217</v>
      </c>
      <c r="E1221">
        <v>2.2000000000000002</v>
      </c>
    </row>
    <row r="1222" spans="1:5">
      <c r="A1222" t="s">
        <v>480</v>
      </c>
      <c r="B1222" t="s">
        <v>483</v>
      </c>
      <c r="C1222" t="s">
        <v>448</v>
      </c>
      <c r="D1222" t="s">
        <v>313</v>
      </c>
      <c r="E1222">
        <v>0.5</v>
      </c>
    </row>
    <row r="1223" spans="1:5">
      <c r="A1223" t="s">
        <v>480</v>
      </c>
      <c r="B1223" t="s">
        <v>483</v>
      </c>
      <c r="C1223" t="s">
        <v>448</v>
      </c>
      <c r="D1223" t="s">
        <v>6911</v>
      </c>
      <c r="E1223">
        <v>35.6</v>
      </c>
    </row>
    <row r="1224" spans="1:5">
      <c r="A1224" t="s">
        <v>480</v>
      </c>
      <c r="B1224" t="s">
        <v>483</v>
      </c>
      <c r="C1224" t="s">
        <v>448</v>
      </c>
      <c r="D1224" t="s">
        <v>441</v>
      </c>
      <c r="E1224">
        <v>22.4</v>
      </c>
    </row>
    <row r="1225" spans="1:5">
      <c r="A1225" t="s">
        <v>480</v>
      </c>
      <c r="B1225" t="s">
        <v>483</v>
      </c>
      <c r="C1225" t="s">
        <v>448</v>
      </c>
      <c r="D1225" t="s">
        <v>6912</v>
      </c>
      <c r="E1225">
        <v>11.4</v>
      </c>
    </row>
    <row r="1226" spans="1:5">
      <c r="A1226" t="s">
        <v>480</v>
      </c>
      <c r="B1226" t="s">
        <v>483</v>
      </c>
      <c r="C1226" t="s">
        <v>448</v>
      </c>
      <c r="D1226" t="s">
        <v>443</v>
      </c>
      <c r="E1226">
        <v>9.3000000000000007</v>
      </c>
    </row>
    <row r="1227" spans="1:5">
      <c r="A1227" t="s">
        <v>480</v>
      </c>
      <c r="B1227" t="s">
        <v>483</v>
      </c>
      <c r="C1227" t="s">
        <v>448</v>
      </c>
      <c r="D1227" t="s">
        <v>447</v>
      </c>
      <c r="E1227">
        <v>9.8000000000000007</v>
      </c>
    </row>
    <row r="1228" spans="1:5">
      <c r="A1228" t="s">
        <v>480</v>
      </c>
      <c r="B1228" t="s">
        <v>483</v>
      </c>
      <c r="C1228" t="s">
        <v>448</v>
      </c>
      <c r="D1228" t="s">
        <v>448</v>
      </c>
      <c r="E1228">
        <v>91.2</v>
      </c>
    </row>
    <row r="1229" spans="1:5">
      <c r="A1229" t="s">
        <v>480</v>
      </c>
      <c r="B1229" t="s">
        <v>484</v>
      </c>
      <c r="C1229" t="s">
        <v>467</v>
      </c>
      <c r="D1229" t="s">
        <v>437</v>
      </c>
      <c r="E1229">
        <v>8</v>
      </c>
    </row>
    <row r="1230" spans="1:5">
      <c r="A1230" t="s">
        <v>480</v>
      </c>
      <c r="B1230" t="s">
        <v>484</v>
      </c>
      <c r="C1230" t="s">
        <v>467</v>
      </c>
      <c r="D1230" t="s">
        <v>6911</v>
      </c>
      <c r="E1230">
        <v>3.8</v>
      </c>
    </row>
    <row r="1231" spans="1:5">
      <c r="A1231" t="s">
        <v>480</v>
      </c>
      <c r="B1231" t="s">
        <v>484</v>
      </c>
      <c r="C1231" t="s">
        <v>467</v>
      </c>
      <c r="D1231" t="s">
        <v>443</v>
      </c>
      <c r="E1231">
        <v>5.4</v>
      </c>
    </row>
    <row r="1232" spans="1:5">
      <c r="A1232" t="s">
        <v>480</v>
      </c>
      <c r="B1232" t="s">
        <v>484</v>
      </c>
      <c r="C1232" t="s">
        <v>467</v>
      </c>
      <c r="D1232" t="s">
        <v>445</v>
      </c>
      <c r="E1232">
        <v>17</v>
      </c>
    </row>
    <row r="1233" spans="1:5">
      <c r="A1233" t="s">
        <v>480</v>
      </c>
      <c r="B1233" t="s">
        <v>484</v>
      </c>
      <c r="C1233" t="s">
        <v>467</v>
      </c>
      <c r="D1233" t="s">
        <v>448</v>
      </c>
      <c r="E1233">
        <v>34.200000000000003</v>
      </c>
    </row>
    <row r="1234" spans="1:5">
      <c r="A1234" t="s">
        <v>480</v>
      </c>
      <c r="B1234" t="s">
        <v>484</v>
      </c>
      <c r="C1234" t="s">
        <v>482</v>
      </c>
      <c r="D1234" t="s">
        <v>437</v>
      </c>
      <c r="E1234">
        <v>44.2</v>
      </c>
    </row>
    <row r="1235" spans="1:5">
      <c r="A1235" t="s">
        <v>480</v>
      </c>
      <c r="B1235" t="s">
        <v>484</v>
      </c>
      <c r="C1235" t="s">
        <v>482</v>
      </c>
      <c r="D1235" t="s">
        <v>217</v>
      </c>
      <c r="E1235">
        <v>0.5</v>
      </c>
    </row>
    <row r="1236" spans="1:5">
      <c r="A1236" t="s">
        <v>480</v>
      </c>
      <c r="B1236" t="s">
        <v>484</v>
      </c>
      <c r="C1236" t="s">
        <v>482</v>
      </c>
      <c r="D1236" t="s">
        <v>313</v>
      </c>
      <c r="E1236">
        <v>0.5</v>
      </c>
    </row>
    <row r="1237" spans="1:5">
      <c r="A1237" t="s">
        <v>480</v>
      </c>
      <c r="B1237" t="s">
        <v>484</v>
      </c>
      <c r="C1237" t="s">
        <v>482</v>
      </c>
      <c r="D1237" t="s">
        <v>6911</v>
      </c>
      <c r="E1237">
        <v>16.7</v>
      </c>
    </row>
    <row r="1238" spans="1:5">
      <c r="A1238" t="s">
        <v>480</v>
      </c>
      <c r="B1238" t="s">
        <v>484</v>
      </c>
      <c r="C1238" t="s">
        <v>482</v>
      </c>
      <c r="D1238" t="s">
        <v>441</v>
      </c>
      <c r="E1238">
        <v>26.1</v>
      </c>
    </row>
    <row r="1239" spans="1:5">
      <c r="A1239" t="s">
        <v>480</v>
      </c>
      <c r="B1239" t="s">
        <v>484</v>
      </c>
      <c r="C1239" t="s">
        <v>482</v>
      </c>
      <c r="D1239" t="s">
        <v>6912</v>
      </c>
      <c r="E1239">
        <v>14.6</v>
      </c>
    </row>
    <row r="1240" spans="1:5">
      <c r="A1240" t="s">
        <v>480</v>
      </c>
      <c r="B1240" t="s">
        <v>484</v>
      </c>
      <c r="C1240" t="s">
        <v>482</v>
      </c>
      <c r="D1240" t="s">
        <v>447</v>
      </c>
      <c r="E1240">
        <v>7.6</v>
      </c>
    </row>
    <row r="1241" spans="1:5">
      <c r="A1241" t="s">
        <v>480</v>
      </c>
      <c r="B1241" t="s">
        <v>484</v>
      </c>
      <c r="C1241" t="s">
        <v>482</v>
      </c>
      <c r="D1241" t="s">
        <v>448</v>
      </c>
      <c r="E1241">
        <v>110.2</v>
      </c>
    </row>
    <row r="1242" spans="1:5">
      <c r="A1242" t="s">
        <v>480</v>
      </c>
      <c r="B1242" t="s">
        <v>484</v>
      </c>
      <c r="C1242" t="s">
        <v>448</v>
      </c>
      <c r="D1242" t="s">
        <v>437</v>
      </c>
      <c r="E1242">
        <v>52.2</v>
      </c>
    </row>
    <row r="1243" spans="1:5">
      <c r="A1243" t="s">
        <v>480</v>
      </c>
      <c r="B1243" t="s">
        <v>484</v>
      </c>
      <c r="C1243" t="s">
        <v>448</v>
      </c>
      <c r="D1243" t="s">
        <v>217</v>
      </c>
      <c r="E1243">
        <v>0.5</v>
      </c>
    </row>
    <row r="1244" spans="1:5">
      <c r="A1244" t="s">
        <v>480</v>
      </c>
      <c r="B1244" t="s">
        <v>484</v>
      </c>
      <c r="C1244" t="s">
        <v>448</v>
      </c>
      <c r="D1244" t="s">
        <v>313</v>
      </c>
      <c r="E1244">
        <v>0.5</v>
      </c>
    </row>
    <row r="1245" spans="1:5">
      <c r="A1245" t="s">
        <v>480</v>
      </c>
      <c r="B1245" t="s">
        <v>484</v>
      </c>
      <c r="C1245" t="s">
        <v>448</v>
      </c>
      <c r="D1245" t="s">
        <v>6911</v>
      </c>
      <c r="E1245">
        <v>20.5</v>
      </c>
    </row>
    <row r="1246" spans="1:5">
      <c r="A1246" t="s">
        <v>480</v>
      </c>
      <c r="B1246" t="s">
        <v>484</v>
      </c>
      <c r="C1246" t="s">
        <v>448</v>
      </c>
      <c r="D1246" t="s">
        <v>441</v>
      </c>
      <c r="E1246">
        <v>26.1</v>
      </c>
    </row>
    <row r="1247" spans="1:5">
      <c r="A1247" t="s">
        <v>480</v>
      </c>
      <c r="B1247" t="s">
        <v>484</v>
      </c>
      <c r="C1247" t="s">
        <v>448</v>
      </c>
      <c r="D1247" t="s">
        <v>6912</v>
      </c>
      <c r="E1247">
        <v>14.6</v>
      </c>
    </row>
    <row r="1248" spans="1:5">
      <c r="A1248" t="s">
        <v>480</v>
      </c>
      <c r="B1248" t="s">
        <v>484</v>
      </c>
      <c r="C1248" t="s">
        <v>448</v>
      </c>
      <c r="D1248" t="s">
        <v>443</v>
      </c>
      <c r="E1248">
        <v>5.4</v>
      </c>
    </row>
    <row r="1249" spans="1:5">
      <c r="A1249" t="s">
        <v>480</v>
      </c>
      <c r="B1249" t="s">
        <v>484</v>
      </c>
      <c r="C1249" t="s">
        <v>448</v>
      </c>
      <c r="D1249" t="s">
        <v>445</v>
      </c>
      <c r="E1249">
        <v>17</v>
      </c>
    </row>
    <row r="1250" spans="1:5">
      <c r="A1250" t="s">
        <v>480</v>
      </c>
      <c r="B1250" t="s">
        <v>484</v>
      </c>
      <c r="C1250" t="s">
        <v>448</v>
      </c>
      <c r="D1250" t="s">
        <v>447</v>
      </c>
      <c r="E1250">
        <v>7.6</v>
      </c>
    </row>
    <row r="1251" spans="1:5">
      <c r="A1251" t="s">
        <v>480</v>
      </c>
      <c r="B1251" t="s">
        <v>484</v>
      </c>
      <c r="C1251" t="s">
        <v>448</v>
      </c>
      <c r="D1251" t="s">
        <v>448</v>
      </c>
      <c r="E1251">
        <v>144.4</v>
      </c>
    </row>
    <row r="1252" spans="1:5">
      <c r="A1252" t="s">
        <v>480</v>
      </c>
      <c r="B1252" t="s">
        <v>485</v>
      </c>
      <c r="C1252" t="s">
        <v>467</v>
      </c>
      <c r="D1252" t="s">
        <v>6911</v>
      </c>
      <c r="E1252">
        <v>1.3</v>
      </c>
    </row>
    <row r="1253" spans="1:5">
      <c r="A1253" t="s">
        <v>480</v>
      </c>
      <c r="B1253" t="s">
        <v>485</v>
      </c>
      <c r="C1253" t="s">
        <v>467</v>
      </c>
      <c r="D1253" t="s">
        <v>443</v>
      </c>
      <c r="E1253">
        <v>2.9</v>
      </c>
    </row>
    <row r="1254" spans="1:5">
      <c r="A1254" t="s">
        <v>480</v>
      </c>
      <c r="B1254" t="s">
        <v>485</v>
      </c>
      <c r="C1254" t="s">
        <v>467</v>
      </c>
      <c r="D1254" t="s">
        <v>448</v>
      </c>
      <c r="E1254">
        <v>4.2</v>
      </c>
    </row>
    <row r="1255" spans="1:5">
      <c r="A1255" t="s">
        <v>480</v>
      </c>
      <c r="B1255" t="s">
        <v>485</v>
      </c>
      <c r="C1255" t="s">
        <v>482</v>
      </c>
      <c r="D1255" t="s">
        <v>217</v>
      </c>
      <c r="E1255">
        <v>1.5</v>
      </c>
    </row>
    <row r="1256" spans="1:5">
      <c r="A1256" t="s">
        <v>480</v>
      </c>
      <c r="B1256" t="s">
        <v>485</v>
      </c>
      <c r="C1256" t="s">
        <v>482</v>
      </c>
      <c r="D1256" t="s">
        <v>313</v>
      </c>
      <c r="E1256">
        <v>30.1</v>
      </c>
    </row>
    <row r="1257" spans="1:5">
      <c r="A1257" t="s">
        <v>480</v>
      </c>
      <c r="B1257" t="s">
        <v>485</v>
      </c>
      <c r="C1257" t="s">
        <v>482</v>
      </c>
      <c r="D1257" t="s">
        <v>6911</v>
      </c>
      <c r="E1257">
        <v>36.200000000000003</v>
      </c>
    </row>
    <row r="1258" spans="1:5">
      <c r="A1258" t="s">
        <v>480</v>
      </c>
      <c r="B1258" t="s">
        <v>485</v>
      </c>
      <c r="C1258" t="s">
        <v>482</v>
      </c>
      <c r="D1258" t="s">
        <v>441</v>
      </c>
      <c r="E1258">
        <v>19.399999999999999</v>
      </c>
    </row>
    <row r="1259" spans="1:5">
      <c r="A1259" t="s">
        <v>480</v>
      </c>
      <c r="B1259" t="s">
        <v>485</v>
      </c>
      <c r="C1259" t="s">
        <v>482</v>
      </c>
      <c r="D1259" t="s">
        <v>6912</v>
      </c>
      <c r="E1259">
        <v>16.100000000000001</v>
      </c>
    </row>
    <row r="1260" spans="1:5">
      <c r="A1260" t="s">
        <v>480</v>
      </c>
      <c r="B1260" t="s">
        <v>485</v>
      </c>
      <c r="C1260" t="s">
        <v>482</v>
      </c>
      <c r="D1260" t="s">
        <v>448</v>
      </c>
      <c r="E1260">
        <v>103.3</v>
      </c>
    </row>
    <row r="1261" spans="1:5">
      <c r="A1261" t="s">
        <v>480</v>
      </c>
      <c r="B1261" t="s">
        <v>485</v>
      </c>
      <c r="C1261" t="s">
        <v>448</v>
      </c>
      <c r="D1261" t="s">
        <v>217</v>
      </c>
      <c r="E1261">
        <v>1.5</v>
      </c>
    </row>
    <row r="1262" spans="1:5">
      <c r="A1262" t="s">
        <v>480</v>
      </c>
      <c r="B1262" t="s">
        <v>485</v>
      </c>
      <c r="C1262" t="s">
        <v>448</v>
      </c>
      <c r="D1262" t="s">
        <v>313</v>
      </c>
      <c r="E1262">
        <v>30.1</v>
      </c>
    </row>
    <row r="1263" spans="1:5">
      <c r="A1263" t="s">
        <v>480</v>
      </c>
      <c r="B1263" t="s">
        <v>485</v>
      </c>
      <c r="C1263" t="s">
        <v>448</v>
      </c>
      <c r="D1263" t="s">
        <v>6911</v>
      </c>
      <c r="E1263">
        <v>37.5</v>
      </c>
    </row>
    <row r="1264" spans="1:5">
      <c r="A1264" t="s">
        <v>480</v>
      </c>
      <c r="B1264" t="s">
        <v>485</v>
      </c>
      <c r="C1264" t="s">
        <v>448</v>
      </c>
      <c r="D1264" t="s">
        <v>441</v>
      </c>
      <c r="E1264">
        <v>19.399999999999999</v>
      </c>
    </row>
    <row r="1265" spans="1:5">
      <c r="A1265" t="s">
        <v>480</v>
      </c>
      <c r="B1265" t="s">
        <v>485</v>
      </c>
      <c r="C1265" t="s">
        <v>448</v>
      </c>
      <c r="D1265" t="s">
        <v>6912</v>
      </c>
      <c r="E1265">
        <v>16.100000000000001</v>
      </c>
    </row>
    <row r="1266" spans="1:5">
      <c r="A1266" t="s">
        <v>480</v>
      </c>
      <c r="B1266" t="s">
        <v>485</v>
      </c>
      <c r="C1266" t="s">
        <v>448</v>
      </c>
      <c r="D1266" t="s">
        <v>443</v>
      </c>
      <c r="E1266">
        <v>2.9</v>
      </c>
    </row>
    <row r="1267" spans="1:5">
      <c r="A1267" t="s">
        <v>480</v>
      </c>
      <c r="B1267" t="s">
        <v>485</v>
      </c>
      <c r="C1267" t="s">
        <v>448</v>
      </c>
      <c r="D1267" t="s">
        <v>448</v>
      </c>
      <c r="E1267">
        <v>107.5</v>
      </c>
    </row>
    <row r="1268" spans="1:5">
      <c r="A1268" t="s">
        <v>480</v>
      </c>
      <c r="B1268" t="s">
        <v>486</v>
      </c>
      <c r="C1268" t="s">
        <v>467</v>
      </c>
      <c r="D1268" t="s">
        <v>437</v>
      </c>
      <c r="E1268">
        <v>10.7</v>
      </c>
    </row>
    <row r="1269" spans="1:5">
      <c r="A1269" t="s">
        <v>480</v>
      </c>
      <c r="B1269" t="s">
        <v>486</v>
      </c>
      <c r="C1269" t="s">
        <v>467</v>
      </c>
      <c r="D1269" t="s">
        <v>6911</v>
      </c>
      <c r="E1269">
        <v>5.0999999999999996</v>
      </c>
    </row>
    <row r="1270" spans="1:5">
      <c r="A1270" t="s">
        <v>480</v>
      </c>
      <c r="B1270" t="s">
        <v>486</v>
      </c>
      <c r="C1270" t="s">
        <v>467</v>
      </c>
      <c r="D1270" t="s">
        <v>443</v>
      </c>
      <c r="E1270">
        <v>7.3</v>
      </c>
    </row>
    <row r="1271" spans="1:5">
      <c r="A1271" t="s">
        <v>480</v>
      </c>
      <c r="B1271" t="s">
        <v>486</v>
      </c>
      <c r="C1271" t="s">
        <v>467</v>
      </c>
      <c r="D1271" t="s">
        <v>445</v>
      </c>
      <c r="E1271">
        <v>22.74</v>
      </c>
    </row>
    <row r="1272" spans="1:5">
      <c r="A1272" t="s">
        <v>480</v>
      </c>
      <c r="B1272" t="s">
        <v>486</v>
      </c>
      <c r="C1272" t="s">
        <v>467</v>
      </c>
      <c r="D1272" t="s">
        <v>448</v>
      </c>
      <c r="E1272">
        <v>45.84</v>
      </c>
    </row>
    <row r="1273" spans="1:5">
      <c r="A1273" t="s">
        <v>480</v>
      </c>
      <c r="B1273" t="s">
        <v>486</v>
      </c>
      <c r="C1273" t="s">
        <v>482</v>
      </c>
      <c r="D1273" t="s">
        <v>437</v>
      </c>
      <c r="E1273">
        <v>26.6</v>
      </c>
    </row>
    <row r="1274" spans="1:5">
      <c r="A1274" t="s">
        <v>480</v>
      </c>
      <c r="B1274" t="s">
        <v>486</v>
      </c>
      <c r="C1274" t="s">
        <v>482</v>
      </c>
      <c r="D1274" t="s">
        <v>217</v>
      </c>
      <c r="E1274">
        <v>2.2999999999999998</v>
      </c>
    </row>
    <row r="1275" spans="1:5">
      <c r="A1275" t="s">
        <v>480</v>
      </c>
      <c r="B1275" t="s">
        <v>486</v>
      </c>
      <c r="C1275" t="s">
        <v>482</v>
      </c>
      <c r="D1275" t="s">
        <v>313</v>
      </c>
      <c r="E1275">
        <v>0.4</v>
      </c>
    </row>
    <row r="1276" spans="1:5">
      <c r="A1276" t="s">
        <v>480</v>
      </c>
      <c r="B1276" t="s">
        <v>486</v>
      </c>
      <c r="C1276" t="s">
        <v>482</v>
      </c>
      <c r="D1276" t="s">
        <v>6911</v>
      </c>
      <c r="E1276">
        <v>19.8</v>
      </c>
    </row>
    <row r="1277" spans="1:5">
      <c r="A1277" t="s">
        <v>480</v>
      </c>
      <c r="B1277" t="s">
        <v>486</v>
      </c>
      <c r="C1277" t="s">
        <v>482</v>
      </c>
      <c r="D1277" t="s">
        <v>441</v>
      </c>
      <c r="E1277">
        <v>20.7</v>
      </c>
    </row>
    <row r="1278" spans="1:5">
      <c r="A1278" t="s">
        <v>480</v>
      </c>
      <c r="B1278" t="s">
        <v>486</v>
      </c>
      <c r="C1278" t="s">
        <v>482</v>
      </c>
      <c r="D1278" t="s">
        <v>6912</v>
      </c>
      <c r="E1278">
        <v>15.1</v>
      </c>
    </row>
    <row r="1279" spans="1:5">
      <c r="A1279" t="s">
        <v>480</v>
      </c>
      <c r="B1279" t="s">
        <v>486</v>
      </c>
      <c r="C1279" t="s">
        <v>482</v>
      </c>
      <c r="D1279" t="s">
        <v>447</v>
      </c>
      <c r="E1279">
        <v>2.76</v>
      </c>
    </row>
    <row r="1280" spans="1:5">
      <c r="A1280" t="s">
        <v>480</v>
      </c>
      <c r="B1280" t="s">
        <v>486</v>
      </c>
      <c r="C1280" t="s">
        <v>482</v>
      </c>
      <c r="D1280" t="s">
        <v>448</v>
      </c>
      <c r="E1280">
        <v>87.66</v>
      </c>
    </row>
    <row r="1281" spans="1:5">
      <c r="A1281" t="s">
        <v>480</v>
      </c>
      <c r="B1281" t="s">
        <v>486</v>
      </c>
      <c r="C1281" t="s">
        <v>448</v>
      </c>
      <c r="D1281" t="s">
        <v>437</v>
      </c>
      <c r="E1281">
        <v>37.299999999999997</v>
      </c>
    </row>
    <row r="1282" spans="1:5">
      <c r="A1282" t="s">
        <v>480</v>
      </c>
      <c r="B1282" t="s">
        <v>486</v>
      </c>
      <c r="C1282" t="s">
        <v>448</v>
      </c>
      <c r="D1282" t="s">
        <v>217</v>
      </c>
      <c r="E1282">
        <v>2.2999999999999998</v>
      </c>
    </row>
    <row r="1283" spans="1:5">
      <c r="A1283" t="s">
        <v>480</v>
      </c>
      <c r="B1283" t="s">
        <v>486</v>
      </c>
      <c r="C1283" t="s">
        <v>448</v>
      </c>
      <c r="D1283" t="s">
        <v>313</v>
      </c>
      <c r="E1283">
        <v>0.4</v>
      </c>
    </row>
    <row r="1284" spans="1:5">
      <c r="A1284" t="s">
        <v>480</v>
      </c>
      <c r="B1284" t="s">
        <v>486</v>
      </c>
      <c r="C1284" t="s">
        <v>448</v>
      </c>
      <c r="D1284" t="s">
        <v>6911</v>
      </c>
      <c r="E1284">
        <v>24.9</v>
      </c>
    </row>
    <row r="1285" spans="1:5">
      <c r="A1285" t="s">
        <v>480</v>
      </c>
      <c r="B1285" t="s">
        <v>486</v>
      </c>
      <c r="C1285" t="s">
        <v>448</v>
      </c>
      <c r="D1285" t="s">
        <v>441</v>
      </c>
      <c r="E1285">
        <v>20.7</v>
      </c>
    </row>
    <row r="1286" spans="1:5">
      <c r="A1286" t="s">
        <v>480</v>
      </c>
      <c r="B1286" t="s">
        <v>486</v>
      </c>
      <c r="C1286" t="s">
        <v>448</v>
      </c>
      <c r="D1286" t="s">
        <v>6912</v>
      </c>
      <c r="E1286">
        <v>15.1</v>
      </c>
    </row>
    <row r="1287" spans="1:5">
      <c r="A1287" t="s">
        <v>480</v>
      </c>
      <c r="B1287" t="s">
        <v>486</v>
      </c>
      <c r="C1287" t="s">
        <v>448</v>
      </c>
      <c r="D1287" t="s">
        <v>443</v>
      </c>
      <c r="E1287">
        <v>7.3</v>
      </c>
    </row>
    <row r="1288" spans="1:5">
      <c r="A1288" t="s">
        <v>480</v>
      </c>
      <c r="B1288" t="s">
        <v>486</v>
      </c>
      <c r="C1288" t="s">
        <v>448</v>
      </c>
      <c r="D1288" t="s">
        <v>445</v>
      </c>
      <c r="E1288">
        <v>22.74</v>
      </c>
    </row>
    <row r="1289" spans="1:5">
      <c r="A1289" t="s">
        <v>480</v>
      </c>
      <c r="B1289" t="s">
        <v>486</v>
      </c>
      <c r="C1289" t="s">
        <v>448</v>
      </c>
      <c r="D1289" t="s">
        <v>447</v>
      </c>
      <c r="E1289">
        <v>2.76</v>
      </c>
    </row>
    <row r="1290" spans="1:5">
      <c r="A1290" t="s">
        <v>480</v>
      </c>
      <c r="B1290" t="s">
        <v>486</v>
      </c>
      <c r="C1290" t="s">
        <v>448</v>
      </c>
      <c r="D1290" t="s">
        <v>448</v>
      </c>
      <c r="E1290">
        <v>133.5</v>
      </c>
    </row>
    <row r="1291" spans="1:5">
      <c r="A1291" t="s">
        <v>480</v>
      </c>
      <c r="B1291" t="s">
        <v>487</v>
      </c>
      <c r="C1291" t="s">
        <v>467</v>
      </c>
      <c r="D1291" t="s">
        <v>437</v>
      </c>
      <c r="E1291">
        <v>4.3</v>
      </c>
    </row>
    <row r="1292" spans="1:5">
      <c r="A1292" t="s">
        <v>480</v>
      </c>
      <c r="B1292" t="s">
        <v>487</v>
      </c>
      <c r="C1292" t="s">
        <v>467</v>
      </c>
      <c r="D1292" t="s">
        <v>6911</v>
      </c>
      <c r="E1292">
        <v>0.3</v>
      </c>
    </row>
    <row r="1293" spans="1:5">
      <c r="A1293" t="s">
        <v>480</v>
      </c>
      <c r="B1293" t="s">
        <v>487</v>
      </c>
      <c r="C1293" t="s">
        <v>467</v>
      </c>
      <c r="D1293" t="s">
        <v>6912</v>
      </c>
      <c r="E1293">
        <v>1.1000000000000001</v>
      </c>
    </row>
    <row r="1294" spans="1:5">
      <c r="A1294" t="s">
        <v>480</v>
      </c>
      <c r="B1294" t="s">
        <v>487</v>
      </c>
      <c r="C1294" t="s">
        <v>467</v>
      </c>
      <c r="D1294" t="s">
        <v>443</v>
      </c>
      <c r="E1294">
        <v>8.1999999999999993</v>
      </c>
    </row>
    <row r="1295" spans="1:5">
      <c r="A1295" t="s">
        <v>480</v>
      </c>
      <c r="B1295" t="s">
        <v>487</v>
      </c>
      <c r="C1295" t="s">
        <v>467</v>
      </c>
      <c r="D1295" t="s">
        <v>448</v>
      </c>
      <c r="E1295">
        <v>13.9</v>
      </c>
    </row>
    <row r="1296" spans="1:5">
      <c r="A1296" t="s">
        <v>480</v>
      </c>
      <c r="B1296" t="s">
        <v>487</v>
      </c>
      <c r="C1296" t="s">
        <v>482</v>
      </c>
      <c r="D1296" t="s">
        <v>313</v>
      </c>
      <c r="E1296">
        <v>4.5</v>
      </c>
    </row>
    <row r="1297" spans="1:5">
      <c r="A1297" t="s">
        <v>480</v>
      </c>
      <c r="B1297" t="s">
        <v>487</v>
      </c>
      <c r="C1297" t="s">
        <v>482</v>
      </c>
      <c r="D1297" t="s">
        <v>6911</v>
      </c>
      <c r="E1297">
        <v>22.4</v>
      </c>
    </row>
    <row r="1298" spans="1:5">
      <c r="A1298" t="s">
        <v>480</v>
      </c>
      <c r="B1298" t="s">
        <v>487</v>
      </c>
      <c r="C1298" t="s">
        <v>482</v>
      </c>
      <c r="D1298" t="s">
        <v>441</v>
      </c>
      <c r="E1298">
        <v>29.7</v>
      </c>
    </row>
    <row r="1299" spans="1:5">
      <c r="A1299" t="s">
        <v>480</v>
      </c>
      <c r="B1299" t="s">
        <v>487</v>
      </c>
      <c r="C1299" t="s">
        <v>482</v>
      </c>
      <c r="D1299" t="s">
        <v>6912</v>
      </c>
      <c r="E1299">
        <v>17.899999999999999</v>
      </c>
    </row>
    <row r="1300" spans="1:5">
      <c r="A1300" t="s">
        <v>480</v>
      </c>
      <c r="B1300" t="s">
        <v>487</v>
      </c>
      <c r="C1300" t="s">
        <v>482</v>
      </c>
      <c r="D1300" t="s">
        <v>6915</v>
      </c>
      <c r="E1300">
        <v>13.5</v>
      </c>
    </row>
    <row r="1301" spans="1:5">
      <c r="A1301" t="s">
        <v>480</v>
      </c>
      <c r="B1301" t="s">
        <v>487</v>
      </c>
      <c r="C1301" t="s">
        <v>482</v>
      </c>
      <c r="D1301" t="s">
        <v>447</v>
      </c>
      <c r="E1301">
        <v>4.4000000000000004</v>
      </c>
    </row>
    <row r="1302" spans="1:5">
      <c r="A1302" t="s">
        <v>480</v>
      </c>
      <c r="B1302" t="s">
        <v>487</v>
      </c>
      <c r="C1302" t="s">
        <v>482</v>
      </c>
      <c r="D1302" t="s">
        <v>448</v>
      </c>
      <c r="E1302">
        <v>92.4</v>
      </c>
    </row>
    <row r="1303" spans="1:5">
      <c r="A1303" t="s">
        <v>480</v>
      </c>
      <c r="B1303" t="s">
        <v>487</v>
      </c>
      <c r="C1303" t="s">
        <v>448</v>
      </c>
      <c r="D1303" t="s">
        <v>437</v>
      </c>
      <c r="E1303">
        <v>4.3</v>
      </c>
    </row>
    <row r="1304" spans="1:5">
      <c r="A1304" t="s">
        <v>480</v>
      </c>
      <c r="B1304" t="s">
        <v>487</v>
      </c>
      <c r="C1304" t="s">
        <v>448</v>
      </c>
      <c r="D1304" t="s">
        <v>313</v>
      </c>
      <c r="E1304">
        <v>4.5</v>
      </c>
    </row>
    <row r="1305" spans="1:5">
      <c r="A1305" t="s">
        <v>480</v>
      </c>
      <c r="B1305" t="s">
        <v>487</v>
      </c>
      <c r="C1305" t="s">
        <v>448</v>
      </c>
      <c r="D1305" t="s">
        <v>6911</v>
      </c>
      <c r="E1305">
        <v>22.7</v>
      </c>
    </row>
    <row r="1306" spans="1:5">
      <c r="A1306" t="s">
        <v>480</v>
      </c>
      <c r="B1306" t="s">
        <v>487</v>
      </c>
      <c r="C1306" t="s">
        <v>448</v>
      </c>
      <c r="D1306" t="s">
        <v>441</v>
      </c>
      <c r="E1306">
        <v>29.7</v>
      </c>
    </row>
    <row r="1307" spans="1:5">
      <c r="A1307" t="s">
        <v>480</v>
      </c>
      <c r="B1307" t="s">
        <v>487</v>
      </c>
      <c r="C1307" t="s">
        <v>448</v>
      </c>
      <c r="D1307" t="s">
        <v>6912</v>
      </c>
      <c r="E1307">
        <v>19</v>
      </c>
    </row>
    <row r="1308" spans="1:5">
      <c r="A1308" t="s">
        <v>480</v>
      </c>
      <c r="B1308" t="s">
        <v>487</v>
      </c>
      <c r="C1308" t="s">
        <v>448</v>
      </c>
      <c r="D1308" t="s">
        <v>443</v>
      </c>
      <c r="E1308">
        <v>8.1999999999999993</v>
      </c>
    </row>
    <row r="1309" spans="1:5">
      <c r="A1309" t="s">
        <v>480</v>
      </c>
      <c r="B1309" t="s">
        <v>487</v>
      </c>
      <c r="C1309" t="s">
        <v>448</v>
      </c>
      <c r="D1309" t="s">
        <v>6915</v>
      </c>
      <c r="E1309">
        <v>13.5</v>
      </c>
    </row>
    <row r="1310" spans="1:5">
      <c r="A1310" t="s">
        <v>480</v>
      </c>
      <c r="B1310" t="s">
        <v>487</v>
      </c>
      <c r="C1310" t="s">
        <v>448</v>
      </c>
      <c r="D1310" t="s">
        <v>447</v>
      </c>
      <c r="E1310">
        <v>4.4000000000000004</v>
      </c>
    </row>
    <row r="1311" spans="1:5">
      <c r="A1311" t="s">
        <v>480</v>
      </c>
      <c r="B1311" t="s">
        <v>487</v>
      </c>
      <c r="C1311" t="s">
        <v>448</v>
      </c>
      <c r="D1311" t="s">
        <v>448</v>
      </c>
      <c r="E1311">
        <v>106.3</v>
      </c>
    </row>
    <row r="1312" spans="1:5">
      <c r="A1312" t="s">
        <v>480</v>
      </c>
      <c r="B1312" t="s">
        <v>488</v>
      </c>
      <c r="C1312" t="s">
        <v>467</v>
      </c>
      <c r="D1312" t="s">
        <v>437</v>
      </c>
      <c r="E1312">
        <v>7.2</v>
      </c>
    </row>
    <row r="1313" spans="1:5">
      <c r="A1313" t="s">
        <v>480</v>
      </c>
      <c r="B1313" t="s">
        <v>488</v>
      </c>
      <c r="C1313" t="s">
        <v>467</v>
      </c>
      <c r="D1313" t="s">
        <v>6911</v>
      </c>
      <c r="E1313">
        <v>6</v>
      </c>
    </row>
    <row r="1314" spans="1:5">
      <c r="A1314" t="s">
        <v>480</v>
      </c>
      <c r="B1314" t="s">
        <v>488</v>
      </c>
      <c r="C1314" t="s">
        <v>467</v>
      </c>
      <c r="D1314" t="s">
        <v>443</v>
      </c>
      <c r="E1314">
        <v>7.4</v>
      </c>
    </row>
    <row r="1315" spans="1:5">
      <c r="A1315" t="s">
        <v>480</v>
      </c>
      <c r="B1315" t="s">
        <v>488</v>
      </c>
      <c r="C1315" t="s">
        <v>467</v>
      </c>
      <c r="D1315" t="s">
        <v>445</v>
      </c>
      <c r="E1315">
        <v>18.100000000000001</v>
      </c>
    </row>
    <row r="1316" spans="1:5">
      <c r="A1316" t="s">
        <v>480</v>
      </c>
      <c r="B1316" t="s">
        <v>488</v>
      </c>
      <c r="C1316" t="s">
        <v>467</v>
      </c>
      <c r="D1316" t="s">
        <v>448</v>
      </c>
      <c r="E1316">
        <v>38.700000000000003</v>
      </c>
    </row>
    <row r="1317" spans="1:5">
      <c r="A1317" t="s">
        <v>480</v>
      </c>
      <c r="B1317" t="s">
        <v>488</v>
      </c>
      <c r="C1317" t="s">
        <v>482</v>
      </c>
      <c r="D1317" t="s">
        <v>437</v>
      </c>
      <c r="E1317">
        <v>10.5</v>
      </c>
    </row>
    <row r="1318" spans="1:5">
      <c r="A1318" t="s">
        <v>480</v>
      </c>
      <c r="B1318" t="s">
        <v>488</v>
      </c>
      <c r="C1318" t="s">
        <v>482</v>
      </c>
      <c r="D1318" t="s">
        <v>217</v>
      </c>
      <c r="E1318">
        <v>0.9</v>
      </c>
    </row>
    <row r="1319" spans="1:5">
      <c r="A1319" t="s">
        <v>480</v>
      </c>
      <c r="B1319" t="s">
        <v>488</v>
      </c>
      <c r="C1319" t="s">
        <v>482</v>
      </c>
      <c r="D1319" t="s">
        <v>313</v>
      </c>
      <c r="E1319">
        <v>22.8</v>
      </c>
    </row>
    <row r="1320" spans="1:5">
      <c r="A1320" t="s">
        <v>480</v>
      </c>
      <c r="B1320" t="s">
        <v>488</v>
      </c>
      <c r="C1320" t="s">
        <v>482</v>
      </c>
      <c r="D1320" t="s">
        <v>6911</v>
      </c>
      <c r="E1320">
        <v>24.2</v>
      </c>
    </row>
    <row r="1321" spans="1:5">
      <c r="A1321" t="s">
        <v>480</v>
      </c>
      <c r="B1321" t="s">
        <v>488</v>
      </c>
      <c r="C1321" t="s">
        <v>482</v>
      </c>
      <c r="D1321" t="s">
        <v>441</v>
      </c>
      <c r="E1321">
        <v>30</v>
      </c>
    </row>
    <row r="1322" spans="1:5">
      <c r="A1322" t="s">
        <v>480</v>
      </c>
      <c r="B1322" t="s">
        <v>488</v>
      </c>
      <c r="C1322" t="s">
        <v>482</v>
      </c>
      <c r="D1322" t="s">
        <v>6912</v>
      </c>
      <c r="E1322">
        <v>18.3</v>
      </c>
    </row>
    <row r="1323" spans="1:5">
      <c r="A1323" t="s">
        <v>480</v>
      </c>
      <c r="B1323" t="s">
        <v>488</v>
      </c>
      <c r="C1323" t="s">
        <v>482</v>
      </c>
      <c r="D1323" t="s">
        <v>447</v>
      </c>
      <c r="E1323">
        <v>1.1000000000000001</v>
      </c>
    </row>
    <row r="1324" spans="1:5">
      <c r="A1324" t="s">
        <v>480</v>
      </c>
      <c r="B1324" t="s">
        <v>488</v>
      </c>
      <c r="C1324" t="s">
        <v>482</v>
      </c>
      <c r="D1324" t="s">
        <v>448</v>
      </c>
      <c r="E1324">
        <v>107.8</v>
      </c>
    </row>
    <row r="1325" spans="1:5">
      <c r="A1325" t="s">
        <v>480</v>
      </c>
      <c r="B1325" t="s">
        <v>488</v>
      </c>
      <c r="C1325" t="s">
        <v>448</v>
      </c>
      <c r="D1325" t="s">
        <v>437</v>
      </c>
      <c r="E1325">
        <v>17.7</v>
      </c>
    </row>
    <row r="1326" spans="1:5">
      <c r="A1326" t="s">
        <v>480</v>
      </c>
      <c r="B1326" t="s">
        <v>488</v>
      </c>
      <c r="C1326" t="s">
        <v>448</v>
      </c>
      <c r="D1326" t="s">
        <v>217</v>
      </c>
      <c r="E1326">
        <v>0.9</v>
      </c>
    </row>
    <row r="1327" spans="1:5">
      <c r="A1327" t="s">
        <v>480</v>
      </c>
      <c r="B1327" t="s">
        <v>488</v>
      </c>
      <c r="C1327" t="s">
        <v>448</v>
      </c>
      <c r="D1327" t="s">
        <v>313</v>
      </c>
      <c r="E1327">
        <v>22.8</v>
      </c>
    </row>
    <row r="1328" spans="1:5">
      <c r="A1328" t="s">
        <v>480</v>
      </c>
      <c r="B1328" t="s">
        <v>488</v>
      </c>
      <c r="C1328" t="s">
        <v>448</v>
      </c>
      <c r="D1328" t="s">
        <v>6911</v>
      </c>
      <c r="E1328">
        <v>30.2</v>
      </c>
    </row>
    <row r="1329" spans="1:5">
      <c r="A1329" t="s">
        <v>480</v>
      </c>
      <c r="B1329" t="s">
        <v>488</v>
      </c>
      <c r="C1329" t="s">
        <v>448</v>
      </c>
      <c r="D1329" t="s">
        <v>441</v>
      </c>
      <c r="E1329">
        <v>30</v>
      </c>
    </row>
    <row r="1330" spans="1:5">
      <c r="A1330" t="s">
        <v>480</v>
      </c>
      <c r="B1330" t="s">
        <v>488</v>
      </c>
      <c r="C1330" t="s">
        <v>448</v>
      </c>
      <c r="D1330" t="s">
        <v>6912</v>
      </c>
      <c r="E1330">
        <v>18.3</v>
      </c>
    </row>
    <row r="1331" spans="1:5">
      <c r="A1331" t="s">
        <v>480</v>
      </c>
      <c r="B1331" t="s">
        <v>488</v>
      </c>
      <c r="C1331" t="s">
        <v>448</v>
      </c>
      <c r="D1331" t="s">
        <v>443</v>
      </c>
      <c r="E1331">
        <v>7.4</v>
      </c>
    </row>
    <row r="1332" spans="1:5">
      <c r="A1332" t="s">
        <v>480</v>
      </c>
      <c r="B1332" t="s">
        <v>488</v>
      </c>
      <c r="C1332" t="s">
        <v>448</v>
      </c>
      <c r="D1332" t="s">
        <v>445</v>
      </c>
      <c r="E1332">
        <v>18.100000000000001</v>
      </c>
    </row>
    <row r="1333" spans="1:5">
      <c r="A1333" t="s">
        <v>480</v>
      </c>
      <c r="B1333" t="s">
        <v>488</v>
      </c>
      <c r="C1333" t="s">
        <v>448</v>
      </c>
      <c r="D1333" t="s">
        <v>447</v>
      </c>
      <c r="E1333">
        <v>1.1000000000000001</v>
      </c>
    </row>
    <row r="1334" spans="1:5">
      <c r="A1334" t="s">
        <v>480</v>
      </c>
      <c r="B1334" t="s">
        <v>488</v>
      </c>
      <c r="C1334" t="s">
        <v>448</v>
      </c>
      <c r="D1334" t="s">
        <v>448</v>
      </c>
      <c r="E1334">
        <v>146.5</v>
      </c>
    </row>
    <row r="1335" spans="1:5">
      <c r="A1335" t="s">
        <v>480</v>
      </c>
      <c r="B1335" t="s">
        <v>489</v>
      </c>
      <c r="C1335" t="s">
        <v>467</v>
      </c>
      <c r="D1335" t="s">
        <v>437</v>
      </c>
      <c r="E1335">
        <v>8.1999999999999993</v>
      </c>
    </row>
    <row r="1336" spans="1:5">
      <c r="A1336" t="s">
        <v>480</v>
      </c>
      <c r="B1336" t="s">
        <v>489</v>
      </c>
      <c r="C1336" t="s">
        <v>467</v>
      </c>
      <c r="D1336" t="s">
        <v>6911</v>
      </c>
      <c r="E1336">
        <v>5.2</v>
      </c>
    </row>
    <row r="1337" spans="1:5">
      <c r="A1337" t="s">
        <v>480</v>
      </c>
      <c r="B1337" t="s">
        <v>489</v>
      </c>
      <c r="C1337" t="s">
        <v>467</v>
      </c>
      <c r="D1337" t="s">
        <v>443</v>
      </c>
      <c r="E1337">
        <v>7.6</v>
      </c>
    </row>
    <row r="1338" spans="1:5">
      <c r="A1338" t="s">
        <v>480</v>
      </c>
      <c r="B1338" t="s">
        <v>489</v>
      </c>
      <c r="C1338" t="s">
        <v>467</v>
      </c>
      <c r="D1338" t="s">
        <v>445</v>
      </c>
      <c r="E1338">
        <v>13.6</v>
      </c>
    </row>
    <row r="1339" spans="1:5">
      <c r="A1339" t="s">
        <v>480</v>
      </c>
      <c r="B1339" t="s">
        <v>489</v>
      </c>
      <c r="C1339" t="s">
        <v>467</v>
      </c>
      <c r="D1339" t="s">
        <v>448</v>
      </c>
      <c r="E1339">
        <v>34.6</v>
      </c>
    </row>
    <row r="1340" spans="1:5">
      <c r="A1340" t="s">
        <v>480</v>
      </c>
      <c r="B1340" t="s">
        <v>489</v>
      </c>
      <c r="C1340" t="s">
        <v>482</v>
      </c>
      <c r="D1340" t="s">
        <v>217</v>
      </c>
      <c r="E1340">
        <v>5.2</v>
      </c>
    </row>
    <row r="1341" spans="1:5">
      <c r="A1341" t="s">
        <v>480</v>
      </c>
      <c r="B1341" t="s">
        <v>489</v>
      </c>
      <c r="C1341" t="s">
        <v>482</v>
      </c>
      <c r="D1341" t="s">
        <v>313</v>
      </c>
      <c r="E1341">
        <v>0.9</v>
      </c>
    </row>
    <row r="1342" spans="1:5">
      <c r="A1342" t="s">
        <v>480</v>
      </c>
      <c r="B1342" t="s">
        <v>489</v>
      </c>
      <c r="C1342" t="s">
        <v>482</v>
      </c>
      <c r="D1342" t="s">
        <v>6911</v>
      </c>
      <c r="E1342">
        <v>28.9</v>
      </c>
    </row>
    <row r="1343" spans="1:5">
      <c r="A1343" t="s">
        <v>480</v>
      </c>
      <c r="B1343" t="s">
        <v>489</v>
      </c>
      <c r="C1343" t="s">
        <v>482</v>
      </c>
      <c r="D1343" t="s">
        <v>441</v>
      </c>
      <c r="E1343">
        <v>32.1</v>
      </c>
    </row>
    <row r="1344" spans="1:5">
      <c r="A1344" t="s">
        <v>480</v>
      </c>
      <c r="B1344" t="s">
        <v>489</v>
      </c>
      <c r="C1344" t="s">
        <v>482</v>
      </c>
      <c r="D1344" t="s">
        <v>6912</v>
      </c>
      <c r="E1344">
        <v>14.1</v>
      </c>
    </row>
    <row r="1345" spans="1:5">
      <c r="A1345" t="s">
        <v>480</v>
      </c>
      <c r="B1345" t="s">
        <v>489</v>
      </c>
      <c r="C1345" t="s">
        <v>482</v>
      </c>
      <c r="D1345" t="s">
        <v>6915</v>
      </c>
      <c r="E1345">
        <v>27</v>
      </c>
    </row>
    <row r="1346" spans="1:5">
      <c r="A1346" t="s">
        <v>480</v>
      </c>
      <c r="B1346" t="s">
        <v>489</v>
      </c>
      <c r="C1346" t="s">
        <v>482</v>
      </c>
      <c r="D1346" t="s">
        <v>447</v>
      </c>
      <c r="E1346">
        <v>13.1</v>
      </c>
    </row>
    <row r="1347" spans="1:5">
      <c r="A1347" t="s">
        <v>480</v>
      </c>
      <c r="B1347" t="s">
        <v>489</v>
      </c>
      <c r="C1347" t="s">
        <v>482</v>
      </c>
      <c r="D1347" t="s">
        <v>448</v>
      </c>
      <c r="E1347">
        <v>121.3</v>
      </c>
    </row>
    <row r="1348" spans="1:5">
      <c r="A1348" t="s">
        <v>480</v>
      </c>
      <c r="B1348" t="s">
        <v>489</v>
      </c>
      <c r="C1348" t="s">
        <v>448</v>
      </c>
      <c r="D1348" t="s">
        <v>437</v>
      </c>
      <c r="E1348">
        <v>8.1999999999999993</v>
      </c>
    </row>
    <row r="1349" spans="1:5">
      <c r="A1349" t="s">
        <v>480</v>
      </c>
      <c r="B1349" t="s">
        <v>489</v>
      </c>
      <c r="C1349" t="s">
        <v>448</v>
      </c>
      <c r="D1349" t="s">
        <v>217</v>
      </c>
      <c r="E1349">
        <v>5.2</v>
      </c>
    </row>
    <row r="1350" spans="1:5">
      <c r="A1350" t="s">
        <v>480</v>
      </c>
      <c r="B1350" t="s">
        <v>489</v>
      </c>
      <c r="C1350" t="s">
        <v>448</v>
      </c>
      <c r="D1350" t="s">
        <v>313</v>
      </c>
      <c r="E1350">
        <v>0.9</v>
      </c>
    </row>
    <row r="1351" spans="1:5">
      <c r="A1351" t="s">
        <v>480</v>
      </c>
      <c r="B1351" t="s">
        <v>489</v>
      </c>
      <c r="C1351" t="s">
        <v>448</v>
      </c>
      <c r="D1351" t="s">
        <v>6911</v>
      </c>
      <c r="E1351">
        <v>34.1</v>
      </c>
    </row>
    <row r="1352" spans="1:5">
      <c r="A1352" t="s">
        <v>480</v>
      </c>
      <c r="B1352" t="s">
        <v>489</v>
      </c>
      <c r="C1352" t="s">
        <v>448</v>
      </c>
      <c r="D1352" t="s">
        <v>441</v>
      </c>
      <c r="E1352">
        <v>32.1</v>
      </c>
    </row>
    <row r="1353" spans="1:5">
      <c r="A1353" t="s">
        <v>480</v>
      </c>
      <c r="B1353" t="s">
        <v>489</v>
      </c>
      <c r="C1353" t="s">
        <v>448</v>
      </c>
      <c r="D1353" t="s">
        <v>6912</v>
      </c>
      <c r="E1353">
        <v>14.1</v>
      </c>
    </row>
    <row r="1354" spans="1:5">
      <c r="A1354" t="s">
        <v>480</v>
      </c>
      <c r="B1354" t="s">
        <v>489</v>
      </c>
      <c r="C1354" t="s">
        <v>448</v>
      </c>
      <c r="D1354" t="s">
        <v>443</v>
      </c>
      <c r="E1354">
        <v>7.6</v>
      </c>
    </row>
    <row r="1355" spans="1:5">
      <c r="A1355" t="s">
        <v>480</v>
      </c>
      <c r="B1355" t="s">
        <v>489</v>
      </c>
      <c r="C1355" t="s">
        <v>448</v>
      </c>
      <c r="D1355" t="s">
        <v>445</v>
      </c>
      <c r="E1355">
        <v>13.6</v>
      </c>
    </row>
    <row r="1356" spans="1:5">
      <c r="A1356" t="s">
        <v>480</v>
      </c>
      <c r="B1356" t="s">
        <v>489</v>
      </c>
      <c r="C1356" t="s">
        <v>448</v>
      </c>
      <c r="D1356" t="s">
        <v>6915</v>
      </c>
      <c r="E1356">
        <v>27</v>
      </c>
    </row>
    <row r="1357" spans="1:5">
      <c r="A1357" t="s">
        <v>480</v>
      </c>
      <c r="B1357" t="s">
        <v>489</v>
      </c>
      <c r="C1357" t="s">
        <v>448</v>
      </c>
      <c r="D1357" t="s">
        <v>447</v>
      </c>
      <c r="E1357">
        <v>13.1</v>
      </c>
    </row>
    <row r="1358" spans="1:5">
      <c r="A1358" t="s">
        <v>480</v>
      </c>
      <c r="B1358" t="s">
        <v>489</v>
      </c>
      <c r="C1358" t="s">
        <v>448</v>
      </c>
      <c r="D1358" t="s">
        <v>448</v>
      </c>
      <c r="E1358">
        <v>155.9</v>
      </c>
    </row>
    <row r="1359" spans="1:5">
      <c r="A1359" t="s">
        <v>480</v>
      </c>
      <c r="B1359" t="s">
        <v>6918</v>
      </c>
      <c r="C1359" t="s">
        <v>467</v>
      </c>
      <c r="D1359" t="s">
        <v>437</v>
      </c>
      <c r="E1359">
        <v>7</v>
      </c>
    </row>
    <row r="1360" spans="1:5">
      <c r="A1360" t="s">
        <v>480</v>
      </c>
      <c r="B1360" t="s">
        <v>6918</v>
      </c>
      <c r="C1360" t="s">
        <v>467</v>
      </c>
      <c r="D1360" t="s">
        <v>6911</v>
      </c>
      <c r="E1360">
        <v>3.7</v>
      </c>
    </row>
    <row r="1361" spans="1:5">
      <c r="A1361" t="s">
        <v>480</v>
      </c>
      <c r="B1361" t="s">
        <v>6918</v>
      </c>
      <c r="C1361" t="s">
        <v>467</v>
      </c>
      <c r="D1361" t="s">
        <v>443</v>
      </c>
      <c r="E1361">
        <v>7.9</v>
      </c>
    </row>
    <row r="1362" spans="1:5">
      <c r="A1362" t="s">
        <v>480</v>
      </c>
      <c r="B1362" t="s">
        <v>6918</v>
      </c>
      <c r="C1362" t="s">
        <v>467</v>
      </c>
      <c r="D1362" t="s">
        <v>445</v>
      </c>
      <c r="E1362">
        <v>14.7</v>
      </c>
    </row>
    <row r="1363" spans="1:5">
      <c r="A1363" t="s">
        <v>480</v>
      </c>
      <c r="B1363" t="s">
        <v>6918</v>
      </c>
      <c r="C1363" t="s">
        <v>467</v>
      </c>
      <c r="D1363" t="s">
        <v>448</v>
      </c>
      <c r="E1363">
        <v>33.299999999999997</v>
      </c>
    </row>
    <row r="1364" spans="1:5">
      <c r="A1364" t="s">
        <v>480</v>
      </c>
      <c r="B1364" t="s">
        <v>6918</v>
      </c>
      <c r="C1364" t="s">
        <v>482</v>
      </c>
      <c r="D1364" t="s">
        <v>437</v>
      </c>
      <c r="E1364">
        <v>0.1</v>
      </c>
    </row>
    <row r="1365" spans="1:5">
      <c r="A1365" t="s">
        <v>480</v>
      </c>
      <c r="B1365" t="s">
        <v>6918</v>
      </c>
      <c r="C1365" t="s">
        <v>482</v>
      </c>
      <c r="D1365" t="s">
        <v>217</v>
      </c>
      <c r="E1365">
        <v>0.3</v>
      </c>
    </row>
    <row r="1366" spans="1:5">
      <c r="A1366" t="s">
        <v>480</v>
      </c>
      <c r="B1366" t="s">
        <v>6918</v>
      </c>
      <c r="C1366" t="s">
        <v>482</v>
      </c>
      <c r="D1366" t="s">
        <v>313</v>
      </c>
      <c r="E1366">
        <v>19.8</v>
      </c>
    </row>
    <row r="1367" spans="1:5">
      <c r="A1367" t="s">
        <v>480</v>
      </c>
      <c r="B1367" t="s">
        <v>6918</v>
      </c>
      <c r="C1367" t="s">
        <v>482</v>
      </c>
      <c r="D1367" t="s">
        <v>6911</v>
      </c>
      <c r="E1367">
        <v>24.3</v>
      </c>
    </row>
    <row r="1368" spans="1:5">
      <c r="A1368" t="s">
        <v>480</v>
      </c>
      <c r="B1368" t="s">
        <v>6918</v>
      </c>
      <c r="C1368" t="s">
        <v>482</v>
      </c>
      <c r="D1368" t="s">
        <v>441</v>
      </c>
      <c r="E1368">
        <v>30.3</v>
      </c>
    </row>
    <row r="1369" spans="1:5">
      <c r="A1369" t="s">
        <v>480</v>
      </c>
      <c r="B1369" t="s">
        <v>6918</v>
      </c>
      <c r="C1369" t="s">
        <v>482</v>
      </c>
      <c r="D1369" t="s">
        <v>6912</v>
      </c>
      <c r="E1369">
        <v>14.8</v>
      </c>
    </row>
    <row r="1370" spans="1:5">
      <c r="A1370" t="s">
        <v>480</v>
      </c>
      <c r="B1370" t="s">
        <v>6918</v>
      </c>
      <c r="C1370" t="s">
        <v>482</v>
      </c>
      <c r="D1370" t="s">
        <v>448</v>
      </c>
      <c r="E1370">
        <v>89.6</v>
      </c>
    </row>
    <row r="1371" spans="1:5">
      <c r="A1371" t="s">
        <v>480</v>
      </c>
      <c r="B1371" t="s">
        <v>6918</v>
      </c>
      <c r="C1371" t="s">
        <v>448</v>
      </c>
      <c r="D1371" t="s">
        <v>437</v>
      </c>
      <c r="E1371">
        <v>7.1</v>
      </c>
    </row>
    <row r="1372" spans="1:5">
      <c r="A1372" t="s">
        <v>480</v>
      </c>
      <c r="B1372" t="s">
        <v>6918</v>
      </c>
      <c r="C1372" t="s">
        <v>448</v>
      </c>
      <c r="D1372" t="s">
        <v>217</v>
      </c>
      <c r="E1372">
        <v>0.3</v>
      </c>
    </row>
    <row r="1373" spans="1:5">
      <c r="A1373" t="s">
        <v>480</v>
      </c>
      <c r="B1373" t="s">
        <v>6918</v>
      </c>
      <c r="C1373" t="s">
        <v>448</v>
      </c>
      <c r="D1373" t="s">
        <v>313</v>
      </c>
      <c r="E1373">
        <v>19.8</v>
      </c>
    </row>
    <row r="1374" spans="1:5">
      <c r="A1374" t="s">
        <v>480</v>
      </c>
      <c r="B1374" t="s">
        <v>6918</v>
      </c>
      <c r="C1374" t="s">
        <v>448</v>
      </c>
      <c r="D1374" t="s">
        <v>6911</v>
      </c>
      <c r="E1374">
        <v>28</v>
      </c>
    </row>
    <row r="1375" spans="1:5">
      <c r="A1375" t="s">
        <v>480</v>
      </c>
      <c r="B1375" t="s">
        <v>6918</v>
      </c>
      <c r="C1375" t="s">
        <v>448</v>
      </c>
      <c r="D1375" t="s">
        <v>441</v>
      </c>
      <c r="E1375">
        <v>30.3</v>
      </c>
    </row>
    <row r="1376" spans="1:5">
      <c r="A1376" t="s">
        <v>480</v>
      </c>
      <c r="B1376" t="s">
        <v>6918</v>
      </c>
      <c r="C1376" t="s">
        <v>448</v>
      </c>
      <c r="D1376" t="s">
        <v>6912</v>
      </c>
      <c r="E1376">
        <v>14.8</v>
      </c>
    </row>
    <row r="1377" spans="1:5">
      <c r="A1377" t="s">
        <v>480</v>
      </c>
      <c r="B1377" t="s">
        <v>6918</v>
      </c>
      <c r="C1377" t="s">
        <v>448</v>
      </c>
      <c r="D1377" t="s">
        <v>443</v>
      </c>
      <c r="E1377">
        <v>7.9</v>
      </c>
    </row>
    <row r="1378" spans="1:5">
      <c r="A1378" t="s">
        <v>480</v>
      </c>
      <c r="B1378" t="s">
        <v>6918</v>
      </c>
      <c r="C1378" t="s">
        <v>448</v>
      </c>
      <c r="D1378" t="s">
        <v>445</v>
      </c>
      <c r="E1378">
        <v>14.7</v>
      </c>
    </row>
    <row r="1379" spans="1:5">
      <c r="A1379" t="s">
        <v>480</v>
      </c>
      <c r="B1379" t="s">
        <v>6918</v>
      </c>
      <c r="C1379" t="s">
        <v>448</v>
      </c>
      <c r="D1379" t="s">
        <v>448</v>
      </c>
      <c r="E1379">
        <v>122.9</v>
      </c>
    </row>
    <row r="1380" spans="1:5">
      <c r="A1380" t="s">
        <v>480</v>
      </c>
      <c r="B1380" t="s">
        <v>491</v>
      </c>
      <c r="C1380" t="s">
        <v>467</v>
      </c>
      <c r="D1380" t="s">
        <v>437</v>
      </c>
      <c r="E1380">
        <v>13.4</v>
      </c>
    </row>
    <row r="1381" spans="1:5">
      <c r="A1381" t="s">
        <v>480</v>
      </c>
      <c r="B1381" t="s">
        <v>491</v>
      </c>
      <c r="C1381" t="s">
        <v>467</v>
      </c>
      <c r="D1381" t="s">
        <v>6911</v>
      </c>
      <c r="E1381">
        <v>8.6</v>
      </c>
    </row>
    <row r="1382" spans="1:5">
      <c r="A1382" t="s">
        <v>480</v>
      </c>
      <c r="B1382" t="s">
        <v>491</v>
      </c>
      <c r="C1382" t="s">
        <v>467</v>
      </c>
      <c r="D1382" t="s">
        <v>6912</v>
      </c>
      <c r="E1382">
        <v>0.6</v>
      </c>
    </row>
    <row r="1383" spans="1:5">
      <c r="A1383" t="s">
        <v>480</v>
      </c>
      <c r="B1383" t="s">
        <v>491</v>
      </c>
      <c r="C1383" t="s">
        <v>467</v>
      </c>
      <c r="D1383" t="s">
        <v>443</v>
      </c>
      <c r="E1383">
        <v>12.4</v>
      </c>
    </row>
    <row r="1384" spans="1:5">
      <c r="A1384" t="s">
        <v>480</v>
      </c>
      <c r="B1384" t="s">
        <v>491</v>
      </c>
      <c r="C1384" t="s">
        <v>467</v>
      </c>
      <c r="D1384" t="s">
        <v>445</v>
      </c>
      <c r="E1384">
        <v>21.7</v>
      </c>
    </row>
    <row r="1385" spans="1:5">
      <c r="A1385" t="s">
        <v>480</v>
      </c>
      <c r="B1385" t="s">
        <v>491</v>
      </c>
      <c r="C1385" t="s">
        <v>467</v>
      </c>
      <c r="D1385" t="s">
        <v>448</v>
      </c>
      <c r="E1385">
        <v>56.7</v>
      </c>
    </row>
    <row r="1386" spans="1:5">
      <c r="A1386" t="s">
        <v>480</v>
      </c>
      <c r="B1386" t="s">
        <v>491</v>
      </c>
      <c r="C1386" t="s">
        <v>482</v>
      </c>
      <c r="D1386" t="s">
        <v>437</v>
      </c>
      <c r="E1386">
        <v>0.5</v>
      </c>
    </row>
    <row r="1387" spans="1:5">
      <c r="A1387" t="s">
        <v>480</v>
      </c>
      <c r="B1387" t="s">
        <v>491</v>
      </c>
      <c r="C1387" t="s">
        <v>482</v>
      </c>
      <c r="D1387" t="s">
        <v>217</v>
      </c>
      <c r="E1387">
        <v>0.2</v>
      </c>
    </row>
    <row r="1388" spans="1:5">
      <c r="A1388" t="s">
        <v>480</v>
      </c>
      <c r="B1388" t="s">
        <v>491</v>
      </c>
      <c r="C1388" t="s">
        <v>482</v>
      </c>
      <c r="D1388" t="s">
        <v>313</v>
      </c>
      <c r="E1388">
        <v>5.3</v>
      </c>
    </row>
    <row r="1389" spans="1:5">
      <c r="A1389" t="s">
        <v>480</v>
      </c>
      <c r="B1389" t="s">
        <v>491</v>
      </c>
      <c r="C1389" t="s">
        <v>482</v>
      </c>
      <c r="D1389" t="s">
        <v>6911</v>
      </c>
      <c r="E1389">
        <v>47.5</v>
      </c>
    </row>
    <row r="1390" spans="1:5">
      <c r="A1390" t="s">
        <v>480</v>
      </c>
      <c r="B1390" t="s">
        <v>491</v>
      </c>
      <c r="C1390" t="s">
        <v>482</v>
      </c>
      <c r="D1390" t="s">
        <v>441</v>
      </c>
      <c r="E1390">
        <v>37.1</v>
      </c>
    </row>
    <row r="1391" spans="1:5">
      <c r="A1391" t="s">
        <v>480</v>
      </c>
      <c r="B1391" t="s">
        <v>491</v>
      </c>
      <c r="C1391" t="s">
        <v>482</v>
      </c>
      <c r="D1391" t="s">
        <v>6912</v>
      </c>
      <c r="E1391">
        <v>14</v>
      </c>
    </row>
    <row r="1392" spans="1:5">
      <c r="A1392" t="s">
        <v>480</v>
      </c>
      <c r="B1392" t="s">
        <v>491</v>
      </c>
      <c r="C1392" t="s">
        <v>482</v>
      </c>
      <c r="D1392" t="s">
        <v>448</v>
      </c>
      <c r="E1392">
        <v>104.6</v>
      </c>
    </row>
    <row r="1393" spans="1:5">
      <c r="A1393" t="s">
        <v>480</v>
      </c>
      <c r="B1393" t="s">
        <v>491</v>
      </c>
      <c r="C1393" t="s">
        <v>448</v>
      </c>
      <c r="D1393" t="s">
        <v>437</v>
      </c>
      <c r="E1393">
        <v>13.9</v>
      </c>
    </row>
    <row r="1394" spans="1:5">
      <c r="A1394" t="s">
        <v>480</v>
      </c>
      <c r="B1394" t="s">
        <v>491</v>
      </c>
      <c r="C1394" t="s">
        <v>448</v>
      </c>
      <c r="D1394" t="s">
        <v>217</v>
      </c>
      <c r="E1394">
        <v>0.2</v>
      </c>
    </row>
    <row r="1395" spans="1:5">
      <c r="A1395" t="s">
        <v>480</v>
      </c>
      <c r="B1395" t="s">
        <v>491</v>
      </c>
      <c r="C1395" t="s">
        <v>448</v>
      </c>
      <c r="D1395" t="s">
        <v>313</v>
      </c>
      <c r="E1395">
        <v>5.3</v>
      </c>
    </row>
    <row r="1396" spans="1:5">
      <c r="A1396" t="s">
        <v>480</v>
      </c>
      <c r="B1396" t="s">
        <v>491</v>
      </c>
      <c r="C1396" t="s">
        <v>448</v>
      </c>
      <c r="D1396" t="s">
        <v>6911</v>
      </c>
      <c r="E1396">
        <v>56.1</v>
      </c>
    </row>
    <row r="1397" spans="1:5">
      <c r="A1397" t="s">
        <v>480</v>
      </c>
      <c r="B1397" t="s">
        <v>491</v>
      </c>
      <c r="C1397" t="s">
        <v>448</v>
      </c>
      <c r="D1397" t="s">
        <v>441</v>
      </c>
      <c r="E1397">
        <v>37.1</v>
      </c>
    </row>
    <row r="1398" spans="1:5">
      <c r="A1398" t="s">
        <v>480</v>
      </c>
      <c r="B1398" t="s">
        <v>491</v>
      </c>
      <c r="C1398" t="s">
        <v>448</v>
      </c>
      <c r="D1398" t="s">
        <v>6912</v>
      </c>
      <c r="E1398">
        <v>14.6</v>
      </c>
    </row>
    <row r="1399" spans="1:5">
      <c r="A1399" t="s">
        <v>480</v>
      </c>
      <c r="B1399" t="s">
        <v>491</v>
      </c>
      <c r="C1399" t="s">
        <v>448</v>
      </c>
      <c r="D1399" t="s">
        <v>443</v>
      </c>
      <c r="E1399">
        <v>12.4</v>
      </c>
    </row>
    <row r="1400" spans="1:5">
      <c r="A1400" t="s">
        <v>480</v>
      </c>
      <c r="B1400" t="s">
        <v>491</v>
      </c>
      <c r="C1400" t="s">
        <v>448</v>
      </c>
      <c r="D1400" t="s">
        <v>445</v>
      </c>
      <c r="E1400">
        <v>21.7</v>
      </c>
    </row>
    <row r="1401" spans="1:5">
      <c r="A1401" t="s">
        <v>480</v>
      </c>
      <c r="B1401" t="s">
        <v>491</v>
      </c>
      <c r="C1401" t="s">
        <v>448</v>
      </c>
      <c r="D1401" t="s">
        <v>448</v>
      </c>
      <c r="E1401">
        <v>161.30000000000001</v>
      </c>
    </row>
    <row r="1402" spans="1:5">
      <c r="A1402" t="s">
        <v>480</v>
      </c>
      <c r="B1402" t="s">
        <v>492</v>
      </c>
      <c r="C1402" t="s">
        <v>467</v>
      </c>
      <c r="D1402" t="s">
        <v>437</v>
      </c>
      <c r="E1402">
        <v>7.5</v>
      </c>
    </row>
    <row r="1403" spans="1:5">
      <c r="A1403" t="s">
        <v>480</v>
      </c>
      <c r="B1403" t="s">
        <v>492</v>
      </c>
      <c r="C1403" t="s">
        <v>467</v>
      </c>
      <c r="D1403" t="s">
        <v>6911</v>
      </c>
      <c r="E1403">
        <v>5.4</v>
      </c>
    </row>
    <row r="1404" spans="1:5">
      <c r="A1404" t="s">
        <v>480</v>
      </c>
      <c r="B1404" t="s">
        <v>492</v>
      </c>
      <c r="C1404" t="s">
        <v>467</v>
      </c>
      <c r="D1404" t="s">
        <v>443</v>
      </c>
      <c r="E1404">
        <v>7.8</v>
      </c>
    </row>
    <row r="1405" spans="1:5">
      <c r="A1405" t="s">
        <v>480</v>
      </c>
      <c r="B1405" t="s">
        <v>492</v>
      </c>
      <c r="C1405" t="s">
        <v>467</v>
      </c>
      <c r="D1405" t="s">
        <v>445</v>
      </c>
      <c r="E1405">
        <v>20.399999999999999</v>
      </c>
    </row>
    <row r="1406" spans="1:5">
      <c r="A1406" t="s">
        <v>480</v>
      </c>
      <c r="B1406" t="s">
        <v>492</v>
      </c>
      <c r="C1406" t="s">
        <v>467</v>
      </c>
      <c r="D1406" t="s">
        <v>448</v>
      </c>
      <c r="E1406">
        <v>41.1</v>
      </c>
    </row>
    <row r="1407" spans="1:5">
      <c r="A1407" t="s">
        <v>480</v>
      </c>
      <c r="B1407" t="s">
        <v>492</v>
      </c>
      <c r="C1407" t="s">
        <v>482</v>
      </c>
      <c r="D1407" t="s">
        <v>437</v>
      </c>
      <c r="E1407">
        <v>1</v>
      </c>
    </row>
    <row r="1408" spans="1:5">
      <c r="A1408" t="s">
        <v>480</v>
      </c>
      <c r="B1408" t="s">
        <v>492</v>
      </c>
      <c r="C1408" t="s">
        <v>482</v>
      </c>
      <c r="D1408" t="s">
        <v>217</v>
      </c>
      <c r="E1408">
        <v>1.4</v>
      </c>
    </row>
    <row r="1409" spans="1:5">
      <c r="A1409" t="s">
        <v>480</v>
      </c>
      <c r="B1409" t="s">
        <v>492</v>
      </c>
      <c r="C1409" t="s">
        <v>482</v>
      </c>
      <c r="D1409" t="s">
        <v>313</v>
      </c>
      <c r="E1409">
        <v>4.9000000000000004</v>
      </c>
    </row>
    <row r="1410" spans="1:5">
      <c r="A1410" t="s">
        <v>480</v>
      </c>
      <c r="B1410" t="s">
        <v>492</v>
      </c>
      <c r="C1410" t="s">
        <v>482</v>
      </c>
      <c r="D1410" t="s">
        <v>6911</v>
      </c>
      <c r="E1410">
        <v>28.5</v>
      </c>
    </row>
    <row r="1411" spans="1:5">
      <c r="A1411" t="s">
        <v>480</v>
      </c>
      <c r="B1411" t="s">
        <v>492</v>
      </c>
      <c r="C1411" t="s">
        <v>482</v>
      </c>
      <c r="D1411" t="s">
        <v>441</v>
      </c>
      <c r="E1411">
        <v>39</v>
      </c>
    </row>
    <row r="1412" spans="1:5">
      <c r="A1412" t="s">
        <v>480</v>
      </c>
      <c r="B1412" t="s">
        <v>492</v>
      </c>
      <c r="C1412" t="s">
        <v>482</v>
      </c>
      <c r="D1412" t="s">
        <v>6912</v>
      </c>
      <c r="E1412">
        <v>26.3</v>
      </c>
    </row>
    <row r="1413" spans="1:5">
      <c r="A1413" t="s">
        <v>480</v>
      </c>
      <c r="B1413" t="s">
        <v>492</v>
      </c>
      <c r="C1413" t="s">
        <v>482</v>
      </c>
      <c r="D1413" t="s">
        <v>448</v>
      </c>
      <c r="E1413">
        <v>101.1</v>
      </c>
    </row>
    <row r="1414" spans="1:5">
      <c r="A1414" t="s">
        <v>480</v>
      </c>
      <c r="B1414" t="s">
        <v>492</v>
      </c>
      <c r="C1414" t="s">
        <v>448</v>
      </c>
      <c r="D1414" t="s">
        <v>437</v>
      </c>
      <c r="E1414">
        <v>8.5</v>
      </c>
    </row>
    <row r="1415" spans="1:5">
      <c r="A1415" t="s">
        <v>480</v>
      </c>
      <c r="B1415" t="s">
        <v>492</v>
      </c>
      <c r="C1415" t="s">
        <v>448</v>
      </c>
      <c r="D1415" t="s">
        <v>217</v>
      </c>
      <c r="E1415">
        <v>1.4</v>
      </c>
    </row>
    <row r="1416" spans="1:5">
      <c r="A1416" t="s">
        <v>480</v>
      </c>
      <c r="B1416" t="s">
        <v>492</v>
      </c>
      <c r="C1416" t="s">
        <v>448</v>
      </c>
      <c r="D1416" t="s">
        <v>313</v>
      </c>
      <c r="E1416">
        <v>4.9000000000000004</v>
      </c>
    </row>
    <row r="1417" spans="1:5">
      <c r="A1417" t="s">
        <v>480</v>
      </c>
      <c r="B1417" t="s">
        <v>492</v>
      </c>
      <c r="C1417" t="s">
        <v>448</v>
      </c>
      <c r="D1417" t="s">
        <v>6911</v>
      </c>
      <c r="E1417">
        <v>33.9</v>
      </c>
    </row>
    <row r="1418" spans="1:5">
      <c r="A1418" t="s">
        <v>480</v>
      </c>
      <c r="B1418" t="s">
        <v>492</v>
      </c>
      <c r="C1418" t="s">
        <v>448</v>
      </c>
      <c r="D1418" t="s">
        <v>441</v>
      </c>
      <c r="E1418">
        <v>39</v>
      </c>
    </row>
    <row r="1419" spans="1:5">
      <c r="A1419" t="s">
        <v>480</v>
      </c>
      <c r="B1419" t="s">
        <v>492</v>
      </c>
      <c r="C1419" t="s">
        <v>448</v>
      </c>
      <c r="D1419" t="s">
        <v>6912</v>
      </c>
      <c r="E1419">
        <v>26.3</v>
      </c>
    </row>
    <row r="1420" spans="1:5">
      <c r="A1420" t="s">
        <v>480</v>
      </c>
      <c r="B1420" t="s">
        <v>492</v>
      </c>
      <c r="C1420" t="s">
        <v>448</v>
      </c>
      <c r="D1420" t="s">
        <v>443</v>
      </c>
      <c r="E1420">
        <v>7.8</v>
      </c>
    </row>
    <row r="1421" spans="1:5">
      <c r="A1421" t="s">
        <v>480</v>
      </c>
      <c r="B1421" t="s">
        <v>492</v>
      </c>
      <c r="C1421" t="s">
        <v>448</v>
      </c>
      <c r="D1421" t="s">
        <v>445</v>
      </c>
      <c r="E1421">
        <v>20.399999999999999</v>
      </c>
    </row>
    <row r="1422" spans="1:5">
      <c r="A1422" t="s">
        <v>480</v>
      </c>
      <c r="B1422" t="s">
        <v>492</v>
      </c>
      <c r="C1422" t="s">
        <v>448</v>
      </c>
      <c r="D1422" t="s">
        <v>448</v>
      </c>
      <c r="E1422">
        <v>142.19999999999999</v>
      </c>
    </row>
    <row r="1423" spans="1:5">
      <c r="A1423" t="s">
        <v>480</v>
      </c>
      <c r="B1423" t="s">
        <v>493</v>
      </c>
      <c r="C1423" t="s">
        <v>467</v>
      </c>
      <c r="D1423" t="s">
        <v>437</v>
      </c>
      <c r="E1423">
        <v>0.4</v>
      </c>
    </row>
    <row r="1424" spans="1:5">
      <c r="A1424" t="s">
        <v>480</v>
      </c>
      <c r="B1424" t="s">
        <v>493</v>
      </c>
      <c r="C1424" t="s">
        <v>467</v>
      </c>
      <c r="D1424" t="s">
        <v>443</v>
      </c>
      <c r="E1424">
        <v>5.7</v>
      </c>
    </row>
    <row r="1425" spans="1:5">
      <c r="A1425" t="s">
        <v>480</v>
      </c>
      <c r="B1425" t="s">
        <v>493</v>
      </c>
      <c r="C1425" t="s">
        <v>467</v>
      </c>
      <c r="D1425" t="s">
        <v>445</v>
      </c>
      <c r="E1425">
        <v>20.2</v>
      </c>
    </row>
    <row r="1426" spans="1:5">
      <c r="A1426" t="s">
        <v>480</v>
      </c>
      <c r="B1426" t="s">
        <v>493</v>
      </c>
      <c r="C1426" t="s">
        <v>467</v>
      </c>
      <c r="D1426" t="s">
        <v>448</v>
      </c>
      <c r="E1426">
        <v>26.3</v>
      </c>
    </row>
    <row r="1427" spans="1:5">
      <c r="A1427" t="s">
        <v>480</v>
      </c>
      <c r="B1427" t="s">
        <v>493</v>
      </c>
      <c r="C1427" t="s">
        <v>482</v>
      </c>
      <c r="D1427" t="s">
        <v>437</v>
      </c>
      <c r="E1427">
        <v>20.2</v>
      </c>
    </row>
    <row r="1428" spans="1:5">
      <c r="A1428" t="s">
        <v>480</v>
      </c>
      <c r="B1428" t="s">
        <v>493</v>
      </c>
      <c r="C1428" t="s">
        <v>482</v>
      </c>
      <c r="D1428" t="s">
        <v>217</v>
      </c>
      <c r="E1428">
        <v>2.35</v>
      </c>
    </row>
    <row r="1429" spans="1:5">
      <c r="A1429" t="s">
        <v>480</v>
      </c>
      <c r="B1429" t="s">
        <v>493</v>
      </c>
      <c r="C1429" t="s">
        <v>482</v>
      </c>
      <c r="D1429" t="s">
        <v>313</v>
      </c>
      <c r="E1429">
        <v>3.6</v>
      </c>
    </row>
    <row r="1430" spans="1:5">
      <c r="A1430" t="s">
        <v>480</v>
      </c>
      <c r="B1430" t="s">
        <v>493</v>
      </c>
      <c r="C1430" t="s">
        <v>482</v>
      </c>
      <c r="D1430" t="s">
        <v>6911</v>
      </c>
      <c r="E1430">
        <v>15.05</v>
      </c>
    </row>
    <row r="1431" spans="1:5">
      <c r="A1431" t="s">
        <v>480</v>
      </c>
      <c r="B1431" t="s">
        <v>493</v>
      </c>
      <c r="C1431" t="s">
        <v>482</v>
      </c>
      <c r="D1431" t="s">
        <v>441</v>
      </c>
      <c r="E1431">
        <v>39</v>
      </c>
    </row>
    <row r="1432" spans="1:5">
      <c r="A1432" t="s">
        <v>480</v>
      </c>
      <c r="B1432" t="s">
        <v>493</v>
      </c>
      <c r="C1432" t="s">
        <v>482</v>
      </c>
      <c r="D1432" t="s">
        <v>6912</v>
      </c>
      <c r="E1432">
        <v>17.600000000000001</v>
      </c>
    </row>
    <row r="1433" spans="1:5">
      <c r="A1433" t="s">
        <v>480</v>
      </c>
      <c r="B1433" t="s">
        <v>493</v>
      </c>
      <c r="C1433" t="s">
        <v>482</v>
      </c>
      <c r="D1433" t="s">
        <v>447</v>
      </c>
      <c r="E1433">
        <v>14.6</v>
      </c>
    </row>
    <row r="1434" spans="1:5">
      <c r="A1434" t="s">
        <v>480</v>
      </c>
      <c r="B1434" t="s">
        <v>493</v>
      </c>
      <c r="C1434" t="s">
        <v>482</v>
      </c>
      <c r="D1434" t="s">
        <v>448</v>
      </c>
      <c r="E1434">
        <v>112.4</v>
      </c>
    </row>
    <row r="1435" spans="1:5">
      <c r="A1435" t="s">
        <v>480</v>
      </c>
      <c r="B1435" t="s">
        <v>493</v>
      </c>
      <c r="C1435" t="s">
        <v>448</v>
      </c>
      <c r="D1435" t="s">
        <v>437</v>
      </c>
      <c r="E1435">
        <v>20.6</v>
      </c>
    </row>
    <row r="1436" spans="1:5">
      <c r="A1436" t="s">
        <v>480</v>
      </c>
      <c r="B1436" t="s">
        <v>493</v>
      </c>
      <c r="C1436" t="s">
        <v>448</v>
      </c>
      <c r="D1436" t="s">
        <v>217</v>
      </c>
      <c r="E1436">
        <v>2.35</v>
      </c>
    </row>
    <row r="1437" spans="1:5">
      <c r="A1437" t="s">
        <v>480</v>
      </c>
      <c r="B1437" t="s">
        <v>493</v>
      </c>
      <c r="C1437" t="s">
        <v>448</v>
      </c>
      <c r="D1437" t="s">
        <v>313</v>
      </c>
      <c r="E1437">
        <v>3.6</v>
      </c>
    </row>
    <row r="1438" spans="1:5">
      <c r="A1438" t="s">
        <v>480</v>
      </c>
      <c r="B1438" t="s">
        <v>493</v>
      </c>
      <c r="C1438" t="s">
        <v>448</v>
      </c>
      <c r="D1438" t="s">
        <v>6911</v>
      </c>
      <c r="E1438">
        <v>15.05</v>
      </c>
    </row>
    <row r="1439" spans="1:5">
      <c r="A1439" t="s">
        <v>480</v>
      </c>
      <c r="B1439" t="s">
        <v>493</v>
      </c>
      <c r="C1439" t="s">
        <v>448</v>
      </c>
      <c r="D1439" t="s">
        <v>441</v>
      </c>
      <c r="E1439">
        <v>39</v>
      </c>
    </row>
    <row r="1440" spans="1:5">
      <c r="A1440" t="s">
        <v>480</v>
      </c>
      <c r="B1440" t="s">
        <v>493</v>
      </c>
      <c r="C1440" t="s">
        <v>448</v>
      </c>
      <c r="D1440" t="s">
        <v>6912</v>
      </c>
      <c r="E1440">
        <v>17.600000000000001</v>
      </c>
    </row>
    <row r="1441" spans="1:5">
      <c r="A1441" t="s">
        <v>480</v>
      </c>
      <c r="B1441" t="s">
        <v>493</v>
      </c>
      <c r="C1441" t="s">
        <v>448</v>
      </c>
      <c r="D1441" t="s">
        <v>443</v>
      </c>
      <c r="E1441">
        <v>5.7</v>
      </c>
    </row>
    <row r="1442" spans="1:5">
      <c r="A1442" t="s">
        <v>480</v>
      </c>
      <c r="B1442" t="s">
        <v>493</v>
      </c>
      <c r="C1442" t="s">
        <v>448</v>
      </c>
      <c r="D1442" t="s">
        <v>445</v>
      </c>
      <c r="E1442">
        <v>20.2</v>
      </c>
    </row>
    <row r="1443" spans="1:5">
      <c r="A1443" t="s">
        <v>480</v>
      </c>
      <c r="B1443" t="s">
        <v>493</v>
      </c>
      <c r="C1443" t="s">
        <v>448</v>
      </c>
      <c r="D1443" t="s">
        <v>447</v>
      </c>
      <c r="E1443">
        <v>14.6</v>
      </c>
    </row>
    <row r="1444" spans="1:5">
      <c r="A1444" t="s">
        <v>480</v>
      </c>
      <c r="B1444" t="s">
        <v>493</v>
      </c>
      <c r="C1444" t="s">
        <v>448</v>
      </c>
      <c r="D1444" t="s">
        <v>448</v>
      </c>
      <c r="E1444">
        <v>138.69999999999999</v>
      </c>
    </row>
    <row r="1445" spans="1:5">
      <c r="A1445" t="s">
        <v>91</v>
      </c>
      <c r="B1445" t="s">
        <v>494</v>
      </c>
      <c r="C1445" t="s">
        <v>6910</v>
      </c>
      <c r="D1445" t="s">
        <v>313</v>
      </c>
      <c r="E1445">
        <v>0.3</v>
      </c>
    </row>
    <row r="1446" spans="1:5">
      <c r="A1446" t="s">
        <v>91</v>
      </c>
      <c r="B1446" t="s">
        <v>494</v>
      </c>
      <c r="C1446" t="s">
        <v>6910</v>
      </c>
      <c r="D1446" t="s">
        <v>441</v>
      </c>
      <c r="E1446">
        <v>135</v>
      </c>
    </row>
    <row r="1447" spans="1:5">
      <c r="A1447" t="s">
        <v>91</v>
      </c>
      <c r="B1447" t="s">
        <v>494</v>
      </c>
      <c r="C1447" t="s">
        <v>6910</v>
      </c>
      <c r="D1447" t="s">
        <v>448</v>
      </c>
      <c r="E1447">
        <v>135.30000000000001</v>
      </c>
    </row>
    <row r="1448" spans="1:5">
      <c r="A1448" t="s">
        <v>91</v>
      </c>
      <c r="B1448" t="s">
        <v>494</v>
      </c>
      <c r="C1448" t="s">
        <v>6919</v>
      </c>
      <c r="D1448" t="s">
        <v>6911</v>
      </c>
      <c r="E1448">
        <v>75</v>
      </c>
    </row>
    <row r="1449" spans="1:5">
      <c r="A1449" t="s">
        <v>91</v>
      </c>
      <c r="B1449" t="s">
        <v>494</v>
      </c>
      <c r="C1449" t="s">
        <v>6919</v>
      </c>
      <c r="D1449" t="s">
        <v>448</v>
      </c>
      <c r="E1449">
        <v>75</v>
      </c>
    </row>
    <row r="1450" spans="1:5">
      <c r="A1450" t="s">
        <v>91</v>
      </c>
      <c r="B1450" t="s">
        <v>494</v>
      </c>
      <c r="C1450" t="s">
        <v>467</v>
      </c>
      <c r="D1450" t="s">
        <v>217</v>
      </c>
      <c r="E1450">
        <v>1.2</v>
      </c>
    </row>
    <row r="1451" spans="1:5">
      <c r="A1451" t="s">
        <v>91</v>
      </c>
      <c r="B1451" t="s">
        <v>494</v>
      </c>
      <c r="C1451" t="s">
        <v>467</v>
      </c>
      <c r="D1451" t="s">
        <v>313</v>
      </c>
      <c r="E1451">
        <v>20</v>
      </c>
    </row>
    <row r="1452" spans="1:5">
      <c r="A1452" t="s">
        <v>91</v>
      </c>
      <c r="B1452" t="s">
        <v>494</v>
      </c>
      <c r="C1452" t="s">
        <v>467</v>
      </c>
      <c r="D1452" t="s">
        <v>6911</v>
      </c>
      <c r="E1452">
        <v>48.1</v>
      </c>
    </row>
    <row r="1453" spans="1:5">
      <c r="A1453" t="s">
        <v>91</v>
      </c>
      <c r="B1453" t="s">
        <v>494</v>
      </c>
      <c r="C1453" t="s">
        <v>467</v>
      </c>
      <c r="D1453" t="s">
        <v>6912</v>
      </c>
      <c r="E1453">
        <v>6.7</v>
      </c>
    </row>
    <row r="1454" spans="1:5">
      <c r="A1454" t="s">
        <v>91</v>
      </c>
      <c r="B1454" t="s">
        <v>494</v>
      </c>
      <c r="C1454" t="s">
        <v>467</v>
      </c>
      <c r="D1454" t="s">
        <v>443</v>
      </c>
      <c r="E1454">
        <v>55</v>
      </c>
    </row>
    <row r="1455" spans="1:5">
      <c r="A1455" t="s">
        <v>91</v>
      </c>
      <c r="B1455" t="s">
        <v>494</v>
      </c>
      <c r="C1455" t="s">
        <v>467</v>
      </c>
      <c r="D1455" t="s">
        <v>445</v>
      </c>
      <c r="E1455">
        <v>110</v>
      </c>
    </row>
    <row r="1456" spans="1:5">
      <c r="A1456" t="s">
        <v>91</v>
      </c>
      <c r="B1456" t="s">
        <v>494</v>
      </c>
      <c r="C1456" t="s">
        <v>467</v>
      </c>
      <c r="D1456" t="s">
        <v>447</v>
      </c>
      <c r="E1456">
        <v>1.2</v>
      </c>
    </row>
    <row r="1457" spans="1:5">
      <c r="A1457" t="s">
        <v>91</v>
      </c>
      <c r="B1457" t="s">
        <v>494</v>
      </c>
      <c r="C1457" t="s">
        <v>467</v>
      </c>
      <c r="D1457" t="s">
        <v>448</v>
      </c>
      <c r="E1457">
        <v>242.2</v>
      </c>
    </row>
    <row r="1458" spans="1:5">
      <c r="A1458" t="s">
        <v>91</v>
      </c>
      <c r="B1458" t="s">
        <v>494</v>
      </c>
      <c r="C1458" t="s">
        <v>6920</v>
      </c>
      <c r="D1458" t="s">
        <v>437</v>
      </c>
      <c r="E1458">
        <v>45</v>
      </c>
    </row>
    <row r="1459" spans="1:5">
      <c r="A1459" t="s">
        <v>91</v>
      </c>
      <c r="B1459" t="s">
        <v>494</v>
      </c>
      <c r="C1459" t="s">
        <v>6920</v>
      </c>
      <c r="D1459" t="s">
        <v>217</v>
      </c>
      <c r="E1459">
        <v>2.7</v>
      </c>
    </row>
    <row r="1460" spans="1:5">
      <c r="A1460" t="s">
        <v>91</v>
      </c>
      <c r="B1460" t="s">
        <v>494</v>
      </c>
      <c r="C1460" t="s">
        <v>6920</v>
      </c>
      <c r="D1460" t="s">
        <v>313</v>
      </c>
      <c r="E1460">
        <v>7.8</v>
      </c>
    </row>
    <row r="1461" spans="1:5">
      <c r="A1461" t="s">
        <v>91</v>
      </c>
      <c r="B1461" t="s">
        <v>494</v>
      </c>
      <c r="C1461" t="s">
        <v>6920</v>
      </c>
      <c r="D1461" t="s">
        <v>6911</v>
      </c>
      <c r="E1461">
        <v>4.3</v>
      </c>
    </row>
    <row r="1462" spans="1:5">
      <c r="A1462" t="s">
        <v>91</v>
      </c>
      <c r="B1462" t="s">
        <v>494</v>
      </c>
      <c r="C1462" t="s">
        <v>6920</v>
      </c>
      <c r="D1462" t="s">
        <v>6912</v>
      </c>
      <c r="E1462">
        <v>2.7</v>
      </c>
    </row>
    <row r="1463" spans="1:5">
      <c r="A1463" t="s">
        <v>91</v>
      </c>
      <c r="B1463" t="s">
        <v>494</v>
      </c>
      <c r="C1463" t="s">
        <v>6920</v>
      </c>
      <c r="D1463" t="s">
        <v>447</v>
      </c>
      <c r="E1463">
        <v>0.3</v>
      </c>
    </row>
    <row r="1464" spans="1:5">
      <c r="A1464" t="s">
        <v>91</v>
      </c>
      <c r="B1464" t="s">
        <v>494</v>
      </c>
      <c r="C1464" t="s">
        <v>6920</v>
      </c>
      <c r="D1464" t="s">
        <v>448</v>
      </c>
      <c r="E1464">
        <v>62.8</v>
      </c>
    </row>
    <row r="1465" spans="1:5">
      <c r="A1465" t="s">
        <v>91</v>
      </c>
      <c r="B1465" t="s">
        <v>494</v>
      </c>
      <c r="C1465" t="s">
        <v>497</v>
      </c>
      <c r="D1465" t="s">
        <v>6912</v>
      </c>
      <c r="E1465">
        <v>45</v>
      </c>
    </row>
    <row r="1466" spans="1:5">
      <c r="A1466" t="s">
        <v>91</v>
      </c>
      <c r="B1466" t="s">
        <v>494</v>
      </c>
      <c r="C1466" t="s">
        <v>497</v>
      </c>
      <c r="D1466" t="s">
        <v>448</v>
      </c>
      <c r="E1466">
        <v>45</v>
      </c>
    </row>
    <row r="1467" spans="1:5">
      <c r="A1467" t="s">
        <v>91</v>
      </c>
      <c r="B1467" t="s">
        <v>494</v>
      </c>
      <c r="C1467" t="s">
        <v>448</v>
      </c>
      <c r="D1467" t="s">
        <v>437</v>
      </c>
      <c r="E1467">
        <v>45</v>
      </c>
    </row>
    <row r="1468" spans="1:5">
      <c r="A1468" t="s">
        <v>91</v>
      </c>
      <c r="B1468" t="s">
        <v>494</v>
      </c>
      <c r="C1468" t="s">
        <v>448</v>
      </c>
      <c r="D1468" t="s">
        <v>217</v>
      </c>
      <c r="E1468">
        <v>3.9</v>
      </c>
    </row>
    <row r="1469" spans="1:5">
      <c r="A1469" t="s">
        <v>91</v>
      </c>
      <c r="B1469" t="s">
        <v>494</v>
      </c>
      <c r="C1469" t="s">
        <v>448</v>
      </c>
      <c r="D1469" t="s">
        <v>313</v>
      </c>
      <c r="E1469">
        <v>28.1</v>
      </c>
    </row>
    <row r="1470" spans="1:5">
      <c r="A1470" t="s">
        <v>91</v>
      </c>
      <c r="B1470" t="s">
        <v>494</v>
      </c>
      <c r="C1470" t="s">
        <v>448</v>
      </c>
      <c r="D1470" t="s">
        <v>6911</v>
      </c>
      <c r="E1470">
        <v>127.4</v>
      </c>
    </row>
    <row r="1471" spans="1:5">
      <c r="A1471" t="s">
        <v>91</v>
      </c>
      <c r="B1471" t="s">
        <v>494</v>
      </c>
      <c r="C1471" t="s">
        <v>448</v>
      </c>
      <c r="D1471" t="s">
        <v>441</v>
      </c>
      <c r="E1471">
        <v>135</v>
      </c>
    </row>
    <row r="1472" spans="1:5">
      <c r="A1472" t="s">
        <v>91</v>
      </c>
      <c r="B1472" t="s">
        <v>494</v>
      </c>
      <c r="C1472" t="s">
        <v>448</v>
      </c>
      <c r="D1472" t="s">
        <v>6912</v>
      </c>
      <c r="E1472">
        <v>54.4</v>
      </c>
    </row>
    <row r="1473" spans="1:5">
      <c r="A1473" t="s">
        <v>91</v>
      </c>
      <c r="B1473" t="s">
        <v>494</v>
      </c>
      <c r="C1473" t="s">
        <v>448</v>
      </c>
      <c r="D1473" t="s">
        <v>443</v>
      </c>
      <c r="E1473">
        <v>55</v>
      </c>
    </row>
    <row r="1474" spans="1:5">
      <c r="A1474" t="s">
        <v>91</v>
      </c>
      <c r="B1474" t="s">
        <v>494</v>
      </c>
      <c r="C1474" t="s">
        <v>448</v>
      </c>
      <c r="D1474" t="s">
        <v>445</v>
      </c>
      <c r="E1474">
        <v>110</v>
      </c>
    </row>
    <row r="1475" spans="1:5">
      <c r="A1475" t="s">
        <v>91</v>
      </c>
      <c r="B1475" t="s">
        <v>494</v>
      </c>
      <c r="C1475" t="s">
        <v>448</v>
      </c>
      <c r="D1475" t="s">
        <v>447</v>
      </c>
      <c r="E1475">
        <v>1.5</v>
      </c>
    </row>
    <row r="1476" spans="1:5">
      <c r="A1476" t="s">
        <v>91</v>
      </c>
      <c r="B1476" t="s">
        <v>494</v>
      </c>
      <c r="C1476" t="s">
        <v>448</v>
      </c>
      <c r="D1476" t="s">
        <v>448</v>
      </c>
      <c r="E1476">
        <v>560.29999999999995</v>
      </c>
    </row>
    <row r="1477" spans="1:5">
      <c r="A1477" t="s">
        <v>91</v>
      </c>
      <c r="B1477" t="s">
        <v>498</v>
      </c>
      <c r="C1477" t="s">
        <v>6910</v>
      </c>
      <c r="D1477" t="s">
        <v>313</v>
      </c>
      <c r="E1477">
        <v>0.3</v>
      </c>
    </row>
    <row r="1478" spans="1:5">
      <c r="A1478" t="s">
        <v>91</v>
      </c>
      <c r="B1478" t="s">
        <v>498</v>
      </c>
      <c r="C1478" t="s">
        <v>6910</v>
      </c>
      <c r="D1478" t="s">
        <v>441</v>
      </c>
      <c r="E1478">
        <v>125</v>
      </c>
    </row>
    <row r="1479" spans="1:5">
      <c r="A1479" t="s">
        <v>91</v>
      </c>
      <c r="B1479" t="s">
        <v>498</v>
      </c>
      <c r="C1479" t="s">
        <v>6910</v>
      </c>
      <c r="D1479" t="s">
        <v>448</v>
      </c>
      <c r="E1479">
        <v>125.3</v>
      </c>
    </row>
    <row r="1480" spans="1:5">
      <c r="A1480" t="s">
        <v>91</v>
      </c>
      <c r="B1480" t="s">
        <v>498</v>
      </c>
      <c r="C1480" t="s">
        <v>6919</v>
      </c>
      <c r="D1480" t="s">
        <v>6911</v>
      </c>
      <c r="E1480">
        <v>65</v>
      </c>
    </row>
    <row r="1481" spans="1:5">
      <c r="A1481" t="s">
        <v>91</v>
      </c>
      <c r="B1481" t="s">
        <v>498</v>
      </c>
      <c r="C1481" t="s">
        <v>6919</v>
      </c>
      <c r="D1481" t="s">
        <v>447</v>
      </c>
      <c r="E1481">
        <v>1</v>
      </c>
    </row>
    <row r="1482" spans="1:5">
      <c r="A1482" t="s">
        <v>91</v>
      </c>
      <c r="B1482" t="s">
        <v>498</v>
      </c>
      <c r="C1482" t="s">
        <v>6919</v>
      </c>
      <c r="D1482" t="s">
        <v>448</v>
      </c>
      <c r="E1482">
        <v>66</v>
      </c>
    </row>
    <row r="1483" spans="1:5">
      <c r="A1483" t="s">
        <v>91</v>
      </c>
      <c r="B1483" t="s">
        <v>498</v>
      </c>
      <c r="C1483" t="s">
        <v>467</v>
      </c>
      <c r="D1483" t="s">
        <v>313</v>
      </c>
      <c r="E1483">
        <v>20</v>
      </c>
    </row>
    <row r="1484" spans="1:5">
      <c r="A1484" t="s">
        <v>91</v>
      </c>
      <c r="B1484" t="s">
        <v>498</v>
      </c>
      <c r="C1484" t="s">
        <v>467</v>
      </c>
      <c r="D1484" t="s">
        <v>6911</v>
      </c>
      <c r="E1484">
        <v>43.5</v>
      </c>
    </row>
    <row r="1485" spans="1:5">
      <c r="A1485" t="s">
        <v>91</v>
      </c>
      <c r="B1485" t="s">
        <v>498</v>
      </c>
      <c r="C1485" t="s">
        <v>467</v>
      </c>
      <c r="D1485" t="s">
        <v>6912</v>
      </c>
      <c r="E1485">
        <v>7.3</v>
      </c>
    </row>
    <row r="1486" spans="1:5">
      <c r="A1486" t="s">
        <v>91</v>
      </c>
      <c r="B1486" t="s">
        <v>498</v>
      </c>
      <c r="C1486" t="s">
        <v>467</v>
      </c>
      <c r="D1486" t="s">
        <v>443</v>
      </c>
      <c r="E1486">
        <v>60</v>
      </c>
    </row>
    <row r="1487" spans="1:5">
      <c r="A1487" t="s">
        <v>91</v>
      </c>
      <c r="B1487" t="s">
        <v>498</v>
      </c>
      <c r="C1487" t="s">
        <v>467</v>
      </c>
      <c r="D1487" t="s">
        <v>445</v>
      </c>
      <c r="E1487">
        <v>90</v>
      </c>
    </row>
    <row r="1488" spans="1:5">
      <c r="A1488" t="s">
        <v>91</v>
      </c>
      <c r="B1488" t="s">
        <v>498</v>
      </c>
      <c r="C1488" t="s">
        <v>467</v>
      </c>
      <c r="D1488" t="s">
        <v>447</v>
      </c>
      <c r="E1488">
        <v>1.4</v>
      </c>
    </row>
    <row r="1489" spans="1:5">
      <c r="A1489" t="s">
        <v>91</v>
      </c>
      <c r="B1489" t="s">
        <v>498</v>
      </c>
      <c r="C1489" t="s">
        <v>467</v>
      </c>
      <c r="D1489" t="s">
        <v>448</v>
      </c>
      <c r="E1489">
        <v>222.2</v>
      </c>
    </row>
    <row r="1490" spans="1:5">
      <c r="A1490" t="s">
        <v>91</v>
      </c>
      <c r="B1490" t="s">
        <v>498</v>
      </c>
      <c r="C1490" t="s">
        <v>6920</v>
      </c>
      <c r="D1490" t="s">
        <v>217</v>
      </c>
      <c r="E1490">
        <v>2.2000000000000002</v>
      </c>
    </row>
    <row r="1491" spans="1:5">
      <c r="A1491" t="s">
        <v>91</v>
      </c>
      <c r="B1491" t="s">
        <v>498</v>
      </c>
      <c r="C1491" t="s">
        <v>6920</v>
      </c>
      <c r="D1491" t="s">
        <v>313</v>
      </c>
      <c r="E1491">
        <v>6.1</v>
      </c>
    </row>
    <row r="1492" spans="1:5">
      <c r="A1492" t="s">
        <v>91</v>
      </c>
      <c r="B1492" t="s">
        <v>498</v>
      </c>
      <c r="C1492" t="s">
        <v>6920</v>
      </c>
      <c r="D1492" t="s">
        <v>6911</v>
      </c>
      <c r="E1492">
        <v>41.3</v>
      </c>
    </row>
    <row r="1493" spans="1:5">
      <c r="A1493" t="s">
        <v>91</v>
      </c>
      <c r="B1493" t="s">
        <v>498</v>
      </c>
      <c r="C1493" t="s">
        <v>6920</v>
      </c>
      <c r="D1493" t="s">
        <v>6912</v>
      </c>
      <c r="E1493">
        <v>2.4</v>
      </c>
    </row>
    <row r="1494" spans="1:5">
      <c r="A1494" t="s">
        <v>91</v>
      </c>
      <c r="B1494" t="s">
        <v>498</v>
      </c>
      <c r="C1494" t="s">
        <v>6920</v>
      </c>
      <c r="D1494" t="s">
        <v>447</v>
      </c>
      <c r="E1494">
        <v>0.2</v>
      </c>
    </row>
    <row r="1495" spans="1:5">
      <c r="A1495" t="s">
        <v>91</v>
      </c>
      <c r="B1495" t="s">
        <v>498</v>
      </c>
      <c r="C1495" t="s">
        <v>6920</v>
      </c>
      <c r="D1495" t="s">
        <v>448</v>
      </c>
      <c r="E1495">
        <v>52.2</v>
      </c>
    </row>
    <row r="1496" spans="1:5">
      <c r="A1496" t="s">
        <v>91</v>
      </c>
      <c r="B1496" t="s">
        <v>498</v>
      </c>
      <c r="C1496" t="s">
        <v>497</v>
      </c>
      <c r="D1496" t="s">
        <v>6912</v>
      </c>
      <c r="E1496">
        <v>26.2</v>
      </c>
    </row>
    <row r="1497" spans="1:5">
      <c r="A1497" t="s">
        <v>91</v>
      </c>
      <c r="B1497" t="s">
        <v>498</v>
      </c>
      <c r="C1497" t="s">
        <v>497</v>
      </c>
      <c r="D1497" t="s">
        <v>448</v>
      </c>
      <c r="E1497">
        <v>26.2</v>
      </c>
    </row>
    <row r="1498" spans="1:5">
      <c r="A1498" t="s">
        <v>91</v>
      </c>
      <c r="B1498" t="s">
        <v>498</v>
      </c>
      <c r="C1498" t="s">
        <v>448</v>
      </c>
      <c r="D1498" t="s">
        <v>217</v>
      </c>
      <c r="E1498">
        <v>2.2000000000000002</v>
      </c>
    </row>
    <row r="1499" spans="1:5">
      <c r="A1499" t="s">
        <v>91</v>
      </c>
      <c r="B1499" t="s">
        <v>498</v>
      </c>
      <c r="C1499" t="s">
        <v>448</v>
      </c>
      <c r="D1499" t="s">
        <v>313</v>
      </c>
      <c r="E1499">
        <v>26.4</v>
      </c>
    </row>
    <row r="1500" spans="1:5">
      <c r="A1500" t="s">
        <v>91</v>
      </c>
      <c r="B1500" t="s">
        <v>498</v>
      </c>
      <c r="C1500" t="s">
        <v>448</v>
      </c>
      <c r="D1500" t="s">
        <v>6911</v>
      </c>
      <c r="E1500">
        <v>149.80000000000001</v>
      </c>
    </row>
    <row r="1501" spans="1:5">
      <c r="A1501" t="s">
        <v>91</v>
      </c>
      <c r="B1501" t="s">
        <v>498</v>
      </c>
      <c r="C1501" t="s">
        <v>448</v>
      </c>
      <c r="D1501" t="s">
        <v>441</v>
      </c>
      <c r="E1501">
        <v>125</v>
      </c>
    </row>
    <row r="1502" spans="1:5">
      <c r="A1502" t="s">
        <v>91</v>
      </c>
      <c r="B1502" t="s">
        <v>498</v>
      </c>
      <c r="C1502" t="s">
        <v>448</v>
      </c>
      <c r="D1502" t="s">
        <v>6912</v>
      </c>
      <c r="E1502">
        <v>35.9</v>
      </c>
    </row>
    <row r="1503" spans="1:5">
      <c r="A1503" t="s">
        <v>91</v>
      </c>
      <c r="B1503" t="s">
        <v>498</v>
      </c>
      <c r="C1503" t="s">
        <v>448</v>
      </c>
      <c r="D1503" t="s">
        <v>443</v>
      </c>
      <c r="E1503">
        <v>60</v>
      </c>
    </row>
    <row r="1504" spans="1:5">
      <c r="A1504" t="s">
        <v>91</v>
      </c>
      <c r="B1504" t="s">
        <v>498</v>
      </c>
      <c r="C1504" t="s">
        <v>448</v>
      </c>
      <c r="D1504" t="s">
        <v>445</v>
      </c>
      <c r="E1504">
        <v>90</v>
      </c>
    </row>
    <row r="1505" spans="1:5">
      <c r="A1505" t="s">
        <v>91</v>
      </c>
      <c r="B1505" t="s">
        <v>498</v>
      </c>
      <c r="C1505" t="s">
        <v>448</v>
      </c>
      <c r="D1505" t="s">
        <v>447</v>
      </c>
      <c r="E1505">
        <v>2.6</v>
      </c>
    </row>
    <row r="1506" spans="1:5">
      <c r="A1506" t="s">
        <v>91</v>
      </c>
      <c r="B1506" t="s">
        <v>498</v>
      </c>
      <c r="C1506" t="s">
        <v>448</v>
      </c>
      <c r="D1506" t="s">
        <v>448</v>
      </c>
      <c r="E1506">
        <v>491.9</v>
      </c>
    </row>
    <row r="1507" spans="1:5">
      <c r="A1507" t="s">
        <v>91</v>
      </c>
      <c r="B1507" t="s">
        <v>499</v>
      </c>
      <c r="C1507" t="s">
        <v>6910</v>
      </c>
      <c r="D1507" t="s">
        <v>441</v>
      </c>
      <c r="E1507">
        <v>129</v>
      </c>
    </row>
    <row r="1508" spans="1:5">
      <c r="A1508" t="s">
        <v>91</v>
      </c>
      <c r="B1508" t="s">
        <v>499</v>
      </c>
      <c r="C1508" t="s">
        <v>6910</v>
      </c>
      <c r="D1508" t="s">
        <v>448</v>
      </c>
      <c r="E1508">
        <v>129</v>
      </c>
    </row>
    <row r="1509" spans="1:5">
      <c r="A1509" t="s">
        <v>91</v>
      </c>
      <c r="B1509" t="s">
        <v>499</v>
      </c>
      <c r="C1509" t="s">
        <v>6919</v>
      </c>
      <c r="D1509" t="s">
        <v>437</v>
      </c>
      <c r="E1509">
        <v>136</v>
      </c>
    </row>
    <row r="1510" spans="1:5">
      <c r="A1510" t="s">
        <v>91</v>
      </c>
      <c r="B1510" t="s">
        <v>499</v>
      </c>
      <c r="C1510" t="s">
        <v>6919</v>
      </c>
      <c r="D1510" t="s">
        <v>313</v>
      </c>
      <c r="E1510">
        <v>3.1</v>
      </c>
    </row>
    <row r="1511" spans="1:5">
      <c r="A1511" t="s">
        <v>91</v>
      </c>
      <c r="B1511" t="s">
        <v>499</v>
      </c>
      <c r="C1511" t="s">
        <v>6919</v>
      </c>
      <c r="D1511" t="s">
        <v>6911</v>
      </c>
      <c r="E1511">
        <v>12</v>
      </c>
    </row>
    <row r="1512" spans="1:5">
      <c r="A1512" t="s">
        <v>91</v>
      </c>
      <c r="B1512" t="s">
        <v>499</v>
      </c>
      <c r="C1512" t="s">
        <v>6919</v>
      </c>
      <c r="D1512" t="s">
        <v>448</v>
      </c>
      <c r="E1512">
        <v>151.1</v>
      </c>
    </row>
    <row r="1513" spans="1:5">
      <c r="A1513" t="s">
        <v>91</v>
      </c>
      <c r="B1513" t="s">
        <v>499</v>
      </c>
      <c r="C1513" t="s">
        <v>463</v>
      </c>
      <c r="D1513" t="s">
        <v>443</v>
      </c>
      <c r="E1513">
        <v>154</v>
      </c>
    </row>
    <row r="1514" spans="1:5">
      <c r="A1514" t="s">
        <v>91</v>
      </c>
      <c r="B1514" t="s">
        <v>499</v>
      </c>
      <c r="C1514" t="s">
        <v>463</v>
      </c>
      <c r="D1514" t="s">
        <v>445</v>
      </c>
      <c r="E1514">
        <v>188</v>
      </c>
    </row>
    <row r="1515" spans="1:5">
      <c r="A1515" t="s">
        <v>91</v>
      </c>
      <c r="B1515" t="s">
        <v>499</v>
      </c>
      <c r="C1515" t="s">
        <v>463</v>
      </c>
      <c r="D1515" t="s">
        <v>448</v>
      </c>
      <c r="E1515">
        <v>342</v>
      </c>
    </row>
    <row r="1516" spans="1:5">
      <c r="A1516" t="s">
        <v>91</v>
      </c>
      <c r="B1516" t="s">
        <v>499</v>
      </c>
      <c r="C1516" t="s">
        <v>6920</v>
      </c>
      <c r="D1516" t="s">
        <v>437</v>
      </c>
      <c r="E1516">
        <v>1.2</v>
      </c>
    </row>
    <row r="1517" spans="1:5">
      <c r="A1517" t="s">
        <v>91</v>
      </c>
      <c r="B1517" t="s">
        <v>499</v>
      </c>
      <c r="C1517" t="s">
        <v>6920</v>
      </c>
      <c r="D1517" t="s">
        <v>217</v>
      </c>
      <c r="E1517">
        <v>1.1000000000000001</v>
      </c>
    </row>
    <row r="1518" spans="1:5">
      <c r="A1518" t="s">
        <v>91</v>
      </c>
      <c r="B1518" t="s">
        <v>499</v>
      </c>
      <c r="C1518" t="s">
        <v>6920</v>
      </c>
      <c r="D1518" t="s">
        <v>6911</v>
      </c>
      <c r="E1518">
        <v>24.4</v>
      </c>
    </row>
    <row r="1519" spans="1:5">
      <c r="A1519" t="s">
        <v>91</v>
      </c>
      <c r="B1519" t="s">
        <v>499</v>
      </c>
      <c r="C1519" t="s">
        <v>6920</v>
      </c>
      <c r="D1519" t="s">
        <v>447</v>
      </c>
      <c r="E1519">
        <v>7.5</v>
      </c>
    </row>
    <row r="1520" spans="1:5">
      <c r="A1520" t="s">
        <v>91</v>
      </c>
      <c r="B1520" t="s">
        <v>499</v>
      </c>
      <c r="C1520" t="s">
        <v>6920</v>
      </c>
      <c r="D1520" t="s">
        <v>448</v>
      </c>
      <c r="E1520">
        <v>34.200000000000003</v>
      </c>
    </row>
    <row r="1521" spans="1:5">
      <c r="A1521" t="s">
        <v>91</v>
      </c>
      <c r="B1521" t="s">
        <v>499</v>
      </c>
      <c r="C1521" t="s">
        <v>497</v>
      </c>
      <c r="D1521" t="s">
        <v>313</v>
      </c>
      <c r="E1521">
        <v>9.4</v>
      </c>
    </row>
    <row r="1522" spans="1:5">
      <c r="A1522" t="s">
        <v>91</v>
      </c>
      <c r="B1522" t="s">
        <v>499</v>
      </c>
      <c r="C1522" t="s">
        <v>497</v>
      </c>
      <c r="D1522" t="s">
        <v>6912</v>
      </c>
      <c r="E1522">
        <v>20.100000000000001</v>
      </c>
    </row>
    <row r="1523" spans="1:5">
      <c r="A1523" t="s">
        <v>91</v>
      </c>
      <c r="B1523" t="s">
        <v>499</v>
      </c>
      <c r="C1523" t="s">
        <v>497</v>
      </c>
      <c r="D1523" t="s">
        <v>448</v>
      </c>
      <c r="E1523">
        <v>29.5</v>
      </c>
    </row>
    <row r="1524" spans="1:5">
      <c r="A1524" t="s">
        <v>91</v>
      </c>
      <c r="B1524" t="s">
        <v>499</v>
      </c>
      <c r="C1524" t="s">
        <v>448</v>
      </c>
      <c r="D1524" t="s">
        <v>437</v>
      </c>
      <c r="E1524">
        <v>137.19999999999999</v>
      </c>
    </row>
    <row r="1525" spans="1:5">
      <c r="A1525" t="s">
        <v>91</v>
      </c>
      <c r="B1525" t="s">
        <v>499</v>
      </c>
      <c r="C1525" t="s">
        <v>448</v>
      </c>
      <c r="D1525" t="s">
        <v>217</v>
      </c>
      <c r="E1525">
        <v>1.1000000000000001</v>
      </c>
    </row>
    <row r="1526" spans="1:5">
      <c r="A1526" t="s">
        <v>91</v>
      </c>
      <c r="B1526" t="s">
        <v>499</v>
      </c>
      <c r="C1526" t="s">
        <v>448</v>
      </c>
      <c r="D1526" t="s">
        <v>313</v>
      </c>
      <c r="E1526">
        <v>12.5</v>
      </c>
    </row>
    <row r="1527" spans="1:5">
      <c r="A1527" t="s">
        <v>91</v>
      </c>
      <c r="B1527" t="s">
        <v>499</v>
      </c>
      <c r="C1527" t="s">
        <v>448</v>
      </c>
      <c r="D1527" t="s">
        <v>6911</v>
      </c>
      <c r="E1527">
        <v>36.4</v>
      </c>
    </row>
    <row r="1528" spans="1:5">
      <c r="A1528" t="s">
        <v>91</v>
      </c>
      <c r="B1528" t="s">
        <v>499</v>
      </c>
      <c r="C1528" t="s">
        <v>448</v>
      </c>
      <c r="D1528" t="s">
        <v>441</v>
      </c>
      <c r="E1528">
        <v>129</v>
      </c>
    </row>
    <row r="1529" spans="1:5">
      <c r="A1529" t="s">
        <v>91</v>
      </c>
      <c r="B1529" t="s">
        <v>499</v>
      </c>
      <c r="C1529" t="s">
        <v>448</v>
      </c>
      <c r="D1529" t="s">
        <v>6912</v>
      </c>
      <c r="E1529">
        <v>20.100000000000001</v>
      </c>
    </row>
    <row r="1530" spans="1:5">
      <c r="A1530" t="s">
        <v>91</v>
      </c>
      <c r="B1530" t="s">
        <v>499</v>
      </c>
      <c r="C1530" t="s">
        <v>448</v>
      </c>
      <c r="D1530" t="s">
        <v>443</v>
      </c>
      <c r="E1530">
        <v>154</v>
      </c>
    </row>
    <row r="1531" spans="1:5">
      <c r="A1531" t="s">
        <v>91</v>
      </c>
      <c r="B1531" t="s">
        <v>499</v>
      </c>
      <c r="C1531" t="s">
        <v>448</v>
      </c>
      <c r="D1531" t="s">
        <v>445</v>
      </c>
      <c r="E1531">
        <v>188</v>
      </c>
    </row>
    <row r="1532" spans="1:5">
      <c r="A1532" t="s">
        <v>91</v>
      </c>
      <c r="B1532" t="s">
        <v>499</v>
      </c>
      <c r="C1532" t="s">
        <v>448</v>
      </c>
      <c r="D1532" t="s">
        <v>447</v>
      </c>
      <c r="E1532">
        <v>7.5</v>
      </c>
    </row>
    <row r="1533" spans="1:5">
      <c r="A1533" t="s">
        <v>91</v>
      </c>
      <c r="B1533" t="s">
        <v>499</v>
      </c>
      <c r="C1533" t="s">
        <v>448</v>
      </c>
      <c r="D1533" t="s">
        <v>448</v>
      </c>
      <c r="E1533">
        <v>685.8</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EE48D-E766-D947-A1B0-3750D7D9DB9C}">
  <dimension ref="A1:H120"/>
  <sheetViews>
    <sheetView workbookViewId="0">
      <selection activeCell="H19" sqref="H19"/>
    </sheetView>
  </sheetViews>
  <sheetFormatPr baseColWidth="10" defaultRowHeight="16"/>
  <cols>
    <col min="5" max="5" width="15.33203125" customWidth="1"/>
    <col min="6" max="6" width="12.83203125" customWidth="1"/>
    <col min="8" max="8" width="16.1640625" customWidth="1"/>
  </cols>
  <sheetData>
    <row r="1" spans="1:8">
      <c r="A1" s="1" t="s">
        <v>175</v>
      </c>
      <c r="B1" s="1" t="s">
        <v>171</v>
      </c>
      <c r="C1" s="1" t="s">
        <v>5</v>
      </c>
      <c r="D1" s="1" t="s">
        <v>6929</v>
      </c>
      <c r="E1" s="1" t="s">
        <v>208</v>
      </c>
      <c r="F1" s="1" t="s">
        <v>6930</v>
      </c>
    </row>
    <row r="2" spans="1:8">
      <c r="A2" s="1">
        <v>2021</v>
      </c>
      <c r="B2" t="s">
        <v>40</v>
      </c>
      <c r="C2" t="s">
        <v>313</v>
      </c>
      <c r="D2" t="s">
        <v>6910</v>
      </c>
      <c r="E2" t="s">
        <v>313</v>
      </c>
      <c r="F2" s="96">
        <v>27.287146900000003</v>
      </c>
      <c r="H2" s="97"/>
    </row>
    <row r="3" spans="1:8">
      <c r="A3" s="1">
        <v>2021</v>
      </c>
      <c r="B3" t="s">
        <v>40</v>
      </c>
      <c r="C3" t="s">
        <v>6911</v>
      </c>
      <c r="D3" t="s">
        <v>6910</v>
      </c>
      <c r="E3" t="s">
        <v>6911</v>
      </c>
      <c r="F3" s="96">
        <v>6.2970338999999997</v>
      </c>
    </row>
    <row r="4" spans="1:8">
      <c r="A4" s="1">
        <v>2021</v>
      </c>
      <c r="B4" t="s">
        <v>40</v>
      </c>
      <c r="C4" t="s">
        <v>441</v>
      </c>
      <c r="D4" t="s">
        <v>6910</v>
      </c>
      <c r="E4" t="s">
        <v>441</v>
      </c>
      <c r="F4" s="96">
        <v>9655.4519799999998</v>
      </c>
    </row>
    <row r="5" spans="1:8">
      <c r="A5" s="1">
        <v>2021</v>
      </c>
      <c r="B5" t="s">
        <v>40</v>
      </c>
      <c r="C5" t="s">
        <v>447</v>
      </c>
      <c r="D5" t="s">
        <v>6910</v>
      </c>
      <c r="E5" t="s">
        <v>447</v>
      </c>
      <c r="F5" s="96">
        <v>98.653531100000009</v>
      </c>
    </row>
    <row r="6" spans="1:8">
      <c r="A6" s="1">
        <v>2021</v>
      </c>
      <c r="B6" t="s">
        <v>40</v>
      </c>
      <c r="C6" t="s">
        <v>6910</v>
      </c>
      <c r="D6" t="s">
        <v>40</v>
      </c>
      <c r="E6" t="s">
        <v>313</v>
      </c>
      <c r="F6" s="96">
        <v>27.287146900000003</v>
      </c>
    </row>
    <row r="7" spans="1:8">
      <c r="A7" s="1">
        <v>2021</v>
      </c>
      <c r="B7" t="s">
        <v>40</v>
      </c>
      <c r="C7" t="s">
        <v>6910</v>
      </c>
      <c r="D7" t="s">
        <v>40</v>
      </c>
      <c r="E7" t="s">
        <v>6911</v>
      </c>
      <c r="F7" s="96">
        <v>6.2970338999999997</v>
      </c>
    </row>
    <row r="8" spans="1:8">
      <c r="A8" s="1">
        <v>2021</v>
      </c>
      <c r="B8" t="s">
        <v>40</v>
      </c>
      <c r="C8" t="s">
        <v>6910</v>
      </c>
      <c r="D8" t="s">
        <v>40</v>
      </c>
      <c r="E8" t="s">
        <v>441</v>
      </c>
      <c r="F8" s="96">
        <v>9655.4519799999998</v>
      </c>
    </row>
    <row r="9" spans="1:8">
      <c r="A9" s="1">
        <v>2021</v>
      </c>
      <c r="B9" t="s">
        <v>40</v>
      </c>
      <c r="C9" t="s">
        <v>6910</v>
      </c>
      <c r="D9" t="s">
        <v>40</v>
      </c>
      <c r="E9" t="s">
        <v>447</v>
      </c>
      <c r="F9" s="96">
        <v>98.653531100000009</v>
      </c>
    </row>
    <row r="10" spans="1:8">
      <c r="A10" s="1">
        <v>2021</v>
      </c>
      <c r="B10" t="s">
        <v>40</v>
      </c>
      <c r="C10" t="s">
        <v>437</v>
      </c>
      <c r="D10" t="s">
        <v>6913</v>
      </c>
      <c r="E10" t="s">
        <v>437</v>
      </c>
      <c r="F10" s="96">
        <v>4156.0423739999997</v>
      </c>
    </row>
    <row r="11" spans="1:8">
      <c r="A11" s="1">
        <v>2021</v>
      </c>
      <c r="B11" t="s">
        <v>40</v>
      </c>
      <c r="C11" t="s">
        <v>313</v>
      </c>
      <c r="D11" t="s">
        <v>6913</v>
      </c>
      <c r="E11" t="s">
        <v>313</v>
      </c>
      <c r="F11" s="96">
        <v>27.287146900000003</v>
      </c>
    </row>
    <row r="12" spans="1:8">
      <c r="A12" s="1">
        <v>2021</v>
      </c>
      <c r="B12" t="s">
        <v>40</v>
      </c>
      <c r="C12" t="s">
        <v>6913</v>
      </c>
      <c r="D12" t="s">
        <v>40</v>
      </c>
      <c r="E12" t="s">
        <v>437</v>
      </c>
      <c r="F12" s="96">
        <v>4156.0423739999997</v>
      </c>
    </row>
    <row r="13" spans="1:8">
      <c r="A13" s="1">
        <v>2021</v>
      </c>
      <c r="B13" t="s">
        <v>40</v>
      </c>
      <c r="C13" t="s">
        <v>6913</v>
      </c>
      <c r="D13" t="s">
        <v>40</v>
      </c>
      <c r="E13" t="s">
        <v>313</v>
      </c>
      <c r="F13" s="96">
        <v>27.287146900000003</v>
      </c>
    </row>
    <row r="14" spans="1:8">
      <c r="A14" s="1">
        <v>2021</v>
      </c>
      <c r="B14" t="s">
        <v>40</v>
      </c>
      <c r="C14" t="s">
        <v>437</v>
      </c>
      <c r="D14" t="s">
        <v>6914</v>
      </c>
      <c r="E14" t="s">
        <v>437</v>
      </c>
      <c r="F14" s="96">
        <v>6045.1525439999996</v>
      </c>
    </row>
    <row r="15" spans="1:8">
      <c r="A15" s="1">
        <v>2021</v>
      </c>
      <c r="B15" t="s">
        <v>40</v>
      </c>
      <c r="C15" t="s">
        <v>313</v>
      </c>
      <c r="D15" t="s">
        <v>6914</v>
      </c>
      <c r="E15" t="s">
        <v>313</v>
      </c>
      <c r="F15" s="96">
        <v>520.55480240000009</v>
      </c>
    </row>
    <row r="16" spans="1:8">
      <c r="A16" s="1">
        <v>2021</v>
      </c>
      <c r="B16" t="s">
        <v>40</v>
      </c>
      <c r="C16" t="s">
        <v>447</v>
      </c>
      <c r="D16" t="s">
        <v>6914</v>
      </c>
      <c r="E16" t="s">
        <v>447</v>
      </c>
      <c r="F16" s="96">
        <v>92.356497200000007</v>
      </c>
    </row>
    <row r="17" spans="1:6">
      <c r="A17" s="1">
        <v>2021</v>
      </c>
      <c r="B17" t="s">
        <v>40</v>
      </c>
      <c r="C17" t="s">
        <v>6914</v>
      </c>
      <c r="D17" t="s">
        <v>40</v>
      </c>
      <c r="E17" t="s">
        <v>437</v>
      </c>
      <c r="F17" s="96">
        <v>6045.1525439999996</v>
      </c>
    </row>
    <row r="18" spans="1:6">
      <c r="A18" s="1">
        <v>2021</v>
      </c>
      <c r="B18" t="s">
        <v>40</v>
      </c>
      <c r="C18" t="s">
        <v>6914</v>
      </c>
      <c r="D18" t="s">
        <v>40</v>
      </c>
      <c r="E18" t="s">
        <v>313</v>
      </c>
      <c r="F18" s="96">
        <v>520.55480240000009</v>
      </c>
    </row>
    <row r="19" spans="1:6">
      <c r="A19" s="1">
        <v>2021</v>
      </c>
      <c r="B19" t="s">
        <v>40</v>
      </c>
      <c r="C19" t="s">
        <v>6914</v>
      </c>
      <c r="D19" t="s">
        <v>40</v>
      </c>
      <c r="E19" t="s">
        <v>447</v>
      </c>
      <c r="F19" s="96">
        <v>92.356497200000007</v>
      </c>
    </row>
    <row r="20" spans="1:6">
      <c r="A20" s="1">
        <v>2021</v>
      </c>
      <c r="B20" t="s">
        <v>40</v>
      </c>
      <c r="C20" t="s">
        <v>437</v>
      </c>
      <c r="D20" t="s">
        <v>467</v>
      </c>
      <c r="E20" t="s">
        <v>437</v>
      </c>
      <c r="F20" s="96">
        <v>1811.4467518999998</v>
      </c>
    </row>
    <row r="21" spans="1:6">
      <c r="A21" s="1">
        <v>2021</v>
      </c>
      <c r="B21" t="s">
        <v>40</v>
      </c>
      <c r="C21" t="s">
        <v>217</v>
      </c>
      <c r="D21" t="s">
        <v>467</v>
      </c>
      <c r="E21" t="s">
        <v>217</v>
      </c>
      <c r="F21" s="96">
        <v>6.2970338999999997</v>
      </c>
    </row>
    <row r="22" spans="1:6">
      <c r="A22" s="1">
        <v>2021</v>
      </c>
      <c r="B22" t="s">
        <v>40</v>
      </c>
      <c r="C22" t="s">
        <v>313</v>
      </c>
      <c r="D22" t="s">
        <v>467</v>
      </c>
      <c r="E22" t="s">
        <v>313</v>
      </c>
      <c r="F22" s="96">
        <v>46.178248600000003</v>
      </c>
    </row>
    <row r="23" spans="1:6">
      <c r="A23" s="1">
        <v>2021</v>
      </c>
      <c r="B23" t="s">
        <v>40</v>
      </c>
      <c r="C23" t="s">
        <v>6911</v>
      </c>
      <c r="D23" t="s">
        <v>467</v>
      </c>
      <c r="E23" t="s">
        <v>6911</v>
      </c>
      <c r="F23" s="96">
        <v>3045.6653962999999</v>
      </c>
    </row>
    <row r="24" spans="1:6">
      <c r="A24" s="1">
        <v>2021</v>
      </c>
      <c r="B24" t="s">
        <v>40</v>
      </c>
      <c r="C24" t="s">
        <v>443</v>
      </c>
      <c r="D24" t="s">
        <v>467</v>
      </c>
      <c r="E24" t="s">
        <v>443</v>
      </c>
      <c r="F24" s="96">
        <v>4596.8347469999999</v>
      </c>
    </row>
    <row r="25" spans="1:6">
      <c r="A25" s="1">
        <v>2021</v>
      </c>
      <c r="B25" t="s">
        <v>40</v>
      </c>
      <c r="C25" t="s">
        <v>447</v>
      </c>
      <c r="D25" t="s">
        <v>467</v>
      </c>
      <c r="E25" t="s">
        <v>447</v>
      </c>
      <c r="F25" s="96">
        <v>274.97048030000002</v>
      </c>
    </row>
    <row r="26" spans="1:6">
      <c r="A26" s="1">
        <v>2021</v>
      </c>
      <c r="B26" t="s">
        <v>40</v>
      </c>
      <c r="C26" t="s">
        <v>467</v>
      </c>
      <c r="D26" t="s">
        <v>40</v>
      </c>
      <c r="E26" t="s">
        <v>437</v>
      </c>
      <c r="F26" s="96">
        <v>1811.4467518999998</v>
      </c>
    </row>
    <row r="27" spans="1:6">
      <c r="A27" s="1">
        <v>2021</v>
      </c>
      <c r="B27" t="s">
        <v>40</v>
      </c>
      <c r="C27" t="s">
        <v>467</v>
      </c>
      <c r="D27" t="s">
        <v>40</v>
      </c>
      <c r="E27" t="s">
        <v>217</v>
      </c>
      <c r="F27" s="96">
        <v>6.2970338999999997</v>
      </c>
    </row>
    <row r="28" spans="1:6">
      <c r="A28" s="1">
        <v>2021</v>
      </c>
      <c r="B28" t="s">
        <v>40</v>
      </c>
      <c r="C28" t="s">
        <v>467</v>
      </c>
      <c r="D28" t="s">
        <v>40</v>
      </c>
      <c r="E28" t="s">
        <v>313</v>
      </c>
      <c r="F28" s="96">
        <v>46.178248600000003</v>
      </c>
    </row>
    <row r="29" spans="1:6">
      <c r="A29" s="1">
        <v>2021</v>
      </c>
      <c r="B29" t="s">
        <v>40</v>
      </c>
      <c r="C29" t="s">
        <v>467</v>
      </c>
      <c r="D29" t="s">
        <v>40</v>
      </c>
      <c r="E29" t="s">
        <v>6911</v>
      </c>
      <c r="F29" s="96">
        <v>3045.6653962999999</v>
      </c>
    </row>
    <row r="30" spans="1:6">
      <c r="A30" s="1">
        <v>2021</v>
      </c>
      <c r="B30" t="s">
        <v>40</v>
      </c>
      <c r="C30" t="s">
        <v>467</v>
      </c>
      <c r="D30" t="s">
        <v>40</v>
      </c>
      <c r="E30" t="s">
        <v>443</v>
      </c>
      <c r="F30" s="96">
        <v>4596.8347469999999</v>
      </c>
    </row>
    <row r="31" spans="1:6">
      <c r="A31" s="1">
        <v>2021</v>
      </c>
      <c r="B31" t="s">
        <v>40</v>
      </c>
      <c r="C31" t="s">
        <v>467</v>
      </c>
      <c r="D31" t="s">
        <v>40</v>
      </c>
      <c r="E31" t="s">
        <v>447</v>
      </c>
      <c r="F31" s="96">
        <v>274.97048030000002</v>
      </c>
    </row>
    <row r="32" spans="1:6">
      <c r="A32" s="1">
        <v>2021</v>
      </c>
      <c r="B32" t="s">
        <v>40</v>
      </c>
      <c r="C32" t="s">
        <v>437</v>
      </c>
      <c r="D32" t="s">
        <v>65</v>
      </c>
      <c r="E32" t="s">
        <v>437</v>
      </c>
      <c r="F32" s="96">
        <v>260.27740120000004</v>
      </c>
    </row>
    <row r="33" spans="1:6">
      <c r="A33" s="1">
        <v>2021</v>
      </c>
      <c r="B33" t="s">
        <v>40</v>
      </c>
      <c r="C33" t="s">
        <v>217</v>
      </c>
      <c r="D33" t="s">
        <v>65</v>
      </c>
      <c r="E33" t="s">
        <v>217</v>
      </c>
      <c r="F33" s="96">
        <v>16.792090400000003</v>
      </c>
    </row>
    <row r="34" spans="1:6">
      <c r="A34" s="1">
        <v>2021</v>
      </c>
      <c r="B34" t="s">
        <v>40</v>
      </c>
      <c r="C34" t="s">
        <v>313</v>
      </c>
      <c r="D34" t="s">
        <v>65</v>
      </c>
      <c r="E34" t="s">
        <v>313</v>
      </c>
      <c r="F34" s="96">
        <v>88.158474600000005</v>
      </c>
    </row>
    <row r="35" spans="1:6">
      <c r="A35" s="1">
        <v>2021</v>
      </c>
      <c r="B35" t="s">
        <v>40</v>
      </c>
      <c r="C35" t="s">
        <v>6911</v>
      </c>
      <c r="D35" t="s">
        <v>65</v>
      </c>
      <c r="E35" t="s">
        <v>6911</v>
      </c>
      <c r="F35" s="96">
        <v>109.14858760000001</v>
      </c>
    </row>
    <row r="36" spans="1:6">
      <c r="A36" s="1">
        <v>2021</v>
      </c>
      <c r="B36" t="s">
        <v>40</v>
      </c>
      <c r="C36" t="s">
        <v>6912</v>
      </c>
      <c r="D36" t="s">
        <v>65</v>
      </c>
      <c r="E36" t="s">
        <v>6912</v>
      </c>
      <c r="F36" s="96">
        <v>50.376271199999998</v>
      </c>
    </row>
    <row r="37" spans="1:6">
      <c r="A37" s="1">
        <v>2021</v>
      </c>
      <c r="B37" t="s">
        <v>40</v>
      </c>
      <c r="C37" t="s">
        <v>6915</v>
      </c>
      <c r="D37" t="s">
        <v>65</v>
      </c>
      <c r="E37" t="s">
        <v>6915</v>
      </c>
      <c r="F37" s="96">
        <v>188.91101699999999</v>
      </c>
    </row>
    <row r="38" spans="1:6">
      <c r="A38" s="1">
        <v>2021</v>
      </c>
      <c r="B38" t="s">
        <v>40</v>
      </c>
      <c r="C38" t="s">
        <v>65</v>
      </c>
      <c r="D38" t="s">
        <v>40</v>
      </c>
      <c r="E38" t="s">
        <v>437</v>
      </c>
      <c r="F38" s="96">
        <v>260.27740120000004</v>
      </c>
    </row>
    <row r="39" spans="1:6">
      <c r="A39" s="1">
        <v>2021</v>
      </c>
      <c r="B39" t="s">
        <v>40</v>
      </c>
      <c r="C39" t="s">
        <v>65</v>
      </c>
      <c r="D39" t="s">
        <v>40</v>
      </c>
      <c r="E39" t="s">
        <v>217</v>
      </c>
      <c r="F39" s="96">
        <v>16.792090400000003</v>
      </c>
    </row>
    <row r="40" spans="1:6">
      <c r="A40" s="1">
        <v>2021</v>
      </c>
      <c r="B40" t="s">
        <v>40</v>
      </c>
      <c r="C40" t="s">
        <v>65</v>
      </c>
      <c r="D40" t="s">
        <v>40</v>
      </c>
      <c r="E40" t="s">
        <v>313</v>
      </c>
      <c r="F40" s="96">
        <v>88.158474600000005</v>
      </c>
    </row>
    <row r="41" spans="1:6">
      <c r="A41" s="1">
        <v>2021</v>
      </c>
      <c r="B41" t="s">
        <v>40</v>
      </c>
      <c r="C41" t="s">
        <v>65</v>
      </c>
      <c r="D41" t="s">
        <v>40</v>
      </c>
      <c r="E41" t="s">
        <v>6911</v>
      </c>
      <c r="F41" s="96">
        <v>109.14858760000001</v>
      </c>
    </row>
    <row r="42" spans="1:6">
      <c r="A42" s="1">
        <v>2021</v>
      </c>
      <c r="B42" t="s">
        <v>40</v>
      </c>
      <c r="C42" t="s">
        <v>65</v>
      </c>
      <c r="D42" t="s">
        <v>40</v>
      </c>
      <c r="E42" t="s">
        <v>6912</v>
      </c>
      <c r="F42" s="96">
        <v>50.376271199999998</v>
      </c>
    </row>
    <row r="43" spans="1:6">
      <c r="A43" s="1">
        <v>2021</v>
      </c>
      <c r="B43" t="s">
        <v>40</v>
      </c>
      <c r="C43" t="s">
        <v>65</v>
      </c>
      <c r="D43" t="s">
        <v>40</v>
      </c>
      <c r="E43" t="s">
        <v>6915</v>
      </c>
      <c r="F43" s="96">
        <v>188.91101699999999</v>
      </c>
    </row>
    <row r="44" spans="1:6">
      <c r="A44" s="1">
        <v>2021</v>
      </c>
      <c r="B44" t="s">
        <v>40</v>
      </c>
      <c r="C44" t="s">
        <v>437</v>
      </c>
      <c r="D44" t="s">
        <v>455</v>
      </c>
      <c r="E44" t="s">
        <v>437</v>
      </c>
      <c r="F44" s="96">
        <v>73.4653955</v>
      </c>
    </row>
    <row r="45" spans="1:6">
      <c r="A45" s="1">
        <v>2021</v>
      </c>
      <c r="B45" t="s">
        <v>40</v>
      </c>
      <c r="C45" t="s">
        <v>217</v>
      </c>
      <c r="D45" t="s">
        <v>455</v>
      </c>
      <c r="E45" t="s">
        <v>217</v>
      </c>
      <c r="F45" s="96">
        <v>14.6930791</v>
      </c>
    </row>
    <row r="46" spans="1:6">
      <c r="A46" s="1">
        <v>2021</v>
      </c>
      <c r="B46" t="s">
        <v>40</v>
      </c>
      <c r="C46" t="s">
        <v>313</v>
      </c>
      <c r="D46" t="s">
        <v>455</v>
      </c>
      <c r="E46" t="s">
        <v>313</v>
      </c>
      <c r="F46" s="96">
        <v>1282.4959042999999</v>
      </c>
    </row>
    <row r="47" spans="1:6">
      <c r="A47" s="1">
        <v>2021</v>
      </c>
      <c r="B47" t="s">
        <v>40</v>
      </c>
      <c r="C47" t="s">
        <v>6911</v>
      </c>
      <c r="D47" t="s">
        <v>455</v>
      </c>
      <c r="E47" t="s">
        <v>6911</v>
      </c>
      <c r="F47" s="96">
        <v>619.20833349999998</v>
      </c>
    </row>
    <row r="48" spans="1:6">
      <c r="A48" s="1">
        <v>2021</v>
      </c>
      <c r="B48" t="s">
        <v>40</v>
      </c>
      <c r="C48" t="s">
        <v>6912</v>
      </c>
      <c r="D48" t="s">
        <v>455</v>
      </c>
      <c r="E48" t="s">
        <v>6912</v>
      </c>
      <c r="F48" s="96">
        <v>239.28728820000001</v>
      </c>
    </row>
    <row r="49" spans="1:6">
      <c r="A49" s="1">
        <v>2021</v>
      </c>
      <c r="B49" t="s">
        <v>40</v>
      </c>
      <c r="C49" t="s">
        <v>447</v>
      </c>
      <c r="D49" t="s">
        <v>455</v>
      </c>
      <c r="E49" t="s">
        <v>447</v>
      </c>
      <c r="F49" s="96">
        <v>138.5347458</v>
      </c>
    </row>
    <row r="50" spans="1:6">
      <c r="A50" s="1">
        <v>2021</v>
      </c>
      <c r="B50" t="s">
        <v>40</v>
      </c>
      <c r="C50" t="s">
        <v>455</v>
      </c>
      <c r="D50" t="s">
        <v>40</v>
      </c>
      <c r="E50" t="s">
        <v>437</v>
      </c>
      <c r="F50" s="96">
        <v>73.4653955</v>
      </c>
    </row>
    <row r="51" spans="1:6">
      <c r="A51" s="1">
        <v>2021</v>
      </c>
      <c r="B51" t="s">
        <v>40</v>
      </c>
      <c r="C51" t="s">
        <v>455</v>
      </c>
      <c r="D51" t="s">
        <v>40</v>
      </c>
      <c r="E51" t="s">
        <v>217</v>
      </c>
      <c r="F51" s="96">
        <v>14.6930791</v>
      </c>
    </row>
    <row r="52" spans="1:6">
      <c r="A52" s="1">
        <v>2021</v>
      </c>
      <c r="B52" t="s">
        <v>40</v>
      </c>
      <c r="C52" t="s">
        <v>455</v>
      </c>
      <c r="D52" t="s">
        <v>40</v>
      </c>
      <c r="E52" t="s">
        <v>313</v>
      </c>
      <c r="F52" s="96">
        <v>1282.4959042999999</v>
      </c>
    </row>
    <row r="53" spans="1:6">
      <c r="A53" s="1">
        <v>2021</v>
      </c>
      <c r="B53" t="s">
        <v>40</v>
      </c>
      <c r="C53" t="s">
        <v>455</v>
      </c>
      <c r="D53" t="s">
        <v>40</v>
      </c>
      <c r="E53" t="s">
        <v>6911</v>
      </c>
      <c r="F53" s="96">
        <v>619.20833349999998</v>
      </c>
    </row>
    <row r="54" spans="1:6">
      <c r="A54" s="1">
        <v>2021</v>
      </c>
      <c r="B54" t="s">
        <v>40</v>
      </c>
      <c r="C54" t="s">
        <v>455</v>
      </c>
      <c r="D54" t="s">
        <v>40</v>
      </c>
      <c r="E54" t="s">
        <v>6912</v>
      </c>
      <c r="F54" s="96">
        <v>239.28728820000001</v>
      </c>
    </row>
    <row r="55" spans="1:6">
      <c r="A55" s="1">
        <v>2021</v>
      </c>
      <c r="B55" t="s">
        <v>40</v>
      </c>
      <c r="C55" t="s">
        <v>455</v>
      </c>
      <c r="D55" t="s">
        <v>40</v>
      </c>
      <c r="E55" t="s">
        <v>447</v>
      </c>
      <c r="F55" s="96">
        <v>138.5347458</v>
      </c>
    </row>
    <row r="56" spans="1:6">
      <c r="A56" s="1">
        <v>2021</v>
      </c>
      <c r="B56" t="s">
        <v>40</v>
      </c>
      <c r="C56" t="s">
        <v>437</v>
      </c>
      <c r="D56" t="s">
        <v>6916</v>
      </c>
      <c r="E56" t="s">
        <v>437</v>
      </c>
      <c r="F56" s="96">
        <v>251.88135600000001</v>
      </c>
    </row>
    <row r="57" spans="1:6">
      <c r="A57" s="1">
        <v>2021</v>
      </c>
      <c r="B57" t="s">
        <v>40</v>
      </c>
      <c r="C57" t="s">
        <v>217</v>
      </c>
      <c r="D57" t="s">
        <v>6916</v>
      </c>
      <c r="E57" t="s">
        <v>217</v>
      </c>
      <c r="F57" s="96">
        <v>608.71327699999995</v>
      </c>
    </row>
    <row r="58" spans="1:6">
      <c r="A58" s="1">
        <v>2021</v>
      </c>
      <c r="B58" t="s">
        <v>40</v>
      </c>
      <c r="C58" t="s">
        <v>313</v>
      </c>
      <c r="D58" t="s">
        <v>6916</v>
      </c>
      <c r="E58" t="s">
        <v>313</v>
      </c>
      <c r="F58" s="96">
        <v>52.475282499999999</v>
      </c>
    </row>
    <row r="59" spans="1:6">
      <c r="A59" s="1">
        <v>2021</v>
      </c>
      <c r="B59" t="s">
        <v>40</v>
      </c>
      <c r="C59" t="s">
        <v>6916</v>
      </c>
      <c r="D59" t="s">
        <v>40</v>
      </c>
      <c r="E59" t="s">
        <v>437</v>
      </c>
      <c r="F59" s="96">
        <v>251.88135600000001</v>
      </c>
    </row>
    <row r="60" spans="1:6">
      <c r="A60" s="1">
        <v>2021</v>
      </c>
      <c r="B60" t="s">
        <v>40</v>
      </c>
      <c r="C60" t="s">
        <v>6916</v>
      </c>
      <c r="D60" t="s">
        <v>40</v>
      </c>
      <c r="E60" t="s">
        <v>217</v>
      </c>
      <c r="F60" s="96">
        <v>608.71327699999995</v>
      </c>
    </row>
    <row r="61" spans="1:6">
      <c r="A61" s="1">
        <v>2021</v>
      </c>
      <c r="B61" t="s">
        <v>40</v>
      </c>
      <c r="C61" t="s">
        <v>6916</v>
      </c>
      <c r="D61" t="s">
        <v>40</v>
      </c>
      <c r="E61" t="s">
        <v>313</v>
      </c>
      <c r="F61" s="96">
        <v>52.475282499999999</v>
      </c>
    </row>
    <row r="62" spans="1:6">
      <c r="A62" s="1">
        <v>2021</v>
      </c>
      <c r="B62" t="s">
        <v>40</v>
      </c>
      <c r="C62" t="s">
        <v>437</v>
      </c>
      <c r="D62" t="s">
        <v>457</v>
      </c>
      <c r="E62" t="s">
        <v>437</v>
      </c>
      <c r="F62" s="96">
        <v>755.64406799999995</v>
      </c>
    </row>
    <row r="63" spans="1:6">
      <c r="A63" s="1">
        <v>2021</v>
      </c>
      <c r="B63" t="s">
        <v>40</v>
      </c>
      <c r="C63" t="s">
        <v>313</v>
      </c>
      <c r="D63" t="s">
        <v>457</v>
      </c>
      <c r="E63" t="s">
        <v>313</v>
      </c>
      <c r="F63" s="96">
        <v>20.990113000000001</v>
      </c>
    </row>
    <row r="64" spans="1:6">
      <c r="A64" s="1">
        <v>2021</v>
      </c>
      <c r="B64" t="s">
        <v>40</v>
      </c>
      <c r="C64" t="s">
        <v>6911</v>
      </c>
      <c r="D64" t="s">
        <v>457</v>
      </c>
      <c r="E64" t="s">
        <v>6911</v>
      </c>
      <c r="F64" s="96">
        <v>1175.446328</v>
      </c>
    </row>
    <row r="65" spans="1:6">
      <c r="A65" s="1">
        <v>2021</v>
      </c>
      <c r="B65" t="s">
        <v>40</v>
      </c>
      <c r="C65" t="s">
        <v>457</v>
      </c>
      <c r="D65" t="s">
        <v>40</v>
      </c>
      <c r="E65" t="s">
        <v>437</v>
      </c>
      <c r="F65" s="96">
        <v>755.64406799999995</v>
      </c>
    </row>
    <row r="66" spans="1:6">
      <c r="A66" s="1">
        <v>2021</v>
      </c>
      <c r="B66" t="s">
        <v>40</v>
      </c>
      <c r="C66" t="s">
        <v>457</v>
      </c>
      <c r="D66" t="s">
        <v>40</v>
      </c>
      <c r="E66" t="s">
        <v>313</v>
      </c>
      <c r="F66" s="96">
        <v>20.990113000000001</v>
      </c>
    </row>
    <row r="67" spans="1:6">
      <c r="A67" s="1">
        <v>2021</v>
      </c>
      <c r="B67" t="s">
        <v>40</v>
      </c>
      <c r="C67" t="s">
        <v>457</v>
      </c>
      <c r="D67" t="s">
        <v>40</v>
      </c>
      <c r="E67" t="s">
        <v>6911</v>
      </c>
      <c r="F67" s="96">
        <v>1175.446328</v>
      </c>
    </row>
    <row r="68" spans="1:6">
      <c r="A68" s="1">
        <v>2021</v>
      </c>
      <c r="B68" t="s">
        <v>40</v>
      </c>
      <c r="C68" t="s">
        <v>437</v>
      </c>
      <c r="D68" t="s">
        <v>497</v>
      </c>
      <c r="E68" t="s">
        <v>437</v>
      </c>
      <c r="F68" s="96">
        <v>56.6733051</v>
      </c>
    </row>
    <row r="69" spans="1:6">
      <c r="A69" s="1">
        <v>2021</v>
      </c>
      <c r="B69" t="s">
        <v>40</v>
      </c>
      <c r="C69" t="s">
        <v>313</v>
      </c>
      <c r="D69" t="s">
        <v>497</v>
      </c>
      <c r="E69" t="s">
        <v>313</v>
      </c>
      <c r="F69" s="96">
        <v>39.881214699999994</v>
      </c>
    </row>
    <row r="70" spans="1:6">
      <c r="A70" s="1">
        <v>2021</v>
      </c>
      <c r="B70" t="s">
        <v>40</v>
      </c>
      <c r="C70" t="s">
        <v>6912</v>
      </c>
      <c r="D70" t="s">
        <v>497</v>
      </c>
      <c r="E70" t="s">
        <v>6912</v>
      </c>
      <c r="F70" s="96">
        <v>4093.0720350000001</v>
      </c>
    </row>
    <row r="71" spans="1:6">
      <c r="A71" s="1">
        <v>2021</v>
      </c>
      <c r="B71" t="s">
        <v>40</v>
      </c>
      <c r="C71" t="s">
        <v>6915</v>
      </c>
      <c r="D71" t="s">
        <v>497</v>
      </c>
      <c r="E71" t="s">
        <v>6915</v>
      </c>
      <c r="F71" s="96">
        <v>20.990113000000001</v>
      </c>
    </row>
    <row r="72" spans="1:6">
      <c r="A72" s="1">
        <v>2021</v>
      </c>
      <c r="B72" t="s">
        <v>40</v>
      </c>
      <c r="C72" t="s">
        <v>497</v>
      </c>
      <c r="D72" t="s">
        <v>40</v>
      </c>
      <c r="E72" t="s">
        <v>437</v>
      </c>
      <c r="F72" s="96">
        <v>56.6733051</v>
      </c>
    </row>
    <row r="73" spans="1:6">
      <c r="A73" s="1">
        <v>2021</v>
      </c>
      <c r="B73" t="s">
        <v>40</v>
      </c>
      <c r="C73" t="s">
        <v>497</v>
      </c>
      <c r="D73" t="s">
        <v>40</v>
      </c>
      <c r="E73" t="s">
        <v>313</v>
      </c>
      <c r="F73" s="96">
        <v>39.881214699999994</v>
      </c>
    </row>
    <row r="74" spans="1:6">
      <c r="A74" s="1">
        <v>2021</v>
      </c>
      <c r="B74" t="s">
        <v>40</v>
      </c>
      <c r="C74" t="s">
        <v>497</v>
      </c>
      <c r="D74" t="s">
        <v>40</v>
      </c>
      <c r="E74" t="s">
        <v>6912</v>
      </c>
      <c r="F74" s="96">
        <v>4093.0720350000001</v>
      </c>
    </row>
    <row r="75" spans="1:6">
      <c r="A75" s="1">
        <v>2021</v>
      </c>
      <c r="B75" t="s">
        <v>40</v>
      </c>
      <c r="C75" t="s">
        <v>497</v>
      </c>
      <c r="D75" t="s">
        <v>40</v>
      </c>
      <c r="E75" t="s">
        <v>6915</v>
      </c>
      <c r="F75" s="96">
        <v>20.990113000000001</v>
      </c>
    </row>
    <row r="76" spans="1:6">
      <c r="A76" s="1">
        <v>2021</v>
      </c>
      <c r="B76" t="s">
        <v>40</v>
      </c>
      <c r="C76" t="s">
        <v>6917</v>
      </c>
      <c r="D76" t="s">
        <v>40</v>
      </c>
      <c r="E76" t="s">
        <v>437</v>
      </c>
      <c r="F76" s="96">
        <v>1183.8423732000001</v>
      </c>
    </row>
    <row r="77" spans="1:6">
      <c r="A77" s="1">
        <v>2021</v>
      </c>
      <c r="B77" t="s">
        <v>40</v>
      </c>
      <c r="C77" t="s">
        <v>217</v>
      </c>
      <c r="D77" t="s">
        <v>6917</v>
      </c>
      <c r="E77" t="s">
        <v>217</v>
      </c>
      <c r="F77" s="96">
        <v>77.663418100000015</v>
      </c>
    </row>
    <row r="78" spans="1:6">
      <c r="A78" s="1">
        <v>2021</v>
      </c>
      <c r="B78" t="s">
        <v>40</v>
      </c>
      <c r="C78" t="s">
        <v>313</v>
      </c>
      <c r="D78" t="s">
        <v>6917</v>
      </c>
      <c r="E78" t="s">
        <v>313</v>
      </c>
      <c r="F78" s="96">
        <v>1078.8918082</v>
      </c>
    </row>
    <row r="79" spans="1:6">
      <c r="A79" s="1">
        <v>2021</v>
      </c>
      <c r="B79" t="s">
        <v>40</v>
      </c>
      <c r="C79" t="s">
        <v>6911</v>
      </c>
      <c r="D79" t="s">
        <v>6917</v>
      </c>
      <c r="E79" t="s">
        <v>6911</v>
      </c>
      <c r="F79" s="96">
        <v>123.8416667</v>
      </c>
    </row>
    <row r="80" spans="1:6">
      <c r="A80" s="1">
        <v>2021</v>
      </c>
      <c r="B80" t="s">
        <v>40</v>
      </c>
      <c r="C80" t="s">
        <v>6912</v>
      </c>
      <c r="D80" t="s">
        <v>6917</v>
      </c>
      <c r="E80" t="s">
        <v>6912</v>
      </c>
      <c r="F80" s="96">
        <v>216.1981639</v>
      </c>
    </row>
    <row r="81" spans="1:6">
      <c r="A81" s="1">
        <v>2021</v>
      </c>
      <c r="B81" t="s">
        <v>40</v>
      </c>
      <c r="C81" t="s">
        <v>447</v>
      </c>
      <c r="D81" t="s">
        <v>6917</v>
      </c>
      <c r="E81" t="s">
        <v>447</v>
      </c>
      <c r="F81" s="96">
        <v>10.4950565</v>
      </c>
    </row>
    <row r="82" spans="1:6">
      <c r="A82" s="1">
        <v>2021</v>
      </c>
      <c r="B82" t="s">
        <v>40</v>
      </c>
      <c r="C82" t="s">
        <v>6917</v>
      </c>
      <c r="D82" t="s">
        <v>40</v>
      </c>
      <c r="E82" t="s">
        <v>217</v>
      </c>
      <c r="F82" s="96">
        <v>77.663418100000015</v>
      </c>
    </row>
    <row r="83" spans="1:6">
      <c r="A83" s="1">
        <v>2021</v>
      </c>
      <c r="B83" t="s">
        <v>40</v>
      </c>
      <c r="C83" t="s">
        <v>6917</v>
      </c>
      <c r="D83" t="s">
        <v>40</v>
      </c>
      <c r="E83" t="s">
        <v>313</v>
      </c>
      <c r="F83" s="96">
        <v>1078.8918082</v>
      </c>
    </row>
    <row r="84" spans="1:6">
      <c r="A84" s="1">
        <v>2021</v>
      </c>
      <c r="B84" t="s">
        <v>40</v>
      </c>
      <c r="C84" t="s">
        <v>6917</v>
      </c>
      <c r="D84" t="s">
        <v>40</v>
      </c>
      <c r="E84" t="s">
        <v>6911</v>
      </c>
      <c r="F84" s="96">
        <v>123.8416667</v>
      </c>
    </row>
    <row r="85" spans="1:6">
      <c r="A85" s="1">
        <v>2021</v>
      </c>
      <c r="B85" t="s">
        <v>40</v>
      </c>
      <c r="C85" t="s">
        <v>6917</v>
      </c>
      <c r="D85" t="s">
        <v>40</v>
      </c>
      <c r="E85" t="s">
        <v>6912</v>
      </c>
      <c r="F85" s="96">
        <v>216.1981639</v>
      </c>
    </row>
    <row r="86" spans="1:6">
      <c r="A86" s="1">
        <v>2021</v>
      </c>
      <c r="B86" t="s">
        <v>40</v>
      </c>
      <c r="C86" t="s">
        <v>6917</v>
      </c>
      <c r="D86" t="s">
        <v>40</v>
      </c>
      <c r="E86" t="s">
        <v>447</v>
      </c>
      <c r="F86" s="96">
        <v>10.4950565</v>
      </c>
    </row>
    <row r="87" spans="1:6">
      <c r="A87" s="1">
        <v>2021</v>
      </c>
      <c r="B87" t="s">
        <v>40</v>
      </c>
      <c r="C87" t="s">
        <v>313</v>
      </c>
      <c r="D87" t="s">
        <v>382</v>
      </c>
      <c r="E87" t="s">
        <v>313</v>
      </c>
      <c r="F87" s="96">
        <v>10.4950565</v>
      </c>
    </row>
    <row r="88" spans="1:6">
      <c r="A88" s="1">
        <v>2021</v>
      </c>
      <c r="B88" t="s">
        <v>40</v>
      </c>
      <c r="C88" t="s">
        <v>6911</v>
      </c>
      <c r="D88" t="s">
        <v>382</v>
      </c>
      <c r="E88" t="s">
        <v>6911</v>
      </c>
      <c r="F88" s="96">
        <v>285.4655368</v>
      </c>
    </row>
    <row r="89" spans="1:6">
      <c r="A89" s="1">
        <v>2021</v>
      </c>
      <c r="B89" t="s">
        <v>40</v>
      </c>
      <c r="C89" t="s">
        <v>447</v>
      </c>
      <c r="D89" t="s">
        <v>382</v>
      </c>
      <c r="E89" t="s">
        <v>447</v>
      </c>
      <c r="F89" s="96">
        <v>6.2970338999999997</v>
      </c>
    </row>
    <row r="90" spans="1:6">
      <c r="A90" s="1">
        <v>2021</v>
      </c>
      <c r="B90" t="s">
        <v>40</v>
      </c>
      <c r="C90" t="s">
        <v>382</v>
      </c>
      <c r="D90" t="s">
        <v>40</v>
      </c>
      <c r="E90" t="s">
        <v>313</v>
      </c>
      <c r="F90" s="96">
        <v>10.4950565</v>
      </c>
    </row>
    <row r="91" spans="1:6">
      <c r="A91" s="1">
        <v>2021</v>
      </c>
      <c r="B91" t="s">
        <v>40</v>
      </c>
      <c r="C91" t="s">
        <v>382</v>
      </c>
      <c r="D91" t="s">
        <v>40</v>
      </c>
      <c r="E91" t="s">
        <v>6911</v>
      </c>
      <c r="F91" s="96">
        <v>285.4655368</v>
      </c>
    </row>
    <row r="92" spans="1:6">
      <c r="A92" s="1">
        <v>2021</v>
      </c>
      <c r="B92" t="s">
        <v>40</v>
      </c>
      <c r="C92" t="s">
        <v>382</v>
      </c>
      <c r="D92" t="s">
        <v>40</v>
      </c>
      <c r="E92" t="s">
        <v>447</v>
      </c>
      <c r="F92" s="96">
        <v>6.2970338999999997</v>
      </c>
    </row>
    <row r="93" spans="1:6">
      <c r="A93" s="1">
        <v>2021</v>
      </c>
      <c r="B93" t="s">
        <v>40</v>
      </c>
      <c r="C93" t="s">
        <v>437</v>
      </c>
      <c r="D93" t="s">
        <v>460</v>
      </c>
      <c r="E93" t="s">
        <v>437</v>
      </c>
      <c r="F93" s="96">
        <v>6909.9451995999998</v>
      </c>
    </row>
    <row r="94" spans="1:6">
      <c r="A94" s="1">
        <v>2021</v>
      </c>
      <c r="B94" t="s">
        <v>40</v>
      </c>
      <c r="C94" t="s">
        <v>313</v>
      </c>
      <c r="D94" t="s">
        <v>460</v>
      </c>
      <c r="E94" t="s">
        <v>313</v>
      </c>
      <c r="F94" s="96">
        <v>52.475282499999999</v>
      </c>
    </row>
    <row r="95" spans="1:6">
      <c r="A95" s="1">
        <v>2021</v>
      </c>
      <c r="B95" t="s">
        <v>40</v>
      </c>
      <c r="C95" t="s">
        <v>6911</v>
      </c>
      <c r="D95" t="s">
        <v>460</v>
      </c>
      <c r="E95" t="s">
        <v>6911</v>
      </c>
      <c r="F95" s="96">
        <v>512.15875719999997</v>
      </c>
    </row>
    <row r="96" spans="1:6">
      <c r="A96" s="1">
        <v>2021</v>
      </c>
      <c r="B96" t="s">
        <v>40</v>
      </c>
      <c r="C96" t="s">
        <v>447</v>
      </c>
      <c r="D96" t="s">
        <v>460</v>
      </c>
      <c r="E96" t="s">
        <v>447</v>
      </c>
      <c r="F96" s="96">
        <v>31.485169500000001</v>
      </c>
    </row>
    <row r="97" spans="1:8">
      <c r="A97" s="1">
        <v>2021</v>
      </c>
      <c r="B97" t="s">
        <v>40</v>
      </c>
      <c r="C97" t="s">
        <v>460</v>
      </c>
      <c r="D97" t="s">
        <v>40</v>
      </c>
      <c r="E97" t="s">
        <v>437</v>
      </c>
      <c r="F97" s="96">
        <v>6909.9451995999998</v>
      </c>
    </row>
    <row r="98" spans="1:8">
      <c r="A98" s="1">
        <v>2021</v>
      </c>
      <c r="B98" t="s">
        <v>40</v>
      </c>
      <c r="C98" t="s">
        <v>460</v>
      </c>
      <c r="D98" t="s">
        <v>40</v>
      </c>
      <c r="E98" t="s">
        <v>313</v>
      </c>
      <c r="F98" s="96">
        <v>52.475282499999999</v>
      </c>
    </row>
    <row r="99" spans="1:8">
      <c r="A99" s="1">
        <v>2021</v>
      </c>
      <c r="B99" t="s">
        <v>40</v>
      </c>
      <c r="C99" t="s">
        <v>460</v>
      </c>
      <c r="D99" t="s">
        <v>40</v>
      </c>
      <c r="E99" t="s">
        <v>6911</v>
      </c>
      <c r="F99" s="96">
        <v>512.15875719999997</v>
      </c>
    </row>
    <row r="100" spans="1:8">
      <c r="A100" s="1">
        <v>2021</v>
      </c>
      <c r="B100" t="s">
        <v>40</v>
      </c>
      <c r="C100" t="s">
        <v>460</v>
      </c>
      <c r="D100" t="s">
        <v>40</v>
      </c>
      <c r="E100" t="s">
        <v>447</v>
      </c>
      <c r="F100" s="96">
        <v>31.485169500000001</v>
      </c>
    </row>
    <row r="101" spans="1:8">
      <c r="A101" s="1">
        <v>2021</v>
      </c>
      <c r="B101" t="s">
        <v>480</v>
      </c>
      <c r="C101" t="s">
        <v>437</v>
      </c>
      <c r="D101" t="s">
        <v>467</v>
      </c>
      <c r="E101" t="s">
        <v>437</v>
      </c>
      <c r="F101" s="96">
        <v>10.751353600000002</v>
      </c>
      <c r="H101" s="45"/>
    </row>
    <row r="102" spans="1:8">
      <c r="A102" s="1">
        <v>2021</v>
      </c>
      <c r="B102" t="s">
        <v>480</v>
      </c>
      <c r="C102" t="s">
        <v>443</v>
      </c>
      <c r="D102" t="s">
        <v>467</v>
      </c>
      <c r="E102" t="s">
        <v>443</v>
      </c>
      <c r="F102" s="96">
        <v>153.2067888</v>
      </c>
    </row>
    <row r="103" spans="1:8">
      <c r="A103" s="1">
        <v>2021</v>
      </c>
      <c r="B103" t="s">
        <v>480</v>
      </c>
      <c r="C103" t="s">
        <v>445</v>
      </c>
      <c r="D103" t="s">
        <v>467</v>
      </c>
      <c r="E103" t="s">
        <v>445</v>
      </c>
      <c r="F103" s="96">
        <v>542.94335679999995</v>
      </c>
    </row>
    <row r="104" spans="1:8">
      <c r="A104" s="1">
        <v>2021</v>
      </c>
      <c r="B104" t="s">
        <v>480</v>
      </c>
      <c r="C104" t="s">
        <v>467</v>
      </c>
      <c r="D104" t="s">
        <v>480</v>
      </c>
      <c r="E104" t="s">
        <v>437</v>
      </c>
      <c r="F104" s="96">
        <v>10.751353600000002</v>
      </c>
    </row>
    <row r="105" spans="1:8">
      <c r="A105" s="1">
        <v>2021</v>
      </c>
      <c r="B105" t="s">
        <v>480</v>
      </c>
      <c r="C105" t="s">
        <v>467</v>
      </c>
      <c r="D105" t="s">
        <v>480</v>
      </c>
      <c r="E105" t="s">
        <v>443</v>
      </c>
      <c r="F105" s="96">
        <v>153.2067888</v>
      </c>
    </row>
    <row r="106" spans="1:8">
      <c r="A106" s="1">
        <v>2021</v>
      </c>
      <c r="B106" t="s">
        <v>480</v>
      </c>
      <c r="C106" t="s">
        <v>467</v>
      </c>
      <c r="D106" t="s">
        <v>480</v>
      </c>
      <c r="E106" t="s">
        <v>445</v>
      </c>
      <c r="F106" s="96">
        <v>542.94335679999995</v>
      </c>
    </row>
    <row r="107" spans="1:8">
      <c r="A107" s="1">
        <v>2021</v>
      </c>
      <c r="B107" t="s">
        <v>480</v>
      </c>
      <c r="C107" t="s">
        <v>437</v>
      </c>
      <c r="D107" t="s">
        <v>482</v>
      </c>
      <c r="E107" t="s">
        <v>437</v>
      </c>
      <c r="F107" s="96">
        <v>542.94335679999995</v>
      </c>
    </row>
    <row r="108" spans="1:8">
      <c r="A108" s="1">
        <v>2021</v>
      </c>
      <c r="B108" t="s">
        <v>480</v>
      </c>
      <c r="C108" t="s">
        <v>217</v>
      </c>
      <c r="D108" t="s">
        <v>482</v>
      </c>
      <c r="E108" t="s">
        <v>217</v>
      </c>
      <c r="F108" s="96">
        <v>63.164202400000008</v>
      </c>
    </row>
    <row r="109" spans="1:8">
      <c r="A109" s="1">
        <v>2021</v>
      </c>
      <c r="B109" t="s">
        <v>480</v>
      </c>
      <c r="C109" t="s">
        <v>313</v>
      </c>
      <c r="D109" t="s">
        <v>482</v>
      </c>
      <c r="E109" t="s">
        <v>313</v>
      </c>
      <c r="F109" s="96">
        <v>96.7621824</v>
      </c>
    </row>
    <row r="110" spans="1:8">
      <c r="A110" s="1">
        <v>2021</v>
      </c>
      <c r="B110" t="s">
        <v>480</v>
      </c>
      <c r="C110" t="s">
        <v>6911</v>
      </c>
      <c r="D110" t="s">
        <v>482</v>
      </c>
      <c r="E110" t="s">
        <v>6911</v>
      </c>
      <c r="F110" s="96">
        <v>404.51967920000004</v>
      </c>
    </row>
    <row r="111" spans="1:8">
      <c r="A111" s="1">
        <v>2021</v>
      </c>
      <c r="B111" t="s">
        <v>480</v>
      </c>
      <c r="C111" t="s">
        <v>441</v>
      </c>
      <c r="D111" t="s">
        <v>482</v>
      </c>
      <c r="E111" t="s">
        <v>441</v>
      </c>
      <c r="F111" s="96">
        <v>1048.2569759999999</v>
      </c>
    </row>
    <row r="112" spans="1:8">
      <c r="A112" s="1">
        <v>2021</v>
      </c>
      <c r="B112" t="s">
        <v>480</v>
      </c>
      <c r="C112" t="s">
        <v>6912</v>
      </c>
      <c r="D112" t="s">
        <v>482</v>
      </c>
      <c r="E112" t="s">
        <v>6912</v>
      </c>
      <c r="F112" s="96">
        <v>473.05955840000001</v>
      </c>
    </row>
    <row r="113" spans="1:6">
      <c r="A113" s="1">
        <v>2021</v>
      </c>
      <c r="B113" t="s">
        <v>480</v>
      </c>
      <c r="C113" t="s">
        <v>447</v>
      </c>
      <c r="D113" t="s">
        <v>482</v>
      </c>
      <c r="E113" t="s">
        <v>447</v>
      </c>
      <c r="F113" s="96">
        <v>392.42440639999995</v>
      </c>
    </row>
    <row r="114" spans="1:6">
      <c r="A114" s="1">
        <v>2021</v>
      </c>
      <c r="B114" t="s">
        <v>480</v>
      </c>
      <c r="C114" t="s">
        <v>482</v>
      </c>
      <c r="D114" t="s">
        <v>480</v>
      </c>
      <c r="E114" t="s">
        <v>437</v>
      </c>
      <c r="F114" s="96">
        <v>542.94335679999995</v>
      </c>
    </row>
    <row r="115" spans="1:6">
      <c r="A115" s="1">
        <v>2021</v>
      </c>
      <c r="B115" t="s">
        <v>480</v>
      </c>
      <c r="C115" t="s">
        <v>482</v>
      </c>
      <c r="D115" t="s">
        <v>480</v>
      </c>
      <c r="E115" t="s">
        <v>217</v>
      </c>
      <c r="F115" s="96">
        <v>63.164202400000008</v>
      </c>
    </row>
    <row r="116" spans="1:6">
      <c r="A116" s="1">
        <v>2021</v>
      </c>
      <c r="B116" t="s">
        <v>480</v>
      </c>
      <c r="C116" t="s">
        <v>482</v>
      </c>
      <c r="D116" t="s">
        <v>480</v>
      </c>
      <c r="E116" t="s">
        <v>313</v>
      </c>
      <c r="F116" s="96">
        <v>96.7621824</v>
      </c>
    </row>
    <row r="117" spans="1:6">
      <c r="A117" s="1">
        <v>2021</v>
      </c>
      <c r="B117" t="s">
        <v>480</v>
      </c>
      <c r="C117" t="s">
        <v>482</v>
      </c>
      <c r="D117" t="s">
        <v>480</v>
      </c>
      <c r="E117" t="s">
        <v>6911</v>
      </c>
      <c r="F117" s="96">
        <v>404.51967920000004</v>
      </c>
    </row>
    <row r="118" spans="1:6">
      <c r="A118" s="1">
        <v>2021</v>
      </c>
      <c r="B118" t="s">
        <v>480</v>
      </c>
      <c r="C118" t="s">
        <v>482</v>
      </c>
      <c r="D118" t="s">
        <v>480</v>
      </c>
      <c r="E118" t="s">
        <v>441</v>
      </c>
      <c r="F118" s="96">
        <v>1048.2569759999999</v>
      </c>
    </row>
    <row r="119" spans="1:6">
      <c r="A119" s="1">
        <v>2021</v>
      </c>
      <c r="B119" t="s">
        <v>480</v>
      </c>
      <c r="C119" t="s">
        <v>482</v>
      </c>
      <c r="D119" t="s">
        <v>480</v>
      </c>
      <c r="E119" t="s">
        <v>6912</v>
      </c>
      <c r="F119" s="96">
        <v>473.05955840000001</v>
      </c>
    </row>
    <row r="120" spans="1:6">
      <c r="A120" s="1">
        <v>2021</v>
      </c>
      <c r="B120" t="s">
        <v>480</v>
      </c>
      <c r="C120" t="s">
        <v>482</v>
      </c>
      <c r="D120" t="s">
        <v>480</v>
      </c>
      <c r="E120" t="s">
        <v>447</v>
      </c>
      <c r="F120" s="96">
        <v>392.42440639999995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825C5-AE48-8445-97C6-E5D322E2DD81}">
  <dimension ref="A1:AC914"/>
  <sheetViews>
    <sheetView zoomScale="70" zoomScaleNormal="70" workbookViewId="0">
      <selection activeCell="L33" sqref="L33"/>
    </sheetView>
  </sheetViews>
  <sheetFormatPr baseColWidth="10" defaultColWidth="14.5" defaultRowHeight="16"/>
  <cols>
    <col min="2" max="2" width="36.83203125" style="65" customWidth="1"/>
    <col min="3" max="3" width="24.83203125" style="65" customWidth="1"/>
    <col min="4" max="9" width="14.5" style="65"/>
    <col min="10" max="10" width="16.5" style="65" customWidth="1"/>
    <col min="11" max="17" width="14.5" style="65"/>
  </cols>
  <sheetData>
    <row r="1" spans="1:29" ht="16" customHeight="1">
      <c r="A1" s="1" t="s">
        <v>171</v>
      </c>
      <c r="B1" s="55" t="s">
        <v>6925</v>
      </c>
      <c r="C1" s="55" t="s">
        <v>436</v>
      </c>
      <c r="D1" s="55" t="s">
        <v>437</v>
      </c>
      <c r="E1" s="55" t="s">
        <v>438</v>
      </c>
      <c r="F1" s="55" t="s">
        <v>439</v>
      </c>
      <c r="G1" s="55" t="s">
        <v>440</v>
      </c>
      <c r="H1" s="56" t="s">
        <v>441</v>
      </c>
      <c r="I1" s="55" t="s">
        <v>442</v>
      </c>
      <c r="J1" s="55" t="s">
        <v>443</v>
      </c>
      <c r="K1" s="55" t="s">
        <v>444</v>
      </c>
      <c r="L1" s="55" t="s">
        <v>445</v>
      </c>
      <c r="M1" s="55" t="s">
        <v>446</v>
      </c>
      <c r="N1" s="55" t="s">
        <v>447</v>
      </c>
      <c r="O1" s="55" t="s">
        <v>448</v>
      </c>
      <c r="P1" s="57"/>
      <c r="Q1" s="58"/>
      <c r="R1" s="59"/>
      <c r="S1" s="59"/>
      <c r="T1" s="59"/>
      <c r="U1" s="59"/>
      <c r="V1" s="59"/>
      <c r="W1" s="59"/>
      <c r="X1" s="59"/>
      <c r="Y1" s="59"/>
      <c r="Z1" s="59"/>
      <c r="AA1" s="59"/>
      <c r="AB1" s="59"/>
      <c r="AC1" s="59"/>
    </row>
    <row r="2" spans="1:29" ht="16" customHeight="1">
      <c r="A2" t="s">
        <v>40</v>
      </c>
      <c r="B2" s="60" t="s">
        <v>449</v>
      </c>
      <c r="C2" s="60" t="s">
        <v>450</v>
      </c>
      <c r="D2" s="60">
        <v>0.8</v>
      </c>
      <c r="E2" s="60"/>
      <c r="F2" s="60"/>
      <c r="G2" s="60">
        <v>44</v>
      </c>
      <c r="H2" s="60">
        <v>368.6</v>
      </c>
      <c r="I2" s="60">
        <v>9.4</v>
      </c>
      <c r="J2" s="60"/>
      <c r="K2" s="60"/>
      <c r="L2" s="60"/>
      <c r="M2" s="60"/>
      <c r="N2" s="60">
        <v>3.5</v>
      </c>
      <c r="O2" s="60">
        <f t="shared" ref="O2:O13" si="0">SUM(D2:N2)</f>
        <v>426.3</v>
      </c>
      <c r="P2" s="61"/>
      <c r="Q2" s="62"/>
      <c r="R2" s="63"/>
      <c r="S2" s="63"/>
      <c r="T2" s="63"/>
      <c r="U2" s="63"/>
      <c r="V2" s="63"/>
      <c r="W2" s="63"/>
      <c r="X2" s="63"/>
      <c r="Y2" s="63"/>
      <c r="Z2" s="63"/>
      <c r="AA2" s="63"/>
      <c r="AB2" s="63"/>
      <c r="AC2" s="63"/>
    </row>
    <row r="3" spans="1:29" ht="16" customHeight="1">
      <c r="A3" t="s">
        <v>40</v>
      </c>
      <c r="B3" s="60" t="s">
        <v>449</v>
      </c>
      <c r="C3" s="60" t="s">
        <v>451</v>
      </c>
      <c r="D3" s="60">
        <v>22.7</v>
      </c>
      <c r="E3" s="60"/>
      <c r="F3" s="60">
        <v>1.5</v>
      </c>
      <c r="G3" s="60">
        <v>206.3</v>
      </c>
      <c r="H3" s="60"/>
      <c r="I3" s="60"/>
      <c r="J3" s="60"/>
      <c r="K3" s="60"/>
      <c r="L3" s="60"/>
      <c r="M3" s="60"/>
      <c r="N3" s="60">
        <v>0.1</v>
      </c>
      <c r="O3" s="60">
        <f t="shared" si="0"/>
        <v>230.6</v>
      </c>
      <c r="P3" s="61"/>
      <c r="Q3" s="62"/>
      <c r="R3" s="63"/>
      <c r="S3" s="63"/>
      <c r="T3" s="63"/>
      <c r="U3" s="63"/>
      <c r="V3" s="63"/>
      <c r="W3" s="63"/>
      <c r="X3" s="63"/>
      <c r="Y3" s="63"/>
      <c r="Z3" s="63"/>
      <c r="AA3" s="63"/>
      <c r="AB3" s="63"/>
      <c r="AC3" s="63"/>
    </row>
    <row r="4" spans="1:29" ht="16" customHeight="1">
      <c r="A4" t="s">
        <v>40</v>
      </c>
      <c r="B4" s="60" t="s">
        <v>449</v>
      </c>
      <c r="C4" s="60" t="s">
        <v>452</v>
      </c>
      <c r="D4" s="60"/>
      <c r="E4" s="60"/>
      <c r="F4" s="60">
        <v>69.3</v>
      </c>
      <c r="G4" s="60">
        <v>226.5</v>
      </c>
      <c r="H4" s="60"/>
      <c r="I4" s="60"/>
      <c r="J4" s="60"/>
      <c r="K4" s="60"/>
      <c r="L4" s="60"/>
      <c r="M4" s="60">
        <v>0.8</v>
      </c>
      <c r="N4" s="60">
        <v>0.4</v>
      </c>
      <c r="O4" s="60">
        <f t="shared" si="0"/>
        <v>297</v>
      </c>
      <c r="P4" s="61"/>
      <c r="Q4" s="62"/>
      <c r="R4" s="63"/>
      <c r="S4" s="63"/>
      <c r="T4" s="63"/>
      <c r="U4" s="63"/>
      <c r="V4" s="63"/>
      <c r="W4" s="63"/>
      <c r="X4" s="63"/>
      <c r="Y4" s="63"/>
      <c r="Z4" s="63"/>
      <c r="AA4" s="63"/>
      <c r="AB4" s="63"/>
      <c r="AC4" s="63"/>
    </row>
    <row r="5" spans="1:29" ht="16" customHeight="1">
      <c r="A5" t="s">
        <v>40</v>
      </c>
      <c r="B5" s="60" t="s">
        <v>449</v>
      </c>
      <c r="C5" s="60" t="s">
        <v>453</v>
      </c>
      <c r="D5" s="60"/>
      <c r="E5" s="60">
        <v>3.6</v>
      </c>
      <c r="F5" s="60">
        <v>170.5</v>
      </c>
      <c r="G5" s="60">
        <v>263.5</v>
      </c>
      <c r="H5" s="60"/>
      <c r="I5" s="60">
        <v>42.3</v>
      </c>
      <c r="J5" s="60">
        <v>265</v>
      </c>
      <c r="K5" s="60"/>
      <c r="L5" s="60"/>
      <c r="M5" s="60"/>
      <c r="N5" s="60">
        <v>4.8</v>
      </c>
      <c r="O5" s="60">
        <f t="shared" si="0"/>
        <v>749.7</v>
      </c>
      <c r="P5" s="61"/>
      <c r="Q5" s="62"/>
      <c r="R5" s="63"/>
      <c r="S5" s="63"/>
      <c r="T5" s="63"/>
      <c r="U5" s="63"/>
      <c r="V5" s="63"/>
      <c r="W5" s="63"/>
      <c r="X5" s="63"/>
      <c r="Y5" s="63"/>
      <c r="Z5" s="63"/>
      <c r="AA5" s="63"/>
      <c r="AB5" s="63"/>
      <c r="AC5" s="63"/>
    </row>
    <row r="6" spans="1:29" ht="16" customHeight="1">
      <c r="A6" t="s">
        <v>40</v>
      </c>
      <c r="B6" s="60" t="s">
        <v>449</v>
      </c>
      <c r="C6" s="60" t="s">
        <v>454</v>
      </c>
      <c r="D6" s="60">
        <v>0.3</v>
      </c>
      <c r="E6" s="60"/>
      <c r="F6" s="60">
        <v>0.3</v>
      </c>
      <c r="G6" s="60">
        <v>7</v>
      </c>
      <c r="H6" s="60"/>
      <c r="I6" s="60">
        <v>0.2</v>
      </c>
      <c r="J6" s="60"/>
      <c r="K6" s="60"/>
      <c r="L6" s="60"/>
      <c r="M6" s="60"/>
      <c r="N6" s="60">
        <v>0.1</v>
      </c>
      <c r="O6" s="60">
        <f t="shared" si="0"/>
        <v>7.8999999999999995</v>
      </c>
      <c r="P6" s="61"/>
      <c r="Q6" s="62"/>
      <c r="R6" s="63"/>
      <c r="S6" s="63"/>
      <c r="T6" s="63"/>
      <c r="U6" s="63"/>
      <c r="V6" s="63"/>
      <c r="W6" s="63"/>
      <c r="X6" s="63"/>
      <c r="Y6" s="63"/>
      <c r="Z6" s="63"/>
      <c r="AA6" s="63"/>
      <c r="AB6" s="63"/>
      <c r="AC6" s="63"/>
    </row>
    <row r="7" spans="1:29" ht="16" customHeight="1">
      <c r="A7" t="s">
        <v>40</v>
      </c>
      <c r="B7" s="60" t="s">
        <v>449</v>
      </c>
      <c r="C7" s="60" t="s">
        <v>455</v>
      </c>
      <c r="D7" s="60">
        <v>27.85</v>
      </c>
      <c r="E7" s="60">
        <v>1.81</v>
      </c>
      <c r="F7" s="60">
        <v>94.3</v>
      </c>
      <c r="G7" s="60">
        <v>16.989999999999998</v>
      </c>
      <c r="H7" s="60"/>
      <c r="I7" s="60">
        <v>16.600000000000001</v>
      </c>
      <c r="J7" s="60"/>
      <c r="K7" s="60"/>
      <c r="L7" s="60"/>
      <c r="M7" s="60"/>
      <c r="N7" s="60">
        <v>18.239999999999998</v>
      </c>
      <c r="O7" s="60">
        <f t="shared" si="0"/>
        <v>175.79</v>
      </c>
      <c r="P7" s="61"/>
      <c r="Q7" s="62"/>
      <c r="R7" s="63"/>
      <c r="S7" s="63"/>
      <c r="T7" s="63"/>
      <c r="U7" s="63"/>
      <c r="V7" s="63"/>
      <c r="W7" s="63"/>
      <c r="X7" s="63"/>
      <c r="Y7" s="63"/>
      <c r="Z7" s="63"/>
      <c r="AA7" s="63"/>
      <c r="AB7" s="63"/>
      <c r="AC7" s="63"/>
    </row>
    <row r="8" spans="1:29" ht="16" customHeight="1">
      <c r="A8" t="s">
        <v>40</v>
      </c>
      <c r="B8" s="60" t="s">
        <v>449</v>
      </c>
      <c r="C8" s="60" t="s">
        <v>456</v>
      </c>
      <c r="D8" s="60">
        <v>37.299999999999997</v>
      </c>
      <c r="E8" s="60">
        <v>14.1</v>
      </c>
      <c r="F8" s="60">
        <v>0.5</v>
      </c>
      <c r="G8" s="60"/>
      <c r="H8" s="60"/>
      <c r="I8" s="60"/>
      <c r="J8" s="60"/>
      <c r="K8" s="60"/>
      <c r="L8" s="60"/>
      <c r="M8" s="60"/>
      <c r="N8" s="60"/>
      <c r="O8" s="60">
        <f t="shared" si="0"/>
        <v>51.9</v>
      </c>
      <c r="P8" s="61"/>
      <c r="Q8" s="62"/>
      <c r="R8" s="63"/>
      <c r="S8" s="63"/>
      <c r="T8" s="63"/>
      <c r="U8" s="63"/>
      <c r="V8" s="63"/>
      <c r="W8" s="63"/>
      <c r="X8" s="63"/>
      <c r="Y8" s="63"/>
      <c r="Z8" s="63"/>
      <c r="AA8" s="63"/>
      <c r="AB8" s="63"/>
      <c r="AC8" s="63"/>
    </row>
    <row r="9" spans="1:29" ht="16" customHeight="1">
      <c r="A9" t="s">
        <v>40</v>
      </c>
      <c r="B9" s="60" t="s">
        <v>449</v>
      </c>
      <c r="C9" s="60" t="s">
        <v>457</v>
      </c>
      <c r="D9" s="60">
        <v>109.42</v>
      </c>
      <c r="E9" s="60">
        <v>0.1</v>
      </c>
      <c r="F9" s="60"/>
      <c r="G9" s="60">
        <v>54.7</v>
      </c>
      <c r="H9" s="60"/>
      <c r="I9" s="60"/>
      <c r="J9" s="60"/>
      <c r="K9" s="60"/>
      <c r="L9" s="60"/>
      <c r="M9" s="60">
        <v>10.5</v>
      </c>
      <c r="N9" s="60">
        <v>0.57999999999999996</v>
      </c>
      <c r="O9" s="60">
        <f t="shared" si="0"/>
        <v>175.3</v>
      </c>
      <c r="P9" s="61"/>
      <c r="Q9" s="62"/>
      <c r="R9" s="63"/>
      <c r="S9" s="63"/>
      <c r="T9" s="63"/>
      <c r="U9" s="63"/>
      <c r="V9" s="63"/>
      <c r="W9" s="63"/>
      <c r="X9" s="63"/>
      <c r="Y9" s="63"/>
      <c r="Z9" s="63"/>
      <c r="AA9" s="63"/>
      <c r="AB9" s="63"/>
      <c r="AC9" s="63"/>
    </row>
    <row r="10" spans="1:29" ht="16" customHeight="1">
      <c r="A10" t="s">
        <v>40</v>
      </c>
      <c r="B10" s="60" t="s">
        <v>449</v>
      </c>
      <c r="C10" s="60" t="s">
        <v>458</v>
      </c>
      <c r="D10" s="60">
        <v>21.7</v>
      </c>
      <c r="E10" s="60"/>
      <c r="F10" s="60">
        <v>0.5</v>
      </c>
      <c r="G10" s="60"/>
      <c r="H10" s="60"/>
      <c r="I10" s="60">
        <v>326.3</v>
      </c>
      <c r="J10" s="60"/>
      <c r="K10" s="60"/>
      <c r="L10" s="60"/>
      <c r="M10" s="60"/>
      <c r="N10" s="60">
        <v>1.2</v>
      </c>
      <c r="O10" s="60">
        <f t="shared" si="0"/>
        <v>349.7</v>
      </c>
      <c r="P10" s="61"/>
      <c r="Q10" s="62"/>
      <c r="R10" s="63"/>
      <c r="S10" s="63"/>
      <c r="T10" s="63"/>
      <c r="U10" s="63"/>
      <c r="V10" s="63"/>
      <c r="W10" s="63"/>
      <c r="X10" s="63"/>
      <c r="Y10" s="63"/>
      <c r="Z10" s="63"/>
      <c r="AA10" s="63"/>
      <c r="AB10" s="63"/>
      <c r="AC10" s="63"/>
    </row>
    <row r="11" spans="1:29" ht="16" customHeight="1">
      <c r="A11" t="s">
        <v>40</v>
      </c>
      <c r="B11" s="60" t="s">
        <v>449</v>
      </c>
      <c r="C11" s="60" t="s">
        <v>459</v>
      </c>
      <c r="D11" s="60">
        <v>86.8</v>
      </c>
      <c r="E11" s="60">
        <v>1.7</v>
      </c>
      <c r="F11" s="60">
        <v>31.5</v>
      </c>
      <c r="G11" s="60">
        <v>99.9</v>
      </c>
      <c r="H11" s="60"/>
      <c r="I11" s="60">
        <v>16.55</v>
      </c>
      <c r="J11" s="60"/>
      <c r="K11" s="60"/>
      <c r="L11" s="60"/>
      <c r="M11" s="60"/>
      <c r="N11" s="60">
        <v>27.65</v>
      </c>
      <c r="O11" s="60">
        <f t="shared" si="0"/>
        <v>264.10000000000002</v>
      </c>
      <c r="P11" s="61"/>
      <c r="Q11" s="62"/>
      <c r="R11" s="63"/>
      <c r="S11" s="63"/>
      <c r="T11" s="63"/>
      <c r="U11" s="63"/>
      <c r="V11" s="63"/>
      <c r="W11" s="63"/>
      <c r="X11" s="63"/>
      <c r="Y11" s="63"/>
      <c r="Z11" s="63"/>
      <c r="AA11" s="63"/>
      <c r="AB11" s="63"/>
      <c r="AC11" s="63"/>
    </row>
    <row r="12" spans="1:29" ht="16" customHeight="1">
      <c r="A12" t="s">
        <v>40</v>
      </c>
      <c r="B12" s="60" t="s">
        <v>449</v>
      </c>
      <c r="C12" s="60" t="s">
        <v>382</v>
      </c>
      <c r="D12" s="60">
        <v>1.4</v>
      </c>
      <c r="E12" s="60"/>
      <c r="F12" s="60"/>
      <c r="G12" s="60">
        <v>2.8</v>
      </c>
      <c r="H12" s="60"/>
      <c r="I12" s="60"/>
      <c r="J12" s="60"/>
      <c r="K12" s="60"/>
      <c r="L12" s="60"/>
      <c r="M12" s="60"/>
      <c r="N12" s="60">
        <v>11.4</v>
      </c>
      <c r="O12" s="60">
        <f t="shared" si="0"/>
        <v>15.6</v>
      </c>
      <c r="P12" s="61"/>
      <c r="Q12" s="62"/>
      <c r="R12" s="63"/>
      <c r="S12" s="63"/>
      <c r="T12" s="63"/>
      <c r="U12" s="63"/>
      <c r="V12" s="63"/>
      <c r="W12" s="63"/>
      <c r="X12" s="63"/>
      <c r="Y12" s="63"/>
      <c r="Z12" s="63"/>
      <c r="AA12" s="63"/>
      <c r="AB12" s="63"/>
      <c r="AC12" s="63"/>
    </row>
    <row r="13" spans="1:29" ht="16" customHeight="1">
      <c r="A13" t="s">
        <v>40</v>
      </c>
      <c r="B13" s="60" t="s">
        <v>449</v>
      </c>
      <c r="C13" s="60" t="s">
        <v>460</v>
      </c>
      <c r="D13" s="60">
        <v>58.8</v>
      </c>
      <c r="E13" s="60">
        <v>1</v>
      </c>
      <c r="F13" s="60">
        <v>58.8</v>
      </c>
      <c r="G13" s="60">
        <v>102.5</v>
      </c>
      <c r="H13" s="60"/>
      <c r="I13" s="60">
        <v>14.8</v>
      </c>
      <c r="J13" s="60"/>
      <c r="K13" s="60"/>
      <c r="L13" s="60"/>
      <c r="M13" s="60"/>
      <c r="N13" s="60">
        <f>0.1+10.4</f>
        <v>10.5</v>
      </c>
      <c r="O13" s="60">
        <f t="shared" si="0"/>
        <v>246.4</v>
      </c>
      <c r="P13" s="61"/>
      <c r="Q13" s="62"/>
      <c r="R13" s="63"/>
      <c r="S13" s="63"/>
      <c r="T13" s="63"/>
      <c r="U13" s="63"/>
      <c r="V13" s="63"/>
      <c r="W13" s="63"/>
      <c r="X13" s="63"/>
      <c r="Y13" s="63"/>
      <c r="Z13" s="63"/>
      <c r="AA13" s="63"/>
      <c r="AB13" s="63"/>
      <c r="AC13" s="63"/>
    </row>
    <row r="14" spans="1:29" ht="16" customHeight="1">
      <c r="A14" t="s">
        <v>40</v>
      </c>
      <c r="B14" s="60" t="s">
        <v>449</v>
      </c>
      <c r="C14" s="55" t="s">
        <v>448</v>
      </c>
      <c r="D14" s="60">
        <f t="shared" ref="D14:J14" si="1">SUM(D2:D13)</f>
        <v>367.07</v>
      </c>
      <c r="E14" s="60">
        <f t="shared" si="1"/>
        <v>22.31</v>
      </c>
      <c r="F14" s="60">
        <f t="shared" si="1"/>
        <v>427.20000000000005</v>
      </c>
      <c r="G14" s="60">
        <f t="shared" si="1"/>
        <v>1024.19</v>
      </c>
      <c r="H14" s="60">
        <f t="shared" si="1"/>
        <v>368.6</v>
      </c>
      <c r="I14" s="60">
        <f t="shared" si="1"/>
        <v>426.15000000000003</v>
      </c>
      <c r="J14" s="60">
        <f t="shared" si="1"/>
        <v>265</v>
      </c>
      <c r="K14" s="60"/>
      <c r="L14" s="60"/>
      <c r="M14" s="60">
        <f>SUM(M2:M13)</f>
        <v>11.3</v>
      </c>
      <c r="N14" s="60">
        <f>SUM(N2:N13)</f>
        <v>78.47</v>
      </c>
      <c r="O14" s="60">
        <f>SUM(O2:O13)</f>
        <v>2990.29</v>
      </c>
      <c r="P14" s="61"/>
      <c r="Q14" s="62"/>
      <c r="R14" s="63"/>
      <c r="S14" s="63"/>
      <c r="T14" s="63"/>
      <c r="U14" s="63"/>
      <c r="V14" s="63"/>
      <c r="W14" s="63"/>
      <c r="X14" s="63"/>
      <c r="Y14" s="63"/>
      <c r="Z14" s="63"/>
      <c r="AA14" s="63"/>
      <c r="AB14" s="63"/>
      <c r="AC14" s="63"/>
    </row>
    <row r="15" spans="1:29" ht="16" customHeight="1">
      <c r="A15" t="s">
        <v>40</v>
      </c>
      <c r="B15" s="60" t="s">
        <v>461</v>
      </c>
      <c r="C15" s="60" t="s">
        <v>450</v>
      </c>
      <c r="D15" s="60">
        <v>0.7</v>
      </c>
      <c r="E15" s="60"/>
      <c r="F15" s="60"/>
      <c r="G15" s="60">
        <v>50</v>
      </c>
      <c r="H15" s="60">
        <v>749.9</v>
      </c>
      <c r="I15" s="60">
        <v>8.9</v>
      </c>
      <c r="J15" s="60"/>
      <c r="K15" s="60"/>
      <c r="L15" s="60"/>
      <c r="M15" s="60"/>
      <c r="N15" s="60">
        <v>2.7</v>
      </c>
      <c r="O15" s="60">
        <f t="shared" ref="O15:O26" si="2">SUM(D15:N15)</f>
        <v>812.2</v>
      </c>
      <c r="P15" s="61"/>
      <c r="Q15" s="62"/>
      <c r="R15" s="63"/>
      <c r="S15" s="63"/>
      <c r="T15" s="63"/>
      <c r="U15" s="63"/>
      <c r="V15" s="63"/>
      <c r="W15" s="63"/>
      <c r="X15" s="63"/>
      <c r="Y15" s="63"/>
      <c r="Z15" s="63"/>
      <c r="AA15" s="63"/>
      <c r="AB15" s="63"/>
      <c r="AC15" s="63"/>
    </row>
    <row r="16" spans="1:29" ht="16" customHeight="1">
      <c r="A16" t="s">
        <v>40</v>
      </c>
      <c r="B16" s="60" t="s">
        <v>461</v>
      </c>
      <c r="C16" s="60" t="s">
        <v>451</v>
      </c>
      <c r="D16" s="60">
        <v>90</v>
      </c>
      <c r="E16" s="60"/>
      <c r="F16" s="60">
        <v>7.1</v>
      </c>
      <c r="G16" s="60">
        <v>215.9</v>
      </c>
      <c r="H16" s="60"/>
      <c r="I16" s="60"/>
      <c r="J16" s="60"/>
      <c r="K16" s="60"/>
      <c r="L16" s="60"/>
      <c r="M16" s="60"/>
      <c r="N16" s="60">
        <v>7.9</v>
      </c>
      <c r="O16" s="60">
        <f t="shared" si="2"/>
        <v>320.89999999999998</v>
      </c>
      <c r="P16" s="61"/>
      <c r="Q16" s="62"/>
      <c r="R16" s="63"/>
      <c r="S16" s="63"/>
      <c r="T16" s="63"/>
      <c r="U16" s="63"/>
      <c r="V16" s="63"/>
      <c r="W16" s="63"/>
      <c r="X16" s="63"/>
      <c r="Y16" s="63"/>
      <c r="Z16" s="63"/>
      <c r="AA16" s="63"/>
      <c r="AB16" s="63"/>
      <c r="AC16" s="63"/>
    </row>
    <row r="17" spans="1:29" ht="16" customHeight="1">
      <c r="A17" t="s">
        <v>40</v>
      </c>
      <c r="B17" s="60" t="s">
        <v>461</v>
      </c>
      <c r="C17" s="60" t="s">
        <v>452</v>
      </c>
      <c r="D17" s="60"/>
      <c r="E17" s="60"/>
      <c r="F17" s="60">
        <v>2.1</v>
      </c>
      <c r="G17" s="60">
        <v>254.8</v>
      </c>
      <c r="H17" s="60"/>
      <c r="I17" s="60"/>
      <c r="J17" s="60"/>
      <c r="K17" s="60"/>
      <c r="L17" s="60"/>
      <c r="M17" s="60">
        <v>0.2</v>
      </c>
      <c r="N17" s="60">
        <v>0.4</v>
      </c>
      <c r="O17" s="60">
        <f t="shared" si="2"/>
        <v>257.5</v>
      </c>
      <c r="P17" s="61"/>
      <c r="Q17" s="62"/>
      <c r="R17" s="63"/>
      <c r="S17" s="63"/>
      <c r="T17" s="63"/>
      <c r="U17" s="63"/>
      <c r="V17" s="63"/>
      <c r="W17" s="63"/>
      <c r="X17" s="63"/>
      <c r="Y17" s="63"/>
      <c r="Z17" s="63"/>
      <c r="AA17" s="63"/>
      <c r="AB17" s="63"/>
      <c r="AC17" s="63"/>
    </row>
    <row r="18" spans="1:29" ht="16" customHeight="1">
      <c r="A18" t="s">
        <v>40</v>
      </c>
      <c r="B18" s="60" t="s">
        <v>461</v>
      </c>
      <c r="C18" s="60" t="s">
        <v>453</v>
      </c>
      <c r="D18" s="60">
        <v>34.4</v>
      </c>
      <c r="E18" s="60">
        <v>7.1</v>
      </c>
      <c r="F18" s="60">
        <v>263.39999999999998</v>
      </c>
      <c r="G18" s="60">
        <v>287.7</v>
      </c>
      <c r="H18" s="60"/>
      <c r="I18" s="60">
        <f>14.1+15</f>
        <v>29.1</v>
      </c>
      <c r="J18" s="60">
        <v>283</v>
      </c>
      <c r="K18" s="60"/>
      <c r="L18" s="60"/>
      <c r="M18" s="60"/>
      <c r="N18" s="60"/>
      <c r="O18" s="60">
        <f t="shared" si="2"/>
        <v>904.69999999999993</v>
      </c>
      <c r="P18" s="61"/>
      <c r="Q18" s="62"/>
      <c r="R18" s="63"/>
      <c r="S18" s="63"/>
      <c r="T18" s="63"/>
      <c r="U18" s="63"/>
      <c r="V18" s="63"/>
      <c r="W18" s="63"/>
      <c r="X18" s="63"/>
      <c r="Y18" s="63"/>
      <c r="Z18" s="63"/>
      <c r="AA18" s="63"/>
      <c r="AB18" s="63"/>
      <c r="AC18" s="63"/>
    </row>
    <row r="19" spans="1:29" ht="16" customHeight="1">
      <c r="A19" t="s">
        <v>40</v>
      </c>
      <c r="B19" s="60" t="s">
        <v>461</v>
      </c>
      <c r="C19" s="60" t="s">
        <v>454</v>
      </c>
      <c r="D19" s="60">
        <v>45.8</v>
      </c>
      <c r="E19" s="60">
        <v>22.2</v>
      </c>
      <c r="F19" s="60">
        <v>1.5</v>
      </c>
      <c r="G19" s="60">
        <v>7.3</v>
      </c>
      <c r="H19" s="60"/>
      <c r="I19" s="60">
        <v>56</v>
      </c>
      <c r="J19" s="60"/>
      <c r="K19" s="60"/>
      <c r="L19" s="60"/>
      <c r="M19" s="60"/>
      <c r="N19" s="60"/>
      <c r="O19" s="60">
        <f t="shared" si="2"/>
        <v>132.80000000000001</v>
      </c>
      <c r="P19" s="61"/>
      <c r="Q19" s="62"/>
      <c r="R19" s="63"/>
      <c r="S19" s="63"/>
      <c r="T19" s="63"/>
      <c r="U19" s="63"/>
      <c r="V19" s="63"/>
      <c r="W19" s="63"/>
      <c r="X19" s="63"/>
      <c r="Y19" s="63"/>
      <c r="Z19" s="63"/>
      <c r="AA19" s="63"/>
      <c r="AB19" s="63"/>
      <c r="AC19" s="63"/>
    </row>
    <row r="20" spans="1:29" ht="16" customHeight="1">
      <c r="A20" t="s">
        <v>40</v>
      </c>
      <c r="B20" s="60" t="s">
        <v>461</v>
      </c>
      <c r="C20" s="60" t="s">
        <v>455</v>
      </c>
      <c r="D20" s="60">
        <v>41.94</v>
      </c>
      <c r="E20" s="60">
        <v>3.48</v>
      </c>
      <c r="F20" s="60">
        <v>73.72</v>
      </c>
      <c r="G20" s="60">
        <v>12.5</v>
      </c>
      <c r="H20" s="60"/>
      <c r="I20" s="60">
        <v>13.96</v>
      </c>
      <c r="J20" s="60"/>
      <c r="K20" s="60"/>
      <c r="L20" s="60"/>
      <c r="M20" s="60"/>
      <c r="N20" s="60">
        <f>5.7+9.6</f>
        <v>15.3</v>
      </c>
      <c r="O20" s="60">
        <f t="shared" si="2"/>
        <v>160.9</v>
      </c>
      <c r="P20" s="61"/>
      <c r="Q20" s="62"/>
      <c r="R20" s="63"/>
      <c r="S20" s="63"/>
      <c r="T20" s="63"/>
      <c r="U20" s="63"/>
      <c r="V20" s="63"/>
      <c r="W20" s="63"/>
      <c r="X20" s="63"/>
      <c r="Y20" s="63"/>
      <c r="Z20" s="63"/>
      <c r="AA20" s="63"/>
      <c r="AB20" s="63"/>
      <c r="AC20" s="63"/>
    </row>
    <row r="21" spans="1:29" ht="16" customHeight="1">
      <c r="A21" t="s">
        <v>40</v>
      </c>
      <c r="B21" s="60" t="s">
        <v>461</v>
      </c>
      <c r="C21" s="60" t="s">
        <v>456</v>
      </c>
      <c r="D21" s="60">
        <v>46.8</v>
      </c>
      <c r="E21" s="60">
        <v>11.7</v>
      </c>
      <c r="F21" s="60"/>
      <c r="G21" s="60"/>
      <c r="H21" s="60"/>
      <c r="I21" s="60"/>
      <c r="J21" s="60"/>
      <c r="K21" s="60"/>
      <c r="L21" s="60"/>
      <c r="M21" s="60"/>
      <c r="N21" s="60"/>
      <c r="O21" s="60">
        <f t="shared" si="2"/>
        <v>58.5</v>
      </c>
      <c r="P21" s="61"/>
      <c r="Q21" s="62"/>
      <c r="R21" s="63"/>
      <c r="S21" s="63"/>
      <c r="T21" s="63"/>
      <c r="U21" s="63"/>
      <c r="V21" s="63"/>
      <c r="W21" s="63"/>
      <c r="X21" s="63"/>
      <c r="Y21" s="63"/>
      <c r="Z21" s="63"/>
      <c r="AA21" s="63"/>
      <c r="AB21" s="63"/>
      <c r="AC21" s="63"/>
    </row>
    <row r="22" spans="1:29" ht="16" customHeight="1">
      <c r="A22" t="s">
        <v>40</v>
      </c>
      <c r="B22" s="60" t="s">
        <v>461</v>
      </c>
      <c r="C22" s="60" t="s">
        <v>457</v>
      </c>
      <c r="D22" s="60">
        <v>18.12</v>
      </c>
      <c r="E22" s="60">
        <v>47.5</v>
      </c>
      <c r="F22" s="60">
        <v>175.68</v>
      </c>
      <c r="G22" s="60">
        <v>31.2</v>
      </c>
      <c r="H22" s="60"/>
      <c r="I22" s="60"/>
      <c r="J22" s="60"/>
      <c r="K22" s="60"/>
      <c r="L22" s="60"/>
      <c r="M22" s="60"/>
      <c r="N22" s="60">
        <v>0.1</v>
      </c>
      <c r="O22" s="60">
        <f t="shared" si="2"/>
        <v>272.60000000000002</v>
      </c>
      <c r="P22" s="61"/>
      <c r="Q22" s="62"/>
      <c r="R22" s="63"/>
      <c r="S22" s="63"/>
      <c r="T22" s="63"/>
      <c r="U22" s="63"/>
      <c r="V22" s="63"/>
      <c r="W22" s="63"/>
      <c r="X22" s="63"/>
      <c r="Y22" s="63"/>
      <c r="Z22" s="63"/>
      <c r="AA22" s="63"/>
      <c r="AB22" s="63"/>
      <c r="AC22" s="63"/>
    </row>
    <row r="23" spans="1:29" ht="16" customHeight="1">
      <c r="A23" t="s">
        <v>40</v>
      </c>
      <c r="B23" s="60" t="s">
        <v>461</v>
      </c>
      <c r="C23" s="60" t="s">
        <v>458</v>
      </c>
      <c r="D23" s="60"/>
      <c r="E23" s="60"/>
      <c r="F23" s="60">
        <v>1.9</v>
      </c>
      <c r="G23" s="60">
        <v>1.1000000000000001</v>
      </c>
      <c r="H23" s="60"/>
      <c r="I23" s="60">
        <v>389.6</v>
      </c>
      <c r="J23" s="60"/>
      <c r="K23" s="60"/>
      <c r="L23" s="60"/>
      <c r="M23" s="60"/>
      <c r="N23" s="60"/>
      <c r="O23" s="60">
        <f t="shared" si="2"/>
        <v>392.6</v>
      </c>
      <c r="P23" s="61"/>
      <c r="Q23" s="62"/>
      <c r="R23" s="63"/>
      <c r="S23" s="63"/>
      <c r="T23" s="63"/>
      <c r="U23" s="63"/>
      <c r="V23" s="63"/>
      <c r="W23" s="63"/>
      <c r="X23" s="63"/>
      <c r="Y23" s="63"/>
      <c r="Z23" s="63"/>
      <c r="AA23" s="63"/>
      <c r="AB23" s="63"/>
      <c r="AC23" s="63"/>
    </row>
    <row r="24" spans="1:29" ht="16" customHeight="1">
      <c r="A24" t="s">
        <v>40</v>
      </c>
      <c r="B24" s="60" t="s">
        <v>461</v>
      </c>
      <c r="C24" s="60" t="s">
        <v>459</v>
      </c>
      <c r="D24" s="60">
        <v>60.6</v>
      </c>
      <c r="E24" s="60">
        <v>1.5</v>
      </c>
      <c r="F24" s="60">
        <v>58.2</v>
      </c>
      <c r="G24" s="60">
        <v>102.1</v>
      </c>
      <c r="H24" s="60"/>
      <c r="I24" s="60">
        <v>11.7</v>
      </c>
      <c r="J24" s="60"/>
      <c r="K24" s="60"/>
      <c r="L24" s="60"/>
      <c r="M24" s="60"/>
      <c r="N24" s="60">
        <f>12.7</f>
        <v>12.7</v>
      </c>
      <c r="O24" s="60">
        <f t="shared" si="2"/>
        <v>246.79999999999998</v>
      </c>
      <c r="P24" s="61"/>
      <c r="Q24" s="62"/>
      <c r="R24" s="63"/>
      <c r="S24" s="63"/>
      <c r="T24" s="63"/>
      <c r="U24" s="63"/>
      <c r="V24" s="63"/>
      <c r="W24" s="63"/>
      <c r="X24" s="63"/>
      <c r="Y24" s="63"/>
      <c r="Z24" s="63"/>
      <c r="AA24" s="63"/>
      <c r="AB24" s="63"/>
      <c r="AC24" s="63"/>
    </row>
    <row r="25" spans="1:29" ht="16" customHeight="1">
      <c r="A25" t="s">
        <v>40</v>
      </c>
      <c r="B25" s="60" t="s">
        <v>461</v>
      </c>
      <c r="C25" s="60" t="s">
        <v>382</v>
      </c>
      <c r="D25" s="60">
        <v>1.6</v>
      </c>
      <c r="E25" s="60"/>
      <c r="F25" s="60">
        <v>9.76</v>
      </c>
      <c r="G25" s="60">
        <v>2.44</v>
      </c>
      <c r="H25" s="60"/>
      <c r="I25" s="60"/>
      <c r="J25" s="60"/>
      <c r="K25" s="60"/>
      <c r="L25" s="60"/>
      <c r="M25" s="60">
        <v>1.4</v>
      </c>
      <c r="N25" s="60">
        <v>0.8</v>
      </c>
      <c r="O25" s="60">
        <f t="shared" si="2"/>
        <v>16</v>
      </c>
      <c r="P25" s="61"/>
      <c r="Q25" s="62"/>
      <c r="R25" s="63"/>
      <c r="S25" s="63"/>
      <c r="T25" s="63"/>
      <c r="U25" s="63"/>
      <c r="V25" s="63"/>
      <c r="W25" s="63"/>
      <c r="X25" s="63"/>
      <c r="Y25" s="63"/>
      <c r="Z25" s="63"/>
      <c r="AA25" s="63"/>
      <c r="AB25" s="63"/>
      <c r="AC25" s="63"/>
    </row>
    <row r="26" spans="1:29" ht="16" customHeight="1">
      <c r="A26" t="s">
        <v>40</v>
      </c>
      <c r="B26" s="60" t="s">
        <v>461</v>
      </c>
      <c r="C26" s="60" t="s">
        <v>460</v>
      </c>
      <c r="D26" s="60">
        <v>1.22</v>
      </c>
      <c r="E26" s="60">
        <v>1.7</v>
      </c>
      <c r="F26" s="60">
        <v>51</v>
      </c>
      <c r="G26" s="60">
        <v>87.15</v>
      </c>
      <c r="H26" s="60"/>
      <c r="I26" s="60">
        <v>20.65</v>
      </c>
      <c r="J26" s="60"/>
      <c r="K26" s="60"/>
      <c r="L26" s="60"/>
      <c r="M26" s="60">
        <v>2.1</v>
      </c>
      <c r="N26" s="60">
        <f>11.88</f>
        <v>11.88</v>
      </c>
      <c r="O26" s="60">
        <f t="shared" si="2"/>
        <v>175.7</v>
      </c>
      <c r="P26" s="61"/>
      <c r="Q26" s="62"/>
      <c r="R26" s="63"/>
      <c r="S26" s="63"/>
      <c r="T26" s="63"/>
      <c r="U26" s="63"/>
      <c r="V26" s="63"/>
      <c r="W26" s="63"/>
      <c r="X26" s="63"/>
      <c r="Y26" s="63"/>
      <c r="Z26" s="63"/>
      <c r="AA26" s="63"/>
      <c r="AB26" s="63"/>
      <c r="AC26" s="63"/>
    </row>
    <row r="27" spans="1:29" ht="16" customHeight="1">
      <c r="A27" t="s">
        <v>40</v>
      </c>
      <c r="B27" s="60" t="s">
        <v>461</v>
      </c>
      <c r="C27" s="55" t="s">
        <v>448</v>
      </c>
      <c r="D27" s="60">
        <f t="shared" ref="D27:J27" si="3">SUM(D15:D26)</f>
        <v>341.18000000000006</v>
      </c>
      <c r="E27" s="60">
        <f t="shared" si="3"/>
        <v>95.179999999999993</v>
      </c>
      <c r="F27" s="60">
        <f t="shared" si="3"/>
        <v>644.36</v>
      </c>
      <c r="G27" s="60">
        <f t="shared" si="3"/>
        <v>1052.1900000000003</v>
      </c>
      <c r="H27" s="60">
        <f t="shared" si="3"/>
        <v>749.9</v>
      </c>
      <c r="I27" s="60">
        <f t="shared" si="3"/>
        <v>529.91000000000008</v>
      </c>
      <c r="J27" s="60">
        <f t="shared" si="3"/>
        <v>283</v>
      </c>
      <c r="K27" s="60"/>
      <c r="L27" s="60"/>
      <c r="M27" s="60">
        <f>SUM(M15:M26)</f>
        <v>3.7</v>
      </c>
      <c r="N27" s="60">
        <f>SUM(N15:N26)</f>
        <v>51.780000000000008</v>
      </c>
      <c r="O27" s="60">
        <f>SUM(O15:O26)</f>
        <v>3751.2</v>
      </c>
      <c r="P27" s="61"/>
      <c r="Q27" s="62"/>
      <c r="R27" s="63"/>
      <c r="S27" s="63"/>
      <c r="T27" s="63"/>
      <c r="U27" s="63"/>
      <c r="V27" s="63"/>
      <c r="W27" s="63"/>
      <c r="X27" s="63"/>
      <c r="Y27" s="63"/>
      <c r="Z27" s="63"/>
      <c r="AA27" s="63"/>
      <c r="AB27" s="63"/>
      <c r="AC27" s="63"/>
    </row>
    <row r="28" spans="1:29" ht="16" customHeight="1">
      <c r="A28" t="s">
        <v>40</v>
      </c>
      <c r="B28" s="64" t="s">
        <v>462</v>
      </c>
      <c r="C28" s="60" t="s">
        <v>450</v>
      </c>
      <c r="D28" s="60">
        <v>1.6</v>
      </c>
      <c r="E28" s="60"/>
      <c r="F28" s="60"/>
      <c r="G28" s="60">
        <v>51.4</v>
      </c>
      <c r="H28" s="60">
        <v>359.1</v>
      </c>
      <c r="I28" s="60">
        <v>8.9</v>
      </c>
      <c r="J28" s="60"/>
      <c r="K28" s="60"/>
      <c r="L28" s="60"/>
      <c r="M28" s="60"/>
      <c r="N28" s="60">
        <v>0.9</v>
      </c>
      <c r="O28" s="60">
        <f t="shared" ref="O28:O39" si="4">SUM(D28:N28)</f>
        <v>421.9</v>
      </c>
      <c r="P28" s="61"/>
      <c r="Q28" s="62"/>
      <c r="R28" s="63"/>
      <c r="S28" s="63"/>
      <c r="T28" s="63"/>
      <c r="U28" s="63"/>
      <c r="V28" s="63"/>
      <c r="W28" s="63"/>
      <c r="X28" s="63"/>
      <c r="Y28" s="63"/>
      <c r="Z28" s="63"/>
      <c r="AA28" s="63"/>
      <c r="AB28" s="63"/>
      <c r="AC28" s="63"/>
    </row>
    <row r="29" spans="1:29" ht="16" customHeight="1">
      <c r="A29" t="s">
        <v>40</v>
      </c>
      <c r="B29" s="64" t="s">
        <v>462</v>
      </c>
      <c r="C29" s="60" t="s">
        <v>451</v>
      </c>
      <c r="D29" s="60"/>
      <c r="E29" s="60"/>
      <c r="F29" s="60">
        <v>1</v>
      </c>
      <c r="G29" s="60">
        <v>147</v>
      </c>
      <c r="H29" s="60"/>
      <c r="I29" s="60"/>
      <c r="J29" s="60"/>
      <c r="K29" s="60"/>
      <c r="L29" s="60"/>
      <c r="M29" s="60"/>
      <c r="N29" s="60"/>
      <c r="O29" s="60">
        <f t="shared" si="4"/>
        <v>148</v>
      </c>
      <c r="P29" s="61"/>
      <c r="Q29" s="62"/>
      <c r="R29" s="63"/>
      <c r="S29" s="63"/>
      <c r="T29" s="63"/>
      <c r="U29" s="63"/>
      <c r="V29" s="63"/>
      <c r="W29" s="63"/>
      <c r="X29" s="63"/>
      <c r="Y29" s="63"/>
      <c r="Z29" s="63"/>
      <c r="AA29" s="63"/>
      <c r="AB29" s="63"/>
      <c r="AC29" s="63"/>
    </row>
    <row r="30" spans="1:29" ht="16" customHeight="1">
      <c r="A30" t="s">
        <v>40</v>
      </c>
      <c r="B30" s="64" t="s">
        <v>462</v>
      </c>
      <c r="C30" s="60" t="s">
        <v>452</v>
      </c>
      <c r="D30" s="60">
        <v>15</v>
      </c>
      <c r="E30" s="60"/>
      <c r="F30" s="60"/>
      <c r="G30" s="60">
        <v>250</v>
      </c>
      <c r="H30" s="60"/>
      <c r="I30" s="60"/>
      <c r="J30" s="60"/>
      <c r="K30" s="60"/>
      <c r="L30" s="60"/>
      <c r="M30" s="60"/>
      <c r="N30" s="60"/>
      <c r="O30" s="60">
        <f t="shared" si="4"/>
        <v>265</v>
      </c>
      <c r="P30" s="61"/>
      <c r="Q30" s="62"/>
      <c r="R30" s="63"/>
      <c r="S30" s="63"/>
      <c r="T30" s="63"/>
      <c r="U30" s="63"/>
      <c r="V30" s="63"/>
      <c r="W30" s="63"/>
      <c r="X30" s="63"/>
      <c r="Y30" s="63"/>
      <c r="Z30" s="63"/>
      <c r="AA30" s="63"/>
      <c r="AB30" s="63"/>
      <c r="AC30" s="63"/>
    </row>
    <row r="31" spans="1:29" ht="16" customHeight="1">
      <c r="A31" t="s">
        <v>40</v>
      </c>
      <c r="B31" s="64" t="s">
        <v>462</v>
      </c>
      <c r="C31" s="60" t="s">
        <v>463</v>
      </c>
      <c r="D31" s="60">
        <v>143.69999999999999</v>
      </c>
      <c r="E31" s="60">
        <v>12</v>
      </c>
      <c r="F31" s="60">
        <v>31</v>
      </c>
      <c r="G31" s="60">
        <f>31+50.95</f>
        <v>81.95</v>
      </c>
      <c r="H31" s="60"/>
      <c r="I31" s="60">
        <f>5+17.1534</f>
        <v>22.153400000000001</v>
      </c>
      <c r="J31" s="60">
        <v>166.02</v>
      </c>
      <c r="K31" s="60"/>
      <c r="L31" s="60"/>
      <c r="M31" s="60"/>
      <c r="N31" s="60">
        <v>129.119</v>
      </c>
      <c r="O31" s="60">
        <f t="shared" si="4"/>
        <v>585.94240000000002</v>
      </c>
      <c r="P31" s="61"/>
      <c r="Q31" s="62"/>
      <c r="R31" s="63"/>
      <c r="S31" s="63"/>
      <c r="T31" s="63"/>
      <c r="U31" s="63"/>
      <c r="V31" s="63"/>
      <c r="W31" s="63"/>
      <c r="X31" s="63"/>
      <c r="Y31" s="63"/>
      <c r="Z31" s="63"/>
      <c r="AA31" s="63"/>
      <c r="AB31" s="63"/>
      <c r="AC31" s="63"/>
    </row>
    <row r="32" spans="1:29" ht="16" customHeight="1">
      <c r="A32" t="s">
        <v>40</v>
      </c>
      <c r="B32" s="64" t="s">
        <v>462</v>
      </c>
      <c r="C32" s="60" t="s">
        <v>454</v>
      </c>
      <c r="D32" s="60">
        <v>7</v>
      </c>
      <c r="E32" s="60"/>
      <c r="F32" s="60">
        <v>16</v>
      </c>
      <c r="G32" s="60">
        <v>18</v>
      </c>
      <c r="H32" s="60"/>
      <c r="I32" s="60">
        <v>0</v>
      </c>
      <c r="J32" s="60"/>
      <c r="K32" s="60"/>
      <c r="L32" s="60"/>
      <c r="M32" s="60"/>
      <c r="N32" s="60">
        <v>5</v>
      </c>
      <c r="O32" s="60">
        <f t="shared" si="4"/>
        <v>46</v>
      </c>
      <c r="P32" s="61"/>
      <c r="Q32" s="62"/>
      <c r="R32" s="63"/>
      <c r="S32" s="63"/>
      <c r="T32" s="63"/>
      <c r="U32" s="63"/>
      <c r="V32" s="63"/>
      <c r="W32" s="63"/>
      <c r="X32" s="63"/>
      <c r="Y32" s="63"/>
      <c r="Z32" s="63"/>
      <c r="AA32" s="63"/>
      <c r="AB32" s="63"/>
      <c r="AC32" s="63"/>
    </row>
    <row r="33" spans="1:29" ht="16" customHeight="1">
      <c r="A33" t="s">
        <v>40</v>
      </c>
      <c r="B33" s="64" t="s">
        <v>462</v>
      </c>
      <c r="C33" s="60" t="s">
        <v>455</v>
      </c>
      <c r="D33" s="60">
        <v>35</v>
      </c>
      <c r="E33" s="60"/>
      <c r="F33" s="60">
        <v>55</v>
      </c>
      <c r="G33" s="60">
        <v>9</v>
      </c>
      <c r="H33" s="60"/>
      <c r="I33" s="60">
        <v>14</v>
      </c>
      <c r="J33" s="60"/>
      <c r="K33" s="60"/>
      <c r="L33" s="60"/>
      <c r="M33" s="60"/>
      <c r="N33" s="60">
        <v>9</v>
      </c>
      <c r="O33" s="60">
        <f t="shared" si="4"/>
        <v>122</v>
      </c>
      <c r="P33" s="61"/>
      <c r="Q33" s="62"/>
      <c r="R33" s="63"/>
      <c r="S33" s="63"/>
      <c r="T33" s="63"/>
      <c r="U33" s="63"/>
      <c r="V33" s="63"/>
      <c r="W33" s="63"/>
      <c r="X33" s="63"/>
      <c r="Y33" s="63"/>
      <c r="Z33" s="63"/>
      <c r="AA33" s="63"/>
      <c r="AB33" s="63"/>
      <c r="AC33" s="63"/>
    </row>
    <row r="34" spans="1:29" ht="16" customHeight="1">
      <c r="A34" t="s">
        <v>40</v>
      </c>
      <c r="B34" s="64" t="s">
        <v>462</v>
      </c>
      <c r="C34" s="60" t="s">
        <v>456</v>
      </c>
      <c r="D34" s="60">
        <v>21</v>
      </c>
      <c r="E34" s="60">
        <v>9</v>
      </c>
      <c r="F34" s="60">
        <v>34</v>
      </c>
      <c r="G34" s="60"/>
      <c r="H34" s="60"/>
      <c r="I34" s="60"/>
      <c r="J34" s="60"/>
      <c r="K34" s="60"/>
      <c r="L34" s="60"/>
      <c r="M34" s="60"/>
      <c r="N34" s="60"/>
      <c r="O34" s="60">
        <f t="shared" si="4"/>
        <v>64</v>
      </c>
      <c r="P34" s="61"/>
      <c r="Q34" s="62"/>
      <c r="R34" s="63"/>
      <c r="S34" s="63"/>
      <c r="T34" s="63"/>
      <c r="U34" s="63"/>
      <c r="V34" s="63"/>
      <c r="W34" s="63"/>
      <c r="X34" s="63"/>
      <c r="Y34" s="63"/>
      <c r="Z34" s="63"/>
      <c r="AA34" s="63"/>
      <c r="AB34" s="63"/>
      <c r="AC34" s="63"/>
    </row>
    <row r="35" spans="1:29" ht="16" customHeight="1">
      <c r="A35" t="s">
        <v>40</v>
      </c>
      <c r="B35" s="64" t="s">
        <v>462</v>
      </c>
      <c r="C35" s="60" t="s">
        <v>457</v>
      </c>
      <c r="D35" s="60">
        <v>101</v>
      </c>
      <c r="E35" s="60"/>
      <c r="F35" s="60"/>
      <c r="G35" s="60">
        <v>11</v>
      </c>
      <c r="H35" s="60"/>
      <c r="I35" s="60"/>
      <c r="J35" s="60"/>
      <c r="K35" s="60"/>
      <c r="L35" s="60"/>
      <c r="M35" s="60"/>
      <c r="N35" s="60"/>
      <c r="O35" s="60">
        <f t="shared" si="4"/>
        <v>112</v>
      </c>
      <c r="P35" s="61"/>
      <c r="Q35" s="62"/>
      <c r="R35" s="63"/>
      <c r="S35" s="63"/>
      <c r="T35" s="63"/>
      <c r="U35" s="63"/>
      <c r="V35" s="63"/>
      <c r="W35" s="63"/>
      <c r="X35" s="63"/>
      <c r="Y35" s="63"/>
      <c r="Z35" s="63"/>
      <c r="AA35" s="63"/>
      <c r="AB35" s="63"/>
      <c r="AC35" s="63"/>
    </row>
    <row r="36" spans="1:29" ht="16" customHeight="1">
      <c r="A36" t="s">
        <v>40</v>
      </c>
      <c r="B36" s="64" t="s">
        <v>462</v>
      </c>
      <c r="C36" s="60" t="s">
        <v>458</v>
      </c>
      <c r="D36" s="60"/>
      <c r="E36" s="60"/>
      <c r="F36" s="60"/>
      <c r="G36" s="60"/>
      <c r="H36" s="60"/>
      <c r="I36" s="60">
        <v>290</v>
      </c>
      <c r="J36" s="60"/>
      <c r="K36" s="60"/>
      <c r="L36" s="60"/>
      <c r="M36" s="60"/>
      <c r="N36" s="60">
        <v>10</v>
      </c>
      <c r="O36" s="60">
        <f t="shared" si="4"/>
        <v>300</v>
      </c>
      <c r="P36" s="61"/>
      <c r="Q36" s="62"/>
      <c r="R36" s="63"/>
      <c r="S36" s="63"/>
      <c r="T36" s="63"/>
      <c r="U36" s="63"/>
      <c r="V36" s="63"/>
      <c r="W36" s="63"/>
      <c r="X36" s="63"/>
      <c r="Y36" s="63"/>
      <c r="Z36" s="63"/>
      <c r="AA36" s="63"/>
      <c r="AB36" s="63"/>
      <c r="AC36" s="63"/>
    </row>
    <row r="37" spans="1:29" ht="16" customHeight="1">
      <c r="A37" t="s">
        <v>40</v>
      </c>
      <c r="B37" s="64" t="s">
        <v>462</v>
      </c>
      <c r="C37" s="60" t="s">
        <v>459</v>
      </c>
      <c r="D37" s="60">
        <v>94</v>
      </c>
      <c r="E37" s="60">
        <v>2</v>
      </c>
      <c r="F37" s="60">
        <v>75</v>
      </c>
      <c r="G37" s="60">
        <v>87</v>
      </c>
      <c r="H37" s="60"/>
      <c r="I37" s="60">
        <v>24</v>
      </c>
      <c r="J37" s="60"/>
      <c r="K37" s="60"/>
      <c r="L37" s="60"/>
      <c r="M37" s="60"/>
      <c r="N37" s="60">
        <v>11</v>
      </c>
      <c r="O37" s="60">
        <f t="shared" si="4"/>
        <v>293</v>
      </c>
      <c r="P37" s="61"/>
      <c r="Q37" s="62"/>
      <c r="R37" s="63"/>
      <c r="S37" s="63"/>
      <c r="T37" s="63"/>
      <c r="U37" s="63"/>
      <c r="V37" s="63"/>
      <c r="W37" s="63"/>
      <c r="X37" s="63"/>
      <c r="Y37" s="63"/>
      <c r="Z37" s="63"/>
      <c r="AA37" s="63"/>
      <c r="AB37" s="63"/>
      <c r="AC37" s="63"/>
    </row>
    <row r="38" spans="1:29" ht="16" customHeight="1">
      <c r="A38" t="s">
        <v>40</v>
      </c>
      <c r="B38" s="64" t="s">
        <v>462</v>
      </c>
      <c r="C38" s="60" t="s">
        <v>382</v>
      </c>
      <c r="D38" s="60">
        <v>4</v>
      </c>
      <c r="E38" s="60"/>
      <c r="F38" s="60"/>
      <c r="G38" s="60">
        <v>2</v>
      </c>
      <c r="H38" s="60"/>
      <c r="I38" s="60"/>
      <c r="J38" s="60"/>
      <c r="K38" s="60"/>
      <c r="L38" s="60"/>
      <c r="M38" s="60"/>
      <c r="N38" s="60">
        <v>10</v>
      </c>
      <c r="O38" s="60">
        <f t="shared" si="4"/>
        <v>16</v>
      </c>
      <c r="P38" s="61"/>
      <c r="Q38" s="62"/>
      <c r="R38" s="63"/>
      <c r="S38" s="63"/>
      <c r="T38" s="63"/>
      <c r="U38" s="63"/>
      <c r="V38" s="63"/>
      <c r="W38" s="63"/>
      <c r="X38" s="63"/>
      <c r="Y38" s="63"/>
      <c r="Z38" s="63"/>
      <c r="AA38" s="63"/>
      <c r="AB38" s="63"/>
      <c r="AC38" s="63"/>
    </row>
    <row r="39" spans="1:29" ht="16" customHeight="1">
      <c r="A39" t="s">
        <v>40</v>
      </c>
      <c r="B39" s="64" t="s">
        <v>462</v>
      </c>
      <c r="C39" s="60" t="s">
        <v>460</v>
      </c>
      <c r="D39" s="60">
        <v>91</v>
      </c>
      <c r="E39" s="60">
        <v>1</v>
      </c>
      <c r="F39" s="60">
        <v>85</v>
      </c>
      <c r="G39" s="60">
        <v>101</v>
      </c>
      <c r="H39" s="60"/>
      <c r="I39" s="60">
        <v>83</v>
      </c>
      <c r="J39" s="60"/>
      <c r="K39" s="60"/>
      <c r="L39" s="60"/>
      <c r="M39" s="60"/>
      <c r="N39" s="60">
        <v>2</v>
      </c>
      <c r="O39" s="60">
        <f t="shared" si="4"/>
        <v>363</v>
      </c>
      <c r="P39" s="61"/>
      <c r="Q39" s="62"/>
      <c r="R39" s="63"/>
      <c r="S39" s="63"/>
      <c r="T39" s="63"/>
      <c r="U39" s="63"/>
      <c r="V39" s="63"/>
      <c r="W39" s="63"/>
      <c r="X39" s="63"/>
      <c r="Y39" s="63"/>
      <c r="Z39" s="63"/>
      <c r="AA39" s="63"/>
      <c r="AB39" s="63"/>
      <c r="AC39" s="63"/>
    </row>
    <row r="40" spans="1:29" ht="16" customHeight="1">
      <c r="A40" t="s">
        <v>40</v>
      </c>
      <c r="B40" s="64" t="s">
        <v>462</v>
      </c>
      <c r="C40" s="55" t="s">
        <v>448</v>
      </c>
      <c r="D40" s="60">
        <f t="shared" ref="D40:J40" si="5">SUM(D28:D39)</f>
        <v>513.29999999999995</v>
      </c>
      <c r="E40" s="60">
        <f t="shared" si="5"/>
        <v>24</v>
      </c>
      <c r="F40" s="60">
        <f t="shared" si="5"/>
        <v>297</v>
      </c>
      <c r="G40" s="60">
        <f t="shared" si="5"/>
        <v>758.35</v>
      </c>
      <c r="H40" s="60">
        <f t="shared" si="5"/>
        <v>359.1</v>
      </c>
      <c r="I40" s="60">
        <f t="shared" si="5"/>
        <v>442.05340000000001</v>
      </c>
      <c r="J40" s="60">
        <f t="shared" si="5"/>
        <v>166.02</v>
      </c>
      <c r="K40" s="60"/>
      <c r="L40" s="60"/>
      <c r="M40" s="60"/>
      <c r="N40" s="60">
        <f>SUM(N28:N39)</f>
        <v>177.01900000000001</v>
      </c>
      <c r="O40" s="60">
        <f>SUM(D40:N40)</f>
        <v>2736.8423999999995</v>
      </c>
      <c r="P40" s="61"/>
      <c r="Q40" s="62"/>
      <c r="R40" s="63"/>
      <c r="S40" s="63"/>
      <c r="T40" s="63"/>
      <c r="U40" s="63"/>
      <c r="V40" s="63"/>
      <c r="W40" s="63"/>
      <c r="X40" s="63"/>
      <c r="Y40" s="63"/>
      <c r="Z40" s="63"/>
      <c r="AA40" s="63"/>
      <c r="AB40" s="63"/>
      <c r="AC40" s="63"/>
    </row>
    <row r="41" spans="1:29" ht="16" customHeight="1">
      <c r="A41" t="s">
        <v>40</v>
      </c>
      <c r="B41" s="60" t="s">
        <v>464</v>
      </c>
      <c r="C41" s="60" t="s">
        <v>450</v>
      </c>
      <c r="D41" s="60"/>
      <c r="E41" s="60"/>
      <c r="F41" s="60"/>
      <c r="G41" s="60"/>
      <c r="H41" s="60">
        <v>423.7</v>
      </c>
      <c r="I41" s="60"/>
      <c r="J41" s="60"/>
      <c r="K41" s="60"/>
      <c r="L41" s="60"/>
      <c r="M41" s="60"/>
      <c r="N41" s="60"/>
      <c r="O41" s="60">
        <f t="shared" ref="O41:O52" si="6">SUM(D41:N41)</f>
        <v>423.7</v>
      </c>
      <c r="P41" s="61"/>
      <c r="Q41" s="62"/>
      <c r="R41" s="63"/>
      <c r="S41" s="63"/>
      <c r="T41" s="63"/>
      <c r="U41" s="63"/>
      <c r="V41" s="63"/>
      <c r="W41" s="63"/>
      <c r="X41" s="63"/>
      <c r="Y41" s="63"/>
      <c r="Z41" s="63"/>
      <c r="AA41" s="63"/>
      <c r="AB41" s="63"/>
      <c r="AC41" s="63"/>
    </row>
    <row r="42" spans="1:29" ht="16" customHeight="1">
      <c r="A42" t="s">
        <v>40</v>
      </c>
      <c r="B42" s="60" t="s">
        <v>464</v>
      </c>
      <c r="C42" s="60" t="s">
        <v>451</v>
      </c>
      <c r="D42" s="60">
        <v>142.6</v>
      </c>
      <c r="E42" s="60"/>
      <c r="F42" s="60">
        <v>24</v>
      </c>
      <c r="G42" s="60">
        <v>143.1</v>
      </c>
      <c r="H42" s="60"/>
      <c r="I42" s="60"/>
      <c r="J42" s="60"/>
      <c r="K42" s="60"/>
      <c r="L42" s="60"/>
      <c r="M42" s="60"/>
      <c r="N42" s="60">
        <v>2.1</v>
      </c>
      <c r="O42" s="60">
        <f t="shared" si="6"/>
        <v>311.8</v>
      </c>
      <c r="P42" s="61"/>
      <c r="Q42" s="62"/>
      <c r="R42" s="63"/>
      <c r="S42" s="63"/>
      <c r="T42" s="63"/>
      <c r="U42" s="63"/>
      <c r="V42" s="63"/>
      <c r="W42" s="63"/>
      <c r="X42" s="63"/>
      <c r="Y42" s="63"/>
      <c r="Z42" s="63"/>
      <c r="AA42" s="63"/>
      <c r="AB42" s="63"/>
      <c r="AC42" s="63"/>
    </row>
    <row r="43" spans="1:29" ht="16" customHeight="1">
      <c r="A43" t="s">
        <v>40</v>
      </c>
      <c r="B43" s="60" t="s">
        <v>464</v>
      </c>
      <c r="C43" s="60" t="s">
        <v>452</v>
      </c>
      <c r="D43" s="60">
        <v>4.9000000000000004</v>
      </c>
      <c r="E43" s="60"/>
      <c r="F43" s="60"/>
      <c r="G43" s="60">
        <v>165</v>
      </c>
      <c r="H43" s="60"/>
      <c r="I43" s="60"/>
      <c r="J43" s="60"/>
      <c r="K43" s="60"/>
      <c r="L43" s="60"/>
      <c r="M43" s="60"/>
      <c r="N43" s="60">
        <v>14.1</v>
      </c>
      <c r="O43" s="60">
        <f t="shared" si="6"/>
        <v>184</v>
      </c>
      <c r="P43" s="61"/>
      <c r="Q43" s="62"/>
      <c r="R43" s="63"/>
      <c r="S43" s="63"/>
      <c r="T43" s="63"/>
      <c r="U43" s="63"/>
      <c r="V43" s="63"/>
      <c r="W43" s="63"/>
      <c r="X43" s="63"/>
      <c r="Y43" s="63"/>
      <c r="Z43" s="63"/>
      <c r="AA43" s="63"/>
      <c r="AB43" s="63"/>
      <c r="AC43" s="63"/>
    </row>
    <row r="44" spans="1:29" ht="16" customHeight="1">
      <c r="A44" t="s">
        <v>40</v>
      </c>
      <c r="B44" s="60" t="s">
        <v>464</v>
      </c>
      <c r="C44" s="60" t="s">
        <v>453</v>
      </c>
      <c r="D44" s="60">
        <v>3.1</v>
      </c>
      <c r="E44" s="60">
        <v>8.5</v>
      </c>
      <c r="F44" s="60">
        <f>57.3+11.8+25</f>
        <v>94.1</v>
      </c>
      <c r="G44" s="60">
        <f>55+120+35+3.9+0.9+31.4+3.3</f>
        <v>249.50000000000003</v>
      </c>
      <c r="H44" s="60"/>
      <c r="I44" s="60">
        <f>14.2+7.9</f>
        <v>22.1</v>
      </c>
      <c r="J44" s="60">
        <v>245</v>
      </c>
      <c r="K44" s="60"/>
      <c r="L44" s="60"/>
      <c r="M44" s="60">
        <v>1.4</v>
      </c>
      <c r="N44" s="60">
        <f>1.8+2.2+1.6</f>
        <v>5.6</v>
      </c>
      <c r="O44" s="60">
        <f t="shared" si="6"/>
        <v>629.30000000000007</v>
      </c>
      <c r="P44" s="61"/>
      <c r="Q44" s="62"/>
      <c r="R44" s="63"/>
      <c r="S44" s="63"/>
      <c r="T44" s="63"/>
      <c r="U44" s="63"/>
      <c r="V44" s="63"/>
      <c r="W44" s="63"/>
      <c r="X44" s="63"/>
      <c r="Y44" s="63"/>
      <c r="Z44" s="63"/>
      <c r="AA44" s="63"/>
      <c r="AB44" s="63"/>
      <c r="AC44" s="63"/>
    </row>
    <row r="45" spans="1:29" ht="16" customHeight="1">
      <c r="A45" t="s">
        <v>40</v>
      </c>
      <c r="B45" s="60" t="s">
        <v>464</v>
      </c>
      <c r="C45" s="60" t="s">
        <v>454</v>
      </c>
      <c r="D45" s="60">
        <v>0.7</v>
      </c>
      <c r="E45" s="60"/>
      <c r="F45" s="60"/>
      <c r="G45" s="60">
        <v>14.1</v>
      </c>
      <c r="H45" s="60"/>
      <c r="I45" s="60"/>
      <c r="J45" s="60"/>
      <c r="K45" s="60"/>
      <c r="L45" s="60"/>
      <c r="M45" s="60"/>
      <c r="N45" s="60">
        <v>0.1</v>
      </c>
      <c r="O45" s="60">
        <f t="shared" si="6"/>
        <v>14.899999999999999</v>
      </c>
      <c r="P45" s="61"/>
      <c r="Q45" s="62"/>
      <c r="R45" s="63"/>
      <c r="S45" s="63"/>
      <c r="T45" s="63"/>
      <c r="U45" s="63"/>
      <c r="V45" s="63"/>
      <c r="W45" s="63"/>
      <c r="X45" s="63"/>
      <c r="Y45" s="63"/>
      <c r="Z45" s="63"/>
      <c r="AA45" s="63"/>
      <c r="AB45" s="63"/>
      <c r="AC45" s="63"/>
    </row>
    <row r="46" spans="1:29" ht="16" customHeight="1">
      <c r="A46" t="s">
        <v>40</v>
      </c>
      <c r="B46" s="60" t="s">
        <v>464</v>
      </c>
      <c r="C46" s="60" t="s">
        <v>455</v>
      </c>
      <c r="D46" s="60">
        <v>20.149999999999999</v>
      </c>
      <c r="E46" s="60">
        <v>2.0099999999999998</v>
      </c>
      <c r="F46" s="60">
        <v>57</v>
      </c>
      <c r="G46" s="60">
        <v>29.64</v>
      </c>
      <c r="H46" s="60"/>
      <c r="I46" s="60"/>
      <c r="J46" s="60"/>
      <c r="K46" s="60"/>
      <c r="L46" s="60"/>
      <c r="M46" s="60"/>
      <c r="N46" s="60">
        <v>5.8</v>
      </c>
      <c r="O46" s="60">
        <f t="shared" si="6"/>
        <v>114.6</v>
      </c>
      <c r="P46" s="61"/>
      <c r="Q46" s="62"/>
      <c r="R46" s="63"/>
      <c r="S46" s="63"/>
      <c r="T46" s="63"/>
      <c r="U46" s="63"/>
      <c r="V46" s="63"/>
      <c r="W46" s="63"/>
      <c r="X46" s="63"/>
      <c r="Y46" s="63"/>
      <c r="Z46" s="63"/>
      <c r="AA46" s="63"/>
      <c r="AB46" s="63"/>
      <c r="AC46" s="63"/>
    </row>
    <row r="47" spans="1:29" ht="16" customHeight="1">
      <c r="A47" t="s">
        <v>40</v>
      </c>
      <c r="B47" s="60" t="s">
        <v>464</v>
      </c>
      <c r="C47" s="60" t="s">
        <v>456</v>
      </c>
      <c r="D47" s="60">
        <v>61.5</v>
      </c>
      <c r="E47" s="60"/>
      <c r="F47" s="60"/>
      <c r="G47" s="60"/>
      <c r="H47" s="60"/>
      <c r="I47" s="60"/>
      <c r="J47" s="60"/>
      <c r="K47" s="60"/>
      <c r="L47" s="60"/>
      <c r="M47" s="60"/>
      <c r="N47" s="60"/>
      <c r="O47" s="60">
        <f t="shared" si="6"/>
        <v>61.5</v>
      </c>
      <c r="P47" s="61"/>
      <c r="Q47" s="62"/>
      <c r="R47" s="63"/>
      <c r="S47" s="63"/>
      <c r="T47" s="63"/>
      <c r="U47" s="63"/>
      <c r="V47" s="63"/>
      <c r="W47" s="63"/>
      <c r="X47" s="63"/>
      <c r="Y47" s="63"/>
      <c r="Z47" s="63"/>
      <c r="AA47" s="63"/>
      <c r="AB47" s="63"/>
      <c r="AC47" s="63"/>
    </row>
    <row r="48" spans="1:29" ht="16" customHeight="1">
      <c r="A48" t="s">
        <v>40</v>
      </c>
      <c r="B48" s="60" t="s">
        <v>464</v>
      </c>
      <c r="C48" s="60" t="s">
        <v>457</v>
      </c>
      <c r="D48" s="60"/>
      <c r="E48" s="60"/>
      <c r="F48" s="60">
        <v>59.8</v>
      </c>
      <c r="G48" s="60">
        <v>39</v>
      </c>
      <c r="H48" s="60"/>
      <c r="I48" s="60"/>
      <c r="J48" s="60"/>
      <c r="K48" s="60"/>
      <c r="L48" s="60"/>
      <c r="M48" s="60"/>
      <c r="N48" s="60">
        <v>15.3</v>
      </c>
      <c r="O48" s="60">
        <f t="shared" si="6"/>
        <v>114.1</v>
      </c>
      <c r="P48" s="61"/>
      <c r="Q48" s="62"/>
      <c r="R48" s="63"/>
      <c r="S48" s="63"/>
      <c r="T48" s="63"/>
      <c r="U48" s="63"/>
      <c r="V48" s="63"/>
      <c r="W48" s="63"/>
      <c r="X48" s="63"/>
      <c r="Y48" s="63"/>
      <c r="Z48" s="63"/>
      <c r="AA48" s="63"/>
      <c r="AB48" s="63"/>
      <c r="AC48" s="63"/>
    </row>
    <row r="49" spans="1:29" ht="16" customHeight="1">
      <c r="A49" t="s">
        <v>40</v>
      </c>
      <c r="B49" s="60" t="s">
        <v>464</v>
      </c>
      <c r="C49" s="60" t="s">
        <v>458</v>
      </c>
      <c r="D49" s="60">
        <v>12.5</v>
      </c>
      <c r="E49" s="60"/>
      <c r="F49" s="60"/>
      <c r="G49" s="60">
        <v>290</v>
      </c>
      <c r="H49" s="60"/>
      <c r="I49" s="60"/>
      <c r="J49" s="60"/>
      <c r="K49" s="60"/>
      <c r="L49" s="60"/>
      <c r="M49" s="60"/>
      <c r="N49" s="60">
        <v>8.4</v>
      </c>
      <c r="O49" s="60">
        <f t="shared" si="6"/>
        <v>310.89999999999998</v>
      </c>
      <c r="P49" s="61"/>
      <c r="Q49" s="62"/>
      <c r="R49" s="63"/>
      <c r="S49" s="63"/>
      <c r="T49" s="63"/>
      <c r="U49" s="63"/>
      <c r="V49" s="63"/>
      <c r="W49" s="63"/>
      <c r="X49" s="63"/>
      <c r="Y49" s="63"/>
      <c r="Z49" s="63"/>
      <c r="AA49" s="63"/>
      <c r="AB49" s="63"/>
      <c r="AC49" s="63"/>
    </row>
    <row r="50" spans="1:29" ht="16" customHeight="1">
      <c r="A50" t="s">
        <v>40</v>
      </c>
      <c r="B50" s="60" t="s">
        <v>464</v>
      </c>
      <c r="C50" s="60" t="s">
        <v>459</v>
      </c>
      <c r="D50" s="60">
        <v>26.1</v>
      </c>
      <c r="E50" s="60"/>
      <c r="F50" s="60">
        <v>215.8</v>
      </c>
      <c r="G50" s="60">
        <v>113</v>
      </c>
      <c r="H50" s="60"/>
      <c r="I50" s="60"/>
      <c r="J50" s="60"/>
      <c r="K50" s="60"/>
      <c r="L50" s="60"/>
      <c r="M50" s="60"/>
      <c r="N50" s="60"/>
      <c r="O50" s="60">
        <f t="shared" si="6"/>
        <v>354.9</v>
      </c>
      <c r="P50" s="61"/>
      <c r="Q50" s="62"/>
      <c r="R50" s="63"/>
      <c r="S50" s="63"/>
      <c r="T50" s="63"/>
      <c r="U50" s="63"/>
      <c r="V50" s="63"/>
      <c r="W50" s="63"/>
      <c r="X50" s="63"/>
      <c r="Y50" s="63"/>
      <c r="Z50" s="63"/>
      <c r="AA50" s="63"/>
      <c r="AB50" s="63"/>
      <c r="AC50" s="63"/>
    </row>
    <row r="51" spans="1:29" ht="16" customHeight="1">
      <c r="A51" t="s">
        <v>40</v>
      </c>
      <c r="B51" s="60" t="s">
        <v>464</v>
      </c>
      <c r="C51" s="60" t="s">
        <v>382</v>
      </c>
      <c r="D51" s="60"/>
      <c r="E51" s="60">
        <v>4.8</v>
      </c>
      <c r="F51" s="60"/>
      <c r="G51" s="60">
        <v>14.9</v>
      </c>
      <c r="H51" s="60"/>
      <c r="I51" s="60"/>
      <c r="J51" s="60"/>
      <c r="K51" s="60"/>
      <c r="L51" s="60"/>
      <c r="M51" s="60"/>
      <c r="N51" s="60"/>
      <c r="O51" s="60">
        <f t="shared" si="6"/>
        <v>19.7</v>
      </c>
      <c r="P51" s="61"/>
      <c r="Q51" s="62"/>
      <c r="R51" s="63"/>
      <c r="S51" s="63"/>
      <c r="T51" s="63"/>
      <c r="U51" s="63"/>
      <c r="V51" s="63"/>
      <c r="W51" s="63"/>
      <c r="X51" s="63"/>
      <c r="Y51" s="63"/>
      <c r="Z51" s="63"/>
      <c r="AA51" s="63"/>
      <c r="AB51" s="63"/>
      <c r="AC51" s="63"/>
    </row>
    <row r="52" spans="1:29" ht="16" customHeight="1">
      <c r="A52" t="s">
        <v>40</v>
      </c>
      <c r="B52" s="60" t="s">
        <v>464</v>
      </c>
      <c r="C52" s="60" t="s">
        <v>460</v>
      </c>
      <c r="D52" s="60">
        <v>21.8</v>
      </c>
      <c r="E52" s="60">
        <v>2.5</v>
      </c>
      <c r="F52" s="60">
        <v>16</v>
      </c>
      <c r="G52" s="60">
        <v>127.6</v>
      </c>
      <c r="H52" s="60"/>
      <c r="I52" s="60"/>
      <c r="J52" s="60"/>
      <c r="K52" s="60"/>
      <c r="L52" s="60"/>
      <c r="M52" s="60"/>
      <c r="N52" s="60"/>
      <c r="O52" s="60">
        <f t="shared" si="6"/>
        <v>167.89999999999998</v>
      </c>
      <c r="P52" s="61"/>
      <c r="Q52" s="62"/>
      <c r="R52" s="63"/>
      <c r="S52" s="63"/>
      <c r="T52" s="63"/>
      <c r="U52" s="63"/>
      <c r="V52" s="63"/>
      <c r="W52" s="63"/>
      <c r="X52" s="63"/>
      <c r="Y52" s="63"/>
      <c r="Z52" s="63"/>
      <c r="AA52" s="63"/>
      <c r="AB52" s="63"/>
      <c r="AC52" s="63"/>
    </row>
    <row r="53" spans="1:29" ht="16" customHeight="1">
      <c r="A53" t="s">
        <v>40</v>
      </c>
      <c r="B53" s="60" t="s">
        <v>464</v>
      </c>
      <c r="C53" s="55" t="s">
        <v>448</v>
      </c>
      <c r="D53" s="60">
        <f t="shared" ref="D53:J53" si="7">SUM(D41:D52)</f>
        <v>293.35000000000002</v>
      </c>
      <c r="E53" s="60">
        <f t="shared" si="7"/>
        <v>17.809999999999999</v>
      </c>
      <c r="F53" s="60">
        <f t="shared" si="7"/>
        <v>466.7</v>
      </c>
      <c r="G53" s="60">
        <f t="shared" si="7"/>
        <v>1185.8400000000001</v>
      </c>
      <c r="H53" s="60">
        <f t="shared" si="7"/>
        <v>423.7</v>
      </c>
      <c r="I53" s="60">
        <f t="shared" si="7"/>
        <v>22.1</v>
      </c>
      <c r="J53" s="60">
        <f t="shared" si="7"/>
        <v>245</v>
      </c>
      <c r="K53" s="60"/>
      <c r="L53" s="60"/>
      <c r="M53" s="60">
        <f>SUM(M41:M52)</f>
        <v>1.4</v>
      </c>
      <c r="N53" s="60">
        <f>SUM(N41:N52)</f>
        <v>51.4</v>
      </c>
      <c r="O53" s="60">
        <f>SUM(O41:O52)</f>
        <v>2707.3</v>
      </c>
      <c r="P53" s="61"/>
      <c r="Q53" s="62"/>
      <c r="R53" s="63"/>
      <c r="S53" s="63"/>
      <c r="T53" s="63"/>
      <c r="U53" s="63"/>
      <c r="V53" s="63"/>
      <c r="W53" s="63"/>
      <c r="X53" s="63"/>
      <c r="Y53" s="63"/>
      <c r="Z53" s="63"/>
      <c r="AA53" s="63"/>
      <c r="AB53" s="63"/>
      <c r="AC53" s="63"/>
    </row>
    <row r="54" spans="1:29" ht="16" customHeight="1">
      <c r="A54" t="s">
        <v>40</v>
      </c>
      <c r="B54" s="60" t="s">
        <v>465</v>
      </c>
      <c r="C54" s="60" t="s">
        <v>450</v>
      </c>
      <c r="D54" s="60"/>
      <c r="E54" s="60"/>
      <c r="F54" s="60"/>
      <c r="G54" s="60">
        <v>63.435000000000002</v>
      </c>
      <c r="H54" s="60">
        <v>359.46499999999997</v>
      </c>
      <c r="I54" s="60"/>
      <c r="J54" s="60"/>
      <c r="K54" s="60"/>
      <c r="L54" s="60"/>
      <c r="M54" s="60"/>
      <c r="N54" s="60">
        <v>2.6</v>
      </c>
      <c r="O54" s="60">
        <f t="shared" ref="O54:O65" si="8">SUM(D54:N54)</f>
        <v>425.5</v>
      </c>
      <c r="P54" s="61"/>
      <c r="Q54" s="62"/>
      <c r="R54" s="63"/>
      <c r="S54" s="63"/>
      <c r="T54" s="63"/>
      <c r="U54" s="63"/>
      <c r="V54" s="63"/>
      <c r="W54" s="63"/>
      <c r="X54" s="63"/>
      <c r="Y54" s="63"/>
      <c r="Z54" s="63"/>
      <c r="AA54" s="63"/>
      <c r="AB54" s="63"/>
      <c r="AC54" s="63"/>
    </row>
    <row r="55" spans="1:29" ht="16" customHeight="1">
      <c r="A55" t="s">
        <v>40</v>
      </c>
      <c r="B55" s="60" t="s">
        <v>465</v>
      </c>
      <c r="C55" s="60" t="s">
        <v>451</v>
      </c>
      <c r="D55" s="60">
        <v>81.599999999999994</v>
      </c>
      <c r="E55" s="60">
        <v>0.5</v>
      </c>
      <c r="F55" s="60">
        <v>9.8000000000000007</v>
      </c>
      <c r="G55" s="60">
        <v>175.1</v>
      </c>
      <c r="H55" s="60"/>
      <c r="I55" s="60"/>
      <c r="J55" s="60"/>
      <c r="K55" s="60"/>
      <c r="L55" s="60"/>
      <c r="M55" s="60"/>
      <c r="N55" s="60">
        <v>0.2</v>
      </c>
      <c r="O55" s="60">
        <f t="shared" si="8"/>
        <v>267.2</v>
      </c>
      <c r="P55" s="61"/>
      <c r="Q55" s="62"/>
      <c r="R55" s="63"/>
      <c r="S55" s="63"/>
      <c r="T55" s="63"/>
      <c r="U55" s="63"/>
      <c r="V55" s="63"/>
      <c r="W55" s="63"/>
      <c r="X55" s="63"/>
      <c r="Y55" s="63"/>
      <c r="Z55" s="63"/>
      <c r="AA55" s="63"/>
      <c r="AB55" s="63"/>
      <c r="AC55" s="63"/>
    </row>
    <row r="56" spans="1:29" ht="16" customHeight="1">
      <c r="A56" t="s">
        <v>40</v>
      </c>
      <c r="B56" s="60" t="s">
        <v>465</v>
      </c>
      <c r="C56" s="60" t="s">
        <v>452</v>
      </c>
      <c r="D56" s="60">
        <v>14.2</v>
      </c>
      <c r="E56" s="60">
        <v>9</v>
      </c>
      <c r="F56" s="60">
        <v>0.4</v>
      </c>
      <c r="G56" s="60">
        <v>170.1</v>
      </c>
      <c r="H56" s="60"/>
      <c r="I56" s="60"/>
      <c r="J56" s="60"/>
      <c r="K56" s="60"/>
      <c r="L56" s="60"/>
      <c r="M56" s="60"/>
      <c r="N56" s="60"/>
      <c r="O56" s="60">
        <f t="shared" si="8"/>
        <v>193.7</v>
      </c>
      <c r="P56" s="61"/>
      <c r="Q56" s="62"/>
      <c r="R56" s="63"/>
      <c r="S56" s="63"/>
      <c r="T56" s="63"/>
      <c r="U56" s="63"/>
      <c r="V56" s="63"/>
      <c r="W56" s="63"/>
      <c r="X56" s="63"/>
      <c r="Y56" s="63"/>
      <c r="Z56" s="63"/>
      <c r="AA56" s="63"/>
      <c r="AB56" s="63"/>
      <c r="AC56" s="63"/>
    </row>
    <row r="57" spans="1:29" ht="16" customHeight="1">
      <c r="A57" t="s">
        <v>40</v>
      </c>
      <c r="B57" s="60" t="s">
        <v>465</v>
      </c>
      <c r="C57" s="60" t="s">
        <v>453</v>
      </c>
      <c r="D57" s="60"/>
      <c r="E57" s="60">
        <v>12.2</v>
      </c>
      <c r="F57" s="60">
        <f>95.4+4.7</f>
        <v>100.10000000000001</v>
      </c>
      <c r="G57" s="60">
        <f>238.5</f>
        <v>238.5</v>
      </c>
      <c r="H57" s="60"/>
      <c r="I57" s="60">
        <v>33.799999999999997</v>
      </c>
      <c r="J57" s="60">
        <v>270</v>
      </c>
      <c r="K57" s="60"/>
      <c r="L57" s="60"/>
      <c r="M57" s="60"/>
      <c r="N57" s="60">
        <v>1.2</v>
      </c>
      <c r="O57" s="60">
        <f t="shared" si="8"/>
        <v>655.80000000000007</v>
      </c>
      <c r="P57" s="61"/>
      <c r="Q57" s="62"/>
      <c r="R57" s="63"/>
      <c r="S57" s="63"/>
      <c r="T57" s="63"/>
      <c r="U57" s="63"/>
      <c r="V57" s="63"/>
      <c r="W57" s="63"/>
      <c r="X57" s="63"/>
      <c r="Y57" s="63"/>
      <c r="Z57" s="63"/>
      <c r="AA57" s="63"/>
      <c r="AB57" s="63"/>
      <c r="AC57" s="63"/>
    </row>
    <row r="58" spans="1:29" ht="16" customHeight="1">
      <c r="A58" t="s">
        <v>40</v>
      </c>
      <c r="B58" s="60" t="s">
        <v>465</v>
      </c>
      <c r="C58" s="60" t="s">
        <v>454</v>
      </c>
      <c r="D58" s="60"/>
      <c r="E58" s="60">
        <f>1.6+1.23</f>
        <v>2.83</v>
      </c>
      <c r="F58" s="60">
        <v>10.1</v>
      </c>
      <c r="G58" s="60">
        <v>3.04</v>
      </c>
      <c r="H58" s="60"/>
      <c r="I58" s="60">
        <f>0.3+4.03</f>
        <v>4.33</v>
      </c>
      <c r="J58" s="60"/>
      <c r="K58" s="60"/>
      <c r="L58" s="60"/>
      <c r="M58" s="60"/>
      <c r="N58" s="60">
        <v>0.1</v>
      </c>
      <c r="O58" s="60">
        <f t="shared" si="8"/>
        <v>20.399999999999999</v>
      </c>
      <c r="P58" s="61"/>
      <c r="Q58" s="62"/>
      <c r="R58" s="63"/>
      <c r="S58" s="63"/>
      <c r="T58" s="63"/>
      <c r="U58" s="63"/>
      <c r="V58" s="63"/>
      <c r="W58" s="63"/>
      <c r="X58" s="63"/>
      <c r="Y58" s="63"/>
      <c r="Z58" s="63"/>
      <c r="AA58" s="63"/>
      <c r="AB58" s="63"/>
      <c r="AC58" s="63"/>
    </row>
    <row r="59" spans="1:29" ht="16" customHeight="1">
      <c r="A59" t="s">
        <v>40</v>
      </c>
      <c r="B59" s="60" t="s">
        <v>465</v>
      </c>
      <c r="C59" s="60" t="s">
        <v>455</v>
      </c>
      <c r="D59" s="60">
        <v>58.94</v>
      </c>
      <c r="E59" s="60"/>
      <c r="F59" s="60">
        <v>31.06</v>
      </c>
      <c r="G59" s="60">
        <v>18</v>
      </c>
      <c r="H59" s="60"/>
      <c r="I59" s="60">
        <v>13.5</v>
      </c>
      <c r="J59" s="60"/>
      <c r="K59" s="60"/>
      <c r="L59" s="60"/>
      <c r="M59" s="60"/>
      <c r="N59" s="60">
        <f>3.1+4.6</f>
        <v>7.6999999999999993</v>
      </c>
      <c r="O59" s="60">
        <f t="shared" si="8"/>
        <v>129.19999999999999</v>
      </c>
      <c r="P59" s="61"/>
      <c r="Q59" s="62"/>
      <c r="R59" s="63"/>
      <c r="S59" s="63"/>
      <c r="T59" s="63"/>
      <c r="U59" s="63"/>
      <c r="V59" s="63"/>
      <c r="W59" s="63"/>
      <c r="X59" s="63"/>
      <c r="Y59" s="63"/>
      <c r="Z59" s="63"/>
      <c r="AA59" s="63"/>
      <c r="AB59" s="63"/>
      <c r="AC59" s="63"/>
    </row>
    <row r="60" spans="1:29" ht="16" customHeight="1">
      <c r="A60" t="s">
        <v>40</v>
      </c>
      <c r="B60" s="60" t="s">
        <v>465</v>
      </c>
      <c r="C60" s="60" t="s">
        <v>456</v>
      </c>
      <c r="D60" s="60">
        <v>80.7</v>
      </c>
      <c r="E60" s="60"/>
      <c r="F60" s="60"/>
      <c r="G60" s="60"/>
      <c r="H60" s="60"/>
      <c r="I60" s="60"/>
      <c r="J60" s="60"/>
      <c r="K60" s="60"/>
      <c r="L60" s="60"/>
      <c r="M60" s="60"/>
      <c r="N60" s="60"/>
      <c r="O60" s="60">
        <f t="shared" si="8"/>
        <v>80.7</v>
      </c>
      <c r="P60" s="61"/>
      <c r="Q60" s="62"/>
      <c r="R60" s="63"/>
      <c r="S60" s="63"/>
      <c r="T60" s="63"/>
      <c r="U60" s="63"/>
      <c r="V60" s="63"/>
      <c r="W60" s="63"/>
      <c r="X60" s="63"/>
      <c r="Y60" s="63"/>
      <c r="Z60" s="63"/>
      <c r="AA60" s="63"/>
      <c r="AB60" s="63"/>
      <c r="AC60" s="63"/>
    </row>
    <row r="61" spans="1:29" ht="16" customHeight="1">
      <c r="A61" t="s">
        <v>40</v>
      </c>
      <c r="B61" s="60" t="s">
        <v>465</v>
      </c>
      <c r="C61" s="60" t="s">
        <v>457</v>
      </c>
      <c r="D61" s="60">
        <v>2.4</v>
      </c>
      <c r="E61" s="60">
        <v>1.9</v>
      </c>
      <c r="F61" s="60">
        <f>3.8+52.9</f>
        <v>56.699999999999996</v>
      </c>
      <c r="G61" s="60">
        <v>41.4</v>
      </c>
      <c r="H61" s="60"/>
      <c r="I61" s="60">
        <v>2.4</v>
      </c>
      <c r="J61" s="60"/>
      <c r="K61" s="60"/>
      <c r="L61" s="60"/>
      <c r="M61" s="60"/>
      <c r="N61" s="60">
        <v>3.4</v>
      </c>
      <c r="O61" s="60">
        <f t="shared" si="8"/>
        <v>108.2</v>
      </c>
      <c r="P61" s="61"/>
      <c r="Q61" s="62"/>
      <c r="R61" s="63"/>
      <c r="S61" s="63"/>
      <c r="T61" s="63"/>
      <c r="U61" s="63"/>
      <c r="V61" s="63"/>
      <c r="W61" s="63"/>
      <c r="X61" s="63"/>
      <c r="Y61" s="63"/>
      <c r="Z61" s="63"/>
      <c r="AA61" s="63"/>
      <c r="AB61" s="63"/>
      <c r="AC61" s="63"/>
    </row>
    <row r="62" spans="1:29" ht="16" customHeight="1">
      <c r="A62" t="s">
        <v>40</v>
      </c>
      <c r="B62" s="60" t="s">
        <v>465</v>
      </c>
      <c r="C62" s="60" t="s">
        <v>458</v>
      </c>
      <c r="D62" s="60">
        <v>24.4</v>
      </c>
      <c r="E62" s="60"/>
      <c r="F62" s="60">
        <v>3.1</v>
      </c>
      <c r="G62" s="60"/>
      <c r="H62" s="60"/>
      <c r="I62" s="60">
        <v>294.8</v>
      </c>
      <c r="J62" s="60"/>
      <c r="K62" s="60"/>
      <c r="L62" s="60"/>
      <c r="M62" s="60"/>
      <c r="N62" s="60"/>
      <c r="O62" s="60">
        <f t="shared" si="8"/>
        <v>322.3</v>
      </c>
      <c r="P62" s="61"/>
      <c r="Q62" s="62"/>
      <c r="R62" s="63"/>
      <c r="S62" s="63"/>
      <c r="T62" s="63"/>
      <c r="U62" s="63"/>
      <c r="V62" s="63"/>
      <c r="W62" s="63"/>
      <c r="X62" s="63"/>
      <c r="Y62" s="63"/>
      <c r="Z62" s="63"/>
      <c r="AA62" s="63"/>
      <c r="AB62" s="63"/>
      <c r="AC62" s="63"/>
    </row>
    <row r="63" spans="1:29" ht="16" customHeight="1">
      <c r="A63" t="s">
        <v>40</v>
      </c>
      <c r="B63" s="60" t="s">
        <v>465</v>
      </c>
      <c r="C63" s="60" t="s">
        <v>459</v>
      </c>
      <c r="D63" s="60">
        <v>52.39</v>
      </c>
      <c r="E63" s="60">
        <v>6.18</v>
      </c>
      <c r="F63" s="60">
        <v>180.66</v>
      </c>
      <c r="G63" s="60">
        <v>97.89</v>
      </c>
      <c r="H63" s="60"/>
      <c r="I63" s="60">
        <v>23.1</v>
      </c>
      <c r="J63" s="60"/>
      <c r="K63" s="60"/>
      <c r="L63" s="60"/>
      <c r="M63" s="60"/>
      <c r="N63" s="60">
        <v>5.88</v>
      </c>
      <c r="O63" s="60">
        <f t="shared" si="8"/>
        <v>366.1</v>
      </c>
      <c r="P63" s="61"/>
      <c r="Q63" s="62"/>
      <c r="R63" s="63"/>
      <c r="S63" s="63"/>
      <c r="T63" s="63"/>
      <c r="U63" s="63"/>
      <c r="V63" s="63"/>
      <c r="W63" s="63"/>
      <c r="X63" s="63"/>
      <c r="Y63" s="63"/>
      <c r="Z63" s="63"/>
      <c r="AA63" s="63"/>
      <c r="AB63" s="63"/>
      <c r="AC63" s="63"/>
    </row>
    <row r="64" spans="1:29" ht="16" customHeight="1">
      <c r="A64" t="s">
        <v>40</v>
      </c>
      <c r="B64" s="60" t="s">
        <v>465</v>
      </c>
      <c r="C64" s="60" t="s">
        <v>382</v>
      </c>
      <c r="D64" s="60">
        <v>2.7</v>
      </c>
      <c r="E64" s="60">
        <v>1.9</v>
      </c>
      <c r="F64" s="60">
        <v>1.3</v>
      </c>
      <c r="G64" s="60">
        <v>12.3</v>
      </c>
      <c r="H64" s="60"/>
      <c r="I64" s="60">
        <v>2.4</v>
      </c>
      <c r="J64" s="60"/>
      <c r="K64" s="60"/>
      <c r="L64" s="60"/>
      <c r="M64" s="60"/>
      <c r="N64" s="60">
        <v>1.5</v>
      </c>
      <c r="O64" s="60">
        <f t="shared" si="8"/>
        <v>22.099999999999998</v>
      </c>
      <c r="P64" s="61"/>
      <c r="Q64" s="62"/>
      <c r="R64" s="63"/>
      <c r="S64" s="63"/>
      <c r="T64" s="63"/>
      <c r="U64" s="63"/>
      <c r="V64" s="63"/>
      <c r="W64" s="63"/>
      <c r="X64" s="63"/>
      <c r="Y64" s="63"/>
      <c r="Z64" s="63"/>
      <c r="AA64" s="63"/>
      <c r="AB64" s="63"/>
      <c r="AC64" s="63"/>
    </row>
    <row r="65" spans="1:29" ht="16" customHeight="1">
      <c r="A65" t="s">
        <v>40</v>
      </c>
      <c r="B65" s="60" t="s">
        <v>465</v>
      </c>
      <c r="C65" s="60" t="s">
        <v>460</v>
      </c>
      <c r="D65" s="60">
        <v>41.49</v>
      </c>
      <c r="E65" s="60">
        <v>2.4</v>
      </c>
      <c r="F65" s="60">
        <f>0.5+2.3</f>
        <v>2.8</v>
      </c>
      <c r="G65" s="60">
        <v>117.18</v>
      </c>
      <c r="H65" s="60"/>
      <c r="I65" s="60">
        <v>31.33</v>
      </c>
      <c r="J65" s="60"/>
      <c r="K65" s="60"/>
      <c r="L65" s="60"/>
      <c r="M65" s="60"/>
      <c r="N65" s="60">
        <v>9.8000000000000007</v>
      </c>
      <c r="O65" s="60">
        <f t="shared" si="8"/>
        <v>205</v>
      </c>
      <c r="P65" s="61"/>
      <c r="Q65" s="62"/>
      <c r="R65" s="63"/>
      <c r="S65" s="63"/>
      <c r="T65" s="63"/>
      <c r="U65" s="63"/>
      <c r="V65" s="63"/>
      <c r="W65" s="63"/>
      <c r="X65" s="63"/>
      <c r="Y65" s="63"/>
      <c r="Z65" s="63"/>
      <c r="AA65" s="63"/>
      <c r="AB65" s="63"/>
      <c r="AC65" s="63"/>
    </row>
    <row r="66" spans="1:29" ht="16" customHeight="1">
      <c r="A66" t="s">
        <v>40</v>
      </c>
      <c r="B66" s="60" t="s">
        <v>465</v>
      </c>
      <c r="C66" s="55" t="s">
        <v>448</v>
      </c>
      <c r="D66" s="60">
        <f t="shared" ref="D66:J66" si="9">SUM(D54:D65)</f>
        <v>358.82</v>
      </c>
      <c r="E66" s="60">
        <f t="shared" si="9"/>
        <v>36.909999999999997</v>
      </c>
      <c r="F66" s="60">
        <f t="shared" si="9"/>
        <v>396.02</v>
      </c>
      <c r="G66" s="60">
        <f t="shared" si="9"/>
        <v>936.94499999999994</v>
      </c>
      <c r="H66" s="60">
        <f t="shared" si="9"/>
        <v>359.46499999999997</v>
      </c>
      <c r="I66" s="60">
        <f t="shared" si="9"/>
        <v>405.65999999999997</v>
      </c>
      <c r="J66" s="60">
        <f t="shared" si="9"/>
        <v>270</v>
      </c>
      <c r="K66" s="60"/>
      <c r="L66" s="60"/>
      <c r="M66" s="60"/>
      <c r="N66" s="60">
        <f>SUM(N54:N65)</f>
        <v>32.379999999999995</v>
      </c>
      <c r="O66" s="60">
        <f>SUM(D66:N66)</f>
        <v>2796.2</v>
      </c>
      <c r="P66" s="61"/>
      <c r="Q66" s="62"/>
      <c r="R66" s="63"/>
      <c r="S66" s="63"/>
      <c r="T66" s="63"/>
      <c r="U66" s="63"/>
      <c r="V66" s="63"/>
      <c r="W66" s="63"/>
      <c r="X66" s="63"/>
      <c r="Y66" s="63"/>
      <c r="Z66" s="63"/>
      <c r="AA66" s="63"/>
      <c r="AB66" s="63"/>
      <c r="AC66" s="63"/>
    </row>
    <row r="67" spans="1:29" ht="16" customHeight="1">
      <c r="A67" t="s">
        <v>40</v>
      </c>
      <c r="B67" s="60" t="s">
        <v>466</v>
      </c>
      <c r="C67" s="60" t="s">
        <v>450</v>
      </c>
      <c r="D67" s="60">
        <v>4.0999999999999996</v>
      </c>
      <c r="E67" s="60"/>
      <c r="F67" s="60"/>
      <c r="G67" s="60">
        <v>75.400000000000006</v>
      </c>
      <c r="H67" s="60">
        <v>543.79999999999995</v>
      </c>
      <c r="I67" s="60">
        <v>7.6</v>
      </c>
      <c r="J67" s="60"/>
      <c r="K67" s="60"/>
      <c r="L67" s="60"/>
      <c r="M67" s="60"/>
      <c r="N67" s="60">
        <v>2.8</v>
      </c>
      <c r="O67" s="60">
        <f t="shared" ref="O67:O78" si="10">SUM(D67:N67)</f>
        <v>633.69999999999993</v>
      </c>
      <c r="P67" s="61"/>
      <c r="Q67" s="62"/>
      <c r="R67" s="63"/>
      <c r="S67" s="63"/>
      <c r="T67" s="63"/>
      <c r="U67" s="63"/>
      <c r="V67" s="63"/>
      <c r="W67" s="63"/>
      <c r="X67" s="63"/>
      <c r="Y67" s="63"/>
      <c r="Z67" s="63"/>
      <c r="AA67" s="63"/>
      <c r="AB67" s="63"/>
      <c r="AC67" s="63"/>
    </row>
    <row r="68" spans="1:29" ht="16" customHeight="1">
      <c r="A68" t="s">
        <v>40</v>
      </c>
      <c r="B68" s="60" t="s">
        <v>466</v>
      </c>
      <c r="C68" s="60" t="s">
        <v>451</v>
      </c>
      <c r="D68" s="60">
        <v>150.4</v>
      </c>
      <c r="E68" s="60"/>
      <c r="F68" s="60"/>
      <c r="G68" s="60">
        <v>232.7</v>
      </c>
      <c r="H68" s="60"/>
      <c r="I68" s="60"/>
      <c r="J68" s="60"/>
      <c r="K68" s="60"/>
      <c r="L68" s="60"/>
      <c r="M68" s="60"/>
      <c r="N68" s="60">
        <v>4.2</v>
      </c>
      <c r="O68" s="60">
        <f t="shared" si="10"/>
        <v>387.3</v>
      </c>
      <c r="P68" s="61"/>
      <c r="Q68" s="62"/>
      <c r="R68" s="63"/>
      <c r="S68" s="63"/>
      <c r="T68" s="63"/>
      <c r="U68" s="63"/>
      <c r="V68" s="63"/>
      <c r="W68" s="63"/>
      <c r="X68" s="63"/>
      <c r="Y68" s="63"/>
      <c r="Z68" s="63"/>
      <c r="AA68" s="63"/>
      <c r="AB68" s="63"/>
      <c r="AC68" s="63"/>
    </row>
    <row r="69" spans="1:29" ht="16" customHeight="1">
      <c r="A69" t="s">
        <v>40</v>
      </c>
      <c r="B69" s="60" t="s">
        <v>466</v>
      </c>
      <c r="C69" s="60" t="s">
        <v>452</v>
      </c>
      <c r="D69" s="60">
        <v>48.9</v>
      </c>
      <c r="E69" s="60"/>
      <c r="F69" s="60"/>
      <c r="G69" s="60">
        <v>253.5</v>
      </c>
      <c r="H69" s="60"/>
      <c r="I69" s="60"/>
      <c r="J69" s="60"/>
      <c r="K69" s="60"/>
      <c r="L69" s="60"/>
      <c r="M69" s="60">
        <v>40.700000000000003</v>
      </c>
      <c r="N69" s="60"/>
      <c r="O69" s="60">
        <f t="shared" si="10"/>
        <v>343.09999999999997</v>
      </c>
      <c r="P69" s="61"/>
      <c r="Q69" s="62"/>
      <c r="R69" s="63"/>
      <c r="S69" s="63"/>
      <c r="T69" s="63"/>
      <c r="U69" s="63"/>
      <c r="V69" s="63"/>
      <c r="W69" s="63"/>
      <c r="X69" s="63"/>
      <c r="Y69" s="63"/>
      <c r="Z69" s="63"/>
      <c r="AA69" s="63"/>
      <c r="AB69" s="63"/>
      <c r="AC69" s="63"/>
    </row>
    <row r="70" spans="1:29" ht="16" customHeight="1">
      <c r="A70" t="s">
        <v>40</v>
      </c>
      <c r="B70" s="60" t="s">
        <v>466</v>
      </c>
      <c r="C70" s="60" t="s">
        <v>467</v>
      </c>
      <c r="D70" s="60">
        <v>202.7</v>
      </c>
      <c r="E70" s="60"/>
      <c r="F70" s="60"/>
      <c r="G70" s="60">
        <f>53.2+18.7</f>
        <v>71.900000000000006</v>
      </c>
      <c r="H70" s="60"/>
      <c r="I70" s="60">
        <v>24.2</v>
      </c>
      <c r="J70" s="60">
        <v>234.2</v>
      </c>
      <c r="K70" s="60"/>
      <c r="L70" s="60"/>
      <c r="M70" s="60"/>
      <c r="N70" s="60">
        <v>180.7</v>
      </c>
      <c r="O70" s="60">
        <f t="shared" si="10"/>
        <v>713.7</v>
      </c>
      <c r="P70" s="61"/>
      <c r="Q70" s="62"/>
      <c r="R70" s="63"/>
      <c r="S70" s="63"/>
      <c r="T70" s="63"/>
      <c r="U70" s="63"/>
      <c r="V70" s="63"/>
      <c r="W70" s="63"/>
      <c r="X70" s="63"/>
      <c r="Y70" s="63"/>
      <c r="Z70" s="63"/>
      <c r="AA70" s="63"/>
      <c r="AB70" s="63"/>
      <c r="AC70" s="63"/>
    </row>
    <row r="71" spans="1:29" ht="16" customHeight="1">
      <c r="A71" t="s">
        <v>40</v>
      </c>
      <c r="B71" s="60" t="s">
        <v>466</v>
      </c>
      <c r="C71" s="60" t="s">
        <v>454</v>
      </c>
      <c r="D71" s="60"/>
      <c r="E71" s="60"/>
      <c r="F71" s="60"/>
      <c r="G71" s="60">
        <v>14.7</v>
      </c>
      <c r="H71" s="60"/>
      <c r="I71" s="60"/>
      <c r="J71" s="60"/>
      <c r="K71" s="60"/>
      <c r="L71" s="60"/>
      <c r="M71" s="60"/>
      <c r="N71" s="60"/>
      <c r="O71" s="60">
        <f t="shared" si="10"/>
        <v>14.7</v>
      </c>
      <c r="P71" s="61"/>
      <c r="Q71" s="62"/>
      <c r="R71" s="63"/>
      <c r="S71" s="63"/>
      <c r="T71" s="63"/>
      <c r="U71" s="63"/>
      <c r="V71" s="63"/>
      <c r="W71" s="63"/>
      <c r="X71" s="63"/>
      <c r="Y71" s="63"/>
      <c r="Z71" s="63"/>
      <c r="AA71" s="63"/>
      <c r="AB71" s="63"/>
      <c r="AC71" s="63"/>
    </row>
    <row r="72" spans="1:29" ht="16" customHeight="1">
      <c r="A72" t="s">
        <v>40</v>
      </c>
      <c r="B72" s="60" t="s">
        <v>466</v>
      </c>
      <c r="C72" s="60" t="s">
        <v>455</v>
      </c>
      <c r="D72" s="60">
        <v>80.92</v>
      </c>
      <c r="E72" s="60"/>
      <c r="F72" s="60"/>
      <c r="G72" s="60">
        <v>43.56</v>
      </c>
      <c r="H72" s="60"/>
      <c r="I72" s="60">
        <v>14.52</v>
      </c>
      <c r="J72" s="60"/>
      <c r="K72" s="60"/>
      <c r="L72" s="60"/>
      <c r="M72" s="60"/>
      <c r="N72" s="60"/>
      <c r="O72" s="60">
        <f t="shared" si="10"/>
        <v>139</v>
      </c>
      <c r="P72" s="61"/>
      <c r="Q72" s="62"/>
      <c r="R72" s="63"/>
      <c r="S72" s="63"/>
      <c r="T72" s="63"/>
      <c r="U72" s="63"/>
      <c r="V72" s="63"/>
      <c r="W72" s="63"/>
      <c r="X72" s="63"/>
      <c r="Y72" s="63"/>
      <c r="Z72" s="63"/>
      <c r="AA72" s="63"/>
      <c r="AB72" s="63"/>
      <c r="AC72" s="63"/>
    </row>
    <row r="73" spans="1:29" ht="16" customHeight="1">
      <c r="A73" t="s">
        <v>40</v>
      </c>
      <c r="B73" s="60" t="s">
        <v>466</v>
      </c>
      <c r="C73" s="60" t="s">
        <v>456</v>
      </c>
      <c r="D73" s="60">
        <v>86.55</v>
      </c>
      <c r="E73" s="60">
        <v>85.35</v>
      </c>
      <c r="F73" s="60"/>
      <c r="G73" s="60"/>
      <c r="H73" s="60"/>
      <c r="I73" s="60"/>
      <c r="J73" s="60"/>
      <c r="K73" s="60"/>
      <c r="L73" s="60"/>
      <c r="M73" s="60"/>
      <c r="N73" s="60"/>
      <c r="O73" s="60">
        <f t="shared" si="10"/>
        <v>171.89999999999998</v>
      </c>
      <c r="P73" s="61"/>
      <c r="Q73" s="62"/>
      <c r="R73" s="63"/>
      <c r="S73" s="63"/>
      <c r="T73" s="63"/>
      <c r="U73" s="63"/>
      <c r="V73" s="63"/>
      <c r="W73" s="63"/>
      <c r="X73" s="63"/>
      <c r="Y73" s="63"/>
      <c r="Z73" s="63"/>
      <c r="AA73" s="63"/>
      <c r="AB73" s="63"/>
      <c r="AC73" s="63"/>
    </row>
    <row r="74" spans="1:29" ht="16" customHeight="1">
      <c r="A74" t="s">
        <v>40</v>
      </c>
      <c r="B74" s="60" t="s">
        <v>466</v>
      </c>
      <c r="C74" s="60" t="s">
        <v>457</v>
      </c>
      <c r="D74" s="60">
        <v>47.6</v>
      </c>
      <c r="E74" s="60"/>
      <c r="F74" s="60"/>
      <c r="G74" s="60">
        <f>39.2+25.2</f>
        <v>64.400000000000006</v>
      </c>
      <c r="H74" s="60"/>
      <c r="I74" s="60">
        <v>20.6</v>
      </c>
      <c r="J74" s="60"/>
      <c r="K74" s="60"/>
      <c r="L74" s="60"/>
      <c r="M74" s="60"/>
      <c r="N74" s="60"/>
      <c r="O74" s="60">
        <f t="shared" si="10"/>
        <v>132.6</v>
      </c>
      <c r="P74" s="61"/>
      <c r="Q74" s="62"/>
      <c r="R74" s="63"/>
      <c r="S74" s="63"/>
      <c r="T74" s="63"/>
      <c r="U74" s="63"/>
      <c r="V74" s="63"/>
      <c r="W74" s="63"/>
      <c r="X74" s="63"/>
      <c r="Y74" s="63"/>
      <c r="Z74" s="63"/>
      <c r="AA74" s="63"/>
      <c r="AB74" s="63"/>
      <c r="AC74" s="63"/>
    </row>
    <row r="75" spans="1:29" ht="16" customHeight="1">
      <c r="A75" t="s">
        <v>40</v>
      </c>
      <c r="B75" s="60" t="s">
        <v>466</v>
      </c>
      <c r="C75" s="60" t="s">
        <v>458</v>
      </c>
      <c r="D75" s="60"/>
      <c r="E75" s="60"/>
      <c r="F75" s="60"/>
      <c r="G75" s="60"/>
      <c r="H75" s="60"/>
      <c r="I75" s="60">
        <v>279.8</v>
      </c>
      <c r="J75" s="60"/>
      <c r="K75" s="60"/>
      <c r="L75" s="60"/>
      <c r="M75" s="60"/>
      <c r="N75" s="60">
        <v>19.399999999999999</v>
      </c>
      <c r="O75" s="60">
        <f t="shared" si="10"/>
        <v>299.2</v>
      </c>
      <c r="P75" s="61"/>
      <c r="Q75" s="62"/>
      <c r="R75" s="63"/>
      <c r="S75" s="63"/>
      <c r="T75" s="63"/>
      <c r="U75" s="63"/>
      <c r="V75" s="63"/>
      <c r="W75" s="63"/>
      <c r="X75" s="63"/>
      <c r="Y75" s="63"/>
      <c r="Z75" s="63"/>
      <c r="AA75" s="63"/>
      <c r="AB75" s="63"/>
      <c r="AC75" s="63"/>
    </row>
    <row r="76" spans="1:29" ht="16" customHeight="1">
      <c r="A76" t="s">
        <v>40</v>
      </c>
      <c r="B76" s="60" t="s">
        <v>466</v>
      </c>
      <c r="C76" s="60" t="s">
        <v>459</v>
      </c>
      <c r="D76" s="60">
        <v>129.74</v>
      </c>
      <c r="E76" s="60"/>
      <c r="F76" s="60">
        <v>49.65</v>
      </c>
      <c r="G76" s="60">
        <f>7+19.91</f>
        <v>26.91</v>
      </c>
      <c r="H76" s="60"/>
      <c r="I76" s="60">
        <v>11.9</v>
      </c>
      <c r="J76" s="60"/>
      <c r="K76" s="60"/>
      <c r="L76" s="60"/>
      <c r="M76" s="60"/>
      <c r="N76" s="60"/>
      <c r="O76" s="60">
        <f t="shared" si="10"/>
        <v>218.20000000000002</v>
      </c>
      <c r="P76" s="61"/>
      <c r="Q76" s="62"/>
      <c r="R76" s="63"/>
      <c r="S76" s="63"/>
      <c r="T76" s="63"/>
      <c r="U76" s="63"/>
      <c r="V76" s="63"/>
      <c r="W76" s="63"/>
      <c r="X76" s="63"/>
      <c r="Y76" s="63"/>
      <c r="Z76" s="63"/>
      <c r="AA76" s="63"/>
      <c r="AB76" s="63"/>
      <c r="AC76" s="63"/>
    </row>
    <row r="77" spans="1:29" ht="16" customHeight="1">
      <c r="A77" t="s">
        <v>40</v>
      </c>
      <c r="B77" s="60" t="s">
        <v>466</v>
      </c>
      <c r="C77" s="60" t="s">
        <v>382</v>
      </c>
      <c r="D77" s="60"/>
      <c r="E77" s="60"/>
      <c r="F77" s="60"/>
      <c r="G77" s="60">
        <v>12.7</v>
      </c>
      <c r="H77" s="60"/>
      <c r="I77" s="60"/>
      <c r="J77" s="60"/>
      <c r="K77" s="60"/>
      <c r="L77" s="60"/>
      <c r="M77" s="60"/>
      <c r="N77" s="60"/>
      <c r="O77" s="60">
        <f t="shared" si="10"/>
        <v>12.7</v>
      </c>
      <c r="P77" s="61"/>
      <c r="Q77" s="62"/>
      <c r="R77" s="63"/>
      <c r="S77" s="63"/>
      <c r="T77" s="63"/>
      <c r="U77" s="63"/>
      <c r="V77" s="63"/>
      <c r="W77" s="63"/>
      <c r="X77" s="63"/>
      <c r="Y77" s="63"/>
      <c r="Z77" s="63"/>
      <c r="AA77" s="63"/>
      <c r="AB77" s="63"/>
      <c r="AC77" s="63"/>
    </row>
    <row r="78" spans="1:29" ht="16" customHeight="1">
      <c r="A78" t="s">
        <v>40</v>
      </c>
      <c r="B78" s="60" t="s">
        <v>466</v>
      </c>
      <c r="C78" s="60" t="s">
        <v>460</v>
      </c>
      <c r="D78" s="60">
        <v>22.3</v>
      </c>
      <c r="E78" s="60"/>
      <c r="F78" s="60">
        <v>8.9</v>
      </c>
      <c r="G78" s="60">
        <f>130.2+6.6</f>
        <v>136.79999999999998</v>
      </c>
      <c r="H78" s="60"/>
      <c r="I78" s="60">
        <v>24.6</v>
      </c>
      <c r="J78" s="60"/>
      <c r="K78" s="60"/>
      <c r="L78" s="60"/>
      <c r="M78" s="60"/>
      <c r="N78" s="60">
        <v>4.4000000000000004</v>
      </c>
      <c r="O78" s="60">
        <f t="shared" si="10"/>
        <v>197</v>
      </c>
      <c r="P78" s="61"/>
      <c r="Q78" s="62"/>
      <c r="R78" s="63"/>
      <c r="S78" s="63"/>
      <c r="T78" s="63"/>
      <c r="U78" s="63"/>
      <c r="V78" s="63"/>
      <c r="W78" s="63"/>
      <c r="X78" s="63"/>
      <c r="Y78" s="63"/>
      <c r="Z78" s="63"/>
      <c r="AA78" s="63"/>
      <c r="AB78" s="63"/>
      <c r="AC78" s="63"/>
    </row>
    <row r="79" spans="1:29" ht="16" customHeight="1">
      <c r="A79" t="s">
        <v>40</v>
      </c>
      <c r="B79" s="60" t="s">
        <v>466</v>
      </c>
      <c r="C79" s="55" t="s">
        <v>448</v>
      </c>
      <c r="D79" s="60">
        <f t="shared" ref="D79:J79" si="11">SUM(D67:D78)</f>
        <v>773.21</v>
      </c>
      <c r="E79" s="60">
        <f t="shared" si="11"/>
        <v>85.35</v>
      </c>
      <c r="F79" s="60">
        <f t="shared" si="11"/>
        <v>58.55</v>
      </c>
      <c r="G79" s="60">
        <f t="shared" si="11"/>
        <v>932.56999999999994</v>
      </c>
      <c r="H79" s="60">
        <f t="shared" si="11"/>
        <v>543.79999999999995</v>
      </c>
      <c r="I79" s="60">
        <f t="shared" si="11"/>
        <v>383.22</v>
      </c>
      <c r="J79" s="60">
        <f t="shared" si="11"/>
        <v>234.2</v>
      </c>
      <c r="K79" s="60"/>
      <c r="L79" s="60"/>
      <c r="M79" s="60">
        <f>SUM(M67:M78)</f>
        <v>40.700000000000003</v>
      </c>
      <c r="N79" s="60">
        <f>SUM(N67:N78)</f>
        <v>211.5</v>
      </c>
      <c r="O79" s="60">
        <f>SUM(D79:N79)</f>
        <v>3263.0999999999995</v>
      </c>
      <c r="P79" s="61"/>
      <c r="Q79" s="62"/>
      <c r="R79" s="63"/>
      <c r="S79" s="63"/>
      <c r="T79" s="63"/>
      <c r="U79" s="63"/>
      <c r="V79" s="63"/>
      <c r="W79" s="63"/>
      <c r="X79" s="63"/>
      <c r="Y79" s="63"/>
      <c r="Z79" s="63"/>
      <c r="AA79" s="63"/>
      <c r="AB79" s="63"/>
      <c r="AC79" s="63"/>
    </row>
    <row r="80" spans="1:29" ht="16" customHeight="1">
      <c r="A80" t="s">
        <v>40</v>
      </c>
      <c r="B80" s="60" t="s">
        <v>468</v>
      </c>
      <c r="C80" s="60" t="s">
        <v>450</v>
      </c>
      <c r="D80" s="60">
        <v>1.3</v>
      </c>
      <c r="E80" s="60"/>
      <c r="F80" s="60"/>
      <c r="G80" s="60">
        <v>32.6</v>
      </c>
      <c r="H80" s="60">
        <v>274.89999999999998</v>
      </c>
      <c r="I80" s="60">
        <v>8.8000000000000007</v>
      </c>
      <c r="J80" s="60"/>
      <c r="K80" s="60"/>
      <c r="L80" s="60"/>
      <c r="M80" s="60"/>
      <c r="N80" s="60">
        <f>1.3</f>
        <v>1.3</v>
      </c>
      <c r="O80" s="60">
        <f>SUM(D80:N80)</f>
        <v>318.89999999999998</v>
      </c>
      <c r="P80" s="61"/>
      <c r="Q80" s="62"/>
      <c r="R80" s="63"/>
      <c r="S80" s="63"/>
      <c r="T80" s="63"/>
      <c r="U80" s="63"/>
      <c r="V80" s="63"/>
      <c r="W80" s="63"/>
      <c r="X80" s="63"/>
      <c r="Y80" s="63"/>
      <c r="Z80" s="63"/>
      <c r="AA80" s="63"/>
      <c r="AB80" s="63"/>
      <c r="AC80" s="63"/>
    </row>
    <row r="81" spans="1:29" ht="16" customHeight="1">
      <c r="A81" t="s">
        <v>40</v>
      </c>
      <c r="B81" s="60" t="s">
        <v>468</v>
      </c>
      <c r="C81" s="60" t="s">
        <v>451</v>
      </c>
      <c r="D81" s="60">
        <v>76.16</v>
      </c>
      <c r="E81" s="60"/>
      <c r="F81" s="60"/>
      <c r="G81" s="60">
        <f>140.9+3.64</f>
        <v>144.54</v>
      </c>
      <c r="H81" s="60"/>
      <c r="I81" s="60"/>
      <c r="J81" s="60"/>
      <c r="K81" s="60"/>
      <c r="L81" s="60"/>
      <c r="M81" s="60">
        <v>69.400000000000006</v>
      </c>
      <c r="N81" s="60"/>
      <c r="O81" s="60">
        <f t="shared" ref="O81:O91" si="12">SUM(D81:N81)</f>
        <v>290.10000000000002</v>
      </c>
      <c r="P81" s="61"/>
      <c r="Q81" s="62"/>
      <c r="R81" s="63"/>
      <c r="S81" s="63"/>
      <c r="T81" s="63"/>
      <c r="U81" s="63"/>
      <c r="V81" s="63"/>
      <c r="W81" s="63"/>
      <c r="X81" s="63"/>
      <c r="Y81" s="63"/>
      <c r="Z81" s="63"/>
      <c r="AA81" s="63"/>
      <c r="AB81" s="63"/>
      <c r="AC81" s="63"/>
    </row>
    <row r="82" spans="1:29" ht="16" customHeight="1">
      <c r="A82" t="s">
        <v>40</v>
      </c>
      <c r="B82" s="60" t="s">
        <v>468</v>
      </c>
      <c r="C82" s="60" t="s">
        <v>452</v>
      </c>
      <c r="D82" s="60">
        <v>148.6</v>
      </c>
      <c r="E82" s="60"/>
      <c r="F82" s="60"/>
      <c r="G82" s="60">
        <f>13.8+37.2</f>
        <v>51</v>
      </c>
      <c r="H82" s="60"/>
      <c r="I82" s="60"/>
      <c r="J82" s="60"/>
      <c r="K82" s="60"/>
      <c r="L82" s="60"/>
      <c r="M82" s="60"/>
      <c r="N82" s="60"/>
      <c r="O82" s="60">
        <f t="shared" si="12"/>
        <v>199.6</v>
      </c>
      <c r="P82" s="61"/>
      <c r="Q82" s="62"/>
      <c r="R82" s="63"/>
      <c r="S82" s="63"/>
      <c r="T82" s="63"/>
      <c r="U82" s="63"/>
      <c r="V82" s="63"/>
      <c r="W82" s="63"/>
      <c r="X82" s="63"/>
      <c r="Y82" s="63"/>
      <c r="Z82" s="63"/>
      <c r="AA82" s="63"/>
      <c r="AB82" s="63"/>
      <c r="AC82" s="63"/>
    </row>
    <row r="83" spans="1:29" ht="16" customHeight="1">
      <c r="A83" t="s">
        <v>40</v>
      </c>
      <c r="B83" s="60" t="s">
        <v>468</v>
      </c>
      <c r="C83" s="60" t="s">
        <v>453</v>
      </c>
      <c r="D83" s="60">
        <v>53.55</v>
      </c>
      <c r="E83" s="60">
        <v>9.36</v>
      </c>
      <c r="F83" s="60">
        <v>5.04</v>
      </c>
      <c r="G83" s="60">
        <f>22.73+34.6</f>
        <v>57.33</v>
      </c>
      <c r="H83" s="60"/>
      <c r="I83" s="60">
        <f>2.7</f>
        <v>2.7</v>
      </c>
      <c r="J83" s="60">
        <v>363.6</v>
      </c>
      <c r="K83" s="60"/>
      <c r="L83" s="60"/>
      <c r="M83" s="60"/>
      <c r="N83" s="60">
        <f>22.725</f>
        <v>22.725000000000001</v>
      </c>
      <c r="O83" s="60">
        <f t="shared" si="12"/>
        <v>514.30500000000006</v>
      </c>
      <c r="P83" s="61"/>
      <c r="Q83" s="62"/>
      <c r="R83" s="63"/>
      <c r="S83" s="63"/>
      <c r="T83" s="63"/>
      <c r="U83" s="63"/>
      <c r="V83" s="63"/>
      <c r="W83" s="63"/>
      <c r="X83" s="63"/>
      <c r="Y83" s="63"/>
      <c r="Z83" s="63"/>
      <c r="AA83" s="63"/>
      <c r="AB83" s="63"/>
      <c r="AC83" s="63"/>
    </row>
    <row r="84" spans="1:29" ht="16" customHeight="1">
      <c r="A84" t="s">
        <v>40</v>
      </c>
      <c r="B84" s="60" t="s">
        <v>468</v>
      </c>
      <c r="C84" s="60" t="s">
        <v>454</v>
      </c>
      <c r="D84" s="60"/>
      <c r="E84" s="60"/>
      <c r="F84" s="60"/>
      <c r="G84" s="60">
        <v>23.3</v>
      </c>
      <c r="H84" s="60"/>
      <c r="I84" s="60"/>
      <c r="J84" s="60"/>
      <c r="K84" s="60"/>
      <c r="L84" s="60"/>
      <c r="M84" s="60"/>
      <c r="N84" s="60"/>
      <c r="O84" s="60">
        <f t="shared" si="12"/>
        <v>23.3</v>
      </c>
      <c r="P84" s="61"/>
      <c r="Q84" s="62"/>
      <c r="R84" s="63"/>
      <c r="S84" s="63"/>
      <c r="T84" s="63"/>
      <c r="U84" s="63"/>
      <c r="V84" s="63"/>
      <c r="W84" s="63"/>
      <c r="X84" s="63"/>
      <c r="Y84" s="63"/>
      <c r="Z84" s="63"/>
      <c r="AA84" s="63"/>
      <c r="AB84" s="63"/>
      <c r="AC84" s="63"/>
    </row>
    <row r="85" spans="1:29" ht="16" customHeight="1">
      <c r="A85" t="s">
        <v>40</v>
      </c>
      <c r="B85" s="60" t="s">
        <v>468</v>
      </c>
      <c r="C85" s="60" t="s">
        <v>455</v>
      </c>
      <c r="D85" s="60">
        <v>62.8</v>
      </c>
      <c r="E85" s="60"/>
      <c r="F85" s="60">
        <v>61.814999999999998</v>
      </c>
      <c r="G85" s="60">
        <f>1.32+4.755</f>
        <v>6.0750000000000002</v>
      </c>
      <c r="H85" s="60"/>
      <c r="I85" s="60">
        <f>9.51</f>
        <v>9.51</v>
      </c>
      <c r="J85" s="60"/>
      <c r="K85" s="60"/>
      <c r="L85" s="60"/>
      <c r="M85" s="60"/>
      <c r="N85" s="60"/>
      <c r="O85" s="60">
        <f t="shared" si="12"/>
        <v>140.19999999999999</v>
      </c>
      <c r="P85" s="61"/>
      <c r="Q85" s="62"/>
      <c r="R85" s="63"/>
      <c r="S85" s="63"/>
      <c r="T85" s="63"/>
      <c r="U85" s="63"/>
      <c r="V85" s="63"/>
      <c r="W85" s="63"/>
      <c r="X85" s="63"/>
      <c r="Y85" s="63"/>
      <c r="Z85" s="63"/>
      <c r="AA85" s="63"/>
      <c r="AB85" s="63"/>
      <c r="AC85" s="63"/>
    </row>
    <row r="86" spans="1:29" ht="16" customHeight="1">
      <c r="A86" t="s">
        <v>40</v>
      </c>
      <c r="B86" s="60" t="s">
        <v>468</v>
      </c>
      <c r="C86" s="60" t="s">
        <v>456</v>
      </c>
      <c r="D86" s="60">
        <v>39.119999999999997</v>
      </c>
      <c r="E86" s="60">
        <v>9.7799999999999994</v>
      </c>
      <c r="F86" s="60"/>
      <c r="G86" s="60"/>
      <c r="H86" s="60"/>
      <c r="I86" s="60"/>
      <c r="J86" s="60"/>
      <c r="K86" s="60"/>
      <c r="L86" s="60"/>
      <c r="M86" s="60"/>
      <c r="N86" s="60"/>
      <c r="O86" s="60">
        <f t="shared" si="12"/>
        <v>48.9</v>
      </c>
      <c r="P86" s="61"/>
      <c r="Q86" s="62"/>
      <c r="R86" s="63"/>
      <c r="S86" s="63"/>
      <c r="T86" s="63"/>
      <c r="U86" s="63"/>
      <c r="V86" s="63"/>
      <c r="W86" s="63"/>
      <c r="X86" s="63"/>
      <c r="Y86" s="63"/>
      <c r="Z86" s="63"/>
      <c r="AA86" s="63"/>
      <c r="AB86" s="63"/>
      <c r="AC86" s="63"/>
    </row>
    <row r="87" spans="1:29" ht="16" customHeight="1">
      <c r="A87" t="s">
        <v>40</v>
      </c>
      <c r="B87" s="60" t="s">
        <v>468</v>
      </c>
      <c r="C87" s="60" t="s">
        <v>457</v>
      </c>
      <c r="D87" s="60">
        <v>74.3</v>
      </c>
      <c r="E87" s="60"/>
      <c r="F87" s="60"/>
      <c r="G87" s="60">
        <v>37.28</v>
      </c>
      <c r="H87" s="60"/>
      <c r="I87" s="60"/>
      <c r="J87" s="60"/>
      <c r="K87" s="60"/>
      <c r="L87" s="60"/>
      <c r="M87" s="60"/>
      <c r="N87" s="60"/>
      <c r="O87" s="60">
        <f t="shared" si="12"/>
        <v>111.58</v>
      </c>
      <c r="P87" s="61"/>
      <c r="Q87" s="62"/>
      <c r="R87" s="63"/>
      <c r="S87" s="63"/>
      <c r="T87" s="63"/>
      <c r="U87" s="63"/>
      <c r="V87" s="63"/>
      <c r="W87" s="63"/>
      <c r="X87" s="63"/>
      <c r="Y87" s="63"/>
      <c r="Z87" s="63"/>
      <c r="AA87" s="63"/>
      <c r="AB87" s="63"/>
      <c r="AC87" s="63"/>
    </row>
    <row r="88" spans="1:29" ht="16" customHeight="1">
      <c r="A88" t="s">
        <v>40</v>
      </c>
      <c r="B88" s="60" t="s">
        <v>468</v>
      </c>
      <c r="C88" s="60" t="s">
        <v>458</v>
      </c>
      <c r="D88" s="60"/>
      <c r="E88" s="60"/>
      <c r="F88" s="60"/>
      <c r="G88" s="60"/>
      <c r="H88" s="60"/>
      <c r="I88" s="60">
        <f>288.3</f>
        <v>288.3</v>
      </c>
      <c r="J88" s="60"/>
      <c r="K88" s="60"/>
      <c r="L88" s="60"/>
      <c r="M88" s="60"/>
      <c r="N88" s="60">
        <f>46.3</f>
        <v>46.3</v>
      </c>
      <c r="O88" s="60">
        <f t="shared" si="12"/>
        <v>334.6</v>
      </c>
      <c r="P88" s="61"/>
      <c r="Q88" s="62"/>
      <c r="R88" s="63"/>
      <c r="S88" s="63"/>
      <c r="T88" s="63"/>
      <c r="U88" s="63"/>
      <c r="V88" s="63"/>
      <c r="W88" s="63"/>
      <c r="X88" s="63"/>
      <c r="Y88" s="63"/>
      <c r="Z88" s="63"/>
      <c r="AA88" s="63"/>
      <c r="AB88" s="63"/>
      <c r="AC88" s="63"/>
    </row>
    <row r="89" spans="1:29" ht="16" customHeight="1">
      <c r="A89" t="s">
        <v>40</v>
      </c>
      <c r="B89" s="60" t="s">
        <v>468</v>
      </c>
      <c r="C89" s="60" t="s">
        <v>459</v>
      </c>
      <c r="D89" s="60">
        <v>12.84</v>
      </c>
      <c r="E89" s="60">
        <v>26.16</v>
      </c>
      <c r="F89" s="60">
        <v>29.3</v>
      </c>
      <c r="G89" s="60">
        <f>52.1+7.26</f>
        <v>59.36</v>
      </c>
      <c r="H89" s="60"/>
      <c r="I89" s="60">
        <f>15.94</f>
        <v>15.94</v>
      </c>
      <c r="J89" s="60"/>
      <c r="K89" s="60"/>
      <c r="L89" s="60"/>
      <c r="M89" s="60"/>
      <c r="N89" s="60"/>
      <c r="O89" s="60">
        <f t="shared" si="12"/>
        <v>143.6</v>
      </c>
      <c r="P89" s="61"/>
      <c r="Q89" s="62"/>
      <c r="R89" s="63"/>
      <c r="S89" s="63"/>
      <c r="T89" s="63"/>
      <c r="U89" s="63"/>
      <c r="V89" s="63"/>
      <c r="W89" s="63"/>
      <c r="X89" s="63"/>
      <c r="Y89" s="63"/>
      <c r="Z89" s="63"/>
      <c r="AA89" s="63"/>
      <c r="AB89" s="63"/>
      <c r="AC89" s="63"/>
    </row>
    <row r="90" spans="1:29" ht="16" customHeight="1">
      <c r="A90" t="s">
        <v>40</v>
      </c>
      <c r="B90" s="60" t="s">
        <v>468</v>
      </c>
      <c r="C90" s="60" t="s">
        <v>382</v>
      </c>
      <c r="D90" s="60"/>
      <c r="E90" s="60"/>
      <c r="F90" s="60"/>
      <c r="G90" s="60">
        <f>27.6</f>
        <v>27.6</v>
      </c>
      <c r="H90" s="60"/>
      <c r="I90" s="60"/>
      <c r="J90" s="60"/>
      <c r="K90" s="60"/>
      <c r="L90" s="60"/>
      <c r="M90" s="60"/>
      <c r="N90" s="60"/>
      <c r="O90" s="60">
        <f t="shared" si="12"/>
        <v>27.6</v>
      </c>
      <c r="P90" s="61"/>
      <c r="Q90" s="62"/>
      <c r="R90" s="63"/>
      <c r="S90" s="63"/>
      <c r="T90" s="63"/>
      <c r="U90" s="63"/>
      <c r="V90" s="63"/>
      <c r="W90" s="63"/>
      <c r="X90" s="63"/>
      <c r="Y90" s="63"/>
      <c r="Z90" s="63"/>
      <c r="AA90" s="63"/>
      <c r="AB90" s="63"/>
      <c r="AC90" s="63"/>
    </row>
    <row r="91" spans="1:29" ht="16" customHeight="1">
      <c r="A91" t="s">
        <v>40</v>
      </c>
      <c r="B91" s="60" t="s">
        <v>468</v>
      </c>
      <c r="C91" s="60" t="s">
        <v>460</v>
      </c>
      <c r="D91" s="60">
        <v>74.484999999999999</v>
      </c>
      <c r="E91" s="60"/>
      <c r="F91" s="60">
        <v>13.7</v>
      </c>
      <c r="G91" s="60">
        <f>124.765+28.46</f>
        <v>153.22499999999999</v>
      </c>
      <c r="H91" s="60"/>
      <c r="I91" s="60">
        <f>31.74</f>
        <v>31.74</v>
      </c>
      <c r="J91" s="60"/>
      <c r="K91" s="60"/>
      <c r="L91" s="60"/>
      <c r="M91" s="60"/>
      <c r="N91" s="60">
        <f>10.8</f>
        <v>10.8</v>
      </c>
      <c r="O91" s="60">
        <f t="shared" si="12"/>
        <v>283.95</v>
      </c>
      <c r="P91" s="61"/>
      <c r="Q91" s="62"/>
      <c r="R91" s="63"/>
      <c r="S91" s="63"/>
      <c r="T91" s="63"/>
      <c r="U91" s="63"/>
      <c r="V91" s="63"/>
      <c r="W91" s="63"/>
      <c r="X91" s="63"/>
      <c r="Y91" s="63"/>
      <c r="Z91" s="63"/>
      <c r="AA91" s="63"/>
      <c r="AB91" s="63"/>
      <c r="AC91" s="63"/>
    </row>
    <row r="92" spans="1:29" ht="16" customHeight="1">
      <c r="A92" t="s">
        <v>40</v>
      </c>
      <c r="B92" s="60" t="s">
        <v>468</v>
      </c>
      <c r="C92" s="55" t="s">
        <v>448</v>
      </c>
      <c r="D92" s="60">
        <f t="shared" ref="D92:J92" si="13">SUM(D80:D91)</f>
        <v>543.15499999999997</v>
      </c>
      <c r="E92" s="60">
        <f t="shared" si="13"/>
        <v>45.3</v>
      </c>
      <c r="F92" s="60">
        <f t="shared" si="13"/>
        <v>109.855</v>
      </c>
      <c r="G92" s="60">
        <f t="shared" si="13"/>
        <v>592.31000000000006</v>
      </c>
      <c r="H92" s="60">
        <f t="shared" si="13"/>
        <v>274.89999999999998</v>
      </c>
      <c r="I92" s="60">
        <f t="shared" si="13"/>
        <v>356.99</v>
      </c>
      <c r="J92" s="60">
        <f t="shared" si="13"/>
        <v>363.6</v>
      </c>
      <c r="K92" s="60"/>
      <c r="L92" s="60"/>
      <c r="M92" s="60">
        <f>SUM(M80:M91)</f>
        <v>69.400000000000006</v>
      </c>
      <c r="N92" s="60">
        <f>SUM(N80:N91)</f>
        <v>81.125</v>
      </c>
      <c r="O92" s="60">
        <f>SUM(D92:N92)</f>
        <v>2436.6350000000002</v>
      </c>
      <c r="P92" s="61"/>
      <c r="Q92" s="62"/>
      <c r="R92" s="63"/>
      <c r="S92" s="63"/>
      <c r="T92" s="63"/>
      <c r="U92" s="63"/>
      <c r="V92" s="63"/>
      <c r="W92" s="63"/>
      <c r="X92" s="63"/>
      <c r="Y92" s="63"/>
      <c r="Z92" s="63"/>
      <c r="AA92" s="63"/>
      <c r="AB92" s="63"/>
      <c r="AC92" s="63"/>
    </row>
    <row r="93" spans="1:29" ht="16" customHeight="1">
      <c r="A93" t="s">
        <v>40</v>
      </c>
      <c r="B93" s="60" t="s">
        <v>469</v>
      </c>
      <c r="C93" s="60" t="s">
        <v>450</v>
      </c>
      <c r="D93" s="60"/>
      <c r="E93" s="60"/>
      <c r="F93" s="60">
        <v>3.92</v>
      </c>
      <c r="G93" s="60">
        <v>32.9</v>
      </c>
      <c r="H93" s="60">
        <v>265.2</v>
      </c>
      <c r="I93" s="60">
        <v>8.6</v>
      </c>
      <c r="J93" s="60"/>
      <c r="K93" s="60"/>
      <c r="L93" s="60"/>
      <c r="M93" s="60"/>
      <c r="N93" s="60">
        <v>0.98</v>
      </c>
      <c r="O93" s="60">
        <f t="shared" ref="O93:O104" si="14">SUM(D93:N93)</f>
        <v>311.60000000000002</v>
      </c>
      <c r="P93" s="61"/>
      <c r="Q93" s="62"/>
      <c r="R93" s="63"/>
      <c r="S93" s="63"/>
      <c r="T93" s="63"/>
      <c r="U93" s="63"/>
      <c r="V93" s="63"/>
      <c r="W93" s="63"/>
      <c r="X93" s="63"/>
      <c r="Y93" s="63"/>
      <c r="Z93" s="63"/>
      <c r="AA93" s="63"/>
      <c r="AB93" s="63"/>
      <c r="AC93" s="63"/>
    </row>
    <row r="94" spans="1:29" ht="16" customHeight="1">
      <c r="A94" t="s">
        <v>40</v>
      </c>
      <c r="B94" s="60" t="s">
        <v>469</v>
      </c>
      <c r="C94" s="60" t="s">
        <v>451</v>
      </c>
      <c r="D94" s="60">
        <v>10.199999999999999</v>
      </c>
      <c r="E94" s="60"/>
      <c r="F94" s="60">
        <v>10.199999999999999</v>
      </c>
      <c r="G94" s="60">
        <v>154.80000000000001</v>
      </c>
      <c r="H94" s="60"/>
      <c r="I94" s="60"/>
      <c r="J94" s="60"/>
      <c r="K94" s="60"/>
      <c r="L94" s="60"/>
      <c r="M94" s="60"/>
      <c r="N94" s="60">
        <v>6.3</v>
      </c>
      <c r="O94" s="60">
        <f t="shared" si="14"/>
        <v>181.50000000000003</v>
      </c>
      <c r="P94" s="61"/>
      <c r="Q94" s="62"/>
      <c r="R94" s="63"/>
      <c r="S94" s="63"/>
      <c r="T94" s="63"/>
      <c r="U94" s="63"/>
      <c r="V94" s="63"/>
      <c r="W94" s="63"/>
      <c r="X94" s="63"/>
      <c r="Y94" s="63"/>
      <c r="Z94" s="63"/>
      <c r="AA94" s="63"/>
      <c r="AB94" s="63"/>
      <c r="AC94" s="63"/>
    </row>
    <row r="95" spans="1:29" ht="16" customHeight="1">
      <c r="A95" t="s">
        <v>40</v>
      </c>
      <c r="B95" s="60" t="s">
        <v>469</v>
      </c>
      <c r="C95" s="60" t="s">
        <v>452</v>
      </c>
      <c r="D95" s="60">
        <v>6.4</v>
      </c>
      <c r="E95" s="60">
        <v>6.5</v>
      </c>
      <c r="F95" s="60">
        <v>1.7</v>
      </c>
      <c r="G95" s="60">
        <v>181.4</v>
      </c>
      <c r="H95" s="60"/>
      <c r="I95" s="60"/>
      <c r="J95" s="60"/>
      <c r="K95" s="60"/>
      <c r="L95" s="60"/>
      <c r="M95" s="60"/>
      <c r="N95" s="60">
        <v>0.2</v>
      </c>
      <c r="O95" s="60">
        <f t="shared" si="14"/>
        <v>196.2</v>
      </c>
      <c r="P95" s="61"/>
      <c r="Q95" s="62"/>
      <c r="R95" s="63"/>
      <c r="S95" s="63"/>
      <c r="T95" s="63"/>
      <c r="U95" s="63"/>
      <c r="V95" s="63"/>
      <c r="W95" s="63"/>
      <c r="X95" s="63"/>
      <c r="Y95" s="63"/>
      <c r="Z95" s="63"/>
      <c r="AA95" s="63"/>
      <c r="AB95" s="63"/>
      <c r="AC95" s="63"/>
    </row>
    <row r="96" spans="1:29" ht="16" customHeight="1">
      <c r="A96" t="s">
        <v>40</v>
      </c>
      <c r="B96" s="60" t="s">
        <v>469</v>
      </c>
      <c r="C96" s="60" t="s">
        <v>453</v>
      </c>
      <c r="D96" s="60">
        <v>5.2</v>
      </c>
      <c r="E96" s="60"/>
      <c r="F96" s="60">
        <v>65</v>
      </c>
      <c r="G96" s="60">
        <f>114.7+105.2</f>
        <v>219.9</v>
      </c>
      <c r="H96" s="60"/>
      <c r="I96" s="60">
        <v>26.6</v>
      </c>
      <c r="J96" s="60">
        <v>208.1</v>
      </c>
      <c r="K96" s="60"/>
      <c r="L96" s="60"/>
      <c r="M96" s="60"/>
      <c r="N96" s="60">
        <v>13.1</v>
      </c>
      <c r="O96" s="60">
        <f t="shared" si="14"/>
        <v>537.90000000000009</v>
      </c>
      <c r="P96" s="61"/>
      <c r="Q96" s="62"/>
      <c r="R96" s="63"/>
      <c r="S96" s="63"/>
      <c r="T96" s="63"/>
      <c r="U96" s="63"/>
      <c r="V96" s="63"/>
      <c r="W96" s="63"/>
      <c r="X96" s="63"/>
      <c r="Y96" s="63"/>
      <c r="Z96" s="63"/>
      <c r="AA96" s="63"/>
      <c r="AB96" s="63"/>
      <c r="AC96" s="63"/>
    </row>
    <row r="97" spans="1:29" ht="16" customHeight="1">
      <c r="A97" t="s">
        <v>40</v>
      </c>
      <c r="B97" s="60" t="s">
        <v>469</v>
      </c>
      <c r="C97" s="60" t="s">
        <v>454</v>
      </c>
      <c r="D97" s="60"/>
      <c r="E97" s="60">
        <v>0.75</v>
      </c>
      <c r="F97" s="60">
        <v>2.5499999999999998</v>
      </c>
      <c r="G97" s="60">
        <v>18.95</v>
      </c>
      <c r="H97" s="60"/>
      <c r="I97" s="60">
        <v>0.45</v>
      </c>
      <c r="J97" s="60"/>
      <c r="K97" s="60"/>
      <c r="L97" s="60"/>
      <c r="M97" s="60"/>
      <c r="N97" s="60">
        <v>0.2</v>
      </c>
      <c r="O97" s="60">
        <f t="shared" si="14"/>
        <v>22.9</v>
      </c>
      <c r="P97" s="61"/>
      <c r="Q97" s="62"/>
      <c r="R97" s="63"/>
      <c r="S97" s="63"/>
      <c r="T97" s="63"/>
      <c r="U97" s="63"/>
      <c r="V97" s="63"/>
      <c r="W97" s="63"/>
      <c r="X97" s="63"/>
      <c r="Y97" s="63"/>
      <c r="Z97" s="63"/>
      <c r="AA97" s="63"/>
      <c r="AB97" s="63"/>
      <c r="AC97" s="63"/>
    </row>
    <row r="98" spans="1:29" ht="16" customHeight="1">
      <c r="A98" t="s">
        <v>40</v>
      </c>
      <c r="B98" s="60" t="s">
        <v>469</v>
      </c>
      <c r="C98" s="60" t="s">
        <v>455</v>
      </c>
      <c r="D98" s="60">
        <v>50.3</v>
      </c>
      <c r="E98" s="60"/>
      <c r="F98" s="60">
        <v>38</v>
      </c>
      <c r="G98" s="60">
        <v>7.05</v>
      </c>
      <c r="H98" s="60"/>
      <c r="I98" s="60">
        <v>14.6</v>
      </c>
      <c r="J98" s="60"/>
      <c r="K98" s="60"/>
      <c r="L98" s="60"/>
      <c r="M98" s="60"/>
      <c r="N98" s="60">
        <f>3.4+4.9</f>
        <v>8.3000000000000007</v>
      </c>
      <c r="O98" s="60">
        <f t="shared" si="14"/>
        <v>118.24999999999999</v>
      </c>
      <c r="P98" s="61"/>
      <c r="Q98" s="62"/>
      <c r="R98" s="63"/>
      <c r="S98" s="63"/>
      <c r="T98" s="63"/>
      <c r="U98" s="63"/>
      <c r="V98" s="63"/>
      <c r="W98" s="63"/>
      <c r="X98" s="63"/>
      <c r="Y98" s="63"/>
      <c r="Z98" s="63"/>
      <c r="AA98" s="63"/>
      <c r="AB98" s="63"/>
      <c r="AC98" s="63"/>
    </row>
    <row r="99" spans="1:29" ht="16" customHeight="1">
      <c r="A99" t="s">
        <v>40</v>
      </c>
      <c r="B99" s="60" t="s">
        <v>469</v>
      </c>
      <c r="C99" s="60" t="s">
        <v>456</v>
      </c>
      <c r="D99" s="60">
        <v>45.6</v>
      </c>
      <c r="E99" s="60">
        <v>45.6</v>
      </c>
      <c r="F99" s="60">
        <v>0.4</v>
      </c>
      <c r="G99" s="60"/>
      <c r="H99" s="60"/>
      <c r="I99" s="60">
        <v>6.2</v>
      </c>
      <c r="J99" s="60"/>
      <c r="K99" s="60"/>
      <c r="L99" s="60"/>
      <c r="M99" s="60"/>
      <c r="N99" s="60">
        <v>0.3</v>
      </c>
      <c r="O99" s="60">
        <f t="shared" si="14"/>
        <v>98.100000000000009</v>
      </c>
      <c r="P99" s="61"/>
      <c r="Q99" s="62"/>
      <c r="R99" s="63"/>
      <c r="S99" s="63"/>
      <c r="T99" s="63"/>
      <c r="U99" s="63"/>
      <c r="V99" s="63"/>
      <c r="W99" s="63"/>
      <c r="X99" s="63"/>
      <c r="Y99" s="63"/>
      <c r="Z99" s="63"/>
      <c r="AA99" s="63"/>
      <c r="AB99" s="63"/>
      <c r="AC99" s="63"/>
    </row>
    <row r="100" spans="1:29" ht="16" customHeight="1">
      <c r="A100" t="s">
        <v>40</v>
      </c>
      <c r="B100" s="60" t="s">
        <v>469</v>
      </c>
      <c r="C100" s="60" t="s">
        <v>457</v>
      </c>
      <c r="D100" s="60">
        <v>77.599999999999994</v>
      </c>
      <c r="E100" s="60"/>
      <c r="F100" s="60">
        <v>2.1</v>
      </c>
      <c r="G100" s="60">
        <v>37</v>
      </c>
      <c r="H100" s="60"/>
      <c r="I100" s="60"/>
      <c r="J100" s="60"/>
      <c r="K100" s="60"/>
      <c r="L100" s="60"/>
      <c r="M100" s="60"/>
      <c r="N100" s="60">
        <v>17.100000000000001</v>
      </c>
      <c r="O100" s="60">
        <f t="shared" si="14"/>
        <v>133.79999999999998</v>
      </c>
      <c r="P100" s="61"/>
      <c r="Q100" s="62"/>
      <c r="R100" s="63"/>
      <c r="S100" s="63"/>
      <c r="T100" s="63"/>
      <c r="U100" s="63"/>
      <c r="V100" s="63"/>
      <c r="W100" s="63"/>
      <c r="X100" s="63"/>
      <c r="Y100" s="63"/>
      <c r="Z100" s="63"/>
      <c r="AA100" s="63"/>
      <c r="AB100" s="63"/>
      <c r="AC100" s="63"/>
    </row>
    <row r="101" spans="1:29" ht="16" customHeight="1">
      <c r="A101" t="s">
        <v>40</v>
      </c>
      <c r="B101" s="60" t="s">
        <v>469</v>
      </c>
      <c r="C101" s="60" t="s">
        <v>458</v>
      </c>
      <c r="D101" s="60"/>
      <c r="E101" s="60">
        <v>2.6</v>
      </c>
      <c r="F101" s="60">
        <f>10.2+4.6</f>
        <v>14.799999999999999</v>
      </c>
      <c r="G101" s="60">
        <v>109</v>
      </c>
      <c r="H101" s="60"/>
      <c r="I101" s="60">
        <v>231.2</v>
      </c>
      <c r="J101" s="60"/>
      <c r="K101" s="60"/>
      <c r="L101" s="60"/>
      <c r="M101" s="60"/>
      <c r="N101" s="60">
        <v>4.2</v>
      </c>
      <c r="O101" s="60">
        <f t="shared" si="14"/>
        <v>361.8</v>
      </c>
      <c r="P101" s="61"/>
      <c r="Q101" s="62"/>
      <c r="R101" s="63"/>
      <c r="S101" s="63"/>
      <c r="T101" s="63"/>
      <c r="U101" s="63"/>
      <c r="V101" s="63"/>
      <c r="W101" s="63"/>
      <c r="X101" s="63"/>
      <c r="Y101" s="63"/>
      <c r="Z101" s="63"/>
      <c r="AA101" s="63"/>
      <c r="AB101" s="63"/>
      <c r="AC101" s="63"/>
    </row>
    <row r="102" spans="1:29" ht="16" customHeight="1">
      <c r="A102" t="s">
        <v>40</v>
      </c>
      <c r="B102" s="60" t="s">
        <v>469</v>
      </c>
      <c r="C102" s="60" t="s">
        <v>459</v>
      </c>
      <c r="D102" s="60">
        <v>75</v>
      </c>
      <c r="E102" s="60">
        <v>4.5999999999999996</v>
      </c>
      <c r="F102" s="60">
        <v>72.400000000000006</v>
      </c>
      <c r="G102" s="60">
        <v>58</v>
      </c>
      <c r="H102" s="60"/>
      <c r="I102" s="60">
        <v>20.7</v>
      </c>
      <c r="J102" s="60"/>
      <c r="K102" s="60"/>
      <c r="L102" s="60"/>
      <c r="M102" s="60"/>
      <c r="N102" s="60"/>
      <c r="O102" s="60">
        <f t="shared" si="14"/>
        <v>230.7</v>
      </c>
      <c r="P102" s="61"/>
      <c r="Q102" s="62"/>
      <c r="R102" s="63"/>
      <c r="S102" s="63"/>
      <c r="T102" s="63"/>
      <c r="U102" s="63"/>
      <c r="V102" s="63"/>
      <c r="W102" s="63"/>
      <c r="X102" s="63"/>
      <c r="Y102" s="63"/>
      <c r="Z102" s="63"/>
      <c r="AA102" s="63"/>
      <c r="AB102" s="63"/>
      <c r="AC102" s="63"/>
    </row>
    <row r="103" spans="1:29" ht="16" customHeight="1">
      <c r="A103" t="s">
        <v>40</v>
      </c>
      <c r="B103" s="60" t="s">
        <v>469</v>
      </c>
      <c r="C103" s="60" t="s">
        <v>382</v>
      </c>
      <c r="D103" s="60"/>
      <c r="E103" s="60">
        <v>0.1</v>
      </c>
      <c r="F103" s="60">
        <v>4.3</v>
      </c>
      <c r="G103" s="60">
        <v>15.9</v>
      </c>
      <c r="H103" s="60"/>
      <c r="I103" s="60"/>
      <c r="J103" s="60"/>
      <c r="K103" s="60"/>
      <c r="L103" s="60"/>
      <c r="M103" s="60"/>
      <c r="N103" s="60">
        <v>0.8</v>
      </c>
      <c r="O103" s="60">
        <f t="shared" si="14"/>
        <v>21.1</v>
      </c>
      <c r="P103" s="61"/>
      <c r="Q103" s="62"/>
      <c r="R103" s="63"/>
      <c r="S103" s="63"/>
      <c r="T103" s="63"/>
      <c r="U103" s="63"/>
      <c r="V103" s="63"/>
      <c r="W103" s="63"/>
      <c r="X103" s="63"/>
      <c r="Y103" s="63"/>
      <c r="Z103" s="63"/>
      <c r="AA103" s="63"/>
      <c r="AB103" s="63"/>
      <c r="AC103" s="63"/>
    </row>
    <row r="104" spans="1:29" ht="16" customHeight="1">
      <c r="A104" t="s">
        <v>40</v>
      </c>
      <c r="B104" s="60" t="s">
        <v>469</v>
      </c>
      <c r="C104" s="60" t="s">
        <v>460</v>
      </c>
      <c r="D104" s="60">
        <f>1.5+7.32+5.7</f>
        <v>14.52</v>
      </c>
      <c r="E104" s="60">
        <v>2.1</v>
      </c>
      <c r="F104" s="60">
        <f>0.2+6.8+1.2</f>
        <v>8.1999999999999993</v>
      </c>
      <c r="G104" s="60">
        <f>9.76+140.8</f>
        <v>150.56</v>
      </c>
      <c r="H104" s="60"/>
      <c r="I104" s="60">
        <f>16.5+11.9+3.2+15.4</f>
        <v>47</v>
      </c>
      <c r="J104" s="60"/>
      <c r="K104" s="60"/>
      <c r="L104" s="60"/>
      <c r="M104" s="60">
        <v>1.1000000000000001</v>
      </c>
      <c r="N104" s="60">
        <f>3.4+0.4+0.4+7.32+0.2</f>
        <v>11.719999999999999</v>
      </c>
      <c r="O104" s="60">
        <f t="shared" si="14"/>
        <v>235.2</v>
      </c>
      <c r="P104" s="61"/>
      <c r="Q104" s="62"/>
      <c r="R104" s="63"/>
      <c r="S104" s="63"/>
      <c r="T104" s="63"/>
      <c r="U104" s="63"/>
      <c r="V104" s="63"/>
      <c r="W104" s="63"/>
      <c r="X104" s="63"/>
      <c r="Y104" s="63"/>
      <c r="Z104" s="63"/>
      <c r="AA104" s="63"/>
      <c r="AB104" s="63"/>
      <c r="AC104" s="63"/>
    </row>
    <row r="105" spans="1:29" ht="16" customHeight="1">
      <c r="A105" t="s">
        <v>40</v>
      </c>
      <c r="B105" s="60" t="s">
        <v>469</v>
      </c>
      <c r="C105" s="55" t="s">
        <v>448</v>
      </c>
      <c r="D105" s="60">
        <f t="shared" ref="D105:J105" si="15">SUM(D93:D104)</f>
        <v>284.81999999999994</v>
      </c>
      <c r="E105" s="60">
        <f t="shared" si="15"/>
        <v>62.250000000000007</v>
      </c>
      <c r="F105" s="60">
        <f t="shared" si="15"/>
        <v>223.57</v>
      </c>
      <c r="G105" s="60">
        <f t="shared" si="15"/>
        <v>985.46</v>
      </c>
      <c r="H105" s="60">
        <f t="shared" si="15"/>
        <v>265.2</v>
      </c>
      <c r="I105" s="60">
        <f t="shared" si="15"/>
        <v>355.34999999999997</v>
      </c>
      <c r="J105" s="60">
        <f t="shared" si="15"/>
        <v>208.1</v>
      </c>
      <c r="K105" s="60"/>
      <c r="L105" s="60"/>
      <c r="M105" s="60">
        <f>SUM(M93:M104)</f>
        <v>1.1000000000000001</v>
      </c>
      <c r="N105" s="60">
        <f>SUM(N93:N104)</f>
        <v>63.2</v>
      </c>
      <c r="O105" s="60">
        <f>SUM(O93:O104)</f>
        <v>2449.0499999999997</v>
      </c>
      <c r="P105" s="61"/>
      <c r="Q105" s="62"/>
      <c r="R105" s="63"/>
      <c r="S105" s="63"/>
      <c r="T105" s="63"/>
      <c r="U105" s="63"/>
      <c r="V105" s="63"/>
      <c r="W105" s="63"/>
      <c r="X105" s="63"/>
      <c r="Y105" s="63"/>
      <c r="Z105" s="63"/>
      <c r="AA105" s="63"/>
      <c r="AB105" s="63"/>
      <c r="AC105" s="63"/>
    </row>
    <row r="106" spans="1:29" ht="16" customHeight="1">
      <c r="A106" t="s">
        <v>40</v>
      </c>
      <c r="B106" s="60" t="s">
        <v>470</v>
      </c>
      <c r="C106" s="60" t="s">
        <v>450</v>
      </c>
      <c r="D106" s="60"/>
      <c r="E106" s="60"/>
      <c r="F106" s="60">
        <v>5.4</v>
      </c>
      <c r="G106" s="60">
        <v>75.900000000000006</v>
      </c>
      <c r="H106" s="60">
        <v>413.2</v>
      </c>
      <c r="I106" s="60">
        <v>6.6</v>
      </c>
      <c r="J106" s="60"/>
      <c r="K106" s="60"/>
      <c r="L106" s="60"/>
      <c r="M106" s="60"/>
      <c r="N106" s="60">
        <v>4</v>
      </c>
      <c r="O106" s="60">
        <f t="shared" ref="O106:O117" si="16">SUM(D106:N106)</f>
        <v>505.1</v>
      </c>
      <c r="P106" s="61"/>
      <c r="Q106" s="62"/>
      <c r="R106" s="63"/>
      <c r="S106" s="63"/>
      <c r="T106" s="63"/>
      <c r="U106" s="63"/>
      <c r="V106" s="63"/>
      <c r="W106" s="63"/>
      <c r="X106" s="63"/>
      <c r="Y106" s="63"/>
      <c r="Z106" s="63"/>
      <c r="AA106" s="63"/>
      <c r="AB106" s="63"/>
      <c r="AC106" s="63"/>
    </row>
    <row r="107" spans="1:29" ht="16" customHeight="1">
      <c r="A107" t="s">
        <v>40</v>
      </c>
      <c r="B107" s="60" t="s">
        <v>470</v>
      </c>
      <c r="C107" s="60" t="s">
        <v>451</v>
      </c>
      <c r="D107" s="60"/>
      <c r="E107" s="60"/>
      <c r="F107" s="60">
        <v>3.7</v>
      </c>
      <c r="G107" s="60"/>
      <c r="H107" s="60"/>
      <c r="I107" s="60"/>
      <c r="J107" s="60"/>
      <c r="K107" s="60"/>
      <c r="L107" s="60"/>
      <c r="M107" s="60">
        <v>246.3</v>
      </c>
      <c r="N107" s="60">
        <v>14.3</v>
      </c>
      <c r="O107" s="60">
        <f t="shared" si="16"/>
        <v>264.3</v>
      </c>
      <c r="P107" s="61"/>
      <c r="Q107" s="62"/>
      <c r="R107" s="63"/>
      <c r="S107" s="63"/>
      <c r="T107" s="63"/>
      <c r="U107" s="63"/>
      <c r="V107" s="63"/>
      <c r="W107" s="63"/>
      <c r="X107" s="63"/>
      <c r="Y107" s="63"/>
      <c r="Z107" s="63"/>
      <c r="AA107" s="63"/>
      <c r="AB107" s="63"/>
      <c r="AC107" s="63"/>
    </row>
    <row r="108" spans="1:29" ht="16" customHeight="1">
      <c r="A108" t="s">
        <v>40</v>
      </c>
      <c r="B108" s="60" t="s">
        <v>470</v>
      </c>
      <c r="C108" s="60" t="s">
        <v>452</v>
      </c>
      <c r="D108" s="60"/>
      <c r="E108" s="60"/>
      <c r="F108" s="60">
        <v>3.4</v>
      </c>
      <c r="G108" s="60">
        <v>14.7</v>
      </c>
      <c r="H108" s="60"/>
      <c r="I108" s="60"/>
      <c r="J108" s="60"/>
      <c r="K108" s="60"/>
      <c r="L108" s="60"/>
      <c r="M108" s="60">
        <v>159.80000000000001</v>
      </c>
      <c r="N108" s="60">
        <v>0.8</v>
      </c>
      <c r="O108" s="60">
        <f t="shared" si="16"/>
        <v>178.70000000000002</v>
      </c>
      <c r="P108" s="61"/>
      <c r="Q108" s="62"/>
      <c r="R108" s="63"/>
      <c r="S108" s="63"/>
      <c r="T108" s="63"/>
      <c r="U108" s="63"/>
      <c r="V108" s="63"/>
      <c r="W108" s="63"/>
      <c r="X108" s="63"/>
      <c r="Y108" s="63"/>
      <c r="Z108" s="63"/>
      <c r="AA108" s="63"/>
      <c r="AB108" s="63"/>
      <c r="AC108" s="63"/>
    </row>
    <row r="109" spans="1:29" ht="16" customHeight="1">
      <c r="A109" t="s">
        <v>40</v>
      </c>
      <c r="B109" s="60" t="s">
        <v>470</v>
      </c>
      <c r="C109" s="60" t="s">
        <v>453</v>
      </c>
      <c r="D109" s="60">
        <v>4</v>
      </c>
      <c r="E109" s="60">
        <v>24.6</v>
      </c>
      <c r="F109" s="60">
        <v>105.2</v>
      </c>
      <c r="G109" s="60">
        <f>94.1+100</f>
        <v>194.1</v>
      </c>
      <c r="H109" s="60"/>
      <c r="I109" s="60">
        <v>20.9</v>
      </c>
      <c r="J109" s="60">
        <v>190</v>
      </c>
      <c r="K109" s="60"/>
      <c r="L109" s="60"/>
      <c r="M109" s="60"/>
      <c r="N109" s="60">
        <v>9.9</v>
      </c>
      <c r="O109" s="60">
        <f t="shared" si="16"/>
        <v>548.69999999999993</v>
      </c>
      <c r="P109" s="61"/>
      <c r="Q109" s="62"/>
      <c r="R109" s="63"/>
      <c r="S109" s="63"/>
      <c r="T109" s="63"/>
      <c r="U109" s="63"/>
      <c r="V109" s="63"/>
      <c r="W109" s="63"/>
      <c r="X109" s="63"/>
      <c r="Y109" s="63"/>
      <c r="Z109" s="63"/>
      <c r="AA109" s="63"/>
      <c r="AB109" s="63"/>
      <c r="AC109" s="63"/>
    </row>
    <row r="110" spans="1:29" ht="16" customHeight="1">
      <c r="A110" t="s">
        <v>40</v>
      </c>
      <c r="B110" s="60" t="s">
        <v>470</v>
      </c>
      <c r="C110" s="60" t="s">
        <v>454</v>
      </c>
      <c r="D110" s="60">
        <v>5.7</v>
      </c>
      <c r="E110" s="60">
        <v>5.6</v>
      </c>
      <c r="F110" s="60">
        <v>5.0999999999999996</v>
      </c>
      <c r="G110" s="60">
        <v>18.100000000000001</v>
      </c>
      <c r="H110" s="60"/>
      <c r="I110" s="60">
        <v>1.4</v>
      </c>
      <c r="J110" s="60"/>
      <c r="K110" s="60"/>
      <c r="L110" s="60"/>
      <c r="M110" s="60"/>
      <c r="N110" s="60"/>
      <c r="O110" s="60">
        <f t="shared" si="16"/>
        <v>35.9</v>
      </c>
      <c r="P110" s="61"/>
      <c r="Q110" s="62"/>
      <c r="R110" s="63"/>
      <c r="S110" s="63"/>
      <c r="T110" s="63"/>
      <c r="U110" s="63"/>
      <c r="V110" s="63"/>
      <c r="W110" s="63"/>
      <c r="X110" s="63"/>
      <c r="Y110" s="63"/>
      <c r="Z110" s="63"/>
      <c r="AA110" s="63"/>
      <c r="AB110" s="63"/>
      <c r="AC110" s="63"/>
    </row>
    <row r="111" spans="1:29" ht="16" customHeight="1">
      <c r="A111" t="s">
        <v>40</v>
      </c>
      <c r="B111" s="60" t="s">
        <v>470</v>
      </c>
      <c r="C111" s="60" t="s">
        <v>455</v>
      </c>
      <c r="D111" s="60">
        <v>38.200000000000003</v>
      </c>
      <c r="E111" s="60">
        <v>0.6</v>
      </c>
      <c r="F111" s="60">
        <v>59.6</v>
      </c>
      <c r="G111" s="60">
        <v>3.85</v>
      </c>
      <c r="H111" s="60"/>
      <c r="I111" s="60">
        <v>10.7</v>
      </c>
      <c r="J111" s="60"/>
      <c r="K111" s="60"/>
      <c r="L111" s="60"/>
      <c r="M111" s="60"/>
      <c r="N111" s="60">
        <f>5.4+9.3</f>
        <v>14.700000000000001</v>
      </c>
      <c r="O111" s="60">
        <f t="shared" si="16"/>
        <v>127.65</v>
      </c>
      <c r="P111" s="61"/>
      <c r="Q111" s="62"/>
      <c r="R111" s="63"/>
      <c r="S111" s="63"/>
      <c r="T111" s="63"/>
      <c r="U111" s="63"/>
      <c r="V111" s="63"/>
      <c r="W111" s="63"/>
      <c r="X111" s="63"/>
      <c r="Y111" s="63"/>
      <c r="Z111" s="63"/>
      <c r="AA111" s="63"/>
      <c r="AB111" s="63"/>
      <c r="AC111" s="63"/>
    </row>
    <row r="112" spans="1:29" ht="16" customHeight="1">
      <c r="A112" t="s">
        <v>40</v>
      </c>
      <c r="B112" s="60" t="s">
        <v>470</v>
      </c>
      <c r="C112" s="60" t="s">
        <v>456</v>
      </c>
      <c r="D112" s="60">
        <v>28.35</v>
      </c>
      <c r="E112" s="60">
        <v>28.35</v>
      </c>
      <c r="F112" s="60"/>
      <c r="G112" s="60"/>
      <c r="H112" s="60"/>
      <c r="I112" s="60"/>
      <c r="J112" s="60"/>
      <c r="K112" s="60"/>
      <c r="L112" s="60"/>
      <c r="M112" s="60"/>
      <c r="N112" s="60">
        <v>1.7</v>
      </c>
      <c r="O112" s="60">
        <f t="shared" si="16"/>
        <v>58.400000000000006</v>
      </c>
      <c r="P112" s="61"/>
      <c r="Q112" s="62"/>
      <c r="R112" s="63"/>
      <c r="S112" s="63"/>
      <c r="T112" s="63"/>
      <c r="U112" s="63"/>
      <c r="V112" s="63"/>
      <c r="W112" s="63"/>
      <c r="X112" s="63"/>
      <c r="Y112" s="63"/>
      <c r="Z112" s="63"/>
      <c r="AA112" s="63"/>
      <c r="AB112" s="63"/>
      <c r="AC112" s="63"/>
    </row>
    <row r="113" spans="1:29" ht="16" customHeight="1">
      <c r="A113" t="s">
        <v>40</v>
      </c>
      <c r="B113" s="60" t="s">
        <v>470</v>
      </c>
      <c r="C113" s="60" t="s">
        <v>457</v>
      </c>
      <c r="D113" s="60">
        <v>89.7</v>
      </c>
      <c r="E113" s="60"/>
      <c r="F113" s="60">
        <v>3.1</v>
      </c>
      <c r="G113" s="60">
        <v>32.799999999999997</v>
      </c>
      <c r="H113" s="60"/>
      <c r="I113" s="60"/>
      <c r="J113" s="60"/>
      <c r="K113" s="60"/>
      <c r="L113" s="60"/>
      <c r="M113" s="60"/>
      <c r="N113" s="60">
        <v>16.600000000000001</v>
      </c>
      <c r="O113" s="60">
        <f t="shared" si="16"/>
        <v>142.19999999999999</v>
      </c>
      <c r="P113" s="61"/>
      <c r="Q113" s="62"/>
      <c r="R113" s="63"/>
      <c r="S113" s="63"/>
      <c r="T113" s="63"/>
      <c r="U113" s="63"/>
      <c r="V113" s="63"/>
      <c r="W113" s="63"/>
      <c r="X113" s="63"/>
      <c r="Y113" s="63"/>
      <c r="Z113" s="63"/>
      <c r="AA113" s="63"/>
      <c r="AB113" s="63"/>
      <c r="AC113" s="63"/>
    </row>
    <row r="114" spans="1:29" ht="16" customHeight="1">
      <c r="A114" t="s">
        <v>40</v>
      </c>
      <c r="B114" s="60" t="s">
        <v>470</v>
      </c>
      <c r="C114" s="60" t="s">
        <v>458</v>
      </c>
      <c r="D114" s="60"/>
      <c r="E114" s="60">
        <v>2.4</v>
      </c>
      <c r="F114" s="60">
        <v>15.95</v>
      </c>
      <c r="G114" s="60"/>
      <c r="H114" s="60"/>
      <c r="I114" s="60">
        <v>249.85</v>
      </c>
      <c r="J114" s="60"/>
      <c r="K114" s="60"/>
      <c r="L114" s="60"/>
      <c r="M114" s="60"/>
      <c r="N114" s="60">
        <v>2</v>
      </c>
      <c r="O114" s="60">
        <f t="shared" si="16"/>
        <v>270.2</v>
      </c>
      <c r="P114" s="61"/>
      <c r="Q114" s="62"/>
      <c r="R114" s="63"/>
      <c r="S114" s="63"/>
      <c r="T114" s="63"/>
      <c r="U114" s="63"/>
      <c r="V114" s="63"/>
      <c r="W114" s="63"/>
      <c r="X114" s="63"/>
      <c r="Y114" s="63"/>
      <c r="Z114" s="63"/>
      <c r="AA114" s="63"/>
      <c r="AB114" s="63"/>
      <c r="AC114" s="63"/>
    </row>
    <row r="115" spans="1:29" ht="16" customHeight="1">
      <c r="A115" t="s">
        <v>40</v>
      </c>
      <c r="B115" s="60" t="s">
        <v>470</v>
      </c>
      <c r="C115" s="60" t="s">
        <v>459</v>
      </c>
      <c r="D115" s="60">
        <v>71.400000000000006</v>
      </c>
      <c r="E115" s="60">
        <v>3.03</v>
      </c>
      <c r="F115" s="60">
        <v>62.89</v>
      </c>
      <c r="G115" s="60">
        <v>65.099999999999994</v>
      </c>
      <c r="H115" s="60"/>
      <c r="I115" s="60">
        <v>23.88</v>
      </c>
      <c r="J115" s="60"/>
      <c r="K115" s="60"/>
      <c r="L115" s="60"/>
      <c r="M115" s="60"/>
      <c r="N115" s="60">
        <v>0.1</v>
      </c>
      <c r="O115" s="60">
        <f t="shared" si="16"/>
        <v>226.39999999999998</v>
      </c>
      <c r="P115" s="61"/>
      <c r="Q115" s="62"/>
      <c r="R115" s="63"/>
      <c r="S115" s="63"/>
      <c r="T115" s="63"/>
      <c r="U115" s="63"/>
      <c r="V115" s="63"/>
      <c r="W115" s="63"/>
      <c r="X115" s="63"/>
      <c r="Y115" s="63"/>
      <c r="Z115" s="63"/>
      <c r="AA115" s="63"/>
      <c r="AB115" s="63"/>
      <c r="AC115" s="63"/>
    </row>
    <row r="116" spans="1:29" ht="16" customHeight="1">
      <c r="A116" t="s">
        <v>40</v>
      </c>
      <c r="B116" s="60" t="s">
        <v>470</v>
      </c>
      <c r="C116" s="60" t="s">
        <v>382</v>
      </c>
      <c r="D116" s="60"/>
      <c r="E116" s="60">
        <v>0.1</v>
      </c>
      <c r="F116" s="60">
        <v>4.8</v>
      </c>
      <c r="G116" s="60">
        <v>6.8</v>
      </c>
      <c r="H116" s="60"/>
      <c r="I116" s="60"/>
      <c r="J116" s="60"/>
      <c r="K116" s="60"/>
      <c r="L116" s="60"/>
      <c r="M116" s="60"/>
      <c r="N116" s="60">
        <v>0.3</v>
      </c>
      <c r="O116" s="60">
        <f t="shared" si="16"/>
        <v>12</v>
      </c>
      <c r="P116" s="61"/>
      <c r="Q116" s="62"/>
      <c r="R116" s="63"/>
      <c r="S116" s="63"/>
      <c r="T116" s="63"/>
      <c r="U116" s="63"/>
      <c r="V116" s="63"/>
      <c r="W116" s="63"/>
      <c r="X116" s="63"/>
      <c r="Y116" s="63"/>
      <c r="Z116" s="63"/>
      <c r="AA116" s="63"/>
      <c r="AB116" s="63"/>
      <c r="AC116" s="63"/>
    </row>
    <row r="117" spans="1:29" ht="16" customHeight="1">
      <c r="A117" t="s">
        <v>40</v>
      </c>
      <c r="B117" s="60" t="s">
        <v>470</v>
      </c>
      <c r="C117" s="60" t="s">
        <v>460</v>
      </c>
      <c r="D117" s="60">
        <f>11.4</f>
        <v>11.4</v>
      </c>
      <c r="E117" s="60">
        <f>4.6</f>
        <v>4.5999999999999996</v>
      </c>
      <c r="F117" s="60">
        <f>1.7+0.1+12.7</f>
        <v>14.5</v>
      </c>
      <c r="G117" s="60">
        <f>154.6+11.7</f>
        <v>166.29999999999998</v>
      </c>
      <c r="H117" s="60"/>
      <c r="I117" s="60">
        <f>13.8+15.9+6.1+3</f>
        <v>38.800000000000004</v>
      </c>
      <c r="J117" s="60"/>
      <c r="K117" s="60"/>
      <c r="L117" s="60"/>
      <c r="M117" s="60"/>
      <c r="N117" s="60">
        <f>0.1+0.2+3+6.8+0.8</f>
        <v>10.9</v>
      </c>
      <c r="O117" s="60">
        <f t="shared" si="16"/>
        <v>246.5</v>
      </c>
      <c r="P117" s="61"/>
      <c r="Q117" s="62"/>
      <c r="R117" s="63"/>
      <c r="S117" s="63"/>
      <c r="T117" s="63"/>
      <c r="U117" s="63"/>
      <c r="V117" s="63"/>
      <c r="W117" s="63"/>
      <c r="X117" s="63"/>
      <c r="Y117" s="63"/>
      <c r="Z117" s="63"/>
      <c r="AA117" s="63"/>
      <c r="AB117" s="63"/>
      <c r="AC117" s="63"/>
    </row>
    <row r="118" spans="1:29" ht="16" customHeight="1">
      <c r="A118" t="s">
        <v>40</v>
      </c>
      <c r="B118" s="60" t="s">
        <v>470</v>
      </c>
      <c r="C118" s="55" t="s">
        <v>448</v>
      </c>
      <c r="D118" s="60">
        <f t="shared" ref="D118:J118" si="17">SUM(D106:D117)</f>
        <v>248.75</v>
      </c>
      <c r="E118" s="60">
        <f t="shared" si="17"/>
        <v>69.279999999999987</v>
      </c>
      <c r="F118" s="60">
        <f t="shared" si="17"/>
        <v>283.64</v>
      </c>
      <c r="G118" s="60">
        <f t="shared" si="17"/>
        <v>577.65000000000009</v>
      </c>
      <c r="H118" s="60">
        <f t="shared" si="17"/>
        <v>413.2</v>
      </c>
      <c r="I118" s="60">
        <f t="shared" si="17"/>
        <v>352.13</v>
      </c>
      <c r="J118" s="60">
        <f t="shared" si="17"/>
        <v>190</v>
      </c>
      <c r="K118" s="60"/>
      <c r="L118" s="60"/>
      <c r="M118" s="60">
        <f>SUM(M106:M117)</f>
        <v>406.1</v>
      </c>
      <c r="N118" s="60">
        <f>SUM(N106:N117)</f>
        <v>75.3</v>
      </c>
      <c r="O118" s="60">
        <f>SUM(O106:O117)</f>
        <v>2616.0500000000006</v>
      </c>
      <c r="P118" s="61"/>
      <c r="Q118" s="62"/>
      <c r="R118" s="63"/>
      <c r="S118" s="63"/>
      <c r="T118" s="63"/>
      <c r="U118" s="63"/>
      <c r="V118" s="63"/>
      <c r="W118" s="63"/>
      <c r="X118" s="63"/>
      <c r="Y118" s="63"/>
      <c r="Z118" s="63"/>
      <c r="AA118" s="63"/>
      <c r="AB118" s="63"/>
      <c r="AC118" s="63"/>
    </row>
    <row r="119" spans="1:29" ht="16" customHeight="1">
      <c r="A119" t="s">
        <v>40</v>
      </c>
      <c r="B119" s="60" t="s">
        <v>471</v>
      </c>
      <c r="C119" s="60" t="s">
        <v>450</v>
      </c>
      <c r="D119" s="60"/>
      <c r="E119" s="60">
        <v>7.3</v>
      </c>
      <c r="F119" s="60">
        <v>9.6</v>
      </c>
      <c r="G119" s="60">
        <v>74.7</v>
      </c>
      <c r="H119" s="60">
        <v>406.5</v>
      </c>
      <c r="I119" s="60">
        <v>7.2</v>
      </c>
      <c r="J119" s="60"/>
      <c r="K119" s="60"/>
      <c r="L119" s="60"/>
      <c r="M119" s="60"/>
      <c r="N119" s="60">
        <v>1.8</v>
      </c>
      <c r="O119" s="60">
        <f>SUM(D119:N119)</f>
        <v>507.1</v>
      </c>
      <c r="P119" s="61"/>
      <c r="Q119" s="62"/>
      <c r="R119" s="63"/>
      <c r="S119" s="63"/>
      <c r="T119" s="63"/>
      <c r="U119" s="63"/>
      <c r="V119" s="63"/>
      <c r="W119" s="63"/>
      <c r="X119" s="63"/>
      <c r="Y119" s="63"/>
      <c r="Z119" s="63"/>
      <c r="AA119" s="63"/>
      <c r="AB119" s="63"/>
      <c r="AC119" s="63"/>
    </row>
    <row r="120" spans="1:29" ht="16" customHeight="1">
      <c r="A120" t="s">
        <v>40</v>
      </c>
      <c r="B120" s="60" t="s">
        <v>471</v>
      </c>
      <c r="C120" s="60" t="s">
        <v>451</v>
      </c>
      <c r="D120" s="60">
        <v>10</v>
      </c>
      <c r="E120" s="60"/>
      <c r="F120" s="60">
        <v>4.5</v>
      </c>
      <c r="G120" s="60">
        <v>3.4</v>
      </c>
      <c r="H120" s="60"/>
      <c r="I120" s="60"/>
      <c r="J120" s="60"/>
      <c r="K120" s="60"/>
      <c r="L120" s="60"/>
      <c r="M120" s="60">
        <v>226.4</v>
      </c>
      <c r="N120" s="60">
        <v>7.6</v>
      </c>
      <c r="O120" s="60">
        <f t="shared" ref="O120:O130" si="18">SUM(D120:N120)</f>
        <v>251.9</v>
      </c>
      <c r="P120" s="61"/>
      <c r="Q120" s="62"/>
      <c r="R120" s="63"/>
      <c r="S120" s="63"/>
      <c r="T120" s="63"/>
      <c r="U120" s="63"/>
      <c r="V120" s="63"/>
      <c r="W120" s="63"/>
      <c r="X120" s="63"/>
      <c r="Y120" s="63"/>
      <c r="Z120" s="63"/>
      <c r="AA120" s="63"/>
      <c r="AB120" s="63"/>
      <c r="AC120" s="63"/>
    </row>
    <row r="121" spans="1:29" ht="16" customHeight="1">
      <c r="A121" t="s">
        <v>40</v>
      </c>
      <c r="B121" s="60" t="s">
        <v>471</v>
      </c>
      <c r="C121" s="60" t="s">
        <v>452</v>
      </c>
      <c r="D121" s="60"/>
      <c r="E121" s="60">
        <v>12.9</v>
      </c>
      <c r="F121" s="60">
        <v>2.6</v>
      </c>
      <c r="G121" s="60">
        <v>10.8</v>
      </c>
      <c r="H121" s="60"/>
      <c r="I121" s="60"/>
      <c r="J121" s="60"/>
      <c r="K121" s="60"/>
      <c r="L121" s="60"/>
      <c r="M121" s="60">
        <v>161.9</v>
      </c>
      <c r="N121" s="60">
        <v>2.7</v>
      </c>
      <c r="O121" s="60">
        <f t="shared" si="18"/>
        <v>190.9</v>
      </c>
      <c r="P121" s="61"/>
      <c r="Q121" s="62"/>
      <c r="R121" s="63"/>
      <c r="S121" s="63"/>
      <c r="T121" s="63"/>
      <c r="U121" s="63"/>
      <c r="V121" s="63"/>
      <c r="W121" s="63"/>
      <c r="X121" s="63"/>
      <c r="Y121" s="63"/>
      <c r="Z121" s="63"/>
      <c r="AA121" s="63"/>
      <c r="AB121" s="63"/>
      <c r="AC121" s="63"/>
    </row>
    <row r="122" spans="1:29" ht="16" customHeight="1">
      <c r="A122" t="s">
        <v>40</v>
      </c>
      <c r="B122" s="60" t="s">
        <v>471</v>
      </c>
      <c r="C122" s="60" t="s">
        <v>453</v>
      </c>
      <c r="D122" s="60">
        <v>3.9</v>
      </c>
      <c r="E122" s="60">
        <v>10.8</v>
      </c>
      <c r="F122" s="60">
        <f>103.8+13.4</f>
        <v>117.2</v>
      </c>
      <c r="G122" s="60">
        <v>193.4</v>
      </c>
      <c r="H122" s="60"/>
      <c r="I122" s="60">
        <v>20.9</v>
      </c>
      <c r="J122" s="60">
        <v>190</v>
      </c>
      <c r="K122" s="60"/>
      <c r="L122" s="60"/>
      <c r="M122" s="60"/>
      <c r="N122" s="60">
        <v>2.8</v>
      </c>
      <c r="O122" s="60">
        <f t="shared" si="18"/>
        <v>539</v>
      </c>
      <c r="P122" s="61"/>
      <c r="Q122" s="62"/>
      <c r="R122" s="63"/>
      <c r="S122" s="63"/>
      <c r="T122" s="63"/>
      <c r="U122" s="63"/>
      <c r="V122" s="63"/>
      <c r="W122" s="63"/>
      <c r="X122" s="63"/>
      <c r="Y122" s="63"/>
      <c r="Z122" s="63"/>
      <c r="AA122" s="63"/>
      <c r="AB122" s="63"/>
      <c r="AC122" s="63"/>
    </row>
    <row r="123" spans="1:29" ht="16" customHeight="1">
      <c r="A123" t="s">
        <v>40</v>
      </c>
      <c r="B123" s="60" t="s">
        <v>471</v>
      </c>
      <c r="C123" s="60" t="s">
        <v>454</v>
      </c>
      <c r="D123" s="60">
        <v>5.8</v>
      </c>
      <c r="E123" s="60">
        <v>3.6</v>
      </c>
      <c r="F123" s="60">
        <v>0.4</v>
      </c>
      <c r="G123" s="60">
        <v>18.399999999999999</v>
      </c>
      <c r="H123" s="60"/>
      <c r="I123" s="60">
        <v>3.6</v>
      </c>
      <c r="J123" s="60"/>
      <c r="K123" s="60"/>
      <c r="L123" s="60"/>
      <c r="M123" s="60"/>
      <c r="N123" s="60">
        <v>0.1</v>
      </c>
      <c r="O123" s="60">
        <f t="shared" si="18"/>
        <v>31.900000000000002</v>
      </c>
      <c r="P123" s="61"/>
      <c r="Q123" s="62"/>
      <c r="R123" s="63"/>
      <c r="S123" s="63"/>
      <c r="T123" s="63"/>
      <c r="U123" s="63"/>
      <c r="V123" s="63"/>
      <c r="W123" s="63"/>
      <c r="X123" s="63"/>
      <c r="Y123" s="63"/>
      <c r="Z123" s="63"/>
      <c r="AA123" s="63"/>
      <c r="AB123" s="63"/>
      <c r="AC123" s="63"/>
    </row>
    <row r="124" spans="1:29" ht="16" customHeight="1">
      <c r="A124" t="s">
        <v>40</v>
      </c>
      <c r="B124" s="60" t="s">
        <v>471</v>
      </c>
      <c r="C124" s="60" t="s">
        <v>455</v>
      </c>
      <c r="D124" s="60">
        <v>67.88</v>
      </c>
      <c r="E124" s="60">
        <v>2.7</v>
      </c>
      <c r="F124" s="60">
        <f>31.08+2</f>
        <v>33.08</v>
      </c>
      <c r="G124" s="60">
        <v>4.84</v>
      </c>
      <c r="H124" s="60"/>
      <c r="I124" s="60">
        <v>10.6</v>
      </c>
      <c r="J124" s="60"/>
      <c r="K124" s="60"/>
      <c r="L124" s="60"/>
      <c r="M124" s="60"/>
      <c r="N124" s="60">
        <f>10.6+1.2</f>
        <v>11.799999999999999</v>
      </c>
      <c r="O124" s="60">
        <f t="shared" si="18"/>
        <v>130.9</v>
      </c>
      <c r="P124" s="61"/>
      <c r="Q124" s="62"/>
      <c r="R124" s="63"/>
      <c r="S124" s="63"/>
      <c r="T124" s="63"/>
      <c r="U124" s="63"/>
      <c r="V124" s="63"/>
      <c r="W124" s="63"/>
      <c r="X124" s="63"/>
      <c r="Y124" s="63"/>
      <c r="Z124" s="63"/>
      <c r="AA124" s="63"/>
      <c r="AB124" s="63"/>
      <c r="AC124" s="63"/>
    </row>
    <row r="125" spans="1:29" ht="16" customHeight="1">
      <c r="A125" t="s">
        <v>40</v>
      </c>
      <c r="B125" s="60" t="s">
        <v>471</v>
      </c>
      <c r="C125" s="60" t="s">
        <v>456</v>
      </c>
      <c r="D125" s="60">
        <v>27.55</v>
      </c>
      <c r="E125" s="60">
        <v>27.55</v>
      </c>
      <c r="F125" s="60"/>
      <c r="G125" s="60"/>
      <c r="H125" s="60"/>
      <c r="I125" s="60"/>
      <c r="J125" s="60"/>
      <c r="K125" s="60"/>
      <c r="L125" s="60"/>
      <c r="M125" s="60"/>
      <c r="N125" s="60"/>
      <c r="O125" s="60">
        <f t="shared" si="18"/>
        <v>55.1</v>
      </c>
      <c r="P125" s="61"/>
      <c r="Q125" s="62"/>
      <c r="R125" s="63"/>
      <c r="S125" s="63"/>
      <c r="T125" s="63"/>
      <c r="U125" s="63"/>
      <c r="V125" s="63"/>
      <c r="W125" s="63"/>
      <c r="X125" s="63"/>
      <c r="Y125" s="63"/>
      <c r="Z125" s="63"/>
      <c r="AA125" s="63"/>
      <c r="AB125" s="63"/>
      <c r="AC125" s="63"/>
    </row>
    <row r="126" spans="1:29" ht="16" customHeight="1">
      <c r="A126" t="s">
        <v>40</v>
      </c>
      <c r="B126" s="60" t="s">
        <v>471</v>
      </c>
      <c r="C126" s="60" t="s">
        <v>457</v>
      </c>
      <c r="D126" s="60">
        <v>93.3</v>
      </c>
      <c r="E126" s="60"/>
      <c r="F126" s="60">
        <v>2</v>
      </c>
      <c r="G126" s="60">
        <v>32.1</v>
      </c>
      <c r="H126" s="60"/>
      <c r="I126" s="60"/>
      <c r="J126" s="60"/>
      <c r="K126" s="60"/>
      <c r="L126" s="60"/>
      <c r="M126" s="60"/>
      <c r="N126" s="60">
        <v>18.3</v>
      </c>
      <c r="O126" s="60">
        <f t="shared" si="18"/>
        <v>145.70000000000002</v>
      </c>
      <c r="P126" s="61"/>
      <c r="Q126" s="62"/>
      <c r="R126" s="63"/>
      <c r="S126" s="63"/>
      <c r="T126" s="63"/>
      <c r="U126" s="63"/>
      <c r="V126" s="63"/>
      <c r="W126" s="63"/>
      <c r="X126" s="63"/>
      <c r="Y126" s="63"/>
      <c r="Z126" s="63"/>
      <c r="AA126" s="63"/>
      <c r="AB126" s="63"/>
      <c r="AC126" s="63"/>
    </row>
    <row r="127" spans="1:29" ht="16" customHeight="1">
      <c r="A127" t="s">
        <v>40</v>
      </c>
      <c r="B127" s="60" t="s">
        <v>471</v>
      </c>
      <c r="C127" s="60" t="s">
        <v>458</v>
      </c>
      <c r="D127" s="60">
        <v>2.1</v>
      </c>
      <c r="E127" s="60"/>
      <c r="F127" s="60">
        <v>4.9000000000000004</v>
      </c>
      <c r="G127" s="60">
        <v>9.4499999999999993</v>
      </c>
      <c r="H127" s="60"/>
      <c r="I127" s="60">
        <v>269.95</v>
      </c>
      <c r="J127" s="60"/>
      <c r="K127" s="60"/>
      <c r="L127" s="60"/>
      <c r="M127" s="60"/>
      <c r="N127" s="60">
        <v>1.9</v>
      </c>
      <c r="O127" s="60">
        <f t="shared" si="18"/>
        <v>288.29999999999995</v>
      </c>
      <c r="P127" s="61"/>
      <c r="Q127" s="62"/>
      <c r="R127" s="63"/>
      <c r="S127" s="63"/>
      <c r="T127" s="63"/>
      <c r="U127" s="63"/>
      <c r="V127" s="63"/>
      <c r="W127" s="63"/>
      <c r="X127" s="63"/>
      <c r="Y127" s="63"/>
      <c r="Z127" s="63"/>
      <c r="AA127" s="63"/>
      <c r="AB127" s="63"/>
      <c r="AC127" s="63"/>
    </row>
    <row r="128" spans="1:29" ht="16" customHeight="1">
      <c r="A128" t="s">
        <v>40</v>
      </c>
      <c r="B128" s="60" t="s">
        <v>471</v>
      </c>
      <c r="C128" s="60" t="s">
        <v>459</v>
      </c>
      <c r="D128" s="60">
        <v>83.8</v>
      </c>
      <c r="E128" s="60">
        <v>4.0999999999999996</v>
      </c>
      <c r="F128" s="60">
        <f>42.82</f>
        <v>42.82</v>
      </c>
      <c r="G128" s="60">
        <v>70.599999999999994</v>
      </c>
      <c r="H128" s="60"/>
      <c r="I128" s="60">
        <v>23.88</v>
      </c>
      <c r="J128" s="60"/>
      <c r="K128" s="60"/>
      <c r="L128" s="60"/>
      <c r="M128" s="60"/>
      <c r="N128" s="60">
        <v>0.2</v>
      </c>
      <c r="O128" s="60">
        <f t="shared" si="18"/>
        <v>225.39999999999998</v>
      </c>
      <c r="P128" s="61"/>
      <c r="Q128" s="62"/>
      <c r="R128" s="63"/>
      <c r="S128" s="63"/>
      <c r="T128" s="63"/>
      <c r="U128" s="63"/>
      <c r="V128" s="63"/>
      <c r="W128" s="63"/>
      <c r="X128" s="63"/>
      <c r="Y128" s="63"/>
      <c r="Z128" s="63"/>
      <c r="AA128" s="63"/>
      <c r="AB128" s="63"/>
      <c r="AC128" s="63"/>
    </row>
    <row r="129" spans="1:29" ht="16" customHeight="1">
      <c r="A129" t="s">
        <v>40</v>
      </c>
      <c r="B129" s="60" t="s">
        <v>471</v>
      </c>
      <c r="C129" s="60" t="s">
        <v>382</v>
      </c>
      <c r="D129" s="60"/>
      <c r="E129" s="60">
        <v>0.1</v>
      </c>
      <c r="F129" s="60">
        <v>4.8</v>
      </c>
      <c r="G129" s="60">
        <v>6.8</v>
      </c>
      <c r="H129" s="60"/>
      <c r="I129" s="60"/>
      <c r="J129" s="60"/>
      <c r="K129" s="60"/>
      <c r="L129" s="60"/>
      <c r="M129" s="60"/>
      <c r="N129" s="60">
        <v>0.3</v>
      </c>
      <c r="O129" s="60">
        <f t="shared" si="18"/>
        <v>12</v>
      </c>
      <c r="P129" s="61"/>
      <c r="Q129" s="62"/>
      <c r="R129" s="63"/>
      <c r="S129" s="63"/>
      <c r="T129" s="63"/>
      <c r="U129" s="63"/>
      <c r="V129" s="63"/>
      <c r="W129" s="63"/>
      <c r="X129" s="63"/>
      <c r="Y129" s="63"/>
      <c r="Z129" s="63"/>
      <c r="AA129" s="63"/>
      <c r="AB129" s="63"/>
      <c r="AC129" s="63"/>
    </row>
    <row r="130" spans="1:29" ht="16" customHeight="1">
      <c r="A130" t="s">
        <v>40</v>
      </c>
      <c r="B130" s="60" t="s">
        <v>471</v>
      </c>
      <c r="C130" s="60" t="s">
        <v>460</v>
      </c>
      <c r="D130" s="60">
        <f>11.4</f>
        <v>11.4</v>
      </c>
      <c r="E130" s="60">
        <f>4.5+3.16</f>
        <v>7.66</v>
      </c>
      <c r="F130" s="60">
        <f>4.9+0.1+11.1</f>
        <v>16.100000000000001</v>
      </c>
      <c r="G130" s="60">
        <f>143.9+24.34</f>
        <v>168.24</v>
      </c>
      <c r="H130" s="60"/>
      <c r="I130" s="60">
        <f>12.8+17.7+2.6+6.1</f>
        <v>39.200000000000003</v>
      </c>
      <c r="J130" s="60"/>
      <c r="K130" s="60"/>
      <c r="L130" s="60"/>
      <c r="M130" s="60"/>
      <c r="N130" s="60">
        <f>0.8+3.3+0.4+0.2+0.8</f>
        <v>5.5</v>
      </c>
      <c r="O130" s="60">
        <f t="shared" si="18"/>
        <v>248.10000000000002</v>
      </c>
      <c r="P130" s="61"/>
      <c r="Q130" s="62"/>
      <c r="R130" s="63"/>
      <c r="S130" s="63"/>
      <c r="T130" s="63"/>
      <c r="U130" s="63"/>
      <c r="V130" s="63"/>
      <c r="W130" s="63"/>
      <c r="X130" s="63"/>
      <c r="Y130" s="63"/>
      <c r="Z130" s="63"/>
      <c r="AA130" s="63"/>
      <c r="AB130" s="63"/>
      <c r="AC130" s="63"/>
    </row>
    <row r="131" spans="1:29" ht="16" customHeight="1">
      <c r="A131" t="s">
        <v>40</v>
      </c>
      <c r="B131" s="60" t="s">
        <v>471</v>
      </c>
      <c r="C131" s="55" t="s">
        <v>448</v>
      </c>
      <c r="D131" s="60">
        <f t="shared" ref="D131:J131" si="19">SUM(D119:D130)</f>
        <v>305.72999999999996</v>
      </c>
      <c r="E131" s="60">
        <f t="shared" si="19"/>
        <v>76.709999999999994</v>
      </c>
      <c r="F131" s="60">
        <f t="shared" si="19"/>
        <v>238</v>
      </c>
      <c r="G131" s="60">
        <f t="shared" si="19"/>
        <v>592.73</v>
      </c>
      <c r="H131" s="60">
        <f t="shared" si="19"/>
        <v>406.5</v>
      </c>
      <c r="I131" s="60">
        <f t="shared" si="19"/>
        <v>375.33</v>
      </c>
      <c r="J131" s="60">
        <f t="shared" si="19"/>
        <v>190</v>
      </c>
      <c r="K131" s="60"/>
      <c r="L131" s="60"/>
      <c r="M131" s="60">
        <f>SUM(M119:M130)</f>
        <v>388.3</v>
      </c>
      <c r="N131" s="60">
        <f>SUM(N119:N130)</f>
        <v>53</v>
      </c>
      <c r="O131" s="60">
        <f>SUM(O119:O130)</f>
        <v>2626.3</v>
      </c>
      <c r="P131" s="61"/>
      <c r="Q131" s="62"/>
      <c r="R131" s="63"/>
      <c r="S131" s="63"/>
      <c r="T131" s="63"/>
      <c r="U131" s="63"/>
      <c r="V131" s="63"/>
      <c r="W131" s="63"/>
      <c r="X131" s="63"/>
      <c r="Y131" s="63"/>
      <c r="Z131" s="63"/>
      <c r="AA131" s="63"/>
      <c r="AB131" s="63"/>
      <c r="AC131" s="63"/>
    </row>
    <row r="132" spans="1:29" ht="16" customHeight="1">
      <c r="A132" t="s">
        <v>40</v>
      </c>
      <c r="B132" s="60" t="s">
        <v>472</v>
      </c>
      <c r="C132" s="60" t="s">
        <v>450</v>
      </c>
      <c r="D132" s="60"/>
      <c r="E132" s="60">
        <v>1.25</v>
      </c>
      <c r="F132" s="60">
        <v>1.25</v>
      </c>
      <c r="G132" s="60">
        <v>40.200000000000003</v>
      </c>
      <c r="H132" s="60">
        <v>272.10000000000002</v>
      </c>
      <c r="I132" s="60">
        <v>7.8</v>
      </c>
      <c r="J132" s="60"/>
      <c r="K132" s="60"/>
      <c r="L132" s="60"/>
      <c r="M132" s="60"/>
      <c r="N132" s="60">
        <v>1.2</v>
      </c>
      <c r="O132" s="60">
        <f t="shared" ref="O132:O133" si="20">SUM(D132:N132)</f>
        <v>323.8</v>
      </c>
      <c r="P132" s="61"/>
      <c r="Q132" s="62"/>
      <c r="R132" s="63"/>
      <c r="S132" s="63"/>
      <c r="T132" s="63"/>
      <c r="U132" s="63"/>
      <c r="V132" s="63"/>
      <c r="W132" s="63"/>
      <c r="X132" s="63"/>
      <c r="Y132" s="63"/>
      <c r="Z132" s="63"/>
      <c r="AA132" s="63"/>
      <c r="AB132" s="63"/>
      <c r="AC132" s="63"/>
    </row>
    <row r="133" spans="1:29" ht="16" customHeight="1">
      <c r="A133" t="s">
        <v>40</v>
      </c>
      <c r="B133" s="60" t="s">
        <v>472</v>
      </c>
      <c r="C133" s="60" t="s">
        <v>473</v>
      </c>
      <c r="D133" s="60">
        <f>0.4</f>
        <v>0.4</v>
      </c>
      <c r="E133" s="60"/>
      <c r="F133" s="60">
        <v>128.80000000000001</v>
      </c>
      <c r="G133" s="60">
        <v>255.8</v>
      </c>
      <c r="H133" s="60"/>
      <c r="I133" s="60"/>
      <c r="J133" s="60"/>
      <c r="K133" s="60"/>
      <c r="L133" s="60"/>
      <c r="M133" s="60"/>
      <c r="N133" s="60">
        <f>0.8+0.8</f>
        <v>1.6</v>
      </c>
      <c r="O133" s="60">
        <f t="shared" si="20"/>
        <v>386.6</v>
      </c>
      <c r="P133" s="61"/>
      <c r="Q133" s="62"/>
      <c r="R133" s="63"/>
      <c r="S133" s="63"/>
      <c r="T133" s="63"/>
      <c r="U133" s="63"/>
      <c r="V133" s="63"/>
      <c r="W133" s="63"/>
      <c r="X133" s="63"/>
      <c r="Y133" s="63"/>
      <c r="Z133" s="63"/>
      <c r="AA133" s="63"/>
      <c r="AB133" s="63"/>
      <c r="AC133" s="63"/>
    </row>
    <row r="134" spans="1:29" ht="16" customHeight="1">
      <c r="A134" t="s">
        <v>40</v>
      </c>
      <c r="B134" s="60" t="s">
        <v>472</v>
      </c>
      <c r="C134" s="60" t="s">
        <v>452</v>
      </c>
      <c r="D134" s="60"/>
      <c r="E134" s="60"/>
      <c r="F134" s="60"/>
      <c r="G134" s="60"/>
      <c r="H134" s="60"/>
      <c r="I134" s="60"/>
      <c r="J134" s="60"/>
      <c r="K134" s="60"/>
      <c r="L134" s="60"/>
      <c r="M134" s="60"/>
      <c r="N134" s="60"/>
      <c r="O134" s="60"/>
      <c r="P134" s="61"/>
      <c r="Q134" s="62"/>
      <c r="R134" s="63"/>
      <c r="S134" s="63"/>
      <c r="T134" s="63"/>
      <c r="U134" s="63"/>
      <c r="V134" s="63"/>
      <c r="W134" s="63"/>
      <c r="X134" s="63"/>
      <c r="Y134" s="63"/>
      <c r="Z134" s="63"/>
      <c r="AA134" s="63"/>
      <c r="AB134" s="63"/>
      <c r="AC134" s="63"/>
    </row>
    <row r="135" spans="1:29" ht="16" customHeight="1">
      <c r="A135" t="s">
        <v>40</v>
      </c>
      <c r="B135" s="60" t="s">
        <v>472</v>
      </c>
      <c r="C135" s="60" t="s">
        <v>453</v>
      </c>
      <c r="D135" s="60">
        <v>82.3</v>
      </c>
      <c r="E135" s="60">
        <v>2.1</v>
      </c>
      <c r="F135" s="60">
        <v>74.3</v>
      </c>
      <c r="G135" s="60">
        <v>519.65</v>
      </c>
      <c r="H135" s="60"/>
      <c r="I135" s="60">
        <v>25.3</v>
      </c>
      <c r="J135" s="60">
        <v>207.3</v>
      </c>
      <c r="K135" s="60"/>
      <c r="L135" s="60"/>
      <c r="M135" s="60"/>
      <c r="N135" s="60">
        <v>6.95</v>
      </c>
      <c r="O135" s="60">
        <f t="shared" ref="O135:O143" si="21">SUM(D135:N135)</f>
        <v>917.89999999999986</v>
      </c>
      <c r="P135" s="61"/>
      <c r="Q135" s="62"/>
      <c r="R135" s="63"/>
      <c r="S135" s="63"/>
      <c r="T135" s="63"/>
      <c r="U135" s="63"/>
      <c r="V135" s="63"/>
      <c r="W135" s="63"/>
      <c r="X135" s="63"/>
      <c r="Y135" s="63"/>
      <c r="Z135" s="63"/>
      <c r="AA135" s="63"/>
      <c r="AB135" s="63"/>
      <c r="AC135" s="63"/>
    </row>
    <row r="136" spans="1:29" ht="16" customHeight="1">
      <c r="A136" t="s">
        <v>40</v>
      </c>
      <c r="B136" s="60" t="s">
        <v>472</v>
      </c>
      <c r="C136" s="60" t="s">
        <v>454</v>
      </c>
      <c r="D136" s="60">
        <v>0.4</v>
      </c>
      <c r="E136" s="60">
        <v>1.1000000000000001</v>
      </c>
      <c r="F136" s="60">
        <v>14.75</v>
      </c>
      <c r="G136" s="60">
        <v>16.649999999999999</v>
      </c>
      <c r="H136" s="60"/>
      <c r="I136" s="60">
        <v>0.7</v>
      </c>
      <c r="J136" s="60"/>
      <c r="K136" s="60"/>
      <c r="L136" s="60"/>
      <c r="M136" s="60"/>
      <c r="N136" s="60">
        <v>2.1</v>
      </c>
      <c r="O136" s="60">
        <f t="shared" si="21"/>
        <v>35.700000000000003</v>
      </c>
      <c r="P136" s="61"/>
      <c r="Q136" s="62"/>
      <c r="R136" s="63"/>
      <c r="S136" s="63"/>
      <c r="T136" s="63"/>
      <c r="U136" s="63"/>
      <c r="V136" s="63"/>
      <c r="W136" s="63"/>
      <c r="X136" s="63"/>
      <c r="Y136" s="63"/>
      <c r="Z136" s="63"/>
      <c r="AA136" s="63"/>
      <c r="AB136" s="63"/>
      <c r="AC136" s="63"/>
    </row>
    <row r="137" spans="1:29" ht="16" customHeight="1">
      <c r="A137" t="s">
        <v>40</v>
      </c>
      <c r="B137" s="60" t="s">
        <v>472</v>
      </c>
      <c r="C137" s="60" t="s">
        <v>455</v>
      </c>
      <c r="D137" s="60">
        <v>8.8000000000000007</v>
      </c>
      <c r="E137" s="60"/>
      <c r="F137" s="60">
        <v>25.7</v>
      </c>
      <c r="G137" s="60">
        <v>50</v>
      </c>
      <c r="H137" s="60"/>
      <c r="I137" s="60">
        <v>12.2</v>
      </c>
      <c r="J137" s="60"/>
      <c r="K137" s="60"/>
      <c r="L137" s="60"/>
      <c r="M137" s="60"/>
      <c r="N137" s="60">
        <v>9.5</v>
      </c>
      <c r="O137" s="60">
        <f t="shared" si="21"/>
        <v>106.2</v>
      </c>
      <c r="P137" s="61"/>
      <c r="Q137" s="62"/>
      <c r="R137" s="63"/>
      <c r="S137" s="63"/>
      <c r="T137" s="63"/>
      <c r="U137" s="63"/>
      <c r="V137" s="63"/>
      <c r="W137" s="63"/>
      <c r="X137" s="63"/>
      <c r="Y137" s="63"/>
      <c r="Z137" s="63"/>
      <c r="AA137" s="63"/>
      <c r="AB137" s="63"/>
      <c r="AC137" s="63"/>
    </row>
    <row r="138" spans="1:29" ht="16" customHeight="1">
      <c r="A138" t="s">
        <v>40</v>
      </c>
      <c r="B138" s="60" t="s">
        <v>472</v>
      </c>
      <c r="C138" s="60" t="s">
        <v>456</v>
      </c>
      <c r="D138" s="60">
        <v>17.7</v>
      </c>
      <c r="E138" s="60">
        <v>15.7</v>
      </c>
      <c r="F138" s="60">
        <v>4.5</v>
      </c>
      <c r="G138" s="60">
        <v>0.1</v>
      </c>
      <c r="H138" s="60"/>
      <c r="I138" s="60"/>
      <c r="J138" s="60"/>
      <c r="K138" s="60"/>
      <c r="L138" s="60"/>
      <c r="M138" s="60"/>
      <c r="N138" s="60">
        <v>1</v>
      </c>
      <c r="O138" s="60">
        <f t="shared" si="21"/>
        <v>39</v>
      </c>
      <c r="P138" s="61"/>
      <c r="Q138" s="62"/>
      <c r="R138" s="63"/>
      <c r="S138" s="63"/>
      <c r="T138" s="63"/>
      <c r="U138" s="63"/>
      <c r="V138" s="63"/>
      <c r="W138" s="63"/>
      <c r="X138" s="63"/>
      <c r="Y138" s="63"/>
      <c r="Z138" s="63"/>
      <c r="AA138" s="63"/>
      <c r="AB138" s="63"/>
      <c r="AC138" s="63"/>
    </row>
    <row r="139" spans="1:29" ht="16" customHeight="1">
      <c r="A139" t="s">
        <v>40</v>
      </c>
      <c r="B139" s="60" t="s">
        <v>472</v>
      </c>
      <c r="C139" s="60" t="s">
        <v>457</v>
      </c>
      <c r="D139" s="60">
        <f>2.5+51.5</f>
        <v>54</v>
      </c>
      <c r="E139" s="60">
        <v>0.35</v>
      </c>
      <c r="F139" s="60">
        <f>102.9+59.1</f>
        <v>162</v>
      </c>
      <c r="G139" s="60">
        <f>64.8+100.15</f>
        <v>164.95</v>
      </c>
      <c r="H139" s="60"/>
      <c r="I139" s="60">
        <f>11+13.9</f>
        <v>24.9</v>
      </c>
      <c r="J139" s="60"/>
      <c r="K139" s="60"/>
      <c r="L139" s="60"/>
      <c r="M139" s="60"/>
      <c r="N139" s="60"/>
      <c r="O139" s="60">
        <f t="shared" si="21"/>
        <v>406.19999999999993</v>
      </c>
      <c r="P139" s="61"/>
      <c r="Q139" s="62"/>
      <c r="R139" s="63"/>
      <c r="S139" s="63"/>
      <c r="T139" s="63"/>
      <c r="U139" s="63"/>
      <c r="V139" s="63"/>
      <c r="W139" s="63"/>
      <c r="X139" s="63"/>
      <c r="Y139" s="63"/>
      <c r="Z139" s="63"/>
      <c r="AA139" s="63"/>
      <c r="AB139" s="63"/>
      <c r="AC139" s="63"/>
    </row>
    <row r="140" spans="1:29" ht="16" customHeight="1">
      <c r="A140" t="s">
        <v>40</v>
      </c>
      <c r="B140" s="60" t="s">
        <v>472</v>
      </c>
      <c r="C140" s="60" t="s">
        <v>458</v>
      </c>
      <c r="D140" s="60"/>
      <c r="E140" s="60"/>
      <c r="F140" s="60">
        <v>18.100000000000001</v>
      </c>
      <c r="G140" s="60">
        <v>44.9</v>
      </c>
      <c r="H140" s="60"/>
      <c r="I140" s="60">
        <v>138.9</v>
      </c>
      <c r="J140" s="60"/>
      <c r="K140" s="60"/>
      <c r="L140" s="60"/>
      <c r="M140" s="60"/>
      <c r="N140" s="60">
        <f>2.9+5.4</f>
        <v>8.3000000000000007</v>
      </c>
      <c r="O140" s="60">
        <f t="shared" si="21"/>
        <v>210.20000000000002</v>
      </c>
      <c r="P140" s="61"/>
      <c r="Q140" s="62"/>
      <c r="R140" s="63"/>
      <c r="S140" s="63"/>
      <c r="T140" s="63"/>
      <c r="U140" s="63"/>
      <c r="V140" s="63"/>
      <c r="W140" s="63"/>
      <c r="X140" s="63"/>
      <c r="Y140" s="63"/>
      <c r="Z140" s="63"/>
      <c r="AA140" s="63"/>
      <c r="AB140" s="63"/>
      <c r="AC140" s="63"/>
    </row>
    <row r="141" spans="1:29" ht="16" customHeight="1">
      <c r="A141" t="s">
        <v>40</v>
      </c>
      <c r="B141" s="60" t="s">
        <v>472</v>
      </c>
      <c r="C141" s="60" t="s">
        <v>459</v>
      </c>
      <c r="D141" s="60">
        <v>61.9</v>
      </c>
      <c r="E141" s="60">
        <v>3.5</v>
      </c>
      <c r="F141" s="60">
        <v>54.1</v>
      </c>
      <c r="G141" s="60">
        <v>28.3</v>
      </c>
      <c r="H141" s="60"/>
      <c r="I141" s="60">
        <v>12.8</v>
      </c>
      <c r="J141" s="60"/>
      <c r="K141" s="60"/>
      <c r="L141" s="60"/>
      <c r="M141" s="60"/>
      <c r="N141" s="60">
        <v>13.1</v>
      </c>
      <c r="O141" s="60">
        <f t="shared" si="21"/>
        <v>173.70000000000002</v>
      </c>
      <c r="P141" s="61"/>
      <c r="Q141" s="62"/>
      <c r="R141" s="63"/>
      <c r="S141" s="63"/>
      <c r="T141" s="63"/>
      <c r="U141" s="63"/>
      <c r="V141" s="63"/>
      <c r="W141" s="63"/>
      <c r="X141" s="63"/>
      <c r="Y141" s="63"/>
      <c r="Z141" s="63"/>
      <c r="AA141" s="63"/>
      <c r="AB141" s="63"/>
      <c r="AC141" s="63"/>
    </row>
    <row r="142" spans="1:29" ht="16" customHeight="1">
      <c r="A142" t="s">
        <v>40</v>
      </c>
      <c r="B142" s="60" t="s">
        <v>472</v>
      </c>
      <c r="C142" s="60" t="s">
        <v>382</v>
      </c>
      <c r="D142" s="60">
        <v>0.25</v>
      </c>
      <c r="E142" s="60"/>
      <c r="F142" s="60">
        <v>2.2999999999999998</v>
      </c>
      <c r="G142" s="60">
        <v>4.6500000000000004</v>
      </c>
      <c r="H142" s="60"/>
      <c r="I142" s="60"/>
      <c r="J142" s="60"/>
      <c r="K142" s="60"/>
      <c r="L142" s="60"/>
      <c r="M142" s="60"/>
      <c r="N142" s="60">
        <v>0.1</v>
      </c>
      <c r="O142" s="60">
        <f t="shared" si="21"/>
        <v>7.3</v>
      </c>
      <c r="P142" s="61"/>
      <c r="Q142" s="62"/>
      <c r="R142" s="63"/>
      <c r="S142" s="63"/>
      <c r="T142" s="63"/>
      <c r="U142" s="63"/>
      <c r="V142" s="63"/>
      <c r="W142" s="63"/>
      <c r="X142" s="63"/>
      <c r="Y142" s="63"/>
      <c r="Z142" s="63"/>
      <c r="AA142" s="63"/>
      <c r="AB142" s="63"/>
      <c r="AC142" s="63"/>
    </row>
    <row r="143" spans="1:29" ht="16" customHeight="1">
      <c r="A143" t="s">
        <v>40</v>
      </c>
      <c r="B143" s="60" t="s">
        <v>472</v>
      </c>
      <c r="C143" s="60" t="s">
        <v>460</v>
      </c>
      <c r="D143" s="60"/>
      <c r="E143" s="60"/>
      <c r="F143" s="60">
        <f>2+16.85+11.5</f>
        <v>30.35</v>
      </c>
      <c r="G143" s="60">
        <f>2.5</f>
        <v>2.5</v>
      </c>
      <c r="H143" s="60"/>
      <c r="I143" s="60">
        <f>4.6+16.45+3.6+15.2+5.2</f>
        <v>45.05</v>
      </c>
      <c r="J143" s="60"/>
      <c r="K143" s="60"/>
      <c r="L143" s="60"/>
      <c r="M143" s="60"/>
      <c r="N143" s="60">
        <v>0.5</v>
      </c>
      <c r="O143" s="60">
        <f t="shared" si="21"/>
        <v>78.400000000000006</v>
      </c>
      <c r="P143" s="61"/>
      <c r="Q143" s="62"/>
      <c r="R143" s="63"/>
      <c r="S143" s="63"/>
      <c r="T143" s="63"/>
      <c r="U143" s="63"/>
      <c r="V143" s="63"/>
      <c r="W143" s="63"/>
      <c r="X143" s="63"/>
      <c r="Y143" s="63"/>
      <c r="Z143" s="63"/>
      <c r="AA143" s="63"/>
      <c r="AB143" s="63"/>
      <c r="AC143" s="63"/>
    </row>
    <row r="144" spans="1:29" ht="16" customHeight="1">
      <c r="A144" t="s">
        <v>40</v>
      </c>
      <c r="B144" s="60" t="s">
        <v>472</v>
      </c>
      <c r="C144" s="55" t="s">
        <v>448</v>
      </c>
      <c r="D144" s="60">
        <f t="shared" ref="D144:J144" si="22">SUM(D132:D143)</f>
        <v>225.75000000000003</v>
      </c>
      <c r="E144" s="60">
        <f t="shared" si="22"/>
        <v>24</v>
      </c>
      <c r="F144" s="60">
        <f t="shared" si="22"/>
        <v>516.15000000000009</v>
      </c>
      <c r="G144" s="60">
        <f t="shared" si="22"/>
        <v>1127.7</v>
      </c>
      <c r="H144" s="60">
        <f t="shared" si="22"/>
        <v>272.10000000000002</v>
      </c>
      <c r="I144" s="60">
        <f t="shared" si="22"/>
        <v>267.65000000000003</v>
      </c>
      <c r="J144" s="60">
        <f t="shared" si="22"/>
        <v>207.3</v>
      </c>
      <c r="K144" s="60"/>
      <c r="L144" s="60"/>
      <c r="M144" s="60"/>
      <c r="N144" s="60">
        <f>SUM(N132:N143)</f>
        <v>44.35</v>
      </c>
      <c r="O144" s="60">
        <f>SUM(O132:O143)</f>
        <v>2685</v>
      </c>
      <c r="P144" s="61"/>
      <c r="Q144" s="62"/>
      <c r="R144" s="63"/>
      <c r="S144" s="63"/>
      <c r="T144" s="63"/>
      <c r="U144" s="63"/>
      <c r="V144" s="63"/>
      <c r="W144" s="63"/>
      <c r="X144" s="63"/>
      <c r="Y144" s="63"/>
      <c r="Z144" s="63"/>
      <c r="AA144" s="63"/>
      <c r="AB144" s="63"/>
      <c r="AC144" s="63"/>
    </row>
    <row r="145" spans="1:29" ht="16" customHeight="1">
      <c r="A145" t="s">
        <v>40</v>
      </c>
      <c r="B145" s="60" t="s">
        <v>474</v>
      </c>
      <c r="C145" s="60" t="s">
        <v>450</v>
      </c>
      <c r="D145" s="60"/>
      <c r="E145" s="60">
        <v>1.62</v>
      </c>
      <c r="F145" s="60">
        <v>2.93</v>
      </c>
      <c r="G145" s="60">
        <v>40.14</v>
      </c>
      <c r="H145" s="60">
        <v>273.88</v>
      </c>
      <c r="I145" s="60">
        <v>5.31</v>
      </c>
      <c r="J145" s="60"/>
      <c r="K145" s="60"/>
      <c r="L145" s="60"/>
      <c r="M145" s="60"/>
      <c r="N145" s="60"/>
      <c r="O145" s="60">
        <f t="shared" ref="O145:O156" si="23">SUM(D145:N145)</f>
        <v>323.88</v>
      </c>
      <c r="P145" s="61"/>
      <c r="Q145" s="62"/>
      <c r="R145" s="63"/>
      <c r="S145" s="63"/>
      <c r="T145" s="63"/>
      <c r="U145" s="63"/>
      <c r="V145" s="63"/>
      <c r="W145" s="63"/>
      <c r="X145" s="63"/>
      <c r="Y145" s="63"/>
      <c r="Z145" s="63"/>
      <c r="AA145" s="63"/>
      <c r="AB145" s="63"/>
      <c r="AC145" s="63"/>
    </row>
    <row r="146" spans="1:29" ht="16" customHeight="1">
      <c r="A146" t="s">
        <v>40</v>
      </c>
      <c r="B146" s="60" t="s">
        <v>474</v>
      </c>
      <c r="C146" s="60" t="s">
        <v>451</v>
      </c>
      <c r="D146" s="60">
        <v>4.43</v>
      </c>
      <c r="E146" s="60"/>
      <c r="F146" s="60">
        <v>10.029999999999999</v>
      </c>
      <c r="G146" s="60">
        <v>32.92</v>
      </c>
      <c r="H146" s="60"/>
      <c r="I146" s="60"/>
      <c r="J146" s="60"/>
      <c r="K146" s="60"/>
      <c r="L146" s="60"/>
      <c r="M146" s="60">
        <v>123.89</v>
      </c>
      <c r="N146" s="60">
        <v>1.87</v>
      </c>
      <c r="O146" s="60">
        <f t="shared" si="23"/>
        <v>173.14000000000001</v>
      </c>
      <c r="P146" s="61"/>
      <c r="Q146" s="62"/>
      <c r="R146" s="63"/>
      <c r="S146" s="63"/>
      <c r="T146" s="63"/>
      <c r="U146" s="63"/>
      <c r="V146" s="63"/>
      <c r="W146" s="63"/>
      <c r="X146" s="63"/>
      <c r="Y146" s="63"/>
      <c r="Z146" s="63"/>
      <c r="AA146" s="63"/>
      <c r="AB146" s="63"/>
      <c r="AC146" s="63"/>
    </row>
    <row r="147" spans="1:29" ht="16" customHeight="1">
      <c r="A147" t="s">
        <v>40</v>
      </c>
      <c r="B147" s="60" t="s">
        <v>474</v>
      </c>
      <c r="C147" s="60" t="s">
        <v>452</v>
      </c>
      <c r="D147" s="60"/>
      <c r="E147" s="60"/>
      <c r="F147" s="60"/>
      <c r="G147" s="60"/>
      <c r="H147" s="60"/>
      <c r="I147" s="60"/>
      <c r="J147" s="60"/>
      <c r="K147" s="60"/>
      <c r="L147" s="60"/>
      <c r="M147" s="60"/>
      <c r="N147" s="60"/>
      <c r="O147" s="60">
        <f t="shared" si="23"/>
        <v>0</v>
      </c>
      <c r="P147" s="61"/>
      <c r="Q147" s="62"/>
      <c r="R147" s="63"/>
      <c r="S147" s="63"/>
      <c r="T147" s="63"/>
      <c r="U147" s="63"/>
      <c r="V147" s="63"/>
      <c r="W147" s="63"/>
      <c r="X147" s="63"/>
      <c r="Y147" s="63"/>
      <c r="Z147" s="63"/>
      <c r="AA147" s="63"/>
      <c r="AB147" s="63"/>
      <c r="AC147" s="63"/>
    </row>
    <row r="148" spans="1:29" ht="16" customHeight="1">
      <c r="A148" t="s">
        <v>40</v>
      </c>
      <c r="B148" s="60" t="s">
        <v>474</v>
      </c>
      <c r="C148" s="60" t="s">
        <v>453</v>
      </c>
      <c r="D148" s="60">
        <v>112.84</v>
      </c>
      <c r="E148" s="60">
        <v>5.43</v>
      </c>
      <c r="F148" s="60">
        <v>47.64</v>
      </c>
      <c r="G148" s="60">
        <v>129.345</v>
      </c>
      <c r="H148" s="60"/>
      <c r="I148" s="60">
        <v>18.260000000000002</v>
      </c>
      <c r="J148" s="60">
        <v>84.72</v>
      </c>
      <c r="K148" s="60"/>
      <c r="L148" s="60"/>
      <c r="M148" s="60">
        <v>70.2</v>
      </c>
      <c r="N148" s="60">
        <f>4.53</f>
        <v>4.53</v>
      </c>
      <c r="O148" s="60">
        <f t="shared" si="23"/>
        <v>472.96499999999997</v>
      </c>
      <c r="P148" s="61"/>
      <c r="Q148" s="62"/>
      <c r="R148" s="63"/>
      <c r="S148" s="63"/>
      <c r="T148" s="63"/>
      <c r="U148" s="63"/>
      <c r="V148" s="63"/>
      <c r="W148" s="63"/>
      <c r="X148" s="63"/>
      <c r="Y148" s="63"/>
      <c r="Z148" s="63"/>
      <c r="AA148" s="63"/>
      <c r="AB148" s="63"/>
      <c r="AC148" s="63"/>
    </row>
    <row r="149" spans="1:29" ht="16" customHeight="1">
      <c r="A149" t="s">
        <v>40</v>
      </c>
      <c r="B149" s="60" t="s">
        <v>474</v>
      </c>
      <c r="C149" s="60" t="s">
        <v>454</v>
      </c>
      <c r="D149" s="60"/>
      <c r="E149" s="60">
        <v>0.35</v>
      </c>
      <c r="F149" s="60">
        <v>4.0999999999999996</v>
      </c>
      <c r="G149" s="60">
        <v>4.91</v>
      </c>
      <c r="H149" s="60"/>
      <c r="I149" s="60">
        <v>2.59</v>
      </c>
      <c r="J149" s="60"/>
      <c r="K149" s="60"/>
      <c r="L149" s="60"/>
      <c r="M149" s="60"/>
      <c r="N149" s="60">
        <v>0.13</v>
      </c>
      <c r="O149" s="60">
        <f t="shared" si="23"/>
        <v>12.08</v>
      </c>
      <c r="P149" s="61"/>
      <c r="Q149" s="62"/>
      <c r="R149" s="63"/>
      <c r="S149" s="63"/>
      <c r="T149" s="63"/>
      <c r="U149" s="63"/>
      <c r="V149" s="63"/>
      <c r="W149" s="63"/>
      <c r="X149" s="63"/>
      <c r="Y149" s="63"/>
      <c r="Z149" s="63"/>
      <c r="AA149" s="63"/>
      <c r="AB149" s="63"/>
      <c r="AC149" s="63"/>
    </row>
    <row r="150" spans="1:29" ht="16" customHeight="1">
      <c r="A150" t="s">
        <v>40</v>
      </c>
      <c r="B150" s="60" t="s">
        <v>474</v>
      </c>
      <c r="C150" s="60" t="s">
        <v>455</v>
      </c>
      <c r="D150" s="60"/>
      <c r="E150" s="60">
        <v>0.54</v>
      </c>
      <c r="F150" s="60">
        <v>49.2</v>
      </c>
      <c r="G150" s="60">
        <v>3.6</v>
      </c>
      <c r="H150" s="60"/>
      <c r="I150" s="60">
        <v>5</v>
      </c>
      <c r="J150" s="60"/>
      <c r="K150" s="60"/>
      <c r="L150" s="60"/>
      <c r="M150" s="60"/>
      <c r="N150" s="60">
        <v>4.25</v>
      </c>
      <c r="O150" s="60">
        <f t="shared" si="23"/>
        <v>62.59</v>
      </c>
      <c r="P150" s="61"/>
      <c r="Q150" s="62"/>
      <c r="R150" s="63"/>
      <c r="S150" s="63"/>
      <c r="T150" s="63"/>
      <c r="U150" s="63"/>
      <c r="V150" s="63"/>
      <c r="W150" s="63"/>
      <c r="X150" s="63"/>
      <c r="Y150" s="63"/>
      <c r="Z150" s="63"/>
      <c r="AA150" s="63"/>
      <c r="AB150" s="63"/>
      <c r="AC150" s="63"/>
    </row>
    <row r="151" spans="1:29" ht="16" customHeight="1">
      <c r="A151" t="s">
        <v>40</v>
      </c>
      <c r="B151" s="60" t="s">
        <v>474</v>
      </c>
      <c r="C151" s="60" t="s">
        <v>456</v>
      </c>
      <c r="D151" s="60">
        <v>4.45</v>
      </c>
      <c r="E151" s="60">
        <v>19.59</v>
      </c>
      <c r="F151" s="60">
        <v>2.2599999999999998</v>
      </c>
      <c r="G151" s="60"/>
      <c r="H151" s="60"/>
      <c r="I151" s="60"/>
      <c r="J151" s="60"/>
      <c r="K151" s="60"/>
      <c r="L151" s="60"/>
      <c r="M151" s="60"/>
      <c r="N151" s="60"/>
      <c r="O151" s="60">
        <f t="shared" si="23"/>
        <v>26.299999999999997</v>
      </c>
      <c r="P151" s="61"/>
      <c r="Q151" s="62"/>
      <c r="R151" s="63"/>
      <c r="S151" s="63"/>
      <c r="T151" s="63"/>
      <c r="U151" s="63"/>
      <c r="V151" s="63"/>
      <c r="W151" s="63"/>
      <c r="X151" s="63"/>
      <c r="Y151" s="63"/>
      <c r="Z151" s="63"/>
      <c r="AA151" s="63"/>
      <c r="AB151" s="63"/>
      <c r="AC151" s="63"/>
    </row>
    <row r="152" spans="1:29" ht="16" customHeight="1">
      <c r="A152" t="s">
        <v>40</v>
      </c>
      <c r="B152" s="60" t="s">
        <v>474</v>
      </c>
      <c r="C152" s="60" t="s">
        <v>457</v>
      </c>
      <c r="D152" s="60">
        <f>3.6+4.95</f>
        <v>8.5500000000000007</v>
      </c>
      <c r="E152" s="60">
        <f>0.03+0.38</f>
        <v>0.41000000000000003</v>
      </c>
      <c r="F152" s="60">
        <f>48.45+5.59</f>
        <v>54.040000000000006</v>
      </c>
      <c r="G152" s="60">
        <f>44.23+97.5</f>
        <v>141.72999999999999</v>
      </c>
      <c r="H152" s="60"/>
      <c r="I152" s="60">
        <f>13.13+7.73</f>
        <v>20.86</v>
      </c>
      <c r="J152" s="60"/>
      <c r="K152" s="60"/>
      <c r="L152" s="60"/>
      <c r="M152" s="60">
        <v>20.329999999999998</v>
      </c>
      <c r="N152" s="60">
        <f>1.96+2.06</f>
        <v>4.0199999999999996</v>
      </c>
      <c r="O152" s="60">
        <f t="shared" si="23"/>
        <v>249.93999999999997</v>
      </c>
      <c r="P152" s="61"/>
      <c r="Q152" s="62"/>
      <c r="R152" s="63"/>
      <c r="S152" s="63"/>
      <c r="T152" s="63"/>
      <c r="U152" s="63"/>
      <c r="V152" s="63"/>
      <c r="W152" s="63"/>
      <c r="X152" s="63"/>
      <c r="Y152" s="63"/>
      <c r="Z152" s="63"/>
      <c r="AA152" s="63"/>
      <c r="AB152" s="63"/>
      <c r="AC152" s="63"/>
    </row>
    <row r="153" spans="1:29" ht="16" customHeight="1">
      <c r="A153" t="s">
        <v>40</v>
      </c>
      <c r="B153" s="60" t="s">
        <v>474</v>
      </c>
      <c r="C153" s="60" t="s">
        <v>458</v>
      </c>
      <c r="D153" s="60">
        <v>0.16</v>
      </c>
      <c r="E153" s="60">
        <v>4.82</v>
      </c>
      <c r="F153" s="60">
        <v>34.79</v>
      </c>
      <c r="G153" s="60">
        <v>41.59</v>
      </c>
      <c r="H153" s="60"/>
      <c r="I153" s="60">
        <v>130.24</v>
      </c>
      <c r="J153" s="60"/>
      <c r="K153" s="60"/>
      <c r="L153" s="60"/>
      <c r="M153" s="60"/>
      <c r="N153" s="60">
        <v>3.35</v>
      </c>
      <c r="O153" s="60">
        <f t="shared" si="23"/>
        <v>214.95000000000002</v>
      </c>
      <c r="P153" s="61"/>
      <c r="Q153" s="62"/>
      <c r="R153" s="63"/>
      <c r="S153" s="63"/>
      <c r="T153" s="63"/>
      <c r="U153" s="63"/>
      <c r="V153" s="63"/>
      <c r="W153" s="63"/>
      <c r="X153" s="63"/>
      <c r="Y153" s="63"/>
      <c r="Z153" s="63"/>
      <c r="AA153" s="63"/>
      <c r="AB153" s="63"/>
      <c r="AC153" s="63"/>
    </row>
    <row r="154" spans="1:29" ht="16" customHeight="1">
      <c r="A154" t="s">
        <v>40</v>
      </c>
      <c r="B154" s="60" t="s">
        <v>474</v>
      </c>
      <c r="C154" s="60" t="s">
        <v>459</v>
      </c>
      <c r="D154" s="60">
        <v>56.76</v>
      </c>
      <c r="E154" s="60">
        <v>3.68</v>
      </c>
      <c r="F154" s="60">
        <v>50.55</v>
      </c>
      <c r="G154" s="60">
        <v>21.43</v>
      </c>
      <c r="H154" s="60"/>
      <c r="I154" s="60">
        <v>12.29</v>
      </c>
      <c r="J154" s="60"/>
      <c r="K154" s="60"/>
      <c r="L154" s="60"/>
      <c r="M154" s="60"/>
      <c r="N154" s="60">
        <v>0.43</v>
      </c>
      <c r="O154" s="60">
        <f t="shared" si="23"/>
        <v>145.13999999999999</v>
      </c>
      <c r="P154" s="61"/>
      <c r="Q154" s="62"/>
      <c r="R154" s="63"/>
      <c r="S154" s="63"/>
      <c r="T154" s="63"/>
      <c r="U154" s="63"/>
      <c r="V154" s="63"/>
      <c r="W154" s="63"/>
      <c r="X154" s="63"/>
      <c r="Y154" s="63"/>
      <c r="Z154" s="63"/>
      <c r="AA154" s="63"/>
      <c r="AB154" s="63"/>
      <c r="AC154" s="63"/>
    </row>
    <row r="155" spans="1:29" ht="16" customHeight="1">
      <c r="A155" t="s">
        <v>40</v>
      </c>
      <c r="B155" s="60" t="s">
        <v>474</v>
      </c>
      <c r="C155" s="60" t="s">
        <v>382</v>
      </c>
      <c r="D155" s="60"/>
      <c r="E155" s="60">
        <v>0.25</v>
      </c>
      <c r="F155" s="60">
        <v>2.93</v>
      </c>
      <c r="G155" s="60">
        <v>1.95</v>
      </c>
      <c r="H155" s="60"/>
      <c r="I155" s="60"/>
      <c r="J155" s="60"/>
      <c r="K155" s="60"/>
      <c r="L155" s="60"/>
      <c r="M155" s="60"/>
      <c r="N155" s="60"/>
      <c r="O155" s="60">
        <f t="shared" si="23"/>
        <v>5.13</v>
      </c>
      <c r="P155" s="61"/>
      <c r="Q155" s="62"/>
      <c r="R155" s="63"/>
      <c r="S155" s="63"/>
      <c r="T155" s="63"/>
      <c r="U155" s="63"/>
      <c r="V155" s="63"/>
      <c r="W155" s="63"/>
      <c r="X155" s="63"/>
      <c r="Y155" s="63"/>
      <c r="Z155" s="63"/>
      <c r="AA155" s="63"/>
      <c r="AB155" s="63"/>
      <c r="AC155" s="63"/>
    </row>
    <row r="156" spans="1:29" ht="16" customHeight="1">
      <c r="A156" t="s">
        <v>40</v>
      </c>
      <c r="B156" s="60" t="s">
        <v>474</v>
      </c>
      <c r="C156" s="60" t="s">
        <v>460</v>
      </c>
      <c r="D156" s="60">
        <v>2.4</v>
      </c>
      <c r="E156" s="60">
        <f>1.04+0.54+0.63</f>
        <v>2.21</v>
      </c>
      <c r="F156" s="60">
        <f>0.26+1.77+1.32+2.26+3.99</f>
        <v>9.6000000000000014</v>
      </c>
      <c r="G156" s="60">
        <f>0.56+1.04+4.8+2.25+0.29+0.16+0.8</f>
        <v>9.9</v>
      </c>
      <c r="H156" s="60"/>
      <c r="I156" s="60">
        <f>7.83+8.65+2.53+1.18+7.91+4.86+1.21</f>
        <v>34.17</v>
      </c>
      <c r="J156" s="60"/>
      <c r="K156" s="60"/>
      <c r="L156" s="60"/>
      <c r="M156" s="60"/>
      <c r="N156" s="60">
        <f>0.53</f>
        <v>0.53</v>
      </c>
      <c r="O156" s="60">
        <f t="shared" si="23"/>
        <v>58.81</v>
      </c>
      <c r="P156" s="61"/>
      <c r="Q156" s="62"/>
      <c r="R156" s="63"/>
      <c r="S156" s="63"/>
      <c r="T156" s="63"/>
      <c r="U156" s="63"/>
      <c r="V156" s="63"/>
      <c r="W156" s="63"/>
      <c r="X156" s="63"/>
      <c r="Y156" s="63"/>
      <c r="Z156" s="63"/>
      <c r="AA156" s="63"/>
      <c r="AB156" s="63"/>
      <c r="AC156" s="63"/>
    </row>
    <row r="157" spans="1:29" ht="16" customHeight="1">
      <c r="A157" t="s">
        <v>40</v>
      </c>
      <c r="B157" s="60" t="s">
        <v>474</v>
      </c>
      <c r="C157" s="55" t="s">
        <v>448</v>
      </c>
      <c r="D157" s="60">
        <f t="shared" ref="D157:J157" si="24">SUM(D145:D156)</f>
        <v>189.59</v>
      </c>
      <c r="E157" s="60">
        <f t="shared" si="24"/>
        <v>38.900000000000006</v>
      </c>
      <c r="F157" s="60">
        <f t="shared" si="24"/>
        <v>268.07000000000005</v>
      </c>
      <c r="G157" s="60">
        <f t="shared" si="24"/>
        <v>427.51499999999999</v>
      </c>
      <c r="H157" s="60">
        <f t="shared" si="24"/>
        <v>273.88</v>
      </c>
      <c r="I157" s="60">
        <f t="shared" si="24"/>
        <v>228.71999999999997</v>
      </c>
      <c r="J157" s="60">
        <f t="shared" si="24"/>
        <v>84.72</v>
      </c>
      <c r="K157" s="60"/>
      <c r="L157" s="60"/>
      <c r="M157" s="60">
        <f>SUM(M145:M156)</f>
        <v>214.42000000000002</v>
      </c>
      <c r="N157" s="60">
        <f>SUM(N145:N156)</f>
        <v>19.110000000000003</v>
      </c>
      <c r="O157" s="60">
        <f>SUM(O145:O156)</f>
        <v>1744.9250000000002</v>
      </c>
      <c r="P157" s="61"/>
      <c r="Q157" s="62"/>
      <c r="R157" s="63"/>
      <c r="S157" s="63"/>
      <c r="T157" s="63"/>
      <c r="U157" s="63"/>
      <c r="V157" s="63"/>
      <c r="W157" s="63"/>
      <c r="X157" s="63"/>
      <c r="Y157" s="63"/>
      <c r="Z157" s="63"/>
      <c r="AA157" s="63"/>
      <c r="AB157" s="63"/>
      <c r="AC157" s="63"/>
    </row>
    <row r="158" spans="1:29" ht="16" customHeight="1">
      <c r="A158" t="s">
        <v>40</v>
      </c>
      <c r="B158" s="60" t="s">
        <v>475</v>
      </c>
      <c r="C158" s="60" t="s">
        <v>450</v>
      </c>
      <c r="D158" s="60"/>
      <c r="E158" s="60">
        <v>1.05</v>
      </c>
      <c r="F158" s="60"/>
      <c r="G158" s="60">
        <v>35.75</v>
      </c>
      <c r="H158" s="60">
        <v>274.5</v>
      </c>
      <c r="I158" s="60">
        <v>5</v>
      </c>
      <c r="J158" s="60"/>
      <c r="K158" s="60"/>
      <c r="L158" s="60"/>
      <c r="M158" s="60"/>
      <c r="N158" s="60">
        <v>0.2</v>
      </c>
      <c r="O158" s="60">
        <f t="shared" ref="O158:O169" si="25">SUM(D158:N158)</f>
        <v>316.5</v>
      </c>
      <c r="P158" s="61"/>
      <c r="Q158" s="62"/>
      <c r="R158" s="63"/>
      <c r="S158" s="63"/>
      <c r="T158" s="63"/>
      <c r="U158" s="63"/>
      <c r="V158" s="63"/>
      <c r="W158" s="63"/>
      <c r="X158" s="63"/>
      <c r="Y158" s="63"/>
      <c r="Z158" s="63"/>
      <c r="AA158" s="63"/>
      <c r="AB158" s="63"/>
      <c r="AC158" s="63"/>
    </row>
    <row r="159" spans="1:29" ht="16" customHeight="1">
      <c r="A159" t="s">
        <v>40</v>
      </c>
      <c r="B159" s="60" t="s">
        <v>475</v>
      </c>
      <c r="C159" s="60" t="s">
        <v>451</v>
      </c>
      <c r="D159" s="60">
        <v>12.8</v>
      </c>
      <c r="E159" s="60"/>
      <c r="F159" s="60">
        <v>13.6</v>
      </c>
      <c r="G159" s="60">
        <v>21.7</v>
      </c>
      <c r="H159" s="60"/>
      <c r="I159" s="60"/>
      <c r="J159" s="60"/>
      <c r="K159" s="60"/>
      <c r="L159" s="60"/>
      <c r="M159" s="60">
        <v>219.1</v>
      </c>
      <c r="N159" s="60">
        <f>1.9</f>
        <v>1.9</v>
      </c>
      <c r="O159" s="60">
        <f t="shared" si="25"/>
        <v>269.09999999999997</v>
      </c>
      <c r="P159" s="61"/>
      <c r="Q159" s="62"/>
      <c r="R159" s="63"/>
      <c r="S159" s="63"/>
      <c r="T159" s="63"/>
      <c r="U159" s="63"/>
      <c r="V159" s="63"/>
      <c r="W159" s="63"/>
      <c r="X159" s="63"/>
      <c r="Y159" s="63"/>
      <c r="Z159" s="63"/>
      <c r="AA159" s="63"/>
      <c r="AB159" s="63"/>
      <c r="AC159" s="63"/>
    </row>
    <row r="160" spans="1:29" ht="16" customHeight="1">
      <c r="A160" t="s">
        <v>40</v>
      </c>
      <c r="B160" s="60" t="s">
        <v>475</v>
      </c>
      <c r="C160" s="60" t="s">
        <v>452</v>
      </c>
      <c r="D160" s="60">
        <v>108.38500000000001</v>
      </c>
      <c r="E160" s="60"/>
      <c r="F160" s="60"/>
      <c r="G160" s="60"/>
      <c r="H160" s="60"/>
      <c r="I160" s="60"/>
      <c r="J160" s="60"/>
      <c r="K160" s="60"/>
      <c r="L160" s="60"/>
      <c r="M160" s="60">
        <v>96.12</v>
      </c>
      <c r="N160" s="60"/>
      <c r="O160" s="60">
        <f t="shared" si="25"/>
        <v>204.505</v>
      </c>
      <c r="P160" s="61"/>
      <c r="Q160" s="62"/>
      <c r="R160" s="63"/>
      <c r="S160" s="63"/>
      <c r="T160" s="63"/>
      <c r="U160" s="63"/>
      <c r="V160" s="63"/>
      <c r="W160" s="63"/>
      <c r="X160" s="63"/>
      <c r="Y160" s="63"/>
      <c r="Z160" s="63"/>
      <c r="AA160" s="63"/>
      <c r="AB160" s="63"/>
      <c r="AC160" s="63"/>
    </row>
    <row r="161" spans="1:29" ht="16" customHeight="1">
      <c r="A161" t="s">
        <v>40</v>
      </c>
      <c r="B161" s="60" t="s">
        <v>475</v>
      </c>
      <c r="C161" s="60" t="s">
        <v>453</v>
      </c>
      <c r="D161" s="60">
        <v>86.75</v>
      </c>
      <c r="E161" s="60">
        <v>0.65</v>
      </c>
      <c r="F161" s="60">
        <v>45.25</v>
      </c>
      <c r="G161" s="60">
        <v>241.05</v>
      </c>
      <c r="H161" s="60"/>
      <c r="I161" s="60">
        <v>27</v>
      </c>
      <c r="J161" s="60">
        <v>169.2</v>
      </c>
      <c r="K161" s="60"/>
      <c r="L161" s="60"/>
      <c r="M161" s="60"/>
      <c r="N161" s="60">
        <v>4.4000000000000004</v>
      </c>
      <c r="O161" s="60">
        <f t="shared" si="25"/>
        <v>574.30000000000007</v>
      </c>
      <c r="P161" s="61"/>
      <c r="Q161" s="62"/>
      <c r="R161" s="63"/>
      <c r="S161" s="63"/>
      <c r="T161" s="63"/>
      <c r="U161" s="63"/>
      <c r="V161" s="63"/>
      <c r="W161" s="63"/>
      <c r="X161" s="63"/>
      <c r="Y161" s="63"/>
      <c r="Z161" s="63"/>
      <c r="AA161" s="63"/>
      <c r="AB161" s="63"/>
      <c r="AC161" s="63"/>
    </row>
    <row r="162" spans="1:29" ht="16" customHeight="1">
      <c r="A162" t="s">
        <v>40</v>
      </c>
      <c r="B162" s="60" t="s">
        <v>475</v>
      </c>
      <c r="C162" s="60" t="s">
        <v>454</v>
      </c>
      <c r="D162" s="60">
        <v>6.3</v>
      </c>
      <c r="E162" s="60">
        <v>1.2</v>
      </c>
      <c r="F162" s="60">
        <v>3.1</v>
      </c>
      <c r="G162" s="60">
        <v>18.899999999999999</v>
      </c>
      <c r="H162" s="60"/>
      <c r="I162" s="60">
        <v>0.5</v>
      </c>
      <c r="J162" s="60"/>
      <c r="K162" s="60"/>
      <c r="L162" s="60"/>
      <c r="M162" s="60"/>
      <c r="N162" s="60">
        <v>3.3</v>
      </c>
      <c r="O162" s="60">
        <f t="shared" si="25"/>
        <v>33.299999999999997</v>
      </c>
      <c r="P162" s="61"/>
      <c r="Q162" s="62"/>
      <c r="R162" s="63"/>
      <c r="S162" s="63"/>
      <c r="T162" s="63"/>
      <c r="U162" s="63"/>
      <c r="V162" s="63"/>
      <c r="W162" s="63"/>
      <c r="X162" s="63"/>
      <c r="Y162" s="63"/>
      <c r="Z162" s="63"/>
      <c r="AA162" s="63"/>
      <c r="AB162" s="63"/>
      <c r="AC162" s="63"/>
    </row>
    <row r="163" spans="1:29" ht="16" customHeight="1">
      <c r="A163" t="s">
        <v>40</v>
      </c>
      <c r="B163" s="60" t="s">
        <v>475</v>
      </c>
      <c r="C163" s="60" t="s">
        <v>455</v>
      </c>
      <c r="D163" s="60">
        <v>20.9</v>
      </c>
      <c r="E163" s="60">
        <v>0.6</v>
      </c>
      <c r="F163" s="60">
        <v>39.9</v>
      </c>
      <c r="G163" s="60">
        <v>27.2</v>
      </c>
      <c r="H163" s="60"/>
      <c r="I163" s="60">
        <v>11.1</v>
      </c>
      <c r="J163" s="60"/>
      <c r="K163" s="60"/>
      <c r="L163" s="60"/>
      <c r="M163" s="60"/>
      <c r="N163" s="60">
        <f>9.4+0.3</f>
        <v>9.7000000000000011</v>
      </c>
      <c r="O163" s="60">
        <f t="shared" si="25"/>
        <v>109.39999999999999</v>
      </c>
      <c r="P163" s="61"/>
      <c r="Q163" s="62"/>
      <c r="R163" s="63"/>
      <c r="S163" s="63"/>
      <c r="T163" s="63"/>
      <c r="U163" s="63"/>
      <c r="V163" s="63"/>
      <c r="W163" s="63"/>
      <c r="X163" s="63"/>
      <c r="Y163" s="63"/>
      <c r="Z163" s="63"/>
      <c r="AA163" s="63"/>
      <c r="AB163" s="63"/>
      <c r="AC163" s="63"/>
    </row>
    <row r="164" spans="1:29" ht="16" customHeight="1">
      <c r="A164" t="s">
        <v>40</v>
      </c>
      <c r="B164" s="60" t="s">
        <v>475</v>
      </c>
      <c r="C164" s="60" t="s">
        <v>456</v>
      </c>
      <c r="D164" s="60">
        <v>15.6</v>
      </c>
      <c r="E164" s="60">
        <v>19.2</v>
      </c>
      <c r="F164" s="60">
        <v>3.4</v>
      </c>
      <c r="G164" s="60"/>
      <c r="H164" s="60"/>
      <c r="I164" s="60"/>
      <c r="J164" s="60"/>
      <c r="K164" s="60"/>
      <c r="L164" s="60"/>
      <c r="M164" s="60"/>
      <c r="N164" s="60">
        <v>0.3</v>
      </c>
      <c r="O164" s="60">
        <f t="shared" si="25"/>
        <v>38.499999999999993</v>
      </c>
      <c r="P164" s="61"/>
      <c r="Q164" s="62"/>
      <c r="R164" s="63"/>
      <c r="S164" s="63"/>
      <c r="T164" s="63"/>
      <c r="U164" s="63"/>
      <c r="V164" s="63"/>
      <c r="W164" s="63"/>
      <c r="X164" s="63"/>
      <c r="Y164" s="63"/>
      <c r="Z164" s="63"/>
      <c r="AA164" s="63"/>
      <c r="AB164" s="63"/>
      <c r="AC164" s="63"/>
    </row>
    <row r="165" spans="1:29" ht="16" customHeight="1">
      <c r="A165" t="s">
        <v>40</v>
      </c>
      <c r="B165" s="60" t="s">
        <v>475</v>
      </c>
      <c r="C165" s="60" t="s">
        <v>457</v>
      </c>
      <c r="D165" s="60">
        <f>70.05+31.86</f>
        <v>101.91</v>
      </c>
      <c r="E165" s="60">
        <v>1.6</v>
      </c>
      <c r="F165" s="60">
        <f>3.1+49.9</f>
        <v>53</v>
      </c>
      <c r="G165" s="60">
        <f>50.55+86.74</f>
        <v>137.29</v>
      </c>
      <c r="H165" s="60"/>
      <c r="I165" s="60">
        <f>6.5+3.6</f>
        <v>10.1</v>
      </c>
      <c r="J165" s="60"/>
      <c r="K165" s="60"/>
      <c r="L165" s="60"/>
      <c r="M165" s="60">
        <v>10.3</v>
      </c>
      <c r="N165" s="60">
        <f>2.7+1+4.8</f>
        <v>8.5</v>
      </c>
      <c r="O165" s="60">
        <f t="shared" si="25"/>
        <v>322.7</v>
      </c>
      <c r="P165" s="61"/>
      <c r="Q165" s="62"/>
      <c r="R165" s="63"/>
      <c r="S165" s="63"/>
      <c r="T165" s="63"/>
      <c r="U165" s="63"/>
      <c r="V165" s="63"/>
      <c r="W165" s="63"/>
      <c r="X165" s="63"/>
      <c r="Y165" s="63"/>
      <c r="Z165" s="63"/>
      <c r="AA165" s="63"/>
      <c r="AB165" s="63"/>
      <c r="AC165" s="63"/>
    </row>
    <row r="166" spans="1:29" ht="16" customHeight="1">
      <c r="A166" t="s">
        <v>40</v>
      </c>
      <c r="B166" s="60" t="s">
        <v>475</v>
      </c>
      <c r="C166" s="60" t="s">
        <v>458</v>
      </c>
      <c r="D166" s="60"/>
      <c r="E166" s="60">
        <v>1.95</v>
      </c>
      <c r="F166" s="60">
        <v>35.549999999999997</v>
      </c>
      <c r="G166" s="60">
        <v>34</v>
      </c>
      <c r="H166" s="60"/>
      <c r="I166" s="60">
        <v>138</v>
      </c>
      <c r="J166" s="60"/>
      <c r="K166" s="60"/>
      <c r="L166" s="60"/>
      <c r="M166" s="60"/>
      <c r="N166" s="60"/>
      <c r="O166" s="60">
        <f t="shared" si="25"/>
        <v>209.5</v>
      </c>
      <c r="P166" s="61"/>
      <c r="Q166" s="62"/>
      <c r="R166" s="63"/>
      <c r="S166" s="63"/>
      <c r="T166" s="63"/>
      <c r="U166" s="63"/>
      <c r="V166" s="63"/>
      <c r="W166" s="63"/>
      <c r="X166" s="63"/>
      <c r="Y166" s="63"/>
      <c r="Z166" s="63"/>
      <c r="AA166" s="63"/>
      <c r="AB166" s="63"/>
      <c r="AC166" s="63"/>
    </row>
    <row r="167" spans="1:29" ht="16" customHeight="1">
      <c r="A167" t="s">
        <v>40</v>
      </c>
      <c r="B167" s="60" t="s">
        <v>475</v>
      </c>
      <c r="C167" s="60" t="s">
        <v>459</v>
      </c>
      <c r="D167" s="60">
        <v>62.5</v>
      </c>
      <c r="E167" s="60">
        <v>8.6</v>
      </c>
      <c r="F167" s="60">
        <v>47.4</v>
      </c>
      <c r="G167" s="60">
        <v>36.65</v>
      </c>
      <c r="H167" s="60"/>
      <c r="I167" s="60">
        <v>15.4</v>
      </c>
      <c r="J167" s="60"/>
      <c r="K167" s="60"/>
      <c r="L167" s="60"/>
      <c r="M167" s="60"/>
      <c r="N167" s="60">
        <f>8.55+0.8</f>
        <v>9.3500000000000014</v>
      </c>
      <c r="O167" s="60">
        <f t="shared" si="25"/>
        <v>179.9</v>
      </c>
      <c r="P167" s="61"/>
      <c r="Q167" s="62"/>
      <c r="R167" s="63"/>
      <c r="S167" s="63"/>
      <c r="T167" s="63"/>
      <c r="U167" s="63"/>
      <c r="V167" s="63"/>
      <c r="W167" s="63"/>
      <c r="X167" s="63"/>
      <c r="Y167" s="63"/>
      <c r="Z167" s="63"/>
      <c r="AA167" s="63"/>
      <c r="AB167" s="63"/>
      <c r="AC167" s="63"/>
    </row>
    <row r="168" spans="1:29" ht="16" customHeight="1">
      <c r="A168" t="s">
        <v>40</v>
      </c>
      <c r="B168" s="60" t="s">
        <v>475</v>
      </c>
      <c r="C168" s="60" t="s">
        <v>382</v>
      </c>
      <c r="D168" s="60"/>
      <c r="E168" s="60">
        <v>0.4</v>
      </c>
      <c r="F168" s="60">
        <v>3.8</v>
      </c>
      <c r="G168" s="60">
        <v>14.2</v>
      </c>
      <c r="H168" s="60"/>
      <c r="I168" s="60"/>
      <c r="J168" s="60"/>
      <c r="K168" s="60"/>
      <c r="L168" s="60"/>
      <c r="M168" s="60"/>
      <c r="N168" s="60"/>
      <c r="O168" s="60">
        <f t="shared" si="25"/>
        <v>18.399999999999999</v>
      </c>
      <c r="P168" s="61"/>
      <c r="Q168" s="62"/>
      <c r="R168" s="63"/>
      <c r="S168" s="63"/>
      <c r="T168" s="63"/>
      <c r="U168" s="63"/>
      <c r="V168" s="63"/>
      <c r="W168" s="63"/>
      <c r="X168" s="63"/>
      <c r="Y168" s="63"/>
      <c r="Z168" s="63"/>
      <c r="AA168" s="63"/>
      <c r="AB168" s="63"/>
      <c r="AC168" s="63"/>
    </row>
    <row r="169" spans="1:29" ht="16" customHeight="1">
      <c r="A169" t="s">
        <v>40</v>
      </c>
      <c r="B169" s="60" t="s">
        <v>475</v>
      </c>
      <c r="C169" s="60" t="s">
        <v>460</v>
      </c>
      <c r="D169" s="60">
        <f>0.6+9</f>
        <v>9.6</v>
      </c>
      <c r="E169" s="60">
        <f>0.1</f>
        <v>0.1</v>
      </c>
      <c r="F169" s="60">
        <f>7+13.2+10.7</f>
        <v>30.9</v>
      </c>
      <c r="G169" s="60">
        <f>4.9+0.2+0.2+20.5</f>
        <v>25.8</v>
      </c>
      <c r="H169" s="60"/>
      <c r="I169" s="60">
        <f>2.1+8.5+9.6+21.5+1.1+15+3.5</f>
        <v>61.300000000000004</v>
      </c>
      <c r="J169" s="60"/>
      <c r="K169" s="60"/>
      <c r="L169" s="60"/>
      <c r="M169" s="60"/>
      <c r="N169" s="60">
        <f>0.2+0.3+3.1</f>
        <v>3.6</v>
      </c>
      <c r="O169" s="60">
        <f t="shared" si="25"/>
        <v>131.29999999999998</v>
      </c>
      <c r="P169" s="61"/>
      <c r="Q169" s="62"/>
      <c r="R169" s="63"/>
      <c r="S169" s="63"/>
      <c r="T169" s="63"/>
      <c r="U169" s="63"/>
      <c r="V169" s="63"/>
      <c r="W169" s="63"/>
      <c r="X169" s="63"/>
      <c r="Y169" s="63"/>
      <c r="Z169" s="63"/>
      <c r="AA169" s="63"/>
      <c r="AB169" s="63"/>
      <c r="AC169" s="63"/>
    </row>
    <row r="170" spans="1:29" ht="16" customHeight="1">
      <c r="A170" t="s">
        <v>40</v>
      </c>
      <c r="B170" s="60" t="s">
        <v>475</v>
      </c>
      <c r="C170" s="55" t="s">
        <v>448</v>
      </c>
      <c r="D170" s="60">
        <f t="shared" ref="D170:J170" si="26">SUM(D158:D169)</f>
        <v>424.745</v>
      </c>
      <c r="E170" s="60">
        <f t="shared" si="26"/>
        <v>35.35</v>
      </c>
      <c r="F170" s="60">
        <f t="shared" si="26"/>
        <v>275.90000000000003</v>
      </c>
      <c r="G170" s="60">
        <f t="shared" si="26"/>
        <v>592.54</v>
      </c>
      <c r="H170" s="60">
        <f t="shared" si="26"/>
        <v>274.5</v>
      </c>
      <c r="I170" s="60">
        <f t="shared" si="26"/>
        <v>268.39999999999998</v>
      </c>
      <c r="J170" s="60">
        <f t="shared" si="26"/>
        <v>169.2</v>
      </c>
      <c r="K170" s="60"/>
      <c r="L170" s="60"/>
      <c r="M170" s="60">
        <f>SUM(M158:M169)</f>
        <v>325.52000000000004</v>
      </c>
      <c r="N170" s="60">
        <f>SUM(N158:N169)</f>
        <v>41.250000000000007</v>
      </c>
      <c r="O170" s="60">
        <f>SUM(O158:O169)</f>
        <v>2407.4050000000007</v>
      </c>
      <c r="P170" s="61"/>
      <c r="Q170" s="62"/>
      <c r="R170" s="63"/>
      <c r="S170" s="63"/>
      <c r="T170" s="63"/>
      <c r="U170" s="63"/>
      <c r="V170" s="63"/>
      <c r="W170" s="63"/>
      <c r="X170" s="63"/>
      <c r="Y170" s="63"/>
      <c r="Z170" s="63"/>
      <c r="AA170" s="63"/>
      <c r="AB170" s="63"/>
      <c r="AC170" s="63"/>
    </row>
    <row r="171" spans="1:29" ht="16" customHeight="1">
      <c r="A171" t="s">
        <v>40</v>
      </c>
      <c r="B171" s="60" t="s">
        <v>476</v>
      </c>
      <c r="C171" s="60" t="s">
        <v>450</v>
      </c>
      <c r="D171" s="60"/>
      <c r="E171" s="60"/>
      <c r="F171" s="60">
        <v>7.2</v>
      </c>
      <c r="G171" s="60">
        <v>45</v>
      </c>
      <c r="H171" s="60">
        <v>373.7</v>
      </c>
      <c r="I171" s="60">
        <v>4</v>
      </c>
      <c r="J171" s="60"/>
      <c r="K171" s="60"/>
      <c r="L171" s="60"/>
      <c r="M171" s="60"/>
      <c r="N171" s="60"/>
      <c r="O171" s="60">
        <f t="shared" ref="O171:O172" si="27">SUM(D171:N171)</f>
        <v>429.9</v>
      </c>
      <c r="P171" s="61"/>
      <c r="Q171" s="62"/>
      <c r="R171" s="63"/>
      <c r="S171" s="63"/>
      <c r="T171" s="63"/>
      <c r="U171" s="63"/>
      <c r="V171" s="63"/>
      <c r="W171" s="63"/>
      <c r="X171" s="63"/>
      <c r="Y171" s="63"/>
      <c r="Z171" s="63"/>
      <c r="AA171" s="63"/>
      <c r="AB171" s="63"/>
      <c r="AC171" s="63"/>
    </row>
    <row r="172" spans="1:29" ht="16" customHeight="1">
      <c r="A172" t="s">
        <v>40</v>
      </c>
      <c r="B172" s="60" t="s">
        <v>476</v>
      </c>
      <c r="C172" s="60" t="s">
        <v>451</v>
      </c>
      <c r="D172" s="60"/>
      <c r="E172" s="60"/>
      <c r="F172" s="60">
        <v>17.5</v>
      </c>
      <c r="G172" s="60">
        <v>44.9</v>
      </c>
      <c r="H172" s="60"/>
      <c r="I172" s="60"/>
      <c r="J172" s="60"/>
      <c r="K172" s="60"/>
      <c r="L172" s="60"/>
      <c r="M172" s="60">
        <v>305.7</v>
      </c>
      <c r="N172" s="60">
        <v>1.8</v>
      </c>
      <c r="O172" s="60">
        <f t="shared" si="27"/>
        <v>369.9</v>
      </c>
      <c r="P172" s="61"/>
      <c r="Q172" s="62"/>
      <c r="R172" s="63"/>
      <c r="S172" s="63"/>
      <c r="T172" s="63"/>
      <c r="U172" s="63"/>
      <c r="V172" s="63"/>
      <c r="W172" s="63"/>
      <c r="X172" s="63"/>
      <c r="Y172" s="63"/>
      <c r="Z172" s="63"/>
      <c r="AA172" s="63"/>
      <c r="AB172" s="63"/>
      <c r="AC172" s="63"/>
    </row>
    <row r="173" spans="1:29" ht="16" customHeight="1">
      <c r="A173" t="s">
        <v>40</v>
      </c>
      <c r="B173" s="60" t="s">
        <v>476</v>
      </c>
      <c r="C173" s="60" t="s">
        <v>452</v>
      </c>
      <c r="D173" s="60"/>
      <c r="E173" s="60"/>
      <c r="F173" s="60"/>
      <c r="G173" s="60"/>
      <c r="H173" s="60"/>
      <c r="I173" s="60"/>
      <c r="J173" s="60"/>
      <c r="K173" s="60"/>
      <c r="L173" s="60"/>
      <c r="M173" s="60"/>
      <c r="N173" s="60"/>
      <c r="O173" s="60"/>
      <c r="P173" s="61"/>
      <c r="Q173" s="62"/>
      <c r="R173" s="63"/>
      <c r="S173" s="63"/>
      <c r="T173" s="63"/>
      <c r="U173" s="63"/>
      <c r="V173" s="63"/>
      <c r="W173" s="63"/>
      <c r="X173" s="63"/>
      <c r="Y173" s="63"/>
      <c r="Z173" s="63"/>
      <c r="AA173" s="63"/>
      <c r="AB173" s="63"/>
      <c r="AC173" s="63"/>
    </row>
    <row r="174" spans="1:29" ht="16" customHeight="1">
      <c r="A174" t="s">
        <v>40</v>
      </c>
      <c r="B174" s="60" t="s">
        <v>476</v>
      </c>
      <c r="C174" s="60" t="s">
        <v>453</v>
      </c>
      <c r="D174" s="60">
        <f>0.7+6.7+4.25+(0.53*400)+7.3+0.36</f>
        <v>231.31000000000003</v>
      </c>
      <c r="E174" s="60"/>
      <c r="F174" s="60">
        <f>42.4+26.9+0.1+84+13.9</f>
        <v>167.29999999999998</v>
      </c>
      <c r="G174" s="60">
        <f>0.7+15.5+16.5+167.5+24+27.1+4.4+4.25+44.1+0.35+7.3+0.3+1.1</f>
        <v>313.10000000000008</v>
      </c>
      <c r="H174" s="60"/>
      <c r="I174" s="60">
        <f>6.3+17.2+1.3+0.2</f>
        <v>25</v>
      </c>
      <c r="J174" s="60">
        <v>315</v>
      </c>
      <c r="K174" s="60"/>
      <c r="L174" s="60"/>
      <c r="M174" s="60">
        <f>0.47*400</f>
        <v>188</v>
      </c>
      <c r="N174" s="60">
        <f>1+2.6+0.8+0.3+0.4</f>
        <v>5.1000000000000005</v>
      </c>
      <c r="O174" s="60">
        <f t="shared" ref="O174:O175" si="28">SUM(D174:N174)</f>
        <v>1244.81</v>
      </c>
      <c r="P174" s="61"/>
      <c r="Q174" s="62"/>
      <c r="R174" s="63"/>
      <c r="S174" s="63"/>
      <c r="T174" s="63"/>
      <c r="U174" s="63"/>
      <c r="V174" s="63"/>
      <c r="W174" s="63"/>
      <c r="X174" s="63"/>
      <c r="Y174" s="63"/>
      <c r="Z174" s="63"/>
      <c r="AA174" s="63"/>
      <c r="AB174" s="63"/>
      <c r="AC174" s="63"/>
    </row>
    <row r="175" spans="1:29" ht="16" customHeight="1">
      <c r="A175" t="s">
        <v>40</v>
      </c>
      <c r="B175" s="60" t="s">
        <v>476</v>
      </c>
      <c r="C175" s="60" t="s">
        <v>454</v>
      </c>
      <c r="D175" s="60">
        <v>0.3</v>
      </c>
      <c r="E175" s="60">
        <v>1.2</v>
      </c>
      <c r="F175" s="60">
        <v>9.3000000000000007</v>
      </c>
      <c r="G175" s="60">
        <v>15.6</v>
      </c>
      <c r="H175" s="60"/>
      <c r="I175" s="60">
        <v>0.5</v>
      </c>
      <c r="J175" s="60"/>
      <c r="K175" s="60"/>
      <c r="L175" s="60"/>
      <c r="M175" s="60"/>
      <c r="N175" s="60"/>
      <c r="O175" s="60">
        <f t="shared" si="28"/>
        <v>26.9</v>
      </c>
      <c r="P175" s="61"/>
      <c r="Q175" s="62"/>
      <c r="R175" s="63"/>
      <c r="S175" s="63"/>
      <c r="T175" s="63"/>
      <c r="U175" s="63"/>
      <c r="V175" s="63"/>
      <c r="W175" s="63"/>
      <c r="X175" s="63"/>
      <c r="Y175" s="63"/>
      <c r="Z175" s="63"/>
      <c r="AA175" s="63"/>
      <c r="AB175" s="63"/>
      <c r="AC175" s="63"/>
    </row>
    <row r="176" spans="1:29" ht="16" customHeight="1">
      <c r="A176" t="s">
        <v>40</v>
      </c>
      <c r="B176" s="60" t="s">
        <v>476</v>
      </c>
      <c r="C176" s="60" t="s">
        <v>455</v>
      </c>
      <c r="D176" s="60"/>
      <c r="E176" s="60"/>
      <c r="F176" s="60"/>
      <c r="G176" s="60"/>
      <c r="H176" s="60"/>
      <c r="I176" s="60"/>
      <c r="J176" s="60"/>
      <c r="K176" s="60"/>
      <c r="L176" s="60"/>
      <c r="M176" s="60"/>
      <c r="N176" s="60"/>
      <c r="O176" s="60"/>
      <c r="P176" s="61"/>
      <c r="Q176" s="62"/>
      <c r="R176" s="63"/>
      <c r="S176" s="63"/>
      <c r="T176" s="63"/>
      <c r="U176" s="63"/>
      <c r="V176" s="63"/>
      <c r="W176" s="63"/>
      <c r="X176" s="63"/>
      <c r="Y176" s="63"/>
      <c r="Z176" s="63"/>
      <c r="AA176" s="63"/>
      <c r="AB176" s="63"/>
      <c r="AC176" s="63"/>
    </row>
    <row r="177" spans="1:29" ht="16" customHeight="1">
      <c r="A177" t="s">
        <v>40</v>
      </c>
      <c r="B177" s="60" t="s">
        <v>476</v>
      </c>
      <c r="C177" s="60" t="s">
        <v>456</v>
      </c>
      <c r="D177" s="60">
        <v>82</v>
      </c>
      <c r="E177" s="60">
        <v>58.5</v>
      </c>
      <c r="F177" s="60">
        <v>18.899999999999999</v>
      </c>
      <c r="G177" s="60">
        <v>2</v>
      </c>
      <c r="H177" s="60"/>
      <c r="I177" s="60"/>
      <c r="J177" s="60"/>
      <c r="K177" s="60"/>
      <c r="L177" s="60"/>
      <c r="M177" s="60"/>
      <c r="N177" s="60"/>
      <c r="O177" s="60">
        <f t="shared" ref="O177:O182" si="29">SUM(D177:N177)</f>
        <v>161.4</v>
      </c>
      <c r="P177" s="61"/>
      <c r="Q177" s="62"/>
      <c r="R177" s="63"/>
      <c r="S177" s="63"/>
      <c r="T177" s="63"/>
      <c r="U177" s="63"/>
      <c r="V177" s="63"/>
      <c r="W177" s="63"/>
      <c r="X177" s="63"/>
      <c r="Y177" s="63"/>
      <c r="Z177" s="63"/>
      <c r="AA177" s="63"/>
      <c r="AB177" s="63"/>
      <c r="AC177" s="63"/>
    </row>
    <row r="178" spans="1:29" ht="16" customHeight="1">
      <c r="A178" t="s">
        <v>40</v>
      </c>
      <c r="B178" s="60" t="s">
        <v>476</v>
      </c>
      <c r="C178" s="60" t="s">
        <v>457</v>
      </c>
      <c r="D178" s="60">
        <v>153.9</v>
      </c>
      <c r="E178" s="60">
        <v>7.8</v>
      </c>
      <c r="F178" s="60">
        <v>44.28</v>
      </c>
      <c r="G178" s="60">
        <v>197.39</v>
      </c>
      <c r="H178" s="60"/>
      <c r="I178" s="60">
        <v>17.63</v>
      </c>
      <c r="J178" s="60"/>
      <c r="K178" s="60"/>
      <c r="L178" s="60"/>
      <c r="M178" s="60"/>
      <c r="N178" s="60">
        <v>3.4</v>
      </c>
      <c r="O178" s="60">
        <f t="shared" si="29"/>
        <v>424.4</v>
      </c>
      <c r="P178" s="61"/>
      <c r="Q178" s="62"/>
      <c r="R178" s="63"/>
      <c r="S178" s="63"/>
      <c r="T178" s="63"/>
      <c r="U178" s="63"/>
      <c r="V178" s="63"/>
      <c r="W178" s="63"/>
      <c r="X178" s="63"/>
      <c r="Y178" s="63"/>
      <c r="Z178" s="63"/>
      <c r="AA178" s="63"/>
      <c r="AB178" s="63"/>
      <c r="AC178" s="63"/>
    </row>
    <row r="179" spans="1:29" ht="16" customHeight="1">
      <c r="A179" t="s">
        <v>40</v>
      </c>
      <c r="B179" s="60" t="s">
        <v>476</v>
      </c>
      <c r="C179" s="60" t="s">
        <v>458</v>
      </c>
      <c r="D179" s="60">
        <v>2.9</v>
      </c>
      <c r="E179" s="60"/>
      <c r="F179" s="60">
        <v>32.700000000000003</v>
      </c>
      <c r="G179" s="60">
        <v>29</v>
      </c>
      <c r="H179" s="60"/>
      <c r="I179" s="60">
        <v>280</v>
      </c>
      <c r="J179" s="60"/>
      <c r="K179" s="60"/>
      <c r="L179" s="60"/>
      <c r="M179" s="60"/>
      <c r="N179" s="60">
        <v>2.9</v>
      </c>
      <c r="O179" s="60">
        <f t="shared" si="29"/>
        <v>347.5</v>
      </c>
      <c r="P179" s="61"/>
      <c r="Q179" s="62"/>
      <c r="R179" s="63"/>
      <c r="S179" s="63"/>
      <c r="T179" s="63"/>
      <c r="U179" s="63"/>
      <c r="V179" s="63"/>
      <c r="W179" s="63"/>
      <c r="X179" s="63"/>
      <c r="Y179" s="63"/>
      <c r="Z179" s="63"/>
      <c r="AA179" s="63"/>
      <c r="AB179" s="63"/>
      <c r="AC179" s="63"/>
    </row>
    <row r="180" spans="1:29" ht="16" customHeight="1">
      <c r="A180" t="s">
        <v>40</v>
      </c>
      <c r="B180" s="60" t="s">
        <v>476</v>
      </c>
      <c r="C180" s="60" t="s">
        <v>459</v>
      </c>
      <c r="D180" s="60">
        <v>60.48</v>
      </c>
      <c r="E180" s="60">
        <v>4.5650000000000004</v>
      </c>
      <c r="F180" s="60">
        <v>49.32</v>
      </c>
      <c r="G180" s="60">
        <v>33.950000000000003</v>
      </c>
      <c r="H180" s="60"/>
      <c r="I180" s="60">
        <v>17.84</v>
      </c>
      <c r="J180" s="60"/>
      <c r="K180" s="60"/>
      <c r="L180" s="60"/>
      <c r="M180" s="60"/>
      <c r="N180" s="60">
        <f>7.095+0.85</f>
        <v>7.9449999999999994</v>
      </c>
      <c r="O180" s="60">
        <f t="shared" si="29"/>
        <v>174.1</v>
      </c>
      <c r="P180" s="61"/>
      <c r="Q180" s="62"/>
      <c r="R180" s="63"/>
      <c r="S180" s="63"/>
      <c r="T180" s="63"/>
      <c r="U180" s="63"/>
      <c r="V180" s="63"/>
      <c r="W180" s="63"/>
      <c r="X180" s="63"/>
      <c r="Y180" s="63"/>
      <c r="Z180" s="63"/>
      <c r="AA180" s="63"/>
      <c r="AB180" s="63"/>
      <c r="AC180" s="63"/>
    </row>
    <row r="181" spans="1:29" ht="16" customHeight="1">
      <c r="A181" t="s">
        <v>40</v>
      </c>
      <c r="B181" s="60" t="s">
        <v>476</v>
      </c>
      <c r="C181" s="60" t="s">
        <v>382</v>
      </c>
      <c r="D181" s="60">
        <v>0.4</v>
      </c>
      <c r="E181" s="60">
        <v>0.3</v>
      </c>
      <c r="F181" s="60">
        <v>4.5999999999999996</v>
      </c>
      <c r="G181" s="60">
        <v>31.8</v>
      </c>
      <c r="H181" s="60"/>
      <c r="I181" s="60"/>
      <c r="J181" s="60"/>
      <c r="K181" s="60"/>
      <c r="L181" s="60"/>
      <c r="M181" s="60"/>
      <c r="N181" s="60">
        <v>0.1</v>
      </c>
      <c r="O181" s="60">
        <f t="shared" si="29"/>
        <v>37.200000000000003</v>
      </c>
      <c r="P181" s="61"/>
      <c r="Q181" s="62"/>
      <c r="R181" s="63"/>
      <c r="S181" s="63"/>
      <c r="T181" s="63"/>
      <c r="U181" s="63"/>
      <c r="V181" s="63"/>
      <c r="W181" s="63"/>
      <c r="X181" s="63"/>
      <c r="Y181" s="63"/>
      <c r="Z181" s="63"/>
      <c r="AA181" s="63"/>
      <c r="AB181" s="63"/>
      <c r="AC181" s="63"/>
    </row>
    <row r="182" spans="1:29" ht="16" customHeight="1">
      <c r="A182" t="s">
        <v>40</v>
      </c>
      <c r="B182" s="60" t="s">
        <v>476</v>
      </c>
      <c r="C182" s="60" t="s">
        <v>460</v>
      </c>
      <c r="D182" s="60">
        <f>20+1.35+0.5+3.3+2.65</f>
        <v>27.8</v>
      </c>
      <c r="E182" s="60">
        <f>0.4</f>
        <v>0.4</v>
      </c>
      <c r="F182" s="60">
        <f>0.2+0.3+0.6+3.8</f>
        <v>4.9000000000000004</v>
      </c>
      <c r="G182" s="60">
        <f>29.38+3.25+2.5 +3.7 +11.05+2.6</f>
        <v>52.48</v>
      </c>
      <c r="H182" s="60"/>
      <c r="I182" s="60">
        <f>8.8+2.5+1.1+11.2</f>
        <v>23.6</v>
      </c>
      <c r="J182" s="60"/>
      <c r="K182" s="60"/>
      <c r="L182" s="60"/>
      <c r="M182" s="60"/>
      <c r="N182" s="60">
        <f>3.22</f>
        <v>3.22</v>
      </c>
      <c r="O182" s="60">
        <f t="shared" si="29"/>
        <v>112.4</v>
      </c>
      <c r="P182" s="61"/>
      <c r="Q182" s="62"/>
      <c r="R182" s="63"/>
      <c r="S182" s="63"/>
      <c r="T182" s="63"/>
      <c r="U182" s="63"/>
      <c r="V182" s="63"/>
      <c r="W182" s="63"/>
      <c r="X182" s="63"/>
      <c r="Y182" s="63"/>
      <c r="Z182" s="63"/>
      <c r="AA182" s="63"/>
      <c r="AB182" s="63"/>
      <c r="AC182" s="63"/>
    </row>
    <row r="183" spans="1:29" ht="16" customHeight="1">
      <c r="A183" t="s">
        <v>40</v>
      </c>
      <c r="B183" s="60" t="s">
        <v>476</v>
      </c>
      <c r="C183" s="55" t="s">
        <v>448</v>
      </c>
      <c r="D183" s="60">
        <f t="shared" ref="D183:J183" si="30">SUM(D171:D182)</f>
        <v>559.08999999999992</v>
      </c>
      <c r="E183" s="60">
        <f t="shared" si="30"/>
        <v>72.765000000000001</v>
      </c>
      <c r="F183" s="60">
        <f t="shared" si="30"/>
        <v>356</v>
      </c>
      <c r="G183" s="60">
        <f t="shared" si="30"/>
        <v>765.22000000000014</v>
      </c>
      <c r="H183" s="60">
        <f t="shared" si="30"/>
        <v>373.7</v>
      </c>
      <c r="I183" s="60">
        <f t="shared" si="30"/>
        <v>368.57</v>
      </c>
      <c r="J183" s="60">
        <f t="shared" si="30"/>
        <v>315</v>
      </c>
      <c r="K183" s="60"/>
      <c r="L183" s="60"/>
      <c r="M183" s="60">
        <f>SUM(M171:M182)</f>
        <v>493.7</v>
      </c>
      <c r="N183" s="60">
        <f>SUM(N171:N182)</f>
        <v>24.465</v>
      </c>
      <c r="O183" s="60">
        <f>SUM(O171:O182)</f>
        <v>3328.5099999999998</v>
      </c>
      <c r="P183" s="61"/>
      <c r="Q183" s="62"/>
      <c r="R183" s="63"/>
      <c r="S183" s="63"/>
      <c r="T183" s="63"/>
      <c r="U183" s="63"/>
      <c r="V183" s="63"/>
      <c r="W183" s="63"/>
      <c r="X183" s="63"/>
      <c r="Y183" s="63"/>
      <c r="Z183" s="63"/>
      <c r="AA183" s="63"/>
      <c r="AB183" s="63"/>
      <c r="AC183" s="63"/>
    </row>
    <row r="184" spans="1:29" ht="16" customHeight="1">
      <c r="A184" t="s">
        <v>40</v>
      </c>
      <c r="B184" s="64" t="s">
        <v>477</v>
      </c>
      <c r="C184" s="60" t="s">
        <v>450</v>
      </c>
      <c r="D184" s="60"/>
      <c r="E184" s="60"/>
      <c r="F184" s="60">
        <v>1.5</v>
      </c>
      <c r="G184" s="60">
        <v>35</v>
      </c>
      <c r="H184" s="60">
        <v>285</v>
      </c>
      <c r="I184" s="60">
        <v>8</v>
      </c>
      <c r="J184" s="60" t="s">
        <v>478</v>
      </c>
      <c r="K184" s="60"/>
      <c r="L184" s="60"/>
      <c r="M184" s="60"/>
      <c r="N184" s="60">
        <v>1.5</v>
      </c>
      <c r="O184" s="60">
        <f t="shared" ref="O184:O195" si="31">SUM(D184:N184)</f>
        <v>331</v>
      </c>
      <c r="P184" s="61"/>
    </row>
    <row r="185" spans="1:29" ht="16" customHeight="1">
      <c r="A185" t="s">
        <v>40</v>
      </c>
      <c r="B185" s="64" t="s">
        <v>477</v>
      </c>
      <c r="C185" s="60" t="s">
        <v>451</v>
      </c>
      <c r="D185" s="60">
        <f>32.64</f>
        <v>32.64</v>
      </c>
      <c r="E185" s="60"/>
      <c r="F185" s="60">
        <v>1.2</v>
      </c>
      <c r="G185" s="60">
        <v>1.1000000000000001</v>
      </c>
      <c r="H185" s="60"/>
      <c r="I185" s="60"/>
      <c r="J185" s="60"/>
      <c r="K185" s="60"/>
      <c r="L185" s="60"/>
      <c r="M185" s="60">
        <f>239.7</f>
        <v>239.7</v>
      </c>
      <c r="N185" s="60">
        <v>10.26</v>
      </c>
      <c r="O185" s="60">
        <f t="shared" si="31"/>
        <v>284.89999999999998</v>
      </c>
      <c r="P185" s="61"/>
    </row>
    <row r="186" spans="1:29" ht="16" customHeight="1">
      <c r="A186" t="s">
        <v>40</v>
      </c>
      <c r="B186" s="64" t="s">
        <v>477</v>
      </c>
      <c r="C186" s="60" t="s">
        <v>452</v>
      </c>
      <c r="D186" s="60">
        <f>0.6+19.47</f>
        <v>20.07</v>
      </c>
      <c r="E186" s="60">
        <v>13.4</v>
      </c>
      <c r="F186" s="60">
        <v>43.1</v>
      </c>
      <c r="G186" s="60">
        <v>16.3</v>
      </c>
      <c r="H186" s="60"/>
      <c r="I186" s="60">
        <v>0.6</v>
      </c>
      <c r="J186" s="60"/>
      <c r="K186" s="60"/>
      <c r="L186" s="60"/>
      <c r="M186" s="60">
        <v>150.44999999999999</v>
      </c>
      <c r="N186" s="60">
        <f>0.4+7.08</f>
        <v>7.48</v>
      </c>
      <c r="O186" s="60">
        <f t="shared" si="31"/>
        <v>251.39999999999995</v>
      </c>
      <c r="P186" s="61"/>
    </row>
    <row r="187" spans="1:29" ht="16" customHeight="1">
      <c r="A187" t="s">
        <v>40</v>
      </c>
      <c r="B187" s="64" t="s">
        <v>477</v>
      </c>
      <c r="C187" s="60" t="s">
        <v>453</v>
      </c>
      <c r="D187" s="60"/>
      <c r="E187" s="60"/>
      <c r="F187" s="60">
        <v>36.9</v>
      </c>
      <c r="G187" s="60">
        <v>175</v>
      </c>
      <c r="H187" s="60"/>
      <c r="I187" s="60">
        <v>20</v>
      </c>
      <c r="J187" s="60">
        <v>170</v>
      </c>
      <c r="K187" s="60"/>
      <c r="L187" s="60"/>
      <c r="M187" s="60">
        <v>9</v>
      </c>
      <c r="N187" s="60">
        <v>3.5</v>
      </c>
      <c r="O187" s="60">
        <f t="shared" si="31"/>
        <v>414.4</v>
      </c>
      <c r="P187" s="61"/>
    </row>
    <row r="188" spans="1:29" ht="16" customHeight="1">
      <c r="A188" t="s">
        <v>40</v>
      </c>
      <c r="B188" s="64" t="s">
        <v>477</v>
      </c>
      <c r="C188" s="60" t="s">
        <v>454</v>
      </c>
      <c r="D188" s="60">
        <v>2.69</v>
      </c>
      <c r="E188" s="60">
        <v>0.7</v>
      </c>
      <c r="F188" s="60">
        <v>0.7</v>
      </c>
      <c r="G188" s="60">
        <v>15.2</v>
      </c>
      <c r="H188" s="60"/>
      <c r="I188" s="60">
        <v>2.5</v>
      </c>
      <c r="J188" s="60"/>
      <c r="K188" s="60"/>
      <c r="L188" s="60"/>
      <c r="M188" s="60"/>
      <c r="N188" s="60">
        <v>0.7</v>
      </c>
      <c r="O188" s="60">
        <f t="shared" si="31"/>
        <v>22.49</v>
      </c>
      <c r="P188" s="61"/>
    </row>
    <row r="189" spans="1:29" ht="16" customHeight="1">
      <c r="A189" t="s">
        <v>40</v>
      </c>
      <c r="B189" s="64" t="s">
        <v>477</v>
      </c>
      <c r="C189" s="60" t="s">
        <v>455</v>
      </c>
      <c r="D189" s="60"/>
      <c r="E189" s="60">
        <v>0.4</v>
      </c>
      <c r="F189" s="60">
        <f>63.1+28.77</f>
        <v>91.87</v>
      </c>
      <c r="G189" s="60"/>
      <c r="H189" s="60"/>
      <c r="I189" s="60">
        <v>11.6</v>
      </c>
      <c r="J189" s="60"/>
      <c r="K189" s="60"/>
      <c r="L189" s="60"/>
      <c r="M189" s="60"/>
      <c r="N189" s="60">
        <v>6.5</v>
      </c>
      <c r="O189" s="60">
        <f t="shared" si="31"/>
        <v>110.37</v>
      </c>
      <c r="P189" s="61"/>
    </row>
    <row r="190" spans="1:29" ht="16" customHeight="1">
      <c r="A190" t="s">
        <v>40</v>
      </c>
      <c r="B190" s="64" t="s">
        <v>477</v>
      </c>
      <c r="C190" s="60" t="s">
        <v>456</v>
      </c>
      <c r="D190" s="60">
        <v>22.7</v>
      </c>
      <c r="E190" s="60">
        <v>22.6</v>
      </c>
      <c r="F190" s="60">
        <f>8.6</f>
        <v>8.6</v>
      </c>
      <c r="G190" s="60"/>
      <c r="H190" s="60"/>
      <c r="I190" s="60"/>
      <c r="J190" s="60"/>
      <c r="K190" s="60"/>
      <c r="L190" s="60"/>
      <c r="M190" s="60"/>
      <c r="N190" s="60"/>
      <c r="O190" s="60">
        <f t="shared" si="31"/>
        <v>53.9</v>
      </c>
      <c r="P190" s="61"/>
    </row>
    <row r="191" spans="1:29" ht="16" customHeight="1">
      <c r="A191" t="s">
        <v>40</v>
      </c>
      <c r="B191" s="64" t="s">
        <v>477</v>
      </c>
      <c r="C191" s="60" t="s">
        <v>457</v>
      </c>
      <c r="D191" s="60">
        <v>63</v>
      </c>
      <c r="E191" s="60"/>
      <c r="F191" s="60"/>
      <c r="G191" s="60">
        <v>66.099999999999994</v>
      </c>
      <c r="H191" s="60"/>
      <c r="I191" s="60"/>
      <c r="J191" s="60"/>
      <c r="K191" s="60"/>
      <c r="L191" s="60"/>
      <c r="M191" s="60"/>
      <c r="N191" s="60"/>
      <c r="O191" s="60">
        <f t="shared" si="31"/>
        <v>129.1</v>
      </c>
      <c r="P191" s="61"/>
    </row>
    <row r="192" spans="1:29" ht="16" customHeight="1">
      <c r="A192" t="s">
        <v>40</v>
      </c>
      <c r="B192" s="64" t="s">
        <v>477</v>
      </c>
      <c r="C192" s="60" t="s">
        <v>458</v>
      </c>
      <c r="D192" s="60"/>
      <c r="E192" s="60"/>
      <c r="F192" s="60">
        <v>1.8</v>
      </c>
      <c r="G192" s="60"/>
      <c r="H192" s="60"/>
      <c r="I192" s="60">
        <v>300</v>
      </c>
      <c r="J192" s="60"/>
      <c r="K192" s="60"/>
      <c r="L192" s="60"/>
      <c r="M192" s="60"/>
      <c r="N192" s="60"/>
      <c r="O192" s="60">
        <f t="shared" si="31"/>
        <v>301.8</v>
      </c>
      <c r="P192" s="61"/>
    </row>
    <row r="193" spans="1:29" ht="16" customHeight="1">
      <c r="A193" t="s">
        <v>40</v>
      </c>
      <c r="B193" s="64" t="s">
        <v>477</v>
      </c>
      <c r="C193" s="60" t="s">
        <v>459</v>
      </c>
      <c r="D193" s="60">
        <v>54.2</v>
      </c>
      <c r="E193" s="60">
        <v>1.8</v>
      </c>
      <c r="F193" s="60">
        <v>51</v>
      </c>
      <c r="G193" s="60">
        <v>23.3</v>
      </c>
      <c r="H193" s="60"/>
      <c r="I193" s="60">
        <v>16.3</v>
      </c>
      <c r="J193" s="60"/>
      <c r="K193" s="60"/>
      <c r="L193" s="60"/>
      <c r="M193" s="60"/>
      <c r="N193" s="60">
        <v>1</v>
      </c>
      <c r="O193" s="60">
        <f t="shared" si="31"/>
        <v>147.60000000000002</v>
      </c>
      <c r="P193" s="61"/>
    </row>
    <row r="194" spans="1:29" ht="16" customHeight="1">
      <c r="A194" t="s">
        <v>40</v>
      </c>
      <c r="B194" s="64" t="s">
        <v>477</v>
      </c>
      <c r="C194" s="60" t="s">
        <v>382</v>
      </c>
      <c r="D194" s="60"/>
      <c r="E194" s="60"/>
      <c r="F194" s="60"/>
      <c r="G194" s="60">
        <v>11.2</v>
      </c>
      <c r="H194" s="60"/>
      <c r="I194" s="60"/>
      <c r="J194" s="60"/>
      <c r="K194" s="60"/>
      <c r="L194" s="60"/>
      <c r="M194" s="60"/>
      <c r="N194" s="60">
        <v>2.6</v>
      </c>
      <c r="O194" s="60">
        <f t="shared" si="31"/>
        <v>13.799999999999999</v>
      </c>
      <c r="P194" s="61"/>
    </row>
    <row r="195" spans="1:29" ht="16" customHeight="1">
      <c r="A195" t="s">
        <v>40</v>
      </c>
      <c r="B195" s="64" t="s">
        <v>477</v>
      </c>
      <c r="C195" s="60" t="s">
        <v>460</v>
      </c>
      <c r="D195" s="60">
        <v>1.8</v>
      </c>
      <c r="E195" s="60"/>
      <c r="F195" s="60">
        <v>56.9</v>
      </c>
      <c r="G195" s="60">
        <v>169.7</v>
      </c>
      <c r="H195" s="60"/>
      <c r="I195" s="60">
        <v>17.899999999999999</v>
      </c>
      <c r="J195" s="60"/>
      <c r="K195" s="60"/>
      <c r="L195" s="60"/>
      <c r="M195" s="60"/>
      <c r="N195" s="60">
        <f>19.2+3.6</f>
        <v>22.8</v>
      </c>
      <c r="O195" s="60">
        <f t="shared" si="31"/>
        <v>269.09999999999997</v>
      </c>
      <c r="P195" s="61"/>
    </row>
    <row r="196" spans="1:29" ht="16" customHeight="1">
      <c r="A196" t="s">
        <v>40</v>
      </c>
      <c r="B196" s="64" t="s">
        <v>477</v>
      </c>
      <c r="C196" s="55" t="s">
        <v>448</v>
      </c>
      <c r="D196" s="60">
        <f t="shared" ref="D196:J196" si="32">SUM(D184:D195)</f>
        <v>197.10000000000002</v>
      </c>
      <c r="E196" s="60">
        <f t="shared" si="32"/>
        <v>38.9</v>
      </c>
      <c r="F196" s="60">
        <f t="shared" si="32"/>
        <v>293.57</v>
      </c>
      <c r="G196" s="60">
        <f t="shared" si="32"/>
        <v>512.9</v>
      </c>
      <c r="H196" s="60">
        <f t="shared" si="32"/>
        <v>285</v>
      </c>
      <c r="I196" s="60">
        <f t="shared" si="32"/>
        <v>376.9</v>
      </c>
      <c r="J196" s="60">
        <f t="shared" si="32"/>
        <v>170</v>
      </c>
      <c r="K196" s="60"/>
      <c r="L196" s="60"/>
      <c r="M196" s="60">
        <f>SUM(M184:M195)</f>
        <v>399.15</v>
      </c>
      <c r="N196" s="60">
        <f>SUM(N184:N195)</f>
        <v>56.34</v>
      </c>
      <c r="O196" s="60">
        <f>SUM(D196:N196)</f>
        <v>2329.86</v>
      </c>
      <c r="P196" s="61"/>
      <c r="Q196" s="62"/>
      <c r="R196" s="63"/>
      <c r="S196" s="63"/>
      <c r="T196" s="63"/>
      <c r="U196" s="63"/>
      <c r="V196" s="63"/>
      <c r="W196" s="63"/>
      <c r="X196" s="63"/>
      <c r="Y196" s="63"/>
      <c r="Z196" s="63"/>
      <c r="AA196" s="63"/>
      <c r="AB196" s="63"/>
      <c r="AC196" s="63"/>
    </row>
    <row r="197" spans="1:29" ht="16" customHeight="1">
      <c r="A197" t="s">
        <v>40</v>
      </c>
      <c r="B197" s="64" t="s">
        <v>479</v>
      </c>
      <c r="C197" s="60" t="s">
        <v>450</v>
      </c>
      <c r="D197" s="60"/>
      <c r="E197" s="60"/>
      <c r="F197" s="60">
        <v>1.3</v>
      </c>
      <c r="G197" s="60">
        <v>0.3</v>
      </c>
      <c r="H197" s="60">
        <v>460</v>
      </c>
      <c r="I197" s="60"/>
      <c r="J197" s="60"/>
      <c r="K197" s="60"/>
      <c r="L197" s="60"/>
      <c r="M197" s="60"/>
      <c r="N197" s="60">
        <v>4.7</v>
      </c>
      <c r="O197" s="60">
        <f t="shared" ref="O197:O208" si="33">SUM(D197:N197)</f>
        <v>466.3</v>
      </c>
      <c r="P197" s="61"/>
      <c r="Q197" s="62"/>
      <c r="R197" s="63"/>
      <c r="S197" s="63"/>
      <c r="T197" s="63"/>
      <c r="U197" s="63"/>
      <c r="V197" s="63"/>
      <c r="W197" s="63"/>
      <c r="X197" s="63"/>
      <c r="Y197" s="63"/>
      <c r="Z197" s="63"/>
      <c r="AA197" s="63"/>
      <c r="AB197" s="63"/>
      <c r="AC197" s="63"/>
    </row>
    <row r="198" spans="1:29" ht="16" customHeight="1">
      <c r="A198" t="s">
        <v>40</v>
      </c>
      <c r="B198" s="64" t="s">
        <v>479</v>
      </c>
      <c r="C198" s="60" t="s">
        <v>451</v>
      </c>
      <c r="D198" s="60">
        <v>198</v>
      </c>
      <c r="E198" s="60"/>
      <c r="F198" s="60">
        <v>1.3</v>
      </c>
      <c r="G198" s="60"/>
      <c r="H198" s="60"/>
      <c r="I198" s="60"/>
      <c r="J198" s="60"/>
      <c r="K198" s="60"/>
      <c r="L198" s="60"/>
      <c r="M198" s="60"/>
      <c r="N198" s="60"/>
      <c r="O198" s="60">
        <f t="shared" si="33"/>
        <v>199.3</v>
      </c>
      <c r="P198" s="61"/>
      <c r="Q198" s="62"/>
      <c r="R198" s="63"/>
      <c r="S198" s="63"/>
      <c r="T198" s="63"/>
      <c r="U198" s="63"/>
      <c r="V198" s="63"/>
      <c r="W198" s="63"/>
      <c r="X198" s="63"/>
      <c r="Y198" s="63"/>
      <c r="Z198" s="63"/>
      <c r="AA198" s="63"/>
      <c r="AB198" s="63"/>
      <c r="AC198" s="63"/>
    </row>
    <row r="199" spans="1:29" ht="16" customHeight="1">
      <c r="A199" t="s">
        <v>40</v>
      </c>
      <c r="B199" s="64" t="s">
        <v>479</v>
      </c>
      <c r="C199" s="60" t="s">
        <v>452</v>
      </c>
      <c r="D199" s="60">
        <v>288</v>
      </c>
      <c r="E199" s="60"/>
      <c r="F199" s="60">
        <v>24.8</v>
      </c>
      <c r="G199" s="60"/>
      <c r="H199" s="60"/>
      <c r="I199" s="60"/>
      <c r="J199" s="60"/>
      <c r="K199" s="60"/>
      <c r="L199" s="60"/>
      <c r="M199" s="60"/>
      <c r="N199" s="60">
        <v>4.4000000000000004</v>
      </c>
      <c r="O199" s="60">
        <f t="shared" si="33"/>
        <v>317.2</v>
      </c>
      <c r="P199" s="61"/>
      <c r="Q199" s="62"/>
      <c r="R199" s="63"/>
      <c r="S199" s="63"/>
      <c r="T199" s="63"/>
      <c r="U199" s="63"/>
      <c r="V199" s="63"/>
      <c r="W199" s="63"/>
      <c r="X199" s="63"/>
      <c r="Y199" s="63"/>
      <c r="Z199" s="63"/>
      <c r="AA199" s="63"/>
      <c r="AB199" s="63"/>
      <c r="AC199" s="63"/>
    </row>
    <row r="200" spans="1:29" ht="16" customHeight="1">
      <c r="A200" t="s">
        <v>40</v>
      </c>
      <c r="B200" s="64" t="s">
        <v>479</v>
      </c>
      <c r="C200" s="60" t="s">
        <v>453</v>
      </c>
      <c r="D200" s="60">
        <v>86.3</v>
      </c>
      <c r="E200" s="60">
        <v>0.3</v>
      </c>
      <c r="F200" s="60">
        <v>2.2000000000000002</v>
      </c>
      <c r="G200" s="60">
        <v>145.1</v>
      </c>
      <c r="H200" s="60"/>
      <c r="I200" s="60"/>
      <c r="J200" s="60">
        <v>219</v>
      </c>
      <c r="K200" s="60"/>
      <c r="L200" s="60"/>
      <c r="M200" s="60"/>
      <c r="N200" s="60">
        <v>13.1</v>
      </c>
      <c r="O200" s="60">
        <f t="shared" si="33"/>
        <v>466</v>
      </c>
      <c r="P200" s="61"/>
      <c r="Q200" s="62"/>
      <c r="R200" s="63"/>
      <c r="S200" s="63"/>
      <c r="T200" s="63"/>
      <c r="U200" s="63"/>
      <c r="V200" s="63"/>
      <c r="W200" s="63"/>
      <c r="X200" s="63"/>
      <c r="Y200" s="63"/>
      <c r="Z200" s="63"/>
      <c r="AA200" s="63"/>
      <c r="AB200" s="63"/>
      <c r="AC200" s="63"/>
    </row>
    <row r="201" spans="1:29" ht="16" customHeight="1">
      <c r="A201" t="s">
        <v>40</v>
      </c>
      <c r="B201" s="64" t="s">
        <v>479</v>
      </c>
      <c r="C201" s="60" t="s">
        <v>454</v>
      </c>
      <c r="D201" s="60">
        <v>12.4</v>
      </c>
      <c r="E201" s="60">
        <v>0.8</v>
      </c>
      <c r="F201" s="60">
        <v>4.2</v>
      </c>
      <c r="G201" s="60">
        <v>5.2</v>
      </c>
      <c r="H201" s="60"/>
      <c r="I201" s="60">
        <v>2.4</v>
      </c>
      <c r="J201" s="60"/>
      <c r="K201" s="60"/>
      <c r="L201" s="60"/>
      <c r="M201" s="60">
        <v>9</v>
      </c>
      <c r="N201" s="60"/>
      <c r="O201" s="60">
        <f t="shared" si="33"/>
        <v>34</v>
      </c>
      <c r="P201" s="61"/>
      <c r="Q201" s="62"/>
      <c r="R201" s="63"/>
      <c r="S201" s="63"/>
      <c r="T201" s="63"/>
      <c r="U201" s="63"/>
      <c r="V201" s="63"/>
      <c r="W201" s="63"/>
      <c r="X201" s="63"/>
      <c r="Y201" s="63"/>
      <c r="Z201" s="63"/>
      <c r="AA201" s="63"/>
      <c r="AB201" s="63"/>
      <c r="AC201" s="63"/>
    </row>
    <row r="202" spans="1:29" ht="16" customHeight="1">
      <c r="A202" t="s">
        <v>40</v>
      </c>
      <c r="B202" s="64" t="s">
        <v>479</v>
      </c>
      <c r="C202" s="60" t="s">
        <v>455</v>
      </c>
      <c r="D202" s="60">
        <v>3.5</v>
      </c>
      <c r="E202" s="60">
        <v>0.7</v>
      </c>
      <c r="F202" s="60">
        <v>61.1</v>
      </c>
      <c r="G202" s="60">
        <v>29.5</v>
      </c>
      <c r="H202" s="60"/>
      <c r="I202" s="60">
        <v>11.4</v>
      </c>
      <c r="J202" s="60"/>
      <c r="K202" s="60"/>
      <c r="L202" s="60"/>
      <c r="M202" s="60"/>
      <c r="N202" s="60">
        <v>6.6</v>
      </c>
      <c r="O202" s="60">
        <f t="shared" si="33"/>
        <v>112.8</v>
      </c>
      <c r="P202" s="61"/>
      <c r="Q202" s="62"/>
      <c r="R202" s="63"/>
      <c r="S202" s="63"/>
      <c r="T202" s="63"/>
      <c r="U202" s="63"/>
      <c r="V202" s="63"/>
      <c r="W202" s="63"/>
      <c r="X202" s="63"/>
      <c r="Y202" s="63"/>
      <c r="Z202" s="63"/>
      <c r="AA202" s="63"/>
      <c r="AB202" s="63"/>
      <c r="AC202" s="63"/>
    </row>
    <row r="203" spans="1:29" ht="16" customHeight="1">
      <c r="A203" t="s">
        <v>40</v>
      </c>
      <c r="B203" s="64" t="s">
        <v>479</v>
      </c>
      <c r="C203" s="60" t="s">
        <v>456</v>
      </c>
      <c r="D203" s="60">
        <v>12</v>
      </c>
      <c r="E203" s="60">
        <v>29</v>
      </c>
      <c r="F203" s="60">
        <v>2.5</v>
      </c>
      <c r="G203" s="60"/>
      <c r="H203" s="60"/>
      <c r="I203" s="60"/>
      <c r="J203" s="60"/>
      <c r="K203" s="60"/>
      <c r="L203" s="60"/>
      <c r="M203" s="60"/>
      <c r="N203" s="60"/>
      <c r="O203" s="60">
        <f t="shared" si="33"/>
        <v>43.5</v>
      </c>
      <c r="P203" s="61"/>
      <c r="Q203" s="62"/>
      <c r="R203" s="63"/>
      <c r="S203" s="63"/>
      <c r="T203" s="63"/>
      <c r="U203" s="63"/>
      <c r="V203" s="63"/>
      <c r="W203" s="63"/>
      <c r="X203" s="63"/>
      <c r="Y203" s="63"/>
      <c r="Z203" s="63"/>
      <c r="AA203" s="63"/>
      <c r="AB203" s="63"/>
      <c r="AC203" s="63"/>
    </row>
    <row r="204" spans="1:29" ht="16" customHeight="1">
      <c r="A204" t="s">
        <v>40</v>
      </c>
      <c r="B204" s="64" t="s">
        <v>479</v>
      </c>
      <c r="C204" s="60" t="s">
        <v>457</v>
      </c>
      <c r="D204" s="60">
        <v>36</v>
      </c>
      <c r="E204" s="60"/>
      <c r="F204" s="60">
        <v>1</v>
      </c>
      <c r="G204" s="60">
        <f>49+7</f>
        <v>56</v>
      </c>
      <c r="H204" s="60"/>
      <c r="I204" s="60"/>
      <c r="J204" s="60"/>
      <c r="K204" s="60"/>
      <c r="L204" s="60"/>
      <c r="M204" s="60"/>
      <c r="N204" s="60"/>
      <c r="O204" s="60">
        <f t="shared" si="33"/>
        <v>93</v>
      </c>
      <c r="P204" s="61"/>
      <c r="Q204" s="62"/>
      <c r="R204" s="63"/>
      <c r="S204" s="63"/>
      <c r="T204" s="63"/>
      <c r="U204" s="63"/>
      <c r="V204" s="63"/>
      <c r="W204" s="63"/>
      <c r="X204" s="63"/>
      <c r="Y204" s="63"/>
      <c r="Z204" s="63"/>
      <c r="AA204" s="63"/>
      <c r="AB204" s="63"/>
      <c r="AC204" s="63"/>
    </row>
    <row r="205" spans="1:29" ht="16" customHeight="1">
      <c r="A205" t="s">
        <v>40</v>
      </c>
      <c r="B205" s="64" t="s">
        <v>479</v>
      </c>
      <c r="C205" s="60" t="s">
        <v>458</v>
      </c>
      <c r="D205" s="60">
        <f>0.8+1.9</f>
        <v>2.7</v>
      </c>
      <c r="E205" s="60"/>
      <c r="F205" s="60">
        <v>1.9</v>
      </c>
      <c r="G205" s="60"/>
      <c r="H205" s="60"/>
      <c r="I205" s="60">
        <v>195</v>
      </c>
      <c r="J205" s="60"/>
      <c r="K205" s="60"/>
      <c r="L205" s="60"/>
      <c r="M205" s="60">
        <v>1</v>
      </c>
      <c r="N205" s="60"/>
      <c r="O205" s="60">
        <f t="shared" si="33"/>
        <v>200.6</v>
      </c>
      <c r="P205" s="61"/>
      <c r="Q205" s="62"/>
      <c r="R205" s="63"/>
      <c r="S205" s="63"/>
      <c r="T205" s="63"/>
      <c r="U205" s="63"/>
      <c r="V205" s="63"/>
      <c r="W205" s="63"/>
      <c r="X205" s="63"/>
      <c r="Y205" s="63"/>
      <c r="Z205" s="63"/>
      <c r="AA205" s="63"/>
      <c r="AB205" s="63"/>
      <c r="AC205" s="63"/>
    </row>
    <row r="206" spans="1:29" ht="16" customHeight="1">
      <c r="A206" t="s">
        <v>40</v>
      </c>
      <c r="B206" s="64" t="s">
        <v>479</v>
      </c>
      <c r="C206" s="60" t="s">
        <v>459</v>
      </c>
      <c r="D206" s="60">
        <v>56.4</v>
      </c>
      <c r="E206" s="60">
        <v>3.7</v>
      </c>
      <c r="F206" s="60">
        <v>51.4</v>
      </c>
      <c r="G206" s="60">
        <v>5.9</v>
      </c>
      <c r="H206" s="60"/>
      <c r="I206" s="60">
        <v>10.3</v>
      </c>
      <c r="J206" s="60"/>
      <c r="K206" s="60"/>
      <c r="L206" s="60"/>
      <c r="M206" s="60"/>
      <c r="N206" s="60">
        <v>0.5</v>
      </c>
      <c r="O206" s="60">
        <f t="shared" si="33"/>
        <v>128.19999999999999</v>
      </c>
      <c r="P206" s="61"/>
      <c r="Q206" s="62"/>
      <c r="R206" s="63"/>
      <c r="S206" s="63"/>
      <c r="T206" s="63"/>
      <c r="U206" s="63"/>
      <c r="V206" s="63"/>
      <c r="W206" s="63"/>
      <c r="X206" s="63"/>
      <c r="Y206" s="63"/>
      <c r="Z206" s="63"/>
      <c r="AA206" s="63"/>
      <c r="AB206" s="63"/>
      <c r="AC206" s="63"/>
    </row>
    <row r="207" spans="1:29" ht="16" customHeight="1">
      <c r="A207" t="s">
        <v>40</v>
      </c>
      <c r="B207" s="64" t="s">
        <v>479</v>
      </c>
      <c r="C207" s="60" t="s">
        <v>382</v>
      </c>
      <c r="D207" s="60"/>
      <c r="E207" s="60"/>
      <c r="F207" s="60">
        <v>0.5</v>
      </c>
      <c r="G207" s="60">
        <v>13.6</v>
      </c>
      <c r="H207" s="60"/>
      <c r="I207" s="60"/>
      <c r="J207" s="60"/>
      <c r="K207" s="60"/>
      <c r="L207" s="60"/>
      <c r="M207" s="60"/>
      <c r="N207" s="60">
        <v>0.3</v>
      </c>
      <c r="O207" s="60">
        <f t="shared" si="33"/>
        <v>14.4</v>
      </c>
      <c r="P207" s="61"/>
      <c r="Q207" s="62"/>
      <c r="R207" s="63"/>
      <c r="S207" s="63"/>
      <c r="T207" s="63"/>
      <c r="U207" s="63"/>
      <c r="V207" s="63"/>
      <c r="W207" s="63"/>
      <c r="X207" s="63"/>
      <c r="Y207" s="63"/>
      <c r="Z207" s="63"/>
      <c r="AA207" s="63"/>
      <c r="AB207" s="63"/>
      <c r="AC207" s="63"/>
    </row>
    <row r="208" spans="1:29" ht="16" customHeight="1">
      <c r="A208" t="s">
        <v>40</v>
      </c>
      <c r="B208" s="64" t="s">
        <v>479</v>
      </c>
      <c r="C208" s="60" t="s">
        <v>460</v>
      </c>
      <c r="D208" s="60">
        <f>326.2+3</f>
        <v>329.2</v>
      </c>
      <c r="E208" s="60"/>
      <c r="F208" s="60">
        <v>2.5</v>
      </c>
      <c r="G208" s="60">
        <v>24.4</v>
      </c>
      <c r="H208" s="60"/>
      <c r="I208" s="60"/>
      <c r="J208" s="60"/>
      <c r="K208" s="60"/>
      <c r="L208" s="60"/>
      <c r="M208" s="60"/>
      <c r="N208" s="60">
        <v>1.5</v>
      </c>
      <c r="O208" s="60">
        <f t="shared" si="33"/>
        <v>357.59999999999997</v>
      </c>
      <c r="P208" s="61"/>
      <c r="Q208" s="62"/>
      <c r="R208" s="63"/>
      <c r="S208" s="63"/>
      <c r="T208" s="63"/>
      <c r="U208" s="63"/>
      <c r="V208" s="63"/>
      <c r="W208" s="63"/>
      <c r="X208" s="63"/>
      <c r="Y208" s="63"/>
      <c r="Z208" s="63"/>
      <c r="AA208" s="63"/>
      <c r="AB208" s="63"/>
      <c r="AC208" s="63"/>
    </row>
    <row r="209" spans="1:29" ht="16" customHeight="1">
      <c r="A209" t="s">
        <v>40</v>
      </c>
      <c r="B209" s="64" t="s">
        <v>479</v>
      </c>
      <c r="C209" s="55" t="s">
        <v>448</v>
      </c>
      <c r="D209" s="60">
        <f t="shared" ref="D209:J209" si="34">SUM(D197:D208)</f>
        <v>1024.5</v>
      </c>
      <c r="E209" s="60">
        <f t="shared" si="34"/>
        <v>34.5</v>
      </c>
      <c r="F209" s="60">
        <f t="shared" si="34"/>
        <v>154.70000000000002</v>
      </c>
      <c r="G209" s="60">
        <f t="shared" si="34"/>
        <v>280</v>
      </c>
      <c r="H209" s="60">
        <f t="shared" si="34"/>
        <v>460</v>
      </c>
      <c r="I209" s="60">
        <f t="shared" si="34"/>
        <v>219.10000000000002</v>
      </c>
      <c r="J209" s="60">
        <f t="shared" si="34"/>
        <v>219</v>
      </c>
      <c r="K209" s="60"/>
      <c r="L209" s="60"/>
      <c r="M209" s="60">
        <f>SUM(M197:M208)</f>
        <v>10</v>
      </c>
      <c r="N209" s="60">
        <f>SUM(N197:N208)</f>
        <v>31.100000000000005</v>
      </c>
      <c r="O209" s="60">
        <f>SUM(D209:N209)</f>
        <v>2432.9</v>
      </c>
      <c r="P209" s="61"/>
      <c r="Q209" s="62"/>
      <c r="R209" s="63"/>
      <c r="S209" s="63"/>
      <c r="T209" s="63"/>
      <c r="U209" s="63"/>
      <c r="V209" s="63"/>
      <c r="W209" s="63"/>
      <c r="X209" s="63"/>
      <c r="Y209" s="63"/>
      <c r="Z209" s="63"/>
      <c r="AA209" s="63"/>
      <c r="AB209" s="63"/>
      <c r="AC209" s="63"/>
    </row>
    <row r="210" spans="1:29" ht="16" customHeight="1">
      <c r="A210" t="s">
        <v>480</v>
      </c>
      <c r="B210" s="64" t="s">
        <v>481</v>
      </c>
      <c r="C210" s="64" t="s">
        <v>467</v>
      </c>
      <c r="D210" s="64"/>
      <c r="E210" s="64"/>
      <c r="F210" s="64"/>
      <c r="G210" s="66"/>
      <c r="H210" s="64"/>
      <c r="I210" s="64"/>
      <c r="J210" s="66">
        <v>30.1</v>
      </c>
      <c r="K210" s="64"/>
      <c r="L210" s="64"/>
      <c r="M210" s="64"/>
      <c r="N210" s="64"/>
      <c r="O210" s="64">
        <f t="shared" ref="O210:O211" si="35">SUM(D210:N210)</f>
        <v>30.1</v>
      </c>
      <c r="P210" s="61"/>
      <c r="Q210" s="62"/>
      <c r="R210" s="63"/>
      <c r="S210" s="63"/>
      <c r="T210" s="63"/>
      <c r="U210" s="63"/>
      <c r="V210" s="63"/>
      <c r="W210" s="63"/>
      <c r="X210" s="63"/>
      <c r="Y210" s="63"/>
      <c r="Z210" s="63"/>
      <c r="AA210" s="63"/>
      <c r="AB210" s="63"/>
      <c r="AC210" s="63"/>
    </row>
    <row r="211" spans="1:29" ht="16" customHeight="1">
      <c r="A211" t="s">
        <v>480</v>
      </c>
      <c r="B211" s="64" t="s">
        <v>481</v>
      </c>
      <c r="C211" s="64" t="s">
        <v>482</v>
      </c>
      <c r="D211" s="64">
        <v>5.5</v>
      </c>
      <c r="E211" s="64">
        <v>2.2000000000000002</v>
      </c>
      <c r="F211" s="64">
        <v>1</v>
      </c>
      <c r="G211" s="66">
        <v>37.9</v>
      </c>
      <c r="H211" s="66">
        <v>41.5</v>
      </c>
      <c r="I211" s="66">
        <v>48.3</v>
      </c>
      <c r="J211" s="64"/>
      <c r="K211" s="64"/>
      <c r="L211" s="64"/>
      <c r="M211" s="64"/>
      <c r="N211" s="66">
        <v>13.3</v>
      </c>
      <c r="O211" s="64">
        <f t="shared" si="35"/>
        <v>149.69999999999999</v>
      </c>
      <c r="P211" s="61"/>
      <c r="Q211" s="62"/>
      <c r="R211" s="63"/>
      <c r="S211" s="63"/>
      <c r="T211" s="63"/>
      <c r="U211" s="63"/>
      <c r="V211" s="63"/>
      <c r="W211" s="63"/>
      <c r="X211" s="63"/>
      <c r="Y211" s="63"/>
      <c r="Z211" s="63"/>
      <c r="AA211" s="63"/>
      <c r="AB211" s="63"/>
      <c r="AC211" s="63"/>
    </row>
    <row r="212" spans="1:29" ht="16" customHeight="1">
      <c r="A212" t="s">
        <v>480</v>
      </c>
      <c r="B212" s="64" t="s">
        <v>481</v>
      </c>
      <c r="C212" s="67" t="s">
        <v>448</v>
      </c>
      <c r="D212" s="64">
        <f t="shared" ref="D212:J212" si="36">SUM(D210:D211)</f>
        <v>5.5</v>
      </c>
      <c r="E212" s="64">
        <f t="shared" si="36"/>
        <v>2.2000000000000002</v>
      </c>
      <c r="F212" s="64">
        <f t="shared" si="36"/>
        <v>1</v>
      </c>
      <c r="G212" s="64">
        <f t="shared" si="36"/>
        <v>37.9</v>
      </c>
      <c r="H212" s="64">
        <f t="shared" si="36"/>
        <v>41.5</v>
      </c>
      <c r="I212" s="64">
        <f t="shared" si="36"/>
        <v>48.3</v>
      </c>
      <c r="J212" s="64">
        <f t="shared" si="36"/>
        <v>30.1</v>
      </c>
      <c r="K212" s="64"/>
      <c r="L212" s="64"/>
      <c r="M212" s="64"/>
      <c r="N212" s="64">
        <f>SUM(N211)</f>
        <v>13.3</v>
      </c>
      <c r="O212" s="64">
        <f>SUM(D212:N212)</f>
        <v>179.79999999999998</v>
      </c>
      <c r="P212" s="61"/>
      <c r="Q212" s="62"/>
      <c r="R212" s="63"/>
      <c r="S212" s="63"/>
      <c r="T212" s="63"/>
      <c r="U212" s="63"/>
      <c r="V212" s="63"/>
      <c r="W212" s="63"/>
      <c r="X212" s="63"/>
      <c r="Y212" s="63"/>
      <c r="Z212" s="63"/>
      <c r="AA212" s="63"/>
      <c r="AB212" s="63"/>
      <c r="AC212" s="63"/>
    </row>
    <row r="213" spans="1:29" ht="16" customHeight="1">
      <c r="A213" t="s">
        <v>480</v>
      </c>
      <c r="B213" s="64" t="s">
        <v>483</v>
      </c>
      <c r="C213" s="64" t="s">
        <v>467</v>
      </c>
      <c r="D213" s="64"/>
      <c r="E213" s="64"/>
      <c r="F213" s="64"/>
      <c r="G213" s="66"/>
      <c r="H213" s="64"/>
      <c r="I213" s="64"/>
      <c r="J213" s="66">
        <v>9.3000000000000007</v>
      </c>
      <c r="K213" s="64"/>
      <c r="L213" s="64"/>
      <c r="M213" s="64"/>
      <c r="N213" s="64"/>
      <c r="O213" s="64">
        <f t="shared" ref="O213:O214" si="37">SUM(D213:N213)</f>
        <v>9.3000000000000007</v>
      </c>
      <c r="P213" s="61"/>
      <c r="Q213" s="62"/>
      <c r="R213" s="63"/>
      <c r="S213" s="63"/>
      <c r="T213" s="63"/>
      <c r="U213" s="63"/>
      <c r="V213" s="63"/>
      <c r="W213" s="63"/>
      <c r="X213" s="63"/>
      <c r="Y213" s="63"/>
      <c r="Z213" s="63"/>
      <c r="AA213" s="63"/>
      <c r="AB213" s="63"/>
      <c r="AC213" s="63"/>
    </row>
    <row r="214" spans="1:29" ht="16" customHeight="1">
      <c r="A214" t="s">
        <v>480</v>
      </c>
      <c r="B214" s="64" t="s">
        <v>483</v>
      </c>
      <c r="C214" s="64" t="s">
        <v>482</v>
      </c>
      <c r="D214" s="64"/>
      <c r="E214" s="64">
        <v>2.2000000000000002</v>
      </c>
      <c r="F214" s="64">
        <v>0.5</v>
      </c>
      <c r="G214" s="66">
        <v>35.6</v>
      </c>
      <c r="H214" s="66">
        <v>22.4</v>
      </c>
      <c r="I214" s="66">
        <v>11.4</v>
      </c>
      <c r="J214" s="64"/>
      <c r="K214" s="64"/>
      <c r="L214" s="64"/>
      <c r="M214" s="64"/>
      <c r="N214" s="66">
        <v>9.8000000000000007</v>
      </c>
      <c r="O214" s="64">
        <f t="shared" si="37"/>
        <v>81.900000000000006</v>
      </c>
      <c r="P214" s="61"/>
      <c r="Q214" s="62"/>
      <c r="R214" s="63"/>
      <c r="S214" s="63"/>
      <c r="T214" s="63"/>
      <c r="U214" s="63"/>
      <c r="V214" s="63"/>
      <c r="W214" s="63"/>
      <c r="X214" s="63"/>
      <c r="Y214" s="63"/>
      <c r="Z214" s="63"/>
      <c r="AA214" s="63"/>
      <c r="AB214" s="63"/>
      <c r="AC214" s="63"/>
    </row>
    <row r="215" spans="1:29" ht="16" customHeight="1">
      <c r="A215" t="s">
        <v>480</v>
      </c>
      <c r="B215" s="64" t="s">
        <v>483</v>
      </c>
      <c r="C215" s="67" t="s">
        <v>448</v>
      </c>
      <c r="D215" s="64"/>
      <c r="E215" s="64">
        <f t="shared" ref="E215:J215" si="38">SUM(E213:E214)</f>
        <v>2.2000000000000002</v>
      </c>
      <c r="F215" s="64">
        <f t="shared" si="38"/>
        <v>0.5</v>
      </c>
      <c r="G215" s="64">
        <f t="shared" si="38"/>
        <v>35.6</v>
      </c>
      <c r="H215" s="64">
        <f t="shared" si="38"/>
        <v>22.4</v>
      </c>
      <c r="I215" s="64">
        <f t="shared" si="38"/>
        <v>11.4</v>
      </c>
      <c r="J215" s="64">
        <f t="shared" si="38"/>
        <v>9.3000000000000007</v>
      </c>
      <c r="K215" s="64"/>
      <c r="L215" s="64"/>
      <c r="M215" s="64"/>
      <c r="N215" s="64">
        <f>SUM(N213:N214)</f>
        <v>9.8000000000000007</v>
      </c>
      <c r="O215" s="64">
        <f>SUM(O213:O214)</f>
        <v>91.2</v>
      </c>
      <c r="P215" s="61"/>
      <c r="Q215" s="62"/>
      <c r="R215" s="63"/>
      <c r="S215" s="63"/>
      <c r="T215" s="63"/>
      <c r="U215" s="63"/>
      <c r="V215" s="63"/>
      <c r="W215" s="63"/>
      <c r="X215" s="63"/>
      <c r="Y215" s="63"/>
      <c r="Z215" s="63"/>
      <c r="AA215" s="63"/>
      <c r="AB215" s="63"/>
      <c r="AC215" s="63"/>
    </row>
    <row r="216" spans="1:29" ht="16" customHeight="1">
      <c r="A216" t="s">
        <v>480</v>
      </c>
      <c r="B216" s="64" t="s">
        <v>484</v>
      </c>
      <c r="C216" s="64" t="s">
        <v>467</v>
      </c>
      <c r="D216" s="64">
        <v>8</v>
      </c>
      <c r="E216" s="64"/>
      <c r="F216" s="64"/>
      <c r="G216" s="66">
        <v>3.8</v>
      </c>
      <c r="H216" s="64"/>
      <c r="I216" s="64"/>
      <c r="J216" s="66">
        <v>5.4</v>
      </c>
      <c r="K216" s="64"/>
      <c r="L216" s="68">
        <v>17</v>
      </c>
      <c r="M216" s="64"/>
      <c r="N216" s="64"/>
      <c r="O216" s="64">
        <f t="shared" ref="O216:O217" si="39">SUM(D216:N216)</f>
        <v>34.200000000000003</v>
      </c>
      <c r="P216" s="61"/>
      <c r="Q216" s="62"/>
      <c r="R216" s="63"/>
      <c r="S216" s="63"/>
      <c r="T216" s="63"/>
      <c r="U216" s="63"/>
      <c r="V216" s="63"/>
      <c r="W216" s="63"/>
      <c r="X216" s="63"/>
      <c r="Y216" s="63"/>
      <c r="Z216" s="63"/>
      <c r="AA216" s="63"/>
      <c r="AB216" s="63"/>
      <c r="AC216" s="63"/>
    </row>
    <row r="217" spans="1:29" ht="16" customHeight="1">
      <c r="A217" t="s">
        <v>480</v>
      </c>
      <c r="B217" s="64" t="s">
        <v>484</v>
      </c>
      <c r="C217" s="64" t="s">
        <v>482</v>
      </c>
      <c r="D217" s="64">
        <v>44.2</v>
      </c>
      <c r="E217" s="64">
        <v>0.5</v>
      </c>
      <c r="F217" s="64">
        <v>0.5</v>
      </c>
      <c r="G217" s="66">
        <v>16.7</v>
      </c>
      <c r="H217" s="66">
        <v>26.1</v>
      </c>
      <c r="I217" s="66">
        <v>14.6</v>
      </c>
      <c r="J217" s="64"/>
      <c r="K217" s="64"/>
      <c r="L217" s="64"/>
      <c r="M217" s="64"/>
      <c r="N217" s="66">
        <v>7.6</v>
      </c>
      <c r="O217" s="64">
        <f t="shared" si="39"/>
        <v>110.19999999999999</v>
      </c>
      <c r="P217" s="61"/>
      <c r="Q217" s="62"/>
      <c r="R217" s="63"/>
      <c r="S217" s="63"/>
      <c r="T217" s="63"/>
      <c r="U217" s="63"/>
      <c r="V217" s="63"/>
      <c r="W217" s="63"/>
      <c r="X217" s="63"/>
      <c r="Y217" s="63"/>
      <c r="Z217" s="63"/>
      <c r="AA217" s="63"/>
      <c r="AB217" s="63"/>
      <c r="AC217" s="63"/>
    </row>
    <row r="218" spans="1:29" ht="16" customHeight="1">
      <c r="A218" t="s">
        <v>480</v>
      </c>
      <c r="B218" s="64" t="s">
        <v>484</v>
      </c>
      <c r="C218" s="67" t="s">
        <v>448</v>
      </c>
      <c r="D218" s="64">
        <f t="shared" ref="D218:J218" si="40">SUM(D216:D217)</f>
        <v>52.2</v>
      </c>
      <c r="E218" s="64">
        <f t="shared" si="40"/>
        <v>0.5</v>
      </c>
      <c r="F218" s="64">
        <f t="shared" si="40"/>
        <v>0.5</v>
      </c>
      <c r="G218" s="64">
        <f t="shared" si="40"/>
        <v>20.5</v>
      </c>
      <c r="H218" s="64">
        <f t="shared" si="40"/>
        <v>26.1</v>
      </c>
      <c r="I218" s="64">
        <f t="shared" si="40"/>
        <v>14.6</v>
      </c>
      <c r="J218" s="64">
        <f t="shared" si="40"/>
        <v>5.4</v>
      </c>
      <c r="K218" s="64"/>
      <c r="L218" s="64">
        <f>SUM(L216:L217)</f>
        <v>17</v>
      </c>
      <c r="M218" s="64"/>
      <c r="N218" s="64">
        <f>SUM(N216:N217)</f>
        <v>7.6</v>
      </c>
      <c r="O218" s="64">
        <f>SUM(O216:O217)</f>
        <v>144.39999999999998</v>
      </c>
      <c r="P218" s="61"/>
      <c r="Q218" s="62"/>
      <c r="R218" s="63"/>
      <c r="S218" s="63"/>
      <c r="T218" s="63"/>
      <c r="U218" s="63"/>
      <c r="V218" s="63"/>
      <c r="W218" s="63"/>
      <c r="X218" s="63"/>
      <c r="Y218" s="63"/>
      <c r="Z218" s="63"/>
      <c r="AA218" s="63"/>
      <c r="AB218" s="63"/>
      <c r="AC218" s="63"/>
    </row>
    <row r="219" spans="1:29" ht="16" customHeight="1">
      <c r="A219" t="s">
        <v>480</v>
      </c>
      <c r="B219" s="64" t="s">
        <v>485</v>
      </c>
      <c r="C219" s="64" t="s">
        <v>467</v>
      </c>
      <c r="D219" s="64"/>
      <c r="E219" s="64"/>
      <c r="F219" s="64"/>
      <c r="G219" s="66">
        <v>1.3</v>
      </c>
      <c r="H219" s="64"/>
      <c r="I219" s="64"/>
      <c r="J219" s="66">
        <v>2.9</v>
      </c>
      <c r="K219" s="64"/>
      <c r="L219" s="64"/>
      <c r="M219" s="64"/>
      <c r="N219" s="64"/>
      <c r="O219" s="64">
        <f t="shared" ref="O219:O220" si="41">SUM(D219:N219)</f>
        <v>4.2</v>
      </c>
      <c r="P219" s="61"/>
      <c r="Q219" s="62"/>
      <c r="R219" s="63"/>
      <c r="S219" s="63"/>
      <c r="T219" s="63"/>
      <c r="U219" s="63"/>
      <c r="V219" s="63"/>
      <c r="W219" s="63"/>
      <c r="X219" s="63"/>
      <c r="Y219" s="63"/>
      <c r="Z219" s="63"/>
      <c r="AA219" s="63"/>
      <c r="AB219" s="63"/>
      <c r="AC219" s="63"/>
    </row>
    <row r="220" spans="1:29" ht="16" customHeight="1">
      <c r="A220" t="s">
        <v>480</v>
      </c>
      <c r="B220" s="64" t="s">
        <v>485</v>
      </c>
      <c r="C220" s="64" t="s">
        <v>482</v>
      </c>
      <c r="D220" s="64"/>
      <c r="E220" s="64">
        <v>1.5</v>
      </c>
      <c r="F220" s="64">
        <v>30.1</v>
      </c>
      <c r="G220" s="66">
        <v>36.200000000000003</v>
      </c>
      <c r="H220" s="66">
        <v>19.399999999999999</v>
      </c>
      <c r="I220" s="66">
        <v>16.100000000000001</v>
      </c>
      <c r="J220" s="64"/>
      <c r="K220" s="64"/>
      <c r="L220" s="64"/>
      <c r="M220" s="64"/>
      <c r="N220" s="66"/>
      <c r="O220" s="64">
        <f t="shared" si="41"/>
        <v>103.30000000000001</v>
      </c>
      <c r="P220" s="61"/>
      <c r="Q220" s="62"/>
      <c r="R220" s="63"/>
      <c r="S220" s="63"/>
      <c r="T220" s="63"/>
      <c r="U220" s="63"/>
      <c r="V220" s="63"/>
      <c r="W220" s="63"/>
      <c r="X220" s="63"/>
      <c r="Y220" s="63"/>
      <c r="Z220" s="63"/>
      <c r="AA220" s="63"/>
      <c r="AB220" s="63"/>
      <c r="AC220" s="63"/>
    </row>
    <row r="221" spans="1:29" ht="16" customHeight="1">
      <c r="A221" t="s">
        <v>480</v>
      </c>
      <c r="B221" s="64" t="s">
        <v>485</v>
      </c>
      <c r="C221" s="67" t="s">
        <v>448</v>
      </c>
      <c r="D221" s="64"/>
      <c r="E221" s="64">
        <f t="shared" ref="E221:J221" si="42">SUM(E219:E220)</f>
        <v>1.5</v>
      </c>
      <c r="F221" s="64">
        <f t="shared" si="42"/>
        <v>30.1</v>
      </c>
      <c r="G221" s="64">
        <f t="shared" si="42"/>
        <v>37.5</v>
      </c>
      <c r="H221" s="64">
        <f t="shared" si="42"/>
        <v>19.399999999999999</v>
      </c>
      <c r="I221" s="64">
        <f t="shared" si="42"/>
        <v>16.100000000000001</v>
      </c>
      <c r="J221" s="64">
        <f t="shared" si="42"/>
        <v>2.9</v>
      </c>
      <c r="K221" s="64"/>
      <c r="L221" s="64"/>
      <c r="M221" s="64"/>
      <c r="N221" s="64"/>
      <c r="O221" s="64">
        <f>SUM(O219:O220)</f>
        <v>107.50000000000001</v>
      </c>
      <c r="P221" s="61"/>
      <c r="Q221" s="62"/>
      <c r="R221" s="63"/>
      <c r="S221" s="63"/>
      <c r="T221" s="63"/>
      <c r="U221" s="63"/>
      <c r="V221" s="63"/>
      <c r="W221" s="63"/>
      <c r="X221" s="63"/>
      <c r="Y221" s="63"/>
      <c r="Z221" s="63"/>
      <c r="AA221" s="63"/>
      <c r="AB221" s="63"/>
      <c r="AC221" s="63"/>
    </row>
    <row r="222" spans="1:29" ht="16" customHeight="1">
      <c r="A222" t="s">
        <v>480</v>
      </c>
      <c r="B222" s="64" t="s">
        <v>486</v>
      </c>
      <c r="C222" s="64" t="s">
        <v>467</v>
      </c>
      <c r="D222" s="64">
        <v>10.7</v>
      </c>
      <c r="E222" s="64"/>
      <c r="F222" s="64"/>
      <c r="G222" s="66">
        <v>5.0999999999999996</v>
      </c>
      <c r="H222" s="64"/>
      <c r="I222" s="64"/>
      <c r="J222" s="66">
        <f xml:space="preserve"> 7.3</f>
        <v>7.3</v>
      </c>
      <c r="K222" s="64"/>
      <c r="L222" s="64">
        <v>22.74</v>
      </c>
      <c r="M222" s="64"/>
      <c r="N222" s="64"/>
      <c r="O222" s="64">
        <f t="shared" ref="O222:O223" si="43">SUM(D222:N222)</f>
        <v>45.839999999999996</v>
      </c>
      <c r="P222" s="61"/>
      <c r="Q222" s="62"/>
      <c r="R222" s="63"/>
      <c r="S222" s="63"/>
      <c r="T222" s="63"/>
      <c r="U222" s="63"/>
      <c r="V222" s="63"/>
      <c r="W222" s="63"/>
      <c r="X222" s="63"/>
      <c r="Y222" s="63"/>
      <c r="Z222" s="63"/>
      <c r="AA222" s="63"/>
      <c r="AB222" s="63"/>
      <c r="AC222" s="63"/>
    </row>
    <row r="223" spans="1:29" ht="16" customHeight="1">
      <c r="A223" t="s">
        <v>480</v>
      </c>
      <c r="B223" s="64" t="s">
        <v>486</v>
      </c>
      <c r="C223" s="64" t="s">
        <v>482</v>
      </c>
      <c r="D223" s="64">
        <f>37.3-10.7</f>
        <v>26.599999999999998</v>
      </c>
      <c r="E223" s="64">
        <v>2.2999999999999998</v>
      </c>
      <c r="F223" s="64">
        <v>0.4</v>
      </c>
      <c r="G223" s="66">
        <v>19.8</v>
      </c>
      <c r="H223" s="66">
        <v>20.7</v>
      </c>
      <c r="I223" s="66">
        <v>15.1</v>
      </c>
      <c r="J223" s="64"/>
      <c r="K223" s="64"/>
      <c r="L223" s="64"/>
      <c r="M223" s="64"/>
      <c r="N223" s="66">
        <f>25.5-22.74</f>
        <v>2.7600000000000016</v>
      </c>
      <c r="O223" s="64">
        <f t="shared" si="43"/>
        <v>87.66</v>
      </c>
      <c r="P223" s="61"/>
      <c r="Q223" s="62"/>
      <c r="R223" s="63"/>
      <c r="S223" s="63"/>
      <c r="T223" s="63"/>
      <c r="U223" s="63"/>
      <c r="V223" s="63"/>
      <c r="W223" s="63"/>
      <c r="X223" s="63"/>
      <c r="Y223" s="63"/>
      <c r="Z223" s="63"/>
      <c r="AA223" s="63"/>
      <c r="AB223" s="63"/>
      <c r="AC223" s="63"/>
    </row>
    <row r="224" spans="1:29" ht="16" customHeight="1">
      <c r="A224" t="s">
        <v>480</v>
      </c>
      <c r="B224" s="64" t="s">
        <v>486</v>
      </c>
      <c r="C224" s="67" t="s">
        <v>448</v>
      </c>
      <c r="D224" s="64">
        <f t="shared" ref="D224:J224" si="44">SUM(D222:D223)</f>
        <v>37.299999999999997</v>
      </c>
      <c r="E224" s="64">
        <f t="shared" si="44"/>
        <v>2.2999999999999998</v>
      </c>
      <c r="F224" s="64">
        <f t="shared" si="44"/>
        <v>0.4</v>
      </c>
      <c r="G224" s="64">
        <f t="shared" si="44"/>
        <v>24.9</v>
      </c>
      <c r="H224" s="64">
        <f t="shared" si="44"/>
        <v>20.7</v>
      </c>
      <c r="I224" s="64">
        <f t="shared" si="44"/>
        <v>15.1</v>
      </c>
      <c r="J224" s="64">
        <f t="shared" si="44"/>
        <v>7.3</v>
      </c>
      <c r="K224" s="64"/>
      <c r="L224" s="64">
        <f>SUM(L222:L223)</f>
        <v>22.74</v>
      </c>
      <c r="M224" s="64"/>
      <c r="N224" s="64">
        <f>SUM(N222:N223)</f>
        <v>2.7600000000000016</v>
      </c>
      <c r="O224" s="64">
        <f>SUM(O222:O223)</f>
        <v>133.5</v>
      </c>
      <c r="P224" s="61"/>
      <c r="Q224" s="62"/>
      <c r="R224" s="63"/>
      <c r="S224" s="63"/>
      <c r="T224" s="63"/>
      <c r="U224" s="63"/>
      <c r="V224" s="63"/>
      <c r="W224" s="63"/>
      <c r="X224" s="63"/>
      <c r="Y224" s="63"/>
      <c r="Z224" s="63"/>
      <c r="AA224" s="63"/>
      <c r="AB224" s="63"/>
      <c r="AC224" s="63"/>
    </row>
    <row r="225" spans="1:29" ht="16" customHeight="1">
      <c r="A225" t="s">
        <v>480</v>
      </c>
      <c r="B225" s="64" t="s">
        <v>487</v>
      </c>
      <c r="C225" s="64" t="s">
        <v>467</v>
      </c>
      <c r="D225" s="64">
        <v>4.3</v>
      </c>
      <c r="E225" s="64"/>
      <c r="F225" s="64"/>
      <c r="G225" s="66">
        <v>0.3</v>
      </c>
      <c r="H225" s="64"/>
      <c r="I225" s="64">
        <v>1.1000000000000001</v>
      </c>
      <c r="J225" s="66">
        <v>8.1999999999999993</v>
      </c>
      <c r="K225" s="64"/>
      <c r="L225" s="64"/>
      <c r="M225" s="64"/>
      <c r="N225" s="64"/>
      <c r="O225" s="64">
        <f t="shared" ref="O225:O226" si="45">SUM(D225:N225)</f>
        <v>13.899999999999999</v>
      </c>
      <c r="P225" s="61"/>
      <c r="Q225" s="62"/>
      <c r="R225" s="63"/>
      <c r="S225" s="63"/>
      <c r="T225" s="63"/>
      <c r="U225" s="63"/>
      <c r="V225" s="63"/>
      <c r="W225" s="63"/>
      <c r="X225" s="63"/>
      <c r="Y225" s="63"/>
      <c r="Z225" s="63"/>
      <c r="AA225" s="63"/>
      <c r="AB225" s="63"/>
      <c r="AC225" s="63"/>
    </row>
    <row r="226" spans="1:29" ht="16" customHeight="1">
      <c r="A226" t="s">
        <v>480</v>
      </c>
      <c r="B226" s="64" t="s">
        <v>487</v>
      </c>
      <c r="C226" s="64" t="s">
        <v>482</v>
      </c>
      <c r="D226" s="64"/>
      <c r="E226" s="64"/>
      <c r="F226" s="64">
        <v>4.5</v>
      </c>
      <c r="G226" s="66">
        <v>22.4</v>
      </c>
      <c r="H226" s="66">
        <v>29.7</v>
      </c>
      <c r="I226" s="66">
        <v>17.899999999999999</v>
      </c>
      <c r="J226" s="64"/>
      <c r="K226" s="64"/>
      <c r="L226" s="64"/>
      <c r="M226" s="64">
        <v>13.5</v>
      </c>
      <c r="N226" s="66">
        <v>4.4000000000000004</v>
      </c>
      <c r="O226" s="64">
        <f t="shared" si="45"/>
        <v>92.4</v>
      </c>
      <c r="P226" s="61"/>
      <c r="Q226" s="62"/>
      <c r="R226" s="63"/>
      <c r="S226" s="63"/>
      <c r="T226" s="63"/>
      <c r="U226" s="63"/>
      <c r="V226" s="63"/>
      <c r="W226" s="63"/>
      <c r="X226" s="63"/>
      <c r="Y226" s="63"/>
      <c r="Z226" s="63"/>
      <c r="AA226" s="63"/>
      <c r="AB226" s="63"/>
      <c r="AC226" s="63"/>
    </row>
    <row r="227" spans="1:29" ht="16" customHeight="1">
      <c r="A227" t="s">
        <v>480</v>
      </c>
      <c r="B227" s="64" t="s">
        <v>487</v>
      </c>
      <c r="C227" s="67" t="s">
        <v>448</v>
      </c>
      <c r="D227" s="64">
        <f>SUM(D225:D226)</f>
        <v>4.3</v>
      </c>
      <c r="E227" s="64"/>
      <c r="F227" s="64">
        <f>SUM(F225:F226)</f>
        <v>4.5</v>
      </c>
      <c r="G227" s="64">
        <f>SUM(G225:G226)</f>
        <v>22.7</v>
      </c>
      <c r="H227" s="64">
        <f>SUM(H225:H226)</f>
        <v>29.7</v>
      </c>
      <c r="I227" s="64">
        <f>SUM(I225:I226)</f>
        <v>19</v>
      </c>
      <c r="J227" s="64">
        <f>SUM(J225:J226)</f>
        <v>8.1999999999999993</v>
      </c>
      <c r="K227" s="64"/>
      <c r="L227" s="64"/>
      <c r="M227" s="64">
        <f>SUM(M225:M226)</f>
        <v>13.5</v>
      </c>
      <c r="N227" s="64">
        <f>SUM(N225:N226)</f>
        <v>4.4000000000000004</v>
      </c>
      <c r="O227" s="64">
        <f>SUM(O225:O226)</f>
        <v>106.30000000000001</v>
      </c>
      <c r="P227" s="61"/>
      <c r="Q227" s="62"/>
      <c r="R227" s="63"/>
      <c r="S227" s="63"/>
      <c r="T227" s="63"/>
      <c r="U227" s="63"/>
      <c r="V227" s="63"/>
      <c r="W227" s="63"/>
      <c r="X227" s="63"/>
      <c r="Y227" s="63"/>
      <c r="Z227" s="63"/>
      <c r="AA227" s="63"/>
      <c r="AB227" s="63"/>
      <c r="AC227" s="63"/>
    </row>
    <row r="228" spans="1:29" ht="16" customHeight="1">
      <c r="A228" t="s">
        <v>480</v>
      </c>
      <c r="B228" s="64" t="s">
        <v>488</v>
      </c>
      <c r="C228" s="64" t="s">
        <v>467</v>
      </c>
      <c r="D228" s="64">
        <v>7.2</v>
      </c>
      <c r="E228" s="64"/>
      <c r="F228" s="64"/>
      <c r="G228" s="66">
        <v>6</v>
      </c>
      <c r="H228" s="64"/>
      <c r="I228" s="64"/>
      <c r="J228" s="66">
        <v>7.4</v>
      </c>
      <c r="K228" s="64"/>
      <c r="L228" s="64">
        <f>18.1</f>
        <v>18.100000000000001</v>
      </c>
      <c r="M228" s="64"/>
      <c r="N228" s="64"/>
      <c r="O228" s="64">
        <f t="shared" ref="O228:O229" si="46">SUM(D228:N228)</f>
        <v>38.700000000000003</v>
      </c>
      <c r="P228" s="61"/>
      <c r="Q228" s="62"/>
      <c r="R228" s="63"/>
      <c r="S228" s="63"/>
      <c r="T228" s="63"/>
      <c r="U228" s="63"/>
      <c r="V228" s="63"/>
      <c r="W228" s="63"/>
      <c r="X228" s="63"/>
      <c r="Y228" s="63"/>
      <c r="Z228" s="63"/>
      <c r="AA228" s="63"/>
      <c r="AB228" s="63"/>
      <c r="AC228" s="63"/>
    </row>
    <row r="229" spans="1:29" ht="16" customHeight="1">
      <c r="A229" t="s">
        <v>480</v>
      </c>
      <c r="B229" s="64" t="s">
        <v>488</v>
      </c>
      <c r="C229" s="64" t="s">
        <v>482</v>
      </c>
      <c r="D229" s="64">
        <v>10.5</v>
      </c>
      <c r="E229" s="64">
        <v>0.9</v>
      </c>
      <c r="F229" s="64">
        <v>22.8</v>
      </c>
      <c r="G229" s="66">
        <v>24.2</v>
      </c>
      <c r="H229" s="66">
        <v>30</v>
      </c>
      <c r="I229" s="66">
        <v>18.3</v>
      </c>
      <c r="J229" s="64"/>
      <c r="K229" s="64"/>
      <c r="L229" s="64"/>
      <c r="M229" s="64"/>
      <c r="N229" s="66">
        <f>19.2-18.1</f>
        <v>1.0999999999999979</v>
      </c>
      <c r="O229" s="64">
        <f t="shared" si="46"/>
        <v>107.8</v>
      </c>
      <c r="P229" s="61"/>
      <c r="Q229" s="62"/>
      <c r="R229" s="63"/>
      <c r="S229" s="63"/>
      <c r="T229" s="63"/>
      <c r="U229" s="63"/>
      <c r="V229" s="63"/>
      <c r="W229" s="63"/>
      <c r="X229" s="63"/>
      <c r="Y229" s="63"/>
      <c r="Z229" s="63"/>
      <c r="AA229" s="63"/>
      <c r="AB229" s="63"/>
      <c r="AC229" s="63"/>
    </row>
    <row r="230" spans="1:29" ht="16" customHeight="1">
      <c r="A230" t="s">
        <v>480</v>
      </c>
      <c r="B230" s="64" t="s">
        <v>488</v>
      </c>
      <c r="C230" s="67" t="s">
        <v>448</v>
      </c>
      <c r="D230" s="64">
        <f t="shared" ref="D230:J230" si="47">SUM(D228:D229)</f>
        <v>17.7</v>
      </c>
      <c r="E230" s="64">
        <f t="shared" si="47"/>
        <v>0.9</v>
      </c>
      <c r="F230" s="64">
        <f t="shared" si="47"/>
        <v>22.8</v>
      </c>
      <c r="G230" s="64">
        <f t="shared" si="47"/>
        <v>30.2</v>
      </c>
      <c r="H230" s="64">
        <f t="shared" si="47"/>
        <v>30</v>
      </c>
      <c r="I230" s="64">
        <f t="shared" si="47"/>
        <v>18.3</v>
      </c>
      <c r="J230" s="64">
        <f t="shared" si="47"/>
        <v>7.4</v>
      </c>
      <c r="K230" s="64"/>
      <c r="L230" s="64">
        <f>SUM(L228:L229)</f>
        <v>18.100000000000001</v>
      </c>
      <c r="M230" s="64"/>
      <c r="N230" s="64">
        <f>SUM(N228:N229)</f>
        <v>1.0999999999999979</v>
      </c>
      <c r="O230" s="64">
        <f>SUM(O228:O229)</f>
        <v>146.5</v>
      </c>
      <c r="P230" s="61"/>
      <c r="Q230" s="62"/>
      <c r="R230" s="63"/>
      <c r="S230" s="63"/>
      <c r="T230" s="63"/>
      <c r="U230" s="63"/>
      <c r="V230" s="63"/>
      <c r="W230" s="63"/>
      <c r="X230" s="63"/>
      <c r="Y230" s="63"/>
      <c r="Z230" s="63"/>
      <c r="AA230" s="63"/>
      <c r="AB230" s="63"/>
      <c r="AC230" s="63"/>
    </row>
    <row r="231" spans="1:29" ht="16" customHeight="1">
      <c r="A231" t="s">
        <v>480</v>
      </c>
      <c r="B231" s="64" t="s">
        <v>489</v>
      </c>
      <c r="C231" s="64" t="s">
        <v>467</v>
      </c>
      <c r="D231" s="64">
        <v>8.1999999999999993</v>
      </c>
      <c r="E231" s="64"/>
      <c r="F231" s="64"/>
      <c r="G231" s="66">
        <v>5.2</v>
      </c>
      <c r="H231" s="64"/>
      <c r="I231" s="64"/>
      <c r="J231" s="66">
        <v>7.6</v>
      </c>
      <c r="K231" s="64"/>
      <c r="L231" s="64">
        <v>13.6</v>
      </c>
      <c r="M231" s="64"/>
      <c r="N231" s="64"/>
      <c r="O231" s="64">
        <f>SUM(D231:N231)</f>
        <v>34.6</v>
      </c>
      <c r="P231" s="61"/>
      <c r="Q231" s="62"/>
      <c r="R231" s="63"/>
      <c r="S231" s="63"/>
      <c r="T231" s="63"/>
      <c r="U231" s="63"/>
      <c r="V231" s="63"/>
      <c r="W231" s="63"/>
      <c r="X231" s="63"/>
      <c r="Y231" s="63"/>
      <c r="Z231" s="63"/>
      <c r="AA231" s="63"/>
      <c r="AB231" s="63"/>
      <c r="AC231" s="63"/>
    </row>
    <row r="232" spans="1:29" ht="16" customHeight="1">
      <c r="A232" t="s">
        <v>480</v>
      </c>
      <c r="B232" s="64" t="s">
        <v>489</v>
      </c>
      <c r="C232" s="64" t="s">
        <v>482</v>
      </c>
      <c r="D232" s="64"/>
      <c r="E232" s="64">
        <v>5.2</v>
      </c>
      <c r="F232" s="64">
        <v>0.9</v>
      </c>
      <c r="G232" s="66">
        <v>28.9</v>
      </c>
      <c r="H232" s="66">
        <v>32.1</v>
      </c>
      <c r="I232" s="66">
        <v>14.1</v>
      </c>
      <c r="J232" s="64"/>
      <c r="K232" s="64"/>
      <c r="L232" s="64"/>
      <c r="M232" s="64">
        <v>27</v>
      </c>
      <c r="N232" s="66">
        <f>30.4-17.3</f>
        <v>13.099999999999998</v>
      </c>
      <c r="O232" s="64">
        <f t="shared" ref="O232" si="48">SUM(D232:N232)</f>
        <v>121.29999999999998</v>
      </c>
      <c r="P232" s="61"/>
      <c r="Q232" s="62"/>
      <c r="R232" s="63"/>
      <c r="S232" s="63"/>
      <c r="T232" s="63"/>
      <c r="U232" s="63"/>
      <c r="V232" s="63"/>
      <c r="W232" s="63"/>
      <c r="X232" s="63"/>
      <c r="Y232" s="63"/>
      <c r="Z232" s="63"/>
      <c r="AA232" s="63"/>
      <c r="AB232" s="63"/>
      <c r="AC232" s="63"/>
    </row>
    <row r="233" spans="1:29" ht="16" customHeight="1">
      <c r="A233" t="s">
        <v>480</v>
      </c>
      <c r="B233" s="64" t="s">
        <v>489</v>
      </c>
      <c r="C233" s="67" t="s">
        <v>448</v>
      </c>
      <c r="D233" s="64">
        <f t="shared" ref="D233:J233" si="49">SUM(D231:D232)</f>
        <v>8.1999999999999993</v>
      </c>
      <c r="E233" s="64">
        <f t="shared" si="49"/>
        <v>5.2</v>
      </c>
      <c r="F233" s="64">
        <f t="shared" si="49"/>
        <v>0.9</v>
      </c>
      <c r="G233" s="64">
        <f t="shared" si="49"/>
        <v>34.1</v>
      </c>
      <c r="H233" s="64">
        <f t="shared" si="49"/>
        <v>32.1</v>
      </c>
      <c r="I233" s="64">
        <f t="shared" si="49"/>
        <v>14.1</v>
      </c>
      <c r="J233" s="64">
        <f t="shared" si="49"/>
        <v>7.6</v>
      </c>
      <c r="K233" s="64"/>
      <c r="L233" s="64">
        <f>SUM(L231:L232)</f>
        <v>13.6</v>
      </c>
      <c r="M233" s="64">
        <f>SUM(M231:M232)</f>
        <v>27</v>
      </c>
      <c r="N233" s="64">
        <f>SUM(N231:N232)</f>
        <v>13.099999999999998</v>
      </c>
      <c r="O233" s="64">
        <f>SUM(O231:O232)</f>
        <v>155.89999999999998</v>
      </c>
      <c r="P233" s="61"/>
      <c r="Q233" s="62"/>
      <c r="R233" s="63"/>
      <c r="S233" s="63"/>
      <c r="T233" s="63"/>
      <c r="U233" s="63"/>
      <c r="V233" s="63"/>
      <c r="W233" s="63"/>
      <c r="X233" s="63"/>
      <c r="Y233" s="63"/>
      <c r="Z233" s="63"/>
      <c r="AA233" s="63"/>
      <c r="AB233" s="63"/>
      <c r="AC233" s="63"/>
    </row>
    <row r="234" spans="1:29" ht="16" customHeight="1">
      <c r="A234" t="s">
        <v>480</v>
      </c>
      <c r="B234" s="64" t="s">
        <v>490</v>
      </c>
      <c r="C234" s="64" t="s">
        <v>467</v>
      </c>
      <c r="D234" s="64">
        <v>7</v>
      </c>
      <c r="E234" s="64"/>
      <c r="F234" s="64"/>
      <c r="G234" s="66">
        <v>3.7</v>
      </c>
      <c r="H234" s="64"/>
      <c r="I234" s="64"/>
      <c r="J234" s="66">
        <f>7.9</f>
        <v>7.9</v>
      </c>
      <c r="K234" s="64"/>
      <c r="L234" s="64">
        <v>14.7</v>
      </c>
      <c r="M234" s="64"/>
      <c r="N234" s="64"/>
      <c r="O234" s="64">
        <f t="shared" ref="O234:O235" si="50">SUM(D234:N234)</f>
        <v>33.299999999999997</v>
      </c>
      <c r="P234" s="61"/>
      <c r="Q234" s="62"/>
      <c r="R234" s="63"/>
      <c r="S234" s="63"/>
      <c r="T234" s="63"/>
      <c r="U234" s="63"/>
      <c r="V234" s="63"/>
      <c r="W234" s="63"/>
      <c r="X234" s="63"/>
      <c r="Y234" s="63"/>
      <c r="Z234" s="63"/>
      <c r="AA234" s="63"/>
      <c r="AB234" s="63"/>
      <c r="AC234" s="63"/>
    </row>
    <row r="235" spans="1:29" ht="16" customHeight="1">
      <c r="A235" t="s">
        <v>480</v>
      </c>
      <c r="B235" s="64" t="s">
        <v>490</v>
      </c>
      <c r="C235" s="64" t="s">
        <v>482</v>
      </c>
      <c r="D235" s="64">
        <v>0.1</v>
      </c>
      <c r="E235" s="64">
        <v>0.3</v>
      </c>
      <c r="F235" s="64">
        <v>19.8</v>
      </c>
      <c r="G235" s="66">
        <v>24.3</v>
      </c>
      <c r="H235" s="66">
        <v>30.3</v>
      </c>
      <c r="I235" s="66">
        <v>14.8</v>
      </c>
      <c r="J235" s="64"/>
      <c r="K235" s="64"/>
      <c r="L235" s="64"/>
      <c r="M235" s="64"/>
      <c r="N235" s="66"/>
      <c r="O235" s="64">
        <f t="shared" si="50"/>
        <v>89.6</v>
      </c>
      <c r="P235" s="61"/>
      <c r="Q235" s="62"/>
      <c r="R235" s="63"/>
      <c r="S235" s="63"/>
      <c r="T235" s="63"/>
      <c r="U235" s="63"/>
      <c r="V235" s="63"/>
      <c r="W235" s="63"/>
      <c r="X235" s="63"/>
      <c r="Y235" s="63"/>
      <c r="Z235" s="63"/>
      <c r="AA235" s="63"/>
      <c r="AB235" s="63"/>
      <c r="AC235" s="63"/>
    </row>
    <row r="236" spans="1:29" ht="16" customHeight="1">
      <c r="A236" t="s">
        <v>480</v>
      </c>
      <c r="B236" s="64" t="s">
        <v>490</v>
      </c>
      <c r="C236" s="67" t="s">
        <v>448</v>
      </c>
      <c r="D236" s="64">
        <f t="shared" ref="D236:J236" si="51">SUM(D234:D235)</f>
        <v>7.1</v>
      </c>
      <c r="E236" s="64">
        <f t="shared" si="51"/>
        <v>0.3</v>
      </c>
      <c r="F236" s="64">
        <f t="shared" si="51"/>
        <v>19.8</v>
      </c>
      <c r="G236" s="64">
        <f t="shared" si="51"/>
        <v>28</v>
      </c>
      <c r="H236" s="64">
        <f t="shared" si="51"/>
        <v>30.3</v>
      </c>
      <c r="I236" s="64">
        <f t="shared" si="51"/>
        <v>14.8</v>
      </c>
      <c r="J236" s="64">
        <f t="shared" si="51"/>
        <v>7.9</v>
      </c>
      <c r="K236" s="64"/>
      <c r="L236" s="64">
        <f>SUM(L234:L235)</f>
        <v>14.7</v>
      </c>
      <c r="M236" s="64"/>
      <c r="N236" s="64"/>
      <c r="O236" s="64">
        <f>SUM(O234:O235)</f>
        <v>122.89999999999999</v>
      </c>
      <c r="P236" s="61"/>
      <c r="Q236" s="62"/>
      <c r="R236" s="63"/>
      <c r="S236" s="63"/>
      <c r="T236" s="63"/>
      <c r="U236" s="63"/>
      <c r="V236" s="63"/>
      <c r="W236" s="63"/>
      <c r="X236" s="63"/>
      <c r="Y236" s="63"/>
      <c r="Z236" s="63"/>
      <c r="AA236" s="63"/>
      <c r="AB236" s="63"/>
      <c r="AC236" s="63"/>
    </row>
    <row r="237" spans="1:29" ht="16" customHeight="1">
      <c r="A237" t="s">
        <v>480</v>
      </c>
      <c r="B237" s="64" t="s">
        <v>491</v>
      </c>
      <c r="C237" s="64" t="s">
        <v>467</v>
      </c>
      <c r="D237" s="64">
        <v>13.4</v>
      </c>
      <c r="E237" s="64"/>
      <c r="F237" s="64"/>
      <c r="G237" s="66">
        <v>8.6</v>
      </c>
      <c r="H237" s="64"/>
      <c r="I237" s="64">
        <v>0.6</v>
      </c>
      <c r="J237" s="66">
        <f>12.4</f>
        <v>12.4</v>
      </c>
      <c r="K237" s="64"/>
      <c r="L237" s="64">
        <v>21.7</v>
      </c>
      <c r="M237" s="64"/>
      <c r="N237" s="64"/>
      <c r="O237" s="64">
        <f t="shared" ref="O237:O238" si="52">SUM(D237:N237)</f>
        <v>56.7</v>
      </c>
      <c r="P237" s="61"/>
      <c r="Q237" s="62"/>
      <c r="R237" s="63"/>
      <c r="S237" s="63"/>
      <c r="T237" s="63"/>
      <c r="U237" s="63"/>
      <c r="V237" s="63"/>
      <c r="W237" s="63"/>
      <c r="X237" s="63"/>
      <c r="Y237" s="63"/>
      <c r="Z237" s="63"/>
      <c r="AA237" s="63"/>
      <c r="AB237" s="63"/>
      <c r="AC237" s="63"/>
    </row>
    <row r="238" spans="1:29" ht="16" customHeight="1">
      <c r="A238" t="s">
        <v>480</v>
      </c>
      <c r="B238" s="64" t="s">
        <v>491</v>
      </c>
      <c r="C238" s="64" t="s">
        <v>482</v>
      </c>
      <c r="D238" s="64">
        <v>0.5</v>
      </c>
      <c r="E238" s="64">
        <v>0.2</v>
      </c>
      <c r="F238" s="64">
        <v>5.3</v>
      </c>
      <c r="G238" s="66">
        <v>47.5</v>
      </c>
      <c r="H238" s="66">
        <v>37.1</v>
      </c>
      <c r="I238" s="66">
        <v>14</v>
      </c>
      <c r="J238" s="64"/>
      <c r="K238" s="64"/>
      <c r="L238" s="64"/>
      <c r="M238" s="64"/>
      <c r="N238" s="66"/>
      <c r="O238" s="64">
        <f t="shared" si="52"/>
        <v>104.6</v>
      </c>
      <c r="P238" s="61"/>
      <c r="Q238" s="62"/>
      <c r="R238" s="63"/>
      <c r="S238" s="63"/>
      <c r="T238" s="63"/>
      <c r="U238" s="63"/>
      <c r="V238" s="63"/>
      <c r="W238" s="63"/>
      <c r="X238" s="63"/>
      <c r="Y238" s="63"/>
      <c r="Z238" s="63"/>
      <c r="AA238" s="63"/>
      <c r="AB238" s="63"/>
      <c r="AC238" s="63"/>
    </row>
    <row r="239" spans="1:29" ht="16" customHeight="1">
      <c r="A239" t="s">
        <v>480</v>
      </c>
      <c r="B239" s="64" t="s">
        <v>491</v>
      </c>
      <c r="C239" s="67" t="s">
        <v>448</v>
      </c>
      <c r="D239" s="64">
        <f t="shared" ref="D239:J239" si="53">SUM(D237:D238)</f>
        <v>13.9</v>
      </c>
      <c r="E239" s="64">
        <f t="shared" si="53"/>
        <v>0.2</v>
      </c>
      <c r="F239" s="64">
        <f t="shared" si="53"/>
        <v>5.3</v>
      </c>
      <c r="G239" s="64">
        <f t="shared" si="53"/>
        <v>56.1</v>
      </c>
      <c r="H239" s="64">
        <f t="shared" si="53"/>
        <v>37.1</v>
      </c>
      <c r="I239" s="64">
        <f t="shared" si="53"/>
        <v>14.6</v>
      </c>
      <c r="J239" s="64">
        <f t="shared" si="53"/>
        <v>12.4</v>
      </c>
      <c r="K239" s="64"/>
      <c r="L239" s="64">
        <f>SUM(L237:L238)</f>
        <v>21.7</v>
      </c>
      <c r="M239" s="64"/>
      <c r="N239" s="64"/>
      <c r="O239" s="64">
        <f>SUM(O237:O238)</f>
        <v>161.30000000000001</v>
      </c>
      <c r="P239" s="61"/>
      <c r="Q239" s="62"/>
      <c r="R239" s="63"/>
      <c r="S239" s="63"/>
      <c r="T239" s="63"/>
      <c r="U239" s="63"/>
      <c r="V239" s="63"/>
      <c r="W239" s="63"/>
      <c r="X239" s="63"/>
      <c r="Y239" s="63"/>
      <c r="Z239" s="63"/>
      <c r="AA239" s="63"/>
      <c r="AB239" s="63"/>
      <c r="AC239" s="63"/>
    </row>
    <row r="240" spans="1:29" ht="16" customHeight="1">
      <c r="A240" t="s">
        <v>480</v>
      </c>
      <c r="B240" s="64" t="s">
        <v>492</v>
      </c>
      <c r="C240" s="64" t="s">
        <v>467</v>
      </c>
      <c r="D240" s="64">
        <v>7.5</v>
      </c>
      <c r="E240" s="64"/>
      <c r="F240" s="64"/>
      <c r="G240" s="66">
        <v>5.4</v>
      </c>
      <c r="H240" s="64"/>
      <c r="I240" s="64"/>
      <c r="J240" s="66">
        <f>7.8</f>
        <v>7.8</v>
      </c>
      <c r="K240" s="64"/>
      <c r="L240" s="64">
        <f>20.4</f>
        <v>20.399999999999999</v>
      </c>
      <c r="M240" s="64"/>
      <c r="N240" s="64"/>
      <c r="O240" s="64">
        <f t="shared" ref="O240:O241" si="54">SUM(D240:N240)</f>
        <v>41.099999999999994</v>
      </c>
      <c r="P240" s="61"/>
      <c r="Q240" s="62"/>
      <c r="R240" s="63"/>
      <c r="S240" s="63"/>
      <c r="T240" s="63"/>
      <c r="U240" s="63"/>
      <c r="V240" s="63"/>
      <c r="W240" s="63"/>
      <c r="X240" s="63"/>
      <c r="Y240" s="63"/>
      <c r="Z240" s="63"/>
      <c r="AA240" s="63"/>
      <c r="AB240" s="63"/>
      <c r="AC240" s="63"/>
    </row>
    <row r="241" spans="1:29" ht="16" customHeight="1">
      <c r="A241" t="s">
        <v>480</v>
      </c>
      <c r="B241" s="64" t="s">
        <v>492</v>
      </c>
      <c r="C241" s="64" t="s">
        <v>482</v>
      </c>
      <c r="D241" s="64">
        <v>1</v>
      </c>
      <c r="E241" s="64">
        <v>1.4</v>
      </c>
      <c r="F241" s="64">
        <v>4.9000000000000004</v>
      </c>
      <c r="G241" s="66">
        <v>28.5</v>
      </c>
      <c r="H241" s="66">
        <v>39</v>
      </c>
      <c r="I241" s="66">
        <v>26.3</v>
      </c>
      <c r="J241" s="64"/>
      <c r="K241" s="64"/>
      <c r="L241" s="64"/>
      <c r="M241" s="64"/>
      <c r="N241" s="66"/>
      <c r="O241" s="64">
        <f t="shared" si="54"/>
        <v>101.1</v>
      </c>
      <c r="P241" s="61"/>
      <c r="Q241" s="62"/>
      <c r="R241" s="63"/>
      <c r="S241" s="63"/>
      <c r="T241" s="63"/>
      <c r="U241" s="63"/>
      <c r="V241" s="63"/>
      <c r="W241" s="63"/>
      <c r="X241" s="63"/>
      <c r="Y241" s="63"/>
      <c r="Z241" s="63"/>
      <c r="AA241" s="63"/>
      <c r="AB241" s="63"/>
      <c r="AC241" s="63"/>
    </row>
    <row r="242" spans="1:29" ht="16" customHeight="1">
      <c r="A242" t="s">
        <v>480</v>
      </c>
      <c r="B242" s="64" t="s">
        <v>492</v>
      </c>
      <c r="C242" s="67" t="s">
        <v>448</v>
      </c>
      <c r="D242" s="64">
        <f t="shared" ref="D242:J242" si="55">SUM(D240:D241)</f>
        <v>8.5</v>
      </c>
      <c r="E242" s="64">
        <f t="shared" si="55"/>
        <v>1.4</v>
      </c>
      <c r="F242" s="64">
        <f t="shared" si="55"/>
        <v>4.9000000000000004</v>
      </c>
      <c r="G242" s="64">
        <f t="shared" si="55"/>
        <v>33.9</v>
      </c>
      <c r="H242" s="64">
        <f t="shared" si="55"/>
        <v>39</v>
      </c>
      <c r="I242" s="64">
        <f t="shared" si="55"/>
        <v>26.3</v>
      </c>
      <c r="J242" s="64">
        <f t="shared" si="55"/>
        <v>7.8</v>
      </c>
      <c r="K242" s="64"/>
      <c r="L242" s="64">
        <f>SUM(L240:L241)</f>
        <v>20.399999999999999</v>
      </c>
      <c r="M242" s="64"/>
      <c r="N242" s="64"/>
      <c r="O242" s="64">
        <f>SUM(O240:O241)</f>
        <v>142.19999999999999</v>
      </c>
      <c r="P242" s="61"/>
      <c r="Q242" s="62"/>
      <c r="R242" s="63"/>
      <c r="S242" s="63"/>
      <c r="T242" s="63"/>
      <c r="U242" s="63"/>
      <c r="V242" s="63"/>
      <c r="W242" s="63"/>
      <c r="X242" s="63"/>
      <c r="Y242" s="63"/>
      <c r="Z242" s="63"/>
      <c r="AA242" s="63"/>
      <c r="AB242" s="63"/>
      <c r="AC242" s="63"/>
    </row>
    <row r="243" spans="1:29" ht="16" customHeight="1">
      <c r="A243" t="s">
        <v>480</v>
      </c>
      <c r="B243" s="64" t="s">
        <v>493</v>
      </c>
      <c r="C243" s="64" t="s">
        <v>467</v>
      </c>
      <c r="D243" s="64">
        <v>0.4</v>
      </c>
      <c r="E243" s="64"/>
      <c r="F243" s="64"/>
      <c r="G243" s="66"/>
      <c r="H243" s="64"/>
      <c r="I243" s="64"/>
      <c r="J243" s="66">
        <v>5.7</v>
      </c>
      <c r="K243" s="64"/>
      <c r="L243" s="64">
        <v>20.2</v>
      </c>
      <c r="M243" s="64"/>
      <c r="N243" s="64"/>
      <c r="O243" s="64">
        <f t="shared" ref="O243:O244" si="56">SUM(D243:N243)</f>
        <v>26.3</v>
      </c>
      <c r="P243" s="61"/>
      <c r="Q243" s="62"/>
      <c r="R243" s="63"/>
      <c r="S243" s="63"/>
      <c r="T243" s="63"/>
      <c r="U243" s="63"/>
      <c r="V243" s="63"/>
      <c r="W243" s="63"/>
      <c r="X243" s="63"/>
      <c r="Y243" s="63"/>
      <c r="Z243" s="63"/>
      <c r="AA243" s="63"/>
      <c r="AB243" s="63"/>
      <c r="AC243" s="63"/>
    </row>
    <row r="244" spans="1:29" ht="16" customHeight="1">
      <c r="A244" t="s">
        <v>480</v>
      </c>
      <c r="B244" s="64" t="s">
        <v>493</v>
      </c>
      <c r="C244" s="64" t="s">
        <v>482</v>
      </c>
      <c r="D244" s="64">
        <v>20.2</v>
      </c>
      <c r="E244" s="64">
        <v>2.35</v>
      </c>
      <c r="F244" s="64">
        <v>3.6</v>
      </c>
      <c r="G244" s="66">
        <v>15.05</v>
      </c>
      <c r="H244" s="66">
        <v>39</v>
      </c>
      <c r="I244" s="66">
        <v>17.600000000000001</v>
      </c>
      <c r="J244" s="64"/>
      <c r="K244" s="64"/>
      <c r="L244" s="64"/>
      <c r="M244" s="64"/>
      <c r="N244" s="66">
        <f>1.2+13.4</f>
        <v>14.6</v>
      </c>
      <c r="O244" s="64">
        <f t="shared" si="56"/>
        <v>112.4</v>
      </c>
      <c r="P244" s="61"/>
      <c r="Q244" s="62"/>
      <c r="R244" s="63"/>
      <c r="S244" s="63"/>
      <c r="T244" s="63"/>
      <c r="U244" s="63"/>
      <c r="V244" s="63"/>
      <c r="W244" s="63"/>
      <c r="X244" s="63"/>
      <c r="Y244" s="63"/>
      <c r="Z244" s="63"/>
      <c r="AA244" s="63"/>
      <c r="AB244" s="63"/>
      <c r="AC244" s="63"/>
    </row>
    <row r="245" spans="1:29" ht="16" customHeight="1">
      <c r="A245" t="s">
        <v>480</v>
      </c>
      <c r="B245" s="64" t="s">
        <v>493</v>
      </c>
      <c r="C245" s="67" t="s">
        <v>448</v>
      </c>
      <c r="D245" s="64">
        <f t="shared" ref="D245:L245" si="57">SUM(D243:D244)</f>
        <v>20.599999999999998</v>
      </c>
      <c r="E245" s="64">
        <f t="shared" si="57"/>
        <v>2.35</v>
      </c>
      <c r="F245" s="64">
        <f t="shared" si="57"/>
        <v>3.6</v>
      </c>
      <c r="G245" s="64">
        <f t="shared" si="57"/>
        <v>15.05</v>
      </c>
      <c r="H245" s="64">
        <f t="shared" si="57"/>
        <v>39</v>
      </c>
      <c r="I245" s="64">
        <f t="shared" si="57"/>
        <v>17.600000000000001</v>
      </c>
      <c r="J245" s="64">
        <f t="shared" si="57"/>
        <v>5.7</v>
      </c>
      <c r="K245" s="64"/>
      <c r="L245" s="64">
        <f t="shared" si="57"/>
        <v>20.2</v>
      </c>
      <c r="M245" s="64"/>
      <c r="N245" s="64">
        <f t="shared" ref="N245:O245" si="58">SUM(N243:N244)</f>
        <v>14.6</v>
      </c>
      <c r="O245" s="64">
        <f t="shared" si="58"/>
        <v>138.70000000000002</v>
      </c>
      <c r="P245" s="61"/>
      <c r="Q245" s="62"/>
      <c r="R245" s="63"/>
      <c r="S245" s="63"/>
      <c r="T245" s="63"/>
      <c r="U245" s="63"/>
      <c r="V245" s="63"/>
      <c r="W245" s="63"/>
      <c r="X245" s="63"/>
      <c r="Y245" s="63"/>
      <c r="Z245" s="63"/>
      <c r="AA245" s="63"/>
      <c r="AB245" s="63"/>
      <c r="AC245" s="63"/>
    </row>
    <row r="246" spans="1:29" ht="16" customHeight="1">
      <c r="A246" t="s">
        <v>91</v>
      </c>
      <c r="B246" s="69" t="s">
        <v>494</v>
      </c>
      <c r="C246" s="69" t="s">
        <v>450</v>
      </c>
      <c r="D246" s="64"/>
      <c r="E246" s="64"/>
      <c r="F246" s="64">
        <v>0.3</v>
      </c>
      <c r="G246" s="64"/>
      <c r="H246" s="64">
        <v>135</v>
      </c>
      <c r="I246" s="64"/>
      <c r="J246" s="64"/>
      <c r="K246" s="64"/>
      <c r="L246" s="64"/>
      <c r="M246" s="64"/>
      <c r="N246" s="64"/>
      <c r="O246" s="64">
        <f>SUM(D246:N246)</f>
        <v>135.30000000000001</v>
      </c>
      <c r="P246" s="61"/>
      <c r="Q246" s="62"/>
      <c r="R246" s="63"/>
      <c r="S246" s="63"/>
      <c r="T246" s="63"/>
      <c r="U246" s="63"/>
      <c r="V246" s="63"/>
      <c r="W246" s="63"/>
      <c r="X246" s="63"/>
      <c r="Y246" s="63"/>
      <c r="Z246" s="63"/>
      <c r="AA246" s="63"/>
      <c r="AB246" s="63"/>
      <c r="AC246" s="63"/>
    </row>
    <row r="247" spans="1:29" ht="16" customHeight="1">
      <c r="A247" t="s">
        <v>91</v>
      </c>
      <c r="B247" s="69" t="s">
        <v>494</v>
      </c>
      <c r="C247" s="69" t="s">
        <v>495</v>
      </c>
      <c r="D247" s="64"/>
      <c r="E247" s="64"/>
      <c r="F247" s="64"/>
      <c r="G247" s="64">
        <v>75</v>
      </c>
      <c r="H247" s="64"/>
      <c r="I247" s="64"/>
      <c r="J247" s="64"/>
      <c r="K247" s="64"/>
      <c r="L247" s="64"/>
      <c r="M247" s="64"/>
      <c r="N247" s="64"/>
      <c r="O247" s="64">
        <f t="shared" ref="O247:O250" si="59">SUM(D247:N247)</f>
        <v>75</v>
      </c>
      <c r="P247" s="61"/>
      <c r="Q247" s="62"/>
      <c r="R247" s="63"/>
      <c r="S247" s="63"/>
      <c r="T247" s="63"/>
      <c r="U247" s="63"/>
      <c r="V247" s="63"/>
      <c r="W247" s="63"/>
      <c r="X247" s="63"/>
      <c r="Y247" s="63"/>
      <c r="Z247" s="63"/>
      <c r="AA247" s="63"/>
      <c r="AB247" s="63"/>
      <c r="AC247" s="63"/>
    </row>
    <row r="248" spans="1:29" ht="16" customHeight="1">
      <c r="A248" t="s">
        <v>91</v>
      </c>
      <c r="B248" s="69" t="s">
        <v>494</v>
      </c>
      <c r="C248" s="69" t="s">
        <v>453</v>
      </c>
      <c r="D248" s="64"/>
      <c r="E248" s="64">
        <v>1.2</v>
      </c>
      <c r="F248" s="64">
        <v>20</v>
      </c>
      <c r="G248" s="64">
        <v>48.1</v>
      </c>
      <c r="H248" s="64"/>
      <c r="I248" s="64">
        <v>6.7</v>
      </c>
      <c r="J248" s="64">
        <f>55</f>
        <v>55</v>
      </c>
      <c r="K248" s="64"/>
      <c r="L248" s="64">
        <v>110</v>
      </c>
      <c r="M248" s="64"/>
      <c r="N248" s="64">
        <f>111.2-110</f>
        <v>1.2000000000000028</v>
      </c>
      <c r="O248" s="64">
        <f t="shared" si="59"/>
        <v>242.2</v>
      </c>
      <c r="P248" s="61"/>
      <c r="Q248" s="62"/>
      <c r="R248" s="63"/>
      <c r="S248" s="63"/>
      <c r="T248" s="63"/>
      <c r="U248" s="63"/>
      <c r="V248" s="63"/>
      <c r="W248" s="63"/>
      <c r="X248" s="63"/>
      <c r="Y248" s="63"/>
      <c r="Z248" s="63"/>
      <c r="AA248" s="63"/>
      <c r="AB248" s="63"/>
      <c r="AC248" s="63"/>
    </row>
    <row r="249" spans="1:29" ht="16" customHeight="1">
      <c r="A249" t="s">
        <v>91</v>
      </c>
      <c r="B249" s="69" t="s">
        <v>494</v>
      </c>
      <c r="C249" s="69" t="s">
        <v>496</v>
      </c>
      <c r="D249" s="64">
        <v>45</v>
      </c>
      <c r="E249" s="64">
        <v>2.7</v>
      </c>
      <c r="F249" s="64">
        <v>7.8</v>
      </c>
      <c r="G249" s="64">
        <v>4.3</v>
      </c>
      <c r="H249" s="64"/>
      <c r="I249" s="64">
        <v>2.7</v>
      </c>
      <c r="J249" s="64"/>
      <c r="K249" s="64"/>
      <c r="L249" s="64"/>
      <c r="M249" s="64"/>
      <c r="N249" s="64">
        <v>0.3</v>
      </c>
      <c r="O249" s="64">
        <f t="shared" si="59"/>
        <v>62.8</v>
      </c>
      <c r="P249" s="61"/>
      <c r="Q249" s="62"/>
      <c r="R249" s="63"/>
      <c r="S249" s="63"/>
      <c r="T249" s="63"/>
      <c r="U249" s="63"/>
      <c r="V249" s="63"/>
      <c r="W249" s="63"/>
      <c r="X249" s="63"/>
      <c r="Y249" s="63"/>
      <c r="Z249" s="63"/>
      <c r="AA249" s="63"/>
      <c r="AB249" s="63"/>
      <c r="AC249" s="63"/>
    </row>
    <row r="250" spans="1:29" ht="16" customHeight="1">
      <c r="A250" t="s">
        <v>91</v>
      </c>
      <c r="B250" s="69" t="s">
        <v>494</v>
      </c>
      <c r="C250" s="69" t="s">
        <v>497</v>
      </c>
      <c r="D250" s="64"/>
      <c r="E250" s="64"/>
      <c r="F250" s="64"/>
      <c r="G250" s="64"/>
      <c r="H250" s="64"/>
      <c r="I250" s="64">
        <v>45</v>
      </c>
      <c r="J250" s="64"/>
      <c r="K250" s="64"/>
      <c r="L250" s="64"/>
      <c r="M250" s="64"/>
      <c r="N250" s="64"/>
      <c r="O250" s="64">
        <f t="shared" si="59"/>
        <v>45</v>
      </c>
      <c r="P250" s="61"/>
      <c r="Q250" s="62"/>
      <c r="R250" s="63"/>
      <c r="S250" s="63"/>
      <c r="T250" s="63"/>
      <c r="U250" s="63"/>
      <c r="V250" s="63"/>
      <c r="W250" s="63"/>
      <c r="X250" s="63"/>
      <c r="Y250" s="63"/>
      <c r="Z250" s="63"/>
      <c r="AA250" s="63"/>
      <c r="AB250" s="63"/>
      <c r="AC250" s="63"/>
    </row>
    <row r="251" spans="1:29" ht="16" customHeight="1">
      <c r="A251" t="s">
        <v>91</v>
      </c>
      <c r="B251" s="69" t="s">
        <v>494</v>
      </c>
      <c r="C251" s="70" t="s">
        <v>448</v>
      </c>
      <c r="D251" s="64">
        <f t="shared" ref="D251:J251" si="60">SUM(D246:D250)</f>
        <v>45</v>
      </c>
      <c r="E251" s="64">
        <f t="shared" si="60"/>
        <v>3.9000000000000004</v>
      </c>
      <c r="F251" s="64">
        <f t="shared" si="60"/>
        <v>28.1</v>
      </c>
      <c r="G251" s="64">
        <f t="shared" si="60"/>
        <v>127.39999999999999</v>
      </c>
      <c r="H251" s="64">
        <f t="shared" si="60"/>
        <v>135</v>
      </c>
      <c r="I251" s="64">
        <f t="shared" si="60"/>
        <v>54.4</v>
      </c>
      <c r="J251" s="64">
        <f t="shared" si="60"/>
        <v>55</v>
      </c>
      <c r="K251" s="64"/>
      <c r="L251" s="64">
        <f>SUM(L246:L250)</f>
        <v>110</v>
      </c>
      <c r="M251" s="64"/>
      <c r="N251" s="64">
        <f>SUM(N246:N250)</f>
        <v>1.5000000000000029</v>
      </c>
      <c r="O251" s="64">
        <f>SUM(O246:O250)</f>
        <v>560.29999999999995</v>
      </c>
      <c r="P251" s="61"/>
      <c r="Q251" s="62"/>
      <c r="R251" s="63"/>
      <c r="S251" s="63"/>
      <c r="T251" s="63"/>
      <c r="U251" s="63"/>
      <c r="V251" s="63"/>
      <c r="W251" s="63"/>
      <c r="X251" s="63"/>
      <c r="Y251" s="63"/>
      <c r="Z251" s="63"/>
      <c r="AA251" s="63"/>
      <c r="AB251" s="63"/>
      <c r="AC251" s="63"/>
    </row>
    <row r="252" spans="1:29" ht="16" customHeight="1">
      <c r="A252" t="s">
        <v>91</v>
      </c>
      <c r="B252" s="69" t="s">
        <v>498</v>
      </c>
      <c r="C252" s="69" t="s">
        <v>450</v>
      </c>
      <c r="D252" s="64"/>
      <c r="E252" s="64"/>
      <c r="F252" s="64">
        <v>0.3</v>
      </c>
      <c r="G252" s="64"/>
      <c r="H252" s="64">
        <v>125</v>
      </c>
      <c r="I252" s="64"/>
      <c r="J252" s="64"/>
      <c r="K252" s="64"/>
      <c r="L252" s="64"/>
      <c r="M252" s="64"/>
      <c r="N252" s="64"/>
      <c r="O252" s="64">
        <f>SUM(D252:N252)</f>
        <v>125.3</v>
      </c>
      <c r="P252" s="61"/>
      <c r="Q252" s="62"/>
      <c r="R252" s="63"/>
      <c r="S252" s="63"/>
      <c r="T252" s="63"/>
      <c r="U252" s="63"/>
      <c r="V252" s="63"/>
      <c r="W252" s="63"/>
      <c r="X252" s="63"/>
      <c r="Y252" s="63"/>
      <c r="Z252" s="63"/>
      <c r="AA252" s="63"/>
      <c r="AB252" s="63"/>
      <c r="AC252" s="63"/>
    </row>
    <row r="253" spans="1:29" ht="16" customHeight="1">
      <c r="A253" t="s">
        <v>91</v>
      </c>
      <c r="B253" s="69" t="s">
        <v>498</v>
      </c>
      <c r="C253" s="69" t="s">
        <v>495</v>
      </c>
      <c r="D253" s="64"/>
      <c r="E253" s="64"/>
      <c r="F253" s="64"/>
      <c r="G253" s="64">
        <v>65</v>
      </c>
      <c r="H253" s="64"/>
      <c r="I253" s="64"/>
      <c r="J253" s="64"/>
      <c r="K253" s="64"/>
      <c r="L253" s="64"/>
      <c r="M253" s="64"/>
      <c r="N253" s="64">
        <v>1</v>
      </c>
      <c r="O253" s="64">
        <f t="shared" ref="O253:O256" si="61">SUM(D253:N253)</f>
        <v>66</v>
      </c>
      <c r="P253" s="61"/>
      <c r="Q253" s="62"/>
      <c r="R253" s="63"/>
      <c r="S253" s="63"/>
      <c r="T253" s="63"/>
      <c r="U253" s="63"/>
      <c r="V253" s="63"/>
      <c r="W253" s="63"/>
      <c r="X253" s="63"/>
      <c r="Y253" s="63"/>
      <c r="Z253" s="63"/>
      <c r="AA253" s="63"/>
      <c r="AB253" s="63"/>
      <c r="AC253" s="63"/>
    </row>
    <row r="254" spans="1:29" ht="16" customHeight="1">
      <c r="A254" t="s">
        <v>91</v>
      </c>
      <c r="B254" s="69" t="s">
        <v>498</v>
      </c>
      <c r="C254" s="69" t="s">
        <v>453</v>
      </c>
      <c r="D254" s="64"/>
      <c r="E254" s="64"/>
      <c r="F254" s="64">
        <v>20</v>
      </c>
      <c r="G254" s="64">
        <v>43.5</v>
      </c>
      <c r="H254" s="64"/>
      <c r="I254" s="64">
        <v>7.3</v>
      </c>
      <c r="J254" s="64">
        <f>60</f>
        <v>60</v>
      </c>
      <c r="K254" s="64"/>
      <c r="L254" s="64">
        <v>90</v>
      </c>
      <c r="M254" s="64"/>
      <c r="N254" s="64">
        <v>1.4</v>
      </c>
      <c r="O254" s="64">
        <f t="shared" si="61"/>
        <v>222.20000000000002</v>
      </c>
      <c r="P254" s="61"/>
      <c r="Q254" s="62"/>
      <c r="R254" s="63"/>
      <c r="S254" s="63"/>
      <c r="T254" s="63"/>
      <c r="U254" s="63"/>
      <c r="V254" s="63"/>
      <c r="W254" s="63"/>
      <c r="X254" s="63"/>
      <c r="Y254" s="63"/>
      <c r="Z254" s="63"/>
      <c r="AA254" s="63"/>
      <c r="AB254" s="63"/>
      <c r="AC254" s="63"/>
    </row>
    <row r="255" spans="1:29" ht="16" customHeight="1">
      <c r="A255" t="s">
        <v>91</v>
      </c>
      <c r="B255" s="69" t="s">
        <v>498</v>
      </c>
      <c r="C255" s="69" t="s">
        <v>496</v>
      </c>
      <c r="D255" s="64"/>
      <c r="E255" s="64">
        <v>2.2000000000000002</v>
      </c>
      <c r="F255" s="64">
        <v>6.1</v>
      </c>
      <c r="G255" s="64">
        <v>41.3</v>
      </c>
      <c r="H255" s="64"/>
      <c r="I255" s="64">
        <v>2.4</v>
      </c>
      <c r="J255" s="64"/>
      <c r="K255" s="64"/>
      <c r="L255" s="64"/>
      <c r="M255" s="64"/>
      <c r="N255" s="64">
        <v>0.2</v>
      </c>
      <c r="O255" s="64">
        <f t="shared" si="61"/>
        <v>52.199999999999996</v>
      </c>
      <c r="P255" s="61"/>
      <c r="Q255" s="62"/>
      <c r="R255" s="63"/>
      <c r="S255" s="63"/>
      <c r="T255" s="63"/>
      <c r="U255" s="63"/>
      <c r="V255" s="63"/>
      <c r="W255" s="63"/>
      <c r="X255" s="63"/>
      <c r="Y255" s="63"/>
      <c r="Z255" s="63"/>
      <c r="AA255" s="63"/>
      <c r="AB255" s="63"/>
      <c r="AC255" s="63"/>
    </row>
    <row r="256" spans="1:29" ht="16" customHeight="1">
      <c r="A256" t="s">
        <v>91</v>
      </c>
      <c r="B256" s="69" t="s">
        <v>498</v>
      </c>
      <c r="C256" s="69" t="s">
        <v>458</v>
      </c>
      <c r="D256" s="64"/>
      <c r="E256" s="64"/>
      <c r="F256" s="64"/>
      <c r="G256" s="64"/>
      <c r="H256" s="64"/>
      <c r="I256" s="64">
        <v>26.2</v>
      </c>
      <c r="J256" s="64"/>
      <c r="K256" s="64"/>
      <c r="L256" s="64"/>
      <c r="M256" s="64"/>
      <c r="N256" s="64"/>
      <c r="O256" s="64">
        <f t="shared" si="61"/>
        <v>26.2</v>
      </c>
      <c r="P256" s="61"/>
      <c r="Q256" s="62"/>
      <c r="R256" s="63"/>
      <c r="S256" s="63"/>
      <c r="T256" s="63"/>
      <c r="U256" s="63"/>
      <c r="V256" s="63"/>
      <c r="W256" s="63"/>
      <c r="X256" s="63"/>
      <c r="Y256" s="63"/>
      <c r="Z256" s="63"/>
      <c r="AA256" s="63"/>
      <c r="AB256" s="63"/>
      <c r="AC256" s="63"/>
    </row>
    <row r="257" spans="1:29">
      <c r="A257" t="s">
        <v>91</v>
      </c>
      <c r="B257" s="69" t="s">
        <v>498</v>
      </c>
      <c r="C257" s="70" t="s">
        <v>448</v>
      </c>
      <c r="D257" s="64"/>
      <c r="E257" s="64">
        <f t="shared" ref="E257:J257" si="62">SUM(E252:E256)</f>
        <v>2.2000000000000002</v>
      </c>
      <c r="F257" s="64">
        <f t="shared" si="62"/>
        <v>26.4</v>
      </c>
      <c r="G257" s="64">
        <f t="shared" si="62"/>
        <v>149.80000000000001</v>
      </c>
      <c r="H257" s="64">
        <f t="shared" si="62"/>
        <v>125</v>
      </c>
      <c r="I257" s="64">
        <f t="shared" si="62"/>
        <v>35.9</v>
      </c>
      <c r="J257" s="64">
        <f t="shared" si="62"/>
        <v>60</v>
      </c>
      <c r="K257" s="64"/>
      <c r="L257" s="64">
        <f>SUM(L252:L256)</f>
        <v>90</v>
      </c>
      <c r="M257" s="64"/>
      <c r="N257" s="64">
        <f>SUM(N252:N256)</f>
        <v>2.6</v>
      </c>
      <c r="O257" s="64">
        <f>SUM(O252:O256)</f>
        <v>491.9</v>
      </c>
      <c r="P257" s="61"/>
      <c r="Q257" s="62"/>
      <c r="R257" s="63"/>
      <c r="S257" s="63"/>
      <c r="T257" s="63"/>
      <c r="U257" s="63"/>
      <c r="V257" s="63"/>
      <c r="W257" s="63"/>
      <c r="X257" s="63"/>
      <c r="Y257" s="63"/>
      <c r="Z257" s="63"/>
      <c r="AA257" s="63"/>
      <c r="AB257" s="63"/>
      <c r="AC257" s="63"/>
    </row>
    <row r="258" spans="1:29">
      <c r="A258" t="s">
        <v>91</v>
      </c>
      <c r="B258" s="69" t="s">
        <v>499</v>
      </c>
      <c r="C258" s="69" t="s">
        <v>450</v>
      </c>
      <c r="D258" s="64"/>
      <c r="E258" s="64"/>
      <c r="F258" s="64"/>
      <c r="G258" s="64"/>
      <c r="H258" s="64">
        <v>129</v>
      </c>
      <c r="I258" s="64"/>
      <c r="J258" s="64"/>
      <c r="K258" s="64"/>
      <c r="L258" s="64"/>
      <c r="M258" s="64"/>
      <c r="N258" s="64"/>
      <c r="O258" s="64">
        <f t="shared" ref="O258:O262" si="63">SUM(D258:N258)</f>
        <v>129</v>
      </c>
      <c r="P258" s="61"/>
      <c r="Q258" s="62"/>
      <c r="R258" s="63"/>
      <c r="S258" s="63"/>
      <c r="T258" s="63"/>
      <c r="U258" s="63"/>
      <c r="V258" s="63"/>
      <c r="W258" s="63"/>
      <c r="X258" s="63"/>
      <c r="Y258" s="63"/>
      <c r="Z258" s="63"/>
      <c r="AA258" s="63"/>
      <c r="AB258" s="63"/>
      <c r="AC258" s="63"/>
    </row>
    <row r="259" spans="1:29">
      <c r="A259" t="s">
        <v>91</v>
      </c>
      <c r="B259" s="69" t="s">
        <v>499</v>
      </c>
      <c r="C259" s="69" t="s">
        <v>495</v>
      </c>
      <c r="D259" s="64">
        <v>136</v>
      </c>
      <c r="E259" s="64"/>
      <c r="F259" s="64">
        <v>3.1</v>
      </c>
      <c r="G259" s="64">
        <v>12</v>
      </c>
      <c r="H259" s="64"/>
      <c r="I259" s="64"/>
      <c r="J259" s="64"/>
      <c r="K259" s="64"/>
      <c r="L259" s="64"/>
      <c r="M259" s="64"/>
      <c r="N259" s="64"/>
      <c r="O259" s="64">
        <f t="shared" si="63"/>
        <v>151.1</v>
      </c>
      <c r="P259" s="61"/>
      <c r="Q259" s="62"/>
      <c r="R259" s="63"/>
      <c r="S259" s="63"/>
      <c r="T259" s="63"/>
      <c r="U259" s="63"/>
      <c r="V259" s="63"/>
      <c r="W259" s="63"/>
      <c r="X259" s="63"/>
      <c r="Y259" s="63"/>
      <c r="Z259" s="63"/>
      <c r="AA259" s="63"/>
      <c r="AB259" s="63"/>
      <c r="AC259" s="63"/>
    </row>
    <row r="260" spans="1:29">
      <c r="A260" t="s">
        <v>91</v>
      </c>
      <c r="B260" s="69" t="s">
        <v>499</v>
      </c>
      <c r="C260" s="69" t="s">
        <v>500</v>
      </c>
      <c r="D260" s="64"/>
      <c r="E260" s="64"/>
      <c r="F260" s="64"/>
      <c r="G260" s="64"/>
      <c r="H260" s="64"/>
      <c r="I260" s="64"/>
      <c r="J260" s="64">
        <f>154</f>
        <v>154</v>
      </c>
      <c r="K260" s="64"/>
      <c r="L260" s="64">
        <v>188</v>
      </c>
      <c r="M260" s="64"/>
      <c r="N260" s="64"/>
      <c r="O260" s="64">
        <f t="shared" si="63"/>
        <v>342</v>
      </c>
      <c r="P260" s="61"/>
      <c r="Q260" s="62"/>
      <c r="R260" s="63"/>
      <c r="S260" s="63"/>
      <c r="T260" s="63"/>
      <c r="U260" s="63"/>
      <c r="V260" s="63"/>
      <c r="W260" s="63"/>
      <c r="X260" s="63"/>
      <c r="Y260" s="63"/>
      <c r="Z260" s="63"/>
      <c r="AA260" s="63"/>
      <c r="AB260" s="63"/>
      <c r="AC260" s="63"/>
    </row>
    <row r="261" spans="1:29">
      <c r="A261" t="s">
        <v>91</v>
      </c>
      <c r="B261" s="69" t="s">
        <v>499</v>
      </c>
      <c r="C261" s="69" t="s">
        <v>496</v>
      </c>
      <c r="D261" s="64">
        <v>1.2</v>
      </c>
      <c r="E261" s="64">
        <v>1.1000000000000001</v>
      </c>
      <c r="F261" s="64"/>
      <c r="G261" s="64">
        <v>24.4</v>
      </c>
      <c r="H261" s="64"/>
      <c r="I261" s="64"/>
      <c r="J261" s="64"/>
      <c r="K261" s="64"/>
      <c r="L261" s="64"/>
      <c r="M261" s="64"/>
      <c r="N261" s="64">
        <v>7.5</v>
      </c>
      <c r="O261" s="64">
        <f t="shared" si="63"/>
        <v>34.200000000000003</v>
      </c>
      <c r="P261" s="61"/>
      <c r="Q261" s="62"/>
      <c r="R261" s="63"/>
      <c r="S261" s="63"/>
      <c r="T261" s="63"/>
      <c r="U261" s="63"/>
      <c r="V261" s="63"/>
      <c r="W261" s="63"/>
      <c r="X261" s="63"/>
      <c r="Y261" s="63"/>
      <c r="Z261" s="63"/>
      <c r="AA261" s="63"/>
      <c r="AB261" s="63"/>
      <c r="AC261" s="63"/>
    </row>
    <row r="262" spans="1:29">
      <c r="A262" t="s">
        <v>91</v>
      </c>
      <c r="B262" s="69" t="s">
        <v>499</v>
      </c>
      <c r="C262" s="69" t="s">
        <v>458</v>
      </c>
      <c r="D262" s="64"/>
      <c r="E262" s="64"/>
      <c r="F262" s="64">
        <f>9.2+0.2</f>
        <v>9.3999999999999986</v>
      </c>
      <c r="G262" s="64"/>
      <c r="H262" s="64"/>
      <c r="I262" s="64">
        <v>20.100000000000001</v>
      </c>
      <c r="J262" s="64"/>
      <c r="K262" s="64"/>
      <c r="L262" s="64"/>
      <c r="M262" s="64"/>
      <c r="N262" s="64"/>
      <c r="O262" s="64">
        <f t="shared" si="63"/>
        <v>29.5</v>
      </c>
      <c r="P262" s="61"/>
      <c r="Q262" s="62"/>
      <c r="R262" s="63"/>
      <c r="S262" s="63"/>
      <c r="T262" s="63"/>
      <c r="U262" s="63"/>
      <c r="V262" s="63"/>
      <c r="W262" s="63"/>
      <c r="X262" s="63"/>
      <c r="Y262" s="63"/>
      <c r="Z262" s="63"/>
      <c r="AA262" s="63"/>
      <c r="AB262" s="63"/>
      <c r="AC262" s="63"/>
    </row>
    <row r="263" spans="1:29">
      <c r="A263" t="s">
        <v>91</v>
      </c>
      <c r="B263" s="69" t="s">
        <v>499</v>
      </c>
      <c r="C263" s="70" t="s">
        <v>448</v>
      </c>
      <c r="D263" s="64">
        <f t="shared" ref="D263:L263" si="64">SUM(D258:D262)</f>
        <v>137.19999999999999</v>
      </c>
      <c r="E263" s="64">
        <f t="shared" si="64"/>
        <v>1.1000000000000001</v>
      </c>
      <c r="F263" s="64">
        <f t="shared" si="64"/>
        <v>12.499999999999998</v>
      </c>
      <c r="G263" s="64">
        <f t="shared" si="64"/>
        <v>36.4</v>
      </c>
      <c r="H263" s="64">
        <f t="shared" si="64"/>
        <v>129</v>
      </c>
      <c r="I263" s="64">
        <f t="shared" si="64"/>
        <v>20.100000000000001</v>
      </c>
      <c r="J263" s="64">
        <f t="shared" si="64"/>
        <v>154</v>
      </c>
      <c r="K263" s="64"/>
      <c r="L263" s="64">
        <f t="shared" si="64"/>
        <v>188</v>
      </c>
      <c r="M263" s="64"/>
      <c r="N263" s="64">
        <f>SUM(N258:N262)</f>
        <v>7.5</v>
      </c>
      <c r="O263" s="64">
        <f>SUM(D263:N263)</f>
        <v>685.8</v>
      </c>
      <c r="P263" s="61"/>
      <c r="Q263" s="62"/>
      <c r="R263" s="63"/>
      <c r="S263" s="63"/>
      <c r="T263" s="63"/>
      <c r="U263" s="63"/>
      <c r="V263" s="63"/>
      <c r="W263" s="63"/>
      <c r="X263" s="63"/>
      <c r="Y263" s="63"/>
      <c r="Z263" s="63"/>
      <c r="AA263" s="63"/>
      <c r="AB263" s="63"/>
      <c r="AC263" s="63"/>
    </row>
    <row r="264" spans="1:29">
      <c r="B264" s="71"/>
      <c r="C264" s="71"/>
      <c r="D264" s="71"/>
      <c r="E264" s="71"/>
      <c r="F264" s="71"/>
      <c r="G264" s="71"/>
      <c r="H264" s="71"/>
      <c r="I264" s="71"/>
      <c r="J264" s="71"/>
      <c r="K264" s="71"/>
      <c r="L264" s="71"/>
      <c r="M264" s="71"/>
      <c r="N264" s="71"/>
      <c r="O264" s="71"/>
      <c r="P264" s="61"/>
      <c r="Q264" s="62"/>
      <c r="R264" s="63"/>
      <c r="S264" s="63"/>
      <c r="T264" s="63"/>
      <c r="U264" s="63"/>
      <c r="V264" s="63"/>
      <c r="W264" s="63"/>
      <c r="X264" s="63"/>
      <c r="Y264" s="63"/>
      <c r="Z264" s="63"/>
      <c r="AA264" s="63"/>
      <c r="AB264" s="63"/>
      <c r="AC264" s="63"/>
    </row>
    <row r="265" spans="1:29">
      <c r="B265" s="71"/>
      <c r="C265" s="71"/>
      <c r="D265" s="71"/>
      <c r="E265" s="71"/>
      <c r="F265" s="71"/>
      <c r="G265" s="71"/>
      <c r="H265" s="71"/>
      <c r="I265" s="71"/>
      <c r="J265" s="71"/>
      <c r="K265" s="71"/>
      <c r="L265" s="71"/>
      <c r="M265" s="71"/>
      <c r="N265" s="71"/>
      <c r="O265" s="71"/>
      <c r="P265" s="61"/>
      <c r="Q265" s="62"/>
      <c r="R265" s="63"/>
      <c r="S265" s="63"/>
      <c r="T265" s="63"/>
      <c r="U265" s="63"/>
      <c r="V265" s="63"/>
      <c r="W265" s="63"/>
      <c r="X265" s="63"/>
      <c r="Y265" s="63"/>
      <c r="Z265" s="63"/>
      <c r="AA265" s="63"/>
      <c r="AB265" s="63"/>
      <c r="AC265" s="63"/>
    </row>
    <row r="266" spans="1:29">
      <c r="B266" s="71"/>
      <c r="C266" s="71"/>
      <c r="D266" s="71"/>
      <c r="E266" s="71"/>
      <c r="F266" s="71"/>
      <c r="G266" s="71"/>
      <c r="H266" s="71"/>
      <c r="I266" s="71"/>
      <c r="J266" s="71"/>
      <c r="K266" s="71"/>
      <c r="L266" s="71"/>
      <c r="M266" s="71"/>
      <c r="N266" s="71"/>
      <c r="O266" s="71"/>
      <c r="P266" s="61"/>
      <c r="Q266" s="62"/>
      <c r="R266" s="63"/>
      <c r="S266" s="63"/>
      <c r="T266" s="63"/>
      <c r="U266" s="63"/>
      <c r="V266" s="63"/>
      <c r="W266" s="63"/>
      <c r="X266" s="63"/>
      <c r="Y266" s="63"/>
      <c r="Z266" s="63"/>
      <c r="AA266" s="63"/>
      <c r="AB266" s="63"/>
      <c r="AC266" s="63"/>
    </row>
    <row r="267" spans="1:29">
      <c r="B267" s="71"/>
      <c r="C267" s="71"/>
      <c r="D267" s="71"/>
      <c r="E267" s="71"/>
      <c r="F267" s="71"/>
      <c r="G267" s="71"/>
      <c r="H267" s="71"/>
      <c r="I267" s="71"/>
      <c r="J267" s="71"/>
      <c r="K267" s="71"/>
      <c r="L267" s="71"/>
      <c r="M267" s="71"/>
      <c r="N267" s="71"/>
      <c r="O267" s="71"/>
      <c r="P267" s="61"/>
      <c r="Q267" s="62"/>
      <c r="R267" s="63"/>
      <c r="S267" s="63"/>
      <c r="T267" s="63"/>
      <c r="U267" s="63"/>
      <c r="V267" s="63"/>
      <c r="W267" s="63"/>
      <c r="X267" s="63"/>
      <c r="Y267" s="63"/>
      <c r="Z267" s="63"/>
      <c r="AA267" s="63"/>
      <c r="AB267" s="63"/>
      <c r="AC267" s="63"/>
    </row>
    <row r="268" spans="1:29">
      <c r="B268" s="71"/>
      <c r="C268" s="71"/>
      <c r="D268" s="71"/>
      <c r="E268" s="71"/>
      <c r="F268" s="71"/>
      <c r="G268" s="71"/>
      <c r="H268" s="71"/>
      <c r="I268" s="71"/>
      <c r="J268" s="71"/>
      <c r="K268" s="71"/>
      <c r="L268" s="71"/>
      <c r="M268" s="71"/>
      <c r="N268" s="71"/>
      <c r="O268" s="71"/>
      <c r="P268" s="61"/>
      <c r="Q268" s="62"/>
      <c r="R268" s="63"/>
      <c r="S268" s="63"/>
      <c r="T268" s="63"/>
      <c r="U268" s="63"/>
      <c r="V268" s="63"/>
      <c r="W268" s="63"/>
      <c r="X268" s="63"/>
      <c r="Y268" s="63"/>
      <c r="Z268" s="63"/>
      <c r="AA268" s="63"/>
      <c r="AB268" s="63"/>
      <c r="AC268" s="63"/>
    </row>
    <row r="269" spans="1:29">
      <c r="B269" s="71"/>
      <c r="C269" s="71"/>
      <c r="D269" s="71"/>
      <c r="E269" s="71"/>
      <c r="F269" s="71"/>
      <c r="G269" s="71"/>
      <c r="H269" s="71"/>
      <c r="I269" s="71"/>
      <c r="J269" s="71"/>
      <c r="K269" s="71"/>
      <c r="L269" s="71"/>
      <c r="M269" s="71"/>
      <c r="N269" s="71"/>
      <c r="O269" s="71"/>
      <c r="P269" s="61"/>
      <c r="Q269" s="62"/>
      <c r="R269" s="63"/>
      <c r="S269" s="63"/>
      <c r="T269" s="63"/>
      <c r="U269" s="63"/>
      <c r="V269" s="63"/>
      <c r="W269" s="63"/>
      <c r="X269" s="63"/>
      <c r="Y269" s="63"/>
      <c r="Z269" s="63"/>
      <c r="AA269" s="63"/>
      <c r="AB269" s="63"/>
      <c r="AC269" s="63"/>
    </row>
    <row r="270" spans="1:29">
      <c r="B270" s="71"/>
      <c r="C270" s="71"/>
      <c r="D270" s="71"/>
      <c r="E270" s="71"/>
      <c r="F270" s="71"/>
      <c r="G270" s="71"/>
      <c r="H270" s="71"/>
      <c r="I270" s="71"/>
      <c r="J270" s="71"/>
      <c r="K270" s="71"/>
      <c r="L270" s="71"/>
      <c r="M270" s="71"/>
      <c r="N270" s="71"/>
      <c r="O270" s="71"/>
      <c r="P270" s="61"/>
      <c r="Q270" s="62"/>
      <c r="R270" s="63"/>
      <c r="S270" s="63"/>
      <c r="T270" s="63"/>
      <c r="U270" s="63"/>
      <c r="V270" s="63"/>
      <c r="W270" s="63"/>
      <c r="X270" s="63"/>
      <c r="Y270" s="63"/>
      <c r="Z270" s="63"/>
      <c r="AA270" s="63"/>
      <c r="AB270" s="63"/>
      <c r="AC270" s="63"/>
    </row>
    <row r="271" spans="1:29">
      <c r="B271" s="71"/>
      <c r="C271" s="71"/>
      <c r="D271" s="71"/>
      <c r="E271" s="71"/>
      <c r="F271" s="71"/>
      <c r="G271" s="71"/>
      <c r="H271" s="71"/>
      <c r="I271" s="71"/>
      <c r="J271" s="71"/>
      <c r="K271" s="71"/>
      <c r="L271" s="71"/>
      <c r="M271" s="71"/>
      <c r="N271" s="71"/>
      <c r="O271" s="71"/>
      <c r="P271" s="61"/>
      <c r="Q271" s="62"/>
      <c r="R271" s="63"/>
      <c r="S271" s="63"/>
      <c r="T271" s="63"/>
      <c r="U271" s="63"/>
      <c r="V271" s="63"/>
      <c r="W271" s="63"/>
      <c r="X271" s="63"/>
      <c r="Y271" s="63"/>
      <c r="Z271" s="63"/>
      <c r="AA271" s="63"/>
      <c r="AB271" s="63"/>
      <c r="AC271" s="63"/>
    </row>
    <row r="272" spans="1:29">
      <c r="B272" s="71"/>
      <c r="C272" s="71"/>
      <c r="D272" s="71"/>
      <c r="E272" s="71"/>
      <c r="F272" s="71"/>
      <c r="G272" s="71"/>
      <c r="H272" s="71"/>
      <c r="I272" s="71"/>
      <c r="J272" s="71"/>
      <c r="K272" s="71"/>
      <c r="L272" s="71"/>
      <c r="M272" s="71"/>
      <c r="N272" s="71"/>
      <c r="O272" s="71"/>
      <c r="P272" s="61"/>
      <c r="Q272" s="62"/>
      <c r="R272" s="63"/>
      <c r="S272" s="63"/>
      <c r="T272" s="63"/>
      <c r="U272" s="63"/>
      <c r="V272" s="63"/>
      <c r="W272" s="63"/>
      <c r="X272" s="63"/>
      <c r="Y272" s="63"/>
      <c r="Z272" s="63"/>
      <c r="AA272" s="63"/>
      <c r="AB272" s="63"/>
      <c r="AC272" s="63"/>
    </row>
    <row r="273" spans="2:29">
      <c r="B273" s="71"/>
      <c r="C273" s="71"/>
      <c r="D273" s="71"/>
      <c r="E273" s="71"/>
      <c r="F273" s="71"/>
      <c r="G273" s="71"/>
      <c r="H273" s="71"/>
      <c r="I273" s="71"/>
      <c r="J273" s="71"/>
      <c r="K273" s="71"/>
      <c r="L273" s="71"/>
      <c r="M273" s="71"/>
      <c r="N273" s="71"/>
      <c r="O273" s="71"/>
      <c r="P273" s="61"/>
      <c r="Q273" s="62"/>
      <c r="R273" s="63"/>
      <c r="S273" s="63"/>
      <c r="T273" s="63"/>
      <c r="U273" s="63"/>
      <c r="V273" s="63"/>
      <c r="W273" s="63"/>
      <c r="X273" s="63"/>
      <c r="Y273" s="63"/>
      <c r="Z273" s="63"/>
      <c r="AA273" s="63"/>
      <c r="AB273" s="63"/>
      <c r="AC273" s="63"/>
    </row>
    <row r="274" spans="2:29">
      <c r="B274" s="71"/>
      <c r="C274" s="71"/>
      <c r="D274" s="71"/>
      <c r="E274" s="71"/>
      <c r="F274" s="71"/>
      <c r="G274" s="71"/>
      <c r="H274" s="71"/>
      <c r="I274" s="71"/>
      <c r="J274" s="71"/>
      <c r="K274" s="71"/>
      <c r="L274" s="71"/>
      <c r="M274" s="71"/>
      <c r="N274" s="71"/>
      <c r="O274" s="71"/>
      <c r="P274" s="61"/>
      <c r="Q274" s="62"/>
      <c r="R274" s="63"/>
      <c r="S274" s="63"/>
      <c r="T274" s="63"/>
      <c r="U274" s="63"/>
      <c r="V274" s="63"/>
      <c r="W274" s="63"/>
      <c r="X274" s="63"/>
      <c r="Y274" s="63"/>
      <c r="Z274" s="63"/>
      <c r="AA274" s="63"/>
      <c r="AB274" s="63"/>
      <c r="AC274" s="63"/>
    </row>
    <row r="275" spans="2:29">
      <c r="B275" s="71"/>
      <c r="C275" s="71"/>
      <c r="D275" s="71"/>
      <c r="E275" s="71"/>
      <c r="F275" s="71"/>
      <c r="G275" s="71"/>
      <c r="H275" s="71"/>
      <c r="I275" s="71"/>
      <c r="J275" s="71"/>
      <c r="K275" s="71"/>
      <c r="L275" s="71"/>
      <c r="M275" s="71"/>
      <c r="N275" s="71"/>
      <c r="O275" s="71"/>
      <c r="P275" s="61"/>
      <c r="Q275" s="62"/>
      <c r="R275" s="63"/>
      <c r="S275" s="63"/>
      <c r="T275" s="63"/>
      <c r="U275" s="63"/>
      <c r="V275" s="63"/>
      <c r="W275" s="63"/>
      <c r="X275" s="63"/>
      <c r="Y275" s="63"/>
      <c r="Z275" s="63"/>
      <c r="AA275" s="63"/>
      <c r="AB275" s="63"/>
      <c r="AC275" s="63"/>
    </row>
    <row r="276" spans="2:29">
      <c r="B276" s="71"/>
      <c r="C276" s="71"/>
      <c r="D276" s="71"/>
      <c r="E276" s="71"/>
      <c r="F276" s="71"/>
      <c r="G276" s="71"/>
      <c r="H276" s="71"/>
      <c r="I276" s="71"/>
      <c r="J276" s="71"/>
      <c r="K276" s="71"/>
      <c r="L276" s="71"/>
      <c r="M276" s="71"/>
      <c r="N276" s="71"/>
      <c r="O276" s="71"/>
      <c r="P276" s="61"/>
      <c r="Q276" s="62"/>
      <c r="R276" s="63"/>
      <c r="S276" s="63"/>
      <c r="T276" s="63"/>
      <c r="U276" s="63"/>
      <c r="V276" s="63"/>
      <c r="W276" s="63"/>
      <c r="X276" s="63"/>
      <c r="Y276" s="63"/>
      <c r="Z276" s="63"/>
      <c r="AA276" s="63"/>
      <c r="AB276" s="63"/>
      <c r="AC276" s="63"/>
    </row>
    <row r="277" spans="2:29">
      <c r="B277" s="71"/>
      <c r="C277" s="71"/>
      <c r="D277" s="71"/>
      <c r="E277" s="71"/>
      <c r="F277" s="71"/>
      <c r="G277" s="71"/>
      <c r="H277" s="71"/>
      <c r="I277" s="71"/>
      <c r="J277" s="71"/>
      <c r="K277" s="71"/>
      <c r="L277" s="71"/>
      <c r="M277" s="71"/>
      <c r="N277" s="71"/>
      <c r="O277" s="71"/>
      <c r="P277" s="61"/>
      <c r="Q277" s="62"/>
      <c r="R277" s="63"/>
      <c r="S277" s="63"/>
      <c r="T277" s="63"/>
      <c r="U277" s="63"/>
      <c r="V277" s="63"/>
      <c r="W277" s="63"/>
      <c r="X277" s="63"/>
      <c r="Y277" s="63"/>
      <c r="Z277" s="63"/>
      <c r="AA277" s="63"/>
      <c r="AB277" s="63"/>
      <c r="AC277" s="63"/>
    </row>
    <row r="278" spans="2:29">
      <c r="B278" s="71"/>
      <c r="C278" s="71"/>
      <c r="D278" s="71"/>
      <c r="E278" s="71"/>
      <c r="F278" s="71"/>
      <c r="G278" s="71"/>
      <c r="H278" s="71"/>
      <c r="I278" s="71"/>
      <c r="J278" s="71"/>
      <c r="K278" s="71"/>
      <c r="L278" s="71"/>
      <c r="M278" s="71"/>
      <c r="N278" s="71"/>
      <c r="O278" s="71"/>
      <c r="P278" s="61"/>
      <c r="Q278" s="62"/>
      <c r="R278" s="63"/>
      <c r="S278" s="63"/>
      <c r="T278" s="63"/>
      <c r="U278" s="63"/>
      <c r="V278" s="63"/>
      <c r="W278" s="63"/>
      <c r="X278" s="63"/>
      <c r="Y278" s="63"/>
      <c r="Z278" s="63"/>
      <c r="AA278" s="63"/>
      <c r="AB278" s="63"/>
      <c r="AC278" s="63"/>
    </row>
    <row r="279" spans="2:29">
      <c r="B279" s="71"/>
      <c r="C279" s="71"/>
      <c r="D279" s="71"/>
      <c r="E279" s="71"/>
      <c r="F279" s="71"/>
      <c r="G279" s="71"/>
      <c r="H279" s="71"/>
      <c r="I279" s="71"/>
      <c r="J279" s="71"/>
      <c r="K279" s="71"/>
      <c r="L279" s="71"/>
      <c r="M279" s="71"/>
      <c r="N279" s="71"/>
      <c r="O279" s="71"/>
      <c r="P279" s="61"/>
      <c r="Q279" s="62"/>
      <c r="R279" s="63"/>
      <c r="S279" s="63"/>
      <c r="T279" s="63"/>
      <c r="U279" s="63"/>
      <c r="V279" s="63"/>
      <c r="W279" s="63"/>
      <c r="X279" s="63"/>
      <c r="Y279" s="63"/>
      <c r="Z279" s="63"/>
      <c r="AA279" s="63"/>
      <c r="AB279" s="63"/>
      <c r="AC279" s="63"/>
    </row>
    <row r="280" spans="2:29">
      <c r="B280" s="71"/>
      <c r="C280" s="71"/>
      <c r="D280" s="71"/>
      <c r="E280" s="71"/>
      <c r="F280" s="71"/>
      <c r="G280" s="71"/>
      <c r="H280" s="71"/>
      <c r="I280" s="71"/>
      <c r="J280" s="71"/>
      <c r="K280" s="71"/>
      <c r="L280" s="71"/>
      <c r="M280" s="71"/>
      <c r="N280" s="71"/>
      <c r="O280" s="71"/>
      <c r="P280" s="61"/>
      <c r="Q280" s="62"/>
      <c r="R280" s="63"/>
      <c r="S280" s="63"/>
      <c r="T280" s="63"/>
      <c r="U280" s="63"/>
      <c r="V280" s="63"/>
      <c r="W280" s="63"/>
      <c r="X280" s="63"/>
      <c r="Y280" s="63"/>
      <c r="Z280" s="63"/>
      <c r="AA280" s="63"/>
      <c r="AB280" s="63"/>
      <c r="AC280" s="63"/>
    </row>
    <row r="281" spans="2:29">
      <c r="B281" s="71"/>
      <c r="C281" s="71"/>
      <c r="D281" s="71"/>
      <c r="E281" s="71"/>
      <c r="F281" s="71"/>
      <c r="G281" s="71"/>
      <c r="H281" s="71"/>
      <c r="I281" s="71"/>
      <c r="J281" s="71"/>
      <c r="K281" s="71"/>
      <c r="L281" s="71"/>
      <c r="M281" s="71"/>
      <c r="N281" s="71"/>
      <c r="O281" s="71"/>
      <c r="P281" s="61"/>
      <c r="Q281" s="62"/>
      <c r="R281" s="63"/>
      <c r="S281" s="63"/>
      <c r="T281" s="63"/>
      <c r="U281" s="63"/>
      <c r="V281" s="63"/>
      <c r="W281" s="63"/>
      <c r="X281" s="63"/>
      <c r="Y281" s="63"/>
      <c r="Z281" s="63"/>
      <c r="AA281" s="63"/>
      <c r="AB281" s="63"/>
      <c r="AC281" s="63"/>
    </row>
    <row r="282" spans="2:29">
      <c r="B282" s="71"/>
      <c r="C282" s="71"/>
      <c r="D282" s="71"/>
      <c r="E282" s="71"/>
      <c r="F282" s="71"/>
      <c r="G282" s="71"/>
      <c r="H282" s="71"/>
      <c r="I282" s="71"/>
      <c r="J282" s="71"/>
      <c r="K282" s="71"/>
      <c r="L282" s="71"/>
      <c r="M282" s="71"/>
      <c r="N282" s="71"/>
      <c r="O282" s="71"/>
      <c r="P282" s="61"/>
      <c r="Q282" s="62"/>
      <c r="R282" s="63"/>
      <c r="S282" s="63"/>
      <c r="T282" s="63"/>
      <c r="U282" s="63"/>
      <c r="V282" s="63"/>
      <c r="W282" s="63"/>
      <c r="X282" s="63"/>
      <c r="Y282" s="63"/>
      <c r="Z282" s="63"/>
      <c r="AA282" s="63"/>
      <c r="AB282" s="63"/>
      <c r="AC282" s="63"/>
    </row>
    <row r="283" spans="2:29">
      <c r="B283" s="71"/>
      <c r="C283" s="71"/>
      <c r="D283" s="71"/>
      <c r="E283" s="71"/>
      <c r="F283" s="71"/>
      <c r="G283" s="71"/>
      <c r="H283" s="71"/>
      <c r="I283" s="71"/>
      <c r="J283" s="71"/>
      <c r="K283" s="71"/>
      <c r="L283" s="71"/>
      <c r="M283" s="71"/>
      <c r="N283" s="71"/>
      <c r="O283" s="71"/>
      <c r="P283" s="61"/>
      <c r="Q283" s="62"/>
      <c r="R283" s="63"/>
      <c r="S283" s="63"/>
      <c r="T283" s="63"/>
      <c r="U283" s="63"/>
      <c r="V283" s="63"/>
      <c r="W283" s="63"/>
      <c r="X283" s="63"/>
      <c r="Y283" s="63"/>
      <c r="Z283" s="63"/>
      <c r="AA283" s="63"/>
      <c r="AB283" s="63"/>
      <c r="AC283" s="63"/>
    </row>
    <row r="284" spans="2:29">
      <c r="B284" s="71"/>
      <c r="C284" s="71"/>
      <c r="D284" s="71"/>
      <c r="E284" s="71"/>
      <c r="F284" s="71"/>
      <c r="G284" s="71"/>
      <c r="H284" s="71"/>
      <c r="I284" s="71"/>
      <c r="J284" s="71"/>
      <c r="K284" s="71"/>
      <c r="L284" s="71"/>
      <c r="M284" s="71"/>
      <c r="N284" s="71"/>
      <c r="O284" s="71"/>
      <c r="P284" s="61"/>
      <c r="Q284" s="62"/>
      <c r="R284" s="63"/>
      <c r="S284" s="63"/>
      <c r="T284" s="63"/>
      <c r="U284" s="63"/>
      <c r="V284" s="63"/>
      <c r="W284" s="63"/>
      <c r="X284" s="63"/>
      <c r="Y284" s="63"/>
      <c r="Z284" s="63"/>
      <c r="AA284" s="63"/>
      <c r="AB284" s="63"/>
      <c r="AC284" s="63"/>
    </row>
    <row r="285" spans="2:29">
      <c r="B285" s="71"/>
      <c r="C285" s="71"/>
      <c r="D285" s="71"/>
      <c r="E285" s="71"/>
      <c r="F285" s="71"/>
      <c r="G285" s="71"/>
      <c r="H285" s="71"/>
      <c r="I285" s="71"/>
      <c r="J285" s="71"/>
      <c r="K285" s="71"/>
      <c r="L285" s="71"/>
      <c r="M285" s="71"/>
      <c r="N285" s="71"/>
      <c r="O285" s="71"/>
      <c r="P285" s="61"/>
      <c r="Q285" s="62"/>
      <c r="R285" s="63"/>
      <c r="S285" s="63"/>
      <c r="T285" s="63"/>
      <c r="U285" s="63"/>
      <c r="V285" s="63"/>
      <c r="W285" s="63"/>
      <c r="X285" s="63"/>
      <c r="Y285" s="63"/>
      <c r="Z285" s="63"/>
      <c r="AA285" s="63"/>
      <c r="AB285" s="63"/>
      <c r="AC285" s="63"/>
    </row>
    <row r="286" spans="2:29">
      <c r="B286" s="71"/>
      <c r="C286" s="71"/>
      <c r="D286" s="71"/>
      <c r="E286" s="71"/>
      <c r="F286" s="71"/>
      <c r="G286" s="71"/>
      <c r="H286" s="71"/>
      <c r="I286" s="71"/>
      <c r="J286" s="71"/>
      <c r="K286" s="71"/>
      <c r="L286" s="71"/>
      <c r="M286" s="71"/>
      <c r="N286" s="71"/>
      <c r="O286" s="71"/>
      <c r="P286" s="61"/>
      <c r="Q286" s="62"/>
      <c r="R286" s="63"/>
      <c r="S286" s="63"/>
      <c r="T286" s="63"/>
      <c r="U286" s="63"/>
      <c r="V286" s="63"/>
      <c r="W286" s="63"/>
      <c r="X286" s="63"/>
      <c r="Y286" s="63"/>
      <c r="Z286" s="63"/>
      <c r="AA286" s="63"/>
      <c r="AB286" s="63"/>
      <c r="AC286" s="63"/>
    </row>
    <row r="287" spans="2:29">
      <c r="B287" s="71"/>
      <c r="C287" s="71"/>
      <c r="D287" s="71"/>
      <c r="E287" s="71"/>
      <c r="F287" s="71"/>
      <c r="G287" s="71"/>
      <c r="H287" s="71"/>
      <c r="I287" s="71"/>
      <c r="J287" s="71"/>
      <c r="K287" s="71"/>
      <c r="L287" s="71"/>
      <c r="M287" s="71"/>
      <c r="N287" s="71"/>
      <c r="O287" s="71"/>
      <c r="P287" s="61"/>
      <c r="Q287" s="62"/>
      <c r="R287" s="63"/>
      <c r="S287" s="63"/>
      <c r="T287" s="63"/>
      <c r="U287" s="63"/>
      <c r="V287" s="63"/>
      <c r="W287" s="63"/>
      <c r="X287" s="63"/>
      <c r="Y287" s="63"/>
      <c r="Z287" s="63"/>
      <c r="AA287" s="63"/>
      <c r="AB287" s="63"/>
      <c r="AC287" s="63"/>
    </row>
    <row r="288" spans="2:29">
      <c r="B288" s="71"/>
      <c r="C288" s="71"/>
      <c r="D288" s="71"/>
      <c r="E288" s="71"/>
      <c r="F288" s="71"/>
      <c r="G288" s="71"/>
      <c r="H288" s="71"/>
      <c r="I288" s="71"/>
      <c r="J288" s="71"/>
      <c r="K288" s="71"/>
      <c r="L288" s="71"/>
      <c r="M288" s="71"/>
      <c r="N288" s="71"/>
      <c r="O288" s="71"/>
      <c r="P288" s="61"/>
      <c r="Q288" s="62"/>
      <c r="R288" s="63"/>
      <c r="S288" s="63"/>
      <c r="T288" s="63"/>
      <c r="U288" s="63"/>
      <c r="V288" s="63"/>
      <c r="W288" s="63"/>
      <c r="X288" s="63"/>
      <c r="Y288" s="63"/>
      <c r="Z288" s="63"/>
      <c r="AA288" s="63"/>
      <c r="AB288" s="63"/>
      <c r="AC288" s="63"/>
    </row>
    <row r="289" spans="2:29">
      <c r="B289" s="71"/>
      <c r="C289" s="71"/>
      <c r="D289" s="71"/>
      <c r="E289" s="71"/>
      <c r="F289" s="71"/>
      <c r="G289" s="71"/>
      <c r="H289" s="71"/>
      <c r="I289" s="71"/>
      <c r="J289" s="71"/>
      <c r="K289" s="71"/>
      <c r="L289" s="71"/>
      <c r="M289" s="71"/>
      <c r="N289" s="71"/>
      <c r="O289" s="71"/>
      <c r="P289" s="61"/>
      <c r="Q289" s="62"/>
      <c r="R289" s="63"/>
      <c r="S289" s="63"/>
      <c r="T289" s="63"/>
      <c r="U289" s="63"/>
      <c r="V289" s="63"/>
      <c r="W289" s="63"/>
      <c r="X289" s="63"/>
      <c r="Y289" s="63"/>
      <c r="Z289" s="63"/>
      <c r="AA289" s="63"/>
      <c r="AB289" s="63"/>
      <c r="AC289" s="63"/>
    </row>
    <row r="290" spans="2:29">
      <c r="B290" s="71"/>
      <c r="C290" s="71"/>
      <c r="D290" s="71"/>
      <c r="E290" s="71"/>
      <c r="F290" s="71"/>
      <c r="G290" s="71"/>
      <c r="H290" s="71"/>
      <c r="I290" s="71"/>
      <c r="J290" s="71"/>
      <c r="K290" s="71"/>
      <c r="L290" s="71"/>
      <c r="M290" s="71"/>
      <c r="N290" s="71"/>
      <c r="O290" s="71"/>
      <c r="P290" s="61"/>
      <c r="Q290" s="62"/>
      <c r="R290" s="63"/>
      <c r="S290" s="63"/>
      <c r="T290" s="63"/>
      <c r="U290" s="63"/>
      <c r="V290" s="63"/>
      <c r="W290" s="63"/>
      <c r="X290" s="63"/>
      <c r="Y290" s="63"/>
      <c r="Z290" s="63"/>
      <c r="AA290" s="63"/>
      <c r="AB290" s="63"/>
      <c r="AC290" s="63"/>
    </row>
    <row r="291" spans="2:29">
      <c r="B291" s="71"/>
      <c r="C291" s="71"/>
      <c r="D291" s="71"/>
      <c r="E291" s="71"/>
      <c r="F291" s="71"/>
      <c r="G291" s="71"/>
      <c r="H291" s="71"/>
      <c r="I291" s="71"/>
      <c r="J291" s="71"/>
      <c r="K291" s="71"/>
      <c r="L291" s="71"/>
      <c r="M291" s="71"/>
      <c r="N291" s="71"/>
      <c r="O291" s="71"/>
      <c r="P291" s="61"/>
      <c r="Q291" s="62"/>
      <c r="R291" s="63"/>
      <c r="S291" s="63"/>
      <c r="T291" s="63"/>
      <c r="U291" s="63"/>
      <c r="V291" s="63"/>
      <c r="W291" s="63"/>
      <c r="X291" s="63"/>
      <c r="Y291" s="63"/>
      <c r="Z291" s="63"/>
      <c r="AA291" s="63"/>
      <c r="AB291" s="63"/>
      <c r="AC291" s="63"/>
    </row>
    <row r="292" spans="2:29">
      <c r="B292" s="71"/>
      <c r="C292" s="71"/>
      <c r="D292" s="71"/>
      <c r="E292" s="71"/>
      <c r="F292" s="71"/>
      <c r="G292" s="71"/>
      <c r="H292" s="71"/>
      <c r="I292" s="71"/>
      <c r="J292" s="71"/>
      <c r="K292" s="71"/>
      <c r="L292" s="71"/>
      <c r="M292" s="71"/>
      <c r="N292" s="71"/>
      <c r="O292" s="71"/>
      <c r="P292" s="61"/>
      <c r="Q292" s="62"/>
      <c r="R292" s="63"/>
      <c r="S292" s="63"/>
      <c r="T292" s="63"/>
      <c r="U292" s="63"/>
      <c r="V292" s="63"/>
      <c r="W292" s="63"/>
      <c r="X292" s="63"/>
      <c r="Y292" s="63"/>
      <c r="Z292" s="63"/>
      <c r="AA292" s="63"/>
      <c r="AB292" s="63"/>
      <c r="AC292" s="63"/>
    </row>
    <row r="293" spans="2:29">
      <c r="B293" s="71"/>
      <c r="C293" s="71"/>
      <c r="D293" s="71"/>
      <c r="E293" s="71"/>
      <c r="F293" s="71"/>
      <c r="G293" s="71"/>
      <c r="H293" s="71"/>
      <c r="I293" s="71"/>
      <c r="J293" s="71"/>
      <c r="K293" s="71"/>
      <c r="L293" s="71"/>
      <c r="M293" s="71"/>
      <c r="N293" s="71"/>
      <c r="O293" s="71"/>
      <c r="P293" s="61"/>
      <c r="Q293" s="62"/>
      <c r="R293" s="63"/>
      <c r="S293" s="63"/>
      <c r="T293" s="63"/>
      <c r="U293" s="63"/>
      <c r="V293" s="63"/>
      <c r="W293" s="63"/>
      <c r="X293" s="63"/>
      <c r="Y293" s="63"/>
      <c r="Z293" s="63"/>
      <c r="AA293" s="63"/>
      <c r="AB293" s="63"/>
      <c r="AC293" s="63"/>
    </row>
    <row r="294" spans="2:29">
      <c r="B294" s="71"/>
      <c r="C294" s="71"/>
      <c r="D294" s="71"/>
      <c r="E294" s="71"/>
      <c r="F294" s="71"/>
      <c r="G294" s="71"/>
      <c r="H294" s="71"/>
      <c r="I294" s="71"/>
      <c r="J294" s="71"/>
      <c r="K294" s="71"/>
      <c r="L294" s="71"/>
      <c r="M294" s="71"/>
      <c r="N294" s="71"/>
      <c r="O294" s="71"/>
      <c r="P294" s="61"/>
      <c r="Q294" s="62"/>
      <c r="R294" s="63"/>
      <c r="S294" s="63"/>
      <c r="T294" s="63"/>
      <c r="U294" s="63"/>
      <c r="V294" s="63"/>
      <c r="W294" s="63"/>
      <c r="X294" s="63"/>
      <c r="Y294" s="63"/>
      <c r="Z294" s="63"/>
      <c r="AA294" s="63"/>
      <c r="AB294" s="63"/>
      <c r="AC294" s="63"/>
    </row>
    <row r="295" spans="2:29">
      <c r="B295" s="71"/>
      <c r="C295" s="71"/>
      <c r="D295" s="71"/>
      <c r="E295" s="71"/>
      <c r="F295" s="71"/>
      <c r="G295" s="71"/>
      <c r="H295" s="71"/>
      <c r="I295" s="71"/>
      <c r="J295" s="71"/>
      <c r="K295" s="71"/>
      <c r="L295" s="71"/>
      <c r="M295" s="71"/>
      <c r="N295" s="71"/>
      <c r="O295" s="71"/>
      <c r="P295" s="61"/>
      <c r="Q295" s="62"/>
      <c r="R295" s="63"/>
      <c r="S295" s="63"/>
      <c r="T295" s="63"/>
      <c r="U295" s="63"/>
      <c r="V295" s="63"/>
      <c r="W295" s="63"/>
      <c r="X295" s="63"/>
      <c r="Y295" s="63"/>
      <c r="Z295" s="63"/>
      <c r="AA295" s="63"/>
      <c r="AB295" s="63"/>
      <c r="AC295" s="63"/>
    </row>
    <row r="296" spans="2:29">
      <c r="B296" s="71"/>
      <c r="C296" s="71"/>
      <c r="D296" s="71"/>
      <c r="E296" s="71"/>
      <c r="F296" s="71"/>
      <c r="G296" s="71"/>
      <c r="H296" s="71"/>
      <c r="I296" s="71"/>
      <c r="J296" s="71"/>
      <c r="K296" s="71"/>
      <c r="L296" s="71"/>
      <c r="M296" s="71"/>
      <c r="N296" s="71"/>
      <c r="O296" s="71"/>
      <c r="P296" s="61"/>
      <c r="Q296" s="62"/>
      <c r="R296" s="63"/>
      <c r="S296" s="63"/>
      <c r="T296" s="63"/>
      <c r="U296" s="63"/>
      <c r="V296" s="63"/>
      <c r="W296" s="63"/>
      <c r="X296" s="63"/>
      <c r="Y296" s="63"/>
      <c r="Z296" s="63"/>
      <c r="AA296" s="63"/>
      <c r="AB296" s="63"/>
      <c r="AC296" s="63"/>
    </row>
    <row r="297" spans="2:29">
      <c r="B297" s="71"/>
      <c r="C297" s="71"/>
      <c r="D297" s="71"/>
      <c r="E297" s="71"/>
      <c r="F297" s="71"/>
      <c r="G297" s="71"/>
      <c r="H297" s="71"/>
      <c r="I297" s="71"/>
      <c r="J297" s="71"/>
      <c r="K297" s="71"/>
      <c r="L297" s="71"/>
      <c r="M297" s="71"/>
      <c r="N297" s="71"/>
      <c r="O297" s="71"/>
      <c r="P297" s="61"/>
      <c r="Q297" s="62"/>
      <c r="R297" s="63"/>
      <c r="S297" s="63"/>
      <c r="T297" s="63"/>
      <c r="U297" s="63"/>
      <c r="V297" s="63"/>
      <c r="W297" s="63"/>
      <c r="X297" s="63"/>
      <c r="Y297" s="63"/>
      <c r="Z297" s="63"/>
      <c r="AA297" s="63"/>
      <c r="AB297" s="63"/>
      <c r="AC297" s="63"/>
    </row>
    <row r="298" spans="2:29">
      <c r="B298" s="71"/>
      <c r="C298" s="71"/>
      <c r="D298" s="71"/>
      <c r="E298" s="71"/>
      <c r="F298" s="71"/>
      <c r="G298" s="71"/>
      <c r="H298" s="71"/>
      <c r="I298" s="71"/>
      <c r="J298" s="71"/>
      <c r="K298" s="71"/>
      <c r="L298" s="71"/>
      <c r="M298" s="71"/>
      <c r="N298" s="71"/>
      <c r="O298" s="71"/>
      <c r="P298" s="61"/>
      <c r="Q298" s="62"/>
      <c r="R298" s="63"/>
      <c r="S298" s="63"/>
      <c r="T298" s="63"/>
      <c r="U298" s="63"/>
      <c r="V298" s="63"/>
      <c r="W298" s="63"/>
      <c r="X298" s="63"/>
      <c r="Y298" s="63"/>
      <c r="Z298" s="63"/>
      <c r="AA298" s="63"/>
      <c r="AB298" s="63"/>
      <c r="AC298" s="63"/>
    </row>
    <row r="299" spans="2:29">
      <c r="B299" s="71"/>
      <c r="C299" s="71"/>
      <c r="D299" s="71"/>
      <c r="E299" s="71"/>
      <c r="F299" s="71"/>
      <c r="G299" s="71"/>
      <c r="H299" s="71"/>
      <c r="I299" s="71"/>
      <c r="J299" s="71"/>
      <c r="K299" s="71"/>
      <c r="L299" s="71"/>
      <c r="M299" s="71"/>
      <c r="N299" s="71"/>
      <c r="O299" s="71"/>
      <c r="P299" s="61"/>
      <c r="Q299" s="62"/>
      <c r="R299" s="63"/>
      <c r="S299" s="63"/>
      <c r="T299" s="63"/>
      <c r="U299" s="63"/>
      <c r="V299" s="63"/>
      <c r="W299" s="63"/>
      <c r="X299" s="63"/>
      <c r="Y299" s="63"/>
      <c r="Z299" s="63"/>
      <c r="AA299" s="63"/>
      <c r="AB299" s="63"/>
      <c r="AC299" s="63"/>
    </row>
    <row r="300" spans="2:29">
      <c r="B300" s="71"/>
      <c r="C300" s="71"/>
      <c r="D300" s="71"/>
      <c r="E300" s="71"/>
      <c r="F300" s="71"/>
      <c r="G300" s="71"/>
      <c r="H300" s="71"/>
      <c r="I300" s="71"/>
      <c r="J300" s="71"/>
      <c r="K300" s="71"/>
      <c r="L300" s="71"/>
      <c r="M300" s="71"/>
      <c r="N300" s="71"/>
      <c r="O300" s="71"/>
      <c r="P300" s="61"/>
      <c r="Q300" s="62"/>
      <c r="R300" s="63"/>
      <c r="S300" s="63"/>
      <c r="T300" s="63"/>
      <c r="U300" s="63"/>
      <c r="V300" s="63"/>
      <c r="W300" s="63"/>
      <c r="X300" s="63"/>
      <c r="Y300" s="63"/>
      <c r="Z300" s="63"/>
      <c r="AA300" s="63"/>
      <c r="AB300" s="63"/>
      <c r="AC300" s="63"/>
    </row>
    <row r="301" spans="2:29">
      <c r="B301" s="71"/>
      <c r="C301" s="71"/>
      <c r="D301" s="71"/>
      <c r="E301" s="71"/>
      <c r="F301" s="71"/>
      <c r="G301" s="71"/>
      <c r="H301" s="71"/>
      <c r="I301" s="71"/>
      <c r="J301" s="71"/>
      <c r="K301" s="71"/>
      <c r="L301" s="71"/>
      <c r="M301" s="71"/>
      <c r="N301" s="71"/>
      <c r="O301" s="71"/>
      <c r="P301" s="61"/>
      <c r="Q301" s="62"/>
      <c r="R301" s="63"/>
      <c r="S301" s="63"/>
      <c r="T301" s="63"/>
      <c r="U301" s="63"/>
      <c r="V301" s="63"/>
      <c r="W301" s="63"/>
      <c r="X301" s="63"/>
      <c r="Y301" s="63"/>
      <c r="Z301" s="63"/>
      <c r="AA301" s="63"/>
      <c r="AB301" s="63"/>
      <c r="AC301" s="63"/>
    </row>
    <row r="302" spans="2:29">
      <c r="B302" s="71"/>
      <c r="C302" s="71"/>
      <c r="D302" s="71"/>
      <c r="E302" s="71"/>
      <c r="F302" s="71"/>
      <c r="G302" s="71"/>
      <c r="H302" s="71"/>
      <c r="I302" s="71"/>
      <c r="J302" s="71"/>
      <c r="K302" s="71"/>
      <c r="L302" s="71"/>
      <c r="M302" s="71"/>
      <c r="N302" s="71"/>
      <c r="O302" s="71"/>
      <c r="P302" s="61"/>
      <c r="Q302" s="62"/>
      <c r="R302" s="63"/>
      <c r="S302" s="63"/>
      <c r="T302" s="63"/>
      <c r="U302" s="63"/>
      <c r="V302" s="63"/>
      <c r="W302" s="63"/>
      <c r="X302" s="63"/>
      <c r="Y302" s="63"/>
      <c r="Z302" s="63"/>
      <c r="AA302" s="63"/>
      <c r="AB302" s="63"/>
      <c r="AC302" s="63"/>
    </row>
    <row r="303" spans="2:29">
      <c r="B303" s="71"/>
      <c r="C303" s="71"/>
      <c r="D303" s="71"/>
      <c r="E303" s="71"/>
      <c r="F303" s="71"/>
      <c r="G303" s="71"/>
      <c r="H303" s="71"/>
      <c r="I303" s="71"/>
      <c r="J303" s="71"/>
      <c r="K303" s="71"/>
      <c r="L303" s="71"/>
      <c r="M303" s="71"/>
      <c r="N303" s="71"/>
      <c r="O303" s="71"/>
      <c r="P303" s="61"/>
      <c r="Q303" s="62"/>
      <c r="R303" s="63"/>
      <c r="S303" s="63"/>
      <c r="T303" s="63"/>
      <c r="U303" s="63"/>
      <c r="V303" s="63"/>
      <c r="W303" s="63"/>
      <c r="X303" s="63"/>
      <c r="Y303" s="63"/>
      <c r="Z303" s="63"/>
      <c r="AA303" s="63"/>
      <c r="AB303" s="63"/>
      <c r="AC303" s="63"/>
    </row>
    <row r="304" spans="2:29">
      <c r="B304" s="71"/>
      <c r="C304" s="71"/>
      <c r="D304" s="71"/>
      <c r="E304" s="71"/>
      <c r="F304" s="71"/>
      <c r="G304" s="71"/>
      <c r="H304" s="71"/>
      <c r="I304" s="71"/>
      <c r="J304" s="71"/>
      <c r="K304" s="71"/>
      <c r="L304" s="71"/>
      <c r="M304" s="71"/>
      <c r="N304" s="71"/>
      <c r="O304" s="71"/>
      <c r="P304" s="61"/>
      <c r="Q304" s="62"/>
      <c r="R304" s="63"/>
      <c r="S304" s="63"/>
      <c r="T304" s="63"/>
      <c r="U304" s="63"/>
      <c r="V304" s="63"/>
      <c r="W304" s="63"/>
      <c r="X304" s="63"/>
      <c r="Y304" s="63"/>
      <c r="Z304" s="63"/>
      <c r="AA304" s="63"/>
      <c r="AB304" s="63"/>
      <c r="AC304" s="63"/>
    </row>
    <row r="305" spans="2:29">
      <c r="B305" s="71"/>
      <c r="C305" s="71"/>
      <c r="D305" s="71"/>
      <c r="E305" s="71"/>
      <c r="F305" s="71"/>
      <c r="G305" s="71"/>
      <c r="H305" s="71"/>
      <c r="I305" s="71"/>
      <c r="J305" s="71"/>
      <c r="K305" s="71"/>
      <c r="L305" s="71"/>
      <c r="M305" s="71"/>
      <c r="N305" s="71"/>
      <c r="O305" s="71"/>
      <c r="P305" s="61"/>
      <c r="Q305" s="62"/>
      <c r="R305" s="63"/>
      <c r="S305" s="63"/>
      <c r="T305" s="63"/>
      <c r="U305" s="63"/>
      <c r="V305" s="63"/>
      <c r="W305" s="63"/>
      <c r="X305" s="63"/>
      <c r="Y305" s="63"/>
      <c r="Z305" s="63"/>
      <c r="AA305" s="63"/>
      <c r="AB305" s="63"/>
      <c r="AC305" s="63"/>
    </row>
    <row r="306" spans="2:29">
      <c r="B306" s="71"/>
      <c r="C306" s="71"/>
      <c r="D306" s="71"/>
      <c r="E306" s="71"/>
      <c r="F306" s="71"/>
      <c r="G306" s="71"/>
      <c r="H306" s="71"/>
      <c r="I306" s="71"/>
      <c r="J306" s="71"/>
      <c r="K306" s="71"/>
      <c r="L306" s="71"/>
      <c r="M306" s="71"/>
      <c r="N306" s="71"/>
      <c r="O306" s="71"/>
      <c r="P306" s="61"/>
      <c r="Q306" s="62"/>
      <c r="R306" s="63"/>
      <c r="S306" s="63"/>
      <c r="T306" s="63"/>
      <c r="U306" s="63"/>
      <c r="V306" s="63"/>
      <c r="W306" s="63"/>
      <c r="X306" s="63"/>
      <c r="Y306" s="63"/>
      <c r="Z306" s="63"/>
      <c r="AA306" s="63"/>
      <c r="AB306" s="63"/>
      <c r="AC306" s="63"/>
    </row>
    <row r="307" spans="2:29">
      <c r="B307" s="71"/>
      <c r="C307" s="71"/>
      <c r="D307" s="71"/>
      <c r="E307" s="71"/>
      <c r="F307" s="71"/>
      <c r="G307" s="71"/>
      <c r="H307" s="71"/>
      <c r="I307" s="71"/>
      <c r="J307" s="71"/>
      <c r="K307" s="71"/>
      <c r="L307" s="71"/>
      <c r="M307" s="71"/>
      <c r="N307" s="71"/>
      <c r="O307" s="71"/>
      <c r="P307" s="61"/>
      <c r="Q307" s="62"/>
      <c r="R307" s="63"/>
      <c r="S307" s="63"/>
      <c r="T307" s="63"/>
      <c r="U307" s="63"/>
      <c r="V307" s="63"/>
      <c r="W307" s="63"/>
      <c r="X307" s="63"/>
      <c r="Y307" s="63"/>
      <c r="Z307" s="63"/>
      <c r="AA307" s="63"/>
      <c r="AB307" s="63"/>
      <c r="AC307" s="63"/>
    </row>
    <row r="308" spans="2:29">
      <c r="B308" s="71"/>
      <c r="C308" s="71"/>
      <c r="D308" s="71"/>
      <c r="E308" s="71"/>
      <c r="F308" s="71"/>
      <c r="G308" s="71"/>
      <c r="H308" s="71"/>
      <c r="I308" s="71"/>
      <c r="J308" s="71"/>
      <c r="K308" s="71"/>
      <c r="L308" s="71"/>
      <c r="M308" s="71"/>
      <c r="N308" s="71"/>
      <c r="O308" s="71"/>
      <c r="P308" s="61"/>
      <c r="Q308" s="62"/>
      <c r="R308" s="63"/>
      <c r="S308" s="63"/>
      <c r="T308" s="63"/>
      <c r="U308" s="63"/>
      <c r="V308" s="63"/>
      <c r="W308" s="63"/>
      <c r="X308" s="63"/>
      <c r="Y308" s="63"/>
      <c r="Z308" s="63"/>
      <c r="AA308" s="63"/>
      <c r="AB308" s="63"/>
      <c r="AC308" s="63"/>
    </row>
    <row r="309" spans="2:29">
      <c r="B309" s="71"/>
      <c r="C309" s="71"/>
      <c r="D309" s="71"/>
      <c r="E309" s="71"/>
      <c r="F309" s="71"/>
      <c r="G309" s="71"/>
      <c r="H309" s="71"/>
      <c r="I309" s="71"/>
      <c r="J309" s="71"/>
      <c r="K309" s="71"/>
      <c r="L309" s="71"/>
      <c r="M309" s="71"/>
      <c r="N309" s="71"/>
      <c r="O309" s="71"/>
      <c r="P309" s="61"/>
      <c r="Q309" s="62"/>
      <c r="R309" s="63"/>
      <c r="S309" s="63"/>
      <c r="T309" s="63"/>
      <c r="U309" s="63"/>
      <c r="V309" s="63"/>
      <c r="W309" s="63"/>
      <c r="X309" s="63"/>
      <c r="Y309" s="63"/>
      <c r="Z309" s="63"/>
      <c r="AA309" s="63"/>
      <c r="AB309" s="63"/>
      <c r="AC309" s="63"/>
    </row>
    <row r="310" spans="2:29">
      <c r="B310" s="71"/>
      <c r="C310" s="71"/>
      <c r="D310" s="71"/>
      <c r="E310" s="71"/>
      <c r="F310" s="71"/>
      <c r="G310" s="71"/>
      <c r="H310" s="71"/>
      <c r="I310" s="71"/>
      <c r="J310" s="71"/>
      <c r="K310" s="71"/>
      <c r="L310" s="71"/>
      <c r="M310" s="71"/>
      <c r="N310" s="71"/>
      <c r="O310" s="71"/>
      <c r="P310" s="61"/>
      <c r="Q310" s="62"/>
      <c r="R310" s="63"/>
      <c r="S310" s="63"/>
      <c r="T310" s="63"/>
      <c r="U310" s="63"/>
      <c r="V310" s="63"/>
      <c r="W310" s="63"/>
      <c r="X310" s="63"/>
      <c r="Y310" s="63"/>
      <c r="Z310" s="63"/>
      <c r="AA310" s="63"/>
      <c r="AB310" s="63"/>
      <c r="AC310" s="63"/>
    </row>
    <row r="311" spans="2:29">
      <c r="B311" s="71"/>
      <c r="C311" s="71"/>
      <c r="D311" s="71"/>
      <c r="E311" s="71"/>
      <c r="F311" s="71"/>
      <c r="G311" s="71"/>
      <c r="H311" s="71"/>
      <c r="I311" s="71"/>
      <c r="J311" s="71"/>
      <c r="K311" s="71"/>
      <c r="L311" s="71"/>
      <c r="M311" s="71"/>
      <c r="N311" s="71"/>
      <c r="O311" s="71"/>
      <c r="P311" s="61"/>
      <c r="Q311" s="62"/>
      <c r="R311" s="63"/>
      <c r="S311" s="63"/>
      <c r="T311" s="63"/>
      <c r="U311" s="63"/>
      <c r="V311" s="63"/>
      <c r="W311" s="63"/>
      <c r="X311" s="63"/>
      <c r="Y311" s="63"/>
      <c r="Z311" s="63"/>
      <c r="AA311" s="63"/>
      <c r="AB311" s="63"/>
      <c r="AC311" s="63"/>
    </row>
    <row r="312" spans="2:29">
      <c r="B312" s="71"/>
      <c r="C312" s="71"/>
      <c r="D312" s="71"/>
      <c r="E312" s="71"/>
      <c r="F312" s="71"/>
      <c r="G312" s="71"/>
      <c r="H312" s="71"/>
      <c r="I312" s="71"/>
      <c r="J312" s="71"/>
      <c r="K312" s="71"/>
      <c r="L312" s="71"/>
      <c r="M312" s="71"/>
      <c r="N312" s="71"/>
      <c r="O312" s="71"/>
      <c r="P312" s="61"/>
      <c r="Q312" s="62"/>
      <c r="R312" s="63"/>
      <c r="S312" s="63"/>
      <c r="T312" s="63"/>
      <c r="U312" s="63"/>
      <c r="V312" s="63"/>
      <c r="W312" s="63"/>
      <c r="X312" s="63"/>
      <c r="Y312" s="63"/>
      <c r="Z312" s="63"/>
      <c r="AA312" s="63"/>
      <c r="AB312" s="63"/>
      <c r="AC312" s="63"/>
    </row>
    <row r="313" spans="2:29">
      <c r="B313" s="71"/>
      <c r="C313" s="71"/>
      <c r="D313" s="71"/>
      <c r="E313" s="71"/>
      <c r="F313" s="71"/>
      <c r="G313" s="71"/>
      <c r="H313" s="71"/>
      <c r="I313" s="71"/>
      <c r="J313" s="71"/>
      <c r="K313" s="71"/>
      <c r="L313" s="71"/>
      <c r="M313" s="71"/>
      <c r="N313" s="71"/>
      <c r="O313" s="71"/>
      <c r="P313" s="61"/>
      <c r="Q313" s="62"/>
      <c r="R313" s="63"/>
      <c r="S313" s="63"/>
      <c r="T313" s="63"/>
      <c r="U313" s="63"/>
      <c r="V313" s="63"/>
      <c r="W313" s="63"/>
      <c r="X313" s="63"/>
      <c r="Y313" s="63"/>
      <c r="Z313" s="63"/>
      <c r="AA313" s="63"/>
      <c r="AB313" s="63"/>
      <c r="AC313" s="63"/>
    </row>
    <row r="314" spans="2:29">
      <c r="B314" s="71"/>
      <c r="C314" s="71"/>
      <c r="D314" s="71"/>
      <c r="E314" s="71"/>
      <c r="F314" s="71"/>
      <c r="G314" s="71"/>
      <c r="H314" s="71"/>
      <c r="I314" s="71"/>
      <c r="J314" s="71"/>
      <c r="K314" s="71"/>
      <c r="L314" s="71"/>
      <c r="M314" s="71"/>
      <c r="N314" s="71"/>
      <c r="O314" s="71"/>
      <c r="P314" s="61"/>
      <c r="Q314" s="62"/>
      <c r="R314" s="63"/>
      <c r="S314" s="63"/>
      <c r="T314" s="63"/>
      <c r="U314" s="63"/>
      <c r="V314" s="63"/>
      <c r="W314" s="63"/>
      <c r="X314" s="63"/>
      <c r="Y314" s="63"/>
      <c r="Z314" s="63"/>
      <c r="AA314" s="63"/>
      <c r="AB314" s="63"/>
      <c r="AC314" s="63"/>
    </row>
    <row r="315" spans="2:29">
      <c r="B315" s="71"/>
      <c r="C315" s="71"/>
      <c r="D315" s="71"/>
      <c r="E315" s="71"/>
      <c r="F315" s="71"/>
      <c r="G315" s="71"/>
      <c r="H315" s="71"/>
      <c r="I315" s="71"/>
      <c r="J315" s="71"/>
      <c r="K315" s="71"/>
      <c r="L315" s="71"/>
      <c r="M315" s="71"/>
      <c r="N315" s="71"/>
      <c r="O315" s="71"/>
      <c r="P315" s="61"/>
      <c r="Q315" s="62"/>
      <c r="R315" s="63"/>
      <c r="S315" s="63"/>
      <c r="T315" s="63"/>
      <c r="U315" s="63"/>
      <c r="V315" s="63"/>
      <c r="W315" s="63"/>
      <c r="X315" s="63"/>
      <c r="Y315" s="63"/>
      <c r="Z315" s="63"/>
      <c r="AA315" s="63"/>
      <c r="AB315" s="63"/>
      <c r="AC315" s="63"/>
    </row>
    <row r="316" spans="2:29">
      <c r="B316" s="71"/>
      <c r="C316" s="71"/>
      <c r="D316" s="71"/>
      <c r="E316" s="71"/>
      <c r="F316" s="71"/>
      <c r="G316" s="71"/>
      <c r="H316" s="71"/>
      <c r="I316" s="71"/>
      <c r="J316" s="71"/>
      <c r="K316" s="71"/>
      <c r="L316" s="71"/>
      <c r="M316" s="71"/>
      <c r="N316" s="71"/>
      <c r="O316" s="71"/>
      <c r="P316" s="61"/>
      <c r="Q316" s="62"/>
      <c r="R316" s="63"/>
      <c r="S316" s="63"/>
      <c r="T316" s="63"/>
      <c r="U316" s="63"/>
      <c r="V316" s="63"/>
      <c r="W316" s="63"/>
      <c r="X316" s="63"/>
      <c r="Y316" s="63"/>
      <c r="Z316" s="63"/>
      <c r="AA316" s="63"/>
      <c r="AB316" s="63"/>
      <c r="AC316" s="63"/>
    </row>
    <row r="317" spans="2:29">
      <c r="B317" s="71"/>
      <c r="C317" s="71"/>
      <c r="D317" s="71"/>
      <c r="E317" s="71"/>
      <c r="F317" s="71"/>
      <c r="G317" s="71"/>
      <c r="H317" s="71"/>
      <c r="I317" s="71"/>
      <c r="J317" s="71"/>
      <c r="K317" s="71"/>
      <c r="L317" s="71"/>
      <c r="M317" s="71"/>
      <c r="N317" s="71"/>
      <c r="O317" s="71"/>
      <c r="P317" s="61"/>
      <c r="Q317" s="62"/>
      <c r="R317" s="63"/>
      <c r="S317" s="63"/>
      <c r="T317" s="63"/>
      <c r="U317" s="63"/>
      <c r="V317" s="63"/>
      <c r="W317" s="63"/>
      <c r="X317" s="63"/>
      <c r="Y317" s="63"/>
      <c r="Z317" s="63"/>
      <c r="AA317" s="63"/>
      <c r="AB317" s="63"/>
      <c r="AC317" s="63"/>
    </row>
    <row r="318" spans="2:29">
      <c r="B318" s="71"/>
      <c r="C318" s="71"/>
      <c r="D318" s="71"/>
      <c r="E318" s="71"/>
      <c r="F318" s="71"/>
      <c r="G318" s="71"/>
      <c r="H318" s="71"/>
      <c r="I318" s="71"/>
      <c r="J318" s="71"/>
      <c r="K318" s="71"/>
      <c r="L318" s="71"/>
      <c r="M318" s="71"/>
      <c r="N318" s="71"/>
      <c r="O318" s="71"/>
      <c r="P318" s="61"/>
      <c r="Q318" s="62"/>
      <c r="R318" s="63"/>
      <c r="S318" s="63"/>
      <c r="T318" s="63"/>
      <c r="U318" s="63"/>
      <c r="V318" s="63"/>
      <c r="W318" s="63"/>
      <c r="X318" s="63"/>
      <c r="Y318" s="63"/>
      <c r="Z318" s="63"/>
      <c r="AA318" s="63"/>
      <c r="AB318" s="63"/>
      <c r="AC318" s="63"/>
    </row>
    <row r="319" spans="2:29">
      <c r="B319" s="71"/>
      <c r="C319" s="71"/>
      <c r="D319" s="71"/>
      <c r="E319" s="71"/>
      <c r="F319" s="71"/>
      <c r="G319" s="71"/>
      <c r="H319" s="71"/>
      <c r="I319" s="71"/>
      <c r="J319" s="71"/>
      <c r="K319" s="71"/>
      <c r="L319" s="71"/>
      <c r="M319" s="71"/>
      <c r="N319" s="71"/>
      <c r="O319" s="71"/>
      <c r="P319" s="61"/>
      <c r="Q319" s="62"/>
      <c r="R319" s="63"/>
      <c r="S319" s="63"/>
      <c r="T319" s="63"/>
      <c r="U319" s="63"/>
      <c r="V319" s="63"/>
      <c r="W319" s="63"/>
      <c r="X319" s="63"/>
      <c r="Y319" s="63"/>
      <c r="Z319" s="63"/>
      <c r="AA319" s="63"/>
      <c r="AB319" s="63"/>
      <c r="AC319" s="63"/>
    </row>
    <row r="320" spans="2:29">
      <c r="B320" s="71"/>
      <c r="C320" s="71"/>
      <c r="D320" s="71"/>
      <c r="E320" s="71"/>
      <c r="F320" s="71"/>
      <c r="G320" s="71"/>
      <c r="H320" s="71"/>
      <c r="I320" s="71"/>
      <c r="J320" s="71"/>
      <c r="K320" s="71"/>
      <c r="L320" s="71"/>
      <c r="M320" s="71"/>
      <c r="N320" s="71"/>
      <c r="O320" s="71"/>
      <c r="P320" s="61"/>
      <c r="Q320" s="62"/>
      <c r="R320" s="63"/>
      <c r="S320" s="63"/>
      <c r="T320" s="63"/>
      <c r="U320" s="63"/>
      <c r="V320" s="63"/>
      <c r="W320" s="63"/>
      <c r="X320" s="63"/>
      <c r="Y320" s="63"/>
      <c r="Z320" s="63"/>
      <c r="AA320" s="63"/>
      <c r="AB320" s="63"/>
      <c r="AC320" s="63"/>
    </row>
    <row r="321" spans="2:29">
      <c r="B321" s="71"/>
      <c r="C321" s="71"/>
      <c r="D321" s="71"/>
      <c r="E321" s="71"/>
      <c r="F321" s="71"/>
      <c r="G321" s="71"/>
      <c r="H321" s="71"/>
      <c r="I321" s="71"/>
      <c r="J321" s="71"/>
      <c r="K321" s="71"/>
      <c r="L321" s="71"/>
      <c r="M321" s="71"/>
      <c r="N321" s="71"/>
      <c r="O321" s="71"/>
      <c r="P321" s="61"/>
      <c r="Q321" s="62"/>
      <c r="R321" s="63"/>
      <c r="S321" s="63"/>
      <c r="T321" s="63"/>
      <c r="U321" s="63"/>
      <c r="V321" s="63"/>
      <c r="W321" s="63"/>
      <c r="X321" s="63"/>
      <c r="Y321" s="63"/>
      <c r="Z321" s="63"/>
      <c r="AA321" s="63"/>
      <c r="AB321" s="63"/>
      <c r="AC321" s="63"/>
    </row>
    <row r="322" spans="2:29">
      <c r="B322" s="71"/>
      <c r="C322" s="71"/>
      <c r="D322" s="71"/>
      <c r="E322" s="71"/>
      <c r="F322" s="71"/>
      <c r="G322" s="71"/>
      <c r="H322" s="71"/>
      <c r="I322" s="71"/>
      <c r="J322" s="71"/>
      <c r="K322" s="71"/>
      <c r="L322" s="71"/>
      <c r="M322" s="71"/>
      <c r="N322" s="71"/>
      <c r="O322" s="71"/>
      <c r="P322" s="61"/>
      <c r="Q322" s="62"/>
      <c r="R322" s="63"/>
      <c r="S322" s="63"/>
      <c r="T322" s="63"/>
      <c r="U322" s="63"/>
      <c r="V322" s="63"/>
      <c r="W322" s="63"/>
      <c r="X322" s="63"/>
      <c r="Y322" s="63"/>
      <c r="Z322" s="63"/>
      <c r="AA322" s="63"/>
      <c r="AB322" s="63"/>
      <c r="AC322" s="63"/>
    </row>
    <row r="323" spans="2:29">
      <c r="B323" s="71"/>
      <c r="C323" s="71"/>
      <c r="D323" s="71"/>
      <c r="E323" s="71"/>
      <c r="F323" s="71"/>
      <c r="G323" s="71"/>
      <c r="H323" s="71"/>
      <c r="I323" s="71"/>
      <c r="J323" s="71"/>
      <c r="K323" s="71"/>
      <c r="L323" s="71"/>
      <c r="M323" s="71"/>
      <c r="N323" s="71"/>
      <c r="O323" s="71"/>
      <c r="P323" s="61"/>
      <c r="Q323" s="62"/>
      <c r="R323" s="63"/>
      <c r="S323" s="63"/>
      <c r="T323" s="63"/>
      <c r="U323" s="63"/>
      <c r="V323" s="63"/>
      <c r="W323" s="63"/>
      <c r="X323" s="63"/>
      <c r="Y323" s="63"/>
      <c r="Z323" s="63"/>
      <c r="AA323" s="63"/>
      <c r="AB323" s="63"/>
      <c r="AC323" s="63"/>
    </row>
    <row r="324" spans="2:29">
      <c r="B324" s="71"/>
      <c r="C324" s="71"/>
      <c r="D324" s="71"/>
      <c r="E324" s="71"/>
      <c r="F324" s="71"/>
      <c r="G324" s="71"/>
      <c r="H324" s="71"/>
      <c r="I324" s="71"/>
      <c r="J324" s="71"/>
      <c r="K324" s="71"/>
      <c r="L324" s="71"/>
      <c r="M324" s="71"/>
      <c r="N324" s="71"/>
      <c r="O324" s="71"/>
      <c r="P324" s="61"/>
      <c r="Q324" s="62"/>
      <c r="R324" s="63"/>
      <c r="S324" s="63"/>
      <c r="T324" s="63"/>
      <c r="U324" s="63"/>
      <c r="V324" s="63"/>
      <c r="W324" s="63"/>
      <c r="X324" s="63"/>
      <c r="Y324" s="63"/>
      <c r="Z324" s="63"/>
      <c r="AA324" s="63"/>
      <c r="AB324" s="63"/>
      <c r="AC324" s="63"/>
    </row>
    <row r="325" spans="2:29">
      <c r="B325" s="71"/>
      <c r="C325" s="71"/>
      <c r="D325" s="71"/>
      <c r="E325" s="71"/>
      <c r="F325" s="71"/>
      <c r="G325" s="71"/>
      <c r="H325" s="71"/>
      <c r="I325" s="71"/>
      <c r="J325" s="71"/>
      <c r="K325" s="71"/>
      <c r="L325" s="71"/>
      <c r="M325" s="71"/>
      <c r="N325" s="71"/>
      <c r="O325" s="71"/>
      <c r="P325" s="61"/>
      <c r="Q325" s="62"/>
      <c r="R325" s="63"/>
      <c r="S325" s="63"/>
      <c r="T325" s="63"/>
      <c r="U325" s="63"/>
      <c r="V325" s="63"/>
      <c r="W325" s="63"/>
      <c r="X325" s="63"/>
      <c r="Y325" s="63"/>
      <c r="Z325" s="63"/>
      <c r="AA325" s="63"/>
      <c r="AB325" s="63"/>
      <c r="AC325" s="63"/>
    </row>
    <row r="326" spans="2:29">
      <c r="B326" s="71"/>
      <c r="C326" s="71"/>
      <c r="D326" s="71"/>
      <c r="E326" s="71"/>
      <c r="F326" s="71"/>
      <c r="G326" s="71"/>
      <c r="H326" s="71"/>
      <c r="I326" s="71"/>
      <c r="J326" s="71"/>
      <c r="K326" s="71"/>
      <c r="L326" s="71"/>
      <c r="M326" s="71"/>
      <c r="N326" s="71"/>
      <c r="O326" s="71"/>
      <c r="P326" s="61"/>
      <c r="Q326" s="62"/>
      <c r="R326" s="63"/>
      <c r="S326" s="63"/>
      <c r="T326" s="63"/>
      <c r="U326" s="63"/>
      <c r="V326" s="63"/>
      <c r="W326" s="63"/>
      <c r="X326" s="63"/>
      <c r="Y326" s="63"/>
      <c r="Z326" s="63"/>
      <c r="AA326" s="63"/>
      <c r="AB326" s="63"/>
      <c r="AC326" s="63"/>
    </row>
    <row r="327" spans="2:29">
      <c r="B327" s="71"/>
      <c r="C327" s="71"/>
      <c r="D327" s="71"/>
      <c r="E327" s="71"/>
      <c r="F327" s="71"/>
      <c r="G327" s="71"/>
      <c r="H327" s="71"/>
      <c r="I327" s="71"/>
      <c r="J327" s="71"/>
      <c r="K327" s="71"/>
      <c r="L327" s="71"/>
      <c r="M327" s="71"/>
      <c r="N327" s="71"/>
      <c r="O327" s="71"/>
      <c r="P327" s="61"/>
      <c r="Q327" s="62"/>
      <c r="R327" s="63"/>
      <c r="S327" s="63"/>
      <c r="T327" s="63"/>
      <c r="U327" s="63"/>
      <c r="V327" s="63"/>
      <c r="W327" s="63"/>
      <c r="X327" s="63"/>
      <c r="Y327" s="63"/>
      <c r="Z327" s="63"/>
      <c r="AA327" s="63"/>
      <c r="AB327" s="63"/>
      <c r="AC327" s="63"/>
    </row>
    <row r="328" spans="2:29">
      <c r="B328" s="71"/>
      <c r="C328" s="71"/>
      <c r="D328" s="71"/>
      <c r="E328" s="71"/>
      <c r="F328" s="71"/>
      <c r="G328" s="71"/>
      <c r="H328" s="71"/>
      <c r="I328" s="71"/>
      <c r="J328" s="71"/>
      <c r="K328" s="71"/>
      <c r="L328" s="71"/>
      <c r="M328" s="71"/>
      <c r="N328" s="71"/>
      <c r="O328" s="71"/>
      <c r="P328" s="61"/>
      <c r="Q328" s="62"/>
      <c r="R328" s="63"/>
      <c r="S328" s="63"/>
      <c r="T328" s="63"/>
      <c r="U328" s="63"/>
      <c r="V328" s="63"/>
      <c r="W328" s="63"/>
      <c r="X328" s="63"/>
      <c r="Y328" s="63"/>
      <c r="Z328" s="63"/>
      <c r="AA328" s="63"/>
      <c r="AB328" s="63"/>
      <c r="AC328" s="63"/>
    </row>
    <row r="329" spans="2:29">
      <c r="B329" s="71"/>
      <c r="C329" s="71"/>
      <c r="D329" s="71"/>
      <c r="E329" s="71"/>
      <c r="F329" s="71"/>
      <c r="G329" s="71"/>
      <c r="H329" s="71"/>
      <c r="I329" s="71"/>
      <c r="J329" s="71"/>
      <c r="K329" s="71"/>
      <c r="L329" s="71"/>
      <c r="M329" s="71"/>
      <c r="N329" s="71"/>
      <c r="O329" s="71"/>
      <c r="P329" s="61"/>
      <c r="Q329" s="62"/>
      <c r="R329" s="63"/>
      <c r="S329" s="63"/>
      <c r="T329" s="63"/>
      <c r="U329" s="63"/>
      <c r="V329" s="63"/>
      <c r="W329" s="63"/>
      <c r="X329" s="63"/>
      <c r="Y329" s="63"/>
      <c r="Z329" s="63"/>
      <c r="AA329" s="63"/>
      <c r="AB329" s="63"/>
      <c r="AC329" s="63"/>
    </row>
    <row r="330" spans="2:29">
      <c r="B330" s="71"/>
      <c r="C330" s="71"/>
      <c r="D330" s="71"/>
      <c r="E330" s="71"/>
      <c r="F330" s="71"/>
      <c r="G330" s="71"/>
      <c r="H330" s="71"/>
      <c r="I330" s="71"/>
      <c r="J330" s="71"/>
      <c r="K330" s="71"/>
      <c r="L330" s="71"/>
      <c r="M330" s="71"/>
      <c r="N330" s="71"/>
      <c r="O330" s="71"/>
      <c r="P330" s="61"/>
      <c r="Q330" s="62"/>
      <c r="R330" s="63"/>
      <c r="S330" s="63"/>
      <c r="T330" s="63"/>
      <c r="U330" s="63"/>
      <c r="V330" s="63"/>
      <c r="W330" s="63"/>
      <c r="X330" s="63"/>
      <c r="Y330" s="63"/>
      <c r="Z330" s="63"/>
      <c r="AA330" s="63"/>
      <c r="AB330" s="63"/>
      <c r="AC330" s="63"/>
    </row>
    <row r="331" spans="2:29">
      <c r="B331" s="71"/>
      <c r="C331" s="71"/>
      <c r="D331" s="71"/>
      <c r="E331" s="71"/>
      <c r="F331" s="71"/>
      <c r="G331" s="71"/>
      <c r="H331" s="71"/>
      <c r="I331" s="71"/>
      <c r="J331" s="71"/>
      <c r="K331" s="71"/>
      <c r="L331" s="71"/>
      <c r="M331" s="71"/>
      <c r="N331" s="71"/>
      <c r="O331" s="71"/>
      <c r="P331" s="61"/>
      <c r="Q331" s="62"/>
      <c r="R331" s="63"/>
      <c r="S331" s="63"/>
      <c r="T331" s="63"/>
      <c r="U331" s="63"/>
      <c r="V331" s="63"/>
      <c r="W331" s="63"/>
      <c r="X331" s="63"/>
      <c r="Y331" s="63"/>
      <c r="Z331" s="63"/>
      <c r="AA331" s="63"/>
      <c r="AB331" s="63"/>
      <c r="AC331" s="63"/>
    </row>
    <row r="332" spans="2:29">
      <c r="B332" s="71"/>
      <c r="C332" s="71"/>
      <c r="D332" s="71"/>
      <c r="E332" s="71"/>
      <c r="F332" s="71"/>
      <c r="G332" s="71"/>
      <c r="H332" s="71"/>
      <c r="I332" s="71"/>
      <c r="J332" s="71"/>
      <c r="K332" s="71"/>
      <c r="L332" s="71"/>
      <c r="M332" s="71"/>
      <c r="N332" s="71"/>
      <c r="O332" s="71"/>
      <c r="P332" s="61"/>
      <c r="Q332" s="62"/>
      <c r="R332" s="63"/>
      <c r="S332" s="63"/>
      <c r="T332" s="63"/>
      <c r="U332" s="63"/>
      <c r="V332" s="63"/>
      <c r="W332" s="63"/>
      <c r="X332" s="63"/>
      <c r="Y332" s="63"/>
      <c r="Z332" s="63"/>
      <c r="AA332" s="63"/>
      <c r="AB332" s="63"/>
      <c r="AC332" s="63"/>
    </row>
    <row r="333" spans="2:29">
      <c r="B333" s="71"/>
      <c r="C333" s="71"/>
      <c r="D333" s="71"/>
      <c r="E333" s="71"/>
      <c r="F333" s="71"/>
      <c r="G333" s="71"/>
      <c r="H333" s="71"/>
      <c r="I333" s="71"/>
      <c r="J333" s="71"/>
      <c r="K333" s="71"/>
      <c r="L333" s="71"/>
      <c r="M333" s="71"/>
      <c r="N333" s="71"/>
      <c r="O333" s="71"/>
      <c r="P333" s="61"/>
      <c r="Q333" s="62"/>
      <c r="R333" s="63"/>
      <c r="S333" s="63"/>
      <c r="T333" s="63"/>
      <c r="U333" s="63"/>
      <c r="V333" s="63"/>
      <c r="W333" s="63"/>
      <c r="X333" s="63"/>
      <c r="Y333" s="63"/>
      <c r="Z333" s="63"/>
      <c r="AA333" s="63"/>
      <c r="AB333" s="63"/>
      <c r="AC333" s="63"/>
    </row>
    <row r="334" spans="2:29">
      <c r="B334" s="71"/>
      <c r="C334" s="71"/>
      <c r="D334" s="71"/>
      <c r="E334" s="71"/>
      <c r="F334" s="71"/>
      <c r="G334" s="71"/>
      <c r="H334" s="71"/>
      <c r="I334" s="71"/>
      <c r="J334" s="71"/>
      <c r="K334" s="71"/>
      <c r="L334" s="71"/>
      <c r="M334" s="71"/>
      <c r="N334" s="71"/>
      <c r="O334" s="71"/>
      <c r="P334" s="61"/>
      <c r="Q334" s="62"/>
      <c r="R334" s="63"/>
      <c r="S334" s="63"/>
      <c r="T334" s="63"/>
      <c r="U334" s="63"/>
      <c r="V334" s="63"/>
      <c r="W334" s="63"/>
      <c r="X334" s="63"/>
      <c r="Y334" s="63"/>
      <c r="Z334" s="63"/>
      <c r="AA334" s="63"/>
      <c r="AB334" s="63"/>
      <c r="AC334" s="63"/>
    </row>
    <row r="335" spans="2:29">
      <c r="B335" s="71"/>
      <c r="C335" s="71"/>
      <c r="D335" s="71"/>
      <c r="E335" s="71"/>
      <c r="F335" s="71"/>
      <c r="G335" s="71"/>
      <c r="H335" s="71"/>
      <c r="I335" s="71"/>
      <c r="J335" s="71"/>
      <c r="K335" s="71"/>
      <c r="L335" s="71"/>
      <c r="M335" s="71"/>
      <c r="N335" s="71"/>
      <c r="O335" s="71"/>
      <c r="P335" s="61"/>
      <c r="Q335" s="62"/>
      <c r="R335" s="63"/>
      <c r="S335" s="63"/>
      <c r="T335" s="63"/>
      <c r="U335" s="63"/>
      <c r="V335" s="63"/>
      <c r="W335" s="63"/>
      <c r="X335" s="63"/>
      <c r="Y335" s="63"/>
      <c r="Z335" s="63"/>
      <c r="AA335" s="63"/>
      <c r="AB335" s="63"/>
      <c r="AC335" s="63"/>
    </row>
    <row r="336" spans="2:29">
      <c r="B336" s="71"/>
      <c r="C336" s="71"/>
      <c r="D336" s="71"/>
      <c r="E336" s="71"/>
      <c r="F336" s="71"/>
      <c r="G336" s="71"/>
      <c r="H336" s="71"/>
      <c r="I336" s="71"/>
      <c r="J336" s="71"/>
      <c r="K336" s="71"/>
      <c r="L336" s="71"/>
      <c r="M336" s="71"/>
      <c r="N336" s="71"/>
      <c r="O336" s="71"/>
      <c r="P336" s="61"/>
      <c r="Q336" s="62"/>
      <c r="R336" s="63"/>
      <c r="S336" s="63"/>
      <c r="T336" s="63"/>
      <c r="U336" s="63"/>
      <c r="V336" s="63"/>
      <c r="W336" s="63"/>
      <c r="X336" s="63"/>
      <c r="Y336" s="63"/>
      <c r="Z336" s="63"/>
      <c r="AA336" s="63"/>
      <c r="AB336" s="63"/>
      <c r="AC336" s="63"/>
    </row>
    <row r="337" spans="2:29">
      <c r="B337" s="71"/>
      <c r="C337" s="71"/>
      <c r="D337" s="71"/>
      <c r="E337" s="71"/>
      <c r="F337" s="71"/>
      <c r="G337" s="71"/>
      <c r="H337" s="71"/>
      <c r="I337" s="71"/>
      <c r="J337" s="71"/>
      <c r="K337" s="71"/>
      <c r="L337" s="71"/>
      <c r="M337" s="71"/>
      <c r="N337" s="71"/>
      <c r="O337" s="71"/>
      <c r="P337" s="61"/>
      <c r="Q337" s="62"/>
      <c r="R337" s="63"/>
      <c r="S337" s="63"/>
      <c r="T337" s="63"/>
      <c r="U337" s="63"/>
      <c r="V337" s="63"/>
      <c r="W337" s="63"/>
      <c r="X337" s="63"/>
      <c r="Y337" s="63"/>
      <c r="Z337" s="63"/>
      <c r="AA337" s="63"/>
      <c r="AB337" s="63"/>
      <c r="AC337" s="63"/>
    </row>
    <row r="338" spans="2:29">
      <c r="B338" s="71"/>
      <c r="C338" s="71"/>
      <c r="D338" s="71"/>
      <c r="E338" s="71"/>
      <c r="F338" s="71"/>
      <c r="G338" s="71"/>
      <c r="H338" s="71"/>
      <c r="I338" s="71"/>
      <c r="J338" s="71"/>
      <c r="K338" s="71"/>
      <c r="L338" s="71"/>
      <c r="M338" s="71"/>
      <c r="N338" s="71"/>
      <c r="O338" s="71"/>
      <c r="P338" s="61"/>
      <c r="Q338" s="62"/>
      <c r="R338" s="63"/>
      <c r="S338" s="63"/>
      <c r="T338" s="63"/>
      <c r="U338" s="63"/>
      <c r="V338" s="63"/>
      <c r="W338" s="63"/>
      <c r="X338" s="63"/>
      <c r="Y338" s="63"/>
      <c r="Z338" s="63"/>
      <c r="AA338" s="63"/>
      <c r="AB338" s="63"/>
      <c r="AC338" s="63"/>
    </row>
    <row r="339" spans="2:29">
      <c r="B339" s="71"/>
      <c r="C339" s="71"/>
      <c r="D339" s="71"/>
      <c r="E339" s="71"/>
      <c r="F339" s="71"/>
      <c r="G339" s="71"/>
      <c r="H339" s="71"/>
      <c r="I339" s="71"/>
      <c r="J339" s="71"/>
      <c r="K339" s="71"/>
      <c r="L339" s="71"/>
      <c r="M339" s="71"/>
      <c r="N339" s="71"/>
      <c r="O339" s="71"/>
      <c r="P339" s="61"/>
      <c r="Q339" s="62"/>
      <c r="R339" s="63"/>
      <c r="S339" s="63"/>
      <c r="T339" s="63"/>
      <c r="U339" s="63"/>
      <c r="V339" s="63"/>
      <c r="W339" s="63"/>
      <c r="X339" s="63"/>
      <c r="Y339" s="63"/>
      <c r="Z339" s="63"/>
      <c r="AA339" s="63"/>
      <c r="AB339" s="63"/>
      <c r="AC339" s="63"/>
    </row>
    <row r="340" spans="2:29">
      <c r="B340" s="71"/>
      <c r="C340" s="71"/>
      <c r="D340" s="71"/>
      <c r="E340" s="71"/>
      <c r="F340" s="71"/>
      <c r="G340" s="71"/>
      <c r="H340" s="71"/>
      <c r="I340" s="71"/>
      <c r="J340" s="71"/>
      <c r="K340" s="71"/>
      <c r="L340" s="71"/>
      <c r="M340" s="71"/>
      <c r="N340" s="71"/>
      <c r="O340" s="71"/>
      <c r="P340" s="61"/>
      <c r="Q340" s="62"/>
      <c r="R340" s="63"/>
      <c r="S340" s="63"/>
      <c r="T340" s="63"/>
      <c r="U340" s="63"/>
      <c r="V340" s="63"/>
      <c r="W340" s="63"/>
      <c r="X340" s="63"/>
      <c r="Y340" s="63"/>
      <c r="Z340" s="63"/>
      <c r="AA340" s="63"/>
      <c r="AB340" s="63"/>
      <c r="AC340" s="63"/>
    </row>
    <row r="341" spans="2:29">
      <c r="B341" s="71"/>
      <c r="C341" s="71"/>
      <c r="D341" s="71"/>
      <c r="E341" s="71"/>
      <c r="F341" s="71"/>
      <c r="G341" s="71"/>
      <c r="H341" s="71"/>
      <c r="I341" s="71"/>
      <c r="J341" s="71"/>
      <c r="K341" s="71"/>
      <c r="L341" s="71"/>
      <c r="M341" s="71"/>
      <c r="N341" s="71"/>
      <c r="O341" s="71"/>
      <c r="P341" s="61"/>
      <c r="Q341" s="62"/>
      <c r="R341" s="63"/>
      <c r="S341" s="63"/>
      <c r="T341" s="63"/>
      <c r="U341" s="63"/>
      <c r="V341" s="63"/>
      <c r="W341" s="63"/>
      <c r="X341" s="63"/>
      <c r="Y341" s="63"/>
      <c r="Z341" s="63"/>
      <c r="AA341" s="63"/>
      <c r="AB341" s="63"/>
      <c r="AC341" s="63"/>
    </row>
    <row r="342" spans="2:29">
      <c r="B342" s="71"/>
      <c r="C342" s="71"/>
      <c r="D342" s="71"/>
      <c r="E342" s="71"/>
      <c r="F342" s="71"/>
      <c r="G342" s="71"/>
      <c r="H342" s="71"/>
      <c r="I342" s="71"/>
      <c r="J342" s="71"/>
      <c r="K342" s="71"/>
      <c r="L342" s="71"/>
      <c r="M342" s="71"/>
      <c r="N342" s="71"/>
      <c r="O342" s="71"/>
      <c r="P342" s="61"/>
      <c r="Q342" s="62"/>
      <c r="R342" s="63"/>
      <c r="S342" s="63"/>
      <c r="T342" s="63"/>
      <c r="U342" s="63"/>
      <c r="V342" s="63"/>
      <c r="W342" s="63"/>
      <c r="X342" s="63"/>
      <c r="Y342" s="63"/>
      <c r="Z342" s="63"/>
      <c r="AA342" s="63"/>
      <c r="AB342" s="63"/>
      <c r="AC342" s="63"/>
    </row>
    <row r="343" spans="2:29">
      <c r="B343" s="71"/>
      <c r="C343" s="71"/>
      <c r="D343" s="71"/>
      <c r="E343" s="71"/>
      <c r="F343" s="71"/>
      <c r="G343" s="71"/>
      <c r="H343" s="71"/>
      <c r="I343" s="71"/>
      <c r="J343" s="71"/>
      <c r="K343" s="71"/>
      <c r="L343" s="71"/>
      <c r="M343" s="71"/>
      <c r="N343" s="71"/>
      <c r="O343" s="71"/>
      <c r="P343" s="61"/>
      <c r="Q343" s="62"/>
      <c r="R343" s="63"/>
      <c r="S343" s="63"/>
      <c r="T343" s="63"/>
      <c r="U343" s="63"/>
      <c r="V343" s="63"/>
      <c r="W343" s="63"/>
      <c r="X343" s="63"/>
      <c r="Y343" s="63"/>
      <c r="Z343" s="63"/>
      <c r="AA343" s="63"/>
      <c r="AB343" s="63"/>
      <c r="AC343" s="63"/>
    </row>
    <row r="344" spans="2:29">
      <c r="B344" s="71"/>
      <c r="C344" s="71"/>
      <c r="D344" s="71"/>
      <c r="E344" s="71"/>
      <c r="F344" s="71"/>
      <c r="G344" s="71"/>
      <c r="H344" s="71"/>
      <c r="I344" s="71"/>
      <c r="J344" s="71"/>
      <c r="K344" s="71"/>
      <c r="L344" s="71"/>
      <c r="M344" s="71"/>
      <c r="N344" s="71"/>
      <c r="O344" s="71"/>
      <c r="P344" s="61"/>
      <c r="Q344" s="62"/>
      <c r="R344" s="63"/>
      <c r="S344" s="63"/>
      <c r="T344" s="63"/>
      <c r="U344" s="63"/>
      <c r="V344" s="63"/>
      <c r="W344" s="63"/>
      <c r="X344" s="63"/>
      <c r="Y344" s="63"/>
      <c r="Z344" s="63"/>
      <c r="AA344" s="63"/>
      <c r="AB344" s="63"/>
      <c r="AC344" s="63"/>
    </row>
    <row r="345" spans="2:29">
      <c r="B345" s="71"/>
      <c r="C345" s="71"/>
      <c r="D345" s="71"/>
      <c r="E345" s="71"/>
      <c r="F345" s="71"/>
      <c r="G345" s="71"/>
      <c r="H345" s="71"/>
      <c r="I345" s="71"/>
      <c r="J345" s="71"/>
      <c r="K345" s="71"/>
      <c r="L345" s="71"/>
      <c r="M345" s="71"/>
      <c r="N345" s="71"/>
      <c r="O345" s="71"/>
      <c r="P345" s="61"/>
      <c r="Q345" s="62"/>
      <c r="R345" s="63"/>
      <c r="S345" s="63"/>
      <c r="T345" s="63"/>
      <c r="U345" s="63"/>
      <c r="V345" s="63"/>
      <c r="W345" s="63"/>
      <c r="X345" s="63"/>
      <c r="Y345" s="63"/>
      <c r="Z345" s="63"/>
      <c r="AA345" s="63"/>
      <c r="AB345" s="63"/>
      <c r="AC345" s="63"/>
    </row>
    <row r="346" spans="2:29">
      <c r="B346" s="71"/>
      <c r="C346" s="71"/>
      <c r="D346" s="71"/>
      <c r="E346" s="71"/>
      <c r="F346" s="71"/>
      <c r="G346" s="71"/>
      <c r="H346" s="71"/>
      <c r="I346" s="71"/>
      <c r="J346" s="71"/>
      <c r="K346" s="71"/>
      <c r="L346" s="71"/>
      <c r="M346" s="71"/>
      <c r="N346" s="71"/>
      <c r="O346" s="71"/>
      <c r="P346" s="61"/>
      <c r="Q346" s="62"/>
      <c r="R346" s="63"/>
      <c r="S346" s="63"/>
      <c r="T346" s="63"/>
      <c r="U346" s="63"/>
      <c r="V346" s="63"/>
      <c r="W346" s="63"/>
      <c r="X346" s="63"/>
      <c r="Y346" s="63"/>
      <c r="Z346" s="63"/>
      <c r="AA346" s="63"/>
      <c r="AB346" s="63"/>
      <c r="AC346" s="63"/>
    </row>
    <row r="347" spans="2:29">
      <c r="B347" s="71"/>
      <c r="C347" s="71"/>
      <c r="D347" s="71"/>
      <c r="E347" s="71"/>
      <c r="F347" s="71"/>
      <c r="G347" s="71"/>
      <c r="H347" s="71"/>
      <c r="I347" s="71"/>
      <c r="J347" s="71"/>
      <c r="K347" s="71"/>
      <c r="L347" s="71"/>
      <c r="M347" s="71"/>
      <c r="N347" s="71"/>
      <c r="O347" s="71"/>
      <c r="P347" s="61"/>
      <c r="Q347" s="62"/>
      <c r="R347" s="63"/>
      <c r="S347" s="63"/>
      <c r="T347" s="63"/>
      <c r="U347" s="63"/>
      <c r="V347" s="63"/>
      <c r="W347" s="63"/>
      <c r="X347" s="63"/>
      <c r="Y347" s="63"/>
      <c r="Z347" s="63"/>
      <c r="AA347" s="63"/>
      <c r="AB347" s="63"/>
      <c r="AC347" s="63"/>
    </row>
    <row r="348" spans="2:29">
      <c r="B348" s="71"/>
      <c r="C348" s="71"/>
      <c r="D348" s="71"/>
      <c r="E348" s="71"/>
      <c r="F348" s="71"/>
      <c r="G348" s="71"/>
      <c r="H348" s="71"/>
      <c r="I348" s="71"/>
      <c r="J348" s="71"/>
      <c r="K348" s="71"/>
      <c r="L348" s="71"/>
      <c r="M348" s="71"/>
      <c r="N348" s="71"/>
      <c r="O348" s="71"/>
      <c r="P348" s="61"/>
      <c r="Q348" s="62"/>
      <c r="R348" s="63"/>
      <c r="S348" s="63"/>
      <c r="T348" s="63"/>
      <c r="U348" s="63"/>
      <c r="V348" s="63"/>
      <c r="W348" s="63"/>
      <c r="X348" s="63"/>
      <c r="Y348" s="63"/>
      <c r="Z348" s="63"/>
      <c r="AA348" s="63"/>
      <c r="AB348" s="63"/>
      <c r="AC348" s="63"/>
    </row>
    <row r="349" spans="2:29">
      <c r="B349" s="71"/>
      <c r="C349" s="71"/>
      <c r="D349" s="71"/>
      <c r="E349" s="71"/>
      <c r="F349" s="71"/>
      <c r="G349" s="71"/>
      <c r="H349" s="71"/>
      <c r="I349" s="71"/>
      <c r="J349" s="71"/>
      <c r="K349" s="71"/>
      <c r="L349" s="71"/>
      <c r="M349" s="71"/>
      <c r="N349" s="71"/>
      <c r="O349" s="71"/>
      <c r="P349" s="61"/>
      <c r="Q349" s="62"/>
      <c r="R349" s="63"/>
      <c r="S349" s="63"/>
      <c r="T349" s="63"/>
      <c r="U349" s="63"/>
      <c r="V349" s="63"/>
      <c r="W349" s="63"/>
      <c r="X349" s="63"/>
      <c r="Y349" s="63"/>
      <c r="Z349" s="63"/>
      <c r="AA349" s="63"/>
      <c r="AB349" s="63"/>
      <c r="AC349" s="63"/>
    </row>
    <row r="350" spans="2:29">
      <c r="B350" s="71"/>
      <c r="C350" s="71"/>
      <c r="D350" s="71"/>
      <c r="E350" s="71"/>
      <c r="F350" s="71"/>
      <c r="G350" s="71"/>
      <c r="H350" s="71"/>
      <c r="I350" s="71"/>
      <c r="J350" s="71"/>
      <c r="K350" s="71"/>
      <c r="L350" s="71"/>
      <c r="M350" s="71"/>
      <c r="N350" s="71"/>
      <c r="O350" s="71"/>
      <c r="P350" s="61"/>
      <c r="Q350" s="62"/>
      <c r="R350" s="63"/>
      <c r="S350" s="63"/>
      <c r="T350" s="63"/>
      <c r="U350" s="63"/>
      <c r="V350" s="63"/>
      <c r="W350" s="63"/>
      <c r="X350" s="63"/>
      <c r="Y350" s="63"/>
      <c r="Z350" s="63"/>
      <c r="AA350" s="63"/>
      <c r="AB350" s="63"/>
      <c r="AC350" s="63"/>
    </row>
    <row r="351" spans="2:29">
      <c r="B351" s="71"/>
      <c r="C351" s="71"/>
      <c r="D351" s="71"/>
      <c r="E351" s="71"/>
      <c r="F351" s="71"/>
      <c r="G351" s="71"/>
      <c r="H351" s="71"/>
      <c r="I351" s="71"/>
      <c r="J351" s="71"/>
      <c r="K351" s="71"/>
      <c r="L351" s="71"/>
      <c r="M351" s="71"/>
      <c r="N351" s="71"/>
      <c r="O351" s="71"/>
      <c r="P351" s="61"/>
      <c r="Q351" s="62"/>
      <c r="R351" s="63"/>
      <c r="S351" s="63"/>
      <c r="T351" s="63"/>
      <c r="U351" s="63"/>
      <c r="V351" s="63"/>
      <c r="W351" s="63"/>
      <c r="X351" s="63"/>
      <c r="Y351" s="63"/>
      <c r="Z351" s="63"/>
      <c r="AA351" s="63"/>
      <c r="AB351" s="63"/>
      <c r="AC351" s="63"/>
    </row>
    <row r="352" spans="2:29">
      <c r="B352" s="71"/>
      <c r="C352" s="71"/>
      <c r="D352" s="71"/>
      <c r="E352" s="71"/>
      <c r="F352" s="71"/>
      <c r="G352" s="71"/>
      <c r="H352" s="71"/>
      <c r="I352" s="71"/>
      <c r="J352" s="71"/>
      <c r="K352" s="71"/>
      <c r="L352" s="71"/>
      <c r="M352" s="71"/>
      <c r="N352" s="71"/>
      <c r="O352" s="71"/>
      <c r="P352" s="61"/>
      <c r="Q352" s="62"/>
      <c r="R352" s="63"/>
      <c r="S352" s="63"/>
      <c r="T352" s="63"/>
      <c r="U352" s="63"/>
      <c r="V352" s="63"/>
      <c r="W352" s="63"/>
      <c r="X352" s="63"/>
      <c r="Y352" s="63"/>
      <c r="Z352" s="63"/>
      <c r="AA352" s="63"/>
      <c r="AB352" s="63"/>
      <c r="AC352" s="63"/>
    </row>
    <row r="353" spans="2:29">
      <c r="B353" s="71"/>
      <c r="C353" s="71"/>
      <c r="D353" s="71"/>
      <c r="E353" s="71"/>
      <c r="F353" s="71"/>
      <c r="G353" s="71"/>
      <c r="H353" s="71"/>
      <c r="I353" s="71"/>
      <c r="J353" s="71"/>
      <c r="K353" s="71"/>
      <c r="L353" s="71"/>
      <c r="M353" s="71"/>
      <c r="N353" s="71"/>
      <c r="O353" s="71"/>
      <c r="P353" s="61"/>
      <c r="Q353" s="62"/>
      <c r="R353" s="63"/>
      <c r="S353" s="63"/>
      <c r="T353" s="63"/>
      <c r="U353" s="63"/>
      <c r="V353" s="63"/>
      <c r="W353" s="63"/>
      <c r="X353" s="63"/>
      <c r="Y353" s="63"/>
      <c r="Z353" s="63"/>
      <c r="AA353" s="63"/>
      <c r="AB353" s="63"/>
      <c r="AC353" s="63"/>
    </row>
    <row r="354" spans="2:29">
      <c r="B354" s="71"/>
      <c r="C354" s="71"/>
      <c r="D354" s="71"/>
      <c r="E354" s="71"/>
      <c r="F354" s="71"/>
      <c r="G354" s="71"/>
      <c r="H354" s="71"/>
      <c r="I354" s="71"/>
      <c r="J354" s="71"/>
      <c r="K354" s="71"/>
      <c r="L354" s="71"/>
      <c r="M354" s="71"/>
      <c r="N354" s="71"/>
      <c r="O354" s="71"/>
      <c r="P354" s="61"/>
      <c r="Q354" s="62"/>
      <c r="R354" s="63"/>
      <c r="S354" s="63"/>
      <c r="T354" s="63"/>
      <c r="U354" s="63"/>
      <c r="V354" s="63"/>
      <c r="W354" s="63"/>
      <c r="X354" s="63"/>
      <c r="Y354" s="63"/>
      <c r="Z354" s="63"/>
      <c r="AA354" s="63"/>
      <c r="AB354" s="63"/>
      <c r="AC354" s="63"/>
    </row>
    <row r="355" spans="2:29">
      <c r="B355" s="71"/>
      <c r="C355" s="71"/>
      <c r="D355" s="71"/>
      <c r="E355" s="71"/>
      <c r="F355" s="71"/>
      <c r="G355" s="71"/>
      <c r="H355" s="71"/>
      <c r="I355" s="71"/>
      <c r="J355" s="71"/>
      <c r="K355" s="71"/>
      <c r="L355" s="71"/>
      <c r="M355" s="71"/>
      <c r="N355" s="71"/>
      <c r="O355" s="71"/>
      <c r="P355" s="61"/>
      <c r="Q355" s="62"/>
      <c r="R355" s="63"/>
      <c r="S355" s="63"/>
      <c r="T355" s="63"/>
      <c r="U355" s="63"/>
      <c r="V355" s="63"/>
      <c r="W355" s="63"/>
      <c r="X355" s="63"/>
      <c r="Y355" s="63"/>
      <c r="Z355" s="63"/>
      <c r="AA355" s="63"/>
      <c r="AB355" s="63"/>
      <c r="AC355" s="63"/>
    </row>
    <row r="356" spans="2:29">
      <c r="B356" s="71"/>
      <c r="C356" s="71"/>
      <c r="D356" s="71"/>
      <c r="E356" s="71"/>
      <c r="F356" s="71"/>
      <c r="G356" s="71"/>
      <c r="H356" s="71"/>
      <c r="I356" s="71"/>
      <c r="J356" s="71"/>
      <c r="K356" s="71"/>
      <c r="L356" s="71"/>
      <c r="M356" s="71"/>
      <c r="N356" s="71"/>
      <c r="O356" s="71"/>
      <c r="P356" s="61"/>
      <c r="Q356" s="62"/>
      <c r="R356" s="63"/>
      <c r="S356" s="63"/>
      <c r="T356" s="63"/>
      <c r="U356" s="63"/>
      <c r="V356" s="63"/>
      <c r="W356" s="63"/>
      <c r="X356" s="63"/>
      <c r="Y356" s="63"/>
      <c r="Z356" s="63"/>
      <c r="AA356" s="63"/>
      <c r="AB356" s="63"/>
      <c r="AC356" s="63"/>
    </row>
    <row r="357" spans="2:29">
      <c r="B357" s="71"/>
      <c r="C357" s="71"/>
      <c r="D357" s="71"/>
      <c r="E357" s="71"/>
      <c r="F357" s="71"/>
      <c r="G357" s="71"/>
      <c r="H357" s="71"/>
      <c r="I357" s="71"/>
      <c r="J357" s="71"/>
      <c r="K357" s="71"/>
      <c r="L357" s="71"/>
      <c r="M357" s="71"/>
      <c r="N357" s="71"/>
      <c r="O357" s="71"/>
      <c r="P357" s="61"/>
      <c r="Q357" s="62"/>
      <c r="R357" s="63"/>
      <c r="S357" s="63"/>
      <c r="T357" s="63"/>
      <c r="U357" s="63"/>
      <c r="V357" s="63"/>
      <c r="W357" s="63"/>
      <c r="X357" s="63"/>
      <c r="Y357" s="63"/>
      <c r="Z357" s="63"/>
      <c r="AA357" s="63"/>
      <c r="AB357" s="63"/>
      <c r="AC357" s="63"/>
    </row>
    <row r="358" spans="2:29">
      <c r="B358" s="71"/>
      <c r="C358" s="71"/>
      <c r="D358" s="71"/>
      <c r="E358" s="71"/>
      <c r="F358" s="71"/>
      <c r="G358" s="71"/>
      <c r="H358" s="71"/>
      <c r="I358" s="71"/>
      <c r="J358" s="71"/>
      <c r="K358" s="71"/>
      <c r="L358" s="71"/>
      <c r="M358" s="71"/>
      <c r="N358" s="71"/>
      <c r="O358" s="71"/>
      <c r="P358" s="61"/>
      <c r="Q358" s="62"/>
      <c r="R358" s="63"/>
      <c r="S358" s="63"/>
      <c r="T358" s="63"/>
      <c r="U358" s="63"/>
      <c r="V358" s="63"/>
      <c r="W358" s="63"/>
      <c r="X358" s="63"/>
      <c r="Y358" s="63"/>
      <c r="Z358" s="63"/>
      <c r="AA358" s="63"/>
      <c r="AB358" s="63"/>
      <c r="AC358" s="63"/>
    </row>
    <row r="359" spans="2:29">
      <c r="B359" s="71"/>
      <c r="C359" s="71"/>
      <c r="D359" s="71"/>
      <c r="E359" s="71"/>
      <c r="F359" s="71"/>
      <c r="G359" s="71"/>
      <c r="H359" s="71"/>
      <c r="I359" s="71"/>
      <c r="J359" s="71"/>
      <c r="K359" s="71"/>
      <c r="L359" s="71"/>
      <c r="M359" s="71"/>
      <c r="N359" s="71"/>
      <c r="O359" s="71"/>
      <c r="P359" s="61"/>
      <c r="Q359" s="62"/>
      <c r="R359" s="63"/>
      <c r="S359" s="63"/>
      <c r="T359" s="63"/>
      <c r="U359" s="63"/>
      <c r="V359" s="63"/>
      <c r="W359" s="63"/>
      <c r="X359" s="63"/>
      <c r="Y359" s="63"/>
      <c r="Z359" s="63"/>
      <c r="AA359" s="63"/>
      <c r="AB359" s="63"/>
      <c r="AC359" s="63"/>
    </row>
    <row r="360" spans="2:29">
      <c r="B360" s="71"/>
      <c r="C360" s="71"/>
      <c r="D360" s="71"/>
      <c r="E360" s="71"/>
      <c r="F360" s="71"/>
      <c r="G360" s="71"/>
      <c r="H360" s="71"/>
      <c r="I360" s="71"/>
      <c r="J360" s="71"/>
      <c r="K360" s="71"/>
      <c r="L360" s="71"/>
      <c r="M360" s="71"/>
      <c r="N360" s="71"/>
      <c r="O360" s="71"/>
      <c r="P360" s="61"/>
      <c r="Q360" s="62"/>
      <c r="R360" s="63"/>
      <c r="S360" s="63"/>
      <c r="T360" s="63"/>
      <c r="U360" s="63"/>
      <c r="V360" s="63"/>
      <c r="W360" s="63"/>
      <c r="X360" s="63"/>
      <c r="Y360" s="63"/>
      <c r="Z360" s="63"/>
      <c r="AA360" s="63"/>
      <c r="AB360" s="63"/>
      <c r="AC360" s="63"/>
    </row>
    <row r="361" spans="2:29">
      <c r="B361" s="71"/>
      <c r="C361" s="71"/>
      <c r="D361" s="71"/>
      <c r="E361" s="71"/>
      <c r="F361" s="71"/>
      <c r="G361" s="71"/>
      <c r="H361" s="71"/>
      <c r="I361" s="71"/>
      <c r="J361" s="71"/>
      <c r="K361" s="71"/>
      <c r="L361" s="71"/>
      <c r="M361" s="71"/>
      <c r="N361" s="71"/>
      <c r="O361" s="71"/>
      <c r="P361" s="61"/>
      <c r="Q361" s="62"/>
      <c r="R361" s="63"/>
      <c r="S361" s="63"/>
      <c r="T361" s="63"/>
      <c r="U361" s="63"/>
      <c r="V361" s="63"/>
      <c r="W361" s="63"/>
      <c r="X361" s="63"/>
      <c r="Y361" s="63"/>
      <c r="Z361" s="63"/>
      <c r="AA361" s="63"/>
      <c r="AB361" s="63"/>
      <c r="AC361" s="63"/>
    </row>
    <row r="362" spans="2:29">
      <c r="B362" s="71"/>
      <c r="C362" s="71"/>
      <c r="D362" s="71"/>
      <c r="E362" s="71"/>
      <c r="F362" s="71"/>
      <c r="G362" s="71"/>
      <c r="H362" s="71"/>
      <c r="I362" s="71"/>
      <c r="J362" s="71"/>
      <c r="K362" s="71"/>
      <c r="L362" s="71"/>
      <c r="M362" s="71"/>
      <c r="N362" s="71"/>
      <c r="O362" s="71"/>
      <c r="P362" s="61"/>
      <c r="Q362" s="62"/>
      <c r="R362" s="63"/>
      <c r="S362" s="63"/>
      <c r="T362" s="63"/>
      <c r="U362" s="63"/>
      <c r="V362" s="63"/>
      <c r="W362" s="63"/>
      <c r="X362" s="63"/>
      <c r="Y362" s="63"/>
      <c r="Z362" s="63"/>
      <c r="AA362" s="63"/>
      <c r="AB362" s="63"/>
      <c r="AC362" s="63"/>
    </row>
    <row r="363" spans="2:29">
      <c r="B363" s="71"/>
      <c r="C363" s="71"/>
      <c r="D363" s="71"/>
      <c r="E363" s="71"/>
      <c r="F363" s="71"/>
      <c r="G363" s="71"/>
      <c r="H363" s="71"/>
      <c r="I363" s="71"/>
      <c r="J363" s="71"/>
      <c r="K363" s="71"/>
      <c r="L363" s="71"/>
      <c r="M363" s="71"/>
      <c r="N363" s="71"/>
      <c r="O363" s="71"/>
      <c r="P363" s="61"/>
      <c r="Q363" s="62"/>
      <c r="R363" s="63"/>
      <c r="S363" s="63"/>
      <c r="T363" s="63"/>
      <c r="U363" s="63"/>
      <c r="V363" s="63"/>
      <c r="W363" s="63"/>
      <c r="X363" s="63"/>
      <c r="Y363" s="63"/>
      <c r="Z363" s="63"/>
      <c r="AA363" s="63"/>
      <c r="AB363" s="63"/>
      <c r="AC363" s="63"/>
    </row>
    <row r="364" spans="2:29">
      <c r="B364" s="71"/>
      <c r="C364" s="71"/>
      <c r="D364" s="71"/>
      <c r="E364" s="71"/>
      <c r="F364" s="71"/>
      <c r="G364" s="71"/>
      <c r="H364" s="71"/>
      <c r="I364" s="71"/>
      <c r="J364" s="71"/>
      <c r="K364" s="71"/>
      <c r="L364" s="71"/>
      <c r="M364" s="71"/>
      <c r="N364" s="71"/>
      <c r="O364" s="71"/>
      <c r="P364" s="61"/>
      <c r="Q364" s="62"/>
      <c r="R364" s="63"/>
      <c r="S364" s="63"/>
      <c r="T364" s="63"/>
      <c r="U364" s="63"/>
      <c r="V364" s="63"/>
      <c r="W364" s="63"/>
      <c r="X364" s="63"/>
      <c r="Y364" s="63"/>
      <c r="Z364" s="63"/>
      <c r="AA364" s="63"/>
      <c r="AB364" s="63"/>
      <c r="AC364" s="63"/>
    </row>
    <row r="365" spans="2:29">
      <c r="B365" s="71"/>
      <c r="C365" s="71"/>
      <c r="D365" s="71"/>
      <c r="E365" s="71"/>
      <c r="F365" s="71"/>
      <c r="G365" s="71"/>
      <c r="H365" s="71"/>
      <c r="I365" s="71"/>
      <c r="J365" s="71"/>
      <c r="K365" s="71"/>
      <c r="L365" s="71"/>
      <c r="M365" s="71"/>
      <c r="N365" s="71"/>
      <c r="O365" s="71"/>
      <c r="P365" s="61"/>
      <c r="Q365" s="62"/>
      <c r="R365" s="63"/>
      <c r="S365" s="63"/>
      <c r="T365" s="63"/>
      <c r="U365" s="63"/>
      <c r="V365" s="63"/>
      <c r="W365" s="63"/>
      <c r="X365" s="63"/>
      <c r="Y365" s="63"/>
      <c r="Z365" s="63"/>
      <c r="AA365" s="63"/>
      <c r="AB365" s="63"/>
      <c r="AC365" s="63"/>
    </row>
    <row r="366" spans="2:29">
      <c r="B366" s="71"/>
      <c r="C366" s="71"/>
      <c r="D366" s="71"/>
      <c r="E366" s="71"/>
      <c r="F366" s="71"/>
      <c r="G366" s="71"/>
      <c r="H366" s="71"/>
      <c r="I366" s="71"/>
      <c r="J366" s="71"/>
      <c r="K366" s="71"/>
      <c r="L366" s="71"/>
      <c r="M366" s="71"/>
      <c r="N366" s="71"/>
      <c r="O366" s="71"/>
      <c r="P366" s="61"/>
      <c r="Q366" s="62"/>
      <c r="R366" s="63"/>
      <c r="S366" s="63"/>
      <c r="T366" s="63"/>
      <c r="U366" s="63"/>
      <c r="V366" s="63"/>
      <c r="W366" s="63"/>
      <c r="X366" s="63"/>
      <c r="Y366" s="63"/>
      <c r="Z366" s="63"/>
      <c r="AA366" s="63"/>
      <c r="AB366" s="63"/>
      <c r="AC366" s="63"/>
    </row>
    <row r="367" spans="2:29">
      <c r="B367" s="71"/>
      <c r="C367" s="71"/>
      <c r="D367" s="71"/>
      <c r="E367" s="71"/>
      <c r="F367" s="71"/>
      <c r="G367" s="71"/>
      <c r="H367" s="71"/>
      <c r="I367" s="71"/>
      <c r="J367" s="71"/>
      <c r="K367" s="71"/>
      <c r="L367" s="71"/>
      <c r="M367" s="71"/>
      <c r="N367" s="71"/>
      <c r="O367" s="71"/>
      <c r="P367" s="61"/>
      <c r="Q367" s="62"/>
      <c r="R367" s="63"/>
      <c r="S367" s="63"/>
      <c r="T367" s="63"/>
      <c r="U367" s="63"/>
      <c r="V367" s="63"/>
      <c r="W367" s="63"/>
      <c r="X367" s="63"/>
      <c r="Y367" s="63"/>
      <c r="Z367" s="63"/>
      <c r="AA367" s="63"/>
      <c r="AB367" s="63"/>
      <c r="AC367" s="63"/>
    </row>
    <row r="368" spans="2:29">
      <c r="B368" s="71"/>
      <c r="C368" s="71"/>
      <c r="D368" s="71"/>
      <c r="E368" s="71"/>
      <c r="F368" s="71"/>
      <c r="G368" s="71"/>
      <c r="H368" s="71"/>
      <c r="I368" s="71"/>
      <c r="J368" s="71"/>
      <c r="K368" s="71"/>
      <c r="L368" s="71"/>
      <c r="M368" s="71"/>
      <c r="N368" s="71"/>
      <c r="O368" s="71"/>
      <c r="P368" s="61"/>
      <c r="Q368" s="62"/>
      <c r="R368" s="63"/>
      <c r="S368" s="63"/>
      <c r="T368" s="63"/>
      <c r="U368" s="63"/>
      <c r="V368" s="63"/>
      <c r="W368" s="63"/>
      <c r="X368" s="63"/>
      <c r="Y368" s="63"/>
      <c r="Z368" s="63"/>
      <c r="AA368" s="63"/>
      <c r="AB368" s="63"/>
      <c r="AC368" s="63"/>
    </row>
    <row r="369" spans="2:29">
      <c r="B369" s="71"/>
      <c r="C369" s="71"/>
      <c r="D369" s="71"/>
      <c r="E369" s="71"/>
      <c r="F369" s="71"/>
      <c r="G369" s="71"/>
      <c r="H369" s="71"/>
      <c r="I369" s="71"/>
      <c r="J369" s="71"/>
      <c r="K369" s="71"/>
      <c r="L369" s="71"/>
      <c r="M369" s="71"/>
      <c r="N369" s="71"/>
      <c r="O369" s="71"/>
      <c r="P369" s="61"/>
      <c r="Q369" s="62"/>
      <c r="R369" s="63"/>
      <c r="S369" s="63"/>
      <c r="T369" s="63"/>
      <c r="U369" s="63"/>
      <c r="V369" s="63"/>
      <c r="W369" s="63"/>
      <c r="X369" s="63"/>
      <c r="Y369" s="63"/>
      <c r="Z369" s="63"/>
      <c r="AA369" s="63"/>
      <c r="AB369" s="63"/>
      <c r="AC369" s="63"/>
    </row>
    <row r="370" spans="2:29">
      <c r="B370" s="71"/>
      <c r="C370" s="71"/>
      <c r="D370" s="71"/>
      <c r="E370" s="71"/>
      <c r="F370" s="71"/>
      <c r="G370" s="71"/>
      <c r="H370" s="71"/>
      <c r="I370" s="71"/>
      <c r="J370" s="71"/>
      <c r="K370" s="71"/>
      <c r="L370" s="71"/>
      <c r="M370" s="71"/>
      <c r="N370" s="71"/>
      <c r="O370" s="71"/>
      <c r="P370" s="61"/>
      <c r="Q370" s="62"/>
      <c r="R370" s="63"/>
      <c r="S370" s="63"/>
      <c r="T370" s="63"/>
      <c r="U370" s="63"/>
      <c r="V370" s="63"/>
      <c r="W370" s="63"/>
      <c r="X370" s="63"/>
      <c r="Y370" s="63"/>
      <c r="Z370" s="63"/>
      <c r="AA370" s="63"/>
      <c r="AB370" s="63"/>
      <c r="AC370" s="63"/>
    </row>
    <row r="371" spans="2:29">
      <c r="B371" s="71"/>
      <c r="C371" s="71"/>
      <c r="D371" s="71"/>
      <c r="E371" s="71"/>
      <c r="F371" s="71"/>
      <c r="G371" s="71"/>
      <c r="H371" s="71"/>
      <c r="I371" s="71"/>
      <c r="J371" s="71"/>
      <c r="K371" s="71"/>
      <c r="L371" s="71"/>
      <c r="M371" s="71"/>
      <c r="N371" s="71"/>
      <c r="O371" s="71"/>
      <c r="P371" s="61"/>
      <c r="Q371" s="62"/>
      <c r="R371" s="63"/>
      <c r="S371" s="63"/>
      <c r="T371" s="63"/>
      <c r="U371" s="63"/>
      <c r="V371" s="63"/>
      <c r="W371" s="63"/>
      <c r="X371" s="63"/>
      <c r="Y371" s="63"/>
      <c r="Z371" s="63"/>
      <c r="AA371" s="63"/>
      <c r="AB371" s="63"/>
      <c r="AC371" s="63"/>
    </row>
    <row r="372" spans="2:29">
      <c r="B372" s="71"/>
      <c r="C372" s="71"/>
      <c r="D372" s="71"/>
      <c r="E372" s="71"/>
      <c r="F372" s="71"/>
      <c r="G372" s="71"/>
      <c r="H372" s="71"/>
      <c r="I372" s="71"/>
      <c r="J372" s="71"/>
      <c r="K372" s="71"/>
      <c r="L372" s="71"/>
      <c r="M372" s="71"/>
      <c r="N372" s="71"/>
      <c r="O372" s="71"/>
      <c r="P372" s="61"/>
      <c r="Q372" s="62"/>
      <c r="R372" s="63"/>
      <c r="S372" s="63"/>
      <c r="T372" s="63"/>
      <c r="U372" s="63"/>
      <c r="V372" s="63"/>
      <c r="W372" s="63"/>
      <c r="X372" s="63"/>
      <c r="Y372" s="63"/>
      <c r="Z372" s="63"/>
      <c r="AA372" s="63"/>
      <c r="AB372" s="63"/>
      <c r="AC372" s="63"/>
    </row>
    <row r="373" spans="2:29">
      <c r="B373" s="71"/>
      <c r="C373" s="71"/>
      <c r="D373" s="71"/>
      <c r="E373" s="71"/>
      <c r="F373" s="71"/>
      <c r="G373" s="71"/>
      <c r="H373" s="71"/>
      <c r="I373" s="71"/>
      <c r="J373" s="71"/>
      <c r="K373" s="71"/>
      <c r="L373" s="71"/>
      <c r="M373" s="71"/>
      <c r="N373" s="71"/>
      <c r="O373" s="71"/>
      <c r="P373" s="61"/>
      <c r="Q373" s="62"/>
      <c r="R373" s="63"/>
      <c r="S373" s="63"/>
      <c r="T373" s="63"/>
      <c r="U373" s="63"/>
      <c r="V373" s="63"/>
      <c r="W373" s="63"/>
      <c r="X373" s="63"/>
      <c r="Y373" s="63"/>
      <c r="Z373" s="63"/>
      <c r="AA373" s="63"/>
      <c r="AB373" s="63"/>
      <c r="AC373" s="63"/>
    </row>
    <row r="374" spans="2:29">
      <c r="B374" s="71"/>
      <c r="C374" s="71"/>
      <c r="D374" s="71"/>
      <c r="E374" s="71"/>
      <c r="F374" s="71"/>
      <c r="G374" s="71"/>
      <c r="H374" s="71"/>
      <c r="I374" s="71"/>
      <c r="J374" s="71"/>
      <c r="K374" s="71"/>
      <c r="L374" s="71"/>
      <c r="M374" s="71"/>
      <c r="N374" s="71"/>
      <c r="O374" s="71"/>
      <c r="P374" s="61"/>
      <c r="Q374" s="62"/>
      <c r="R374" s="63"/>
      <c r="S374" s="63"/>
      <c r="T374" s="63"/>
      <c r="U374" s="63"/>
      <c r="V374" s="63"/>
      <c r="W374" s="63"/>
      <c r="X374" s="63"/>
      <c r="Y374" s="63"/>
      <c r="Z374" s="63"/>
      <c r="AA374" s="63"/>
      <c r="AB374" s="63"/>
      <c r="AC374" s="63"/>
    </row>
    <row r="375" spans="2:29">
      <c r="B375" s="71"/>
      <c r="C375" s="71"/>
      <c r="D375" s="71"/>
      <c r="E375" s="71"/>
      <c r="F375" s="71"/>
      <c r="G375" s="71"/>
      <c r="H375" s="71"/>
      <c r="I375" s="71"/>
      <c r="J375" s="71"/>
      <c r="K375" s="71"/>
      <c r="L375" s="71"/>
      <c r="M375" s="71"/>
      <c r="N375" s="71"/>
      <c r="O375" s="71"/>
      <c r="P375" s="61"/>
      <c r="Q375" s="62"/>
      <c r="R375" s="63"/>
      <c r="S375" s="63"/>
      <c r="T375" s="63"/>
      <c r="U375" s="63"/>
      <c r="V375" s="63"/>
      <c r="W375" s="63"/>
      <c r="X375" s="63"/>
      <c r="Y375" s="63"/>
      <c r="Z375" s="63"/>
      <c r="AA375" s="63"/>
      <c r="AB375" s="63"/>
      <c r="AC375" s="63"/>
    </row>
    <row r="376" spans="2:29">
      <c r="B376" s="71"/>
      <c r="C376" s="71"/>
      <c r="D376" s="71"/>
      <c r="E376" s="71"/>
      <c r="F376" s="71"/>
      <c r="G376" s="71"/>
      <c r="H376" s="71"/>
      <c r="I376" s="71"/>
      <c r="J376" s="71"/>
      <c r="K376" s="71"/>
      <c r="L376" s="71"/>
      <c r="M376" s="71"/>
      <c r="N376" s="71"/>
      <c r="O376" s="71"/>
      <c r="P376" s="61"/>
      <c r="Q376" s="62"/>
      <c r="R376" s="63"/>
      <c r="S376" s="63"/>
      <c r="T376" s="63"/>
      <c r="U376" s="63"/>
      <c r="V376" s="63"/>
      <c r="W376" s="63"/>
      <c r="X376" s="63"/>
      <c r="Y376" s="63"/>
      <c r="Z376" s="63"/>
      <c r="AA376" s="63"/>
      <c r="AB376" s="63"/>
      <c r="AC376" s="63"/>
    </row>
    <row r="377" spans="2:29">
      <c r="B377" s="71"/>
      <c r="C377" s="71"/>
      <c r="D377" s="71"/>
      <c r="E377" s="71"/>
      <c r="F377" s="71"/>
      <c r="G377" s="71"/>
      <c r="H377" s="71"/>
      <c r="I377" s="71"/>
      <c r="J377" s="71"/>
      <c r="K377" s="71"/>
      <c r="L377" s="71"/>
      <c r="M377" s="71"/>
      <c r="N377" s="71"/>
      <c r="O377" s="71"/>
      <c r="P377" s="61"/>
      <c r="Q377" s="62"/>
      <c r="R377" s="63"/>
      <c r="S377" s="63"/>
      <c r="T377" s="63"/>
      <c r="U377" s="63"/>
      <c r="V377" s="63"/>
      <c r="W377" s="63"/>
      <c r="X377" s="63"/>
      <c r="Y377" s="63"/>
      <c r="Z377" s="63"/>
      <c r="AA377" s="63"/>
      <c r="AB377" s="63"/>
      <c r="AC377" s="63"/>
    </row>
    <row r="378" spans="2:29">
      <c r="B378" s="71"/>
      <c r="C378" s="71"/>
      <c r="D378" s="71"/>
      <c r="E378" s="71"/>
      <c r="F378" s="71"/>
      <c r="G378" s="71"/>
      <c r="H378" s="71"/>
      <c r="I378" s="71"/>
      <c r="J378" s="71"/>
      <c r="K378" s="71"/>
      <c r="L378" s="71"/>
      <c r="M378" s="71"/>
      <c r="N378" s="71"/>
      <c r="O378" s="71"/>
      <c r="P378" s="61"/>
      <c r="Q378" s="62"/>
      <c r="R378" s="63"/>
      <c r="S378" s="63"/>
      <c r="T378" s="63"/>
      <c r="U378" s="63"/>
      <c r="V378" s="63"/>
      <c r="W378" s="63"/>
      <c r="X378" s="63"/>
      <c r="Y378" s="63"/>
      <c r="Z378" s="63"/>
      <c r="AA378" s="63"/>
      <c r="AB378" s="63"/>
      <c r="AC378" s="63"/>
    </row>
    <row r="379" spans="2:29">
      <c r="B379" s="71"/>
      <c r="C379" s="71"/>
      <c r="D379" s="71"/>
      <c r="E379" s="71"/>
      <c r="F379" s="71"/>
      <c r="G379" s="71"/>
      <c r="H379" s="71"/>
      <c r="I379" s="71"/>
      <c r="J379" s="71"/>
      <c r="K379" s="71"/>
      <c r="L379" s="71"/>
      <c r="M379" s="71"/>
      <c r="N379" s="71"/>
      <c r="O379" s="71"/>
      <c r="P379" s="61"/>
      <c r="Q379" s="62"/>
      <c r="R379" s="63"/>
      <c r="S379" s="63"/>
      <c r="T379" s="63"/>
      <c r="U379" s="63"/>
      <c r="V379" s="63"/>
      <c r="W379" s="63"/>
      <c r="X379" s="63"/>
      <c r="Y379" s="63"/>
      <c r="Z379" s="63"/>
      <c r="AA379" s="63"/>
      <c r="AB379" s="63"/>
      <c r="AC379" s="63"/>
    </row>
    <row r="380" spans="2:29">
      <c r="B380" s="71"/>
      <c r="C380" s="71"/>
      <c r="D380" s="71"/>
      <c r="E380" s="71"/>
      <c r="F380" s="71"/>
      <c r="G380" s="71"/>
      <c r="H380" s="71"/>
      <c r="I380" s="71"/>
      <c r="J380" s="71"/>
      <c r="K380" s="71"/>
      <c r="L380" s="71"/>
      <c r="M380" s="71"/>
      <c r="N380" s="71"/>
      <c r="O380" s="71"/>
      <c r="P380" s="61"/>
      <c r="Q380" s="62"/>
      <c r="R380" s="63"/>
      <c r="S380" s="63"/>
      <c r="T380" s="63"/>
      <c r="U380" s="63"/>
      <c r="V380" s="63"/>
      <c r="W380" s="63"/>
      <c r="X380" s="63"/>
      <c r="Y380" s="63"/>
      <c r="Z380" s="63"/>
      <c r="AA380" s="63"/>
      <c r="AB380" s="63"/>
      <c r="AC380" s="63"/>
    </row>
    <row r="381" spans="2:29">
      <c r="B381" s="71"/>
      <c r="C381" s="71"/>
      <c r="D381" s="71"/>
      <c r="E381" s="71"/>
      <c r="F381" s="71"/>
      <c r="G381" s="71"/>
      <c r="H381" s="71"/>
      <c r="I381" s="71"/>
      <c r="J381" s="71"/>
      <c r="K381" s="71"/>
      <c r="L381" s="71"/>
      <c r="M381" s="71"/>
      <c r="N381" s="71"/>
      <c r="O381" s="71"/>
      <c r="P381" s="61"/>
      <c r="Q381" s="62"/>
      <c r="R381" s="63"/>
      <c r="S381" s="63"/>
      <c r="T381" s="63"/>
      <c r="U381" s="63"/>
      <c r="V381" s="63"/>
      <c r="W381" s="63"/>
      <c r="X381" s="63"/>
      <c r="Y381" s="63"/>
      <c r="Z381" s="63"/>
      <c r="AA381" s="63"/>
      <c r="AB381" s="63"/>
      <c r="AC381" s="63"/>
    </row>
    <row r="382" spans="2:29">
      <c r="B382" s="71"/>
      <c r="C382" s="71"/>
      <c r="D382" s="71"/>
      <c r="E382" s="71"/>
      <c r="F382" s="71"/>
      <c r="G382" s="71"/>
      <c r="H382" s="71"/>
      <c r="I382" s="71"/>
      <c r="J382" s="71"/>
      <c r="K382" s="71"/>
      <c r="L382" s="71"/>
      <c r="M382" s="71"/>
      <c r="N382" s="71"/>
      <c r="O382" s="71"/>
      <c r="P382" s="61"/>
      <c r="Q382" s="62"/>
      <c r="R382" s="63"/>
      <c r="S382" s="63"/>
      <c r="T382" s="63"/>
      <c r="U382" s="63"/>
      <c r="V382" s="63"/>
      <c r="W382" s="63"/>
      <c r="X382" s="63"/>
      <c r="Y382" s="63"/>
      <c r="Z382" s="63"/>
      <c r="AA382" s="63"/>
      <c r="AB382" s="63"/>
      <c r="AC382" s="63"/>
    </row>
    <row r="383" spans="2:29">
      <c r="B383" s="71"/>
      <c r="C383" s="71"/>
      <c r="D383" s="71"/>
      <c r="E383" s="71"/>
      <c r="F383" s="71"/>
      <c r="G383" s="71"/>
      <c r="H383" s="71"/>
      <c r="I383" s="71"/>
      <c r="J383" s="71"/>
      <c r="K383" s="71"/>
      <c r="L383" s="71"/>
      <c r="M383" s="71"/>
      <c r="N383" s="71"/>
      <c r="O383" s="71"/>
      <c r="P383" s="61"/>
      <c r="Q383" s="62"/>
      <c r="R383" s="63"/>
      <c r="S383" s="63"/>
      <c r="T383" s="63"/>
      <c r="U383" s="63"/>
      <c r="V383" s="63"/>
      <c r="W383" s="63"/>
      <c r="X383" s="63"/>
      <c r="Y383" s="63"/>
      <c r="Z383" s="63"/>
      <c r="AA383" s="63"/>
      <c r="AB383" s="63"/>
      <c r="AC383" s="63"/>
    </row>
    <row r="384" spans="2:29">
      <c r="B384" s="71"/>
      <c r="C384" s="71"/>
      <c r="D384" s="71"/>
      <c r="E384" s="71"/>
      <c r="F384" s="71"/>
      <c r="G384" s="71"/>
      <c r="H384" s="71"/>
      <c r="I384" s="71"/>
      <c r="J384" s="71"/>
      <c r="K384" s="71"/>
      <c r="L384" s="71"/>
      <c r="M384" s="71"/>
      <c r="N384" s="71"/>
      <c r="O384" s="71"/>
      <c r="P384" s="61"/>
      <c r="Q384" s="62"/>
      <c r="R384" s="63"/>
      <c r="S384" s="63"/>
      <c r="T384" s="63"/>
      <c r="U384" s="63"/>
      <c r="V384" s="63"/>
      <c r="W384" s="63"/>
      <c r="X384" s="63"/>
      <c r="Y384" s="63"/>
      <c r="Z384" s="63"/>
      <c r="AA384" s="63"/>
      <c r="AB384" s="63"/>
      <c r="AC384" s="63"/>
    </row>
    <row r="385" spans="2:29">
      <c r="B385" s="71"/>
      <c r="C385" s="71"/>
      <c r="D385" s="71"/>
      <c r="E385" s="71"/>
      <c r="F385" s="71"/>
      <c r="G385" s="71"/>
      <c r="H385" s="71"/>
      <c r="I385" s="71"/>
      <c r="J385" s="71"/>
      <c r="K385" s="71"/>
      <c r="L385" s="71"/>
      <c r="M385" s="71"/>
      <c r="N385" s="71"/>
      <c r="O385" s="71"/>
      <c r="P385" s="61"/>
      <c r="Q385" s="62"/>
      <c r="R385" s="63"/>
      <c r="S385" s="63"/>
      <c r="T385" s="63"/>
      <c r="U385" s="63"/>
      <c r="V385" s="63"/>
      <c r="W385" s="63"/>
      <c r="X385" s="63"/>
      <c r="Y385" s="63"/>
      <c r="Z385" s="63"/>
      <c r="AA385" s="63"/>
      <c r="AB385" s="63"/>
      <c r="AC385" s="63"/>
    </row>
    <row r="386" spans="2:29">
      <c r="B386" s="71"/>
      <c r="C386" s="71"/>
      <c r="D386" s="71"/>
      <c r="E386" s="71"/>
      <c r="F386" s="71"/>
      <c r="G386" s="71"/>
      <c r="H386" s="71"/>
      <c r="I386" s="71"/>
      <c r="J386" s="71"/>
      <c r="K386" s="71"/>
      <c r="L386" s="71"/>
      <c r="M386" s="71"/>
      <c r="N386" s="71"/>
      <c r="O386" s="71"/>
      <c r="P386" s="61"/>
      <c r="Q386" s="62"/>
      <c r="R386" s="63"/>
      <c r="S386" s="63"/>
      <c r="T386" s="63"/>
      <c r="U386" s="63"/>
      <c r="V386" s="63"/>
      <c r="W386" s="63"/>
      <c r="X386" s="63"/>
      <c r="Y386" s="63"/>
      <c r="Z386" s="63"/>
      <c r="AA386" s="63"/>
      <c r="AB386" s="63"/>
      <c r="AC386" s="63"/>
    </row>
    <row r="387" spans="2:29">
      <c r="B387" s="71"/>
      <c r="C387" s="71"/>
      <c r="D387" s="71"/>
      <c r="E387" s="71"/>
      <c r="F387" s="71"/>
      <c r="G387" s="71"/>
      <c r="H387" s="71"/>
      <c r="I387" s="71"/>
      <c r="J387" s="71"/>
      <c r="K387" s="71"/>
      <c r="L387" s="71"/>
      <c r="M387" s="71"/>
      <c r="N387" s="71"/>
      <c r="O387" s="71"/>
      <c r="P387" s="61"/>
      <c r="Q387" s="62"/>
      <c r="R387" s="63"/>
      <c r="S387" s="63"/>
      <c r="T387" s="63"/>
      <c r="U387" s="63"/>
      <c r="V387" s="63"/>
      <c r="W387" s="63"/>
      <c r="X387" s="63"/>
      <c r="Y387" s="63"/>
      <c r="Z387" s="63"/>
      <c r="AA387" s="63"/>
      <c r="AB387" s="63"/>
      <c r="AC387" s="63"/>
    </row>
    <row r="388" spans="2:29">
      <c r="B388" s="71"/>
      <c r="C388" s="71"/>
      <c r="D388" s="71"/>
      <c r="E388" s="71"/>
      <c r="F388" s="71"/>
      <c r="G388" s="71"/>
      <c r="H388" s="71"/>
      <c r="I388" s="71"/>
      <c r="J388" s="71"/>
      <c r="K388" s="71"/>
      <c r="L388" s="71"/>
      <c r="M388" s="71"/>
      <c r="N388" s="71"/>
      <c r="O388" s="71"/>
      <c r="P388" s="61"/>
      <c r="Q388" s="62"/>
      <c r="R388" s="63"/>
      <c r="S388" s="63"/>
      <c r="T388" s="63"/>
      <c r="U388" s="63"/>
      <c r="V388" s="63"/>
      <c r="W388" s="63"/>
      <c r="X388" s="63"/>
      <c r="Y388" s="63"/>
      <c r="Z388" s="63"/>
      <c r="AA388" s="63"/>
      <c r="AB388" s="63"/>
      <c r="AC388" s="63"/>
    </row>
    <row r="389" spans="2:29">
      <c r="B389" s="71"/>
      <c r="C389" s="71"/>
      <c r="D389" s="71"/>
      <c r="E389" s="71"/>
      <c r="F389" s="71"/>
      <c r="G389" s="71"/>
      <c r="H389" s="71"/>
      <c r="I389" s="71"/>
      <c r="J389" s="71"/>
      <c r="K389" s="71"/>
      <c r="L389" s="71"/>
      <c r="M389" s="71"/>
      <c r="N389" s="71"/>
      <c r="O389" s="71"/>
      <c r="P389" s="61"/>
      <c r="Q389" s="62"/>
      <c r="R389" s="63"/>
      <c r="S389" s="63"/>
      <c r="T389" s="63"/>
      <c r="U389" s="63"/>
      <c r="V389" s="63"/>
      <c r="W389" s="63"/>
      <c r="X389" s="63"/>
      <c r="Y389" s="63"/>
      <c r="Z389" s="63"/>
      <c r="AA389" s="63"/>
      <c r="AB389" s="63"/>
      <c r="AC389" s="63"/>
    </row>
    <row r="390" spans="2:29">
      <c r="B390" s="71"/>
      <c r="C390" s="71"/>
      <c r="D390" s="71"/>
      <c r="E390" s="71"/>
      <c r="F390" s="71"/>
      <c r="G390" s="71"/>
      <c r="H390" s="71"/>
      <c r="I390" s="71"/>
      <c r="J390" s="71"/>
      <c r="K390" s="71"/>
      <c r="L390" s="71"/>
      <c r="M390" s="71"/>
      <c r="N390" s="71"/>
      <c r="O390" s="71"/>
      <c r="P390" s="61"/>
      <c r="Q390" s="62"/>
      <c r="R390" s="63"/>
      <c r="S390" s="63"/>
      <c r="T390" s="63"/>
      <c r="U390" s="63"/>
      <c r="V390" s="63"/>
      <c r="W390" s="63"/>
      <c r="X390" s="63"/>
      <c r="Y390" s="63"/>
      <c r="Z390" s="63"/>
      <c r="AA390" s="63"/>
      <c r="AB390" s="63"/>
      <c r="AC390" s="63"/>
    </row>
    <row r="391" spans="2:29">
      <c r="B391" s="71"/>
      <c r="C391" s="71"/>
      <c r="D391" s="71"/>
      <c r="E391" s="71"/>
      <c r="F391" s="71"/>
      <c r="G391" s="71"/>
      <c r="H391" s="71"/>
      <c r="I391" s="71"/>
      <c r="J391" s="71"/>
      <c r="K391" s="71"/>
      <c r="L391" s="71"/>
      <c r="M391" s="71"/>
      <c r="N391" s="71"/>
      <c r="O391" s="71"/>
      <c r="P391" s="61"/>
      <c r="Q391" s="62"/>
      <c r="R391" s="63"/>
      <c r="S391" s="63"/>
      <c r="T391" s="63"/>
      <c r="U391" s="63"/>
      <c r="V391" s="63"/>
      <c r="W391" s="63"/>
      <c r="X391" s="63"/>
      <c r="Y391" s="63"/>
      <c r="Z391" s="63"/>
      <c r="AA391" s="63"/>
      <c r="AB391" s="63"/>
      <c r="AC391" s="63"/>
    </row>
    <row r="392" spans="2:29">
      <c r="B392" s="71"/>
      <c r="C392" s="71"/>
      <c r="D392" s="71"/>
      <c r="E392" s="71"/>
      <c r="F392" s="71"/>
      <c r="G392" s="71"/>
      <c r="H392" s="71"/>
      <c r="I392" s="71"/>
      <c r="J392" s="71"/>
      <c r="K392" s="71"/>
      <c r="L392" s="71"/>
      <c r="M392" s="71"/>
      <c r="N392" s="71"/>
      <c r="O392" s="71"/>
      <c r="P392" s="61"/>
      <c r="Q392" s="62"/>
      <c r="R392" s="63"/>
      <c r="S392" s="63"/>
      <c r="T392" s="63"/>
      <c r="U392" s="63"/>
      <c r="V392" s="63"/>
      <c r="W392" s="63"/>
      <c r="X392" s="63"/>
      <c r="Y392" s="63"/>
      <c r="Z392" s="63"/>
      <c r="AA392" s="63"/>
      <c r="AB392" s="63"/>
      <c r="AC392" s="63"/>
    </row>
    <row r="393" spans="2:29">
      <c r="B393" s="71"/>
      <c r="C393" s="71"/>
      <c r="D393" s="71"/>
      <c r="E393" s="71"/>
      <c r="F393" s="71"/>
      <c r="G393" s="71"/>
      <c r="H393" s="71"/>
      <c r="I393" s="71"/>
      <c r="J393" s="71"/>
      <c r="K393" s="71"/>
      <c r="L393" s="71"/>
      <c r="M393" s="71"/>
      <c r="N393" s="71"/>
      <c r="O393" s="71"/>
      <c r="P393" s="61"/>
      <c r="Q393" s="62"/>
      <c r="R393" s="63"/>
      <c r="S393" s="63"/>
      <c r="T393" s="63"/>
      <c r="U393" s="63"/>
      <c r="V393" s="63"/>
      <c r="W393" s="63"/>
      <c r="X393" s="63"/>
      <c r="Y393" s="63"/>
      <c r="Z393" s="63"/>
      <c r="AA393" s="63"/>
      <c r="AB393" s="63"/>
      <c r="AC393" s="63"/>
    </row>
    <row r="394" spans="2:29">
      <c r="B394" s="71"/>
      <c r="C394" s="71"/>
      <c r="D394" s="71"/>
      <c r="E394" s="71"/>
      <c r="F394" s="71"/>
      <c r="G394" s="71"/>
      <c r="H394" s="71"/>
      <c r="I394" s="71"/>
      <c r="J394" s="71"/>
      <c r="K394" s="71"/>
      <c r="L394" s="71"/>
      <c r="M394" s="71"/>
      <c r="N394" s="71"/>
      <c r="O394" s="71"/>
      <c r="P394" s="61"/>
      <c r="Q394" s="62"/>
      <c r="R394" s="63"/>
      <c r="S394" s="63"/>
      <c r="T394" s="63"/>
      <c r="U394" s="63"/>
      <c r="V394" s="63"/>
      <c r="W394" s="63"/>
      <c r="X394" s="63"/>
      <c r="Y394" s="63"/>
      <c r="Z394" s="63"/>
      <c r="AA394" s="63"/>
      <c r="AB394" s="63"/>
      <c r="AC394" s="63"/>
    </row>
    <row r="395" spans="2:29">
      <c r="B395" s="71"/>
      <c r="C395" s="71"/>
      <c r="D395" s="71"/>
      <c r="E395" s="71"/>
      <c r="F395" s="71"/>
      <c r="G395" s="71"/>
      <c r="H395" s="71"/>
      <c r="I395" s="71"/>
      <c r="J395" s="71"/>
      <c r="K395" s="71"/>
      <c r="L395" s="71"/>
      <c r="M395" s="71"/>
      <c r="N395" s="71"/>
      <c r="O395" s="71"/>
      <c r="P395" s="61"/>
      <c r="Q395" s="62"/>
      <c r="R395" s="63"/>
      <c r="S395" s="63"/>
      <c r="T395" s="63"/>
      <c r="U395" s="63"/>
      <c r="V395" s="63"/>
      <c r="W395" s="63"/>
      <c r="X395" s="63"/>
      <c r="Y395" s="63"/>
      <c r="Z395" s="63"/>
      <c r="AA395" s="63"/>
      <c r="AB395" s="63"/>
      <c r="AC395" s="63"/>
    </row>
    <row r="396" spans="2:29">
      <c r="B396" s="71"/>
      <c r="C396" s="71"/>
      <c r="D396" s="71"/>
      <c r="E396" s="71"/>
      <c r="F396" s="71"/>
      <c r="G396" s="71"/>
      <c r="H396" s="71"/>
      <c r="I396" s="71"/>
      <c r="J396" s="71"/>
      <c r="K396" s="71"/>
      <c r="L396" s="71"/>
      <c r="M396" s="71"/>
      <c r="N396" s="71"/>
      <c r="O396" s="71"/>
      <c r="P396" s="61"/>
      <c r="Q396" s="62"/>
      <c r="R396" s="63"/>
      <c r="S396" s="63"/>
      <c r="T396" s="63"/>
      <c r="U396" s="63"/>
      <c r="V396" s="63"/>
      <c r="W396" s="63"/>
      <c r="X396" s="63"/>
      <c r="Y396" s="63"/>
      <c r="Z396" s="63"/>
      <c r="AA396" s="63"/>
      <c r="AB396" s="63"/>
      <c r="AC396" s="63"/>
    </row>
    <row r="397" spans="2:29">
      <c r="B397" s="71"/>
      <c r="C397" s="71"/>
      <c r="D397" s="71"/>
      <c r="E397" s="71"/>
      <c r="F397" s="71"/>
      <c r="G397" s="71"/>
      <c r="H397" s="71"/>
      <c r="I397" s="71"/>
      <c r="J397" s="71"/>
      <c r="K397" s="71"/>
      <c r="L397" s="71"/>
      <c r="M397" s="71"/>
      <c r="N397" s="71"/>
      <c r="O397" s="71"/>
      <c r="P397" s="61"/>
      <c r="Q397" s="62"/>
      <c r="R397" s="63"/>
      <c r="S397" s="63"/>
      <c r="T397" s="63"/>
      <c r="U397" s="63"/>
      <c r="V397" s="63"/>
      <c r="W397" s="63"/>
      <c r="X397" s="63"/>
      <c r="Y397" s="63"/>
      <c r="Z397" s="63"/>
      <c r="AA397" s="63"/>
      <c r="AB397" s="63"/>
      <c r="AC397" s="63"/>
    </row>
    <row r="398" spans="2:29">
      <c r="B398" s="71"/>
      <c r="C398" s="71"/>
      <c r="D398" s="71"/>
      <c r="E398" s="71"/>
      <c r="F398" s="71"/>
      <c r="G398" s="71"/>
      <c r="H398" s="71"/>
      <c r="I398" s="71"/>
      <c r="J398" s="71"/>
      <c r="K398" s="71"/>
      <c r="L398" s="71"/>
      <c r="M398" s="71"/>
      <c r="N398" s="71"/>
      <c r="O398" s="71"/>
      <c r="P398" s="61"/>
      <c r="Q398" s="62"/>
      <c r="R398" s="63"/>
      <c r="S398" s="63"/>
      <c r="T398" s="63"/>
      <c r="U398" s="63"/>
      <c r="V398" s="63"/>
      <c r="W398" s="63"/>
      <c r="X398" s="63"/>
      <c r="Y398" s="63"/>
      <c r="Z398" s="63"/>
      <c r="AA398" s="63"/>
      <c r="AB398" s="63"/>
      <c r="AC398" s="63"/>
    </row>
    <row r="399" spans="2:29">
      <c r="B399" s="71"/>
      <c r="C399" s="71"/>
      <c r="D399" s="71"/>
      <c r="E399" s="71"/>
      <c r="F399" s="71"/>
      <c r="G399" s="71"/>
      <c r="H399" s="71"/>
      <c r="I399" s="71"/>
      <c r="J399" s="71"/>
      <c r="K399" s="71"/>
      <c r="L399" s="71"/>
      <c r="M399" s="71"/>
      <c r="N399" s="71"/>
      <c r="O399" s="71"/>
      <c r="P399" s="61"/>
      <c r="Q399" s="62"/>
      <c r="R399" s="63"/>
      <c r="S399" s="63"/>
      <c r="T399" s="63"/>
      <c r="U399" s="63"/>
      <c r="V399" s="63"/>
      <c r="W399" s="63"/>
      <c r="X399" s="63"/>
      <c r="Y399" s="63"/>
      <c r="Z399" s="63"/>
      <c r="AA399" s="63"/>
      <c r="AB399" s="63"/>
      <c r="AC399" s="63"/>
    </row>
    <row r="400" spans="2:29">
      <c r="B400" s="71"/>
      <c r="C400" s="71"/>
      <c r="D400" s="71"/>
      <c r="E400" s="71"/>
      <c r="F400" s="71"/>
      <c r="G400" s="71"/>
      <c r="H400" s="71"/>
      <c r="I400" s="71"/>
      <c r="J400" s="71"/>
      <c r="K400" s="71"/>
      <c r="L400" s="71"/>
      <c r="M400" s="71"/>
      <c r="N400" s="71"/>
      <c r="O400" s="71"/>
      <c r="P400" s="61"/>
      <c r="Q400" s="62"/>
      <c r="R400" s="63"/>
      <c r="S400" s="63"/>
      <c r="T400" s="63"/>
      <c r="U400" s="63"/>
      <c r="V400" s="63"/>
      <c r="W400" s="63"/>
      <c r="X400" s="63"/>
      <c r="Y400" s="63"/>
      <c r="Z400" s="63"/>
      <c r="AA400" s="63"/>
      <c r="AB400" s="63"/>
      <c r="AC400" s="63"/>
    </row>
    <row r="401" spans="2:29">
      <c r="B401" s="71"/>
      <c r="C401" s="71"/>
      <c r="D401" s="71"/>
      <c r="E401" s="71"/>
      <c r="F401" s="71"/>
      <c r="G401" s="71"/>
      <c r="H401" s="71"/>
      <c r="I401" s="71"/>
      <c r="J401" s="71"/>
      <c r="K401" s="71"/>
      <c r="L401" s="71"/>
      <c r="M401" s="71"/>
      <c r="N401" s="71"/>
      <c r="O401" s="71"/>
      <c r="P401" s="61"/>
      <c r="Q401" s="62"/>
      <c r="R401" s="63"/>
      <c r="S401" s="63"/>
      <c r="T401" s="63"/>
      <c r="U401" s="63"/>
      <c r="V401" s="63"/>
      <c r="W401" s="63"/>
      <c r="X401" s="63"/>
      <c r="Y401" s="63"/>
      <c r="Z401" s="63"/>
      <c r="AA401" s="63"/>
      <c r="AB401" s="63"/>
      <c r="AC401" s="63"/>
    </row>
    <row r="402" spans="2:29">
      <c r="B402" s="71"/>
      <c r="C402" s="71"/>
      <c r="D402" s="71"/>
      <c r="E402" s="71"/>
      <c r="F402" s="71"/>
      <c r="G402" s="71"/>
      <c r="H402" s="71"/>
      <c r="I402" s="71"/>
      <c r="J402" s="71"/>
      <c r="K402" s="71"/>
      <c r="L402" s="71"/>
      <c r="M402" s="71"/>
      <c r="N402" s="71"/>
      <c r="O402" s="71"/>
      <c r="P402" s="61"/>
      <c r="Q402" s="62"/>
      <c r="R402" s="63"/>
      <c r="S402" s="63"/>
      <c r="T402" s="63"/>
      <c r="U402" s="63"/>
      <c r="V402" s="63"/>
      <c r="W402" s="63"/>
      <c r="X402" s="63"/>
      <c r="Y402" s="63"/>
      <c r="Z402" s="63"/>
      <c r="AA402" s="63"/>
      <c r="AB402" s="63"/>
      <c r="AC402" s="63"/>
    </row>
    <row r="403" spans="2:29">
      <c r="B403" s="71"/>
      <c r="C403" s="71"/>
      <c r="D403" s="71"/>
      <c r="E403" s="71"/>
      <c r="F403" s="71"/>
      <c r="G403" s="71"/>
      <c r="H403" s="71"/>
      <c r="I403" s="71"/>
      <c r="J403" s="71"/>
      <c r="K403" s="71"/>
      <c r="L403" s="71"/>
      <c r="M403" s="71"/>
      <c r="N403" s="71"/>
      <c r="O403" s="71"/>
      <c r="P403" s="61"/>
      <c r="Q403" s="62"/>
      <c r="R403" s="63"/>
      <c r="S403" s="63"/>
      <c r="T403" s="63"/>
      <c r="U403" s="63"/>
      <c r="V403" s="63"/>
      <c r="W403" s="63"/>
      <c r="X403" s="63"/>
      <c r="Y403" s="63"/>
      <c r="Z403" s="63"/>
      <c r="AA403" s="63"/>
      <c r="AB403" s="63"/>
      <c r="AC403" s="63"/>
    </row>
    <row r="404" spans="2:29">
      <c r="B404" s="71"/>
      <c r="C404" s="71"/>
      <c r="D404" s="71"/>
      <c r="E404" s="71"/>
      <c r="F404" s="71"/>
      <c r="G404" s="71"/>
      <c r="H404" s="71"/>
      <c r="I404" s="71"/>
      <c r="J404" s="71"/>
      <c r="K404" s="71"/>
      <c r="L404" s="71"/>
      <c r="M404" s="71"/>
      <c r="N404" s="71"/>
      <c r="O404" s="71"/>
      <c r="P404" s="61"/>
      <c r="Q404" s="62"/>
      <c r="R404" s="63"/>
      <c r="S404" s="63"/>
      <c r="T404" s="63"/>
      <c r="U404" s="63"/>
      <c r="V404" s="63"/>
      <c r="W404" s="63"/>
      <c r="X404" s="63"/>
      <c r="Y404" s="63"/>
      <c r="Z404" s="63"/>
      <c r="AA404" s="63"/>
      <c r="AB404" s="63"/>
      <c r="AC404" s="63"/>
    </row>
    <row r="405" spans="2:29">
      <c r="B405" s="71"/>
      <c r="C405" s="71"/>
      <c r="D405" s="71"/>
      <c r="E405" s="71"/>
      <c r="F405" s="71"/>
      <c r="G405" s="71"/>
      <c r="H405" s="71"/>
      <c r="I405" s="71"/>
      <c r="J405" s="71"/>
      <c r="K405" s="71"/>
      <c r="L405" s="71"/>
      <c r="M405" s="71"/>
      <c r="N405" s="71"/>
      <c r="O405" s="71"/>
      <c r="P405" s="61"/>
      <c r="Q405" s="62"/>
      <c r="R405" s="63"/>
      <c r="S405" s="63"/>
      <c r="T405" s="63"/>
      <c r="U405" s="63"/>
      <c r="V405" s="63"/>
      <c r="W405" s="63"/>
      <c r="X405" s="63"/>
      <c r="Y405" s="63"/>
      <c r="Z405" s="63"/>
      <c r="AA405" s="63"/>
      <c r="AB405" s="63"/>
      <c r="AC405" s="63"/>
    </row>
    <row r="406" spans="2:29">
      <c r="B406" s="71"/>
      <c r="C406" s="71"/>
      <c r="D406" s="71"/>
      <c r="E406" s="71"/>
      <c r="F406" s="71"/>
      <c r="G406" s="71"/>
      <c r="H406" s="71"/>
      <c r="I406" s="71"/>
      <c r="J406" s="71"/>
      <c r="K406" s="71"/>
      <c r="L406" s="71"/>
      <c r="M406" s="71"/>
      <c r="N406" s="71"/>
      <c r="O406" s="71"/>
      <c r="P406" s="61"/>
      <c r="Q406" s="62"/>
      <c r="R406" s="63"/>
      <c r="S406" s="63"/>
      <c r="T406" s="63"/>
      <c r="U406" s="63"/>
      <c r="V406" s="63"/>
      <c r="W406" s="63"/>
      <c r="X406" s="63"/>
      <c r="Y406" s="63"/>
      <c r="Z406" s="63"/>
      <c r="AA406" s="63"/>
      <c r="AB406" s="63"/>
      <c r="AC406" s="63"/>
    </row>
    <row r="407" spans="2:29">
      <c r="B407" s="71"/>
      <c r="C407" s="71"/>
      <c r="D407" s="71"/>
      <c r="E407" s="71"/>
      <c r="F407" s="71"/>
      <c r="G407" s="71"/>
      <c r="H407" s="71"/>
      <c r="I407" s="71"/>
      <c r="J407" s="71"/>
      <c r="K407" s="71"/>
      <c r="L407" s="71"/>
      <c r="M407" s="71"/>
      <c r="N407" s="71"/>
      <c r="O407" s="71"/>
      <c r="P407" s="61"/>
      <c r="Q407" s="62"/>
      <c r="R407" s="63"/>
      <c r="S407" s="63"/>
      <c r="T407" s="63"/>
      <c r="U407" s="63"/>
      <c r="V407" s="63"/>
      <c r="W407" s="63"/>
      <c r="X407" s="63"/>
      <c r="Y407" s="63"/>
      <c r="Z407" s="63"/>
      <c r="AA407" s="63"/>
      <c r="AB407" s="63"/>
      <c r="AC407" s="63"/>
    </row>
    <row r="408" spans="2:29">
      <c r="B408" s="71"/>
      <c r="C408" s="71"/>
      <c r="D408" s="71"/>
      <c r="E408" s="71"/>
      <c r="F408" s="71"/>
      <c r="G408" s="71"/>
      <c r="H408" s="71"/>
      <c r="I408" s="71"/>
      <c r="J408" s="71"/>
      <c r="K408" s="71"/>
      <c r="L408" s="71"/>
      <c r="M408" s="71"/>
      <c r="N408" s="71"/>
      <c r="O408" s="71"/>
      <c r="P408" s="61"/>
      <c r="Q408" s="62"/>
      <c r="R408" s="63"/>
      <c r="S408" s="63"/>
      <c r="T408" s="63"/>
      <c r="U408" s="63"/>
      <c r="V408" s="63"/>
      <c r="W408" s="63"/>
      <c r="X408" s="63"/>
      <c r="Y408" s="63"/>
      <c r="Z408" s="63"/>
      <c r="AA408" s="63"/>
      <c r="AB408" s="63"/>
      <c r="AC408" s="63"/>
    </row>
    <row r="409" spans="2:29">
      <c r="B409" s="71"/>
      <c r="C409" s="71"/>
      <c r="D409" s="71"/>
      <c r="E409" s="71"/>
      <c r="F409" s="71"/>
      <c r="G409" s="71"/>
      <c r="H409" s="71"/>
      <c r="I409" s="71"/>
      <c r="J409" s="71"/>
      <c r="K409" s="71"/>
      <c r="L409" s="71"/>
      <c r="M409" s="71"/>
      <c r="N409" s="71"/>
      <c r="O409" s="71"/>
      <c r="P409" s="61"/>
      <c r="Q409" s="62"/>
      <c r="R409" s="63"/>
      <c r="S409" s="63"/>
      <c r="T409" s="63"/>
      <c r="U409" s="63"/>
      <c r="V409" s="63"/>
      <c r="W409" s="63"/>
      <c r="X409" s="63"/>
      <c r="Y409" s="63"/>
      <c r="Z409" s="63"/>
      <c r="AA409" s="63"/>
      <c r="AB409" s="63"/>
      <c r="AC409" s="63"/>
    </row>
    <row r="410" spans="2:29">
      <c r="B410" s="71"/>
      <c r="C410" s="71"/>
      <c r="D410" s="71"/>
      <c r="E410" s="71"/>
      <c r="F410" s="71"/>
      <c r="G410" s="71"/>
      <c r="H410" s="71"/>
      <c r="I410" s="71"/>
      <c r="J410" s="71"/>
      <c r="K410" s="71"/>
      <c r="L410" s="71"/>
      <c r="M410" s="71"/>
      <c r="N410" s="71"/>
      <c r="O410" s="71"/>
      <c r="P410" s="61"/>
      <c r="Q410" s="62"/>
      <c r="R410" s="63"/>
      <c r="S410" s="63"/>
      <c r="T410" s="63"/>
      <c r="U410" s="63"/>
      <c r="V410" s="63"/>
      <c r="W410" s="63"/>
      <c r="X410" s="63"/>
      <c r="Y410" s="63"/>
      <c r="Z410" s="63"/>
      <c r="AA410" s="63"/>
      <c r="AB410" s="63"/>
      <c r="AC410" s="63"/>
    </row>
    <row r="411" spans="2:29">
      <c r="B411" s="71"/>
      <c r="C411" s="71"/>
      <c r="D411" s="71"/>
      <c r="E411" s="71"/>
      <c r="F411" s="71"/>
      <c r="G411" s="71"/>
      <c r="H411" s="71"/>
      <c r="I411" s="71"/>
      <c r="J411" s="71"/>
      <c r="K411" s="71"/>
      <c r="L411" s="71"/>
      <c r="M411" s="71"/>
      <c r="N411" s="71"/>
      <c r="O411" s="71"/>
      <c r="P411" s="61"/>
      <c r="Q411" s="62"/>
      <c r="R411" s="63"/>
      <c r="S411" s="63"/>
      <c r="T411" s="63"/>
      <c r="U411" s="63"/>
      <c r="V411" s="63"/>
      <c r="W411" s="63"/>
      <c r="X411" s="63"/>
      <c r="Y411" s="63"/>
      <c r="Z411" s="63"/>
      <c r="AA411" s="63"/>
      <c r="AB411" s="63"/>
      <c r="AC411" s="63"/>
    </row>
    <row r="412" spans="2:29">
      <c r="B412" s="71"/>
      <c r="C412" s="71"/>
      <c r="D412" s="71"/>
      <c r="E412" s="71"/>
      <c r="F412" s="71"/>
      <c r="G412" s="71"/>
      <c r="H412" s="71"/>
      <c r="I412" s="71"/>
      <c r="J412" s="71"/>
      <c r="K412" s="71"/>
      <c r="L412" s="71"/>
      <c r="M412" s="71"/>
      <c r="N412" s="71"/>
      <c r="O412" s="71"/>
      <c r="P412" s="61"/>
      <c r="Q412" s="62"/>
      <c r="R412" s="63"/>
      <c r="S412" s="63"/>
      <c r="T412" s="63"/>
      <c r="U412" s="63"/>
      <c r="V412" s="63"/>
      <c r="W412" s="63"/>
      <c r="X412" s="63"/>
      <c r="Y412" s="63"/>
      <c r="Z412" s="63"/>
      <c r="AA412" s="63"/>
      <c r="AB412" s="63"/>
      <c r="AC412" s="63"/>
    </row>
    <row r="413" spans="2:29">
      <c r="B413" s="71"/>
      <c r="C413" s="71"/>
      <c r="D413" s="71"/>
      <c r="E413" s="71"/>
      <c r="F413" s="71"/>
      <c r="G413" s="71"/>
      <c r="H413" s="71"/>
      <c r="I413" s="71"/>
      <c r="J413" s="71"/>
      <c r="K413" s="71"/>
      <c r="L413" s="71"/>
      <c r="M413" s="71"/>
      <c r="N413" s="71"/>
      <c r="O413" s="71"/>
      <c r="P413" s="61"/>
      <c r="Q413" s="62"/>
      <c r="R413" s="63"/>
      <c r="S413" s="63"/>
      <c r="T413" s="63"/>
      <c r="U413" s="63"/>
      <c r="V413" s="63"/>
      <c r="W413" s="63"/>
      <c r="X413" s="63"/>
      <c r="Y413" s="63"/>
      <c r="Z413" s="63"/>
      <c r="AA413" s="63"/>
      <c r="AB413" s="63"/>
      <c r="AC413" s="63"/>
    </row>
    <row r="414" spans="2:29">
      <c r="B414" s="71"/>
      <c r="C414" s="71"/>
      <c r="D414" s="71"/>
      <c r="E414" s="71"/>
      <c r="F414" s="71"/>
      <c r="G414" s="71"/>
      <c r="H414" s="71"/>
      <c r="I414" s="71"/>
      <c r="J414" s="71"/>
      <c r="K414" s="71"/>
      <c r="L414" s="71"/>
      <c r="M414" s="71"/>
      <c r="N414" s="71"/>
      <c r="O414" s="71"/>
      <c r="P414" s="61"/>
      <c r="Q414" s="62"/>
      <c r="R414" s="63"/>
      <c r="S414" s="63"/>
      <c r="T414" s="63"/>
      <c r="U414" s="63"/>
      <c r="V414" s="63"/>
      <c r="W414" s="63"/>
      <c r="X414" s="63"/>
      <c r="Y414" s="63"/>
      <c r="Z414" s="63"/>
      <c r="AA414" s="63"/>
      <c r="AB414" s="63"/>
      <c r="AC414" s="63"/>
    </row>
    <row r="415" spans="2:29">
      <c r="B415" s="71"/>
      <c r="C415" s="71"/>
      <c r="D415" s="71"/>
      <c r="E415" s="71"/>
      <c r="F415" s="71"/>
      <c r="G415" s="71"/>
      <c r="H415" s="71"/>
      <c r="I415" s="71"/>
      <c r="J415" s="71"/>
      <c r="K415" s="71"/>
      <c r="L415" s="71"/>
      <c r="M415" s="71"/>
      <c r="N415" s="71"/>
      <c r="O415" s="71"/>
      <c r="P415" s="61"/>
      <c r="Q415" s="62"/>
      <c r="R415" s="63"/>
      <c r="S415" s="63"/>
      <c r="T415" s="63"/>
      <c r="U415" s="63"/>
      <c r="V415" s="63"/>
      <c r="W415" s="63"/>
      <c r="X415" s="63"/>
      <c r="Y415" s="63"/>
      <c r="Z415" s="63"/>
      <c r="AA415" s="63"/>
      <c r="AB415" s="63"/>
      <c r="AC415" s="63"/>
    </row>
    <row r="416" spans="2:29">
      <c r="B416" s="71"/>
      <c r="C416" s="71"/>
      <c r="D416" s="71"/>
      <c r="E416" s="71"/>
      <c r="F416" s="71"/>
      <c r="G416" s="71"/>
      <c r="H416" s="71"/>
      <c r="I416" s="71"/>
      <c r="J416" s="71"/>
      <c r="K416" s="71"/>
      <c r="L416" s="71"/>
      <c r="M416" s="71"/>
      <c r="N416" s="71"/>
      <c r="O416" s="71"/>
      <c r="P416" s="61"/>
      <c r="Q416" s="62"/>
      <c r="R416" s="63"/>
      <c r="S416" s="63"/>
      <c r="T416" s="63"/>
      <c r="U416" s="63"/>
      <c r="V416" s="63"/>
      <c r="W416" s="63"/>
      <c r="X416" s="63"/>
      <c r="Y416" s="63"/>
      <c r="Z416" s="63"/>
      <c r="AA416" s="63"/>
      <c r="AB416" s="63"/>
      <c r="AC416" s="63"/>
    </row>
    <row r="417" spans="2:29">
      <c r="B417" s="71"/>
      <c r="C417" s="71"/>
      <c r="D417" s="71"/>
      <c r="E417" s="71"/>
      <c r="F417" s="71"/>
      <c r="G417" s="71"/>
      <c r="H417" s="71"/>
      <c r="I417" s="71"/>
      <c r="J417" s="71"/>
      <c r="K417" s="71"/>
      <c r="L417" s="71"/>
      <c r="M417" s="71"/>
      <c r="N417" s="71"/>
      <c r="O417" s="71"/>
      <c r="P417" s="61"/>
      <c r="Q417" s="62"/>
      <c r="R417" s="63"/>
      <c r="S417" s="63"/>
      <c r="T417" s="63"/>
      <c r="U417" s="63"/>
      <c r="V417" s="63"/>
      <c r="W417" s="63"/>
      <c r="X417" s="63"/>
      <c r="Y417" s="63"/>
      <c r="Z417" s="63"/>
      <c r="AA417" s="63"/>
      <c r="AB417" s="63"/>
      <c r="AC417" s="63"/>
    </row>
    <row r="418" spans="2:29">
      <c r="B418" s="71"/>
      <c r="C418" s="71"/>
      <c r="D418" s="71"/>
      <c r="E418" s="71"/>
      <c r="F418" s="71"/>
      <c r="G418" s="71"/>
      <c r="H418" s="71"/>
      <c r="I418" s="71"/>
      <c r="J418" s="71"/>
      <c r="K418" s="71"/>
      <c r="L418" s="71"/>
      <c r="M418" s="71"/>
      <c r="N418" s="71"/>
      <c r="O418" s="71"/>
      <c r="P418" s="61"/>
      <c r="Q418" s="62"/>
      <c r="R418" s="63"/>
      <c r="S418" s="63"/>
      <c r="T418" s="63"/>
      <c r="U418" s="63"/>
      <c r="V418" s="63"/>
      <c r="W418" s="63"/>
      <c r="X418" s="63"/>
      <c r="Y418" s="63"/>
      <c r="Z418" s="63"/>
      <c r="AA418" s="63"/>
      <c r="AB418" s="63"/>
      <c r="AC418" s="63"/>
    </row>
    <row r="419" spans="2:29">
      <c r="B419" s="71"/>
      <c r="C419" s="71"/>
      <c r="D419" s="71"/>
      <c r="E419" s="71"/>
      <c r="F419" s="71"/>
      <c r="G419" s="71"/>
      <c r="H419" s="71"/>
      <c r="I419" s="71"/>
      <c r="J419" s="71"/>
      <c r="K419" s="71"/>
      <c r="L419" s="71"/>
      <c r="M419" s="71"/>
      <c r="N419" s="71"/>
      <c r="O419" s="71"/>
      <c r="P419" s="61"/>
      <c r="Q419" s="62"/>
      <c r="R419" s="63"/>
      <c r="S419" s="63"/>
      <c r="T419" s="63"/>
      <c r="U419" s="63"/>
      <c r="V419" s="63"/>
      <c r="W419" s="63"/>
      <c r="X419" s="63"/>
      <c r="Y419" s="63"/>
      <c r="Z419" s="63"/>
      <c r="AA419" s="63"/>
      <c r="AB419" s="63"/>
      <c r="AC419" s="63"/>
    </row>
    <row r="420" spans="2:29">
      <c r="B420" s="71"/>
      <c r="C420" s="71"/>
      <c r="D420" s="71"/>
      <c r="E420" s="71"/>
      <c r="F420" s="71"/>
      <c r="G420" s="71"/>
      <c r="H420" s="71"/>
      <c r="I420" s="71"/>
      <c r="J420" s="71"/>
      <c r="K420" s="71"/>
      <c r="L420" s="71"/>
      <c r="M420" s="71"/>
      <c r="N420" s="71"/>
      <c r="O420" s="71"/>
      <c r="P420" s="61"/>
      <c r="Q420" s="62"/>
      <c r="R420" s="63"/>
      <c r="S420" s="63"/>
      <c r="T420" s="63"/>
      <c r="U420" s="63"/>
      <c r="V420" s="63"/>
      <c r="W420" s="63"/>
      <c r="X420" s="63"/>
      <c r="Y420" s="63"/>
      <c r="Z420" s="63"/>
      <c r="AA420" s="63"/>
      <c r="AB420" s="63"/>
      <c r="AC420" s="63"/>
    </row>
    <row r="421" spans="2:29">
      <c r="B421" s="71"/>
      <c r="C421" s="71"/>
      <c r="D421" s="71"/>
      <c r="E421" s="71"/>
      <c r="F421" s="71"/>
      <c r="G421" s="71"/>
      <c r="H421" s="71"/>
      <c r="I421" s="71"/>
      <c r="J421" s="71"/>
      <c r="K421" s="71"/>
      <c r="L421" s="71"/>
      <c r="M421" s="71"/>
      <c r="N421" s="71"/>
      <c r="O421" s="71"/>
      <c r="P421" s="61"/>
      <c r="Q421" s="62"/>
      <c r="R421" s="63"/>
      <c r="S421" s="63"/>
      <c r="T421" s="63"/>
      <c r="U421" s="63"/>
      <c r="V421" s="63"/>
      <c r="W421" s="63"/>
      <c r="X421" s="63"/>
      <c r="Y421" s="63"/>
      <c r="Z421" s="63"/>
      <c r="AA421" s="63"/>
      <c r="AB421" s="63"/>
      <c r="AC421" s="63"/>
    </row>
    <row r="422" spans="2:29">
      <c r="B422" s="71"/>
      <c r="C422" s="71"/>
      <c r="D422" s="71"/>
      <c r="E422" s="71"/>
      <c r="F422" s="71"/>
      <c r="G422" s="71"/>
      <c r="H422" s="71"/>
      <c r="I422" s="71"/>
      <c r="J422" s="71"/>
      <c r="K422" s="71"/>
      <c r="L422" s="71"/>
      <c r="M422" s="71"/>
      <c r="N422" s="71"/>
      <c r="O422" s="71"/>
      <c r="P422" s="61"/>
      <c r="Q422" s="62"/>
      <c r="R422" s="63"/>
      <c r="S422" s="63"/>
      <c r="T422" s="63"/>
      <c r="U422" s="63"/>
      <c r="V422" s="63"/>
      <c r="W422" s="63"/>
      <c r="X422" s="63"/>
      <c r="Y422" s="63"/>
      <c r="Z422" s="63"/>
      <c r="AA422" s="63"/>
      <c r="AB422" s="63"/>
      <c r="AC422" s="63"/>
    </row>
    <row r="423" spans="2:29">
      <c r="B423" s="71"/>
      <c r="C423" s="71"/>
      <c r="D423" s="71"/>
      <c r="E423" s="71"/>
      <c r="F423" s="71"/>
      <c r="G423" s="71"/>
      <c r="H423" s="71"/>
      <c r="I423" s="71"/>
      <c r="J423" s="71"/>
      <c r="K423" s="71"/>
      <c r="L423" s="71"/>
      <c r="M423" s="71"/>
      <c r="N423" s="71"/>
      <c r="O423" s="71"/>
      <c r="P423" s="61"/>
      <c r="Q423" s="62"/>
      <c r="R423" s="63"/>
      <c r="S423" s="63"/>
      <c r="T423" s="63"/>
      <c r="U423" s="63"/>
      <c r="V423" s="63"/>
      <c r="W423" s="63"/>
      <c r="X423" s="63"/>
      <c r="Y423" s="63"/>
      <c r="Z423" s="63"/>
      <c r="AA423" s="63"/>
      <c r="AB423" s="63"/>
      <c r="AC423" s="63"/>
    </row>
    <row r="424" spans="2:29">
      <c r="B424" s="71"/>
      <c r="C424" s="71"/>
      <c r="D424" s="71"/>
      <c r="E424" s="71"/>
      <c r="F424" s="71"/>
      <c r="G424" s="71"/>
      <c r="H424" s="71"/>
      <c r="I424" s="71"/>
      <c r="J424" s="71"/>
      <c r="K424" s="71"/>
      <c r="L424" s="71"/>
      <c r="M424" s="71"/>
      <c r="N424" s="71"/>
      <c r="O424" s="71"/>
      <c r="P424" s="61"/>
      <c r="Q424" s="62"/>
      <c r="R424" s="63"/>
      <c r="S424" s="63"/>
      <c r="T424" s="63"/>
      <c r="U424" s="63"/>
      <c r="V424" s="63"/>
      <c r="W424" s="63"/>
      <c r="X424" s="63"/>
      <c r="Y424" s="63"/>
      <c r="Z424" s="63"/>
      <c r="AA424" s="63"/>
      <c r="AB424" s="63"/>
      <c r="AC424" s="63"/>
    </row>
    <row r="425" spans="2:29">
      <c r="B425" s="71"/>
      <c r="C425" s="71"/>
      <c r="D425" s="71"/>
      <c r="E425" s="71"/>
      <c r="F425" s="71"/>
      <c r="G425" s="71"/>
      <c r="H425" s="71"/>
      <c r="I425" s="71"/>
      <c r="J425" s="71"/>
      <c r="K425" s="71"/>
      <c r="L425" s="71"/>
      <c r="M425" s="71"/>
      <c r="N425" s="71"/>
      <c r="O425" s="71"/>
      <c r="P425" s="61"/>
      <c r="Q425" s="62"/>
      <c r="R425" s="63"/>
      <c r="S425" s="63"/>
      <c r="T425" s="63"/>
      <c r="U425" s="63"/>
      <c r="V425" s="63"/>
      <c r="W425" s="63"/>
      <c r="X425" s="63"/>
      <c r="Y425" s="63"/>
      <c r="Z425" s="63"/>
      <c r="AA425" s="63"/>
      <c r="AB425" s="63"/>
      <c r="AC425" s="63"/>
    </row>
    <row r="426" spans="2:29">
      <c r="B426" s="71"/>
      <c r="C426" s="71"/>
      <c r="D426" s="71"/>
      <c r="E426" s="71"/>
      <c r="F426" s="71"/>
      <c r="G426" s="71"/>
      <c r="H426" s="71"/>
      <c r="I426" s="71"/>
      <c r="J426" s="71"/>
      <c r="K426" s="71"/>
      <c r="L426" s="71"/>
      <c r="M426" s="71"/>
      <c r="N426" s="71"/>
      <c r="O426" s="71"/>
      <c r="P426" s="61"/>
      <c r="Q426" s="62"/>
      <c r="R426" s="63"/>
      <c r="S426" s="63"/>
      <c r="T426" s="63"/>
      <c r="U426" s="63"/>
      <c r="V426" s="63"/>
      <c r="W426" s="63"/>
      <c r="X426" s="63"/>
      <c r="Y426" s="63"/>
      <c r="Z426" s="63"/>
      <c r="AA426" s="63"/>
      <c r="AB426" s="63"/>
      <c r="AC426" s="63"/>
    </row>
    <row r="427" spans="2:29">
      <c r="B427" s="71"/>
      <c r="C427" s="71"/>
      <c r="D427" s="71"/>
      <c r="E427" s="71"/>
      <c r="F427" s="71"/>
      <c r="G427" s="71"/>
      <c r="H427" s="71"/>
      <c r="I427" s="71"/>
      <c r="J427" s="71"/>
      <c r="K427" s="71"/>
      <c r="L427" s="71"/>
      <c r="M427" s="71"/>
      <c r="N427" s="71"/>
      <c r="O427" s="71"/>
      <c r="P427" s="61"/>
      <c r="Q427" s="62"/>
      <c r="R427" s="63"/>
      <c r="S427" s="63"/>
      <c r="T427" s="63"/>
      <c r="U427" s="63"/>
      <c r="V427" s="63"/>
      <c r="W427" s="63"/>
      <c r="X427" s="63"/>
      <c r="Y427" s="63"/>
      <c r="Z427" s="63"/>
      <c r="AA427" s="63"/>
      <c r="AB427" s="63"/>
      <c r="AC427" s="63"/>
    </row>
    <row r="428" spans="2:29">
      <c r="B428" s="71"/>
      <c r="C428" s="71"/>
      <c r="D428" s="71"/>
      <c r="E428" s="71"/>
      <c r="F428" s="71"/>
      <c r="G428" s="71"/>
      <c r="H428" s="71"/>
      <c r="I428" s="71"/>
      <c r="J428" s="71"/>
      <c r="K428" s="71"/>
      <c r="L428" s="71"/>
      <c r="M428" s="71"/>
      <c r="N428" s="71"/>
      <c r="O428" s="71"/>
      <c r="P428" s="61"/>
      <c r="Q428" s="62"/>
      <c r="R428" s="63"/>
      <c r="S428" s="63"/>
      <c r="T428" s="63"/>
      <c r="U428" s="63"/>
      <c r="V428" s="63"/>
      <c r="W428" s="63"/>
      <c r="X428" s="63"/>
      <c r="Y428" s="63"/>
      <c r="Z428" s="63"/>
      <c r="AA428" s="63"/>
      <c r="AB428" s="63"/>
      <c r="AC428" s="63"/>
    </row>
    <row r="429" spans="2:29">
      <c r="B429" s="71"/>
      <c r="C429" s="71"/>
      <c r="D429" s="71"/>
      <c r="E429" s="71"/>
      <c r="F429" s="71"/>
      <c r="G429" s="71"/>
      <c r="H429" s="71"/>
      <c r="I429" s="71"/>
      <c r="J429" s="71"/>
      <c r="K429" s="71"/>
      <c r="L429" s="71"/>
      <c r="M429" s="71"/>
      <c r="N429" s="71"/>
      <c r="O429" s="71"/>
      <c r="P429" s="61"/>
      <c r="Q429" s="62"/>
      <c r="R429" s="63"/>
      <c r="S429" s="63"/>
      <c r="T429" s="63"/>
      <c r="U429" s="63"/>
      <c r="V429" s="63"/>
      <c r="W429" s="63"/>
      <c r="X429" s="63"/>
      <c r="Y429" s="63"/>
      <c r="Z429" s="63"/>
      <c r="AA429" s="63"/>
      <c r="AB429" s="63"/>
      <c r="AC429" s="63"/>
    </row>
    <row r="430" spans="2:29">
      <c r="B430" s="71"/>
      <c r="C430" s="71"/>
      <c r="D430" s="71"/>
      <c r="E430" s="71"/>
      <c r="F430" s="71"/>
      <c r="G430" s="71"/>
      <c r="H430" s="71"/>
      <c r="I430" s="71"/>
      <c r="J430" s="71"/>
      <c r="K430" s="71"/>
      <c r="L430" s="71"/>
      <c r="M430" s="71"/>
      <c r="N430" s="71"/>
      <c r="O430" s="71"/>
      <c r="P430" s="61"/>
      <c r="Q430" s="62"/>
      <c r="R430" s="63"/>
      <c r="S430" s="63"/>
      <c r="T430" s="63"/>
      <c r="U430" s="63"/>
      <c r="V430" s="63"/>
      <c r="W430" s="63"/>
      <c r="X430" s="63"/>
      <c r="Y430" s="63"/>
      <c r="Z430" s="63"/>
      <c r="AA430" s="63"/>
      <c r="AB430" s="63"/>
      <c r="AC430" s="63"/>
    </row>
    <row r="431" spans="2:29">
      <c r="B431" s="71"/>
      <c r="C431" s="71"/>
      <c r="D431" s="71"/>
      <c r="E431" s="71"/>
      <c r="F431" s="71"/>
      <c r="G431" s="71"/>
      <c r="H431" s="71"/>
      <c r="I431" s="71"/>
      <c r="J431" s="71"/>
      <c r="K431" s="71"/>
      <c r="L431" s="71"/>
      <c r="M431" s="71"/>
      <c r="N431" s="71"/>
      <c r="O431" s="71"/>
      <c r="P431" s="61"/>
      <c r="Q431" s="62"/>
      <c r="R431" s="63"/>
      <c r="S431" s="63"/>
      <c r="T431" s="63"/>
      <c r="U431" s="63"/>
      <c r="V431" s="63"/>
      <c r="W431" s="63"/>
      <c r="X431" s="63"/>
      <c r="Y431" s="63"/>
      <c r="Z431" s="63"/>
      <c r="AA431" s="63"/>
      <c r="AB431" s="63"/>
      <c r="AC431" s="63"/>
    </row>
    <row r="432" spans="2:29">
      <c r="B432" s="71"/>
      <c r="C432" s="71"/>
      <c r="D432" s="71"/>
      <c r="E432" s="71"/>
      <c r="F432" s="71"/>
      <c r="G432" s="71"/>
      <c r="H432" s="71"/>
      <c r="I432" s="71"/>
      <c r="J432" s="71"/>
      <c r="K432" s="71"/>
      <c r="L432" s="71"/>
      <c r="M432" s="71"/>
      <c r="N432" s="71"/>
      <c r="O432" s="71"/>
      <c r="P432" s="61"/>
      <c r="Q432" s="62"/>
      <c r="R432" s="63"/>
      <c r="S432" s="63"/>
      <c r="T432" s="63"/>
      <c r="U432" s="63"/>
      <c r="V432" s="63"/>
      <c r="W432" s="63"/>
      <c r="X432" s="63"/>
      <c r="Y432" s="63"/>
      <c r="Z432" s="63"/>
      <c r="AA432" s="63"/>
      <c r="AB432" s="63"/>
      <c r="AC432" s="63"/>
    </row>
    <row r="433" spans="2:29">
      <c r="B433" s="71"/>
      <c r="C433" s="71"/>
      <c r="D433" s="71"/>
      <c r="E433" s="71"/>
      <c r="F433" s="71"/>
      <c r="G433" s="71"/>
      <c r="H433" s="71"/>
      <c r="I433" s="71"/>
      <c r="J433" s="71"/>
      <c r="K433" s="71"/>
      <c r="L433" s="71"/>
      <c r="M433" s="71"/>
      <c r="N433" s="71"/>
      <c r="O433" s="71"/>
      <c r="P433" s="61"/>
      <c r="Q433" s="62"/>
      <c r="R433" s="63"/>
      <c r="S433" s="63"/>
      <c r="T433" s="63"/>
      <c r="U433" s="63"/>
      <c r="V433" s="63"/>
      <c r="W433" s="63"/>
      <c r="X433" s="63"/>
      <c r="Y433" s="63"/>
      <c r="Z433" s="63"/>
      <c r="AA433" s="63"/>
      <c r="AB433" s="63"/>
      <c r="AC433" s="63"/>
    </row>
    <row r="434" spans="2:29">
      <c r="B434" s="71"/>
      <c r="C434" s="71"/>
      <c r="D434" s="71"/>
      <c r="E434" s="71"/>
      <c r="F434" s="71"/>
      <c r="G434" s="71"/>
      <c r="H434" s="71"/>
      <c r="I434" s="71"/>
      <c r="J434" s="71"/>
      <c r="K434" s="71"/>
      <c r="L434" s="71"/>
      <c r="M434" s="71"/>
      <c r="N434" s="71"/>
      <c r="O434" s="71"/>
      <c r="P434" s="61"/>
      <c r="Q434" s="62"/>
      <c r="R434" s="63"/>
      <c r="S434" s="63"/>
      <c r="T434" s="63"/>
      <c r="U434" s="63"/>
      <c r="V434" s="63"/>
      <c r="W434" s="63"/>
      <c r="X434" s="63"/>
      <c r="Y434" s="63"/>
      <c r="Z434" s="63"/>
      <c r="AA434" s="63"/>
      <c r="AB434" s="63"/>
      <c r="AC434" s="63"/>
    </row>
    <row r="435" spans="2:29">
      <c r="B435" s="71"/>
      <c r="C435" s="71"/>
      <c r="D435" s="71"/>
      <c r="E435" s="71"/>
      <c r="F435" s="71"/>
      <c r="G435" s="71"/>
      <c r="H435" s="71"/>
      <c r="I435" s="71"/>
      <c r="J435" s="71"/>
      <c r="K435" s="71"/>
      <c r="L435" s="71"/>
      <c r="M435" s="71"/>
      <c r="N435" s="71"/>
      <c r="O435" s="71"/>
      <c r="P435" s="61"/>
      <c r="Q435" s="62"/>
      <c r="R435" s="63"/>
      <c r="S435" s="63"/>
      <c r="T435" s="63"/>
      <c r="U435" s="63"/>
      <c r="V435" s="63"/>
      <c r="W435" s="63"/>
      <c r="X435" s="63"/>
      <c r="Y435" s="63"/>
      <c r="Z435" s="63"/>
      <c r="AA435" s="63"/>
      <c r="AB435" s="63"/>
      <c r="AC435" s="63"/>
    </row>
    <row r="436" spans="2:29">
      <c r="B436" s="71"/>
      <c r="C436" s="71"/>
      <c r="D436" s="71"/>
      <c r="E436" s="71"/>
      <c r="F436" s="71"/>
      <c r="G436" s="71"/>
      <c r="H436" s="71"/>
      <c r="I436" s="71"/>
      <c r="J436" s="71"/>
      <c r="K436" s="71"/>
      <c r="L436" s="71"/>
      <c r="M436" s="71"/>
      <c r="N436" s="71"/>
      <c r="O436" s="71"/>
      <c r="P436" s="61"/>
      <c r="Q436" s="62"/>
      <c r="R436" s="63"/>
      <c r="S436" s="63"/>
      <c r="T436" s="63"/>
      <c r="U436" s="63"/>
      <c r="V436" s="63"/>
      <c r="W436" s="63"/>
      <c r="X436" s="63"/>
      <c r="Y436" s="63"/>
      <c r="Z436" s="63"/>
      <c r="AA436" s="63"/>
      <c r="AB436" s="63"/>
      <c r="AC436" s="63"/>
    </row>
    <row r="437" spans="2:29">
      <c r="B437" s="71"/>
      <c r="C437" s="71"/>
      <c r="D437" s="71"/>
      <c r="E437" s="71"/>
      <c r="F437" s="71"/>
      <c r="G437" s="71"/>
      <c r="H437" s="71"/>
      <c r="I437" s="71"/>
      <c r="J437" s="71"/>
      <c r="K437" s="71"/>
      <c r="L437" s="71"/>
      <c r="M437" s="71"/>
      <c r="N437" s="71"/>
      <c r="O437" s="71"/>
      <c r="P437" s="61"/>
      <c r="Q437" s="62"/>
      <c r="R437" s="63"/>
      <c r="S437" s="63"/>
      <c r="T437" s="63"/>
      <c r="U437" s="63"/>
      <c r="V437" s="63"/>
      <c r="W437" s="63"/>
      <c r="X437" s="63"/>
      <c r="Y437" s="63"/>
      <c r="Z437" s="63"/>
      <c r="AA437" s="63"/>
      <c r="AB437" s="63"/>
      <c r="AC437" s="63"/>
    </row>
    <row r="438" spans="2:29">
      <c r="B438" s="71"/>
      <c r="C438" s="71"/>
      <c r="D438" s="71"/>
      <c r="E438" s="71"/>
      <c r="F438" s="71"/>
      <c r="G438" s="71"/>
      <c r="H438" s="71"/>
      <c r="I438" s="71"/>
      <c r="J438" s="71"/>
      <c r="K438" s="71"/>
      <c r="L438" s="71"/>
      <c r="M438" s="71"/>
      <c r="N438" s="71"/>
      <c r="O438" s="71"/>
      <c r="P438" s="61"/>
      <c r="Q438" s="62"/>
      <c r="R438" s="63"/>
      <c r="S438" s="63"/>
      <c r="T438" s="63"/>
      <c r="U438" s="63"/>
      <c r="V438" s="63"/>
      <c r="W438" s="63"/>
      <c r="X438" s="63"/>
      <c r="Y438" s="63"/>
      <c r="Z438" s="63"/>
      <c r="AA438" s="63"/>
      <c r="AB438" s="63"/>
      <c r="AC438" s="63"/>
    </row>
    <row r="439" spans="2:29">
      <c r="B439" s="71"/>
      <c r="C439" s="71"/>
      <c r="D439" s="71"/>
      <c r="E439" s="71"/>
      <c r="F439" s="71"/>
      <c r="G439" s="71"/>
      <c r="H439" s="71"/>
      <c r="I439" s="71"/>
      <c r="J439" s="71"/>
      <c r="K439" s="71"/>
      <c r="L439" s="71"/>
      <c r="M439" s="71"/>
      <c r="N439" s="71"/>
      <c r="O439" s="71"/>
      <c r="P439" s="61"/>
      <c r="Q439" s="62"/>
      <c r="R439" s="63"/>
      <c r="S439" s="63"/>
      <c r="T439" s="63"/>
      <c r="U439" s="63"/>
      <c r="V439" s="63"/>
      <c r="W439" s="63"/>
      <c r="X439" s="63"/>
      <c r="Y439" s="63"/>
      <c r="Z439" s="63"/>
      <c r="AA439" s="63"/>
      <c r="AB439" s="63"/>
      <c r="AC439" s="63"/>
    </row>
    <row r="440" spans="2:29">
      <c r="B440" s="71"/>
      <c r="C440" s="71"/>
      <c r="D440" s="71"/>
      <c r="E440" s="71"/>
      <c r="F440" s="71"/>
      <c r="G440" s="71"/>
      <c r="H440" s="71"/>
      <c r="I440" s="71"/>
      <c r="J440" s="71"/>
      <c r="K440" s="71"/>
      <c r="L440" s="71"/>
      <c r="M440" s="71"/>
      <c r="N440" s="71"/>
      <c r="O440" s="71"/>
      <c r="P440" s="61"/>
      <c r="Q440" s="62"/>
      <c r="R440" s="63"/>
      <c r="S440" s="63"/>
      <c r="T440" s="63"/>
      <c r="U440" s="63"/>
      <c r="V440" s="63"/>
      <c r="W440" s="63"/>
      <c r="X440" s="63"/>
      <c r="Y440" s="63"/>
      <c r="Z440" s="63"/>
      <c r="AA440" s="63"/>
      <c r="AB440" s="63"/>
      <c r="AC440" s="63"/>
    </row>
    <row r="441" spans="2:29">
      <c r="B441" s="71"/>
      <c r="C441" s="71"/>
      <c r="D441" s="71"/>
      <c r="E441" s="71"/>
      <c r="F441" s="71"/>
      <c r="G441" s="71"/>
      <c r="H441" s="71"/>
      <c r="I441" s="71"/>
      <c r="J441" s="71"/>
      <c r="K441" s="71"/>
      <c r="L441" s="71"/>
      <c r="M441" s="71"/>
      <c r="N441" s="71"/>
      <c r="O441" s="71"/>
      <c r="P441" s="61"/>
      <c r="Q441" s="62"/>
      <c r="R441" s="63"/>
      <c r="S441" s="63"/>
      <c r="T441" s="63"/>
      <c r="U441" s="63"/>
      <c r="V441" s="63"/>
      <c r="W441" s="63"/>
      <c r="X441" s="63"/>
      <c r="Y441" s="63"/>
      <c r="Z441" s="63"/>
      <c r="AA441" s="63"/>
      <c r="AB441" s="63"/>
      <c r="AC441" s="63"/>
    </row>
    <row r="442" spans="2:29">
      <c r="B442" s="71"/>
      <c r="C442" s="71"/>
      <c r="D442" s="71"/>
      <c r="E442" s="71"/>
      <c r="F442" s="71"/>
      <c r="G442" s="71"/>
      <c r="H442" s="71"/>
      <c r="I442" s="71"/>
      <c r="J442" s="71"/>
      <c r="K442" s="71"/>
      <c r="L442" s="71"/>
      <c r="M442" s="71"/>
      <c r="N442" s="71"/>
      <c r="O442" s="71"/>
      <c r="P442" s="61"/>
      <c r="Q442" s="62"/>
      <c r="R442" s="63"/>
      <c r="S442" s="63"/>
      <c r="T442" s="63"/>
      <c r="U442" s="63"/>
      <c r="V442" s="63"/>
      <c r="W442" s="63"/>
      <c r="X442" s="63"/>
      <c r="Y442" s="63"/>
      <c r="Z442" s="63"/>
      <c r="AA442" s="63"/>
      <c r="AB442" s="63"/>
      <c r="AC442" s="63"/>
    </row>
    <row r="443" spans="2:29">
      <c r="B443" s="71"/>
      <c r="C443" s="71"/>
      <c r="D443" s="71"/>
      <c r="E443" s="71"/>
      <c r="F443" s="71"/>
      <c r="G443" s="71"/>
      <c r="H443" s="71"/>
      <c r="I443" s="71"/>
      <c r="J443" s="71"/>
      <c r="K443" s="71"/>
      <c r="L443" s="71"/>
      <c r="M443" s="71"/>
      <c r="N443" s="71"/>
      <c r="O443" s="71"/>
      <c r="P443" s="61"/>
      <c r="Q443" s="62"/>
      <c r="R443" s="63"/>
      <c r="S443" s="63"/>
      <c r="T443" s="63"/>
      <c r="U443" s="63"/>
      <c r="V443" s="63"/>
      <c r="W443" s="63"/>
      <c r="X443" s="63"/>
      <c r="Y443" s="63"/>
      <c r="Z443" s="63"/>
      <c r="AA443" s="63"/>
      <c r="AB443" s="63"/>
      <c r="AC443" s="63"/>
    </row>
    <row r="444" spans="2:29">
      <c r="B444" s="71"/>
      <c r="C444" s="71"/>
      <c r="D444" s="71"/>
      <c r="E444" s="71"/>
      <c r="F444" s="71"/>
      <c r="G444" s="71"/>
      <c r="H444" s="71"/>
      <c r="I444" s="71"/>
      <c r="J444" s="71"/>
      <c r="K444" s="71"/>
      <c r="L444" s="71"/>
      <c r="M444" s="71"/>
      <c r="N444" s="71"/>
      <c r="O444" s="71"/>
      <c r="P444" s="61"/>
      <c r="Q444" s="62"/>
      <c r="R444" s="63"/>
      <c r="S444" s="63"/>
      <c r="T444" s="63"/>
      <c r="U444" s="63"/>
      <c r="V444" s="63"/>
      <c r="W444" s="63"/>
      <c r="X444" s="63"/>
      <c r="Y444" s="63"/>
      <c r="Z444" s="63"/>
      <c r="AA444" s="63"/>
      <c r="AB444" s="63"/>
      <c r="AC444" s="63"/>
    </row>
    <row r="445" spans="2:29">
      <c r="B445" s="71"/>
      <c r="C445" s="71"/>
      <c r="D445" s="71"/>
      <c r="E445" s="71"/>
      <c r="F445" s="71"/>
      <c r="G445" s="71"/>
      <c r="H445" s="71"/>
      <c r="I445" s="71"/>
      <c r="J445" s="71"/>
      <c r="K445" s="71"/>
      <c r="L445" s="71"/>
      <c r="M445" s="71"/>
      <c r="N445" s="71"/>
      <c r="O445" s="71"/>
      <c r="P445" s="61"/>
      <c r="Q445" s="62"/>
      <c r="R445" s="63"/>
      <c r="S445" s="63"/>
      <c r="T445" s="63"/>
      <c r="U445" s="63"/>
      <c r="V445" s="63"/>
      <c r="W445" s="63"/>
      <c r="X445" s="63"/>
      <c r="Y445" s="63"/>
      <c r="Z445" s="63"/>
      <c r="AA445" s="63"/>
      <c r="AB445" s="63"/>
      <c r="AC445" s="63"/>
    </row>
    <row r="446" spans="2:29">
      <c r="B446" s="71"/>
      <c r="C446" s="71"/>
      <c r="D446" s="71"/>
      <c r="E446" s="71"/>
      <c r="F446" s="71"/>
      <c r="G446" s="71"/>
      <c r="H446" s="71"/>
      <c r="I446" s="71"/>
      <c r="J446" s="71"/>
      <c r="K446" s="71"/>
      <c r="L446" s="71"/>
      <c r="M446" s="71"/>
      <c r="N446" s="71"/>
      <c r="O446" s="71"/>
      <c r="P446" s="61"/>
      <c r="Q446" s="62"/>
      <c r="R446" s="63"/>
      <c r="S446" s="63"/>
      <c r="T446" s="63"/>
      <c r="U446" s="63"/>
      <c r="V446" s="63"/>
      <c r="W446" s="63"/>
      <c r="X446" s="63"/>
      <c r="Y446" s="63"/>
      <c r="Z446" s="63"/>
      <c r="AA446" s="63"/>
      <c r="AB446" s="63"/>
      <c r="AC446" s="63"/>
    </row>
    <row r="447" spans="2:29">
      <c r="B447" s="71"/>
      <c r="C447" s="71"/>
      <c r="D447" s="71"/>
      <c r="E447" s="71"/>
      <c r="F447" s="71"/>
      <c r="G447" s="71"/>
      <c r="H447" s="71"/>
      <c r="I447" s="71"/>
      <c r="J447" s="71"/>
      <c r="K447" s="71"/>
      <c r="L447" s="71"/>
      <c r="M447" s="71"/>
      <c r="N447" s="71"/>
      <c r="O447" s="71"/>
      <c r="P447" s="61"/>
      <c r="Q447" s="62"/>
      <c r="R447" s="63"/>
      <c r="S447" s="63"/>
      <c r="T447" s="63"/>
      <c r="U447" s="63"/>
      <c r="V447" s="63"/>
      <c r="W447" s="63"/>
      <c r="X447" s="63"/>
      <c r="Y447" s="63"/>
      <c r="Z447" s="63"/>
      <c r="AA447" s="63"/>
      <c r="AB447" s="63"/>
      <c r="AC447" s="63"/>
    </row>
    <row r="448" spans="2:29">
      <c r="B448" s="71"/>
      <c r="C448" s="71"/>
      <c r="D448" s="71"/>
      <c r="E448" s="71"/>
      <c r="F448" s="71"/>
      <c r="G448" s="71"/>
      <c r="H448" s="71"/>
      <c r="I448" s="71"/>
      <c r="J448" s="71"/>
      <c r="K448" s="71"/>
      <c r="L448" s="71"/>
      <c r="M448" s="71"/>
      <c r="N448" s="71"/>
      <c r="O448" s="71"/>
      <c r="P448" s="61"/>
      <c r="Q448" s="62"/>
      <c r="R448" s="63"/>
      <c r="S448" s="63"/>
      <c r="T448" s="63"/>
      <c r="U448" s="63"/>
      <c r="V448" s="63"/>
      <c r="W448" s="63"/>
      <c r="X448" s="63"/>
      <c r="Y448" s="63"/>
      <c r="Z448" s="63"/>
      <c r="AA448" s="63"/>
      <c r="AB448" s="63"/>
      <c r="AC448" s="63"/>
    </row>
    <row r="449" spans="2:29">
      <c r="B449" s="71"/>
      <c r="C449" s="71"/>
      <c r="D449" s="71"/>
      <c r="E449" s="71"/>
      <c r="F449" s="71"/>
      <c r="G449" s="71"/>
      <c r="H449" s="71"/>
      <c r="I449" s="71"/>
      <c r="J449" s="71"/>
      <c r="K449" s="71"/>
      <c r="L449" s="71"/>
      <c r="M449" s="71"/>
      <c r="N449" s="71"/>
      <c r="O449" s="71"/>
      <c r="P449" s="61"/>
      <c r="Q449" s="62"/>
      <c r="R449" s="63"/>
      <c r="S449" s="63"/>
      <c r="T449" s="63"/>
      <c r="U449" s="63"/>
      <c r="V449" s="63"/>
      <c r="W449" s="63"/>
      <c r="X449" s="63"/>
      <c r="Y449" s="63"/>
      <c r="Z449" s="63"/>
      <c r="AA449" s="63"/>
      <c r="AB449" s="63"/>
      <c r="AC449" s="63"/>
    </row>
    <row r="450" spans="2:29">
      <c r="B450" s="71"/>
      <c r="C450" s="71"/>
      <c r="D450" s="71"/>
      <c r="E450" s="71"/>
      <c r="F450" s="71"/>
      <c r="G450" s="71"/>
      <c r="H450" s="71"/>
      <c r="I450" s="71"/>
      <c r="J450" s="71"/>
      <c r="K450" s="71"/>
      <c r="L450" s="71"/>
      <c r="M450" s="71"/>
      <c r="N450" s="71"/>
      <c r="O450" s="71"/>
      <c r="P450" s="61"/>
      <c r="Q450" s="62"/>
      <c r="R450" s="63"/>
      <c r="S450" s="63"/>
      <c r="T450" s="63"/>
      <c r="U450" s="63"/>
      <c r="V450" s="63"/>
      <c r="W450" s="63"/>
      <c r="X450" s="63"/>
      <c r="Y450" s="63"/>
      <c r="Z450" s="63"/>
      <c r="AA450" s="63"/>
      <c r="AB450" s="63"/>
      <c r="AC450" s="63"/>
    </row>
    <row r="451" spans="2:29">
      <c r="B451" s="71"/>
      <c r="C451" s="71"/>
      <c r="D451" s="71"/>
      <c r="E451" s="71"/>
      <c r="F451" s="71"/>
      <c r="G451" s="71"/>
      <c r="H451" s="71"/>
      <c r="I451" s="71"/>
      <c r="J451" s="71"/>
      <c r="K451" s="71"/>
      <c r="L451" s="71"/>
      <c r="M451" s="71"/>
      <c r="N451" s="71"/>
      <c r="O451" s="71"/>
      <c r="P451" s="61"/>
      <c r="Q451" s="62"/>
      <c r="R451" s="63"/>
      <c r="S451" s="63"/>
      <c r="T451" s="63"/>
      <c r="U451" s="63"/>
      <c r="V451" s="63"/>
      <c r="W451" s="63"/>
      <c r="X451" s="63"/>
      <c r="Y451" s="63"/>
      <c r="Z451" s="63"/>
      <c r="AA451" s="63"/>
      <c r="AB451" s="63"/>
      <c r="AC451" s="63"/>
    </row>
    <row r="452" spans="2:29">
      <c r="B452" s="71"/>
      <c r="C452" s="71"/>
      <c r="D452" s="71"/>
      <c r="E452" s="71"/>
      <c r="F452" s="71"/>
      <c r="G452" s="71"/>
      <c r="H452" s="71"/>
      <c r="I452" s="71"/>
      <c r="J452" s="71"/>
      <c r="K452" s="71"/>
      <c r="L452" s="71"/>
      <c r="M452" s="71"/>
      <c r="N452" s="71"/>
      <c r="O452" s="71"/>
      <c r="P452" s="61"/>
      <c r="Q452" s="62"/>
      <c r="R452" s="63"/>
      <c r="S452" s="63"/>
      <c r="T452" s="63"/>
      <c r="U452" s="63"/>
      <c r="V452" s="63"/>
      <c r="W452" s="63"/>
      <c r="X452" s="63"/>
      <c r="Y452" s="63"/>
      <c r="Z452" s="63"/>
      <c r="AA452" s="63"/>
      <c r="AB452" s="63"/>
      <c r="AC452" s="63"/>
    </row>
    <row r="453" spans="2:29">
      <c r="B453" s="71"/>
      <c r="C453" s="71"/>
      <c r="D453" s="71"/>
      <c r="E453" s="71"/>
      <c r="F453" s="71"/>
      <c r="G453" s="71"/>
      <c r="H453" s="71"/>
      <c r="I453" s="71"/>
      <c r="J453" s="71"/>
      <c r="K453" s="71"/>
      <c r="L453" s="71"/>
      <c r="M453" s="71"/>
      <c r="N453" s="71"/>
      <c r="O453" s="71"/>
      <c r="P453" s="61"/>
      <c r="Q453" s="62"/>
      <c r="R453" s="63"/>
      <c r="S453" s="63"/>
      <c r="T453" s="63"/>
      <c r="U453" s="63"/>
      <c r="V453" s="63"/>
      <c r="W453" s="63"/>
      <c r="X453" s="63"/>
      <c r="Y453" s="63"/>
      <c r="Z453" s="63"/>
      <c r="AA453" s="63"/>
      <c r="AB453" s="63"/>
      <c r="AC453" s="63"/>
    </row>
    <row r="454" spans="2:29">
      <c r="B454" s="71"/>
      <c r="C454" s="71"/>
      <c r="D454" s="71"/>
      <c r="E454" s="71"/>
      <c r="F454" s="71"/>
      <c r="G454" s="71"/>
      <c r="H454" s="71"/>
      <c r="I454" s="71"/>
      <c r="J454" s="71"/>
      <c r="K454" s="71"/>
      <c r="L454" s="71"/>
      <c r="M454" s="71"/>
      <c r="N454" s="71"/>
      <c r="O454" s="71"/>
      <c r="P454" s="61"/>
      <c r="Q454" s="62"/>
      <c r="R454" s="63"/>
      <c r="S454" s="63"/>
      <c r="T454" s="63"/>
      <c r="U454" s="63"/>
      <c r="V454" s="63"/>
      <c r="W454" s="63"/>
      <c r="X454" s="63"/>
      <c r="Y454" s="63"/>
      <c r="Z454" s="63"/>
      <c r="AA454" s="63"/>
      <c r="AB454" s="63"/>
      <c r="AC454" s="63"/>
    </row>
    <row r="455" spans="2:29">
      <c r="B455" s="71"/>
      <c r="C455" s="71"/>
      <c r="D455" s="71"/>
      <c r="E455" s="71"/>
      <c r="F455" s="71"/>
      <c r="G455" s="71"/>
      <c r="H455" s="71"/>
      <c r="I455" s="71"/>
      <c r="J455" s="71"/>
      <c r="K455" s="71"/>
      <c r="L455" s="71"/>
      <c r="M455" s="71"/>
      <c r="N455" s="71"/>
      <c r="O455" s="71"/>
      <c r="P455" s="61"/>
      <c r="Q455" s="62"/>
      <c r="R455" s="63"/>
      <c r="S455" s="63"/>
      <c r="T455" s="63"/>
      <c r="U455" s="63"/>
      <c r="V455" s="63"/>
      <c r="W455" s="63"/>
      <c r="X455" s="63"/>
      <c r="Y455" s="63"/>
      <c r="Z455" s="63"/>
      <c r="AA455" s="63"/>
      <c r="AB455" s="63"/>
      <c r="AC455" s="63"/>
    </row>
    <row r="456" spans="2:29">
      <c r="B456" s="71"/>
      <c r="C456" s="71"/>
      <c r="D456" s="71"/>
      <c r="E456" s="71"/>
      <c r="F456" s="71"/>
      <c r="G456" s="71"/>
      <c r="H456" s="71"/>
      <c r="I456" s="71"/>
      <c r="J456" s="71"/>
      <c r="K456" s="71"/>
      <c r="L456" s="71"/>
      <c r="M456" s="71"/>
      <c r="N456" s="71"/>
      <c r="O456" s="71"/>
      <c r="P456" s="61"/>
      <c r="Q456" s="62"/>
      <c r="R456" s="63"/>
      <c r="S456" s="63"/>
      <c r="T456" s="63"/>
      <c r="U456" s="63"/>
      <c r="V456" s="63"/>
      <c r="W456" s="63"/>
      <c r="X456" s="63"/>
      <c r="Y456" s="63"/>
      <c r="Z456" s="63"/>
      <c r="AA456" s="63"/>
      <c r="AB456" s="63"/>
      <c r="AC456" s="63"/>
    </row>
    <row r="457" spans="2:29">
      <c r="B457" s="71"/>
      <c r="C457" s="71"/>
      <c r="D457" s="71"/>
      <c r="E457" s="71"/>
      <c r="F457" s="71"/>
      <c r="G457" s="71"/>
      <c r="H457" s="71"/>
      <c r="I457" s="71"/>
      <c r="J457" s="71"/>
      <c r="K457" s="71"/>
      <c r="L457" s="71"/>
      <c r="M457" s="71"/>
      <c r="N457" s="71"/>
      <c r="O457" s="71"/>
      <c r="P457" s="61"/>
      <c r="Q457" s="62"/>
      <c r="R457" s="63"/>
      <c r="S457" s="63"/>
      <c r="T457" s="63"/>
      <c r="U457" s="63"/>
      <c r="V457" s="63"/>
      <c r="W457" s="63"/>
      <c r="X457" s="63"/>
      <c r="Y457" s="63"/>
      <c r="Z457" s="63"/>
      <c r="AA457" s="63"/>
      <c r="AB457" s="63"/>
      <c r="AC457" s="63"/>
    </row>
    <row r="458" spans="2:29">
      <c r="B458" s="71"/>
      <c r="C458" s="71"/>
      <c r="D458" s="71"/>
      <c r="E458" s="71"/>
      <c r="F458" s="71"/>
      <c r="G458" s="71"/>
      <c r="H458" s="71"/>
      <c r="I458" s="71"/>
      <c r="J458" s="71"/>
      <c r="K458" s="71"/>
      <c r="L458" s="71"/>
      <c r="M458" s="71"/>
      <c r="N458" s="71"/>
      <c r="O458" s="71"/>
      <c r="P458" s="61"/>
      <c r="Q458" s="62"/>
      <c r="R458" s="63"/>
      <c r="S458" s="63"/>
      <c r="T458" s="63"/>
      <c r="U458" s="63"/>
      <c r="V458" s="63"/>
      <c r="W458" s="63"/>
      <c r="X458" s="63"/>
      <c r="Y458" s="63"/>
      <c r="Z458" s="63"/>
      <c r="AA458" s="63"/>
      <c r="AB458" s="63"/>
      <c r="AC458" s="63"/>
    </row>
    <row r="459" spans="2:29">
      <c r="B459" s="71"/>
      <c r="C459" s="71"/>
      <c r="D459" s="71"/>
      <c r="E459" s="71"/>
      <c r="F459" s="71"/>
      <c r="G459" s="71"/>
      <c r="H459" s="71"/>
      <c r="I459" s="71"/>
      <c r="J459" s="71"/>
      <c r="K459" s="71"/>
      <c r="L459" s="71"/>
      <c r="M459" s="71"/>
      <c r="N459" s="71"/>
      <c r="O459" s="71"/>
      <c r="P459" s="61"/>
      <c r="Q459" s="62"/>
      <c r="R459" s="63"/>
      <c r="S459" s="63"/>
      <c r="T459" s="63"/>
      <c r="U459" s="63"/>
      <c r="V459" s="63"/>
      <c r="W459" s="63"/>
      <c r="X459" s="63"/>
      <c r="Y459" s="63"/>
      <c r="Z459" s="63"/>
      <c r="AA459" s="63"/>
      <c r="AB459" s="63"/>
      <c r="AC459" s="63"/>
    </row>
    <row r="460" spans="2:29">
      <c r="B460" s="71"/>
      <c r="C460" s="71"/>
      <c r="D460" s="71"/>
      <c r="E460" s="71"/>
      <c r="F460" s="71"/>
      <c r="G460" s="71"/>
      <c r="H460" s="71"/>
      <c r="I460" s="71"/>
      <c r="J460" s="71"/>
      <c r="K460" s="71"/>
      <c r="L460" s="71"/>
      <c r="M460" s="71"/>
      <c r="N460" s="71"/>
      <c r="O460" s="71"/>
      <c r="P460" s="61"/>
      <c r="Q460" s="62"/>
      <c r="R460" s="63"/>
      <c r="S460" s="63"/>
      <c r="T460" s="63"/>
      <c r="U460" s="63"/>
      <c r="V460" s="63"/>
      <c r="W460" s="63"/>
      <c r="X460" s="63"/>
      <c r="Y460" s="63"/>
      <c r="Z460" s="63"/>
      <c r="AA460" s="63"/>
      <c r="AB460" s="63"/>
      <c r="AC460" s="63"/>
    </row>
    <row r="461" spans="2:29">
      <c r="B461" s="71"/>
      <c r="C461" s="71"/>
      <c r="D461" s="71"/>
      <c r="E461" s="71"/>
      <c r="F461" s="71"/>
      <c r="G461" s="71"/>
      <c r="H461" s="71"/>
      <c r="I461" s="71"/>
      <c r="J461" s="71"/>
      <c r="K461" s="71"/>
      <c r="L461" s="71"/>
      <c r="M461" s="71"/>
      <c r="N461" s="71"/>
      <c r="O461" s="71"/>
      <c r="P461" s="61"/>
      <c r="Q461" s="62"/>
      <c r="R461" s="63"/>
      <c r="S461" s="63"/>
      <c r="T461" s="63"/>
      <c r="U461" s="63"/>
      <c r="V461" s="63"/>
      <c r="W461" s="63"/>
      <c r="X461" s="63"/>
      <c r="Y461" s="63"/>
      <c r="Z461" s="63"/>
      <c r="AA461" s="63"/>
      <c r="AB461" s="63"/>
      <c r="AC461" s="63"/>
    </row>
    <row r="462" spans="2:29">
      <c r="B462" s="71"/>
      <c r="C462" s="71"/>
      <c r="D462" s="71"/>
      <c r="E462" s="71"/>
      <c r="F462" s="71"/>
      <c r="G462" s="71"/>
      <c r="H462" s="71"/>
      <c r="I462" s="71"/>
      <c r="J462" s="71"/>
      <c r="K462" s="71"/>
      <c r="L462" s="71"/>
      <c r="M462" s="71"/>
      <c r="N462" s="71"/>
      <c r="O462" s="71"/>
      <c r="P462" s="61"/>
      <c r="Q462" s="62"/>
      <c r="R462" s="63"/>
      <c r="S462" s="63"/>
      <c r="T462" s="63"/>
      <c r="U462" s="63"/>
      <c r="V462" s="63"/>
      <c r="W462" s="63"/>
      <c r="X462" s="63"/>
      <c r="Y462" s="63"/>
      <c r="Z462" s="63"/>
      <c r="AA462" s="63"/>
      <c r="AB462" s="63"/>
      <c r="AC462" s="63"/>
    </row>
    <row r="463" spans="2:29">
      <c r="B463" s="71"/>
      <c r="C463" s="71"/>
      <c r="D463" s="71"/>
      <c r="E463" s="71"/>
      <c r="F463" s="71"/>
      <c r="G463" s="71"/>
      <c r="H463" s="71"/>
      <c r="I463" s="71"/>
      <c r="J463" s="71"/>
      <c r="K463" s="71"/>
      <c r="L463" s="71"/>
      <c r="M463" s="71"/>
      <c r="N463" s="71"/>
      <c r="O463" s="71"/>
      <c r="P463" s="61"/>
      <c r="Q463" s="62"/>
      <c r="R463" s="63"/>
      <c r="S463" s="63"/>
      <c r="T463" s="63"/>
      <c r="U463" s="63"/>
      <c r="V463" s="63"/>
      <c r="W463" s="63"/>
      <c r="X463" s="63"/>
      <c r="Y463" s="63"/>
      <c r="Z463" s="63"/>
      <c r="AA463" s="63"/>
      <c r="AB463" s="63"/>
      <c r="AC463" s="63"/>
    </row>
    <row r="464" spans="2:29">
      <c r="B464" s="71"/>
      <c r="C464" s="71"/>
      <c r="D464" s="71"/>
      <c r="E464" s="71"/>
      <c r="F464" s="71"/>
      <c r="G464" s="71"/>
      <c r="H464" s="71"/>
      <c r="I464" s="71"/>
      <c r="J464" s="71"/>
      <c r="K464" s="71"/>
      <c r="L464" s="71"/>
      <c r="M464" s="71"/>
      <c r="N464" s="71"/>
      <c r="O464" s="71"/>
      <c r="P464" s="61"/>
      <c r="Q464" s="62"/>
      <c r="R464" s="63"/>
      <c r="S464" s="63"/>
      <c r="T464" s="63"/>
      <c r="U464" s="63"/>
      <c r="V464" s="63"/>
      <c r="W464" s="63"/>
      <c r="X464" s="63"/>
      <c r="Y464" s="63"/>
      <c r="Z464" s="63"/>
      <c r="AA464" s="63"/>
      <c r="AB464" s="63"/>
      <c r="AC464" s="63"/>
    </row>
    <row r="465" spans="2:29">
      <c r="B465" s="71"/>
      <c r="C465" s="71"/>
      <c r="D465" s="71"/>
      <c r="E465" s="71"/>
      <c r="F465" s="71"/>
      <c r="G465" s="71"/>
      <c r="H465" s="71"/>
      <c r="I465" s="71"/>
      <c r="J465" s="71"/>
      <c r="K465" s="71"/>
      <c r="L465" s="71"/>
      <c r="M465" s="71"/>
      <c r="N465" s="71"/>
      <c r="O465" s="71"/>
      <c r="P465" s="61"/>
      <c r="Q465" s="62"/>
      <c r="R465" s="63"/>
      <c r="S465" s="63"/>
      <c r="T465" s="63"/>
      <c r="U465" s="63"/>
      <c r="V465" s="63"/>
      <c r="W465" s="63"/>
      <c r="X465" s="63"/>
      <c r="Y465" s="63"/>
      <c r="Z465" s="63"/>
      <c r="AA465" s="63"/>
      <c r="AB465" s="63"/>
      <c r="AC465" s="63"/>
    </row>
    <row r="466" spans="2:29">
      <c r="B466" s="71"/>
      <c r="C466" s="71"/>
      <c r="D466" s="71"/>
      <c r="E466" s="71"/>
      <c r="F466" s="71"/>
      <c r="G466" s="71"/>
      <c r="H466" s="71"/>
      <c r="I466" s="71"/>
      <c r="J466" s="71"/>
      <c r="K466" s="71"/>
      <c r="L466" s="71"/>
      <c r="M466" s="71"/>
      <c r="N466" s="71"/>
      <c r="O466" s="71"/>
      <c r="P466" s="61"/>
      <c r="Q466" s="62"/>
      <c r="R466" s="63"/>
      <c r="S466" s="63"/>
      <c r="T466" s="63"/>
      <c r="U466" s="63"/>
      <c r="V466" s="63"/>
      <c r="W466" s="63"/>
      <c r="X466" s="63"/>
      <c r="Y466" s="63"/>
      <c r="Z466" s="63"/>
      <c r="AA466" s="63"/>
      <c r="AB466" s="63"/>
      <c r="AC466" s="63"/>
    </row>
    <row r="467" spans="2:29">
      <c r="B467" s="71"/>
      <c r="C467" s="71"/>
      <c r="D467" s="71"/>
      <c r="E467" s="71"/>
      <c r="F467" s="71"/>
      <c r="G467" s="71"/>
      <c r="H467" s="71"/>
      <c r="I467" s="71"/>
      <c r="J467" s="71"/>
      <c r="K467" s="71"/>
      <c r="L467" s="71"/>
      <c r="M467" s="71"/>
      <c r="N467" s="71"/>
      <c r="O467" s="71"/>
      <c r="P467" s="61"/>
      <c r="Q467" s="62"/>
      <c r="R467" s="63"/>
      <c r="S467" s="63"/>
      <c r="T467" s="63"/>
      <c r="U467" s="63"/>
      <c r="V467" s="63"/>
      <c r="W467" s="63"/>
      <c r="X467" s="63"/>
      <c r="Y467" s="63"/>
      <c r="Z467" s="63"/>
      <c r="AA467" s="63"/>
      <c r="AB467" s="63"/>
      <c r="AC467" s="63"/>
    </row>
    <row r="468" spans="2:29">
      <c r="B468" s="71"/>
      <c r="C468" s="71"/>
      <c r="D468" s="71"/>
      <c r="E468" s="71"/>
      <c r="F468" s="71"/>
      <c r="G468" s="71"/>
      <c r="H468" s="71"/>
      <c r="I468" s="71"/>
      <c r="J468" s="71"/>
      <c r="K468" s="71"/>
      <c r="L468" s="71"/>
      <c r="M468" s="71"/>
      <c r="N468" s="71"/>
      <c r="O468" s="71"/>
      <c r="P468" s="61"/>
      <c r="Q468" s="62"/>
      <c r="R468" s="63"/>
      <c r="S468" s="63"/>
      <c r="T468" s="63"/>
      <c r="U468" s="63"/>
      <c r="V468" s="63"/>
      <c r="W468" s="63"/>
      <c r="X468" s="63"/>
      <c r="Y468" s="63"/>
      <c r="Z468" s="63"/>
      <c r="AA468" s="63"/>
      <c r="AB468" s="63"/>
      <c r="AC468" s="63"/>
    </row>
    <row r="469" spans="2:29">
      <c r="B469" s="71"/>
      <c r="C469" s="71"/>
      <c r="D469" s="71"/>
      <c r="E469" s="71"/>
      <c r="F469" s="71"/>
      <c r="G469" s="71"/>
      <c r="H469" s="71"/>
      <c r="I469" s="71"/>
      <c r="J469" s="71"/>
      <c r="K469" s="71"/>
      <c r="L469" s="71"/>
      <c r="M469" s="71"/>
      <c r="N469" s="71"/>
      <c r="O469" s="71"/>
      <c r="P469" s="61"/>
      <c r="Q469" s="62"/>
      <c r="R469" s="63"/>
      <c r="S469" s="63"/>
      <c r="T469" s="63"/>
      <c r="U469" s="63"/>
      <c r="V469" s="63"/>
      <c r="W469" s="63"/>
      <c r="X469" s="63"/>
      <c r="Y469" s="63"/>
      <c r="Z469" s="63"/>
      <c r="AA469" s="63"/>
      <c r="AB469" s="63"/>
      <c r="AC469" s="63"/>
    </row>
    <row r="470" spans="2:29">
      <c r="B470" s="71"/>
      <c r="C470" s="71"/>
      <c r="D470" s="71"/>
      <c r="E470" s="71"/>
      <c r="F470" s="71"/>
      <c r="G470" s="71"/>
      <c r="H470" s="71"/>
      <c r="I470" s="71"/>
      <c r="J470" s="71"/>
      <c r="K470" s="71"/>
      <c r="L470" s="71"/>
      <c r="M470" s="71"/>
      <c r="N470" s="71"/>
      <c r="O470" s="71"/>
      <c r="P470" s="61"/>
      <c r="Q470" s="62"/>
      <c r="R470" s="63"/>
      <c r="S470" s="63"/>
      <c r="T470" s="63"/>
      <c r="U470" s="63"/>
      <c r="V470" s="63"/>
      <c r="W470" s="63"/>
      <c r="X470" s="63"/>
      <c r="Y470" s="63"/>
      <c r="Z470" s="63"/>
      <c r="AA470" s="63"/>
      <c r="AB470" s="63"/>
      <c r="AC470" s="63"/>
    </row>
    <row r="471" spans="2:29">
      <c r="B471" s="71"/>
      <c r="C471" s="71"/>
      <c r="D471" s="71"/>
      <c r="E471" s="71"/>
      <c r="F471" s="71"/>
      <c r="G471" s="71"/>
      <c r="H471" s="71"/>
      <c r="I471" s="71"/>
      <c r="J471" s="71"/>
      <c r="K471" s="71"/>
      <c r="L471" s="71"/>
      <c r="M471" s="71"/>
      <c r="N471" s="71"/>
      <c r="O471" s="71"/>
      <c r="P471" s="61"/>
      <c r="Q471" s="62"/>
      <c r="R471" s="63"/>
      <c r="S471" s="63"/>
      <c r="T471" s="63"/>
      <c r="U471" s="63"/>
      <c r="V471" s="63"/>
      <c r="W471" s="63"/>
      <c r="X471" s="63"/>
      <c r="Y471" s="63"/>
      <c r="Z471" s="63"/>
      <c r="AA471" s="63"/>
      <c r="AB471" s="63"/>
      <c r="AC471" s="63"/>
    </row>
    <row r="472" spans="2:29">
      <c r="B472" s="71"/>
      <c r="C472" s="71"/>
      <c r="D472" s="71"/>
      <c r="E472" s="71"/>
      <c r="F472" s="71"/>
      <c r="G472" s="71"/>
      <c r="H472" s="71"/>
      <c r="I472" s="71"/>
      <c r="J472" s="71"/>
      <c r="K472" s="71"/>
      <c r="L472" s="71"/>
      <c r="M472" s="71"/>
      <c r="N472" s="71"/>
      <c r="O472" s="71"/>
      <c r="P472" s="61"/>
      <c r="Q472" s="62"/>
      <c r="R472" s="63"/>
      <c r="S472" s="63"/>
      <c r="T472" s="63"/>
      <c r="U472" s="63"/>
      <c r="V472" s="63"/>
      <c r="W472" s="63"/>
      <c r="X472" s="63"/>
      <c r="Y472" s="63"/>
      <c r="Z472" s="63"/>
      <c r="AA472" s="63"/>
      <c r="AB472" s="63"/>
      <c r="AC472" s="63"/>
    </row>
    <row r="473" spans="2:29">
      <c r="B473" s="71"/>
      <c r="C473" s="71"/>
      <c r="D473" s="71"/>
      <c r="E473" s="71"/>
      <c r="F473" s="71"/>
      <c r="G473" s="71"/>
      <c r="H473" s="71"/>
      <c r="I473" s="71"/>
      <c r="J473" s="71"/>
      <c r="K473" s="71"/>
      <c r="L473" s="71"/>
      <c r="M473" s="71"/>
      <c r="N473" s="71"/>
      <c r="O473" s="71"/>
      <c r="P473" s="61"/>
      <c r="Q473" s="62"/>
      <c r="R473" s="63"/>
      <c r="S473" s="63"/>
      <c r="T473" s="63"/>
      <c r="U473" s="63"/>
      <c r="V473" s="63"/>
      <c r="W473" s="63"/>
      <c r="X473" s="63"/>
      <c r="Y473" s="63"/>
      <c r="Z473" s="63"/>
      <c r="AA473" s="63"/>
      <c r="AB473" s="63"/>
      <c r="AC473" s="63"/>
    </row>
    <row r="474" spans="2:29">
      <c r="B474" s="71"/>
      <c r="C474" s="71"/>
      <c r="D474" s="71"/>
      <c r="E474" s="71"/>
      <c r="F474" s="71"/>
      <c r="G474" s="71"/>
      <c r="H474" s="71"/>
      <c r="I474" s="71"/>
      <c r="J474" s="71"/>
      <c r="K474" s="71"/>
      <c r="L474" s="71"/>
      <c r="M474" s="71"/>
      <c r="N474" s="71"/>
      <c r="O474" s="71"/>
      <c r="P474" s="61"/>
      <c r="Q474" s="62"/>
      <c r="R474" s="63"/>
      <c r="S474" s="63"/>
      <c r="T474" s="63"/>
      <c r="U474" s="63"/>
      <c r="V474" s="63"/>
      <c r="W474" s="63"/>
      <c r="X474" s="63"/>
      <c r="Y474" s="63"/>
      <c r="Z474" s="63"/>
      <c r="AA474" s="63"/>
      <c r="AB474" s="63"/>
      <c r="AC474" s="63"/>
    </row>
    <row r="475" spans="2:29">
      <c r="B475" s="71"/>
      <c r="C475" s="71"/>
      <c r="D475" s="71"/>
      <c r="E475" s="71"/>
      <c r="F475" s="71"/>
      <c r="G475" s="71"/>
      <c r="H475" s="71"/>
      <c r="I475" s="71"/>
      <c r="J475" s="71"/>
      <c r="K475" s="71"/>
      <c r="L475" s="71"/>
      <c r="M475" s="71"/>
      <c r="N475" s="71"/>
      <c r="O475" s="71"/>
      <c r="P475" s="61"/>
      <c r="Q475" s="62"/>
      <c r="R475" s="63"/>
      <c r="S475" s="63"/>
      <c r="T475" s="63"/>
      <c r="U475" s="63"/>
      <c r="V475" s="63"/>
      <c r="W475" s="63"/>
      <c r="X475" s="63"/>
      <c r="Y475" s="63"/>
      <c r="Z475" s="63"/>
      <c r="AA475" s="63"/>
      <c r="AB475" s="63"/>
      <c r="AC475" s="63"/>
    </row>
    <row r="476" spans="2:29">
      <c r="B476" s="71"/>
      <c r="C476" s="71"/>
      <c r="D476" s="71"/>
      <c r="E476" s="71"/>
      <c r="F476" s="71"/>
      <c r="G476" s="71"/>
      <c r="H476" s="71"/>
      <c r="I476" s="71"/>
      <c r="J476" s="71"/>
      <c r="K476" s="71"/>
      <c r="L476" s="71"/>
      <c r="M476" s="71"/>
      <c r="N476" s="71"/>
      <c r="O476" s="71"/>
      <c r="P476" s="61"/>
      <c r="Q476" s="62"/>
      <c r="R476" s="63"/>
      <c r="S476" s="63"/>
      <c r="T476" s="63"/>
      <c r="U476" s="63"/>
      <c r="V476" s="63"/>
      <c r="W476" s="63"/>
      <c r="X476" s="63"/>
      <c r="Y476" s="63"/>
      <c r="Z476" s="63"/>
      <c r="AA476" s="63"/>
      <c r="AB476" s="63"/>
      <c r="AC476" s="63"/>
    </row>
    <row r="477" spans="2:29">
      <c r="B477" s="71"/>
      <c r="C477" s="71"/>
      <c r="D477" s="71"/>
      <c r="E477" s="71"/>
      <c r="F477" s="71"/>
      <c r="G477" s="71"/>
      <c r="H477" s="71"/>
      <c r="I477" s="71"/>
      <c r="J477" s="71"/>
      <c r="K477" s="71"/>
      <c r="L477" s="71"/>
      <c r="M477" s="71"/>
      <c r="N477" s="71"/>
      <c r="O477" s="71"/>
      <c r="P477" s="61"/>
      <c r="Q477" s="62"/>
      <c r="R477" s="63"/>
      <c r="S477" s="63"/>
      <c r="T477" s="63"/>
      <c r="U477" s="63"/>
      <c r="V477" s="63"/>
      <c r="W477" s="63"/>
      <c r="X477" s="63"/>
      <c r="Y477" s="63"/>
      <c r="Z477" s="63"/>
      <c r="AA477" s="63"/>
      <c r="AB477" s="63"/>
      <c r="AC477" s="63"/>
    </row>
    <row r="478" spans="2:29">
      <c r="B478" s="71"/>
      <c r="C478" s="71"/>
      <c r="D478" s="71"/>
      <c r="E478" s="71"/>
      <c r="F478" s="71"/>
      <c r="G478" s="71"/>
      <c r="H478" s="71"/>
      <c r="I478" s="71"/>
      <c r="J478" s="71"/>
      <c r="K478" s="71"/>
      <c r="L478" s="71"/>
      <c r="M478" s="71"/>
      <c r="N478" s="71"/>
      <c r="O478" s="71"/>
      <c r="P478" s="61"/>
      <c r="Q478" s="62"/>
      <c r="R478" s="63"/>
      <c r="S478" s="63"/>
      <c r="T478" s="63"/>
      <c r="U478" s="63"/>
      <c r="V478" s="63"/>
      <c r="W478" s="63"/>
      <c r="X478" s="63"/>
      <c r="Y478" s="63"/>
      <c r="Z478" s="63"/>
      <c r="AA478" s="63"/>
      <c r="AB478" s="63"/>
      <c r="AC478" s="63"/>
    </row>
    <row r="479" spans="2:29">
      <c r="B479" s="71"/>
      <c r="C479" s="71"/>
      <c r="D479" s="71"/>
      <c r="E479" s="71"/>
      <c r="F479" s="71"/>
      <c r="G479" s="71"/>
      <c r="H479" s="71"/>
      <c r="I479" s="71"/>
      <c r="J479" s="71"/>
      <c r="K479" s="71"/>
      <c r="L479" s="71"/>
      <c r="M479" s="71"/>
      <c r="N479" s="71"/>
      <c r="O479" s="71"/>
      <c r="P479" s="61"/>
      <c r="Q479" s="62"/>
      <c r="R479" s="63"/>
      <c r="S479" s="63"/>
      <c r="T479" s="63"/>
      <c r="U479" s="63"/>
      <c r="V479" s="63"/>
      <c r="W479" s="63"/>
      <c r="X479" s="63"/>
      <c r="Y479" s="63"/>
      <c r="Z479" s="63"/>
      <c r="AA479" s="63"/>
      <c r="AB479" s="63"/>
      <c r="AC479" s="63"/>
    </row>
    <row r="480" spans="2:29">
      <c r="B480" s="71"/>
      <c r="C480" s="71"/>
      <c r="D480" s="71"/>
      <c r="E480" s="71"/>
      <c r="F480" s="71"/>
      <c r="G480" s="71"/>
      <c r="H480" s="71"/>
      <c r="I480" s="71"/>
      <c r="J480" s="71"/>
      <c r="K480" s="71"/>
      <c r="L480" s="71"/>
      <c r="M480" s="71"/>
      <c r="N480" s="71"/>
      <c r="O480" s="71"/>
      <c r="P480" s="61"/>
      <c r="Q480" s="62"/>
      <c r="R480" s="63"/>
      <c r="S480" s="63"/>
      <c r="T480" s="63"/>
      <c r="U480" s="63"/>
      <c r="V480" s="63"/>
      <c r="W480" s="63"/>
      <c r="X480" s="63"/>
      <c r="Y480" s="63"/>
      <c r="Z480" s="63"/>
      <c r="AA480" s="63"/>
      <c r="AB480" s="63"/>
      <c r="AC480" s="63"/>
    </row>
    <row r="481" spans="2:29">
      <c r="B481" s="71"/>
      <c r="C481" s="71"/>
      <c r="D481" s="71"/>
      <c r="E481" s="71"/>
      <c r="F481" s="71"/>
      <c r="G481" s="71"/>
      <c r="H481" s="71"/>
      <c r="I481" s="71"/>
      <c r="J481" s="71"/>
      <c r="K481" s="71"/>
      <c r="L481" s="71"/>
      <c r="M481" s="71"/>
      <c r="N481" s="71"/>
      <c r="O481" s="71"/>
      <c r="P481" s="61"/>
      <c r="Q481" s="62"/>
      <c r="R481" s="63"/>
      <c r="S481" s="63"/>
      <c r="T481" s="63"/>
      <c r="U481" s="63"/>
      <c r="V481" s="63"/>
      <c r="W481" s="63"/>
      <c r="X481" s="63"/>
      <c r="Y481" s="63"/>
      <c r="Z481" s="63"/>
      <c r="AA481" s="63"/>
      <c r="AB481" s="63"/>
      <c r="AC481" s="63"/>
    </row>
    <row r="482" spans="2:29">
      <c r="B482" s="71"/>
      <c r="C482" s="71"/>
      <c r="D482" s="71"/>
      <c r="E482" s="71"/>
      <c r="F482" s="71"/>
      <c r="G482" s="71"/>
      <c r="H482" s="71"/>
      <c r="I482" s="71"/>
      <c r="J482" s="71"/>
      <c r="K482" s="71"/>
      <c r="L482" s="71"/>
      <c r="M482" s="71"/>
      <c r="N482" s="71"/>
      <c r="O482" s="71"/>
      <c r="P482" s="61"/>
      <c r="Q482" s="62"/>
      <c r="R482" s="63"/>
      <c r="S482" s="63"/>
      <c r="T482" s="63"/>
      <c r="U482" s="63"/>
      <c r="V482" s="63"/>
      <c r="W482" s="63"/>
      <c r="X482" s="63"/>
      <c r="Y482" s="63"/>
      <c r="Z482" s="63"/>
      <c r="AA482" s="63"/>
      <c r="AB482" s="63"/>
      <c r="AC482" s="63"/>
    </row>
    <row r="483" spans="2:29">
      <c r="B483" s="71"/>
      <c r="C483" s="71"/>
      <c r="D483" s="71"/>
      <c r="E483" s="71"/>
      <c r="F483" s="71"/>
      <c r="G483" s="71"/>
      <c r="H483" s="71"/>
      <c r="I483" s="71"/>
      <c r="J483" s="71"/>
      <c r="K483" s="71"/>
      <c r="L483" s="71"/>
      <c r="M483" s="71"/>
      <c r="N483" s="71"/>
      <c r="O483" s="71"/>
      <c r="P483" s="61"/>
      <c r="Q483" s="62"/>
      <c r="R483" s="63"/>
      <c r="S483" s="63"/>
      <c r="T483" s="63"/>
      <c r="U483" s="63"/>
      <c r="V483" s="63"/>
      <c r="W483" s="63"/>
      <c r="X483" s="63"/>
      <c r="Y483" s="63"/>
      <c r="Z483" s="63"/>
      <c r="AA483" s="63"/>
      <c r="AB483" s="63"/>
      <c r="AC483" s="63"/>
    </row>
    <row r="484" spans="2:29">
      <c r="B484" s="71"/>
      <c r="C484" s="71"/>
      <c r="D484" s="71"/>
      <c r="E484" s="71"/>
      <c r="F484" s="71"/>
      <c r="G484" s="71"/>
      <c r="H484" s="71"/>
      <c r="I484" s="71"/>
      <c r="J484" s="71"/>
      <c r="K484" s="71"/>
      <c r="L484" s="71"/>
      <c r="M484" s="71"/>
      <c r="N484" s="71"/>
      <c r="O484" s="71"/>
      <c r="P484" s="61"/>
      <c r="Q484" s="62"/>
      <c r="R484" s="63"/>
      <c r="S484" s="63"/>
      <c r="T484" s="63"/>
      <c r="U484" s="63"/>
      <c r="V484" s="63"/>
      <c r="W484" s="63"/>
      <c r="X484" s="63"/>
      <c r="Y484" s="63"/>
      <c r="Z484" s="63"/>
      <c r="AA484" s="63"/>
      <c r="AB484" s="63"/>
      <c r="AC484" s="63"/>
    </row>
    <row r="485" spans="2:29">
      <c r="B485" s="71"/>
      <c r="C485" s="71"/>
      <c r="D485" s="71"/>
      <c r="E485" s="71"/>
      <c r="F485" s="71"/>
      <c r="G485" s="71"/>
      <c r="H485" s="71"/>
      <c r="I485" s="71"/>
      <c r="J485" s="71"/>
      <c r="K485" s="71"/>
      <c r="L485" s="71"/>
      <c r="M485" s="71"/>
      <c r="N485" s="71"/>
      <c r="O485" s="71"/>
      <c r="P485" s="61"/>
      <c r="Q485" s="62"/>
      <c r="R485" s="63"/>
      <c r="S485" s="63"/>
      <c r="T485" s="63"/>
      <c r="U485" s="63"/>
      <c r="V485" s="63"/>
      <c r="W485" s="63"/>
      <c r="X485" s="63"/>
      <c r="Y485" s="63"/>
      <c r="Z485" s="63"/>
      <c r="AA485" s="63"/>
      <c r="AB485" s="63"/>
      <c r="AC485" s="63"/>
    </row>
    <row r="486" spans="2:29">
      <c r="B486" s="71"/>
      <c r="C486" s="71"/>
      <c r="D486" s="71"/>
      <c r="E486" s="71"/>
      <c r="F486" s="71"/>
      <c r="G486" s="71"/>
      <c r="H486" s="71"/>
      <c r="I486" s="71"/>
      <c r="J486" s="71"/>
      <c r="K486" s="71"/>
      <c r="L486" s="71"/>
      <c r="M486" s="71"/>
      <c r="N486" s="71"/>
      <c r="O486" s="71"/>
      <c r="P486" s="61"/>
      <c r="Q486" s="62"/>
      <c r="R486" s="63"/>
      <c r="S486" s="63"/>
      <c r="T486" s="63"/>
      <c r="U486" s="63"/>
      <c r="V486" s="63"/>
      <c r="W486" s="63"/>
      <c r="X486" s="63"/>
      <c r="Y486" s="63"/>
      <c r="Z486" s="63"/>
      <c r="AA486" s="63"/>
      <c r="AB486" s="63"/>
      <c r="AC486" s="63"/>
    </row>
    <row r="487" spans="2:29">
      <c r="B487" s="71"/>
      <c r="C487" s="71"/>
      <c r="D487" s="71"/>
      <c r="E487" s="71"/>
      <c r="F487" s="71"/>
      <c r="G487" s="71"/>
      <c r="H487" s="71"/>
      <c r="I487" s="71"/>
      <c r="J487" s="71"/>
      <c r="K487" s="71"/>
      <c r="L487" s="71"/>
      <c r="M487" s="71"/>
      <c r="N487" s="71"/>
      <c r="O487" s="71"/>
      <c r="P487" s="61"/>
      <c r="Q487" s="62"/>
      <c r="R487" s="63"/>
      <c r="S487" s="63"/>
      <c r="T487" s="63"/>
      <c r="U487" s="63"/>
      <c r="V487" s="63"/>
      <c r="W487" s="63"/>
      <c r="X487" s="63"/>
      <c r="Y487" s="63"/>
      <c r="Z487" s="63"/>
      <c r="AA487" s="63"/>
      <c r="AB487" s="63"/>
      <c r="AC487" s="63"/>
    </row>
    <row r="488" spans="2:29">
      <c r="B488" s="71"/>
      <c r="C488" s="71"/>
      <c r="D488" s="71"/>
      <c r="E488" s="71"/>
      <c r="F488" s="71"/>
      <c r="G488" s="71"/>
      <c r="H488" s="71"/>
      <c r="I488" s="71"/>
      <c r="J488" s="71"/>
      <c r="K488" s="71"/>
      <c r="L488" s="71"/>
      <c r="M488" s="71"/>
      <c r="N488" s="71"/>
      <c r="O488" s="71"/>
      <c r="P488" s="61"/>
      <c r="Q488" s="62"/>
      <c r="R488" s="63"/>
      <c r="S488" s="63"/>
      <c r="T488" s="63"/>
      <c r="U488" s="63"/>
      <c r="V488" s="63"/>
      <c r="W488" s="63"/>
      <c r="X488" s="63"/>
      <c r="Y488" s="63"/>
      <c r="Z488" s="63"/>
      <c r="AA488" s="63"/>
      <c r="AB488" s="63"/>
      <c r="AC488" s="63"/>
    </row>
    <row r="489" spans="2:29">
      <c r="B489" s="71"/>
      <c r="C489" s="71"/>
      <c r="D489" s="71"/>
      <c r="E489" s="71"/>
      <c r="F489" s="71"/>
      <c r="G489" s="71"/>
      <c r="H489" s="71"/>
      <c r="I489" s="71"/>
      <c r="J489" s="71"/>
      <c r="K489" s="71"/>
      <c r="L489" s="71"/>
      <c r="M489" s="71"/>
      <c r="N489" s="71"/>
      <c r="O489" s="71"/>
      <c r="P489" s="61"/>
      <c r="Q489" s="62"/>
      <c r="R489" s="63"/>
      <c r="S489" s="63"/>
      <c r="T489" s="63"/>
      <c r="U489" s="63"/>
      <c r="V489" s="63"/>
      <c r="W489" s="63"/>
      <c r="X489" s="63"/>
      <c r="Y489" s="63"/>
      <c r="Z489" s="63"/>
      <c r="AA489" s="63"/>
      <c r="AB489" s="63"/>
      <c r="AC489" s="63"/>
    </row>
    <row r="490" spans="2:29">
      <c r="B490" s="71"/>
      <c r="C490" s="71"/>
      <c r="D490" s="71"/>
      <c r="E490" s="71"/>
      <c r="F490" s="71"/>
      <c r="G490" s="71"/>
      <c r="H490" s="71"/>
      <c r="I490" s="71"/>
      <c r="J490" s="71"/>
      <c r="K490" s="71"/>
      <c r="L490" s="71"/>
      <c r="M490" s="71"/>
      <c r="N490" s="71"/>
      <c r="O490" s="71"/>
      <c r="P490" s="61"/>
      <c r="Q490" s="62"/>
      <c r="R490" s="63"/>
      <c r="S490" s="63"/>
      <c r="T490" s="63"/>
      <c r="U490" s="63"/>
      <c r="V490" s="63"/>
      <c r="W490" s="63"/>
      <c r="X490" s="63"/>
      <c r="Y490" s="63"/>
      <c r="Z490" s="63"/>
      <c r="AA490" s="63"/>
      <c r="AB490" s="63"/>
      <c r="AC490" s="63"/>
    </row>
    <row r="491" spans="2:29">
      <c r="B491" s="71"/>
      <c r="C491" s="71"/>
      <c r="D491" s="71"/>
      <c r="E491" s="71"/>
      <c r="F491" s="71"/>
      <c r="G491" s="71"/>
      <c r="H491" s="71"/>
      <c r="I491" s="71"/>
      <c r="J491" s="71"/>
      <c r="K491" s="71"/>
      <c r="L491" s="71"/>
      <c r="M491" s="71"/>
      <c r="N491" s="71"/>
      <c r="O491" s="71"/>
      <c r="P491" s="61"/>
      <c r="Q491" s="62"/>
      <c r="R491" s="63"/>
      <c r="S491" s="63"/>
      <c r="T491" s="63"/>
      <c r="U491" s="63"/>
      <c r="V491" s="63"/>
      <c r="W491" s="63"/>
      <c r="X491" s="63"/>
      <c r="Y491" s="63"/>
      <c r="Z491" s="63"/>
      <c r="AA491" s="63"/>
      <c r="AB491" s="63"/>
      <c r="AC491" s="63"/>
    </row>
    <row r="492" spans="2:29">
      <c r="B492" s="71"/>
      <c r="C492" s="71"/>
      <c r="D492" s="71"/>
      <c r="E492" s="71"/>
      <c r="F492" s="71"/>
      <c r="G492" s="71"/>
      <c r="H492" s="71"/>
      <c r="I492" s="71"/>
      <c r="J492" s="71"/>
      <c r="K492" s="71"/>
      <c r="L492" s="71"/>
      <c r="M492" s="71"/>
      <c r="N492" s="71"/>
      <c r="O492" s="71"/>
      <c r="P492" s="61"/>
      <c r="Q492" s="62"/>
      <c r="R492" s="63"/>
      <c r="S492" s="63"/>
      <c r="T492" s="63"/>
      <c r="U492" s="63"/>
      <c r="V492" s="63"/>
      <c r="W492" s="63"/>
      <c r="X492" s="63"/>
      <c r="Y492" s="63"/>
      <c r="Z492" s="63"/>
      <c r="AA492" s="63"/>
      <c r="AB492" s="63"/>
      <c r="AC492" s="63"/>
    </row>
    <row r="493" spans="2:29">
      <c r="B493" s="71"/>
      <c r="C493" s="71"/>
      <c r="D493" s="71"/>
      <c r="E493" s="71"/>
      <c r="F493" s="71"/>
      <c r="G493" s="71"/>
      <c r="H493" s="71"/>
      <c r="I493" s="71"/>
      <c r="J493" s="71"/>
      <c r="K493" s="71"/>
      <c r="L493" s="71"/>
      <c r="M493" s="71"/>
      <c r="N493" s="71"/>
      <c r="O493" s="71"/>
      <c r="P493" s="61"/>
      <c r="Q493" s="62"/>
      <c r="R493" s="63"/>
      <c r="S493" s="63"/>
      <c r="T493" s="63"/>
      <c r="U493" s="63"/>
      <c r="V493" s="63"/>
      <c r="W493" s="63"/>
      <c r="X493" s="63"/>
      <c r="Y493" s="63"/>
      <c r="Z493" s="63"/>
      <c r="AA493" s="63"/>
      <c r="AB493" s="63"/>
      <c r="AC493" s="63"/>
    </row>
    <row r="494" spans="2:29">
      <c r="B494" s="71"/>
      <c r="C494" s="71"/>
      <c r="D494" s="71"/>
      <c r="E494" s="71"/>
      <c r="F494" s="71"/>
      <c r="G494" s="71"/>
      <c r="H494" s="71"/>
      <c r="I494" s="71"/>
      <c r="J494" s="71"/>
      <c r="K494" s="71"/>
      <c r="L494" s="71"/>
      <c r="M494" s="71"/>
      <c r="N494" s="71"/>
      <c r="O494" s="71"/>
      <c r="P494" s="61"/>
      <c r="Q494" s="62"/>
      <c r="R494" s="63"/>
      <c r="S494" s="63"/>
      <c r="T494" s="63"/>
      <c r="U494" s="63"/>
      <c r="V494" s="63"/>
      <c r="W494" s="63"/>
      <c r="X494" s="63"/>
      <c r="Y494" s="63"/>
      <c r="Z494" s="63"/>
      <c r="AA494" s="63"/>
      <c r="AB494" s="63"/>
      <c r="AC494" s="63"/>
    </row>
    <row r="495" spans="2:29">
      <c r="B495" s="71"/>
      <c r="C495" s="71"/>
      <c r="D495" s="71"/>
      <c r="E495" s="71"/>
      <c r="F495" s="71"/>
      <c r="G495" s="71"/>
      <c r="H495" s="71"/>
      <c r="I495" s="71"/>
      <c r="J495" s="71"/>
      <c r="K495" s="71"/>
      <c r="L495" s="71"/>
      <c r="M495" s="71"/>
      <c r="N495" s="71"/>
      <c r="O495" s="71"/>
      <c r="P495" s="61"/>
      <c r="Q495" s="62"/>
      <c r="R495" s="63"/>
      <c r="S495" s="63"/>
      <c r="T495" s="63"/>
      <c r="U495" s="63"/>
      <c r="V495" s="63"/>
      <c r="W495" s="63"/>
      <c r="X495" s="63"/>
      <c r="Y495" s="63"/>
      <c r="Z495" s="63"/>
      <c r="AA495" s="63"/>
      <c r="AB495" s="63"/>
      <c r="AC495" s="63"/>
    </row>
    <row r="496" spans="2:29">
      <c r="B496" s="71"/>
      <c r="C496" s="71"/>
      <c r="D496" s="71"/>
      <c r="E496" s="71"/>
      <c r="F496" s="71"/>
      <c r="G496" s="71"/>
      <c r="H496" s="71"/>
      <c r="I496" s="71"/>
      <c r="J496" s="71"/>
      <c r="K496" s="71"/>
      <c r="L496" s="71"/>
      <c r="M496" s="71"/>
      <c r="N496" s="71"/>
      <c r="O496" s="71"/>
      <c r="P496" s="61"/>
      <c r="Q496" s="62"/>
      <c r="R496" s="63"/>
      <c r="S496" s="63"/>
      <c r="T496" s="63"/>
      <c r="U496" s="63"/>
      <c r="V496" s="63"/>
      <c r="W496" s="63"/>
      <c r="X496" s="63"/>
      <c r="Y496" s="63"/>
      <c r="Z496" s="63"/>
      <c r="AA496" s="63"/>
      <c r="AB496" s="63"/>
      <c r="AC496" s="63"/>
    </row>
    <row r="497" spans="2:29">
      <c r="B497" s="71"/>
      <c r="C497" s="71"/>
      <c r="D497" s="71"/>
      <c r="E497" s="71"/>
      <c r="F497" s="71"/>
      <c r="G497" s="71"/>
      <c r="H497" s="71"/>
      <c r="I497" s="71"/>
      <c r="J497" s="71"/>
      <c r="K497" s="71"/>
      <c r="L497" s="71"/>
      <c r="M497" s="71"/>
      <c r="N497" s="71"/>
      <c r="O497" s="71"/>
      <c r="P497" s="61"/>
      <c r="Q497" s="62"/>
      <c r="R497" s="63"/>
      <c r="S497" s="63"/>
      <c r="T497" s="63"/>
      <c r="U497" s="63"/>
      <c r="V497" s="63"/>
      <c r="W497" s="63"/>
      <c r="X497" s="63"/>
      <c r="Y497" s="63"/>
      <c r="Z497" s="63"/>
      <c r="AA497" s="63"/>
      <c r="AB497" s="63"/>
      <c r="AC497" s="63"/>
    </row>
    <row r="498" spans="2:29">
      <c r="B498" s="71"/>
      <c r="C498" s="71"/>
      <c r="D498" s="71"/>
      <c r="E498" s="71"/>
      <c r="F498" s="71"/>
      <c r="G498" s="71"/>
      <c r="H498" s="71"/>
      <c r="I498" s="71"/>
      <c r="J498" s="71"/>
      <c r="K498" s="71"/>
      <c r="L498" s="71"/>
      <c r="M498" s="71"/>
      <c r="N498" s="71"/>
      <c r="O498" s="71"/>
      <c r="P498" s="61"/>
      <c r="Q498" s="62"/>
      <c r="R498" s="63"/>
      <c r="S498" s="63"/>
      <c r="T498" s="63"/>
      <c r="U498" s="63"/>
      <c r="V498" s="63"/>
      <c r="W498" s="63"/>
      <c r="X498" s="63"/>
      <c r="Y498" s="63"/>
      <c r="Z498" s="63"/>
      <c r="AA498" s="63"/>
      <c r="AB498" s="63"/>
      <c r="AC498" s="63"/>
    </row>
    <row r="499" spans="2:29">
      <c r="B499" s="71"/>
      <c r="C499" s="71"/>
      <c r="D499" s="71"/>
      <c r="E499" s="71"/>
      <c r="F499" s="71"/>
      <c r="G499" s="71"/>
      <c r="H499" s="71"/>
      <c r="I499" s="71"/>
      <c r="J499" s="71"/>
      <c r="K499" s="71"/>
      <c r="L499" s="71"/>
      <c r="M499" s="71"/>
      <c r="N499" s="71"/>
      <c r="O499" s="71"/>
      <c r="P499" s="61"/>
      <c r="Q499" s="62"/>
      <c r="R499" s="63"/>
      <c r="S499" s="63"/>
      <c r="T499" s="63"/>
      <c r="U499" s="63"/>
      <c r="V499" s="63"/>
      <c r="W499" s="63"/>
      <c r="X499" s="63"/>
      <c r="Y499" s="63"/>
      <c r="Z499" s="63"/>
      <c r="AA499" s="63"/>
      <c r="AB499" s="63"/>
      <c r="AC499" s="63"/>
    </row>
    <row r="500" spans="2:29">
      <c r="B500" s="71"/>
      <c r="C500" s="71"/>
      <c r="D500" s="71"/>
      <c r="E500" s="71"/>
      <c r="F500" s="71"/>
      <c r="G500" s="71"/>
      <c r="H500" s="71"/>
      <c r="I500" s="71"/>
      <c r="J500" s="71"/>
      <c r="K500" s="71"/>
      <c r="L500" s="71"/>
      <c r="M500" s="71"/>
      <c r="N500" s="71"/>
      <c r="O500" s="71"/>
      <c r="P500" s="61"/>
      <c r="Q500" s="62"/>
      <c r="R500" s="63"/>
      <c r="S500" s="63"/>
      <c r="T500" s="63"/>
      <c r="U500" s="63"/>
      <c r="V500" s="63"/>
      <c r="W500" s="63"/>
      <c r="X500" s="63"/>
      <c r="Y500" s="63"/>
      <c r="Z500" s="63"/>
      <c r="AA500" s="63"/>
      <c r="AB500" s="63"/>
      <c r="AC500" s="63"/>
    </row>
    <row r="501" spans="2:29">
      <c r="B501" s="71"/>
      <c r="C501" s="71"/>
      <c r="D501" s="71"/>
      <c r="E501" s="71"/>
      <c r="F501" s="71"/>
      <c r="G501" s="71"/>
      <c r="H501" s="71"/>
      <c r="I501" s="71"/>
      <c r="J501" s="71"/>
      <c r="K501" s="71"/>
      <c r="L501" s="71"/>
      <c r="M501" s="71"/>
      <c r="N501" s="71"/>
      <c r="O501" s="71"/>
      <c r="P501" s="61"/>
      <c r="Q501" s="62"/>
      <c r="R501" s="63"/>
      <c r="S501" s="63"/>
      <c r="T501" s="63"/>
      <c r="U501" s="63"/>
      <c r="V501" s="63"/>
      <c r="W501" s="63"/>
      <c r="X501" s="63"/>
      <c r="Y501" s="63"/>
      <c r="Z501" s="63"/>
      <c r="AA501" s="63"/>
      <c r="AB501" s="63"/>
      <c r="AC501" s="63"/>
    </row>
    <row r="502" spans="2:29">
      <c r="B502" s="71"/>
      <c r="C502" s="71"/>
      <c r="D502" s="71"/>
      <c r="E502" s="71"/>
      <c r="F502" s="71"/>
      <c r="G502" s="71"/>
      <c r="H502" s="71"/>
      <c r="I502" s="71"/>
      <c r="J502" s="71"/>
      <c r="K502" s="71"/>
      <c r="L502" s="71"/>
      <c r="M502" s="71"/>
      <c r="N502" s="71"/>
      <c r="O502" s="71"/>
      <c r="P502" s="61"/>
      <c r="Q502" s="62"/>
      <c r="R502" s="63"/>
      <c r="S502" s="63"/>
      <c r="T502" s="63"/>
      <c r="U502" s="63"/>
      <c r="V502" s="63"/>
      <c r="W502" s="63"/>
      <c r="X502" s="63"/>
      <c r="Y502" s="63"/>
      <c r="Z502" s="63"/>
      <c r="AA502" s="63"/>
      <c r="AB502" s="63"/>
      <c r="AC502" s="63"/>
    </row>
    <row r="503" spans="2:29">
      <c r="B503" s="71"/>
      <c r="C503" s="71"/>
      <c r="D503" s="71"/>
      <c r="E503" s="71"/>
      <c r="F503" s="71"/>
      <c r="G503" s="71"/>
      <c r="H503" s="71"/>
      <c r="I503" s="71"/>
      <c r="J503" s="71"/>
      <c r="K503" s="71"/>
      <c r="L503" s="71"/>
      <c r="M503" s="71"/>
      <c r="N503" s="71"/>
      <c r="O503" s="71"/>
      <c r="P503" s="61"/>
      <c r="Q503" s="62"/>
      <c r="R503" s="63"/>
      <c r="S503" s="63"/>
      <c r="T503" s="63"/>
      <c r="U503" s="63"/>
      <c r="V503" s="63"/>
      <c r="W503" s="63"/>
      <c r="X503" s="63"/>
      <c r="Y503" s="63"/>
      <c r="Z503" s="63"/>
      <c r="AA503" s="63"/>
      <c r="AB503" s="63"/>
      <c r="AC503" s="63"/>
    </row>
    <row r="504" spans="2:29">
      <c r="B504" s="71"/>
      <c r="C504" s="71"/>
      <c r="D504" s="71"/>
      <c r="E504" s="71"/>
      <c r="F504" s="71"/>
      <c r="G504" s="71"/>
      <c r="H504" s="71"/>
      <c r="I504" s="71"/>
      <c r="J504" s="71"/>
      <c r="K504" s="71"/>
      <c r="L504" s="71"/>
      <c r="M504" s="71"/>
      <c r="N504" s="71"/>
      <c r="O504" s="71"/>
      <c r="P504" s="61"/>
      <c r="Q504" s="62"/>
      <c r="R504" s="63"/>
      <c r="S504" s="63"/>
      <c r="T504" s="63"/>
      <c r="U504" s="63"/>
      <c r="V504" s="63"/>
      <c r="W504" s="63"/>
      <c r="X504" s="63"/>
      <c r="Y504" s="63"/>
      <c r="Z504" s="63"/>
      <c r="AA504" s="63"/>
      <c r="AB504" s="63"/>
      <c r="AC504" s="63"/>
    </row>
    <row r="505" spans="2:29">
      <c r="B505" s="71"/>
      <c r="C505" s="71"/>
      <c r="D505" s="71"/>
      <c r="E505" s="71"/>
      <c r="F505" s="71"/>
      <c r="G505" s="71"/>
      <c r="H505" s="71"/>
      <c r="I505" s="71"/>
      <c r="J505" s="71"/>
      <c r="K505" s="71"/>
      <c r="L505" s="71"/>
      <c r="M505" s="71"/>
      <c r="N505" s="71"/>
      <c r="O505" s="71"/>
      <c r="P505" s="61"/>
      <c r="Q505" s="62"/>
      <c r="R505" s="63"/>
      <c r="S505" s="63"/>
      <c r="T505" s="63"/>
      <c r="U505" s="63"/>
      <c r="V505" s="63"/>
      <c r="W505" s="63"/>
      <c r="X505" s="63"/>
      <c r="Y505" s="63"/>
      <c r="Z505" s="63"/>
      <c r="AA505" s="63"/>
      <c r="AB505" s="63"/>
      <c r="AC505" s="63"/>
    </row>
    <row r="506" spans="2:29">
      <c r="B506" s="71"/>
      <c r="C506" s="71"/>
      <c r="D506" s="71"/>
      <c r="E506" s="71"/>
      <c r="F506" s="71"/>
      <c r="G506" s="71"/>
      <c r="H506" s="71"/>
      <c r="I506" s="71"/>
      <c r="J506" s="71"/>
      <c r="K506" s="71"/>
      <c r="L506" s="71"/>
      <c r="M506" s="71"/>
      <c r="N506" s="71"/>
      <c r="O506" s="71"/>
      <c r="P506" s="61"/>
      <c r="Q506" s="62"/>
      <c r="R506" s="63"/>
      <c r="S506" s="63"/>
      <c r="T506" s="63"/>
      <c r="U506" s="63"/>
      <c r="V506" s="63"/>
      <c r="W506" s="63"/>
      <c r="X506" s="63"/>
      <c r="Y506" s="63"/>
      <c r="Z506" s="63"/>
      <c r="AA506" s="63"/>
      <c r="AB506" s="63"/>
      <c r="AC506" s="63"/>
    </row>
    <row r="507" spans="2:29">
      <c r="B507" s="71"/>
      <c r="C507" s="71"/>
      <c r="D507" s="71"/>
      <c r="E507" s="71"/>
      <c r="F507" s="71"/>
      <c r="G507" s="71"/>
      <c r="H507" s="71"/>
      <c r="I507" s="71"/>
      <c r="J507" s="71"/>
      <c r="K507" s="71"/>
      <c r="L507" s="71"/>
      <c r="M507" s="71"/>
      <c r="N507" s="71"/>
      <c r="O507" s="71"/>
      <c r="P507" s="61"/>
      <c r="Q507" s="62"/>
      <c r="R507" s="63"/>
      <c r="S507" s="63"/>
      <c r="T507" s="63"/>
      <c r="U507" s="63"/>
      <c r="V507" s="63"/>
      <c r="W507" s="63"/>
      <c r="X507" s="63"/>
      <c r="Y507" s="63"/>
      <c r="Z507" s="63"/>
      <c r="AA507" s="63"/>
      <c r="AB507" s="63"/>
      <c r="AC507" s="63"/>
    </row>
    <row r="508" spans="2:29">
      <c r="B508" s="71"/>
      <c r="C508" s="71"/>
      <c r="D508" s="71"/>
      <c r="E508" s="71"/>
      <c r="F508" s="71"/>
      <c r="G508" s="71"/>
      <c r="H508" s="71"/>
      <c r="I508" s="71"/>
      <c r="J508" s="71"/>
      <c r="K508" s="71"/>
      <c r="L508" s="71"/>
      <c r="M508" s="71"/>
      <c r="N508" s="71"/>
      <c r="O508" s="71"/>
      <c r="P508" s="61"/>
      <c r="Q508" s="62"/>
      <c r="R508" s="63"/>
      <c r="S508" s="63"/>
      <c r="T508" s="63"/>
      <c r="U508" s="63"/>
      <c r="V508" s="63"/>
      <c r="W508" s="63"/>
      <c r="X508" s="63"/>
      <c r="Y508" s="63"/>
      <c r="Z508" s="63"/>
      <c r="AA508" s="63"/>
      <c r="AB508" s="63"/>
      <c r="AC508" s="63"/>
    </row>
    <row r="509" spans="2:29">
      <c r="B509" s="71"/>
      <c r="C509" s="71"/>
      <c r="D509" s="71"/>
      <c r="E509" s="71"/>
      <c r="F509" s="71"/>
      <c r="G509" s="71"/>
      <c r="H509" s="71"/>
      <c r="I509" s="71"/>
      <c r="J509" s="71"/>
      <c r="K509" s="71"/>
      <c r="L509" s="71"/>
      <c r="M509" s="71"/>
      <c r="N509" s="71"/>
      <c r="O509" s="71"/>
      <c r="P509" s="61"/>
      <c r="Q509" s="62"/>
      <c r="R509" s="63"/>
      <c r="S509" s="63"/>
      <c r="T509" s="63"/>
      <c r="U509" s="63"/>
      <c r="V509" s="63"/>
      <c r="W509" s="63"/>
      <c r="X509" s="63"/>
      <c r="Y509" s="63"/>
      <c r="Z509" s="63"/>
      <c r="AA509" s="63"/>
      <c r="AB509" s="63"/>
      <c r="AC509" s="63"/>
    </row>
    <row r="510" spans="2:29">
      <c r="B510" s="71"/>
      <c r="C510" s="71"/>
      <c r="D510" s="71"/>
      <c r="E510" s="71"/>
      <c r="F510" s="71"/>
      <c r="G510" s="71"/>
      <c r="H510" s="71"/>
      <c r="I510" s="71"/>
      <c r="J510" s="71"/>
      <c r="K510" s="71"/>
      <c r="L510" s="71"/>
      <c r="M510" s="71"/>
      <c r="N510" s="71"/>
      <c r="O510" s="71"/>
      <c r="P510" s="61"/>
      <c r="Q510" s="62"/>
      <c r="R510" s="63"/>
      <c r="S510" s="63"/>
      <c r="T510" s="63"/>
      <c r="U510" s="63"/>
      <c r="V510" s="63"/>
      <c r="W510" s="63"/>
      <c r="X510" s="63"/>
      <c r="Y510" s="63"/>
      <c r="Z510" s="63"/>
      <c r="AA510" s="63"/>
      <c r="AB510" s="63"/>
      <c r="AC510" s="63"/>
    </row>
    <row r="511" spans="2:29">
      <c r="B511" s="71"/>
      <c r="C511" s="71"/>
      <c r="D511" s="71"/>
      <c r="E511" s="71"/>
      <c r="F511" s="71"/>
      <c r="G511" s="71"/>
      <c r="H511" s="71"/>
      <c r="I511" s="71"/>
      <c r="J511" s="71"/>
      <c r="K511" s="71"/>
      <c r="L511" s="71"/>
      <c r="M511" s="71"/>
      <c r="N511" s="71"/>
      <c r="O511" s="71"/>
      <c r="P511" s="61"/>
      <c r="Q511" s="62"/>
      <c r="R511" s="63"/>
      <c r="S511" s="63"/>
      <c r="T511" s="63"/>
      <c r="U511" s="63"/>
      <c r="V511" s="63"/>
      <c r="W511" s="63"/>
      <c r="X511" s="63"/>
      <c r="Y511" s="63"/>
      <c r="Z511" s="63"/>
      <c r="AA511" s="63"/>
      <c r="AB511" s="63"/>
      <c r="AC511" s="63"/>
    </row>
    <row r="512" spans="2:29">
      <c r="B512" s="71"/>
      <c r="C512" s="71"/>
      <c r="D512" s="71"/>
      <c r="E512" s="71"/>
      <c r="F512" s="71"/>
      <c r="G512" s="71"/>
      <c r="H512" s="71"/>
      <c r="I512" s="71"/>
      <c r="J512" s="71"/>
      <c r="K512" s="71"/>
      <c r="L512" s="71"/>
      <c r="M512" s="71"/>
      <c r="N512" s="71"/>
      <c r="O512" s="71"/>
      <c r="P512" s="61"/>
      <c r="Q512" s="62"/>
      <c r="R512" s="63"/>
      <c r="S512" s="63"/>
      <c r="T512" s="63"/>
      <c r="U512" s="63"/>
      <c r="V512" s="63"/>
      <c r="W512" s="63"/>
      <c r="X512" s="63"/>
      <c r="Y512" s="63"/>
      <c r="Z512" s="63"/>
      <c r="AA512" s="63"/>
      <c r="AB512" s="63"/>
      <c r="AC512" s="63"/>
    </row>
    <row r="513" spans="2:29">
      <c r="B513" s="71"/>
      <c r="C513" s="71"/>
      <c r="D513" s="71"/>
      <c r="E513" s="71"/>
      <c r="F513" s="71"/>
      <c r="G513" s="71"/>
      <c r="H513" s="71"/>
      <c r="I513" s="71"/>
      <c r="J513" s="71"/>
      <c r="K513" s="71"/>
      <c r="L513" s="71"/>
      <c r="M513" s="71"/>
      <c r="N513" s="71"/>
      <c r="O513" s="71"/>
      <c r="P513" s="61"/>
      <c r="Q513" s="62"/>
      <c r="R513" s="63"/>
      <c r="S513" s="63"/>
      <c r="T513" s="63"/>
      <c r="U513" s="63"/>
      <c r="V513" s="63"/>
      <c r="W513" s="63"/>
      <c r="X513" s="63"/>
      <c r="Y513" s="63"/>
      <c r="Z513" s="63"/>
      <c r="AA513" s="63"/>
      <c r="AB513" s="63"/>
      <c r="AC513" s="63"/>
    </row>
    <row r="514" spans="2:29">
      <c r="B514" s="71"/>
      <c r="C514" s="71"/>
      <c r="D514" s="71"/>
      <c r="E514" s="71"/>
      <c r="F514" s="71"/>
      <c r="G514" s="71"/>
      <c r="H514" s="71"/>
      <c r="I514" s="71"/>
      <c r="J514" s="71"/>
      <c r="K514" s="71"/>
      <c r="L514" s="71"/>
      <c r="M514" s="71"/>
      <c r="N514" s="71"/>
      <c r="O514" s="71"/>
      <c r="P514" s="61"/>
      <c r="Q514" s="62"/>
      <c r="R514" s="63"/>
      <c r="S514" s="63"/>
      <c r="T514" s="63"/>
      <c r="U514" s="63"/>
      <c r="V514" s="63"/>
      <c r="W514" s="63"/>
      <c r="X514" s="63"/>
      <c r="Y514" s="63"/>
      <c r="Z514" s="63"/>
      <c r="AA514" s="63"/>
      <c r="AB514" s="63"/>
      <c r="AC514" s="63"/>
    </row>
    <row r="515" spans="2:29">
      <c r="B515" s="71"/>
      <c r="C515" s="71"/>
      <c r="D515" s="71"/>
      <c r="E515" s="71"/>
      <c r="F515" s="71"/>
      <c r="G515" s="71"/>
      <c r="H515" s="71"/>
      <c r="I515" s="71"/>
      <c r="J515" s="71"/>
      <c r="K515" s="71"/>
      <c r="L515" s="71"/>
      <c r="M515" s="71"/>
      <c r="N515" s="71"/>
      <c r="O515" s="71"/>
      <c r="P515" s="61"/>
      <c r="Q515" s="62"/>
      <c r="R515" s="63"/>
      <c r="S515" s="63"/>
      <c r="T515" s="63"/>
      <c r="U515" s="63"/>
      <c r="V515" s="63"/>
      <c r="W515" s="63"/>
      <c r="X515" s="63"/>
      <c r="Y515" s="63"/>
      <c r="Z515" s="63"/>
      <c r="AA515" s="63"/>
      <c r="AB515" s="63"/>
      <c r="AC515" s="63"/>
    </row>
    <row r="516" spans="2:29">
      <c r="B516" s="71"/>
      <c r="C516" s="71"/>
      <c r="D516" s="71"/>
      <c r="E516" s="71"/>
      <c r="F516" s="71"/>
      <c r="G516" s="71"/>
      <c r="H516" s="71"/>
      <c r="I516" s="71"/>
      <c r="J516" s="71"/>
      <c r="K516" s="71"/>
      <c r="L516" s="71"/>
      <c r="M516" s="71"/>
      <c r="N516" s="71"/>
      <c r="O516" s="71"/>
      <c r="P516" s="61"/>
      <c r="Q516" s="62"/>
      <c r="R516" s="63"/>
      <c r="S516" s="63"/>
      <c r="T516" s="63"/>
      <c r="U516" s="63"/>
      <c r="V516" s="63"/>
      <c r="W516" s="63"/>
      <c r="X516" s="63"/>
      <c r="Y516" s="63"/>
      <c r="Z516" s="63"/>
      <c r="AA516" s="63"/>
      <c r="AB516" s="63"/>
      <c r="AC516" s="63"/>
    </row>
    <row r="517" spans="2:29">
      <c r="B517" s="71"/>
      <c r="C517" s="71"/>
      <c r="D517" s="71"/>
      <c r="E517" s="71"/>
      <c r="F517" s="71"/>
      <c r="G517" s="71"/>
      <c r="H517" s="71"/>
      <c r="I517" s="71"/>
      <c r="J517" s="71"/>
      <c r="K517" s="71"/>
      <c r="L517" s="71"/>
      <c r="M517" s="71"/>
      <c r="N517" s="71"/>
      <c r="O517" s="71"/>
      <c r="P517" s="61"/>
      <c r="Q517" s="62"/>
      <c r="R517" s="63"/>
      <c r="S517" s="63"/>
      <c r="T517" s="63"/>
      <c r="U517" s="63"/>
      <c r="V517" s="63"/>
      <c r="W517" s="63"/>
      <c r="X517" s="63"/>
      <c r="Y517" s="63"/>
      <c r="Z517" s="63"/>
      <c r="AA517" s="63"/>
      <c r="AB517" s="63"/>
      <c r="AC517" s="63"/>
    </row>
    <row r="518" spans="2:29">
      <c r="B518" s="71"/>
      <c r="C518" s="71"/>
      <c r="D518" s="71"/>
      <c r="E518" s="71"/>
      <c r="F518" s="71"/>
      <c r="G518" s="71"/>
      <c r="H518" s="71"/>
      <c r="I518" s="71"/>
      <c r="J518" s="71"/>
      <c r="K518" s="71"/>
      <c r="L518" s="71"/>
      <c r="M518" s="71"/>
      <c r="N518" s="71"/>
      <c r="O518" s="71"/>
      <c r="P518" s="61"/>
      <c r="Q518" s="62"/>
      <c r="R518" s="63"/>
      <c r="S518" s="63"/>
      <c r="T518" s="63"/>
      <c r="U518" s="63"/>
      <c r="V518" s="63"/>
      <c r="W518" s="63"/>
      <c r="X518" s="63"/>
      <c r="Y518" s="63"/>
      <c r="Z518" s="63"/>
      <c r="AA518" s="63"/>
      <c r="AB518" s="63"/>
      <c r="AC518" s="63"/>
    </row>
    <row r="519" spans="2:29">
      <c r="B519" s="71"/>
      <c r="C519" s="71"/>
      <c r="D519" s="71"/>
      <c r="E519" s="71"/>
      <c r="F519" s="71"/>
      <c r="G519" s="71"/>
      <c r="H519" s="71"/>
      <c r="I519" s="71"/>
      <c r="J519" s="71"/>
      <c r="K519" s="71"/>
      <c r="L519" s="71"/>
      <c r="M519" s="71"/>
      <c r="N519" s="71"/>
      <c r="O519" s="71"/>
      <c r="P519" s="61"/>
      <c r="Q519" s="62"/>
      <c r="R519" s="63"/>
      <c r="S519" s="63"/>
      <c r="T519" s="63"/>
      <c r="U519" s="63"/>
      <c r="V519" s="63"/>
      <c r="W519" s="63"/>
      <c r="X519" s="63"/>
      <c r="Y519" s="63"/>
      <c r="Z519" s="63"/>
      <c r="AA519" s="63"/>
      <c r="AB519" s="63"/>
      <c r="AC519" s="63"/>
    </row>
    <row r="520" spans="2:29">
      <c r="B520" s="71"/>
      <c r="C520" s="71"/>
      <c r="D520" s="71"/>
      <c r="E520" s="71"/>
      <c r="F520" s="71"/>
      <c r="G520" s="71"/>
      <c r="H520" s="71"/>
      <c r="I520" s="71"/>
      <c r="J520" s="71"/>
      <c r="K520" s="71"/>
      <c r="L520" s="71"/>
      <c r="M520" s="71"/>
      <c r="N520" s="71"/>
      <c r="O520" s="71"/>
      <c r="P520" s="61"/>
      <c r="Q520" s="62"/>
      <c r="R520" s="63"/>
      <c r="S520" s="63"/>
      <c r="T520" s="63"/>
      <c r="U520" s="63"/>
      <c r="V520" s="63"/>
      <c r="W520" s="63"/>
      <c r="X520" s="63"/>
      <c r="Y520" s="63"/>
      <c r="Z520" s="63"/>
      <c r="AA520" s="63"/>
      <c r="AB520" s="63"/>
      <c r="AC520" s="63"/>
    </row>
    <row r="521" spans="2:29">
      <c r="B521" s="71"/>
      <c r="C521" s="71"/>
      <c r="D521" s="71"/>
      <c r="E521" s="71"/>
      <c r="F521" s="71"/>
      <c r="G521" s="71"/>
      <c r="H521" s="71"/>
      <c r="I521" s="71"/>
      <c r="J521" s="71"/>
      <c r="K521" s="71"/>
      <c r="L521" s="71"/>
      <c r="M521" s="71"/>
      <c r="N521" s="71"/>
      <c r="O521" s="71"/>
      <c r="P521" s="61"/>
      <c r="Q521" s="62"/>
      <c r="R521" s="63"/>
      <c r="S521" s="63"/>
      <c r="T521" s="63"/>
      <c r="U521" s="63"/>
      <c r="V521" s="63"/>
      <c r="W521" s="63"/>
      <c r="X521" s="63"/>
      <c r="Y521" s="63"/>
      <c r="Z521" s="63"/>
      <c r="AA521" s="63"/>
      <c r="AB521" s="63"/>
      <c r="AC521" s="63"/>
    </row>
    <row r="522" spans="2:29">
      <c r="B522" s="71"/>
      <c r="C522" s="71"/>
      <c r="D522" s="71"/>
      <c r="E522" s="71"/>
      <c r="F522" s="71"/>
      <c r="G522" s="71"/>
      <c r="H522" s="71"/>
      <c r="I522" s="71"/>
      <c r="J522" s="71"/>
      <c r="K522" s="71"/>
      <c r="L522" s="71"/>
      <c r="M522" s="71"/>
      <c r="N522" s="71"/>
      <c r="O522" s="71"/>
      <c r="P522" s="61"/>
      <c r="Q522" s="62"/>
      <c r="R522" s="63"/>
      <c r="S522" s="63"/>
      <c r="T522" s="63"/>
      <c r="U522" s="63"/>
      <c r="V522" s="63"/>
      <c r="W522" s="63"/>
      <c r="X522" s="63"/>
      <c r="Y522" s="63"/>
      <c r="Z522" s="63"/>
      <c r="AA522" s="63"/>
      <c r="AB522" s="63"/>
      <c r="AC522" s="63"/>
    </row>
    <row r="523" spans="2:29">
      <c r="B523" s="71"/>
      <c r="C523" s="71"/>
      <c r="D523" s="71"/>
      <c r="E523" s="71"/>
      <c r="F523" s="71"/>
      <c r="G523" s="71"/>
      <c r="H523" s="71"/>
      <c r="I523" s="71"/>
      <c r="J523" s="71"/>
      <c r="K523" s="71"/>
      <c r="L523" s="71"/>
      <c r="M523" s="71"/>
      <c r="N523" s="71"/>
      <c r="O523" s="71"/>
      <c r="P523" s="61"/>
      <c r="Q523" s="62"/>
      <c r="R523" s="63"/>
      <c r="S523" s="63"/>
      <c r="T523" s="63"/>
      <c r="U523" s="63"/>
      <c r="V523" s="63"/>
      <c r="W523" s="63"/>
      <c r="X523" s="63"/>
      <c r="Y523" s="63"/>
      <c r="Z523" s="63"/>
      <c r="AA523" s="63"/>
      <c r="AB523" s="63"/>
      <c r="AC523" s="63"/>
    </row>
    <row r="524" spans="2:29">
      <c r="B524" s="71"/>
      <c r="C524" s="71"/>
      <c r="D524" s="71"/>
      <c r="E524" s="71"/>
      <c r="F524" s="71"/>
      <c r="G524" s="71"/>
      <c r="H524" s="71"/>
      <c r="I524" s="71"/>
      <c r="J524" s="71"/>
      <c r="K524" s="71"/>
      <c r="L524" s="71"/>
      <c r="M524" s="71"/>
      <c r="N524" s="71"/>
      <c r="O524" s="71"/>
      <c r="P524" s="61"/>
      <c r="Q524" s="62"/>
      <c r="R524" s="63"/>
      <c r="S524" s="63"/>
      <c r="T524" s="63"/>
      <c r="U524" s="63"/>
      <c r="V524" s="63"/>
      <c r="W524" s="63"/>
      <c r="X524" s="63"/>
      <c r="Y524" s="63"/>
      <c r="Z524" s="63"/>
      <c r="AA524" s="63"/>
      <c r="AB524" s="63"/>
      <c r="AC524" s="63"/>
    </row>
    <row r="525" spans="2:29">
      <c r="B525" s="71"/>
      <c r="C525" s="71"/>
      <c r="D525" s="71"/>
      <c r="E525" s="71"/>
      <c r="F525" s="71"/>
      <c r="G525" s="71"/>
      <c r="H525" s="71"/>
      <c r="I525" s="71"/>
      <c r="J525" s="71"/>
      <c r="K525" s="71"/>
      <c r="L525" s="71"/>
      <c r="M525" s="71"/>
      <c r="N525" s="71"/>
      <c r="O525" s="71"/>
      <c r="P525" s="61"/>
      <c r="Q525" s="62"/>
      <c r="R525" s="63"/>
      <c r="S525" s="63"/>
      <c r="T525" s="63"/>
      <c r="U525" s="63"/>
      <c r="V525" s="63"/>
      <c r="W525" s="63"/>
      <c r="X525" s="63"/>
      <c r="Y525" s="63"/>
      <c r="Z525" s="63"/>
      <c r="AA525" s="63"/>
      <c r="AB525" s="63"/>
      <c r="AC525" s="63"/>
    </row>
    <row r="526" spans="2:29">
      <c r="B526" s="71"/>
      <c r="C526" s="71"/>
      <c r="D526" s="71"/>
      <c r="E526" s="71"/>
      <c r="F526" s="71"/>
      <c r="G526" s="71"/>
      <c r="H526" s="71"/>
      <c r="I526" s="71"/>
      <c r="J526" s="71"/>
      <c r="K526" s="71"/>
      <c r="L526" s="71"/>
      <c r="M526" s="71"/>
      <c r="N526" s="71"/>
      <c r="O526" s="71"/>
      <c r="P526" s="61"/>
      <c r="Q526" s="62"/>
      <c r="R526" s="63"/>
      <c r="S526" s="63"/>
      <c r="T526" s="63"/>
      <c r="U526" s="63"/>
      <c r="V526" s="63"/>
      <c r="W526" s="63"/>
      <c r="X526" s="63"/>
      <c r="Y526" s="63"/>
      <c r="Z526" s="63"/>
      <c r="AA526" s="63"/>
      <c r="AB526" s="63"/>
      <c r="AC526" s="63"/>
    </row>
    <row r="527" spans="2:29">
      <c r="B527" s="71"/>
      <c r="C527" s="71"/>
      <c r="D527" s="71"/>
      <c r="E527" s="71"/>
      <c r="F527" s="71"/>
      <c r="G527" s="71"/>
      <c r="H527" s="71"/>
      <c r="I527" s="71"/>
      <c r="J527" s="71"/>
      <c r="K527" s="71"/>
      <c r="L527" s="71"/>
      <c r="M527" s="71"/>
      <c r="N527" s="71"/>
      <c r="O527" s="71"/>
      <c r="P527" s="61"/>
      <c r="Q527" s="62"/>
      <c r="R527" s="63"/>
      <c r="S527" s="63"/>
      <c r="T527" s="63"/>
      <c r="U527" s="63"/>
      <c r="V527" s="63"/>
      <c r="W527" s="63"/>
      <c r="X527" s="63"/>
      <c r="Y527" s="63"/>
      <c r="Z527" s="63"/>
      <c r="AA527" s="63"/>
      <c r="AB527" s="63"/>
      <c r="AC527" s="63"/>
    </row>
    <row r="528" spans="2:29">
      <c r="B528" s="71"/>
      <c r="C528" s="71"/>
      <c r="D528" s="71"/>
      <c r="E528" s="71"/>
      <c r="F528" s="71"/>
      <c r="G528" s="71"/>
      <c r="H528" s="71"/>
      <c r="I528" s="71"/>
      <c r="J528" s="71"/>
      <c r="K528" s="71"/>
      <c r="L528" s="71"/>
      <c r="M528" s="71"/>
      <c r="N528" s="71"/>
      <c r="O528" s="71"/>
      <c r="P528" s="61"/>
      <c r="Q528" s="62"/>
      <c r="R528" s="63"/>
      <c r="S528" s="63"/>
      <c r="T528" s="63"/>
      <c r="U528" s="63"/>
      <c r="V528" s="63"/>
      <c r="W528" s="63"/>
      <c r="X528" s="63"/>
      <c r="Y528" s="63"/>
      <c r="Z528" s="63"/>
      <c r="AA528" s="63"/>
      <c r="AB528" s="63"/>
      <c r="AC528" s="63"/>
    </row>
    <row r="529" spans="2:29">
      <c r="B529" s="71"/>
      <c r="C529" s="71"/>
      <c r="D529" s="71"/>
      <c r="E529" s="71"/>
      <c r="F529" s="71"/>
      <c r="G529" s="71"/>
      <c r="H529" s="71"/>
      <c r="I529" s="71"/>
      <c r="J529" s="71"/>
      <c r="K529" s="71"/>
      <c r="L529" s="71"/>
      <c r="M529" s="71"/>
      <c r="N529" s="71"/>
      <c r="O529" s="71"/>
      <c r="P529" s="61"/>
      <c r="Q529" s="62"/>
      <c r="R529" s="63"/>
      <c r="S529" s="63"/>
      <c r="T529" s="63"/>
      <c r="U529" s="63"/>
      <c r="V529" s="63"/>
      <c r="W529" s="63"/>
      <c r="X529" s="63"/>
      <c r="Y529" s="63"/>
      <c r="Z529" s="63"/>
      <c r="AA529" s="63"/>
      <c r="AB529" s="63"/>
      <c r="AC529" s="63"/>
    </row>
    <row r="530" spans="2:29">
      <c r="B530" s="71"/>
      <c r="C530" s="71"/>
      <c r="D530" s="71"/>
      <c r="E530" s="71"/>
      <c r="F530" s="71"/>
      <c r="G530" s="71"/>
      <c r="H530" s="71"/>
      <c r="I530" s="71"/>
      <c r="J530" s="71"/>
      <c r="K530" s="71"/>
      <c r="L530" s="71"/>
      <c r="M530" s="71"/>
      <c r="N530" s="71"/>
      <c r="O530" s="71"/>
      <c r="P530" s="61"/>
      <c r="Q530" s="62"/>
      <c r="R530" s="63"/>
      <c r="S530" s="63"/>
      <c r="T530" s="63"/>
      <c r="U530" s="63"/>
      <c r="V530" s="63"/>
      <c r="W530" s="63"/>
      <c r="X530" s="63"/>
      <c r="Y530" s="63"/>
      <c r="Z530" s="63"/>
      <c r="AA530" s="63"/>
      <c r="AB530" s="63"/>
      <c r="AC530" s="63"/>
    </row>
    <row r="531" spans="2:29">
      <c r="B531" s="71"/>
      <c r="C531" s="71"/>
      <c r="D531" s="71"/>
      <c r="E531" s="71"/>
      <c r="F531" s="71"/>
      <c r="G531" s="71"/>
      <c r="H531" s="71"/>
      <c r="I531" s="71"/>
      <c r="J531" s="71"/>
      <c r="K531" s="71"/>
      <c r="L531" s="71"/>
      <c r="M531" s="71"/>
      <c r="N531" s="71"/>
      <c r="O531" s="71"/>
      <c r="P531" s="61"/>
      <c r="Q531" s="62"/>
      <c r="R531" s="63"/>
      <c r="S531" s="63"/>
      <c r="T531" s="63"/>
      <c r="U531" s="63"/>
      <c r="V531" s="63"/>
      <c r="W531" s="63"/>
      <c r="X531" s="63"/>
      <c r="Y531" s="63"/>
      <c r="Z531" s="63"/>
      <c r="AA531" s="63"/>
      <c r="AB531" s="63"/>
      <c r="AC531" s="63"/>
    </row>
    <row r="532" spans="2:29">
      <c r="B532" s="71"/>
      <c r="C532" s="71"/>
      <c r="D532" s="71"/>
      <c r="E532" s="71"/>
      <c r="F532" s="71"/>
      <c r="G532" s="71"/>
      <c r="H532" s="71"/>
      <c r="I532" s="71"/>
      <c r="J532" s="71"/>
      <c r="K532" s="71"/>
      <c r="L532" s="71"/>
      <c r="M532" s="71"/>
      <c r="N532" s="71"/>
      <c r="O532" s="71"/>
      <c r="P532" s="61"/>
      <c r="Q532" s="62"/>
      <c r="R532" s="63"/>
      <c r="S532" s="63"/>
      <c r="T532" s="63"/>
      <c r="U532" s="63"/>
      <c r="V532" s="63"/>
      <c r="W532" s="63"/>
      <c r="X532" s="63"/>
      <c r="Y532" s="63"/>
      <c r="Z532" s="63"/>
      <c r="AA532" s="63"/>
      <c r="AB532" s="63"/>
      <c r="AC532" s="63"/>
    </row>
    <row r="533" spans="2:29">
      <c r="B533" s="71"/>
      <c r="C533" s="71"/>
      <c r="D533" s="71"/>
      <c r="E533" s="71"/>
      <c r="F533" s="71"/>
      <c r="G533" s="71"/>
      <c r="H533" s="71"/>
      <c r="I533" s="71"/>
      <c r="J533" s="71"/>
      <c r="K533" s="71"/>
      <c r="L533" s="71"/>
      <c r="M533" s="71"/>
      <c r="N533" s="71"/>
      <c r="O533" s="71"/>
      <c r="P533" s="61"/>
      <c r="Q533" s="62"/>
      <c r="R533" s="63"/>
      <c r="S533" s="63"/>
      <c r="T533" s="63"/>
      <c r="U533" s="63"/>
      <c r="V533" s="63"/>
      <c r="W533" s="63"/>
      <c r="X533" s="63"/>
      <c r="Y533" s="63"/>
      <c r="Z533" s="63"/>
      <c r="AA533" s="63"/>
      <c r="AB533" s="63"/>
      <c r="AC533" s="63"/>
    </row>
    <row r="534" spans="2:29">
      <c r="B534" s="71"/>
      <c r="C534" s="71"/>
      <c r="D534" s="71"/>
      <c r="E534" s="71"/>
      <c r="F534" s="71"/>
      <c r="G534" s="71"/>
      <c r="H534" s="71"/>
      <c r="I534" s="71"/>
      <c r="J534" s="71"/>
      <c r="K534" s="71"/>
      <c r="L534" s="71"/>
      <c r="M534" s="71"/>
      <c r="N534" s="71"/>
      <c r="O534" s="71"/>
      <c r="P534" s="61"/>
      <c r="Q534" s="62"/>
      <c r="R534" s="63"/>
      <c r="S534" s="63"/>
      <c r="T534" s="63"/>
      <c r="U534" s="63"/>
      <c r="V534" s="63"/>
      <c r="W534" s="63"/>
      <c r="X534" s="63"/>
      <c r="Y534" s="63"/>
      <c r="Z534" s="63"/>
      <c r="AA534" s="63"/>
      <c r="AB534" s="63"/>
      <c r="AC534" s="63"/>
    </row>
    <row r="535" spans="2:29">
      <c r="B535" s="71"/>
      <c r="C535" s="71"/>
      <c r="D535" s="71"/>
      <c r="E535" s="71"/>
      <c r="F535" s="71"/>
      <c r="G535" s="71"/>
      <c r="H535" s="71"/>
      <c r="I535" s="71"/>
      <c r="J535" s="71"/>
      <c r="K535" s="71"/>
      <c r="L535" s="71"/>
      <c r="M535" s="71"/>
      <c r="N535" s="71"/>
      <c r="O535" s="71"/>
      <c r="P535" s="61"/>
      <c r="Q535" s="62"/>
      <c r="R535" s="63"/>
      <c r="S535" s="63"/>
      <c r="T535" s="63"/>
      <c r="U535" s="63"/>
      <c r="V535" s="63"/>
      <c r="W535" s="63"/>
      <c r="X535" s="63"/>
      <c r="Y535" s="63"/>
      <c r="Z535" s="63"/>
      <c r="AA535" s="63"/>
      <c r="AB535" s="63"/>
      <c r="AC535" s="63"/>
    </row>
    <row r="536" spans="2:29">
      <c r="B536" s="71"/>
      <c r="C536" s="71"/>
      <c r="D536" s="71"/>
      <c r="E536" s="71"/>
      <c r="F536" s="71"/>
      <c r="G536" s="71"/>
      <c r="H536" s="71"/>
      <c r="I536" s="71"/>
      <c r="J536" s="71"/>
      <c r="K536" s="71"/>
      <c r="L536" s="71"/>
      <c r="M536" s="71"/>
      <c r="N536" s="71"/>
      <c r="O536" s="71"/>
      <c r="P536" s="61"/>
      <c r="Q536" s="62"/>
      <c r="R536" s="63"/>
      <c r="S536" s="63"/>
      <c r="T536" s="63"/>
      <c r="U536" s="63"/>
      <c r="V536" s="63"/>
      <c r="W536" s="63"/>
      <c r="X536" s="63"/>
      <c r="Y536" s="63"/>
      <c r="Z536" s="63"/>
      <c r="AA536" s="63"/>
      <c r="AB536" s="63"/>
      <c r="AC536" s="63"/>
    </row>
    <row r="537" spans="2:29">
      <c r="B537" s="71"/>
      <c r="C537" s="71"/>
      <c r="D537" s="71"/>
      <c r="E537" s="71"/>
      <c r="F537" s="71"/>
      <c r="G537" s="71"/>
      <c r="H537" s="71"/>
      <c r="I537" s="71"/>
      <c r="J537" s="71"/>
      <c r="K537" s="71"/>
      <c r="L537" s="71"/>
      <c r="M537" s="71"/>
      <c r="N537" s="71"/>
      <c r="O537" s="71"/>
      <c r="P537" s="61"/>
      <c r="Q537" s="62"/>
      <c r="R537" s="63"/>
      <c r="S537" s="63"/>
      <c r="T537" s="63"/>
      <c r="U537" s="63"/>
      <c r="V537" s="63"/>
      <c r="W537" s="63"/>
      <c r="X537" s="63"/>
      <c r="Y537" s="63"/>
      <c r="Z537" s="63"/>
      <c r="AA537" s="63"/>
      <c r="AB537" s="63"/>
      <c r="AC537" s="63"/>
    </row>
    <row r="538" spans="2:29">
      <c r="B538" s="71"/>
      <c r="C538" s="71"/>
      <c r="D538" s="71"/>
      <c r="E538" s="71"/>
      <c r="F538" s="71"/>
      <c r="G538" s="71"/>
      <c r="H538" s="71"/>
      <c r="I538" s="71"/>
      <c r="J538" s="71"/>
      <c r="K538" s="71"/>
      <c r="L538" s="71"/>
      <c r="M538" s="71"/>
      <c r="N538" s="71"/>
      <c r="O538" s="71"/>
      <c r="P538" s="61"/>
      <c r="Q538" s="62"/>
      <c r="R538" s="63"/>
      <c r="S538" s="63"/>
      <c r="T538" s="63"/>
      <c r="U538" s="63"/>
      <c r="V538" s="63"/>
      <c r="W538" s="63"/>
      <c r="X538" s="63"/>
      <c r="Y538" s="63"/>
      <c r="Z538" s="63"/>
      <c r="AA538" s="63"/>
      <c r="AB538" s="63"/>
      <c r="AC538" s="63"/>
    </row>
    <row r="539" spans="2:29">
      <c r="B539" s="71"/>
      <c r="C539" s="71"/>
      <c r="D539" s="71"/>
      <c r="E539" s="71"/>
      <c r="F539" s="71"/>
      <c r="G539" s="71"/>
      <c r="H539" s="71"/>
      <c r="I539" s="71"/>
      <c r="J539" s="71"/>
      <c r="K539" s="71"/>
      <c r="L539" s="71"/>
      <c r="M539" s="71"/>
      <c r="N539" s="71"/>
      <c r="O539" s="71"/>
      <c r="P539" s="61"/>
      <c r="Q539" s="62"/>
      <c r="R539" s="63"/>
      <c r="S539" s="63"/>
      <c r="T539" s="63"/>
      <c r="U539" s="63"/>
      <c r="V539" s="63"/>
      <c r="W539" s="63"/>
      <c r="X539" s="63"/>
      <c r="Y539" s="63"/>
      <c r="Z539" s="63"/>
      <c r="AA539" s="63"/>
      <c r="AB539" s="63"/>
      <c r="AC539" s="63"/>
    </row>
    <row r="540" spans="2:29">
      <c r="B540" s="71"/>
      <c r="C540" s="71"/>
      <c r="D540" s="71"/>
      <c r="E540" s="71"/>
      <c r="F540" s="71"/>
      <c r="G540" s="71"/>
      <c r="H540" s="71"/>
      <c r="I540" s="71"/>
      <c r="J540" s="71"/>
      <c r="K540" s="71"/>
      <c r="L540" s="71"/>
      <c r="M540" s="71"/>
      <c r="N540" s="71"/>
      <c r="O540" s="71"/>
      <c r="P540" s="61"/>
      <c r="Q540" s="62"/>
      <c r="R540" s="63"/>
      <c r="S540" s="63"/>
      <c r="T540" s="63"/>
      <c r="U540" s="63"/>
      <c r="V540" s="63"/>
      <c r="W540" s="63"/>
      <c r="X540" s="63"/>
      <c r="Y540" s="63"/>
      <c r="Z540" s="63"/>
      <c r="AA540" s="63"/>
      <c r="AB540" s="63"/>
      <c r="AC540" s="63"/>
    </row>
    <row r="541" spans="2:29">
      <c r="B541" s="71"/>
      <c r="C541" s="71"/>
      <c r="D541" s="71"/>
      <c r="E541" s="71"/>
      <c r="F541" s="71"/>
      <c r="G541" s="71"/>
      <c r="H541" s="71"/>
      <c r="I541" s="71"/>
      <c r="J541" s="71"/>
      <c r="K541" s="71"/>
      <c r="L541" s="71"/>
      <c r="M541" s="71"/>
      <c r="N541" s="71"/>
      <c r="O541" s="71"/>
      <c r="P541" s="61"/>
      <c r="Q541" s="62"/>
      <c r="R541" s="63"/>
      <c r="S541" s="63"/>
      <c r="T541" s="63"/>
      <c r="U541" s="63"/>
      <c r="V541" s="63"/>
      <c r="W541" s="63"/>
      <c r="X541" s="63"/>
      <c r="Y541" s="63"/>
      <c r="Z541" s="63"/>
      <c r="AA541" s="63"/>
      <c r="AB541" s="63"/>
      <c r="AC541" s="63"/>
    </row>
    <row r="542" spans="2:29">
      <c r="B542" s="71"/>
      <c r="C542" s="71"/>
      <c r="D542" s="71"/>
      <c r="E542" s="71"/>
      <c r="F542" s="71"/>
      <c r="G542" s="71"/>
      <c r="H542" s="71"/>
      <c r="I542" s="71"/>
      <c r="J542" s="71"/>
      <c r="K542" s="71"/>
      <c r="L542" s="71"/>
      <c r="M542" s="71"/>
      <c r="N542" s="71"/>
      <c r="O542" s="71"/>
      <c r="P542" s="61"/>
      <c r="Q542" s="62"/>
      <c r="R542" s="63"/>
      <c r="S542" s="63"/>
      <c r="T542" s="63"/>
      <c r="U542" s="63"/>
      <c r="V542" s="63"/>
      <c r="W542" s="63"/>
      <c r="X542" s="63"/>
      <c r="Y542" s="63"/>
      <c r="Z542" s="63"/>
      <c r="AA542" s="63"/>
      <c r="AB542" s="63"/>
      <c r="AC542" s="63"/>
    </row>
    <row r="543" spans="2:29">
      <c r="B543" s="71"/>
      <c r="C543" s="71"/>
      <c r="D543" s="71"/>
      <c r="E543" s="71"/>
      <c r="F543" s="71"/>
      <c r="G543" s="71"/>
      <c r="H543" s="71"/>
      <c r="I543" s="71"/>
      <c r="J543" s="71"/>
      <c r="K543" s="71"/>
      <c r="L543" s="71"/>
      <c r="M543" s="71"/>
      <c r="N543" s="71"/>
      <c r="O543" s="71"/>
      <c r="P543" s="61"/>
      <c r="Q543" s="62"/>
      <c r="R543" s="63"/>
      <c r="S543" s="63"/>
      <c r="T543" s="63"/>
      <c r="U543" s="63"/>
      <c r="V543" s="63"/>
      <c r="W543" s="63"/>
      <c r="X543" s="63"/>
      <c r="Y543" s="63"/>
      <c r="Z543" s="63"/>
      <c r="AA543" s="63"/>
      <c r="AB543" s="63"/>
      <c r="AC543" s="63"/>
    </row>
    <row r="544" spans="2:29">
      <c r="B544" s="71"/>
      <c r="C544" s="71"/>
      <c r="D544" s="71"/>
      <c r="E544" s="71"/>
      <c r="F544" s="71"/>
      <c r="G544" s="71"/>
      <c r="H544" s="71"/>
      <c r="I544" s="71"/>
      <c r="J544" s="71"/>
      <c r="K544" s="71"/>
      <c r="L544" s="71"/>
      <c r="M544" s="71"/>
      <c r="N544" s="71"/>
      <c r="O544" s="71"/>
      <c r="P544" s="61"/>
      <c r="Q544" s="62"/>
      <c r="R544" s="63"/>
      <c r="S544" s="63"/>
      <c r="T544" s="63"/>
      <c r="U544" s="63"/>
      <c r="V544" s="63"/>
      <c r="W544" s="63"/>
      <c r="X544" s="63"/>
      <c r="Y544" s="63"/>
      <c r="Z544" s="63"/>
      <c r="AA544" s="63"/>
      <c r="AB544" s="63"/>
      <c r="AC544" s="63"/>
    </row>
    <row r="545" spans="2:29">
      <c r="B545" s="71"/>
      <c r="C545" s="71"/>
      <c r="D545" s="71"/>
      <c r="E545" s="71"/>
      <c r="F545" s="71"/>
      <c r="G545" s="71"/>
      <c r="H545" s="71"/>
      <c r="I545" s="71"/>
      <c r="J545" s="71"/>
      <c r="K545" s="71"/>
      <c r="L545" s="71"/>
      <c r="M545" s="71"/>
      <c r="N545" s="71"/>
      <c r="O545" s="71"/>
      <c r="P545" s="61"/>
      <c r="Q545" s="62"/>
      <c r="R545" s="63"/>
      <c r="S545" s="63"/>
      <c r="T545" s="63"/>
      <c r="U545" s="63"/>
      <c r="V545" s="63"/>
      <c r="W545" s="63"/>
      <c r="X545" s="63"/>
      <c r="Y545" s="63"/>
      <c r="Z545" s="63"/>
      <c r="AA545" s="63"/>
      <c r="AB545" s="63"/>
      <c r="AC545" s="63"/>
    </row>
    <row r="546" spans="2:29">
      <c r="B546" s="71"/>
      <c r="C546" s="71"/>
      <c r="D546" s="71"/>
      <c r="E546" s="71"/>
      <c r="F546" s="71"/>
      <c r="G546" s="71"/>
      <c r="H546" s="71"/>
      <c r="I546" s="71"/>
      <c r="J546" s="71"/>
      <c r="K546" s="71"/>
      <c r="L546" s="71"/>
      <c r="M546" s="71"/>
      <c r="N546" s="71"/>
      <c r="O546" s="71"/>
      <c r="P546" s="61"/>
      <c r="Q546" s="62"/>
      <c r="R546" s="63"/>
      <c r="S546" s="63"/>
      <c r="T546" s="63"/>
      <c r="U546" s="63"/>
      <c r="V546" s="63"/>
      <c r="W546" s="63"/>
      <c r="X546" s="63"/>
      <c r="Y546" s="63"/>
      <c r="Z546" s="63"/>
      <c r="AA546" s="63"/>
      <c r="AB546" s="63"/>
      <c r="AC546" s="63"/>
    </row>
    <row r="547" spans="2:29">
      <c r="B547" s="71"/>
      <c r="C547" s="71"/>
      <c r="D547" s="71"/>
      <c r="E547" s="71"/>
      <c r="F547" s="71"/>
      <c r="G547" s="71"/>
      <c r="H547" s="71"/>
      <c r="I547" s="71"/>
      <c r="J547" s="71"/>
      <c r="K547" s="71"/>
      <c r="L547" s="71"/>
      <c r="M547" s="71"/>
      <c r="N547" s="71"/>
      <c r="O547" s="71"/>
      <c r="P547" s="61"/>
      <c r="Q547" s="62"/>
      <c r="R547" s="63"/>
      <c r="S547" s="63"/>
      <c r="T547" s="63"/>
      <c r="U547" s="63"/>
      <c r="V547" s="63"/>
      <c r="W547" s="63"/>
      <c r="X547" s="63"/>
      <c r="Y547" s="63"/>
      <c r="Z547" s="63"/>
      <c r="AA547" s="63"/>
      <c r="AB547" s="63"/>
      <c r="AC547" s="63"/>
    </row>
    <row r="548" spans="2:29">
      <c r="B548" s="71"/>
      <c r="C548" s="71"/>
      <c r="D548" s="71"/>
      <c r="E548" s="71"/>
      <c r="F548" s="71"/>
      <c r="G548" s="71"/>
      <c r="H548" s="71"/>
      <c r="I548" s="71"/>
      <c r="J548" s="71"/>
      <c r="K548" s="71"/>
      <c r="L548" s="71"/>
      <c r="M548" s="71"/>
      <c r="N548" s="71"/>
      <c r="O548" s="71"/>
      <c r="P548" s="61"/>
      <c r="Q548" s="62"/>
      <c r="R548" s="63"/>
      <c r="S548" s="63"/>
      <c r="T548" s="63"/>
      <c r="U548" s="63"/>
      <c r="V548" s="63"/>
      <c r="W548" s="63"/>
      <c r="X548" s="63"/>
      <c r="Y548" s="63"/>
      <c r="Z548" s="63"/>
      <c r="AA548" s="63"/>
      <c r="AB548" s="63"/>
      <c r="AC548" s="63"/>
    </row>
    <row r="549" spans="2:29">
      <c r="B549" s="71"/>
      <c r="C549" s="71"/>
      <c r="D549" s="71"/>
      <c r="E549" s="71"/>
      <c r="F549" s="71"/>
      <c r="G549" s="71"/>
      <c r="H549" s="71"/>
      <c r="I549" s="71"/>
      <c r="J549" s="71"/>
      <c r="K549" s="71"/>
      <c r="L549" s="71"/>
      <c r="M549" s="71"/>
      <c r="N549" s="71"/>
      <c r="O549" s="71"/>
      <c r="P549" s="61"/>
      <c r="Q549" s="62"/>
      <c r="R549" s="63"/>
      <c r="S549" s="63"/>
      <c r="T549" s="63"/>
      <c r="U549" s="63"/>
      <c r="V549" s="63"/>
      <c r="W549" s="63"/>
      <c r="X549" s="63"/>
      <c r="Y549" s="63"/>
      <c r="Z549" s="63"/>
      <c r="AA549" s="63"/>
      <c r="AB549" s="63"/>
      <c r="AC549" s="63"/>
    </row>
    <row r="550" spans="2:29">
      <c r="B550" s="71"/>
      <c r="C550" s="71"/>
      <c r="D550" s="71"/>
      <c r="E550" s="71"/>
      <c r="F550" s="71"/>
      <c r="G550" s="71"/>
      <c r="H550" s="71"/>
      <c r="I550" s="71"/>
      <c r="J550" s="71"/>
      <c r="K550" s="71"/>
      <c r="L550" s="71"/>
      <c r="M550" s="71"/>
      <c r="N550" s="71"/>
      <c r="O550" s="71"/>
      <c r="P550" s="61"/>
      <c r="Q550" s="62"/>
      <c r="R550" s="63"/>
      <c r="S550" s="63"/>
      <c r="T550" s="63"/>
      <c r="U550" s="63"/>
      <c r="V550" s="63"/>
      <c r="W550" s="63"/>
      <c r="X550" s="63"/>
      <c r="Y550" s="63"/>
      <c r="Z550" s="63"/>
      <c r="AA550" s="63"/>
      <c r="AB550" s="63"/>
      <c r="AC550" s="63"/>
    </row>
    <row r="551" spans="2:29">
      <c r="B551" s="71"/>
      <c r="C551" s="71"/>
      <c r="D551" s="71"/>
      <c r="E551" s="71"/>
      <c r="F551" s="71"/>
      <c r="G551" s="71"/>
      <c r="H551" s="71"/>
      <c r="I551" s="71"/>
      <c r="J551" s="71"/>
      <c r="K551" s="71"/>
      <c r="L551" s="71"/>
      <c r="M551" s="71"/>
      <c r="N551" s="71"/>
      <c r="O551" s="71"/>
      <c r="P551" s="61"/>
      <c r="Q551" s="62"/>
      <c r="R551" s="63"/>
      <c r="S551" s="63"/>
      <c r="T551" s="63"/>
      <c r="U551" s="63"/>
      <c r="V551" s="63"/>
      <c r="W551" s="63"/>
      <c r="X551" s="63"/>
      <c r="Y551" s="63"/>
      <c r="Z551" s="63"/>
      <c r="AA551" s="63"/>
      <c r="AB551" s="63"/>
      <c r="AC551" s="63"/>
    </row>
    <row r="552" spans="2:29">
      <c r="B552" s="71"/>
      <c r="C552" s="71"/>
      <c r="D552" s="71"/>
      <c r="E552" s="71"/>
      <c r="F552" s="71"/>
      <c r="G552" s="71"/>
      <c r="H552" s="71"/>
      <c r="I552" s="71"/>
      <c r="J552" s="71"/>
      <c r="K552" s="71"/>
      <c r="L552" s="71"/>
      <c r="M552" s="71"/>
      <c r="N552" s="71"/>
      <c r="O552" s="71"/>
      <c r="P552" s="61"/>
      <c r="Q552" s="62"/>
      <c r="R552" s="63"/>
      <c r="S552" s="63"/>
      <c r="T552" s="63"/>
      <c r="U552" s="63"/>
      <c r="V552" s="63"/>
      <c r="W552" s="63"/>
      <c r="X552" s="63"/>
      <c r="Y552" s="63"/>
      <c r="Z552" s="63"/>
      <c r="AA552" s="63"/>
      <c r="AB552" s="63"/>
      <c r="AC552" s="63"/>
    </row>
    <row r="553" spans="2:29">
      <c r="B553" s="71"/>
      <c r="C553" s="71"/>
      <c r="D553" s="71"/>
      <c r="E553" s="71"/>
      <c r="F553" s="71"/>
      <c r="G553" s="71"/>
      <c r="H553" s="71"/>
      <c r="I553" s="71"/>
      <c r="J553" s="71"/>
      <c r="K553" s="71"/>
      <c r="L553" s="71"/>
      <c r="M553" s="71"/>
      <c r="N553" s="71"/>
      <c r="O553" s="71"/>
      <c r="P553" s="61"/>
      <c r="Q553" s="62"/>
      <c r="R553" s="63"/>
      <c r="S553" s="63"/>
      <c r="T553" s="63"/>
      <c r="U553" s="63"/>
      <c r="V553" s="63"/>
      <c r="W553" s="63"/>
      <c r="X553" s="63"/>
      <c r="Y553" s="63"/>
      <c r="Z553" s="63"/>
      <c r="AA553" s="63"/>
      <c r="AB553" s="63"/>
      <c r="AC553" s="63"/>
    </row>
    <row r="554" spans="2:29">
      <c r="B554" s="71"/>
      <c r="C554" s="71"/>
      <c r="D554" s="71"/>
      <c r="E554" s="71"/>
      <c r="F554" s="71"/>
      <c r="G554" s="71"/>
      <c r="H554" s="71"/>
      <c r="I554" s="71"/>
      <c r="J554" s="71"/>
      <c r="K554" s="71"/>
      <c r="L554" s="71"/>
      <c r="M554" s="71"/>
      <c r="N554" s="71"/>
      <c r="O554" s="71"/>
      <c r="P554" s="61"/>
      <c r="Q554" s="62"/>
      <c r="R554" s="63"/>
      <c r="S554" s="63"/>
      <c r="T554" s="63"/>
      <c r="U554" s="63"/>
      <c r="V554" s="63"/>
      <c r="W554" s="63"/>
      <c r="X554" s="63"/>
      <c r="Y554" s="63"/>
      <c r="Z554" s="63"/>
      <c r="AA554" s="63"/>
      <c r="AB554" s="63"/>
      <c r="AC554" s="63"/>
    </row>
    <row r="555" spans="2:29">
      <c r="B555" s="71"/>
      <c r="C555" s="71"/>
      <c r="D555" s="71"/>
      <c r="E555" s="71"/>
      <c r="F555" s="71"/>
      <c r="G555" s="71"/>
      <c r="H555" s="71"/>
      <c r="I555" s="71"/>
      <c r="J555" s="71"/>
      <c r="K555" s="71"/>
      <c r="L555" s="71"/>
      <c r="M555" s="71"/>
      <c r="N555" s="71"/>
      <c r="O555" s="71"/>
      <c r="P555" s="61"/>
      <c r="Q555" s="62"/>
      <c r="R555" s="63"/>
      <c r="S555" s="63"/>
      <c r="T555" s="63"/>
      <c r="U555" s="63"/>
      <c r="V555" s="63"/>
      <c r="W555" s="63"/>
      <c r="X555" s="63"/>
      <c r="Y555" s="63"/>
      <c r="Z555" s="63"/>
      <c r="AA555" s="63"/>
      <c r="AB555" s="63"/>
      <c r="AC555" s="63"/>
    </row>
    <row r="556" spans="2:29">
      <c r="B556" s="71"/>
      <c r="C556" s="71"/>
      <c r="D556" s="71"/>
      <c r="E556" s="71"/>
      <c r="F556" s="71"/>
      <c r="G556" s="71"/>
      <c r="H556" s="71"/>
      <c r="I556" s="71"/>
      <c r="J556" s="71"/>
      <c r="K556" s="71"/>
      <c r="L556" s="71"/>
      <c r="M556" s="71"/>
      <c r="N556" s="71"/>
      <c r="O556" s="71"/>
      <c r="P556" s="61"/>
      <c r="Q556" s="62"/>
      <c r="R556" s="63"/>
      <c r="S556" s="63"/>
      <c r="T556" s="63"/>
      <c r="U556" s="63"/>
      <c r="V556" s="63"/>
      <c r="W556" s="63"/>
      <c r="X556" s="63"/>
      <c r="Y556" s="63"/>
      <c r="Z556" s="63"/>
      <c r="AA556" s="63"/>
      <c r="AB556" s="63"/>
      <c r="AC556" s="63"/>
    </row>
    <row r="557" spans="2:29">
      <c r="B557" s="71"/>
      <c r="C557" s="71"/>
      <c r="D557" s="71"/>
      <c r="E557" s="71"/>
      <c r="F557" s="71"/>
      <c r="G557" s="71"/>
      <c r="H557" s="71"/>
      <c r="I557" s="71"/>
      <c r="J557" s="71"/>
      <c r="K557" s="71"/>
      <c r="L557" s="71"/>
      <c r="M557" s="71"/>
      <c r="N557" s="71"/>
      <c r="O557" s="71"/>
      <c r="P557" s="61"/>
      <c r="Q557" s="62"/>
      <c r="R557" s="63"/>
      <c r="S557" s="63"/>
      <c r="T557" s="63"/>
      <c r="U557" s="63"/>
      <c r="V557" s="63"/>
      <c r="W557" s="63"/>
      <c r="X557" s="63"/>
      <c r="Y557" s="63"/>
      <c r="Z557" s="63"/>
      <c r="AA557" s="63"/>
      <c r="AB557" s="63"/>
      <c r="AC557" s="63"/>
    </row>
    <row r="558" spans="2:29">
      <c r="B558" s="71"/>
      <c r="C558" s="71"/>
      <c r="D558" s="71"/>
      <c r="E558" s="71"/>
      <c r="F558" s="71"/>
      <c r="G558" s="71"/>
      <c r="H558" s="71"/>
      <c r="I558" s="71"/>
      <c r="J558" s="71"/>
      <c r="K558" s="71"/>
      <c r="L558" s="71"/>
      <c r="M558" s="71"/>
      <c r="N558" s="71"/>
      <c r="O558" s="71"/>
      <c r="P558" s="61"/>
      <c r="Q558" s="62"/>
      <c r="R558" s="63"/>
      <c r="S558" s="63"/>
      <c r="T558" s="63"/>
      <c r="U558" s="63"/>
      <c r="V558" s="63"/>
      <c r="W558" s="63"/>
      <c r="X558" s="63"/>
      <c r="Y558" s="63"/>
      <c r="Z558" s="63"/>
      <c r="AA558" s="63"/>
      <c r="AB558" s="63"/>
      <c r="AC558" s="63"/>
    </row>
    <row r="559" spans="2:29">
      <c r="B559" s="71"/>
      <c r="C559" s="71"/>
      <c r="D559" s="71"/>
      <c r="E559" s="71"/>
      <c r="F559" s="71"/>
      <c r="G559" s="71"/>
      <c r="H559" s="71"/>
      <c r="I559" s="71"/>
      <c r="J559" s="71"/>
      <c r="K559" s="71"/>
      <c r="L559" s="71"/>
      <c r="M559" s="71"/>
      <c r="N559" s="71"/>
      <c r="O559" s="71"/>
      <c r="P559" s="61"/>
      <c r="Q559" s="62"/>
      <c r="R559" s="63"/>
      <c r="S559" s="63"/>
      <c r="T559" s="63"/>
      <c r="U559" s="63"/>
      <c r="V559" s="63"/>
      <c r="W559" s="63"/>
      <c r="X559" s="63"/>
      <c r="Y559" s="63"/>
      <c r="Z559" s="63"/>
      <c r="AA559" s="63"/>
      <c r="AB559" s="63"/>
      <c r="AC559" s="63"/>
    </row>
    <row r="560" spans="2:29">
      <c r="B560" s="71"/>
      <c r="C560" s="71"/>
      <c r="D560" s="71"/>
      <c r="E560" s="71"/>
      <c r="F560" s="71"/>
      <c r="G560" s="71"/>
      <c r="H560" s="71"/>
      <c r="I560" s="71"/>
      <c r="J560" s="71"/>
      <c r="K560" s="71"/>
      <c r="L560" s="71"/>
      <c r="M560" s="71"/>
      <c r="N560" s="71"/>
      <c r="O560" s="71"/>
      <c r="P560" s="61"/>
      <c r="Q560" s="62"/>
      <c r="R560" s="63"/>
      <c r="S560" s="63"/>
      <c r="T560" s="63"/>
      <c r="U560" s="63"/>
      <c r="V560" s="63"/>
      <c r="W560" s="63"/>
      <c r="X560" s="63"/>
      <c r="Y560" s="63"/>
      <c r="Z560" s="63"/>
      <c r="AA560" s="63"/>
      <c r="AB560" s="63"/>
      <c r="AC560" s="63"/>
    </row>
    <row r="561" spans="2:29">
      <c r="B561" s="71"/>
      <c r="C561" s="71"/>
      <c r="D561" s="71"/>
      <c r="E561" s="71"/>
      <c r="F561" s="71"/>
      <c r="G561" s="71"/>
      <c r="H561" s="71"/>
      <c r="I561" s="71"/>
      <c r="J561" s="71"/>
      <c r="K561" s="71"/>
      <c r="L561" s="71"/>
      <c r="M561" s="71"/>
      <c r="N561" s="71"/>
      <c r="O561" s="71"/>
      <c r="P561" s="61"/>
      <c r="Q561" s="62"/>
      <c r="R561" s="63"/>
      <c r="S561" s="63"/>
      <c r="T561" s="63"/>
      <c r="U561" s="63"/>
      <c r="V561" s="63"/>
      <c r="W561" s="63"/>
      <c r="X561" s="63"/>
      <c r="Y561" s="63"/>
      <c r="Z561" s="63"/>
      <c r="AA561" s="63"/>
      <c r="AB561" s="63"/>
      <c r="AC561" s="63"/>
    </row>
    <row r="562" spans="2:29">
      <c r="B562" s="71"/>
      <c r="C562" s="71"/>
      <c r="D562" s="71"/>
      <c r="E562" s="71"/>
      <c r="F562" s="71"/>
      <c r="G562" s="71"/>
      <c r="H562" s="71"/>
      <c r="I562" s="71"/>
      <c r="J562" s="71"/>
      <c r="K562" s="71"/>
      <c r="L562" s="71"/>
      <c r="M562" s="71"/>
      <c r="N562" s="71"/>
      <c r="O562" s="71"/>
      <c r="P562" s="61"/>
      <c r="Q562" s="62"/>
      <c r="R562" s="63"/>
      <c r="S562" s="63"/>
      <c r="T562" s="63"/>
      <c r="U562" s="63"/>
      <c r="V562" s="63"/>
      <c r="W562" s="63"/>
      <c r="X562" s="63"/>
      <c r="Y562" s="63"/>
      <c r="Z562" s="63"/>
      <c r="AA562" s="63"/>
      <c r="AB562" s="63"/>
      <c r="AC562" s="63"/>
    </row>
    <row r="563" spans="2:29">
      <c r="B563" s="71"/>
      <c r="C563" s="71"/>
      <c r="D563" s="71"/>
      <c r="E563" s="71"/>
      <c r="F563" s="71"/>
      <c r="G563" s="71"/>
      <c r="H563" s="71"/>
      <c r="I563" s="71"/>
      <c r="J563" s="71"/>
      <c r="K563" s="71"/>
      <c r="L563" s="71"/>
      <c r="M563" s="71"/>
      <c r="N563" s="71"/>
      <c r="O563" s="71"/>
      <c r="P563" s="61"/>
      <c r="Q563" s="62"/>
      <c r="R563" s="63"/>
      <c r="S563" s="63"/>
      <c r="T563" s="63"/>
      <c r="U563" s="63"/>
      <c r="V563" s="63"/>
      <c r="W563" s="63"/>
      <c r="X563" s="63"/>
      <c r="Y563" s="63"/>
      <c r="Z563" s="63"/>
      <c r="AA563" s="63"/>
      <c r="AB563" s="63"/>
      <c r="AC563" s="63"/>
    </row>
    <row r="564" spans="2:29">
      <c r="B564" s="71"/>
      <c r="C564" s="71"/>
      <c r="D564" s="71"/>
      <c r="E564" s="71"/>
      <c r="F564" s="71"/>
      <c r="G564" s="71"/>
      <c r="H564" s="71"/>
      <c r="I564" s="71"/>
      <c r="J564" s="71"/>
      <c r="K564" s="71"/>
      <c r="L564" s="71"/>
      <c r="M564" s="71"/>
      <c r="N564" s="71"/>
      <c r="O564" s="71"/>
      <c r="P564" s="61"/>
      <c r="Q564" s="62"/>
      <c r="R564" s="63"/>
      <c r="S564" s="63"/>
      <c r="T564" s="63"/>
      <c r="U564" s="63"/>
      <c r="V564" s="63"/>
      <c r="W564" s="63"/>
      <c r="X564" s="63"/>
      <c r="Y564" s="63"/>
      <c r="Z564" s="63"/>
      <c r="AA564" s="63"/>
      <c r="AB564" s="63"/>
      <c r="AC564" s="63"/>
    </row>
    <row r="565" spans="2:29">
      <c r="B565" s="71"/>
      <c r="C565" s="71"/>
      <c r="D565" s="71"/>
      <c r="E565" s="71"/>
      <c r="F565" s="71"/>
      <c r="G565" s="71"/>
      <c r="H565" s="71"/>
      <c r="I565" s="71"/>
      <c r="J565" s="71"/>
      <c r="K565" s="71"/>
      <c r="L565" s="71"/>
      <c r="M565" s="71"/>
      <c r="N565" s="71"/>
      <c r="O565" s="71"/>
      <c r="P565" s="61"/>
      <c r="Q565" s="62"/>
      <c r="R565" s="63"/>
      <c r="S565" s="63"/>
      <c r="T565" s="63"/>
      <c r="U565" s="63"/>
      <c r="V565" s="63"/>
      <c r="W565" s="63"/>
      <c r="X565" s="63"/>
      <c r="Y565" s="63"/>
      <c r="Z565" s="63"/>
      <c r="AA565" s="63"/>
      <c r="AB565" s="63"/>
      <c r="AC565" s="63"/>
    </row>
    <row r="566" spans="2:29">
      <c r="B566" s="71"/>
      <c r="C566" s="71"/>
      <c r="D566" s="71"/>
      <c r="E566" s="71"/>
      <c r="F566" s="71"/>
      <c r="G566" s="71"/>
      <c r="H566" s="71"/>
      <c r="I566" s="71"/>
      <c r="J566" s="71"/>
      <c r="K566" s="71"/>
      <c r="L566" s="71"/>
      <c r="M566" s="71"/>
      <c r="N566" s="71"/>
      <c r="O566" s="71"/>
      <c r="P566" s="61"/>
      <c r="Q566" s="62"/>
      <c r="R566" s="63"/>
      <c r="S566" s="63"/>
      <c r="T566" s="63"/>
      <c r="U566" s="63"/>
      <c r="V566" s="63"/>
      <c r="W566" s="63"/>
      <c r="X566" s="63"/>
      <c r="Y566" s="63"/>
      <c r="Z566" s="63"/>
      <c r="AA566" s="63"/>
      <c r="AB566" s="63"/>
      <c r="AC566" s="63"/>
    </row>
    <row r="567" spans="2:29">
      <c r="B567" s="71"/>
      <c r="C567" s="71"/>
      <c r="D567" s="71"/>
      <c r="E567" s="71"/>
      <c r="F567" s="71"/>
      <c r="G567" s="71"/>
      <c r="H567" s="71"/>
      <c r="I567" s="71"/>
      <c r="J567" s="71"/>
      <c r="K567" s="71"/>
      <c r="L567" s="71"/>
      <c r="M567" s="71"/>
      <c r="N567" s="71"/>
      <c r="O567" s="71"/>
      <c r="P567" s="61"/>
      <c r="Q567" s="62"/>
      <c r="R567" s="63"/>
      <c r="S567" s="63"/>
      <c r="T567" s="63"/>
      <c r="U567" s="63"/>
      <c r="V567" s="63"/>
      <c r="W567" s="63"/>
      <c r="X567" s="63"/>
      <c r="Y567" s="63"/>
      <c r="Z567" s="63"/>
      <c r="AA567" s="63"/>
      <c r="AB567" s="63"/>
      <c r="AC567" s="63"/>
    </row>
    <row r="568" spans="2:29">
      <c r="B568" s="71"/>
      <c r="C568" s="71"/>
      <c r="D568" s="71"/>
      <c r="E568" s="71"/>
      <c r="F568" s="71"/>
      <c r="G568" s="71"/>
      <c r="H568" s="71"/>
      <c r="I568" s="71"/>
      <c r="J568" s="71"/>
      <c r="K568" s="71"/>
      <c r="L568" s="71"/>
      <c r="M568" s="71"/>
      <c r="N568" s="71"/>
      <c r="O568" s="71"/>
      <c r="P568" s="61"/>
      <c r="Q568" s="62"/>
      <c r="R568" s="63"/>
      <c r="S568" s="63"/>
      <c r="T568" s="63"/>
      <c r="U568" s="63"/>
      <c r="V568" s="63"/>
      <c r="W568" s="63"/>
      <c r="X568" s="63"/>
      <c r="Y568" s="63"/>
      <c r="Z568" s="63"/>
      <c r="AA568" s="63"/>
      <c r="AB568" s="63"/>
      <c r="AC568" s="63"/>
    </row>
    <row r="569" spans="2:29">
      <c r="B569" s="71"/>
      <c r="C569" s="71"/>
      <c r="D569" s="71"/>
      <c r="E569" s="71"/>
      <c r="F569" s="71"/>
      <c r="G569" s="71"/>
      <c r="H569" s="71"/>
      <c r="I569" s="71"/>
      <c r="J569" s="71"/>
      <c r="K569" s="71"/>
      <c r="L569" s="71"/>
      <c r="M569" s="71"/>
      <c r="N569" s="71"/>
      <c r="O569" s="71"/>
      <c r="P569" s="61"/>
      <c r="Q569" s="62"/>
      <c r="R569" s="63"/>
      <c r="S569" s="63"/>
      <c r="T569" s="63"/>
      <c r="U569" s="63"/>
      <c r="V569" s="63"/>
      <c r="W569" s="63"/>
      <c r="X569" s="63"/>
      <c r="Y569" s="63"/>
      <c r="Z569" s="63"/>
      <c r="AA569" s="63"/>
      <c r="AB569" s="63"/>
      <c r="AC569" s="63"/>
    </row>
    <row r="570" spans="2:29">
      <c r="B570" s="71"/>
      <c r="C570" s="71"/>
      <c r="D570" s="71"/>
      <c r="E570" s="71"/>
      <c r="F570" s="71"/>
      <c r="G570" s="71"/>
      <c r="H570" s="71"/>
      <c r="I570" s="71"/>
      <c r="J570" s="71"/>
      <c r="K570" s="71"/>
      <c r="L570" s="71"/>
      <c r="M570" s="71"/>
      <c r="N570" s="71"/>
      <c r="O570" s="71"/>
      <c r="P570" s="61"/>
      <c r="Q570" s="62"/>
      <c r="R570" s="63"/>
      <c r="S570" s="63"/>
      <c r="T570" s="63"/>
      <c r="U570" s="63"/>
      <c r="V570" s="63"/>
      <c r="W570" s="63"/>
      <c r="X570" s="63"/>
      <c r="Y570" s="63"/>
      <c r="Z570" s="63"/>
      <c r="AA570" s="63"/>
      <c r="AB570" s="63"/>
      <c r="AC570" s="63"/>
    </row>
    <row r="571" spans="2:29">
      <c r="B571" s="71"/>
      <c r="C571" s="71"/>
      <c r="D571" s="71"/>
      <c r="E571" s="71"/>
      <c r="F571" s="71"/>
      <c r="G571" s="71"/>
      <c r="H571" s="71"/>
      <c r="I571" s="71"/>
      <c r="J571" s="71"/>
      <c r="K571" s="71"/>
      <c r="L571" s="71"/>
      <c r="M571" s="71"/>
      <c r="N571" s="71"/>
      <c r="O571" s="71"/>
      <c r="P571" s="61"/>
      <c r="Q571" s="62"/>
      <c r="R571" s="63"/>
      <c r="S571" s="63"/>
      <c r="T571" s="63"/>
      <c r="U571" s="63"/>
      <c r="V571" s="63"/>
      <c r="W571" s="63"/>
      <c r="X571" s="63"/>
      <c r="Y571" s="63"/>
      <c r="Z571" s="63"/>
      <c r="AA571" s="63"/>
      <c r="AB571" s="63"/>
      <c r="AC571" s="63"/>
    </row>
    <row r="572" spans="2:29">
      <c r="B572" s="71"/>
      <c r="C572" s="71"/>
      <c r="D572" s="71"/>
      <c r="E572" s="71"/>
      <c r="F572" s="71"/>
      <c r="G572" s="71"/>
      <c r="H572" s="71"/>
      <c r="I572" s="71"/>
      <c r="J572" s="71"/>
      <c r="K572" s="71"/>
      <c r="L572" s="71"/>
      <c r="M572" s="71"/>
      <c r="N572" s="71"/>
      <c r="O572" s="71"/>
      <c r="P572" s="61"/>
      <c r="Q572" s="62"/>
      <c r="R572" s="63"/>
      <c r="S572" s="63"/>
      <c r="T572" s="63"/>
      <c r="U572" s="63"/>
      <c r="V572" s="63"/>
      <c r="W572" s="63"/>
      <c r="X572" s="63"/>
      <c r="Y572" s="63"/>
      <c r="Z572" s="63"/>
      <c r="AA572" s="63"/>
      <c r="AB572" s="63"/>
      <c r="AC572" s="63"/>
    </row>
    <row r="573" spans="2:29">
      <c r="B573" s="71"/>
      <c r="C573" s="71"/>
      <c r="D573" s="71"/>
      <c r="E573" s="71"/>
      <c r="F573" s="71"/>
      <c r="G573" s="71"/>
      <c r="H573" s="71"/>
      <c r="I573" s="71"/>
      <c r="J573" s="71"/>
      <c r="K573" s="71"/>
      <c r="L573" s="71"/>
      <c r="M573" s="71"/>
      <c r="N573" s="71"/>
      <c r="O573" s="71"/>
      <c r="P573" s="61"/>
      <c r="Q573" s="62"/>
      <c r="R573" s="63"/>
      <c r="S573" s="63"/>
      <c r="T573" s="63"/>
      <c r="U573" s="63"/>
      <c r="V573" s="63"/>
      <c r="W573" s="63"/>
      <c r="X573" s="63"/>
      <c r="Y573" s="63"/>
      <c r="Z573" s="63"/>
      <c r="AA573" s="63"/>
      <c r="AB573" s="63"/>
      <c r="AC573" s="63"/>
    </row>
    <row r="574" spans="2:29">
      <c r="B574" s="71"/>
      <c r="C574" s="71"/>
      <c r="D574" s="71"/>
      <c r="E574" s="71"/>
      <c r="F574" s="71"/>
      <c r="G574" s="71"/>
      <c r="H574" s="71"/>
      <c r="I574" s="71"/>
      <c r="J574" s="71"/>
      <c r="K574" s="71"/>
      <c r="L574" s="71"/>
      <c r="M574" s="71"/>
      <c r="N574" s="71"/>
      <c r="O574" s="71"/>
      <c r="P574" s="61"/>
      <c r="Q574" s="62"/>
      <c r="R574" s="63"/>
      <c r="S574" s="63"/>
      <c r="T574" s="63"/>
      <c r="U574" s="63"/>
      <c r="V574" s="63"/>
      <c r="W574" s="63"/>
      <c r="X574" s="63"/>
      <c r="Y574" s="63"/>
      <c r="Z574" s="63"/>
      <c r="AA574" s="63"/>
      <c r="AB574" s="63"/>
      <c r="AC574" s="63"/>
    </row>
    <row r="575" spans="2:29">
      <c r="B575" s="71"/>
      <c r="C575" s="71"/>
      <c r="D575" s="71"/>
      <c r="E575" s="71"/>
      <c r="F575" s="71"/>
      <c r="G575" s="71"/>
      <c r="H575" s="71"/>
      <c r="I575" s="71"/>
      <c r="J575" s="71"/>
      <c r="K575" s="71"/>
      <c r="L575" s="71"/>
      <c r="M575" s="71"/>
      <c r="N575" s="71"/>
      <c r="O575" s="71"/>
      <c r="P575" s="61"/>
      <c r="Q575" s="62"/>
      <c r="R575" s="63"/>
      <c r="S575" s="63"/>
      <c r="T575" s="63"/>
      <c r="U575" s="63"/>
      <c r="V575" s="63"/>
      <c r="W575" s="63"/>
      <c r="X575" s="63"/>
      <c r="Y575" s="63"/>
      <c r="Z575" s="63"/>
      <c r="AA575" s="63"/>
      <c r="AB575" s="63"/>
      <c r="AC575" s="63"/>
    </row>
    <row r="576" spans="2:29">
      <c r="B576" s="71"/>
      <c r="C576" s="71"/>
      <c r="D576" s="71"/>
      <c r="E576" s="71"/>
      <c r="F576" s="71"/>
      <c r="G576" s="71"/>
      <c r="H576" s="71"/>
      <c r="I576" s="71"/>
      <c r="J576" s="71"/>
      <c r="K576" s="71"/>
      <c r="L576" s="71"/>
      <c r="M576" s="71"/>
      <c r="N576" s="71"/>
      <c r="O576" s="71"/>
      <c r="P576" s="61"/>
      <c r="Q576" s="62"/>
      <c r="R576" s="63"/>
      <c r="S576" s="63"/>
      <c r="T576" s="63"/>
      <c r="U576" s="63"/>
      <c r="V576" s="63"/>
      <c r="W576" s="63"/>
      <c r="X576" s="63"/>
      <c r="Y576" s="63"/>
      <c r="Z576" s="63"/>
      <c r="AA576" s="63"/>
      <c r="AB576" s="63"/>
      <c r="AC576" s="63"/>
    </row>
    <row r="577" spans="2:29">
      <c r="B577" s="71"/>
      <c r="C577" s="71"/>
      <c r="D577" s="71"/>
      <c r="E577" s="71"/>
      <c r="F577" s="71"/>
      <c r="G577" s="71"/>
      <c r="H577" s="71"/>
      <c r="I577" s="71"/>
      <c r="J577" s="71"/>
      <c r="K577" s="71"/>
      <c r="L577" s="71"/>
      <c r="M577" s="71"/>
      <c r="N577" s="71"/>
      <c r="O577" s="71"/>
      <c r="P577" s="61"/>
      <c r="Q577" s="62"/>
      <c r="R577" s="63"/>
      <c r="S577" s="63"/>
      <c r="T577" s="63"/>
      <c r="U577" s="63"/>
      <c r="V577" s="63"/>
      <c r="W577" s="63"/>
      <c r="X577" s="63"/>
      <c r="Y577" s="63"/>
      <c r="Z577" s="63"/>
      <c r="AA577" s="63"/>
      <c r="AB577" s="63"/>
      <c r="AC577" s="63"/>
    </row>
    <row r="578" spans="2:29">
      <c r="B578" s="71"/>
      <c r="C578" s="71"/>
      <c r="D578" s="71"/>
      <c r="E578" s="71"/>
      <c r="F578" s="71"/>
      <c r="G578" s="71"/>
      <c r="H578" s="71"/>
      <c r="I578" s="71"/>
      <c r="J578" s="71"/>
      <c r="K578" s="71"/>
      <c r="L578" s="71"/>
      <c r="M578" s="71"/>
      <c r="N578" s="71"/>
      <c r="O578" s="71"/>
      <c r="P578" s="61"/>
      <c r="Q578" s="62"/>
      <c r="R578" s="63"/>
      <c r="S578" s="63"/>
      <c r="T578" s="63"/>
      <c r="U578" s="63"/>
      <c r="V578" s="63"/>
      <c r="W578" s="63"/>
      <c r="X578" s="63"/>
      <c r="Y578" s="63"/>
      <c r="Z578" s="63"/>
      <c r="AA578" s="63"/>
      <c r="AB578" s="63"/>
      <c r="AC578" s="63"/>
    </row>
    <row r="579" spans="2:29">
      <c r="B579" s="71"/>
      <c r="C579" s="71"/>
      <c r="D579" s="71"/>
      <c r="E579" s="71"/>
      <c r="F579" s="71"/>
      <c r="G579" s="71"/>
      <c r="H579" s="71"/>
      <c r="I579" s="71"/>
      <c r="J579" s="71"/>
      <c r="K579" s="71"/>
      <c r="L579" s="71"/>
      <c r="M579" s="71"/>
      <c r="N579" s="71"/>
      <c r="O579" s="71"/>
      <c r="P579" s="61"/>
      <c r="Q579" s="62"/>
      <c r="R579" s="63"/>
      <c r="S579" s="63"/>
      <c r="T579" s="63"/>
      <c r="U579" s="63"/>
      <c r="V579" s="63"/>
      <c r="W579" s="63"/>
      <c r="X579" s="63"/>
      <c r="Y579" s="63"/>
      <c r="Z579" s="63"/>
      <c r="AA579" s="63"/>
      <c r="AB579" s="63"/>
      <c r="AC579" s="63"/>
    </row>
    <row r="580" spans="2:29">
      <c r="B580" s="71"/>
      <c r="C580" s="71"/>
      <c r="D580" s="71"/>
      <c r="E580" s="71"/>
      <c r="F580" s="71"/>
      <c r="G580" s="71"/>
      <c r="H580" s="71"/>
      <c r="I580" s="71"/>
      <c r="J580" s="71"/>
      <c r="K580" s="71"/>
      <c r="L580" s="71"/>
      <c r="M580" s="71"/>
      <c r="N580" s="71"/>
      <c r="O580" s="71"/>
      <c r="P580" s="61"/>
      <c r="Q580" s="62"/>
      <c r="R580" s="63"/>
      <c r="S580" s="63"/>
      <c r="T580" s="63"/>
      <c r="U580" s="63"/>
      <c r="V580" s="63"/>
      <c r="W580" s="63"/>
      <c r="X580" s="63"/>
      <c r="Y580" s="63"/>
      <c r="Z580" s="63"/>
      <c r="AA580" s="63"/>
      <c r="AB580" s="63"/>
      <c r="AC580" s="63"/>
    </row>
    <row r="581" spans="2:29">
      <c r="B581" s="71"/>
      <c r="C581" s="71"/>
      <c r="D581" s="71"/>
      <c r="E581" s="71"/>
      <c r="F581" s="71"/>
      <c r="G581" s="71"/>
      <c r="H581" s="71"/>
      <c r="I581" s="71"/>
      <c r="J581" s="71"/>
      <c r="K581" s="71"/>
      <c r="L581" s="71"/>
      <c r="M581" s="71"/>
      <c r="N581" s="71"/>
      <c r="O581" s="71"/>
      <c r="P581" s="61"/>
      <c r="Q581" s="62"/>
      <c r="R581" s="63"/>
      <c r="S581" s="63"/>
      <c r="T581" s="63"/>
      <c r="U581" s="63"/>
      <c r="V581" s="63"/>
      <c r="W581" s="63"/>
      <c r="X581" s="63"/>
      <c r="Y581" s="63"/>
      <c r="Z581" s="63"/>
      <c r="AA581" s="63"/>
      <c r="AB581" s="63"/>
      <c r="AC581" s="63"/>
    </row>
    <row r="582" spans="2:29">
      <c r="B582" s="71"/>
      <c r="C582" s="71"/>
      <c r="D582" s="71"/>
      <c r="E582" s="71"/>
      <c r="F582" s="71"/>
      <c r="G582" s="71"/>
      <c r="H582" s="71"/>
      <c r="I582" s="71"/>
      <c r="J582" s="71"/>
      <c r="K582" s="71"/>
      <c r="L582" s="71"/>
      <c r="M582" s="71"/>
      <c r="N582" s="71"/>
      <c r="O582" s="71"/>
      <c r="P582" s="61"/>
      <c r="Q582" s="62"/>
      <c r="R582" s="63"/>
      <c r="S582" s="63"/>
      <c r="T582" s="63"/>
      <c r="U582" s="63"/>
      <c r="V582" s="63"/>
      <c r="W582" s="63"/>
      <c r="X582" s="63"/>
      <c r="Y582" s="63"/>
      <c r="Z582" s="63"/>
      <c r="AA582" s="63"/>
      <c r="AB582" s="63"/>
      <c r="AC582" s="63"/>
    </row>
    <row r="583" spans="2:29">
      <c r="B583" s="71"/>
      <c r="C583" s="71"/>
      <c r="D583" s="71"/>
      <c r="E583" s="71"/>
      <c r="F583" s="71"/>
      <c r="G583" s="71"/>
      <c r="H583" s="71"/>
      <c r="I583" s="71"/>
      <c r="J583" s="71"/>
      <c r="K583" s="71"/>
      <c r="L583" s="71"/>
      <c r="M583" s="71"/>
      <c r="N583" s="71"/>
      <c r="O583" s="71"/>
      <c r="P583" s="61"/>
      <c r="Q583" s="62"/>
      <c r="R583" s="63"/>
      <c r="S583" s="63"/>
      <c r="T583" s="63"/>
      <c r="U583" s="63"/>
      <c r="V583" s="63"/>
      <c r="W583" s="63"/>
      <c r="X583" s="63"/>
      <c r="Y583" s="63"/>
      <c r="Z583" s="63"/>
      <c r="AA583" s="63"/>
      <c r="AB583" s="63"/>
      <c r="AC583" s="63"/>
    </row>
    <row r="584" spans="2:29">
      <c r="B584" s="71"/>
      <c r="C584" s="71"/>
      <c r="D584" s="71"/>
      <c r="E584" s="71"/>
      <c r="F584" s="71"/>
      <c r="G584" s="71"/>
      <c r="H584" s="71"/>
      <c r="I584" s="71"/>
      <c r="J584" s="71"/>
      <c r="K584" s="71"/>
      <c r="L584" s="71"/>
      <c r="M584" s="71"/>
      <c r="N584" s="71"/>
      <c r="O584" s="71"/>
      <c r="P584" s="61"/>
      <c r="Q584" s="62"/>
      <c r="R584" s="63"/>
      <c r="S584" s="63"/>
      <c r="T584" s="63"/>
      <c r="U584" s="63"/>
      <c r="V584" s="63"/>
      <c r="W584" s="63"/>
      <c r="X584" s="63"/>
      <c r="Y584" s="63"/>
      <c r="Z584" s="63"/>
      <c r="AA584" s="63"/>
      <c r="AB584" s="63"/>
      <c r="AC584" s="63"/>
    </row>
    <row r="585" spans="2:29">
      <c r="B585" s="71"/>
      <c r="C585" s="71"/>
      <c r="D585" s="71"/>
      <c r="E585" s="71"/>
      <c r="F585" s="71"/>
      <c r="G585" s="71"/>
      <c r="H585" s="71"/>
      <c r="I585" s="71"/>
      <c r="J585" s="71"/>
      <c r="K585" s="71"/>
      <c r="L585" s="71"/>
      <c r="M585" s="71"/>
      <c r="N585" s="71"/>
      <c r="O585" s="71"/>
      <c r="P585" s="61"/>
      <c r="Q585" s="62"/>
      <c r="R585" s="63"/>
      <c r="S585" s="63"/>
      <c r="T585" s="63"/>
      <c r="U585" s="63"/>
      <c r="V585" s="63"/>
      <c r="W585" s="63"/>
      <c r="X585" s="63"/>
      <c r="Y585" s="63"/>
      <c r="Z585" s="63"/>
      <c r="AA585" s="63"/>
      <c r="AB585" s="63"/>
      <c r="AC585" s="63"/>
    </row>
    <row r="586" spans="2:29">
      <c r="B586" s="71"/>
      <c r="C586" s="71"/>
      <c r="D586" s="71"/>
      <c r="E586" s="71"/>
      <c r="F586" s="71"/>
      <c r="G586" s="71"/>
      <c r="H586" s="71"/>
      <c r="I586" s="71"/>
      <c r="J586" s="71"/>
      <c r="K586" s="71"/>
      <c r="L586" s="71"/>
      <c r="M586" s="71"/>
      <c r="N586" s="71"/>
      <c r="O586" s="71"/>
      <c r="P586" s="61"/>
      <c r="Q586" s="62"/>
      <c r="R586" s="63"/>
      <c r="S586" s="63"/>
      <c r="T586" s="63"/>
      <c r="U586" s="63"/>
      <c r="V586" s="63"/>
      <c r="W586" s="63"/>
      <c r="X586" s="63"/>
      <c r="Y586" s="63"/>
      <c r="Z586" s="63"/>
      <c r="AA586" s="63"/>
      <c r="AB586" s="63"/>
      <c r="AC586" s="63"/>
    </row>
    <row r="587" spans="2:29">
      <c r="B587" s="71"/>
      <c r="C587" s="71"/>
      <c r="D587" s="71"/>
      <c r="E587" s="71"/>
      <c r="F587" s="71"/>
      <c r="G587" s="71"/>
      <c r="H587" s="71"/>
      <c r="I587" s="71"/>
      <c r="J587" s="71"/>
      <c r="K587" s="71"/>
      <c r="L587" s="71"/>
      <c r="M587" s="71"/>
      <c r="N587" s="71"/>
      <c r="O587" s="71"/>
      <c r="P587" s="61"/>
      <c r="Q587" s="62"/>
      <c r="R587" s="63"/>
      <c r="S587" s="63"/>
      <c r="T587" s="63"/>
      <c r="U587" s="63"/>
      <c r="V587" s="63"/>
      <c r="W587" s="63"/>
      <c r="X587" s="63"/>
      <c r="Y587" s="63"/>
      <c r="Z587" s="63"/>
      <c r="AA587" s="63"/>
      <c r="AB587" s="63"/>
      <c r="AC587" s="63"/>
    </row>
    <row r="588" spans="2:29">
      <c r="B588" s="71"/>
      <c r="C588" s="71"/>
      <c r="D588" s="71"/>
      <c r="E588" s="71"/>
      <c r="F588" s="71"/>
      <c r="G588" s="71"/>
      <c r="H588" s="71"/>
      <c r="I588" s="71"/>
      <c r="J588" s="71"/>
      <c r="K588" s="71"/>
      <c r="L588" s="71"/>
      <c r="M588" s="71"/>
      <c r="N588" s="71"/>
      <c r="O588" s="71"/>
      <c r="P588" s="61"/>
      <c r="Q588" s="62"/>
      <c r="R588" s="63"/>
      <c r="S588" s="63"/>
      <c r="T588" s="63"/>
      <c r="U588" s="63"/>
      <c r="V588" s="63"/>
      <c r="W588" s="63"/>
      <c r="X588" s="63"/>
      <c r="Y588" s="63"/>
      <c r="Z588" s="63"/>
      <c r="AA588" s="63"/>
      <c r="AB588" s="63"/>
      <c r="AC588" s="63"/>
    </row>
    <row r="589" spans="2:29">
      <c r="B589" s="71"/>
      <c r="C589" s="71"/>
      <c r="D589" s="71"/>
      <c r="E589" s="71"/>
      <c r="F589" s="71"/>
      <c r="G589" s="71"/>
      <c r="H589" s="71"/>
      <c r="I589" s="71"/>
      <c r="J589" s="71"/>
      <c r="K589" s="71"/>
      <c r="L589" s="71"/>
      <c r="M589" s="71"/>
      <c r="N589" s="71"/>
      <c r="O589" s="71"/>
      <c r="P589" s="61"/>
      <c r="Q589" s="62"/>
      <c r="R589" s="63"/>
      <c r="S589" s="63"/>
      <c r="T589" s="63"/>
      <c r="U589" s="63"/>
      <c r="V589" s="63"/>
      <c r="W589" s="63"/>
      <c r="X589" s="63"/>
      <c r="Y589" s="63"/>
      <c r="Z589" s="63"/>
      <c r="AA589" s="63"/>
      <c r="AB589" s="63"/>
      <c r="AC589" s="63"/>
    </row>
    <row r="590" spans="2:29">
      <c r="B590" s="71"/>
      <c r="C590" s="71"/>
      <c r="D590" s="71"/>
      <c r="E590" s="71"/>
      <c r="F590" s="71"/>
      <c r="G590" s="71"/>
      <c r="H590" s="71"/>
      <c r="I590" s="71"/>
      <c r="J590" s="71"/>
      <c r="K590" s="71"/>
      <c r="L590" s="71"/>
      <c r="M590" s="71"/>
      <c r="N590" s="71"/>
      <c r="O590" s="71"/>
      <c r="P590" s="61"/>
      <c r="Q590" s="62"/>
      <c r="R590" s="63"/>
      <c r="S590" s="63"/>
      <c r="T590" s="63"/>
      <c r="U590" s="63"/>
      <c r="V590" s="63"/>
      <c r="W590" s="63"/>
      <c r="X590" s="63"/>
      <c r="Y590" s="63"/>
      <c r="Z590" s="63"/>
      <c r="AA590" s="63"/>
      <c r="AB590" s="63"/>
      <c r="AC590" s="63"/>
    </row>
    <row r="591" spans="2:29">
      <c r="B591" s="71"/>
      <c r="C591" s="71"/>
      <c r="D591" s="71"/>
      <c r="E591" s="71"/>
      <c r="F591" s="71"/>
      <c r="G591" s="71"/>
      <c r="H591" s="71"/>
      <c r="I591" s="71"/>
      <c r="J591" s="71"/>
      <c r="K591" s="71"/>
      <c r="L591" s="71"/>
      <c r="M591" s="71"/>
      <c r="N591" s="71"/>
      <c r="O591" s="71"/>
      <c r="P591" s="61"/>
      <c r="Q591" s="62"/>
      <c r="R591" s="63"/>
      <c r="S591" s="63"/>
      <c r="T591" s="63"/>
      <c r="U591" s="63"/>
      <c r="V591" s="63"/>
      <c r="W591" s="63"/>
      <c r="X591" s="63"/>
      <c r="Y591" s="63"/>
      <c r="Z591" s="63"/>
      <c r="AA591" s="63"/>
      <c r="AB591" s="63"/>
      <c r="AC591" s="63"/>
    </row>
    <row r="592" spans="2:29">
      <c r="B592" s="71"/>
      <c r="C592" s="71"/>
      <c r="D592" s="71"/>
      <c r="E592" s="71"/>
      <c r="F592" s="71"/>
      <c r="G592" s="71"/>
      <c r="H592" s="71"/>
      <c r="I592" s="71"/>
      <c r="J592" s="71"/>
      <c r="K592" s="71"/>
      <c r="L592" s="71"/>
      <c r="M592" s="71"/>
      <c r="N592" s="71"/>
      <c r="O592" s="71"/>
      <c r="P592" s="61"/>
      <c r="Q592" s="62"/>
      <c r="R592" s="63"/>
      <c r="S592" s="63"/>
      <c r="T592" s="63"/>
      <c r="U592" s="63"/>
      <c r="V592" s="63"/>
      <c r="W592" s="63"/>
      <c r="X592" s="63"/>
      <c r="Y592" s="63"/>
      <c r="Z592" s="63"/>
      <c r="AA592" s="63"/>
      <c r="AB592" s="63"/>
      <c r="AC592" s="63"/>
    </row>
    <row r="593" spans="2:29">
      <c r="B593" s="71"/>
      <c r="C593" s="71"/>
      <c r="D593" s="71"/>
      <c r="E593" s="71"/>
      <c r="F593" s="71"/>
      <c r="G593" s="71"/>
      <c r="H593" s="71"/>
      <c r="I593" s="71"/>
      <c r="J593" s="71"/>
      <c r="K593" s="71"/>
      <c r="L593" s="71"/>
      <c r="M593" s="71"/>
      <c r="N593" s="71"/>
      <c r="O593" s="71"/>
      <c r="P593" s="61"/>
      <c r="Q593" s="62"/>
      <c r="R593" s="63"/>
      <c r="S593" s="63"/>
      <c r="T593" s="63"/>
      <c r="U593" s="63"/>
      <c r="V593" s="63"/>
      <c r="W593" s="63"/>
      <c r="X593" s="63"/>
      <c r="Y593" s="63"/>
      <c r="Z593" s="63"/>
      <c r="AA593" s="63"/>
      <c r="AB593" s="63"/>
      <c r="AC593" s="63"/>
    </row>
    <row r="594" spans="2:29">
      <c r="B594" s="71"/>
      <c r="C594" s="71"/>
      <c r="D594" s="71"/>
      <c r="E594" s="71"/>
      <c r="F594" s="71"/>
      <c r="G594" s="71"/>
      <c r="H594" s="71"/>
      <c r="I594" s="71"/>
      <c r="J594" s="71"/>
      <c r="K594" s="71"/>
      <c r="L594" s="71"/>
      <c r="M594" s="71"/>
      <c r="N594" s="71"/>
      <c r="O594" s="71"/>
      <c r="P594" s="61"/>
      <c r="Q594" s="62"/>
      <c r="R594" s="63"/>
      <c r="S594" s="63"/>
      <c r="T594" s="63"/>
      <c r="U594" s="63"/>
      <c r="V594" s="63"/>
      <c r="W594" s="63"/>
      <c r="X594" s="63"/>
      <c r="Y594" s="63"/>
      <c r="Z594" s="63"/>
      <c r="AA594" s="63"/>
      <c r="AB594" s="63"/>
      <c r="AC594" s="63"/>
    </row>
    <row r="595" spans="2:29">
      <c r="B595" s="71"/>
      <c r="C595" s="71"/>
      <c r="D595" s="71"/>
      <c r="E595" s="71"/>
      <c r="F595" s="71"/>
      <c r="G595" s="71"/>
      <c r="H595" s="71"/>
      <c r="I595" s="71"/>
      <c r="J595" s="71"/>
      <c r="K595" s="71"/>
      <c r="L595" s="71"/>
      <c r="M595" s="71"/>
      <c r="N595" s="71"/>
      <c r="O595" s="71"/>
      <c r="P595" s="61"/>
      <c r="Q595" s="62"/>
      <c r="R595" s="63"/>
      <c r="S595" s="63"/>
      <c r="T595" s="63"/>
      <c r="U595" s="63"/>
      <c r="V595" s="63"/>
      <c r="W595" s="63"/>
      <c r="X595" s="63"/>
      <c r="Y595" s="63"/>
      <c r="Z595" s="63"/>
      <c r="AA595" s="63"/>
      <c r="AB595" s="63"/>
      <c r="AC595" s="63"/>
    </row>
    <row r="596" spans="2:29">
      <c r="B596" s="71"/>
      <c r="C596" s="71"/>
      <c r="D596" s="71"/>
      <c r="E596" s="71"/>
      <c r="F596" s="71"/>
      <c r="G596" s="71"/>
      <c r="H596" s="71"/>
      <c r="I596" s="71"/>
      <c r="J596" s="71"/>
      <c r="K596" s="71"/>
      <c r="L596" s="71"/>
      <c r="M596" s="71"/>
      <c r="N596" s="71"/>
      <c r="O596" s="71"/>
      <c r="P596" s="61"/>
      <c r="Q596" s="62"/>
      <c r="R596" s="63"/>
      <c r="S596" s="63"/>
      <c r="T596" s="63"/>
      <c r="U596" s="63"/>
      <c r="V596" s="63"/>
      <c r="W596" s="63"/>
      <c r="X596" s="63"/>
      <c r="Y596" s="63"/>
      <c r="Z596" s="63"/>
      <c r="AA596" s="63"/>
      <c r="AB596" s="63"/>
      <c r="AC596" s="63"/>
    </row>
    <row r="597" spans="2:29">
      <c r="B597" s="71"/>
      <c r="C597" s="71"/>
      <c r="D597" s="71"/>
      <c r="E597" s="71"/>
      <c r="F597" s="71"/>
      <c r="G597" s="71"/>
      <c r="H597" s="71"/>
      <c r="I597" s="71"/>
      <c r="J597" s="71"/>
      <c r="K597" s="71"/>
      <c r="L597" s="71"/>
      <c r="M597" s="71"/>
      <c r="N597" s="71"/>
      <c r="O597" s="71"/>
      <c r="P597" s="61"/>
      <c r="Q597" s="62"/>
      <c r="R597" s="63"/>
      <c r="S597" s="63"/>
      <c r="T597" s="63"/>
      <c r="U597" s="63"/>
      <c r="V597" s="63"/>
      <c r="W597" s="63"/>
      <c r="X597" s="63"/>
      <c r="Y597" s="63"/>
      <c r="Z597" s="63"/>
      <c r="AA597" s="63"/>
      <c r="AB597" s="63"/>
      <c r="AC597" s="63"/>
    </row>
    <row r="598" spans="2:29">
      <c r="B598" s="71"/>
      <c r="C598" s="71"/>
      <c r="D598" s="71"/>
      <c r="E598" s="71"/>
      <c r="F598" s="71"/>
      <c r="G598" s="71"/>
      <c r="H598" s="71"/>
      <c r="I598" s="71"/>
      <c r="J598" s="71"/>
      <c r="K598" s="71"/>
      <c r="L598" s="71"/>
      <c r="M598" s="71"/>
      <c r="N598" s="71"/>
      <c r="O598" s="71"/>
      <c r="P598" s="61"/>
      <c r="Q598" s="62"/>
      <c r="R598" s="63"/>
      <c r="S598" s="63"/>
      <c r="T598" s="63"/>
      <c r="U598" s="63"/>
      <c r="V598" s="63"/>
      <c r="W598" s="63"/>
      <c r="X598" s="63"/>
      <c r="Y598" s="63"/>
      <c r="Z598" s="63"/>
      <c r="AA598" s="63"/>
      <c r="AB598" s="63"/>
      <c r="AC598" s="63"/>
    </row>
    <row r="599" spans="2:29">
      <c r="B599" s="71"/>
      <c r="C599" s="71"/>
      <c r="D599" s="71"/>
      <c r="E599" s="71"/>
      <c r="F599" s="71"/>
      <c r="G599" s="71"/>
      <c r="H599" s="71"/>
      <c r="I599" s="71"/>
      <c r="J599" s="71"/>
      <c r="K599" s="71"/>
      <c r="L599" s="71"/>
      <c r="M599" s="71"/>
      <c r="N599" s="71"/>
      <c r="O599" s="71"/>
      <c r="P599" s="61"/>
      <c r="Q599" s="62"/>
      <c r="R599" s="63"/>
      <c r="S599" s="63"/>
      <c r="T599" s="63"/>
      <c r="U599" s="63"/>
      <c r="V599" s="63"/>
      <c r="W599" s="63"/>
      <c r="X599" s="63"/>
      <c r="Y599" s="63"/>
      <c r="Z599" s="63"/>
      <c r="AA599" s="63"/>
      <c r="AB599" s="63"/>
      <c r="AC599" s="63"/>
    </row>
    <row r="600" spans="2:29">
      <c r="B600" s="71"/>
      <c r="C600" s="71"/>
      <c r="D600" s="71"/>
      <c r="E600" s="71"/>
      <c r="F600" s="71"/>
      <c r="G600" s="71"/>
      <c r="H600" s="71"/>
      <c r="I600" s="71"/>
      <c r="J600" s="71"/>
      <c r="K600" s="71"/>
      <c r="L600" s="71"/>
      <c r="M600" s="71"/>
      <c r="N600" s="71"/>
      <c r="O600" s="71"/>
      <c r="P600" s="61"/>
      <c r="Q600" s="62"/>
      <c r="R600" s="63"/>
      <c r="S600" s="63"/>
      <c r="T600" s="63"/>
      <c r="U600" s="63"/>
      <c r="V600" s="63"/>
      <c r="W600" s="63"/>
      <c r="X600" s="63"/>
      <c r="Y600" s="63"/>
      <c r="Z600" s="63"/>
      <c r="AA600" s="63"/>
      <c r="AB600" s="63"/>
      <c r="AC600" s="63"/>
    </row>
    <row r="601" spans="2:29">
      <c r="B601" s="71"/>
      <c r="C601" s="71"/>
      <c r="D601" s="71"/>
      <c r="E601" s="71"/>
      <c r="F601" s="71"/>
      <c r="G601" s="71"/>
      <c r="H601" s="71"/>
      <c r="I601" s="71"/>
      <c r="J601" s="71"/>
      <c r="K601" s="71"/>
      <c r="L601" s="71"/>
      <c r="M601" s="71"/>
      <c r="N601" s="71"/>
      <c r="O601" s="71"/>
      <c r="P601" s="61"/>
      <c r="Q601" s="62"/>
      <c r="R601" s="63"/>
      <c r="S601" s="63"/>
      <c r="T601" s="63"/>
      <c r="U601" s="63"/>
      <c r="V601" s="63"/>
      <c r="W601" s="63"/>
      <c r="X601" s="63"/>
      <c r="Y601" s="63"/>
      <c r="Z601" s="63"/>
      <c r="AA601" s="63"/>
      <c r="AB601" s="63"/>
      <c r="AC601" s="63"/>
    </row>
    <row r="602" spans="2:29">
      <c r="B602" s="71"/>
      <c r="C602" s="71"/>
      <c r="D602" s="71"/>
      <c r="E602" s="71"/>
      <c r="F602" s="71"/>
      <c r="G602" s="71"/>
      <c r="H602" s="71"/>
      <c r="I602" s="71"/>
      <c r="J602" s="71"/>
      <c r="K602" s="71"/>
      <c r="L602" s="71"/>
      <c r="M602" s="71"/>
      <c r="N602" s="71"/>
      <c r="O602" s="71"/>
      <c r="P602" s="61"/>
      <c r="Q602" s="62"/>
      <c r="R602" s="63"/>
      <c r="S602" s="63"/>
      <c r="T602" s="63"/>
      <c r="U602" s="63"/>
      <c r="V602" s="63"/>
      <c r="W602" s="63"/>
      <c r="X602" s="63"/>
      <c r="Y602" s="63"/>
      <c r="Z602" s="63"/>
      <c r="AA602" s="63"/>
      <c r="AB602" s="63"/>
      <c r="AC602" s="63"/>
    </row>
    <row r="603" spans="2:29">
      <c r="B603" s="71"/>
      <c r="C603" s="71"/>
      <c r="D603" s="71"/>
      <c r="E603" s="71"/>
      <c r="F603" s="71"/>
      <c r="G603" s="71"/>
      <c r="H603" s="71"/>
      <c r="I603" s="71"/>
      <c r="J603" s="71"/>
      <c r="K603" s="71"/>
      <c r="L603" s="71"/>
      <c r="M603" s="71"/>
      <c r="N603" s="71"/>
      <c r="O603" s="71"/>
      <c r="P603" s="61"/>
      <c r="Q603" s="62"/>
      <c r="R603" s="63"/>
      <c r="S603" s="63"/>
      <c r="T603" s="63"/>
      <c r="U603" s="63"/>
      <c r="V603" s="63"/>
      <c r="W603" s="63"/>
      <c r="X603" s="63"/>
      <c r="Y603" s="63"/>
      <c r="Z603" s="63"/>
      <c r="AA603" s="63"/>
      <c r="AB603" s="63"/>
      <c r="AC603" s="63"/>
    </row>
    <row r="604" spans="2:29">
      <c r="B604" s="71"/>
      <c r="C604" s="71"/>
      <c r="D604" s="71"/>
      <c r="E604" s="71"/>
      <c r="F604" s="71"/>
      <c r="G604" s="71"/>
      <c r="H604" s="71"/>
      <c r="I604" s="71"/>
      <c r="J604" s="71"/>
      <c r="K604" s="71"/>
      <c r="L604" s="71"/>
      <c r="M604" s="71"/>
      <c r="N604" s="71"/>
      <c r="O604" s="71"/>
      <c r="P604" s="61"/>
      <c r="Q604" s="62"/>
      <c r="R604" s="63"/>
      <c r="S604" s="63"/>
      <c r="T604" s="63"/>
      <c r="U604" s="63"/>
      <c r="V604" s="63"/>
      <c r="W604" s="63"/>
      <c r="X604" s="63"/>
      <c r="Y604" s="63"/>
      <c r="Z604" s="63"/>
      <c r="AA604" s="63"/>
      <c r="AB604" s="63"/>
      <c r="AC604" s="63"/>
    </row>
    <row r="605" spans="2:29">
      <c r="B605" s="71"/>
      <c r="C605" s="71"/>
      <c r="D605" s="71"/>
      <c r="E605" s="71"/>
      <c r="F605" s="71"/>
      <c r="G605" s="71"/>
      <c r="H605" s="71"/>
      <c r="I605" s="71"/>
      <c r="J605" s="71"/>
      <c r="K605" s="71"/>
      <c r="L605" s="71"/>
      <c r="M605" s="71"/>
      <c r="N605" s="71"/>
      <c r="O605" s="71"/>
      <c r="P605" s="61"/>
      <c r="Q605" s="62"/>
      <c r="R605" s="63"/>
      <c r="S605" s="63"/>
      <c r="T605" s="63"/>
      <c r="U605" s="63"/>
      <c r="V605" s="63"/>
      <c r="W605" s="63"/>
      <c r="X605" s="63"/>
      <c r="Y605" s="63"/>
      <c r="Z605" s="63"/>
      <c r="AA605" s="63"/>
      <c r="AB605" s="63"/>
      <c r="AC605" s="63"/>
    </row>
    <row r="606" spans="2:29">
      <c r="B606" s="71"/>
      <c r="C606" s="71"/>
      <c r="D606" s="71"/>
      <c r="E606" s="71"/>
      <c r="F606" s="71"/>
      <c r="G606" s="71"/>
      <c r="H606" s="71"/>
      <c r="I606" s="71"/>
      <c r="J606" s="71"/>
      <c r="K606" s="71"/>
      <c r="L606" s="71"/>
      <c r="M606" s="71"/>
      <c r="N606" s="71"/>
      <c r="O606" s="71"/>
      <c r="P606" s="61"/>
      <c r="Q606" s="62"/>
      <c r="R606" s="63"/>
      <c r="S606" s="63"/>
      <c r="T606" s="63"/>
      <c r="U606" s="63"/>
      <c r="V606" s="63"/>
      <c r="W606" s="63"/>
      <c r="X606" s="63"/>
      <c r="Y606" s="63"/>
      <c r="Z606" s="63"/>
      <c r="AA606" s="63"/>
      <c r="AB606" s="63"/>
      <c r="AC606" s="63"/>
    </row>
    <row r="607" spans="2:29">
      <c r="B607" s="71"/>
      <c r="C607" s="71"/>
      <c r="D607" s="71"/>
      <c r="E607" s="71"/>
      <c r="F607" s="71"/>
      <c r="G607" s="71"/>
      <c r="H607" s="71"/>
      <c r="I607" s="71"/>
      <c r="J607" s="71"/>
      <c r="K607" s="71"/>
      <c r="L607" s="71"/>
      <c r="M607" s="71"/>
      <c r="N607" s="71"/>
      <c r="O607" s="71"/>
      <c r="P607" s="61"/>
      <c r="Q607" s="62"/>
      <c r="R607" s="63"/>
      <c r="S607" s="63"/>
      <c r="T607" s="63"/>
      <c r="U607" s="63"/>
      <c r="V607" s="63"/>
      <c r="W607" s="63"/>
      <c r="X607" s="63"/>
      <c r="Y607" s="63"/>
      <c r="Z607" s="63"/>
      <c r="AA607" s="63"/>
      <c r="AB607" s="63"/>
      <c r="AC607" s="63"/>
    </row>
    <row r="608" spans="2:29">
      <c r="B608" s="71"/>
      <c r="C608" s="71"/>
      <c r="D608" s="71"/>
      <c r="E608" s="71"/>
      <c r="F608" s="71"/>
      <c r="G608" s="71"/>
      <c r="H608" s="71"/>
      <c r="I608" s="71"/>
      <c r="J608" s="71"/>
      <c r="K608" s="71"/>
      <c r="L608" s="71"/>
      <c r="M608" s="71"/>
      <c r="N608" s="71"/>
      <c r="O608" s="71"/>
      <c r="P608" s="61"/>
      <c r="Q608" s="62"/>
      <c r="R608" s="63"/>
      <c r="S608" s="63"/>
      <c r="T608" s="63"/>
      <c r="U608" s="63"/>
      <c r="V608" s="63"/>
      <c r="W608" s="63"/>
      <c r="X608" s="63"/>
      <c r="Y608" s="63"/>
      <c r="Z608" s="63"/>
      <c r="AA608" s="63"/>
      <c r="AB608" s="63"/>
      <c r="AC608" s="63"/>
    </row>
    <row r="609" spans="2:29">
      <c r="B609" s="71"/>
      <c r="C609" s="71"/>
      <c r="D609" s="71"/>
      <c r="E609" s="71"/>
      <c r="F609" s="71"/>
      <c r="G609" s="71"/>
      <c r="H609" s="71"/>
      <c r="I609" s="71"/>
      <c r="J609" s="71"/>
      <c r="K609" s="71"/>
      <c r="L609" s="71"/>
      <c r="M609" s="71"/>
      <c r="N609" s="71"/>
      <c r="O609" s="71"/>
      <c r="P609" s="61"/>
      <c r="Q609" s="62"/>
      <c r="R609" s="63"/>
      <c r="S609" s="63"/>
      <c r="T609" s="63"/>
      <c r="U609" s="63"/>
      <c r="V609" s="63"/>
      <c r="W609" s="63"/>
      <c r="X609" s="63"/>
      <c r="Y609" s="63"/>
      <c r="Z609" s="63"/>
      <c r="AA609" s="63"/>
      <c r="AB609" s="63"/>
      <c r="AC609" s="63"/>
    </row>
    <row r="610" spans="2:29">
      <c r="B610" s="71"/>
      <c r="C610" s="71"/>
      <c r="D610" s="71"/>
      <c r="E610" s="71"/>
      <c r="F610" s="71"/>
      <c r="G610" s="71"/>
      <c r="H610" s="71"/>
      <c r="I610" s="71"/>
      <c r="J610" s="71"/>
      <c r="K610" s="71"/>
      <c r="L610" s="71"/>
      <c r="M610" s="71"/>
      <c r="N610" s="71"/>
      <c r="O610" s="71"/>
      <c r="P610" s="61"/>
      <c r="Q610" s="62"/>
      <c r="R610" s="63"/>
      <c r="S610" s="63"/>
      <c r="T610" s="63"/>
      <c r="U610" s="63"/>
      <c r="V610" s="63"/>
      <c r="W610" s="63"/>
      <c r="X610" s="63"/>
      <c r="Y610" s="63"/>
      <c r="Z610" s="63"/>
      <c r="AA610" s="63"/>
      <c r="AB610" s="63"/>
      <c r="AC610" s="63"/>
    </row>
    <row r="611" spans="2:29">
      <c r="B611" s="71"/>
      <c r="C611" s="71"/>
      <c r="D611" s="71"/>
      <c r="E611" s="71"/>
      <c r="F611" s="71"/>
      <c r="G611" s="71"/>
      <c r="H611" s="71"/>
      <c r="I611" s="71"/>
      <c r="J611" s="71"/>
      <c r="K611" s="71"/>
      <c r="L611" s="71"/>
      <c r="M611" s="71"/>
      <c r="N611" s="71"/>
      <c r="O611" s="71"/>
      <c r="P611" s="61"/>
      <c r="Q611" s="62"/>
      <c r="R611" s="63"/>
      <c r="S611" s="63"/>
      <c r="T611" s="63"/>
      <c r="U611" s="63"/>
      <c r="V611" s="63"/>
      <c r="W611" s="63"/>
      <c r="X611" s="63"/>
      <c r="Y611" s="63"/>
      <c r="Z611" s="63"/>
      <c r="AA611" s="63"/>
      <c r="AB611" s="63"/>
      <c r="AC611" s="63"/>
    </row>
    <row r="612" spans="2:29">
      <c r="B612" s="71"/>
      <c r="C612" s="71"/>
      <c r="D612" s="71"/>
      <c r="E612" s="71"/>
      <c r="F612" s="71"/>
      <c r="G612" s="71"/>
      <c r="H612" s="71"/>
      <c r="I612" s="71"/>
      <c r="J612" s="71"/>
      <c r="K612" s="71"/>
      <c r="L612" s="71"/>
      <c r="M612" s="71"/>
      <c r="N612" s="71"/>
      <c r="O612" s="71"/>
      <c r="P612" s="61"/>
      <c r="Q612" s="62"/>
      <c r="R612" s="63"/>
      <c r="S612" s="63"/>
      <c r="T612" s="63"/>
      <c r="U612" s="63"/>
      <c r="V612" s="63"/>
      <c r="W612" s="63"/>
      <c r="X612" s="63"/>
      <c r="Y612" s="63"/>
      <c r="Z612" s="63"/>
      <c r="AA612" s="63"/>
      <c r="AB612" s="63"/>
      <c r="AC612" s="63"/>
    </row>
    <row r="613" spans="2:29">
      <c r="B613" s="71"/>
      <c r="C613" s="71"/>
      <c r="D613" s="71"/>
      <c r="E613" s="71"/>
      <c r="F613" s="71"/>
      <c r="G613" s="71"/>
      <c r="H613" s="71"/>
      <c r="I613" s="71"/>
      <c r="J613" s="71"/>
      <c r="K613" s="71"/>
      <c r="L613" s="71"/>
      <c r="M613" s="71"/>
      <c r="N613" s="71"/>
      <c r="O613" s="71"/>
      <c r="P613" s="61"/>
      <c r="Q613" s="62"/>
      <c r="R613" s="63"/>
      <c r="S613" s="63"/>
      <c r="T613" s="63"/>
      <c r="U613" s="63"/>
      <c r="V613" s="63"/>
      <c r="W613" s="63"/>
      <c r="X613" s="63"/>
      <c r="Y613" s="63"/>
      <c r="Z613" s="63"/>
      <c r="AA613" s="63"/>
      <c r="AB613" s="63"/>
      <c r="AC613" s="63"/>
    </row>
    <row r="614" spans="2:29">
      <c r="B614" s="71"/>
      <c r="C614" s="71"/>
      <c r="D614" s="71"/>
      <c r="E614" s="71"/>
      <c r="F614" s="71"/>
      <c r="G614" s="71"/>
      <c r="H614" s="71"/>
      <c r="I614" s="71"/>
      <c r="J614" s="71"/>
      <c r="K614" s="71"/>
      <c r="L614" s="71"/>
      <c r="M614" s="71"/>
      <c r="N614" s="71"/>
      <c r="O614" s="71"/>
      <c r="P614" s="61"/>
      <c r="Q614" s="62"/>
      <c r="R614" s="63"/>
      <c r="S614" s="63"/>
      <c r="T614" s="63"/>
      <c r="U614" s="63"/>
      <c r="V614" s="63"/>
      <c r="W614" s="63"/>
      <c r="X614" s="63"/>
      <c r="Y614" s="63"/>
      <c r="Z614" s="63"/>
      <c r="AA614" s="63"/>
      <c r="AB614" s="63"/>
      <c r="AC614" s="63"/>
    </row>
    <row r="615" spans="2:29">
      <c r="B615" s="71"/>
      <c r="C615" s="71"/>
      <c r="D615" s="71"/>
      <c r="E615" s="71"/>
      <c r="F615" s="71"/>
      <c r="G615" s="71"/>
      <c r="H615" s="71"/>
      <c r="I615" s="71"/>
      <c r="J615" s="71"/>
      <c r="K615" s="71"/>
      <c r="L615" s="71"/>
      <c r="M615" s="71"/>
      <c r="N615" s="71"/>
      <c r="O615" s="71"/>
      <c r="P615" s="61"/>
      <c r="Q615" s="62"/>
      <c r="R615" s="63"/>
      <c r="S615" s="63"/>
      <c r="T615" s="63"/>
      <c r="U615" s="63"/>
      <c r="V615" s="63"/>
      <c r="W615" s="63"/>
      <c r="X615" s="63"/>
      <c r="Y615" s="63"/>
      <c r="Z615" s="63"/>
      <c r="AA615" s="63"/>
      <c r="AB615" s="63"/>
      <c r="AC615" s="63"/>
    </row>
    <row r="616" spans="2:29">
      <c r="B616" s="71"/>
      <c r="C616" s="71"/>
      <c r="D616" s="71"/>
      <c r="E616" s="71"/>
      <c r="F616" s="71"/>
      <c r="G616" s="71"/>
      <c r="H616" s="71"/>
      <c r="I616" s="71"/>
      <c r="J616" s="71"/>
      <c r="K616" s="71"/>
      <c r="L616" s="71"/>
      <c r="M616" s="71"/>
      <c r="N616" s="71"/>
      <c r="O616" s="71"/>
      <c r="P616" s="61"/>
      <c r="Q616" s="62"/>
      <c r="R616" s="63"/>
      <c r="S616" s="63"/>
      <c r="T616" s="63"/>
      <c r="U616" s="63"/>
      <c r="V616" s="63"/>
      <c r="W616" s="63"/>
      <c r="X616" s="63"/>
      <c r="Y616" s="63"/>
      <c r="Z616" s="63"/>
      <c r="AA616" s="63"/>
      <c r="AB616" s="63"/>
      <c r="AC616" s="63"/>
    </row>
    <row r="617" spans="2:29">
      <c r="B617" s="71"/>
      <c r="C617" s="71"/>
      <c r="D617" s="71"/>
      <c r="E617" s="71"/>
      <c r="F617" s="71"/>
      <c r="G617" s="71"/>
      <c r="H617" s="71"/>
      <c r="I617" s="71"/>
      <c r="J617" s="71"/>
      <c r="K617" s="71"/>
      <c r="L617" s="71"/>
      <c r="M617" s="71"/>
      <c r="N617" s="71"/>
      <c r="O617" s="71"/>
      <c r="P617" s="61"/>
      <c r="Q617" s="62"/>
      <c r="R617" s="63"/>
      <c r="S617" s="63"/>
      <c r="T617" s="63"/>
      <c r="U617" s="63"/>
      <c r="V617" s="63"/>
      <c r="W617" s="63"/>
      <c r="X617" s="63"/>
      <c r="Y617" s="63"/>
      <c r="Z617" s="63"/>
      <c r="AA617" s="63"/>
      <c r="AB617" s="63"/>
      <c r="AC617" s="63"/>
    </row>
    <row r="618" spans="2:29">
      <c r="B618" s="71"/>
      <c r="C618" s="71"/>
      <c r="D618" s="71"/>
      <c r="E618" s="71"/>
      <c r="F618" s="71"/>
      <c r="G618" s="71"/>
      <c r="H618" s="71"/>
      <c r="I618" s="71"/>
      <c r="J618" s="71"/>
      <c r="K618" s="71"/>
      <c r="L618" s="71"/>
      <c r="M618" s="71"/>
      <c r="N618" s="71"/>
      <c r="O618" s="71"/>
      <c r="P618" s="61"/>
      <c r="Q618" s="62"/>
      <c r="R618" s="63"/>
      <c r="S618" s="63"/>
      <c r="T618" s="63"/>
      <c r="U618" s="63"/>
      <c r="V618" s="63"/>
      <c r="W618" s="63"/>
      <c r="X618" s="63"/>
      <c r="Y618" s="63"/>
      <c r="Z618" s="63"/>
      <c r="AA618" s="63"/>
      <c r="AB618" s="63"/>
      <c r="AC618" s="63"/>
    </row>
    <row r="619" spans="2:29">
      <c r="B619" s="71"/>
      <c r="C619" s="71"/>
      <c r="D619" s="71"/>
      <c r="E619" s="71"/>
      <c r="F619" s="71"/>
      <c r="G619" s="71"/>
      <c r="H619" s="71"/>
      <c r="I619" s="71"/>
      <c r="J619" s="71"/>
      <c r="K619" s="71"/>
      <c r="L619" s="71"/>
      <c r="M619" s="71"/>
      <c r="N619" s="71"/>
      <c r="O619" s="71"/>
      <c r="P619" s="61"/>
      <c r="Q619" s="62"/>
      <c r="R619" s="63"/>
      <c r="S619" s="63"/>
      <c r="T619" s="63"/>
      <c r="U619" s="63"/>
      <c r="V619" s="63"/>
      <c r="W619" s="63"/>
      <c r="X619" s="63"/>
      <c r="Y619" s="63"/>
      <c r="Z619" s="63"/>
      <c r="AA619" s="63"/>
      <c r="AB619" s="63"/>
      <c r="AC619" s="63"/>
    </row>
    <row r="620" spans="2:29">
      <c r="B620" s="71"/>
      <c r="C620" s="71"/>
      <c r="D620" s="71"/>
      <c r="E620" s="71"/>
      <c r="F620" s="71"/>
      <c r="G620" s="71"/>
      <c r="H620" s="71"/>
      <c r="I620" s="71"/>
      <c r="J620" s="71"/>
      <c r="K620" s="71"/>
      <c r="L620" s="71"/>
      <c r="M620" s="71"/>
      <c r="N620" s="71"/>
      <c r="O620" s="71"/>
      <c r="P620" s="61"/>
      <c r="Q620" s="62"/>
      <c r="R620" s="63"/>
      <c r="S620" s="63"/>
      <c r="T620" s="63"/>
      <c r="U620" s="63"/>
      <c r="V620" s="63"/>
      <c r="W620" s="63"/>
      <c r="X620" s="63"/>
      <c r="Y620" s="63"/>
      <c r="Z620" s="63"/>
      <c r="AA620" s="63"/>
      <c r="AB620" s="63"/>
      <c r="AC620" s="63"/>
    </row>
    <row r="621" spans="2:29">
      <c r="B621" s="71"/>
      <c r="C621" s="71"/>
      <c r="D621" s="71"/>
      <c r="E621" s="71"/>
      <c r="F621" s="71"/>
      <c r="G621" s="71"/>
      <c r="H621" s="71"/>
      <c r="I621" s="71"/>
      <c r="J621" s="71"/>
      <c r="K621" s="71"/>
      <c r="L621" s="71"/>
      <c r="M621" s="71"/>
      <c r="N621" s="71"/>
      <c r="O621" s="71"/>
      <c r="P621" s="61"/>
      <c r="Q621" s="62"/>
      <c r="R621" s="63"/>
      <c r="S621" s="63"/>
      <c r="T621" s="63"/>
      <c r="U621" s="63"/>
      <c r="V621" s="63"/>
      <c r="W621" s="63"/>
      <c r="X621" s="63"/>
      <c r="Y621" s="63"/>
      <c r="Z621" s="63"/>
      <c r="AA621" s="63"/>
      <c r="AB621" s="63"/>
      <c r="AC621" s="63"/>
    </row>
    <row r="622" spans="2:29">
      <c r="B622" s="71"/>
      <c r="C622" s="71"/>
      <c r="D622" s="71"/>
      <c r="E622" s="71"/>
      <c r="F622" s="71"/>
      <c r="G622" s="71"/>
      <c r="H622" s="71"/>
      <c r="I622" s="71"/>
      <c r="J622" s="71"/>
      <c r="K622" s="71"/>
      <c r="L622" s="71"/>
      <c r="M622" s="71"/>
      <c r="N622" s="71"/>
      <c r="O622" s="71"/>
      <c r="P622" s="61"/>
      <c r="Q622" s="62"/>
      <c r="R622" s="63"/>
      <c r="S622" s="63"/>
      <c r="T622" s="63"/>
      <c r="U622" s="63"/>
      <c r="V622" s="63"/>
      <c r="W622" s="63"/>
      <c r="X622" s="63"/>
      <c r="Y622" s="63"/>
      <c r="Z622" s="63"/>
      <c r="AA622" s="63"/>
      <c r="AB622" s="63"/>
      <c r="AC622" s="63"/>
    </row>
    <row r="623" spans="2:29">
      <c r="B623" s="71"/>
      <c r="C623" s="71"/>
      <c r="D623" s="71"/>
      <c r="E623" s="71"/>
      <c r="F623" s="71"/>
      <c r="G623" s="71"/>
      <c r="H623" s="71"/>
      <c r="I623" s="71"/>
      <c r="J623" s="71"/>
      <c r="K623" s="71"/>
      <c r="L623" s="71"/>
      <c r="M623" s="71"/>
      <c r="N623" s="71"/>
      <c r="O623" s="71"/>
      <c r="P623" s="61"/>
      <c r="Q623" s="62"/>
      <c r="R623" s="63"/>
      <c r="S623" s="63"/>
      <c r="T623" s="63"/>
      <c r="U623" s="63"/>
      <c r="V623" s="63"/>
      <c r="W623" s="63"/>
      <c r="X623" s="63"/>
      <c r="Y623" s="63"/>
      <c r="Z623" s="63"/>
      <c r="AA623" s="63"/>
      <c r="AB623" s="63"/>
      <c r="AC623" s="63"/>
    </row>
    <row r="624" spans="2:29">
      <c r="B624" s="71"/>
      <c r="C624" s="71"/>
      <c r="D624" s="71"/>
      <c r="E624" s="71"/>
      <c r="F624" s="71"/>
      <c r="G624" s="71"/>
      <c r="H624" s="71"/>
      <c r="I624" s="71"/>
      <c r="J624" s="71"/>
      <c r="K624" s="71"/>
      <c r="L624" s="71"/>
      <c r="M624" s="71"/>
      <c r="N624" s="71"/>
      <c r="O624" s="71"/>
      <c r="P624" s="61"/>
      <c r="Q624" s="62"/>
      <c r="R624" s="63"/>
      <c r="S624" s="63"/>
      <c r="T624" s="63"/>
      <c r="U624" s="63"/>
      <c r="V624" s="63"/>
      <c r="W624" s="63"/>
      <c r="X624" s="63"/>
      <c r="Y624" s="63"/>
      <c r="Z624" s="63"/>
      <c r="AA624" s="63"/>
      <c r="AB624" s="63"/>
      <c r="AC624" s="63"/>
    </row>
    <row r="625" spans="2:29">
      <c r="B625" s="71"/>
      <c r="C625" s="71"/>
      <c r="D625" s="71"/>
      <c r="E625" s="71"/>
      <c r="F625" s="71"/>
      <c r="G625" s="71"/>
      <c r="H625" s="71"/>
      <c r="I625" s="71"/>
      <c r="J625" s="71"/>
      <c r="K625" s="71"/>
      <c r="L625" s="71"/>
      <c r="M625" s="71"/>
      <c r="N625" s="71"/>
      <c r="O625" s="71"/>
      <c r="P625" s="61"/>
      <c r="Q625" s="62"/>
      <c r="R625" s="63"/>
      <c r="S625" s="63"/>
      <c r="T625" s="63"/>
      <c r="U625" s="63"/>
      <c r="V625" s="63"/>
      <c r="W625" s="63"/>
      <c r="X625" s="63"/>
      <c r="Y625" s="63"/>
      <c r="Z625" s="63"/>
      <c r="AA625" s="63"/>
      <c r="AB625" s="63"/>
      <c r="AC625" s="63"/>
    </row>
    <row r="626" spans="2:29">
      <c r="B626" s="71"/>
      <c r="C626" s="71"/>
      <c r="D626" s="71"/>
      <c r="E626" s="71"/>
      <c r="F626" s="71"/>
      <c r="G626" s="71"/>
      <c r="H626" s="71"/>
      <c r="I626" s="71"/>
      <c r="J626" s="71"/>
      <c r="K626" s="71"/>
      <c r="L626" s="71"/>
      <c r="M626" s="71"/>
      <c r="N626" s="71"/>
      <c r="O626" s="71"/>
      <c r="P626" s="61"/>
      <c r="Q626" s="62"/>
      <c r="R626" s="63"/>
      <c r="S626" s="63"/>
      <c r="T626" s="63"/>
      <c r="U626" s="63"/>
      <c r="V626" s="63"/>
      <c r="W626" s="63"/>
      <c r="X626" s="63"/>
      <c r="Y626" s="63"/>
      <c r="Z626" s="63"/>
      <c r="AA626" s="63"/>
      <c r="AB626" s="63"/>
      <c r="AC626" s="63"/>
    </row>
    <row r="627" spans="2:29">
      <c r="B627" s="71"/>
      <c r="C627" s="71"/>
      <c r="D627" s="71"/>
      <c r="E627" s="71"/>
      <c r="F627" s="71"/>
      <c r="G627" s="71"/>
      <c r="H627" s="71"/>
      <c r="I627" s="71"/>
      <c r="J627" s="71"/>
      <c r="K627" s="71"/>
      <c r="L627" s="71"/>
      <c r="M627" s="71"/>
      <c r="N627" s="71"/>
      <c r="O627" s="71"/>
      <c r="P627" s="61"/>
      <c r="Q627" s="62"/>
      <c r="R627" s="63"/>
      <c r="S627" s="63"/>
      <c r="T627" s="63"/>
      <c r="U627" s="63"/>
      <c r="V627" s="63"/>
      <c r="W627" s="63"/>
      <c r="X627" s="63"/>
      <c r="Y627" s="63"/>
      <c r="Z627" s="63"/>
      <c r="AA627" s="63"/>
      <c r="AB627" s="63"/>
      <c r="AC627" s="63"/>
    </row>
    <row r="628" spans="2:29">
      <c r="B628" s="71"/>
      <c r="C628" s="71"/>
      <c r="D628" s="71"/>
      <c r="E628" s="71"/>
      <c r="F628" s="71"/>
      <c r="G628" s="71"/>
      <c r="H628" s="71"/>
      <c r="I628" s="71"/>
      <c r="J628" s="71"/>
      <c r="K628" s="71"/>
      <c r="L628" s="71"/>
      <c r="M628" s="71"/>
      <c r="N628" s="71"/>
      <c r="O628" s="71"/>
      <c r="P628" s="61"/>
      <c r="Q628" s="62"/>
      <c r="R628" s="63"/>
      <c r="S628" s="63"/>
      <c r="T628" s="63"/>
      <c r="U628" s="63"/>
      <c r="V628" s="63"/>
      <c r="W628" s="63"/>
      <c r="X628" s="63"/>
      <c r="Y628" s="63"/>
      <c r="Z628" s="63"/>
      <c r="AA628" s="63"/>
      <c r="AB628" s="63"/>
      <c r="AC628" s="63"/>
    </row>
    <row r="629" spans="2:29">
      <c r="B629" s="71"/>
      <c r="C629" s="71"/>
      <c r="D629" s="71"/>
      <c r="E629" s="71"/>
      <c r="F629" s="71"/>
      <c r="G629" s="71"/>
      <c r="H629" s="71"/>
      <c r="I629" s="71"/>
      <c r="J629" s="71"/>
      <c r="K629" s="71"/>
      <c r="L629" s="71"/>
      <c r="M629" s="71"/>
      <c r="N629" s="71"/>
      <c r="O629" s="71"/>
      <c r="P629" s="61"/>
      <c r="Q629" s="62"/>
      <c r="R629" s="63"/>
      <c r="S629" s="63"/>
      <c r="T629" s="63"/>
      <c r="U629" s="63"/>
      <c r="V629" s="63"/>
      <c r="W629" s="63"/>
      <c r="X629" s="63"/>
      <c r="Y629" s="63"/>
      <c r="Z629" s="63"/>
      <c r="AA629" s="63"/>
      <c r="AB629" s="63"/>
      <c r="AC629" s="63"/>
    </row>
    <row r="630" spans="2:29">
      <c r="B630" s="71"/>
      <c r="C630" s="71"/>
      <c r="D630" s="71"/>
      <c r="E630" s="71"/>
      <c r="F630" s="71"/>
      <c r="G630" s="71"/>
      <c r="H630" s="71"/>
      <c r="I630" s="71"/>
      <c r="J630" s="71"/>
      <c r="K630" s="71"/>
      <c r="L630" s="71"/>
      <c r="M630" s="71"/>
      <c r="N630" s="71"/>
      <c r="O630" s="71"/>
      <c r="P630" s="61"/>
      <c r="Q630" s="62"/>
      <c r="R630" s="63"/>
      <c r="S630" s="63"/>
      <c r="T630" s="63"/>
      <c r="U630" s="63"/>
      <c r="V630" s="63"/>
      <c r="W630" s="63"/>
      <c r="X630" s="63"/>
      <c r="Y630" s="63"/>
      <c r="Z630" s="63"/>
      <c r="AA630" s="63"/>
      <c r="AB630" s="63"/>
      <c r="AC630" s="63"/>
    </row>
    <row r="631" spans="2:29">
      <c r="B631" s="71"/>
      <c r="C631" s="71"/>
      <c r="D631" s="71"/>
      <c r="E631" s="71"/>
      <c r="F631" s="71"/>
      <c r="G631" s="71"/>
      <c r="H631" s="71"/>
      <c r="I631" s="71"/>
      <c r="J631" s="71"/>
      <c r="K631" s="71"/>
      <c r="L631" s="71"/>
      <c r="M631" s="71"/>
      <c r="N631" s="71"/>
      <c r="O631" s="71"/>
      <c r="P631" s="61"/>
      <c r="Q631" s="62"/>
      <c r="R631" s="63"/>
      <c r="S631" s="63"/>
      <c r="T631" s="63"/>
      <c r="U631" s="63"/>
      <c r="V631" s="63"/>
      <c r="W631" s="63"/>
      <c r="X631" s="63"/>
      <c r="Y631" s="63"/>
      <c r="Z631" s="63"/>
      <c r="AA631" s="63"/>
      <c r="AB631" s="63"/>
      <c r="AC631" s="63"/>
    </row>
    <row r="632" spans="2:29">
      <c r="B632" s="71"/>
      <c r="C632" s="71"/>
      <c r="D632" s="71"/>
      <c r="E632" s="71"/>
      <c r="F632" s="71"/>
      <c r="G632" s="71"/>
      <c r="H632" s="71"/>
      <c r="I632" s="71"/>
      <c r="J632" s="71"/>
      <c r="K632" s="71"/>
      <c r="L632" s="71"/>
      <c r="M632" s="71"/>
      <c r="N632" s="71"/>
      <c r="O632" s="71"/>
      <c r="P632" s="61"/>
      <c r="Q632" s="62"/>
      <c r="R632" s="63"/>
      <c r="S632" s="63"/>
      <c r="T632" s="63"/>
      <c r="U632" s="63"/>
      <c r="V632" s="63"/>
      <c r="W632" s="63"/>
      <c r="X632" s="63"/>
      <c r="Y632" s="63"/>
      <c r="Z632" s="63"/>
      <c r="AA632" s="63"/>
      <c r="AB632" s="63"/>
      <c r="AC632" s="63"/>
    </row>
    <row r="633" spans="2:29">
      <c r="B633" s="71"/>
      <c r="C633" s="71"/>
      <c r="D633" s="71"/>
      <c r="E633" s="71"/>
      <c r="F633" s="71"/>
      <c r="G633" s="71"/>
      <c r="H633" s="71"/>
      <c r="I633" s="71"/>
      <c r="J633" s="71"/>
      <c r="K633" s="71"/>
      <c r="L633" s="71"/>
      <c r="M633" s="71"/>
      <c r="N633" s="71"/>
      <c r="O633" s="71"/>
      <c r="P633" s="61"/>
      <c r="Q633" s="62"/>
      <c r="R633" s="63"/>
      <c r="S633" s="63"/>
      <c r="T633" s="63"/>
      <c r="U633" s="63"/>
      <c r="V633" s="63"/>
      <c r="W633" s="63"/>
      <c r="X633" s="63"/>
      <c r="Y633" s="63"/>
      <c r="Z633" s="63"/>
      <c r="AA633" s="63"/>
      <c r="AB633" s="63"/>
      <c r="AC633" s="63"/>
    </row>
    <row r="634" spans="2:29">
      <c r="B634" s="71"/>
      <c r="C634" s="71"/>
      <c r="D634" s="71"/>
      <c r="E634" s="71"/>
      <c r="F634" s="71"/>
      <c r="G634" s="71"/>
      <c r="H634" s="71"/>
      <c r="I634" s="71"/>
      <c r="J634" s="71"/>
      <c r="K634" s="71"/>
      <c r="L634" s="71"/>
      <c r="M634" s="71"/>
      <c r="N634" s="71"/>
      <c r="O634" s="71"/>
      <c r="P634" s="61"/>
      <c r="Q634" s="62"/>
      <c r="R634" s="63"/>
      <c r="S634" s="63"/>
      <c r="T634" s="63"/>
      <c r="U634" s="63"/>
      <c r="V634" s="63"/>
      <c r="W634" s="63"/>
      <c r="X634" s="63"/>
      <c r="Y634" s="63"/>
      <c r="Z634" s="63"/>
      <c r="AA634" s="63"/>
      <c r="AB634" s="63"/>
      <c r="AC634" s="63"/>
    </row>
    <row r="635" spans="2:29">
      <c r="B635" s="71"/>
      <c r="C635" s="71"/>
      <c r="D635" s="71"/>
      <c r="E635" s="71"/>
      <c r="F635" s="71"/>
      <c r="G635" s="71"/>
      <c r="H635" s="71"/>
      <c r="I635" s="71"/>
      <c r="J635" s="71"/>
      <c r="K635" s="71"/>
      <c r="L635" s="71"/>
      <c r="M635" s="71"/>
      <c r="N635" s="71"/>
      <c r="O635" s="71"/>
      <c r="P635" s="61"/>
      <c r="Q635" s="62"/>
      <c r="R635" s="63"/>
      <c r="S635" s="63"/>
      <c r="T635" s="63"/>
      <c r="U635" s="63"/>
      <c r="V635" s="63"/>
      <c r="W635" s="63"/>
      <c r="X635" s="63"/>
      <c r="Y635" s="63"/>
      <c r="Z635" s="63"/>
      <c r="AA635" s="63"/>
      <c r="AB635" s="63"/>
      <c r="AC635" s="63"/>
    </row>
    <row r="636" spans="2:29">
      <c r="B636" s="71"/>
      <c r="C636" s="71"/>
      <c r="D636" s="71"/>
      <c r="E636" s="71"/>
      <c r="F636" s="71"/>
      <c r="G636" s="71"/>
      <c r="H636" s="71"/>
      <c r="I636" s="71"/>
      <c r="J636" s="71"/>
      <c r="K636" s="71"/>
      <c r="L636" s="71"/>
      <c r="M636" s="71"/>
      <c r="N636" s="71"/>
      <c r="O636" s="71"/>
      <c r="P636" s="61"/>
      <c r="Q636" s="62"/>
      <c r="R636" s="63"/>
      <c r="S636" s="63"/>
      <c r="T636" s="63"/>
      <c r="U636" s="63"/>
      <c r="V636" s="63"/>
      <c r="W636" s="63"/>
      <c r="X636" s="63"/>
      <c r="Y636" s="63"/>
      <c r="Z636" s="63"/>
      <c r="AA636" s="63"/>
      <c r="AB636" s="63"/>
      <c r="AC636" s="63"/>
    </row>
    <row r="637" spans="2:29">
      <c r="B637" s="71"/>
      <c r="C637" s="71"/>
      <c r="D637" s="71"/>
      <c r="E637" s="71"/>
      <c r="F637" s="71"/>
      <c r="G637" s="71"/>
      <c r="H637" s="71"/>
      <c r="I637" s="71"/>
      <c r="J637" s="71"/>
      <c r="K637" s="71"/>
      <c r="L637" s="71"/>
      <c r="M637" s="71"/>
      <c r="N637" s="71"/>
      <c r="O637" s="71"/>
      <c r="P637" s="61"/>
      <c r="Q637" s="62"/>
      <c r="R637" s="63"/>
      <c r="S637" s="63"/>
      <c r="T637" s="63"/>
      <c r="U637" s="63"/>
      <c r="V637" s="63"/>
      <c r="W637" s="63"/>
      <c r="X637" s="63"/>
      <c r="Y637" s="63"/>
      <c r="Z637" s="63"/>
      <c r="AA637" s="63"/>
      <c r="AB637" s="63"/>
      <c r="AC637" s="63"/>
    </row>
    <row r="638" spans="2:29">
      <c r="B638" s="71"/>
      <c r="C638" s="71"/>
      <c r="D638" s="71"/>
      <c r="E638" s="71"/>
      <c r="F638" s="71"/>
      <c r="G638" s="71"/>
      <c r="H638" s="71"/>
      <c r="I638" s="71"/>
      <c r="J638" s="71"/>
      <c r="K638" s="71"/>
      <c r="L638" s="71"/>
      <c r="M638" s="71"/>
      <c r="N638" s="71"/>
      <c r="O638" s="71"/>
      <c r="P638" s="61"/>
      <c r="Q638" s="62"/>
      <c r="R638" s="63"/>
      <c r="S638" s="63"/>
      <c r="T638" s="63"/>
      <c r="U638" s="63"/>
      <c r="V638" s="63"/>
      <c r="W638" s="63"/>
      <c r="X638" s="63"/>
      <c r="Y638" s="63"/>
      <c r="Z638" s="63"/>
      <c r="AA638" s="63"/>
      <c r="AB638" s="63"/>
      <c r="AC638" s="63"/>
    </row>
    <row r="639" spans="2:29">
      <c r="B639" s="71"/>
      <c r="C639" s="71"/>
      <c r="D639" s="71"/>
      <c r="E639" s="71"/>
      <c r="F639" s="71"/>
      <c r="G639" s="71"/>
      <c r="H639" s="71"/>
      <c r="I639" s="71"/>
      <c r="J639" s="71"/>
      <c r="K639" s="71"/>
      <c r="L639" s="71"/>
      <c r="M639" s="71"/>
      <c r="N639" s="71"/>
      <c r="O639" s="71"/>
      <c r="P639" s="61"/>
      <c r="Q639" s="62"/>
      <c r="R639" s="63"/>
      <c r="S639" s="63"/>
      <c r="T639" s="63"/>
      <c r="U639" s="63"/>
      <c r="V639" s="63"/>
      <c r="W639" s="63"/>
      <c r="X639" s="63"/>
      <c r="Y639" s="63"/>
      <c r="Z639" s="63"/>
      <c r="AA639" s="63"/>
      <c r="AB639" s="63"/>
      <c r="AC639" s="63"/>
    </row>
    <row r="640" spans="2:29">
      <c r="B640" s="71"/>
      <c r="C640" s="71"/>
      <c r="D640" s="71"/>
      <c r="E640" s="71"/>
      <c r="F640" s="71"/>
      <c r="G640" s="71"/>
      <c r="H640" s="71"/>
      <c r="I640" s="71"/>
      <c r="J640" s="71"/>
      <c r="K640" s="71"/>
      <c r="L640" s="71"/>
      <c r="M640" s="71"/>
      <c r="N640" s="71"/>
      <c r="O640" s="71"/>
      <c r="P640" s="61"/>
      <c r="Q640" s="62"/>
      <c r="R640" s="63"/>
      <c r="S640" s="63"/>
      <c r="T640" s="63"/>
      <c r="U640" s="63"/>
      <c r="V640" s="63"/>
      <c r="W640" s="63"/>
      <c r="X640" s="63"/>
      <c r="Y640" s="63"/>
      <c r="Z640" s="63"/>
      <c r="AA640" s="63"/>
      <c r="AB640" s="63"/>
      <c r="AC640" s="63"/>
    </row>
    <row r="641" spans="2:29">
      <c r="B641" s="71"/>
      <c r="C641" s="71"/>
      <c r="D641" s="71"/>
      <c r="E641" s="71"/>
      <c r="F641" s="71"/>
      <c r="G641" s="71"/>
      <c r="H641" s="71"/>
      <c r="I641" s="71"/>
      <c r="J641" s="71"/>
      <c r="K641" s="71"/>
      <c r="L641" s="71"/>
      <c r="M641" s="71"/>
      <c r="N641" s="71"/>
      <c r="O641" s="71"/>
      <c r="P641" s="61"/>
      <c r="Q641" s="62"/>
      <c r="R641" s="63"/>
      <c r="S641" s="63"/>
      <c r="T641" s="63"/>
      <c r="U641" s="63"/>
      <c r="V641" s="63"/>
      <c r="W641" s="63"/>
      <c r="X641" s="63"/>
      <c r="Y641" s="63"/>
      <c r="Z641" s="63"/>
      <c r="AA641" s="63"/>
      <c r="AB641" s="63"/>
      <c r="AC641" s="63"/>
    </row>
    <row r="642" spans="2:29">
      <c r="B642" s="71"/>
      <c r="C642" s="71"/>
      <c r="D642" s="71"/>
      <c r="E642" s="71"/>
      <c r="F642" s="71"/>
      <c r="G642" s="71"/>
      <c r="H642" s="71"/>
      <c r="I642" s="71"/>
      <c r="J642" s="71"/>
      <c r="K642" s="71"/>
      <c r="L642" s="71"/>
      <c r="M642" s="71"/>
      <c r="N642" s="71"/>
      <c r="O642" s="71"/>
      <c r="P642" s="61"/>
      <c r="Q642" s="62"/>
      <c r="R642" s="63"/>
      <c r="S642" s="63"/>
      <c r="T642" s="63"/>
      <c r="U642" s="63"/>
      <c r="V642" s="63"/>
      <c r="W642" s="63"/>
      <c r="X642" s="63"/>
      <c r="Y642" s="63"/>
      <c r="Z642" s="63"/>
      <c r="AA642" s="63"/>
      <c r="AB642" s="63"/>
      <c r="AC642" s="63"/>
    </row>
    <row r="643" spans="2:29">
      <c r="B643" s="71"/>
      <c r="C643" s="71"/>
      <c r="D643" s="71"/>
      <c r="E643" s="71"/>
      <c r="F643" s="71"/>
      <c r="G643" s="71"/>
      <c r="H643" s="71"/>
      <c r="I643" s="71"/>
      <c r="J643" s="71"/>
      <c r="K643" s="71"/>
      <c r="L643" s="71"/>
      <c r="M643" s="71"/>
      <c r="N643" s="71"/>
      <c r="O643" s="71"/>
      <c r="P643" s="61"/>
      <c r="Q643" s="62"/>
      <c r="R643" s="63"/>
      <c r="S643" s="63"/>
      <c r="T643" s="63"/>
      <c r="U643" s="63"/>
      <c r="V643" s="63"/>
      <c r="W643" s="63"/>
      <c r="X643" s="63"/>
      <c r="Y643" s="63"/>
      <c r="Z643" s="63"/>
      <c r="AA643" s="63"/>
      <c r="AB643" s="63"/>
      <c r="AC643" s="63"/>
    </row>
    <row r="644" spans="2:29">
      <c r="B644" s="71"/>
      <c r="C644" s="71"/>
      <c r="D644" s="71"/>
      <c r="E644" s="71"/>
      <c r="F644" s="71"/>
      <c r="G644" s="71"/>
      <c r="H644" s="71"/>
      <c r="I644" s="71"/>
      <c r="J644" s="71"/>
      <c r="K644" s="71"/>
      <c r="L644" s="71"/>
      <c r="M644" s="71"/>
      <c r="N644" s="71"/>
      <c r="O644" s="71"/>
      <c r="P644" s="61"/>
      <c r="Q644" s="62"/>
      <c r="R644" s="63"/>
      <c r="S644" s="63"/>
      <c r="T644" s="63"/>
      <c r="U644" s="63"/>
      <c r="V644" s="63"/>
      <c r="W644" s="63"/>
      <c r="X644" s="63"/>
      <c r="Y644" s="63"/>
      <c r="Z644" s="63"/>
      <c r="AA644" s="63"/>
      <c r="AB644" s="63"/>
      <c r="AC644" s="63"/>
    </row>
    <row r="645" spans="2:29">
      <c r="B645" s="71"/>
      <c r="C645" s="71"/>
      <c r="D645" s="71"/>
      <c r="E645" s="71"/>
      <c r="F645" s="71"/>
      <c r="G645" s="71"/>
      <c r="H645" s="71"/>
      <c r="I645" s="71"/>
      <c r="J645" s="71"/>
      <c r="K645" s="71"/>
      <c r="L645" s="71"/>
      <c r="M645" s="71"/>
      <c r="N645" s="71"/>
      <c r="O645" s="71"/>
      <c r="P645" s="61"/>
      <c r="Q645" s="62"/>
      <c r="R645" s="63"/>
      <c r="S645" s="63"/>
      <c r="T645" s="63"/>
      <c r="U645" s="63"/>
      <c r="V645" s="63"/>
      <c r="W645" s="63"/>
      <c r="X645" s="63"/>
      <c r="Y645" s="63"/>
      <c r="Z645" s="63"/>
      <c r="AA645" s="63"/>
      <c r="AB645" s="63"/>
      <c r="AC645" s="63"/>
    </row>
    <row r="646" spans="2:29">
      <c r="B646" s="71"/>
      <c r="C646" s="71"/>
      <c r="D646" s="71"/>
      <c r="E646" s="71"/>
      <c r="F646" s="71"/>
      <c r="G646" s="71"/>
      <c r="H646" s="71"/>
      <c r="I646" s="71"/>
      <c r="J646" s="71"/>
      <c r="K646" s="71"/>
      <c r="L646" s="71"/>
      <c r="M646" s="71"/>
      <c r="N646" s="71"/>
      <c r="O646" s="71"/>
      <c r="P646" s="61"/>
      <c r="Q646" s="62"/>
      <c r="R646" s="63"/>
      <c r="S646" s="63"/>
      <c r="T646" s="63"/>
      <c r="U646" s="63"/>
      <c r="V646" s="63"/>
      <c r="W646" s="63"/>
      <c r="X646" s="63"/>
      <c r="Y646" s="63"/>
      <c r="Z646" s="63"/>
      <c r="AA646" s="63"/>
      <c r="AB646" s="63"/>
      <c r="AC646" s="63"/>
    </row>
    <row r="647" spans="2:29">
      <c r="B647" s="71"/>
      <c r="C647" s="71"/>
      <c r="D647" s="71"/>
      <c r="E647" s="71"/>
      <c r="F647" s="71"/>
      <c r="G647" s="71"/>
      <c r="H647" s="71"/>
      <c r="I647" s="71"/>
      <c r="J647" s="71"/>
      <c r="K647" s="71"/>
      <c r="L647" s="71"/>
      <c r="M647" s="71"/>
      <c r="N647" s="71"/>
      <c r="O647" s="71"/>
      <c r="P647" s="61"/>
      <c r="Q647" s="62"/>
      <c r="R647" s="63"/>
      <c r="S647" s="63"/>
      <c r="T647" s="63"/>
      <c r="U647" s="63"/>
      <c r="V647" s="63"/>
      <c r="W647" s="63"/>
      <c r="X647" s="63"/>
      <c r="Y647" s="63"/>
      <c r="Z647" s="63"/>
      <c r="AA647" s="63"/>
      <c r="AB647" s="63"/>
      <c r="AC647" s="63"/>
    </row>
    <row r="648" spans="2:29">
      <c r="B648" s="71"/>
      <c r="C648" s="71"/>
      <c r="D648" s="71"/>
      <c r="E648" s="71"/>
      <c r="F648" s="71"/>
      <c r="G648" s="71"/>
      <c r="H648" s="71"/>
      <c r="I648" s="71"/>
      <c r="J648" s="71"/>
      <c r="K648" s="71"/>
      <c r="L648" s="71"/>
      <c r="M648" s="71"/>
      <c r="N648" s="71"/>
      <c r="O648" s="71"/>
      <c r="P648" s="61"/>
      <c r="Q648" s="62"/>
      <c r="R648" s="63"/>
      <c r="S648" s="63"/>
      <c r="T648" s="63"/>
      <c r="U648" s="63"/>
      <c r="V648" s="63"/>
      <c r="W648" s="63"/>
      <c r="X648" s="63"/>
      <c r="Y648" s="63"/>
      <c r="Z648" s="63"/>
      <c r="AA648" s="63"/>
      <c r="AB648" s="63"/>
      <c r="AC648" s="63"/>
    </row>
    <row r="649" spans="2:29">
      <c r="B649" s="71"/>
      <c r="C649" s="71"/>
      <c r="D649" s="71"/>
      <c r="E649" s="71"/>
      <c r="F649" s="71"/>
      <c r="G649" s="71"/>
      <c r="H649" s="71"/>
      <c r="I649" s="71"/>
      <c r="J649" s="71"/>
      <c r="K649" s="71"/>
      <c r="L649" s="71"/>
      <c r="M649" s="71"/>
      <c r="N649" s="71"/>
      <c r="O649" s="71"/>
      <c r="P649" s="61"/>
      <c r="Q649" s="62"/>
      <c r="R649" s="63"/>
      <c r="S649" s="63"/>
      <c r="T649" s="63"/>
      <c r="U649" s="63"/>
      <c r="V649" s="63"/>
      <c r="W649" s="63"/>
      <c r="X649" s="63"/>
      <c r="Y649" s="63"/>
      <c r="Z649" s="63"/>
      <c r="AA649" s="63"/>
      <c r="AB649" s="63"/>
      <c r="AC649" s="63"/>
    </row>
    <row r="650" spans="2:29">
      <c r="B650" s="71"/>
      <c r="C650" s="71"/>
      <c r="D650" s="71"/>
      <c r="E650" s="71"/>
      <c r="F650" s="71"/>
      <c r="G650" s="71"/>
      <c r="H650" s="71"/>
      <c r="I650" s="71"/>
      <c r="J650" s="71"/>
      <c r="K650" s="71"/>
      <c r="L650" s="71"/>
      <c r="M650" s="71"/>
      <c r="N650" s="71"/>
      <c r="O650" s="71"/>
      <c r="P650" s="61"/>
      <c r="Q650" s="62"/>
      <c r="R650" s="63"/>
      <c r="S650" s="63"/>
      <c r="T650" s="63"/>
      <c r="U650" s="63"/>
      <c r="V650" s="63"/>
      <c r="W650" s="63"/>
      <c r="X650" s="63"/>
      <c r="Y650" s="63"/>
      <c r="Z650" s="63"/>
      <c r="AA650" s="63"/>
      <c r="AB650" s="63"/>
      <c r="AC650" s="63"/>
    </row>
    <row r="651" spans="2:29">
      <c r="B651" s="71"/>
      <c r="C651" s="71"/>
      <c r="D651" s="71"/>
      <c r="E651" s="71"/>
      <c r="F651" s="71"/>
      <c r="G651" s="71"/>
      <c r="H651" s="71"/>
      <c r="I651" s="71"/>
      <c r="J651" s="71"/>
      <c r="K651" s="71"/>
      <c r="L651" s="71"/>
      <c r="M651" s="71"/>
      <c r="N651" s="71"/>
      <c r="O651" s="71"/>
      <c r="P651" s="61"/>
      <c r="Q651" s="62"/>
      <c r="R651" s="63"/>
      <c r="S651" s="63"/>
      <c r="T651" s="63"/>
      <c r="U651" s="63"/>
      <c r="V651" s="63"/>
      <c r="W651" s="63"/>
      <c r="X651" s="63"/>
      <c r="Y651" s="63"/>
      <c r="Z651" s="63"/>
      <c r="AA651" s="63"/>
      <c r="AB651" s="63"/>
      <c r="AC651" s="63"/>
    </row>
    <row r="652" spans="2:29">
      <c r="B652" s="71"/>
      <c r="C652" s="71"/>
      <c r="D652" s="71"/>
      <c r="E652" s="71"/>
      <c r="F652" s="71"/>
      <c r="G652" s="71"/>
      <c r="H652" s="71"/>
      <c r="I652" s="71"/>
      <c r="J652" s="71"/>
      <c r="K652" s="71"/>
      <c r="L652" s="71"/>
      <c r="M652" s="71"/>
      <c r="N652" s="71"/>
      <c r="O652" s="71"/>
      <c r="P652" s="61"/>
      <c r="Q652" s="62"/>
      <c r="R652" s="63"/>
      <c r="S652" s="63"/>
      <c r="T652" s="63"/>
      <c r="U652" s="63"/>
      <c r="V652" s="63"/>
      <c r="W652" s="63"/>
      <c r="X652" s="63"/>
      <c r="Y652" s="63"/>
      <c r="Z652" s="63"/>
      <c r="AA652" s="63"/>
      <c r="AB652" s="63"/>
      <c r="AC652" s="63"/>
    </row>
    <row r="653" spans="2:29">
      <c r="B653" s="71"/>
      <c r="C653" s="71"/>
      <c r="D653" s="71"/>
      <c r="E653" s="71"/>
      <c r="F653" s="71"/>
      <c r="G653" s="71"/>
      <c r="H653" s="71"/>
      <c r="I653" s="71"/>
      <c r="J653" s="71"/>
      <c r="K653" s="71"/>
      <c r="L653" s="71"/>
      <c r="M653" s="71"/>
      <c r="N653" s="71"/>
      <c r="O653" s="71"/>
      <c r="P653" s="61"/>
      <c r="Q653" s="62"/>
      <c r="R653" s="63"/>
      <c r="S653" s="63"/>
      <c r="T653" s="63"/>
      <c r="U653" s="63"/>
      <c r="V653" s="63"/>
      <c r="W653" s="63"/>
      <c r="X653" s="63"/>
      <c r="Y653" s="63"/>
      <c r="Z653" s="63"/>
      <c r="AA653" s="63"/>
      <c r="AB653" s="63"/>
      <c r="AC653" s="63"/>
    </row>
    <row r="654" spans="2:29">
      <c r="B654" s="71"/>
      <c r="C654" s="71"/>
      <c r="D654" s="71"/>
      <c r="E654" s="71"/>
      <c r="F654" s="71"/>
      <c r="G654" s="71"/>
      <c r="H654" s="71"/>
      <c r="I654" s="71"/>
      <c r="J654" s="71"/>
      <c r="K654" s="71"/>
      <c r="L654" s="71"/>
      <c r="M654" s="71"/>
      <c r="N654" s="71"/>
      <c r="O654" s="71"/>
      <c r="P654" s="61"/>
      <c r="Q654" s="62"/>
      <c r="R654" s="63"/>
      <c r="S654" s="63"/>
      <c r="T654" s="63"/>
      <c r="U654" s="63"/>
      <c r="V654" s="63"/>
      <c r="W654" s="63"/>
      <c r="X654" s="63"/>
      <c r="Y654" s="63"/>
      <c r="Z654" s="63"/>
      <c r="AA654" s="63"/>
      <c r="AB654" s="63"/>
      <c r="AC654" s="63"/>
    </row>
    <row r="655" spans="2:29">
      <c r="B655" s="71"/>
      <c r="C655" s="71"/>
      <c r="D655" s="71"/>
      <c r="E655" s="71"/>
      <c r="F655" s="71"/>
      <c r="G655" s="71"/>
      <c r="H655" s="71"/>
      <c r="I655" s="71"/>
      <c r="J655" s="71"/>
      <c r="K655" s="71"/>
      <c r="L655" s="71"/>
      <c r="M655" s="71"/>
      <c r="N655" s="71"/>
      <c r="O655" s="71"/>
      <c r="P655" s="61"/>
      <c r="Q655" s="62"/>
      <c r="R655" s="63"/>
      <c r="S655" s="63"/>
      <c r="T655" s="63"/>
      <c r="U655" s="63"/>
      <c r="V655" s="63"/>
      <c r="W655" s="63"/>
      <c r="X655" s="63"/>
      <c r="Y655" s="63"/>
      <c r="Z655" s="63"/>
      <c r="AA655" s="63"/>
      <c r="AB655" s="63"/>
      <c r="AC655" s="63"/>
    </row>
    <row r="656" spans="2:29">
      <c r="B656" s="71"/>
      <c r="C656" s="71"/>
      <c r="D656" s="71"/>
      <c r="E656" s="71"/>
      <c r="F656" s="71"/>
      <c r="G656" s="71"/>
      <c r="H656" s="71"/>
      <c r="I656" s="71"/>
      <c r="J656" s="71"/>
      <c r="K656" s="71"/>
      <c r="L656" s="71"/>
      <c r="M656" s="71"/>
      <c r="N656" s="71"/>
      <c r="O656" s="71"/>
      <c r="P656" s="61"/>
      <c r="Q656" s="62"/>
      <c r="R656" s="63"/>
      <c r="S656" s="63"/>
      <c r="T656" s="63"/>
      <c r="U656" s="63"/>
      <c r="V656" s="63"/>
      <c r="W656" s="63"/>
      <c r="X656" s="63"/>
      <c r="Y656" s="63"/>
      <c r="Z656" s="63"/>
      <c r="AA656" s="63"/>
      <c r="AB656" s="63"/>
      <c r="AC656" s="63"/>
    </row>
    <row r="657" spans="2:29">
      <c r="B657" s="71"/>
      <c r="C657" s="71"/>
      <c r="D657" s="71"/>
      <c r="E657" s="71"/>
      <c r="F657" s="71"/>
      <c r="G657" s="71"/>
      <c r="H657" s="71"/>
      <c r="I657" s="71"/>
      <c r="J657" s="71"/>
      <c r="K657" s="71"/>
      <c r="L657" s="71"/>
      <c r="M657" s="71"/>
      <c r="N657" s="71"/>
      <c r="O657" s="71"/>
      <c r="P657" s="61"/>
      <c r="Q657" s="62"/>
      <c r="R657" s="63"/>
      <c r="S657" s="63"/>
      <c r="T657" s="63"/>
      <c r="U657" s="63"/>
      <c r="V657" s="63"/>
      <c r="W657" s="63"/>
      <c r="X657" s="63"/>
      <c r="Y657" s="63"/>
      <c r="Z657" s="63"/>
      <c r="AA657" s="63"/>
      <c r="AB657" s="63"/>
      <c r="AC657" s="63"/>
    </row>
    <row r="658" spans="2:29">
      <c r="B658" s="71"/>
      <c r="C658" s="71"/>
      <c r="D658" s="71"/>
      <c r="E658" s="71"/>
      <c r="F658" s="71"/>
      <c r="G658" s="71"/>
      <c r="H658" s="71"/>
      <c r="I658" s="71"/>
      <c r="J658" s="71"/>
      <c r="K658" s="71"/>
      <c r="L658" s="71"/>
      <c r="M658" s="71"/>
      <c r="N658" s="71"/>
      <c r="O658" s="71"/>
      <c r="P658" s="61"/>
      <c r="Q658" s="62"/>
      <c r="R658" s="63"/>
      <c r="S658" s="63"/>
      <c r="T658" s="63"/>
      <c r="U658" s="63"/>
      <c r="V658" s="63"/>
      <c r="W658" s="63"/>
      <c r="X658" s="63"/>
      <c r="Y658" s="63"/>
      <c r="Z658" s="63"/>
      <c r="AA658" s="63"/>
      <c r="AB658" s="63"/>
      <c r="AC658" s="63"/>
    </row>
    <row r="659" spans="2:29">
      <c r="B659" s="71"/>
      <c r="C659" s="71"/>
      <c r="D659" s="71"/>
      <c r="E659" s="71"/>
      <c r="F659" s="71"/>
      <c r="G659" s="71"/>
      <c r="H659" s="71"/>
      <c r="I659" s="71"/>
      <c r="J659" s="71"/>
      <c r="K659" s="71"/>
      <c r="L659" s="71"/>
      <c r="M659" s="71"/>
      <c r="N659" s="71"/>
      <c r="O659" s="71"/>
      <c r="P659" s="61"/>
      <c r="Q659" s="62"/>
      <c r="R659" s="63"/>
      <c r="S659" s="63"/>
      <c r="T659" s="63"/>
      <c r="U659" s="63"/>
      <c r="V659" s="63"/>
      <c r="W659" s="63"/>
      <c r="X659" s="63"/>
      <c r="Y659" s="63"/>
      <c r="Z659" s="63"/>
      <c r="AA659" s="63"/>
      <c r="AB659" s="63"/>
      <c r="AC659" s="63"/>
    </row>
    <row r="660" spans="2:29">
      <c r="B660" s="71"/>
      <c r="C660" s="71"/>
      <c r="D660" s="71"/>
      <c r="E660" s="71"/>
      <c r="F660" s="71"/>
      <c r="G660" s="71"/>
      <c r="H660" s="71"/>
      <c r="I660" s="71"/>
      <c r="J660" s="71"/>
      <c r="K660" s="71"/>
      <c r="L660" s="71"/>
      <c r="M660" s="71"/>
      <c r="N660" s="71"/>
      <c r="O660" s="71"/>
      <c r="P660" s="61"/>
      <c r="Q660" s="62"/>
      <c r="R660" s="63"/>
      <c r="S660" s="63"/>
      <c r="T660" s="63"/>
      <c r="U660" s="63"/>
      <c r="V660" s="63"/>
      <c r="W660" s="63"/>
      <c r="X660" s="63"/>
      <c r="Y660" s="63"/>
      <c r="Z660" s="63"/>
      <c r="AA660" s="63"/>
      <c r="AB660" s="63"/>
      <c r="AC660" s="63"/>
    </row>
    <row r="661" spans="2:29">
      <c r="B661" s="71"/>
      <c r="C661" s="71"/>
      <c r="D661" s="71"/>
      <c r="E661" s="71"/>
      <c r="F661" s="71"/>
      <c r="G661" s="71"/>
      <c r="H661" s="71"/>
      <c r="I661" s="71"/>
      <c r="J661" s="71"/>
      <c r="K661" s="71"/>
      <c r="L661" s="71"/>
      <c r="M661" s="71"/>
      <c r="N661" s="71"/>
      <c r="O661" s="71"/>
      <c r="P661" s="61"/>
      <c r="Q661" s="62"/>
      <c r="R661" s="63"/>
      <c r="S661" s="63"/>
      <c r="T661" s="63"/>
      <c r="U661" s="63"/>
      <c r="V661" s="63"/>
      <c r="W661" s="63"/>
      <c r="X661" s="63"/>
      <c r="Y661" s="63"/>
      <c r="Z661" s="63"/>
      <c r="AA661" s="63"/>
      <c r="AB661" s="63"/>
      <c r="AC661" s="63"/>
    </row>
    <row r="662" spans="2:29">
      <c r="B662" s="71"/>
      <c r="C662" s="71"/>
      <c r="D662" s="71"/>
      <c r="E662" s="71"/>
      <c r="F662" s="71"/>
      <c r="G662" s="71"/>
      <c r="H662" s="71"/>
      <c r="I662" s="71"/>
      <c r="J662" s="71"/>
      <c r="K662" s="71"/>
      <c r="L662" s="71"/>
      <c r="M662" s="71"/>
      <c r="N662" s="71"/>
      <c r="O662" s="71"/>
      <c r="P662" s="61"/>
      <c r="Q662" s="62"/>
      <c r="R662" s="63"/>
      <c r="S662" s="63"/>
      <c r="T662" s="63"/>
      <c r="U662" s="63"/>
      <c r="V662" s="63"/>
      <c r="W662" s="63"/>
      <c r="X662" s="63"/>
      <c r="Y662" s="63"/>
      <c r="Z662" s="63"/>
      <c r="AA662" s="63"/>
      <c r="AB662" s="63"/>
      <c r="AC662" s="63"/>
    </row>
    <row r="663" spans="2:29">
      <c r="B663" s="71"/>
      <c r="C663" s="71"/>
      <c r="D663" s="71"/>
      <c r="E663" s="71"/>
      <c r="F663" s="71"/>
      <c r="G663" s="71"/>
      <c r="H663" s="71"/>
      <c r="I663" s="71"/>
      <c r="J663" s="71"/>
      <c r="K663" s="71"/>
      <c r="L663" s="71"/>
      <c r="M663" s="71"/>
      <c r="N663" s="71"/>
      <c r="O663" s="71"/>
      <c r="P663" s="61"/>
      <c r="Q663" s="62"/>
      <c r="R663" s="63"/>
      <c r="S663" s="63"/>
      <c r="T663" s="63"/>
      <c r="U663" s="63"/>
      <c r="V663" s="63"/>
      <c r="W663" s="63"/>
      <c r="X663" s="63"/>
      <c r="Y663" s="63"/>
      <c r="Z663" s="63"/>
      <c r="AA663" s="63"/>
      <c r="AB663" s="63"/>
      <c r="AC663" s="63"/>
    </row>
    <row r="664" spans="2:29">
      <c r="B664" s="71"/>
      <c r="C664" s="71"/>
      <c r="D664" s="71"/>
      <c r="E664" s="71"/>
      <c r="F664" s="71"/>
      <c r="G664" s="71"/>
      <c r="H664" s="71"/>
      <c r="I664" s="71"/>
      <c r="J664" s="71"/>
      <c r="K664" s="71"/>
      <c r="L664" s="71"/>
      <c r="M664" s="71"/>
      <c r="N664" s="71"/>
      <c r="O664" s="71"/>
      <c r="P664" s="61"/>
      <c r="Q664" s="62"/>
      <c r="R664" s="63"/>
      <c r="S664" s="63"/>
      <c r="T664" s="63"/>
      <c r="U664" s="63"/>
      <c r="V664" s="63"/>
      <c r="W664" s="63"/>
      <c r="X664" s="63"/>
      <c r="Y664" s="63"/>
      <c r="Z664" s="63"/>
      <c r="AA664" s="63"/>
      <c r="AB664" s="63"/>
      <c r="AC664" s="63"/>
    </row>
    <row r="665" spans="2:29">
      <c r="B665" s="71"/>
      <c r="C665" s="71"/>
      <c r="D665" s="71"/>
      <c r="E665" s="71"/>
      <c r="F665" s="71"/>
      <c r="G665" s="71"/>
      <c r="H665" s="71"/>
      <c r="I665" s="71"/>
      <c r="J665" s="71"/>
      <c r="K665" s="71"/>
      <c r="L665" s="71"/>
      <c r="M665" s="71"/>
      <c r="N665" s="71"/>
      <c r="O665" s="71"/>
      <c r="P665" s="61"/>
      <c r="Q665" s="62"/>
      <c r="R665" s="63"/>
      <c r="S665" s="63"/>
      <c r="T665" s="63"/>
      <c r="U665" s="63"/>
      <c r="V665" s="63"/>
      <c r="W665" s="63"/>
      <c r="X665" s="63"/>
      <c r="Y665" s="63"/>
      <c r="Z665" s="63"/>
      <c r="AA665" s="63"/>
      <c r="AB665" s="63"/>
      <c r="AC665" s="63"/>
    </row>
    <row r="666" spans="2:29">
      <c r="B666" s="71"/>
      <c r="C666" s="71"/>
      <c r="D666" s="71"/>
      <c r="E666" s="71"/>
      <c r="F666" s="71"/>
      <c r="G666" s="71"/>
      <c r="H666" s="71"/>
      <c r="I666" s="71"/>
      <c r="J666" s="71"/>
      <c r="K666" s="71"/>
      <c r="L666" s="71"/>
      <c r="M666" s="71"/>
      <c r="N666" s="71"/>
      <c r="O666" s="71"/>
      <c r="P666" s="61"/>
      <c r="Q666" s="62"/>
      <c r="R666" s="63"/>
      <c r="S666" s="63"/>
      <c r="T666" s="63"/>
      <c r="U666" s="63"/>
      <c r="V666" s="63"/>
      <c r="W666" s="63"/>
      <c r="X666" s="63"/>
      <c r="Y666" s="63"/>
      <c r="Z666" s="63"/>
      <c r="AA666" s="63"/>
      <c r="AB666" s="63"/>
      <c r="AC666" s="63"/>
    </row>
    <row r="667" spans="2:29">
      <c r="B667" s="71"/>
      <c r="C667" s="71"/>
      <c r="D667" s="71"/>
      <c r="E667" s="71"/>
      <c r="F667" s="71"/>
      <c r="G667" s="71"/>
      <c r="H667" s="71"/>
      <c r="I667" s="71"/>
      <c r="J667" s="71"/>
      <c r="K667" s="71"/>
      <c r="L667" s="71"/>
      <c r="M667" s="71"/>
      <c r="N667" s="71"/>
      <c r="O667" s="71"/>
      <c r="P667" s="61"/>
      <c r="Q667" s="62"/>
      <c r="R667" s="63"/>
      <c r="S667" s="63"/>
      <c r="T667" s="63"/>
      <c r="U667" s="63"/>
      <c r="V667" s="63"/>
      <c r="W667" s="63"/>
      <c r="X667" s="63"/>
      <c r="Y667" s="63"/>
      <c r="Z667" s="63"/>
      <c r="AA667" s="63"/>
      <c r="AB667" s="63"/>
      <c r="AC667" s="63"/>
    </row>
    <row r="668" spans="2:29">
      <c r="B668" s="71"/>
      <c r="C668" s="71"/>
      <c r="D668" s="71"/>
      <c r="E668" s="71"/>
      <c r="F668" s="71"/>
      <c r="G668" s="71"/>
      <c r="H668" s="71"/>
      <c r="I668" s="71"/>
      <c r="J668" s="71"/>
      <c r="K668" s="71"/>
      <c r="L668" s="71"/>
      <c r="M668" s="71"/>
      <c r="N668" s="71"/>
      <c r="O668" s="71"/>
      <c r="P668" s="61"/>
      <c r="Q668" s="62"/>
      <c r="R668" s="63"/>
      <c r="S668" s="63"/>
      <c r="T668" s="63"/>
      <c r="U668" s="63"/>
      <c r="V668" s="63"/>
      <c r="W668" s="63"/>
      <c r="X668" s="63"/>
      <c r="Y668" s="63"/>
      <c r="Z668" s="63"/>
      <c r="AA668" s="63"/>
      <c r="AB668" s="63"/>
      <c r="AC668" s="63"/>
    </row>
    <row r="669" spans="2:29">
      <c r="B669" s="71"/>
      <c r="C669" s="71"/>
      <c r="D669" s="71"/>
      <c r="E669" s="71"/>
      <c r="F669" s="71"/>
      <c r="G669" s="71"/>
      <c r="H669" s="71"/>
      <c r="I669" s="71"/>
      <c r="J669" s="71"/>
      <c r="K669" s="71"/>
      <c r="L669" s="71"/>
      <c r="M669" s="71"/>
      <c r="N669" s="71"/>
      <c r="O669" s="71"/>
      <c r="P669" s="61"/>
      <c r="Q669" s="62"/>
      <c r="R669" s="63"/>
      <c r="S669" s="63"/>
      <c r="T669" s="63"/>
      <c r="U669" s="63"/>
      <c r="V669" s="63"/>
      <c r="W669" s="63"/>
      <c r="X669" s="63"/>
      <c r="Y669" s="63"/>
      <c r="Z669" s="63"/>
      <c r="AA669" s="63"/>
      <c r="AB669" s="63"/>
      <c r="AC669" s="63"/>
    </row>
    <row r="670" spans="2:29">
      <c r="B670" s="71"/>
      <c r="C670" s="71"/>
      <c r="D670" s="71"/>
      <c r="E670" s="71"/>
      <c r="F670" s="71"/>
      <c r="G670" s="71"/>
      <c r="H670" s="71"/>
      <c r="I670" s="71"/>
      <c r="J670" s="71"/>
      <c r="K670" s="71"/>
      <c r="L670" s="71"/>
      <c r="M670" s="71"/>
      <c r="N670" s="71"/>
      <c r="O670" s="71"/>
      <c r="P670" s="61"/>
      <c r="Q670" s="62"/>
      <c r="R670" s="63"/>
      <c r="S670" s="63"/>
      <c r="T670" s="63"/>
      <c r="U670" s="63"/>
      <c r="V670" s="63"/>
      <c r="W670" s="63"/>
      <c r="X670" s="63"/>
      <c r="Y670" s="63"/>
      <c r="Z670" s="63"/>
      <c r="AA670" s="63"/>
      <c r="AB670" s="63"/>
      <c r="AC670" s="63"/>
    </row>
    <row r="671" spans="2:29">
      <c r="B671" s="71"/>
      <c r="C671" s="71"/>
      <c r="D671" s="71"/>
      <c r="E671" s="71"/>
      <c r="F671" s="71"/>
      <c r="G671" s="71"/>
      <c r="H671" s="71"/>
      <c r="I671" s="71"/>
      <c r="J671" s="71"/>
      <c r="K671" s="71"/>
      <c r="L671" s="71"/>
      <c r="M671" s="71"/>
      <c r="N671" s="71"/>
      <c r="O671" s="71"/>
      <c r="P671" s="61"/>
      <c r="Q671" s="62"/>
      <c r="R671" s="63"/>
      <c r="S671" s="63"/>
      <c r="T671" s="63"/>
      <c r="U671" s="63"/>
      <c r="V671" s="63"/>
      <c r="W671" s="63"/>
      <c r="X671" s="63"/>
      <c r="Y671" s="63"/>
      <c r="Z671" s="63"/>
      <c r="AA671" s="63"/>
      <c r="AB671" s="63"/>
      <c r="AC671" s="63"/>
    </row>
    <row r="672" spans="2:29">
      <c r="B672" s="71"/>
      <c r="C672" s="71"/>
      <c r="D672" s="71"/>
      <c r="E672" s="71"/>
      <c r="F672" s="71"/>
      <c r="G672" s="71"/>
      <c r="H672" s="71"/>
      <c r="I672" s="71"/>
      <c r="J672" s="71"/>
      <c r="K672" s="71"/>
      <c r="L672" s="71"/>
      <c r="M672" s="71"/>
      <c r="N672" s="71"/>
      <c r="O672" s="71"/>
      <c r="P672" s="61"/>
      <c r="Q672" s="62"/>
      <c r="R672" s="63"/>
      <c r="S672" s="63"/>
      <c r="T672" s="63"/>
      <c r="U672" s="63"/>
      <c r="V672" s="63"/>
      <c r="W672" s="63"/>
      <c r="X672" s="63"/>
      <c r="Y672" s="63"/>
      <c r="Z672" s="63"/>
      <c r="AA672" s="63"/>
      <c r="AB672" s="63"/>
      <c r="AC672" s="63"/>
    </row>
    <row r="673" spans="2:29">
      <c r="B673" s="71"/>
      <c r="C673" s="71"/>
      <c r="D673" s="71"/>
      <c r="E673" s="71"/>
      <c r="F673" s="71"/>
      <c r="G673" s="71"/>
      <c r="H673" s="71"/>
      <c r="I673" s="71"/>
      <c r="J673" s="71"/>
      <c r="K673" s="71"/>
      <c r="L673" s="71"/>
      <c r="M673" s="71"/>
      <c r="N673" s="71"/>
      <c r="O673" s="71"/>
      <c r="P673" s="61"/>
      <c r="Q673" s="62"/>
      <c r="R673" s="63"/>
      <c r="S673" s="63"/>
      <c r="T673" s="63"/>
      <c r="U673" s="63"/>
      <c r="V673" s="63"/>
      <c r="W673" s="63"/>
      <c r="X673" s="63"/>
      <c r="Y673" s="63"/>
      <c r="Z673" s="63"/>
      <c r="AA673" s="63"/>
      <c r="AB673" s="63"/>
      <c r="AC673" s="63"/>
    </row>
    <row r="674" spans="2:29">
      <c r="B674" s="71"/>
      <c r="C674" s="71"/>
      <c r="D674" s="71"/>
      <c r="E674" s="71"/>
      <c r="F674" s="71"/>
      <c r="G674" s="71"/>
      <c r="H674" s="71"/>
      <c r="I674" s="71"/>
      <c r="J674" s="71"/>
      <c r="K674" s="71"/>
      <c r="L674" s="71"/>
      <c r="M674" s="71"/>
      <c r="N674" s="71"/>
      <c r="O674" s="71"/>
      <c r="P674" s="61"/>
      <c r="Q674" s="62"/>
      <c r="R674" s="63"/>
      <c r="S674" s="63"/>
      <c r="T674" s="63"/>
      <c r="U674" s="63"/>
      <c r="V674" s="63"/>
      <c r="W674" s="63"/>
      <c r="X674" s="63"/>
      <c r="Y674" s="63"/>
      <c r="Z674" s="63"/>
      <c r="AA674" s="63"/>
      <c r="AB674" s="63"/>
      <c r="AC674" s="63"/>
    </row>
    <row r="675" spans="2:29">
      <c r="B675" s="71"/>
      <c r="C675" s="71"/>
      <c r="D675" s="71"/>
      <c r="E675" s="71"/>
      <c r="F675" s="71"/>
      <c r="G675" s="71"/>
      <c r="H675" s="71"/>
      <c r="I675" s="71"/>
      <c r="J675" s="71"/>
      <c r="K675" s="71"/>
      <c r="L675" s="71"/>
      <c r="M675" s="71"/>
      <c r="N675" s="71"/>
      <c r="O675" s="71"/>
      <c r="P675" s="61"/>
      <c r="Q675" s="62"/>
      <c r="R675" s="63"/>
      <c r="S675" s="63"/>
      <c r="T675" s="63"/>
      <c r="U675" s="63"/>
      <c r="V675" s="63"/>
      <c r="W675" s="63"/>
      <c r="X675" s="63"/>
      <c r="Y675" s="63"/>
      <c r="Z675" s="63"/>
      <c r="AA675" s="63"/>
      <c r="AB675" s="63"/>
      <c r="AC675" s="63"/>
    </row>
    <row r="676" spans="2:29">
      <c r="B676" s="71"/>
      <c r="C676" s="71"/>
      <c r="D676" s="71"/>
      <c r="E676" s="71"/>
      <c r="F676" s="71"/>
      <c r="G676" s="71"/>
      <c r="H676" s="71"/>
      <c r="I676" s="71"/>
      <c r="J676" s="71"/>
      <c r="K676" s="71"/>
      <c r="L676" s="71"/>
      <c r="M676" s="71"/>
      <c r="N676" s="71"/>
      <c r="O676" s="71"/>
      <c r="P676" s="61"/>
      <c r="Q676" s="62"/>
      <c r="R676" s="63"/>
      <c r="S676" s="63"/>
      <c r="T676" s="63"/>
      <c r="U676" s="63"/>
      <c r="V676" s="63"/>
      <c r="W676" s="63"/>
      <c r="X676" s="63"/>
      <c r="Y676" s="63"/>
      <c r="Z676" s="63"/>
      <c r="AA676" s="63"/>
      <c r="AB676" s="63"/>
      <c r="AC676" s="63"/>
    </row>
    <row r="677" spans="2:29">
      <c r="B677" s="71"/>
      <c r="C677" s="71"/>
      <c r="D677" s="71"/>
      <c r="E677" s="71"/>
      <c r="F677" s="71"/>
      <c r="G677" s="71"/>
      <c r="H677" s="71"/>
      <c r="I677" s="71"/>
      <c r="J677" s="71"/>
      <c r="K677" s="71"/>
      <c r="L677" s="71"/>
      <c r="M677" s="71"/>
      <c r="N677" s="71"/>
      <c r="O677" s="71"/>
      <c r="P677" s="61"/>
      <c r="Q677" s="62"/>
      <c r="R677" s="63"/>
      <c r="S677" s="63"/>
      <c r="T677" s="63"/>
      <c r="U677" s="63"/>
      <c r="V677" s="63"/>
      <c r="W677" s="63"/>
      <c r="X677" s="63"/>
      <c r="Y677" s="63"/>
      <c r="Z677" s="63"/>
      <c r="AA677" s="63"/>
      <c r="AB677" s="63"/>
      <c r="AC677" s="63"/>
    </row>
    <row r="678" spans="2:29">
      <c r="B678" s="71"/>
      <c r="C678" s="71"/>
      <c r="D678" s="71"/>
      <c r="E678" s="71"/>
      <c r="F678" s="71"/>
      <c r="G678" s="71"/>
      <c r="H678" s="71"/>
      <c r="I678" s="71"/>
      <c r="J678" s="71"/>
      <c r="K678" s="71"/>
      <c r="L678" s="71"/>
      <c r="M678" s="71"/>
      <c r="N678" s="71"/>
      <c r="O678" s="71"/>
      <c r="P678" s="61"/>
      <c r="Q678" s="62"/>
      <c r="R678" s="63"/>
      <c r="S678" s="63"/>
      <c r="T678" s="63"/>
      <c r="U678" s="63"/>
      <c r="V678" s="63"/>
      <c r="W678" s="63"/>
      <c r="X678" s="63"/>
      <c r="Y678" s="63"/>
      <c r="Z678" s="63"/>
      <c r="AA678" s="63"/>
      <c r="AB678" s="63"/>
      <c r="AC678" s="63"/>
    </row>
    <row r="679" spans="2:29">
      <c r="B679" s="71"/>
      <c r="C679" s="71"/>
      <c r="D679" s="71"/>
      <c r="E679" s="71"/>
      <c r="F679" s="71"/>
      <c r="G679" s="71"/>
      <c r="H679" s="71"/>
      <c r="I679" s="71"/>
      <c r="J679" s="71"/>
      <c r="K679" s="71"/>
      <c r="L679" s="71"/>
      <c r="M679" s="71"/>
      <c r="N679" s="71"/>
      <c r="O679" s="71"/>
      <c r="P679" s="61"/>
      <c r="Q679" s="62"/>
      <c r="R679" s="63"/>
      <c r="S679" s="63"/>
      <c r="T679" s="63"/>
      <c r="U679" s="63"/>
      <c r="V679" s="63"/>
      <c r="W679" s="63"/>
      <c r="X679" s="63"/>
      <c r="Y679" s="63"/>
      <c r="Z679" s="63"/>
      <c r="AA679" s="63"/>
      <c r="AB679" s="63"/>
      <c r="AC679" s="63"/>
    </row>
    <row r="680" spans="2:29">
      <c r="B680" s="71"/>
      <c r="C680" s="71"/>
      <c r="D680" s="71"/>
      <c r="E680" s="71"/>
      <c r="F680" s="71"/>
      <c r="G680" s="71"/>
      <c r="H680" s="71"/>
      <c r="I680" s="71"/>
      <c r="J680" s="71"/>
      <c r="K680" s="71"/>
      <c r="L680" s="71"/>
      <c r="M680" s="71"/>
      <c r="N680" s="71"/>
      <c r="O680" s="71"/>
      <c r="P680" s="61"/>
      <c r="Q680" s="62"/>
      <c r="R680" s="63"/>
      <c r="S680" s="63"/>
      <c r="T680" s="63"/>
      <c r="U680" s="63"/>
      <c r="V680" s="63"/>
      <c r="W680" s="63"/>
      <c r="X680" s="63"/>
      <c r="Y680" s="63"/>
      <c r="Z680" s="63"/>
      <c r="AA680" s="63"/>
      <c r="AB680" s="63"/>
      <c r="AC680" s="63"/>
    </row>
    <row r="681" spans="2:29">
      <c r="B681" s="71"/>
      <c r="C681" s="71"/>
      <c r="D681" s="71"/>
      <c r="E681" s="71"/>
      <c r="F681" s="71"/>
      <c r="G681" s="71"/>
      <c r="H681" s="71"/>
      <c r="I681" s="71"/>
      <c r="J681" s="71"/>
      <c r="K681" s="71"/>
      <c r="L681" s="71"/>
      <c r="M681" s="71"/>
      <c r="N681" s="71"/>
      <c r="O681" s="71"/>
      <c r="P681" s="61"/>
      <c r="Q681" s="62"/>
      <c r="R681" s="63"/>
      <c r="S681" s="63"/>
      <c r="T681" s="63"/>
      <c r="U681" s="63"/>
      <c r="V681" s="63"/>
      <c r="W681" s="63"/>
      <c r="X681" s="63"/>
      <c r="Y681" s="63"/>
      <c r="Z681" s="63"/>
      <c r="AA681" s="63"/>
      <c r="AB681" s="63"/>
      <c r="AC681" s="63"/>
    </row>
    <row r="682" spans="2:29">
      <c r="B682" s="71"/>
      <c r="C682" s="71"/>
      <c r="D682" s="71"/>
      <c r="E682" s="71"/>
      <c r="F682" s="71"/>
      <c r="G682" s="71"/>
      <c r="H682" s="71"/>
      <c r="I682" s="71"/>
      <c r="J682" s="71"/>
      <c r="K682" s="71"/>
      <c r="L682" s="71"/>
      <c r="M682" s="71"/>
      <c r="N682" s="71"/>
      <c r="O682" s="71"/>
      <c r="P682" s="61"/>
      <c r="Q682" s="62"/>
      <c r="R682" s="63"/>
      <c r="S682" s="63"/>
      <c r="T682" s="63"/>
      <c r="U682" s="63"/>
      <c r="V682" s="63"/>
      <c r="W682" s="63"/>
      <c r="X682" s="63"/>
      <c r="Y682" s="63"/>
      <c r="Z682" s="63"/>
      <c r="AA682" s="63"/>
      <c r="AB682" s="63"/>
      <c r="AC682" s="63"/>
    </row>
    <row r="683" spans="2:29">
      <c r="B683" s="71"/>
      <c r="C683" s="71"/>
      <c r="D683" s="71"/>
      <c r="E683" s="71"/>
      <c r="F683" s="71"/>
      <c r="G683" s="71"/>
      <c r="H683" s="71"/>
      <c r="I683" s="71"/>
      <c r="J683" s="71"/>
      <c r="K683" s="71"/>
      <c r="L683" s="71"/>
      <c r="M683" s="71"/>
      <c r="N683" s="71"/>
      <c r="O683" s="71"/>
      <c r="P683" s="61"/>
      <c r="Q683" s="62"/>
      <c r="R683" s="63"/>
      <c r="S683" s="63"/>
      <c r="T683" s="63"/>
      <c r="U683" s="63"/>
      <c r="V683" s="63"/>
      <c r="W683" s="63"/>
      <c r="X683" s="63"/>
      <c r="Y683" s="63"/>
      <c r="Z683" s="63"/>
      <c r="AA683" s="63"/>
      <c r="AB683" s="63"/>
      <c r="AC683" s="63"/>
    </row>
    <row r="684" spans="2:29">
      <c r="B684" s="71"/>
      <c r="C684" s="71"/>
      <c r="D684" s="71"/>
      <c r="E684" s="71"/>
      <c r="F684" s="71"/>
      <c r="G684" s="71"/>
      <c r="H684" s="71"/>
      <c r="I684" s="71"/>
      <c r="J684" s="71"/>
      <c r="K684" s="71"/>
      <c r="L684" s="71"/>
      <c r="M684" s="71"/>
      <c r="N684" s="71"/>
      <c r="O684" s="71"/>
      <c r="P684" s="61"/>
      <c r="Q684" s="62"/>
      <c r="R684" s="63"/>
      <c r="S684" s="63"/>
      <c r="T684" s="63"/>
      <c r="U684" s="63"/>
      <c r="V684" s="63"/>
      <c r="W684" s="63"/>
      <c r="X684" s="63"/>
      <c r="Y684" s="63"/>
      <c r="Z684" s="63"/>
      <c r="AA684" s="63"/>
      <c r="AB684" s="63"/>
      <c r="AC684" s="63"/>
    </row>
    <row r="685" spans="2:29">
      <c r="B685" s="71"/>
      <c r="C685" s="71"/>
      <c r="D685" s="71"/>
      <c r="E685" s="71"/>
      <c r="F685" s="71"/>
      <c r="G685" s="71"/>
      <c r="H685" s="71"/>
      <c r="I685" s="71"/>
      <c r="J685" s="71"/>
      <c r="K685" s="71"/>
      <c r="L685" s="71"/>
      <c r="M685" s="71"/>
      <c r="N685" s="71"/>
      <c r="O685" s="71"/>
      <c r="P685" s="61"/>
      <c r="Q685" s="62"/>
      <c r="R685" s="63"/>
      <c r="S685" s="63"/>
      <c r="T685" s="63"/>
      <c r="U685" s="63"/>
      <c r="V685" s="63"/>
      <c r="W685" s="63"/>
      <c r="X685" s="63"/>
      <c r="Y685" s="63"/>
      <c r="Z685" s="63"/>
      <c r="AA685" s="63"/>
      <c r="AB685" s="63"/>
      <c r="AC685" s="63"/>
    </row>
    <row r="686" spans="2:29">
      <c r="B686" s="71"/>
      <c r="C686" s="71"/>
      <c r="D686" s="71"/>
      <c r="E686" s="71"/>
      <c r="F686" s="71"/>
      <c r="G686" s="71"/>
      <c r="H686" s="71"/>
      <c r="I686" s="71"/>
      <c r="J686" s="71"/>
      <c r="K686" s="71"/>
      <c r="L686" s="71"/>
      <c r="M686" s="71"/>
      <c r="N686" s="71"/>
      <c r="O686" s="71"/>
      <c r="P686" s="61"/>
      <c r="Q686" s="62"/>
      <c r="R686" s="63"/>
      <c r="S686" s="63"/>
      <c r="T686" s="63"/>
      <c r="U686" s="63"/>
      <c r="V686" s="63"/>
      <c r="W686" s="63"/>
      <c r="X686" s="63"/>
      <c r="Y686" s="63"/>
      <c r="Z686" s="63"/>
      <c r="AA686" s="63"/>
      <c r="AB686" s="63"/>
      <c r="AC686" s="63"/>
    </row>
    <row r="687" spans="2:29">
      <c r="B687" s="71"/>
      <c r="C687" s="71"/>
      <c r="D687" s="71"/>
      <c r="E687" s="71"/>
      <c r="F687" s="71"/>
      <c r="G687" s="71"/>
      <c r="H687" s="71"/>
      <c r="I687" s="71"/>
      <c r="J687" s="71"/>
      <c r="K687" s="71"/>
      <c r="L687" s="71"/>
      <c r="M687" s="71"/>
      <c r="N687" s="71"/>
      <c r="O687" s="71"/>
      <c r="P687" s="61"/>
      <c r="Q687" s="62"/>
      <c r="R687" s="63"/>
      <c r="S687" s="63"/>
      <c r="T687" s="63"/>
      <c r="U687" s="63"/>
      <c r="V687" s="63"/>
      <c r="W687" s="63"/>
      <c r="X687" s="63"/>
      <c r="Y687" s="63"/>
      <c r="Z687" s="63"/>
      <c r="AA687" s="63"/>
      <c r="AB687" s="63"/>
      <c r="AC687" s="63"/>
    </row>
    <row r="688" spans="2:29">
      <c r="B688" s="71"/>
      <c r="C688" s="71"/>
      <c r="D688" s="71"/>
      <c r="E688" s="71"/>
      <c r="F688" s="71"/>
      <c r="G688" s="71"/>
      <c r="H688" s="71"/>
      <c r="I688" s="71"/>
      <c r="J688" s="71"/>
      <c r="K688" s="71"/>
      <c r="L688" s="71"/>
      <c r="M688" s="71"/>
      <c r="N688" s="71"/>
      <c r="O688" s="71"/>
      <c r="P688" s="61"/>
      <c r="Q688" s="62"/>
      <c r="R688" s="63"/>
      <c r="S688" s="63"/>
      <c r="T688" s="63"/>
      <c r="U688" s="63"/>
      <c r="V688" s="63"/>
      <c r="W688" s="63"/>
      <c r="X688" s="63"/>
      <c r="Y688" s="63"/>
      <c r="Z688" s="63"/>
      <c r="AA688" s="63"/>
      <c r="AB688" s="63"/>
      <c r="AC688" s="63"/>
    </row>
    <row r="689" spans="2:29">
      <c r="B689" s="71"/>
      <c r="C689" s="71"/>
      <c r="D689" s="71"/>
      <c r="E689" s="71"/>
      <c r="F689" s="71"/>
      <c r="G689" s="71"/>
      <c r="H689" s="71"/>
      <c r="I689" s="71"/>
      <c r="J689" s="71"/>
      <c r="K689" s="71"/>
      <c r="L689" s="71"/>
      <c r="M689" s="71"/>
      <c r="N689" s="71"/>
      <c r="O689" s="71"/>
      <c r="P689" s="61"/>
      <c r="Q689" s="62"/>
      <c r="R689" s="63"/>
      <c r="S689" s="63"/>
      <c r="T689" s="63"/>
      <c r="U689" s="63"/>
      <c r="V689" s="63"/>
      <c r="W689" s="63"/>
      <c r="X689" s="63"/>
      <c r="Y689" s="63"/>
      <c r="Z689" s="63"/>
      <c r="AA689" s="63"/>
      <c r="AB689" s="63"/>
      <c r="AC689" s="63"/>
    </row>
    <row r="690" spans="2:29">
      <c r="B690" s="71"/>
      <c r="C690" s="71"/>
      <c r="D690" s="71"/>
      <c r="E690" s="71"/>
      <c r="F690" s="71"/>
      <c r="G690" s="71"/>
      <c r="H690" s="71"/>
      <c r="I690" s="71"/>
      <c r="J690" s="71"/>
      <c r="K690" s="71"/>
      <c r="L690" s="71"/>
      <c r="M690" s="71"/>
      <c r="N690" s="71"/>
      <c r="O690" s="71"/>
      <c r="P690" s="61"/>
      <c r="Q690" s="62"/>
      <c r="R690" s="63"/>
      <c r="S690" s="63"/>
      <c r="T690" s="63"/>
      <c r="U690" s="63"/>
      <c r="V690" s="63"/>
      <c r="W690" s="63"/>
      <c r="X690" s="63"/>
      <c r="Y690" s="63"/>
      <c r="Z690" s="63"/>
      <c r="AA690" s="63"/>
      <c r="AB690" s="63"/>
      <c r="AC690" s="63"/>
    </row>
    <row r="691" spans="2:29">
      <c r="B691" s="71"/>
      <c r="C691" s="71"/>
      <c r="D691" s="71"/>
      <c r="E691" s="71"/>
      <c r="F691" s="71"/>
      <c r="G691" s="71"/>
      <c r="H691" s="71"/>
      <c r="I691" s="71"/>
      <c r="J691" s="71"/>
      <c r="K691" s="71"/>
      <c r="L691" s="71"/>
      <c r="M691" s="71"/>
      <c r="N691" s="71"/>
      <c r="O691" s="71"/>
      <c r="P691" s="61"/>
      <c r="Q691" s="62"/>
      <c r="R691" s="63"/>
      <c r="S691" s="63"/>
      <c r="T691" s="63"/>
      <c r="U691" s="63"/>
      <c r="V691" s="63"/>
      <c r="W691" s="63"/>
      <c r="X691" s="63"/>
      <c r="Y691" s="63"/>
      <c r="Z691" s="63"/>
      <c r="AA691" s="63"/>
      <c r="AB691" s="63"/>
      <c r="AC691" s="63"/>
    </row>
    <row r="692" spans="2:29">
      <c r="B692" s="71"/>
      <c r="C692" s="71"/>
      <c r="D692" s="71"/>
      <c r="E692" s="71"/>
      <c r="F692" s="71"/>
      <c r="G692" s="71"/>
      <c r="H692" s="71"/>
      <c r="I692" s="71"/>
      <c r="J692" s="71"/>
      <c r="K692" s="71"/>
      <c r="L692" s="71"/>
      <c r="M692" s="71"/>
      <c r="N692" s="71"/>
      <c r="O692" s="71"/>
      <c r="P692" s="61"/>
      <c r="Q692" s="62"/>
      <c r="R692" s="63"/>
      <c r="S692" s="63"/>
      <c r="T692" s="63"/>
      <c r="U692" s="63"/>
      <c r="V692" s="63"/>
      <c r="W692" s="63"/>
      <c r="X692" s="63"/>
      <c r="Y692" s="63"/>
      <c r="Z692" s="63"/>
      <c r="AA692" s="63"/>
      <c r="AB692" s="63"/>
      <c r="AC692" s="63"/>
    </row>
    <row r="693" spans="2:29">
      <c r="B693" s="71"/>
      <c r="C693" s="71"/>
      <c r="D693" s="71"/>
      <c r="E693" s="71"/>
      <c r="F693" s="71"/>
      <c r="G693" s="71"/>
      <c r="H693" s="71"/>
      <c r="I693" s="71"/>
      <c r="J693" s="71"/>
      <c r="K693" s="71"/>
      <c r="L693" s="71"/>
      <c r="M693" s="71"/>
      <c r="N693" s="71"/>
      <c r="O693" s="71"/>
      <c r="P693" s="61"/>
      <c r="Q693" s="62"/>
      <c r="R693" s="63"/>
      <c r="S693" s="63"/>
      <c r="T693" s="63"/>
      <c r="U693" s="63"/>
      <c r="V693" s="63"/>
      <c r="W693" s="63"/>
      <c r="X693" s="63"/>
      <c r="Y693" s="63"/>
      <c r="Z693" s="63"/>
      <c r="AA693" s="63"/>
      <c r="AB693" s="63"/>
      <c r="AC693" s="63"/>
    </row>
    <row r="694" spans="2:29">
      <c r="B694" s="71"/>
      <c r="C694" s="71"/>
      <c r="D694" s="71"/>
      <c r="E694" s="71"/>
      <c r="F694" s="71"/>
      <c r="G694" s="71"/>
      <c r="H694" s="71"/>
      <c r="I694" s="71"/>
      <c r="J694" s="71"/>
      <c r="K694" s="71"/>
      <c r="L694" s="71"/>
      <c r="M694" s="71"/>
      <c r="N694" s="71"/>
      <c r="O694" s="71"/>
      <c r="P694" s="61"/>
      <c r="Q694" s="62"/>
      <c r="R694" s="63"/>
      <c r="S694" s="63"/>
      <c r="T694" s="63"/>
      <c r="U694" s="63"/>
      <c r="V694" s="63"/>
      <c r="W694" s="63"/>
      <c r="X694" s="63"/>
      <c r="Y694" s="63"/>
      <c r="Z694" s="63"/>
      <c r="AA694" s="63"/>
      <c r="AB694" s="63"/>
      <c r="AC694" s="63"/>
    </row>
    <row r="695" spans="2:29">
      <c r="B695" s="71"/>
      <c r="C695" s="71"/>
      <c r="D695" s="71"/>
      <c r="E695" s="71"/>
      <c r="F695" s="71"/>
      <c r="G695" s="71"/>
      <c r="H695" s="71"/>
      <c r="I695" s="71"/>
      <c r="J695" s="71"/>
      <c r="K695" s="71"/>
      <c r="L695" s="71"/>
      <c r="M695" s="71"/>
      <c r="N695" s="71"/>
      <c r="O695" s="71"/>
      <c r="P695" s="61"/>
      <c r="Q695" s="62"/>
      <c r="R695" s="63"/>
      <c r="S695" s="63"/>
      <c r="T695" s="63"/>
      <c r="U695" s="63"/>
      <c r="V695" s="63"/>
      <c r="W695" s="63"/>
      <c r="X695" s="63"/>
      <c r="Y695" s="63"/>
      <c r="Z695" s="63"/>
      <c r="AA695" s="63"/>
      <c r="AB695" s="63"/>
      <c r="AC695" s="63"/>
    </row>
    <row r="696" spans="2:29">
      <c r="B696" s="71"/>
      <c r="C696" s="71"/>
      <c r="D696" s="71"/>
      <c r="E696" s="71"/>
      <c r="F696" s="71"/>
      <c r="G696" s="71"/>
      <c r="H696" s="71"/>
      <c r="I696" s="71"/>
      <c r="J696" s="71"/>
      <c r="K696" s="71"/>
      <c r="L696" s="71"/>
      <c r="M696" s="71"/>
      <c r="N696" s="71"/>
      <c r="O696" s="71"/>
      <c r="P696" s="61"/>
      <c r="Q696" s="62"/>
      <c r="R696" s="63"/>
      <c r="S696" s="63"/>
      <c r="T696" s="63"/>
      <c r="U696" s="63"/>
      <c r="V696" s="63"/>
      <c r="W696" s="63"/>
      <c r="X696" s="63"/>
      <c r="Y696" s="63"/>
      <c r="Z696" s="63"/>
      <c r="AA696" s="63"/>
      <c r="AB696" s="63"/>
      <c r="AC696" s="63"/>
    </row>
    <row r="697" spans="2:29">
      <c r="B697" s="71"/>
      <c r="C697" s="71"/>
      <c r="D697" s="71"/>
      <c r="E697" s="71"/>
      <c r="F697" s="71"/>
      <c r="G697" s="71"/>
      <c r="H697" s="71"/>
      <c r="I697" s="71"/>
      <c r="J697" s="71"/>
      <c r="K697" s="71"/>
      <c r="L697" s="71"/>
      <c r="M697" s="71"/>
      <c r="N697" s="71"/>
      <c r="O697" s="71"/>
      <c r="P697" s="61"/>
      <c r="Q697" s="62"/>
      <c r="R697" s="63"/>
      <c r="S697" s="63"/>
      <c r="T697" s="63"/>
      <c r="U697" s="63"/>
      <c r="V697" s="63"/>
      <c r="W697" s="63"/>
      <c r="X697" s="63"/>
      <c r="Y697" s="63"/>
      <c r="Z697" s="63"/>
      <c r="AA697" s="63"/>
      <c r="AB697" s="63"/>
      <c r="AC697" s="63"/>
    </row>
    <row r="698" spans="2:29">
      <c r="B698" s="71"/>
      <c r="C698" s="71"/>
      <c r="D698" s="71"/>
      <c r="E698" s="71"/>
      <c r="F698" s="71"/>
      <c r="G698" s="71"/>
      <c r="H698" s="71"/>
      <c r="I698" s="71"/>
      <c r="J698" s="71"/>
      <c r="K698" s="71"/>
      <c r="L698" s="71"/>
      <c r="M698" s="71"/>
      <c r="N698" s="71"/>
      <c r="O698" s="71"/>
      <c r="P698" s="61"/>
      <c r="Q698" s="62"/>
      <c r="R698" s="63"/>
      <c r="S698" s="63"/>
      <c r="T698" s="63"/>
      <c r="U698" s="63"/>
      <c r="V698" s="63"/>
      <c r="W698" s="63"/>
      <c r="X698" s="63"/>
      <c r="Y698" s="63"/>
      <c r="Z698" s="63"/>
      <c r="AA698" s="63"/>
      <c r="AB698" s="63"/>
      <c r="AC698" s="63"/>
    </row>
    <row r="699" spans="2:29">
      <c r="B699" s="71"/>
      <c r="C699" s="71"/>
      <c r="D699" s="71"/>
      <c r="E699" s="71"/>
      <c r="F699" s="71"/>
      <c r="G699" s="71"/>
      <c r="H699" s="71"/>
      <c r="I699" s="71"/>
      <c r="J699" s="71"/>
      <c r="K699" s="71"/>
      <c r="L699" s="71"/>
      <c r="M699" s="71"/>
      <c r="N699" s="71"/>
      <c r="O699" s="71"/>
      <c r="P699" s="61"/>
      <c r="Q699" s="62"/>
      <c r="R699" s="63"/>
      <c r="S699" s="63"/>
      <c r="T699" s="63"/>
      <c r="U699" s="63"/>
      <c r="V699" s="63"/>
      <c r="W699" s="63"/>
      <c r="X699" s="63"/>
      <c r="Y699" s="63"/>
      <c r="Z699" s="63"/>
      <c r="AA699" s="63"/>
      <c r="AB699" s="63"/>
      <c r="AC699" s="63"/>
    </row>
    <row r="700" spans="2:29">
      <c r="B700" s="71"/>
      <c r="C700" s="71"/>
      <c r="D700" s="71"/>
      <c r="E700" s="71"/>
      <c r="F700" s="71"/>
      <c r="G700" s="71"/>
      <c r="H700" s="71"/>
      <c r="I700" s="71"/>
      <c r="J700" s="71"/>
      <c r="K700" s="71"/>
      <c r="L700" s="71"/>
      <c r="M700" s="71"/>
      <c r="N700" s="71"/>
      <c r="O700" s="71"/>
      <c r="P700" s="61"/>
      <c r="Q700" s="62"/>
      <c r="R700" s="63"/>
      <c r="S700" s="63"/>
      <c r="T700" s="63"/>
      <c r="U700" s="63"/>
      <c r="V700" s="63"/>
      <c r="W700" s="63"/>
      <c r="X700" s="63"/>
      <c r="Y700" s="63"/>
      <c r="Z700" s="63"/>
      <c r="AA700" s="63"/>
      <c r="AB700" s="63"/>
      <c r="AC700" s="63"/>
    </row>
    <row r="701" spans="2:29">
      <c r="B701" s="71"/>
      <c r="C701" s="71"/>
      <c r="D701" s="71"/>
      <c r="E701" s="71"/>
      <c r="F701" s="71"/>
      <c r="G701" s="71"/>
      <c r="H701" s="71"/>
      <c r="I701" s="71"/>
      <c r="J701" s="71"/>
      <c r="K701" s="71"/>
      <c r="L701" s="71"/>
      <c r="M701" s="71"/>
      <c r="N701" s="71"/>
      <c r="O701" s="71"/>
      <c r="P701" s="61"/>
      <c r="Q701" s="62"/>
      <c r="R701" s="63"/>
      <c r="S701" s="63"/>
      <c r="T701" s="63"/>
      <c r="U701" s="63"/>
      <c r="V701" s="63"/>
      <c r="W701" s="63"/>
      <c r="X701" s="63"/>
      <c r="Y701" s="63"/>
      <c r="Z701" s="63"/>
      <c r="AA701" s="63"/>
      <c r="AB701" s="63"/>
      <c r="AC701" s="63"/>
    </row>
    <row r="702" spans="2:29">
      <c r="B702" s="71"/>
      <c r="C702" s="71"/>
      <c r="D702" s="71"/>
      <c r="E702" s="71"/>
      <c r="F702" s="71"/>
      <c r="G702" s="71"/>
      <c r="H702" s="71"/>
      <c r="I702" s="71"/>
      <c r="J702" s="71"/>
      <c r="K702" s="71"/>
      <c r="L702" s="71"/>
      <c r="M702" s="71"/>
      <c r="N702" s="71"/>
      <c r="O702" s="71"/>
      <c r="P702" s="61"/>
      <c r="Q702" s="62"/>
      <c r="R702" s="63"/>
      <c r="S702" s="63"/>
      <c r="T702" s="63"/>
      <c r="U702" s="63"/>
      <c r="V702" s="63"/>
      <c r="W702" s="63"/>
      <c r="X702" s="63"/>
      <c r="Y702" s="63"/>
      <c r="Z702" s="63"/>
      <c r="AA702" s="63"/>
      <c r="AB702" s="63"/>
      <c r="AC702" s="63"/>
    </row>
    <row r="703" spans="2:29">
      <c r="B703" s="71"/>
      <c r="C703" s="71"/>
      <c r="D703" s="71"/>
      <c r="E703" s="71"/>
      <c r="F703" s="71"/>
      <c r="G703" s="71"/>
      <c r="H703" s="71"/>
      <c r="I703" s="71"/>
      <c r="J703" s="71"/>
      <c r="K703" s="71"/>
      <c r="L703" s="71"/>
      <c r="M703" s="71"/>
      <c r="N703" s="71"/>
      <c r="O703" s="71"/>
      <c r="P703" s="61"/>
      <c r="Q703" s="62"/>
      <c r="R703" s="63"/>
      <c r="S703" s="63"/>
      <c r="T703" s="63"/>
      <c r="U703" s="63"/>
      <c r="V703" s="63"/>
      <c r="W703" s="63"/>
      <c r="X703" s="63"/>
      <c r="Y703" s="63"/>
      <c r="Z703" s="63"/>
      <c r="AA703" s="63"/>
      <c r="AB703" s="63"/>
      <c r="AC703" s="63"/>
    </row>
    <row r="704" spans="2:29">
      <c r="B704" s="71"/>
      <c r="C704" s="71"/>
      <c r="D704" s="71"/>
      <c r="E704" s="71"/>
      <c r="F704" s="71"/>
      <c r="G704" s="71"/>
      <c r="H704" s="71"/>
      <c r="I704" s="71"/>
      <c r="J704" s="71"/>
      <c r="K704" s="71"/>
      <c r="L704" s="71"/>
      <c r="M704" s="71"/>
      <c r="N704" s="71"/>
      <c r="O704" s="71"/>
      <c r="P704" s="61"/>
      <c r="Q704" s="62"/>
      <c r="R704" s="63"/>
      <c r="S704" s="63"/>
      <c r="T704" s="63"/>
      <c r="U704" s="63"/>
      <c r="V704" s="63"/>
      <c r="W704" s="63"/>
      <c r="X704" s="63"/>
      <c r="Y704" s="63"/>
      <c r="Z704" s="63"/>
      <c r="AA704" s="63"/>
      <c r="AB704" s="63"/>
      <c r="AC704" s="63"/>
    </row>
    <row r="705" spans="2:29">
      <c r="B705" s="71"/>
      <c r="C705" s="71"/>
      <c r="D705" s="71"/>
      <c r="E705" s="71"/>
      <c r="F705" s="71"/>
      <c r="G705" s="71"/>
      <c r="H705" s="71"/>
      <c r="I705" s="71"/>
      <c r="J705" s="71"/>
      <c r="K705" s="71"/>
      <c r="L705" s="71"/>
      <c r="M705" s="71"/>
      <c r="N705" s="71"/>
      <c r="O705" s="71"/>
      <c r="P705" s="61"/>
      <c r="Q705" s="62"/>
      <c r="R705" s="63"/>
      <c r="S705" s="63"/>
      <c r="T705" s="63"/>
      <c r="U705" s="63"/>
      <c r="V705" s="63"/>
      <c r="W705" s="63"/>
      <c r="X705" s="63"/>
      <c r="Y705" s="63"/>
      <c r="Z705" s="63"/>
      <c r="AA705" s="63"/>
      <c r="AB705" s="63"/>
      <c r="AC705" s="63"/>
    </row>
    <row r="706" spans="2:29">
      <c r="B706" s="71"/>
      <c r="C706" s="71"/>
      <c r="D706" s="71"/>
      <c r="E706" s="71"/>
      <c r="F706" s="71"/>
      <c r="G706" s="71"/>
      <c r="H706" s="71"/>
      <c r="I706" s="71"/>
      <c r="J706" s="71"/>
      <c r="K706" s="71"/>
      <c r="L706" s="71"/>
      <c r="M706" s="71"/>
      <c r="N706" s="71"/>
      <c r="O706" s="71"/>
      <c r="P706" s="61"/>
      <c r="Q706" s="62"/>
      <c r="R706" s="63"/>
      <c r="S706" s="63"/>
      <c r="T706" s="63"/>
      <c r="U706" s="63"/>
      <c r="V706" s="63"/>
      <c r="W706" s="63"/>
      <c r="X706" s="63"/>
      <c r="Y706" s="63"/>
      <c r="Z706" s="63"/>
      <c r="AA706" s="63"/>
      <c r="AB706" s="63"/>
      <c r="AC706" s="63"/>
    </row>
    <row r="707" spans="2:29">
      <c r="B707" s="71"/>
      <c r="C707" s="71"/>
      <c r="D707" s="71"/>
      <c r="E707" s="71"/>
      <c r="F707" s="71"/>
      <c r="G707" s="71"/>
      <c r="H707" s="71"/>
      <c r="I707" s="71"/>
      <c r="J707" s="71"/>
      <c r="K707" s="71"/>
      <c r="L707" s="71"/>
      <c r="M707" s="71"/>
      <c r="N707" s="71"/>
      <c r="O707" s="71"/>
      <c r="P707" s="61"/>
      <c r="Q707" s="62"/>
      <c r="R707" s="63"/>
      <c r="S707" s="63"/>
      <c r="T707" s="63"/>
      <c r="U707" s="63"/>
      <c r="V707" s="63"/>
      <c r="W707" s="63"/>
      <c r="X707" s="63"/>
      <c r="Y707" s="63"/>
      <c r="Z707" s="63"/>
      <c r="AA707" s="63"/>
      <c r="AB707" s="63"/>
      <c r="AC707" s="63"/>
    </row>
    <row r="708" spans="2:29">
      <c r="B708" s="71"/>
      <c r="C708" s="71"/>
      <c r="D708" s="71"/>
      <c r="E708" s="71"/>
      <c r="F708" s="71"/>
      <c r="G708" s="71"/>
      <c r="H708" s="71"/>
      <c r="I708" s="71"/>
      <c r="J708" s="71"/>
      <c r="K708" s="71"/>
      <c r="L708" s="71"/>
      <c r="M708" s="71"/>
      <c r="N708" s="71"/>
      <c r="O708" s="71"/>
      <c r="P708" s="61"/>
      <c r="Q708" s="62"/>
      <c r="R708" s="63"/>
      <c r="S708" s="63"/>
      <c r="T708" s="63"/>
      <c r="U708" s="63"/>
      <c r="V708" s="63"/>
      <c r="W708" s="63"/>
      <c r="X708" s="63"/>
      <c r="Y708" s="63"/>
      <c r="Z708" s="63"/>
      <c r="AA708" s="63"/>
      <c r="AB708" s="63"/>
      <c r="AC708" s="63"/>
    </row>
    <row r="709" spans="2:29">
      <c r="B709" s="71"/>
      <c r="C709" s="71"/>
      <c r="D709" s="71"/>
      <c r="E709" s="71"/>
      <c r="F709" s="71"/>
      <c r="G709" s="71"/>
      <c r="H709" s="71"/>
      <c r="I709" s="71"/>
      <c r="J709" s="71"/>
      <c r="K709" s="71"/>
      <c r="L709" s="71"/>
      <c r="M709" s="71"/>
      <c r="N709" s="71"/>
      <c r="O709" s="71"/>
      <c r="P709" s="61"/>
      <c r="Q709" s="62"/>
      <c r="R709" s="63"/>
      <c r="S709" s="63"/>
      <c r="T709" s="63"/>
      <c r="U709" s="63"/>
      <c r="V709" s="63"/>
      <c r="W709" s="63"/>
      <c r="X709" s="63"/>
      <c r="Y709" s="63"/>
      <c r="Z709" s="63"/>
      <c r="AA709" s="63"/>
      <c r="AB709" s="63"/>
      <c r="AC709" s="63"/>
    </row>
    <row r="710" spans="2:29">
      <c r="B710" s="71"/>
      <c r="C710" s="71"/>
      <c r="D710" s="71"/>
      <c r="E710" s="71"/>
      <c r="F710" s="71"/>
      <c r="G710" s="71"/>
      <c r="H710" s="71"/>
      <c r="I710" s="71"/>
      <c r="J710" s="71"/>
      <c r="K710" s="71"/>
      <c r="L710" s="71"/>
      <c r="M710" s="71"/>
      <c r="N710" s="71"/>
      <c r="O710" s="71"/>
      <c r="P710" s="61"/>
      <c r="Q710" s="62"/>
      <c r="R710" s="63"/>
      <c r="S710" s="63"/>
      <c r="T710" s="63"/>
      <c r="U710" s="63"/>
      <c r="V710" s="63"/>
      <c r="W710" s="63"/>
      <c r="X710" s="63"/>
      <c r="Y710" s="63"/>
      <c r="Z710" s="63"/>
      <c r="AA710" s="63"/>
      <c r="AB710" s="63"/>
      <c r="AC710" s="63"/>
    </row>
    <row r="711" spans="2:29">
      <c r="B711" s="71"/>
      <c r="C711" s="71"/>
      <c r="D711" s="71"/>
      <c r="E711" s="71"/>
      <c r="F711" s="71"/>
      <c r="G711" s="71"/>
      <c r="H711" s="71"/>
      <c r="I711" s="71"/>
      <c r="J711" s="71"/>
      <c r="K711" s="71"/>
      <c r="L711" s="71"/>
      <c r="M711" s="71"/>
      <c r="N711" s="71"/>
      <c r="O711" s="71"/>
      <c r="P711" s="61"/>
      <c r="Q711" s="62"/>
      <c r="R711" s="63"/>
      <c r="S711" s="63"/>
      <c r="T711" s="63"/>
      <c r="U711" s="63"/>
      <c r="V711" s="63"/>
      <c r="W711" s="63"/>
      <c r="X711" s="63"/>
      <c r="Y711" s="63"/>
      <c r="Z711" s="63"/>
      <c r="AA711" s="63"/>
      <c r="AB711" s="63"/>
      <c r="AC711" s="63"/>
    </row>
    <row r="712" spans="2:29">
      <c r="B712" s="71"/>
      <c r="C712" s="71"/>
      <c r="D712" s="71"/>
      <c r="E712" s="71"/>
      <c r="F712" s="71"/>
      <c r="G712" s="71"/>
      <c r="H712" s="71"/>
      <c r="I712" s="71"/>
      <c r="J712" s="71"/>
      <c r="K712" s="71"/>
      <c r="L712" s="71"/>
      <c r="M712" s="71"/>
      <c r="N712" s="71"/>
      <c r="O712" s="71"/>
      <c r="P712" s="61"/>
      <c r="Q712" s="62"/>
      <c r="R712" s="63"/>
      <c r="S712" s="63"/>
      <c r="T712" s="63"/>
      <c r="U712" s="63"/>
      <c r="V712" s="63"/>
      <c r="W712" s="63"/>
      <c r="X712" s="63"/>
      <c r="Y712" s="63"/>
      <c r="Z712" s="63"/>
      <c r="AA712" s="63"/>
      <c r="AB712" s="63"/>
      <c r="AC712" s="63"/>
    </row>
    <row r="713" spans="2:29">
      <c r="B713" s="71"/>
      <c r="C713" s="71"/>
      <c r="D713" s="71"/>
      <c r="E713" s="71"/>
      <c r="F713" s="71"/>
      <c r="G713" s="71"/>
      <c r="H713" s="71"/>
      <c r="I713" s="71"/>
      <c r="J713" s="71"/>
      <c r="K713" s="71"/>
      <c r="L713" s="71"/>
      <c r="M713" s="71"/>
      <c r="N713" s="71"/>
      <c r="O713" s="71"/>
      <c r="P713" s="61"/>
      <c r="Q713" s="62"/>
      <c r="R713" s="63"/>
      <c r="S713" s="63"/>
      <c r="T713" s="63"/>
      <c r="U713" s="63"/>
      <c r="V713" s="63"/>
      <c r="W713" s="63"/>
      <c r="X713" s="63"/>
      <c r="Y713" s="63"/>
      <c r="Z713" s="63"/>
      <c r="AA713" s="63"/>
      <c r="AB713" s="63"/>
      <c r="AC713" s="63"/>
    </row>
    <row r="714" spans="2:29">
      <c r="B714" s="71"/>
      <c r="C714" s="71"/>
      <c r="D714" s="71"/>
      <c r="E714" s="71"/>
      <c r="F714" s="71"/>
      <c r="G714" s="71"/>
      <c r="H714" s="71"/>
      <c r="I714" s="71"/>
      <c r="J714" s="71"/>
      <c r="K714" s="71"/>
      <c r="L714" s="71"/>
      <c r="M714" s="71"/>
      <c r="N714" s="71"/>
      <c r="O714" s="71"/>
      <c r="P714" s="61"/>
      <c r="Q714" s="62"/>
      <c r="R714" s="63"/>
      <c r="S714" s="63"/>
      <c r="T714" s="63"/>
      <c r="U714" s="63"/>
      <c r="V714" s="63"/>
      <c r="W714" s="63"/>
      <c r="X714" s="63"/>
      <c r="Y714" s="63"/>
      <c r="Z714" s="63"/>
      <c r="AA714" s="63"/>
      <c r="AB714" s="63"/>
      <c r="AC714" s="63"/>
    </row>
    <row r="715" spans="2:29">
      <c r="B715" s="71"/>
      <c r="C715" s="71"/>
      <c r="D715" s="71"/>
      <c r="E715" s="71"/>
      <c r="F715" s="71"/>
      <c r="G715" s="71"/>
      <c r="H715" s="71"/>
      <c r="I715" s="71"/>
      <c r="J715" s="71"/>
      <c r="K715" s="71"/>
      <c r="L715" s="71"/>
      <c r="M715" s="71"/>
      <c r="N715" s="71"/>
      <c r="O715" s="71"/>
      <c r="P715" s="61"/>
      <c r="Q715" s="62"/>
      <c r="R715" s="63"/>
      <c r="S715" s="63"/>
      <c r="T715" s="63"/>
      <c r="U715" s="63"/>
      <c r="V715" s="63"/>
      <c r="W715" s="63"/>
      <c r="X715" s="63"/>
      <c r="Y715" s="63"/>
      <c r="Z715" s="63"/>
      <c r="AA715" s="63"/>
      <c r="AB715" s="63"/>
      <c r="AC715" s="63"/>
    </row>
    <row r="716" spans="2:29">
      <c r="B716" s="71"/>
      <c r="C716" s="71"/>
      <c r="D716" s="71"/>
      <c r="E716" s="71"/>
      <c r="F716" s="71"/>
      <c r="G716" s="71"/>
      <c r="H716" s="71"/>
      <c r="I716" s="71"/>
      <c r="J716" s="71"/>
      <c r="K716" s="71"/>
      <c r="L716" s="71"/>
      <c r="M716" s="71"/>
      <c r="N716" s="71"/>
      <c r="O716" s="71"/>
      <c r="P716" s="61"/>
      <c r="Q716" s="62"/>
      <c r="R716" s="63"/>
      <c r="S716" s="63"/>
      <c r="T716" s="63"/>
      <c r="U716" s="63"/>
      <c r="V716" s="63"/>
      <c r="W716" s="63"/>
      <c r="X716" s="63"/>
      <c r="Y716" s="63"/>
      <c r="Z716" s="63"/>
      <c r="AA716" s="63"/>
      <c r="AB716" s="63"/>
      <c r="AC716" s="63"/>
    </row>
    <row r="717" spans="2:29">
      <c r="B717" s="71"/>
      <c r="C717" s="71"/>
      <c r="D717" s="71"/>
      <c r="E717" s="71"/>
      <c r="F717" s="71"/>
      <c r="G717" s="71"/>
      <c r="H717" s="71"/>
      <c r="I717" s="71"/>
      <c r="J717" s="71"/>
      <c r="K717" s="71"/>
      <c r="L717" s="71"/>
      <c r="M717" s="71"/>
      <c r="N717" s="71"/>
      <c r="O717" s="71"/>
      <c r="P717" s="61"/>
      <c r="Q717" s="62"/>
      <c r="R717" s="63"/>
      <c r="S717" s="63"/>
      <c r="T717" s="63"/>
      <c r="U717" s="63"/>
      <c r="V717" s="63"/>
      <c r="W717" s="63"/>
      <c r="X717" s="63"/>
      <c r="Y717" s="63"/>
      <c r="Z717" s="63"/>
      <c r="AA717" s="63"/>
      <c r="AB717" s="63"/>
      <c r="AC717" s="63"/>
    </row>
    <row r="718" spans="2:29">
      <c r="B718" s="71"/>
      <c r="C718" s="71"/>
      <c r="D718" s="71"/>
      <c r="E718" s="71"/>
      <c r="F718" s="71"/>
      <c r="G718" s="71"/>
      <c r="H718" s="71"/>
      <c r="I718" s="71"/>
      <c r="J718" s="71"/>
      <c r="K718" s="71"/>
      <c r="L718" s="71"/>
      <c r="M718" s="71"/>
      <c r="N718" s="71"/>
      <c r="O718" s="71"/>
      <c r="P718" s="61"/>
      <c r="Q718" s="62"/>
      <c r="R718" s="63"/>
      <c r="S718" s="63"/>
      <c r="T718" s="63"/>
      <c r="U718" s="63"/>
      <c r="V718" s="63"/>
      <c r="W718" s="63"/>
      <c r="X718" s="63"/>
      <c r="Y718" s="63"/>
      <c r="Z718" s="63"/>
      <c r="AA718" s="63"/>
      <c r="AB718" s="63"/>
      <c r="AC718" s="63"/>
    </row>
    <row r="719" spans="2:29">
      <c r="B719" s="71"/>
      <c r="C719" s="71"/>
      <c r="D719" s="71"/>
      <c r="E719" s="71"/>
      <c r="F719" s="71"/>
      <c r="G719" s="71"/>
      <c r="H719" s="71"/>
      <c r="I719" s="71"/>
      <c r="J719" s="71"/>
      <c r="K719" s="71"/>
      <c r="L719" s="71"/>
      <c r="M719" s="71"/>
      <c r="N719" s="71"/>
      <c r="O719" s="71"/>
      <c r="P719" s="61"/>
      <c r="Q719" s="62"/>
      <c r="R719" s="63"/>
      <c r="S719" s="63"/>
      <c r="T719" s="63"/>
      <c r="U719" s="63"/>
      <c r="V719" s="63"/>
      <c r="W719" s="63"/>
      <c r="X719" s="63"/>
      <c r="Y719" s="63"/>
      <c r="Z719" s="63"/>
      <c r="AA719" s="63"/>
      <c r="AB719" s="63"/>
      <c r="AC719" s="63"/>
    </row>
    <row r="720" spans="2:29">
      <c r="B720" s="71"/>
      <c r="C720" s="71"/>
      <c r="D720" s="71"/>
      <c r="E720" s="71"/>
      <c r="F720" s="71"/>
      <c r="G720" s="71"/>
      <c r="H720" s="71"/>
      <c r="I720" s="71"/>
      <c r="J720" s="71"/>
      <c r="K720" s="71"/>
      <c r="L720" s="71"/>
      <c r="M720" s="71"/>
      <c r="N720" s="71"/>
      <c r="O720" s="71"/>
      <c r="P720" s="61"/>
      <c r="Q720" s="62"/>
      <c r="R720" s="63"/>
      <c r="S720" s="63"/>
      <c r="T720" s="63"/>
      <c r="U720" s="63"/>
      <c r="V720" s="63"/>
      <c r="W720" s="63"/>
      <c r="X720" s="63"/>
      <c r="Y720" s="63"/>
      <c r="Z720" s="63"/>
      <c r="AA720" s="63"/>
      <c r="AB720" s="63"/>
      <c r="AC720" s="63"/>
    </row>
    <row r="721" spans="2:29">
      <c r="B721" s="71"/>
      <c r="C721" s="71"/>
      <c r="D721" s="71"/>
      <c r="E721" s="71"/>
      <c r="F721" s="71"/>
      <c r="G721" s="71"/>
      <c r="H721" s="71"/>
      <c r="I721" s="71"/>
      <c r="J721" s="71"/>
      <c r="K721" s="71"/>
      <c r="L721" s="71"/>
      <c r="M721" s="71"/>
      <c r="N721" s="71"/>
      <c r="O721" s="71"/>
      <c r="P721" s="61"/>
      <c r="Q721" s="62"/>
      <c r="R721" s="63"/>
      <c r="S721" s="63"/>
      <c r="T721" s="63"/>
      <c r="U721" s="63"/>
      <c r="V721" s="63"/>
      <c r="W721" s="63"/>
      <c r="X721" s="63"/>
      <c r="Y721" s="63"/>
      <c r="Z721" s="63"/>
      <c r="AA721" s="63"/>
      <c r="AB721" s="63"/>
      <c r="AC721" s="63"/>
    </row>
    <row r="722" spans="2:29">
      <c r="B722" s="71"/>
      <c r="C722" s="71"/>
      <c r="D722" s="71"/>
      <c r="E722" s="71"/>
      <c r="F722" s="71"/>
      <c r="G722" s="71"/>
      <c r="H722" s="71"/>
      <c r="I722" s="71"/>
      <c r="J722" s="71"/>
      <c r="K722" s="71"/>
      <c r="L722" s="71"/>
      <c r="M722" s="71"/>
      <c r="N722" s="71"/>
      <c r="O722" s="71"/>
      <c r="P722" s="61"/>
      <c r="Q722" s="62"/>
      <c r="R722" s="63"/>
      <c r="S722" s="63"/>
      <c r="T722" s="63"/>
      <c r="U722" s="63"/>
      <c r="V722" s="63"/>
      <c r="W722" s="63"/>
      <c r="X722" s="63"/>
      <c r="Y722" s="63"/>
      <c r="Z722" s="63"/>
      <c r="AA722" s="63"/>
      <c r="AB722" s="63"/>
      <c r="AC722" s="63"/>
    </row>
    <row r="723" spans="2:29">
      <c r="B723" s="71"/>
      <c r="C723" s="71"/>
      <c r="D723" s="71"/>
      <c r="E723" s="71"/>
      <c r="F723" s="71"/>
      <c r="G723" s="71"/>
      <c r="H723" s="71"/>
      <c r="I723" s="71"/>
      <c r="J723" s="71"/>
      <c r="K723" s="71"/>
      <c r="L723" s="71"/>
      <c r="M723" s="71"/>
      <c r="N723" s="71"/>
      <c r="O723" s="71"/>
      <c r="P723" s="61"/>
      <c r="Q723" s="62"/>
      <c r="R723" s="63"/>
      <c r="S723" s="63"/>
      <c r="T723" s="63"/>
      <c r="U723" s="63"/>
      <c r="V723" s="63"/>
      <c r="W723" s="63"/>
      <c r="X723" s="63"/>
      <c r="Y723" s="63"/>
      <c r="Z723" s="63"/>
      <c r="AA723" s="63"/>
      <c r="AB723" s="63"/>
      <c r="AC723" s="63"/>
    </row>
    <row r="724" spans="2:29">
      <c r="B724" s="71"/>
      <c r="C724" s="71"/>
      <c r="D724" s="71"/>
      <c r="E724" s="71"/>
      <c r="F724" s="71"/>
      <c r="G724" s="71"/>
      <c r="H724" s="71"/>
      <c r="I724" s="71"/>
      <c r="J724" s="71"/>
      <c r="K724" s="71"/>
      <c r="L724" s="71"/>
      <c r="M724" s="71"/>
      <c r="N724" s="71"/>
      <c r="O724" s="71"/>
      <c r="P724" s="61"/>
      <c r="Q724" s="62"/>
      <c r="R724" s="63"/>
      <c r="S724" s="63"/>
      <c r="T724" s="63"/>
      <c r="U724" s="63"/>
      <c r="V724" s="63"/>
      <c r="W724" s="63"/>
      <c r="X724" s="63"/>
      <c r="Y724" s="63"/>
      <c r="Z724" s="63"/>
      <c r="AA724" s="63"/>
      <c r="AB724" s="63"/>
      <c r="AC724" s="63"/>
    </row>
    <row r="725" spans="2:29">
      <c r="B725" s="71"/>
      <c r="C725" s="71"/>
      <c r="D725" s="71"/>
      <c r="E725" s="71"/>
      <c r="F725" s="71"/>
      <c r="G725" s="71"/>
      <c r="H725" s="71"/>
      <c r="I725" s="71"/>
      <c r="J725" s="71"/>
      <c r="K725" s="71"/>
      <c r="L725" s="71"/>
      <c r="M725" s="71"/>
      <c r="N725" s="71"/>
      <c r="O725" s="71"/>
      <c r="P725" s="61"/>
      <c r="Q725" s="62"/>
      <c r="R725" s="63"/>
      <c r="S725" s="63"/>
      <c r="T725" s="63"/>
      <c r="U725" s="63"/>
      <c r="V725" s="63"/>
      <c r="W725" s="63"/>
      <c r="X725" s="63"/>
      <c r="Y725" s="63"/>
      <c r="Z725" s="63"/>
      <c r="AA725" s="63"/>
      <c r="AB725" s="63"/>
      <c r="AC725" s="63"/>
    </row>
    <row r="726" spans="2:29">
      <c r="B726" s="71"/>
      <c r="C726" s="71"/>
      <c r="D726" s="71"/>
      <c r="E726" s="71"/>
      <c r="F726" s="71"/>
      <c r="G726" s="71"/>
      <c r="H726" s="71"/>
      <c r="I726" s="71"/>
      <c r="J726" s="71"/>
      <c r="K726" s="71"/>
      <c r="L726" s="71"/>
      <c r="M726" s="71"/>
      <c r="N726" s="71"/>
      <c r="O726" s="71"/>
      <c r="P726" s="61"/>
      <c r="Q726" s="62"/>
      <c r="R726" s="63"/>
      <c r="S726" s="63"/>
      <c r="T726" s="63"/>
      <c r="U726" s="63"/>
      <c r="V726" s="63"/>
      <c r="W726" s="63"/>
      <c r="X726" s="63"/>
      <c r="Y726" s="63"/>
      <c r="Z726" s="63"/>
      <c r="AA726" s="63"/>
      <c r="AB726" s="63"/>
      <c r="AC726" s="63"/>
    </row>
    <row r="727" spans="2:29">
      <c r="B727" s="71"/>
      <c r="C727" s="71"/>
      <c r="D727" s="71"/>
      <c r="E727" s="71"/>
      <c r="F727" s="71"/>
      <c r="G727" s="71"/>
      <c r="H727" s="71"/>
      <c r="I727" s="71"/>
      <c r="J727" s="71"/>
      <c r="K727" s="71"/>
      <c r="L727" s="71"/>
      <c r="M727" s="71"/>
      <c r="N727" s="71"/>
      <c r="O727" s="71"/>
      <c r="P727" s="61"/>
      <c r="Q727" s="62"/>
      <c r="R727" s="63"/>
      <c r="S727" s="63"/>
      <c r="T727" s="63"/>
      <c r="U727" s="63"/>
      <c r="V727" s="63"/>
      <c r="W727" s="63"/>
      <c r="X727" s="63"/>
      <c r="Y727" s="63"/>
      <c r="Z727" s="63"/>
      <c r="AA727" s="63"/>
      <c r="AB727" s="63"/>
      <c r="AC727" s="63"/>
    </row>
    <row r="728" spans="2:29">
      <c r="B728" s="71"/>
      <c r="C728" s="71"/>
      <c r="D728" s="71"/>
      <c r="E728" s="71"/>
      <c r="F728" s="71"/>
      <c r="G728" s="71"/>
      <c r="H728" s="71"/>
      <c r="I728" s="71"/>
      <c r="J728" s="71"/>
      <c r="K728" s="71"/>
      <c r="L728" s="71"/>
      <c r="M728" s="71"/>
      <c r="N728" s="71"/>
      <c r="O728" s="71"/>
      <c r="P728" s="61"/>
      <c r="Q728" s="62"/>
      <c r="R728" s="63"/>
      <c r="S728" s="63"/>
      <c r="T728" s="63"/>
      <c r="U728" s="63"/>
      <c r="V728" s="63"/>
      <c r="W728" s="63"/>
      <c r="X728" s="63"/>
      <c r="Y728" s="63"/>
      <c r="Z728" s="63"/>
      <c r="AA728" s="63"/>
      <c r="AB728" s="63"/>
      <c r="AC728" s="63"/>
    </row>
    <row r="729" spans="2:29">
      <c r="B729" s="71"/>
      <c r="C729" s="71"/>
      <c r="D729" s="71"/>
      <c r="E729" s="71"/>
      <c r="F729" s="71"/>
      <c r="G729" s="71"/>
      <c r="H729" s="71"/>
      <c r="I729" s="71"/>
      <c r="J729" s="71"/>
      <c r="K729" s="71"/>
      <c r="L729" s="71"/>
      <c r="M729" s="71"/>
      <c r="N729" s="71"/>
      <c r="O729" s="71"/>
      <c r="P729" s="61"/>
      <c r="Q729" s="62"/>
      <c r="R729" s="63"/>
      <c r="S729" s="63"/>
      <c r="T729" s="63"/>
      <c r="U729" s="63"/>
      <c r="V729" s="63"/>
      <c r="W729" s="63"/>
      <c r="X729" s="63"/>
      <c r="Y729" s="63"/>
      <c r="Z729" s="63"/>
      <c r="AA729" s="63"/>
      <c r="AB729" s="63"/>
      <c r="AC729" s="63"/>
    </row>
    <row r="730" spans="2:29">
      <c r="B730" s="71"/>
      <c r="C730" s="71"/>
      <c r="D730" s="71"/>
      <c r="E730" s="71"/>
      <c r="F730" s="71"/>
      <c r="G730" s="71"/>
      <c r="H730" s="71"/>
      <c r="I730" s="71"/>
      <c r="J730" s="71"/>
      <c r="K730" s="71"/>
      <c r="L730" s="71"/>
      <c r="M730" s="71"/>
      <c r="N730" s="71"/>
      <c r="O730" s="71"/>
      <c r="P730" s="61"/>
      <c r="Q730" s="62"/>
      <c r="R730" s="63"/>
      <c r="S730" s="63"/>
      <c r="T730" s="63"/>
      <c r="U730" s="63"/>
      <c r="V730" s="63"/>
      <c r="W730" s="63"/>
      <c r="X730" s="63"/>
      <c r="Y730" s="63"/>
      <c r="Z730" s="63"/>
      <c r="AA730" s="63"/>
      <c r="AB730" s="63"/>
      <c r="AC730" s="63"/>
    </row>
    <row r="731" spans="2:29">
      <c r="B731" s="71"/>
      <c r="C731" s="71"/>
      <c r="D731" s="71"/>
      <c r="E731" s="71"/>
      <c r="F731" s="71"/>
      <c r="G731" s="71"/>
      <c r="H731" s="71"/>
      <c r="I731" s="71"/>
      <c r="J731" s="71"/>
      <c r="K731" s="71"/>
      <c r="L731" s="71"/>
      <c r="M731" s="71"/>
      <c r="N731" s="71"/>
      <c r="O731" s="71"/>
      <c r="P731" s="61"/>
      <c r="Q731" s="62"/>
      <c r="R731" s="63"/>
      <c r="S731" s="63"/>
      <c r="T731" s="63"/>
      <c r="U731" s="63"/>
      <c r="V731" s="63"/>
      <c r="W731" s="63"/>
      <c r="X731" s="63"/>
      <c r="Y731" s="63"/>
      <c r="Z731" s="63"/>
      <c r="AA731" s="63"/>
      <c r="AB731" s="63"/>
      <c r="AC731" s="63"/>
    </row>
    <row r="732" spans="2:29">
      <c r="B732" s="71"/>
      <c r="C732" s="71"/>
      <c r="D732" s="71"/>
      <c r="E732" s="71"/>
      <c r="F732" s="71"/>
      <c r="G732" s="71"/>
      <c r="H732" s="71"/>
      <c r="I732" s="71"/>
      <c r="J732" s="71"/>
      <c r="K732" s="71"/>
      <c r="L732" s="71"/>
      <c r="M732" s="71"/>
      <c r="N732" s="71"/>
      <c r="O732" s="71"/>
      <c r="P732" s="61"/>
      <c r="Q732" s="62"/>
      <c r="R732" s="63"/>
      <c r="S732" s="63"/>
      <c r="T732" s="63"/>
      <c r="U732" s="63"/>
      <c r="V732" s="63"/>
      <c r="W732" s="63"/>
      <c r="X732" s="63"/>
      <c r="Y732" s="63"/>
      <c r="Z732" s="63"/>
      <c r="AA732" s="63"/>
      <c r="AB732" s="63"/>
      <c r="AC732" s="63"/>
    </row>
    <row r="733" spans="2:29">
      <c r="B733" s="71"/>
      <c r="C733" s="71"/>
      <c r="D733" s="71"/>
      <c r="E733" s="71"/>
      <c r="F733" s="71"/>
      <c r="G733" s="71"/>
      <c r="H733" s="71"/>
      <c r="I733" s="71"/>
      <c r="J733" s="71"/>
      <c r="K733" s="71"/>
      <c r="L733" s="71"/>
      <c r="M733" s="71"/>
      <c r="N733" s="71"/>
      <c r="O733" s="71"/>
      <c r="P733" s="61"/>
      <c r="Q733" s="62"/>
      <c r="R733" s="63"/>
      <c r="S733" s="63"/>
      <c r="T733" s="63"/>
      <c r="U733" s="63"/>
      <c r="V733" s="63"/>
      <c r="W733" s="63"/>
      <c r="X733" s="63"/>
      <c r="Y733" s="63"/>
      <c r="Z733" s="63"/>
      <c r="AA733" s="63"/>
      <c r="AB733" s="63"/>
      <c r="AC733" s="63"/>
    </row>
    <row r="734" spans="2:29">
      <c r="B734" s="71"/>
      <c r="C734" s="71"/>
      <c r="D734" s="71"/>
      <c r="E734" s="71"/>
      <c r="F734" s="71"/>
      <c r="G734" s="71"/>
      <c r="H734" s="71"/>
      <c r="I734" s="71"/>
      <c r="J734" s="71"/>
      <c r="K734" s="71"/>
      <c r="L734" s="71"/>
      <c r="M734" s="71"/>
      <c r="N734" s="71"/>
      <c r="O734" s="71"/>
      <c r="P734" s="61"/>
      <c r="Q734" s="62"/>
      <c r="R734" s="63"/>
      <c r="S734" s="63"/>
      <c r="T734" s="63"/>
      <c r="U734" s="63"/>
      <c r="V734" s="63"/>
      <c r="W734" s="63"/>
      <c r="X734" s="63"/>
      <c r="Y734" s="63"/>
      <c r="Z734" s="63"/>
      <c r="AA734" s="63"/>
      <c r="AB734" s="63"/>
      <c r="AC734" s="63"/>
    </row>
    <row r="735" spans="2:29">
      <c r="B735" s="71"/>
      <c r="C735" s="71"/>
      <c r="D735" s="71"/>
      <c r="E735" s="71"/>
      <c r="F735" s="71"/>
      <c r="G735" s="71"/>
      <c r="H735" s="71"/>
      <c r="I735" s="71"/>
      <c r="J735" s="71"/>
      <c r="K735" s="71"/>
      <c r="L735" s="71"/>
      <c r="M735" s="71"/>
      <c r="N735" s="71"/>
      <c r="O735" s="71"/>
      <c r="P735" s="61"/>
      <c r="Q735" s="62"/>
      <c r="R735" s="63"/>
      <c r="S735" s="63"/>
      <c r="T735" s="63"/>
      <c r="U735" s="63"/>
      <c r="V735" s="63"/>
      <c r="W735" s="63"/>
      <c r="X735" s="63"/>
      <c r="Y735" s="63"/>
      <c r="Z735" s="63"/>
      <c r="AA735" s="63"/>
      <c r="AB735" s="63"/>
      <c r="AC735" s="63"/>
    </row>
    <row r="736" spans="2:29">
      <c r="B736" s="71"/>
      <c r="C736" s="71"/>
      <c r="D736" s="71"/>
      <c r="E736" s="71"/>
      <c r="F736" s="71"/>
      <c r="G736" s="71"/>
      <c r="H736" s="71"/>
      <c r="I736" s="71"/>
      <c r="J736" s="71"/>
      <c r="K736" s="71"/>
      <c r="L736" s="71"/>
      <c r="M736" s="71"/>
      <c r="N736" s="71"/>
      <c r="O736" s="71"/>
      <c r="P736" s="61"/>
      <c r="Q736" s="62"/>
      <c r="R736" s="63"/>
      <c r="S736" s="63"/>
      <c r="T736" s="63"/>
      <c r="U736" s="63"/>
      <c r="V736" s="63"/>
      <c r="W736" s="63"/>
      <c r="X736" s="63"/>
      <c r="Y736" s="63"/>
      <c r="Z736" s="63"/>
      <c r="AA736" s="63"/>
      <c r="AB736" s="63"/>
      <c r="AC736" s="63"/>
    </row>
    <row r="737" spans="2:29">
      <c r="B737" s="71"/>
      <c r="C737" s="71"/>
      <c r="D737" s="71"/>
      <c r="E737" s="71"/>
      <c r="F737" s="71"/>
      <c r="G737" s="71"/>
      <c r="H737" s="71"/>
      <c r="I737" s="71"/>
      <c r="J737" s="71"/>
      <c r="K737" s="71"/>
      <c r="L737" s="71"/>
      <c r="M737" s="71"/>
      <c r="N737" s="71"/>
      <c r="O737" s="71"/>
      <c r="P737" s="61"/>
      <c r="Q737" s="62"/>
      <c r="R737" s="63"/>
      <c r="S737" s="63"/>
      <c r="T737" s="63"/>
      <c r="U737" s="63"/>
      <c r="V737" s="63"/>
      <c r="W737" s="63"/>
      <c r="X737" s="63"/>
      <c r="Y737" s="63"/>
      <c r="Z737" s="63"/>
      <c r="AA737" s="63"/>
      <c r="AB737" s="63"/>
      <c r="AC737" s="63"/>
    </row>
    <row r="738" spans="2:29">
      <c r="B738" s="71"/>
      <c r="C738" s="71"/>
      <c r="D738" s="71"/>
      <c r="E738" s="71"/>
      <c r="F738" s="71"/>
      <c r="G738" s="71"/>
      <c r="H738" s="71"/>
      <c r="I738" s="71"/>
      <c r="J738" s="71"/>
      <c r="K738" s="71"/>
      <c r="L738" s="71"/>
      <c r="M738" s="71"/>
      <c r="N738" s="71"/>
      <c r="O738" s="71"/>
      <c r="P738" s="61"/>
      <c r="Q738" s="62"/>
      <c r="R738" s="63"/>
      <c r="S738" s="63"/>
      <c r="T738" s="63"/>
      <c r="U738" s="63"/>
      <c r="V738" s="63"/>
      <c r="W738" s="63"/>
      <c r="X738" s="63"/>
      <c r="Y738" s="63"/>
      <c r="Z738" s="63"/>
      <c r="AA738" s="63"/>
      <c r="AB738" s="63"/>
      <c r="AC738" s="63"/>
    </row>
    <row r="739" spans="2:29">
      <c r="B739" s="71"/>
      <c r="C739" s="71"/>
      <c r="D739" s="71"/>
      <c r="E739" s="71"/>
      <c r="F739" s="71"/>
      <c r="G739" s="71"/>
      <c r="H739" s="71"/>
      <c r="I739" s="71"/>
      <c r="J739" s="71"/>
      <c r="K739" s="71"/>
      <c r="L739" s="71"/>
      <c r="M739" s="71"/>
      <c r="N739" s="71"/>
      <c r="O739" s="71"/>
      <c r="P739" s="61"/>
      <c r="Q739" s="62"/>
      <c r="R739" s="63"/>
      <c r="S739" s="63"/>
      <c r="T739" s="63"/>
      <c r="U739" s="63"/>
      <c r="V739" s="63"/>
      <c r="W739" s="63"/>
      <c r="X739" s="63"/>
      <c r="Y739" s="63"/>
      <c r="Z739" s="63"/>
      <c r="AA739" s="63"/>
      <c r="AB739" s="63"/>
      <c r="AC739" s="63"/>
    </row>
    <row r="740" spans="2:29">
      <c r="B740" s="71"/>
      <c r="C740" s="71"/>
      <c r="D740" s="71"/>
      <c r="E740" s="71"/>
      <c r="F740" s="71"/>
      <c r="G740" s="71"/>
      <c r="H740" s="71"/>
      <c r="I740" s="71"/>
      <c r="J740" s="71"/>
      <c r="K740" s="71"/>
      <c r="L740" s="71"/>
      <c r="M740" s="71"/>
      <c r="N740" s="71"/>
      <c r="O740" s="71"/>
      <c r="P740" s="61"/>
      <c r="Q740" s="62"/>
      <c r="R740" s="63"/>
      <c r="S740" s="63"/>
      <c r="T740" s="63"/>
      <c r="U740" s="63"/>
      <c r="V740" s="63"/>
      <c r="W740" s="63"/>
      <c r="X740" s="63"/>
      <c r="Y740" s="63"/>
      <c r="Z740" s="63"/>
      <c r="AA740" s="63"/>
      <c r="AB740" s="63"/>
      <c r="AC740" s="63"/>
    </row>
    <row r="741" spans="2:29">
      <c r="B741" s="71"/>
      <c r="C741" s="71"/>
      <c r="D741" s="71"/>
      <c r="E741" s="71"/>
      <c r="F741" s="71"/>
      <c r="G741" s="71"/>
      <c r="H741" s="71"/>
      <c r="I741" s="71"/>
      <c r="J741" s="71"/>
      <c r="K741" s="71"/>
      <c r="L741" s="71"/>
      <c r="M741" s="71"/>
      <c r="N741" s="71"/>
      <c r="O741" s="71"/>
      <c r="P741" s="61"/>
      <c r="Q741" s="62"/>
      <c r="R741" s="63"/>
      <c r="S741" s="63"/>
      <c r="T741" s="63"/>
      <c r="U741" s="63"/>
      <c r="V741" s="63"/>
      <c r="W741" s="63"/>
      <c r="X741" s="63"/>
      <c r="Y741" s="63"/>
      <c r="Z741" s="63"/>
      <c r="AA741" s="63"/>
      <c r="AB741" s="63"/>
      <c r="AC741" s="63"/>
    </row>
    <row r="742" spans="2:29">
      <c r="B742" s="71"/>
      <c r="C742" s="71"/>
      <c r="D742" s="71"/>
      <c r="E742" s="71"/>
      <c r="F742" s="71"/>
      <c r="G742" s="71"/>
      <c r="H742" s="71"/>
      <c r="I742" s="71"/>
      <c r="J742" s="71"/>
      <c r="K742" s="71"/>
      <c r="L742" s="71"/>
      <c r="M742" s="71"/>
      <c r="N742" s="71"/>
      <c r="O742" s="71"/>
      <c r="P742" s="61"/>
      <c r="Q742" s="62"/>
      <c r="R742" s="63"/>
      <c r="S742" s="63"/>
      <c r="T742" s="63"/>
      <c r="U742" s="63"/>
      <c r="V742" s="63"/>
      <c r="W742" s="63"/>
      <c r="X742" s="63"/>
      <c r="Y742" s="63"/>
      <c r="Z742" s="63"/>
      <c r="AA742" s="63"/>
      <c r="AB742" s="63"/>
      <c r="AC742" s="63"/>
    </row>
    <row r="743" spans="2:29">
      <c r="B743" s="71"/>
      <c r="C743" s="71"/>
      <c r="D743" s="71"/>
      <c r="E743" s="71"/>
      <c r="F743" s="71"/>
      <c r="G743" s="71"/>
      <c r="H743" s="71"/>
      <c r="I743" s="71"/>
      <c r="J743" s="71"/>
      <c r="K743" s="71"/>
      <c r="L743" s="71"/>
      <c r="M743" s="71"/>
      <c r="N743" s="71"/>
      <c r="O743" s="71"/>
      <c r="P743" s="61"/>
      <c r="Q743" s="62"/>
      <c r="R743" s="63"/>
      <c r="S743" s="63"/>
      <c r="T743" s="63"/>
      <c r="U743" s="63"/>
      <c r="V743" s="63"/>
      <c r="W743" s="63"/>
      <c r="X743" s="63"/>
      <c r="Y743" s="63"/>
      <c r="Z743" s="63"/>
      <c r="AA743" s="63"/>
      <c r="AB743" s="63"/>
      <c r="AC743" s="63"/>
    </row>
    <row r="744" spans="2:29">
      <c r="B744" s="71"/>
      <c r="C744" s="71"/>
      <c r="D744" s="71"/>
      <c r="E744" s="71"/>
      <c r="F744" s="71"/>
      <c r="G744" s="71"/>
      <c r="H744" s="71"/>
      <c r="I744" s="71"/>
      <c r="J744" s="71"/>
      <c r="K744" s="71"/>
      <c r="L744" s="71"/>
      <c r="M744" s="71"/>
      <c r="N744" s="71"/>
      <c r="O744" s="71"/>
      <c r="P744" s="61"/>
      <c r="Q744" s="62"/>
      <c r="R744" s="63"/>
      <c r="S744" s="63"/>
      <c r="T744" s="63"/>
      <c r="U744" s="63"/>
      <c r="V744" s="63"/>
      <c r="W744" s="63"/>
      <c r="X744" s="63"/>
      <c r="Y744" s="63"/>
      <c r="Z744" s="63"/>
      <c r="AA744" s="63"/>
      <c r="AB744" s="63"/>
      <c r="AC744" s="63"/>
    </row>
    <row r="745" spans="2:29">
      <c r="B745" s="71"/>
      <c r="C745" s="71"/>
      <c r="D745" s="71"/>
      <c r="E745" s="71"/>
      <c r="F745" s="71"/>
      <c r="G745" s="71"/>
      <c r="H745" s="71"/>
      <c r="I745" s="71"/>
      <c r="J745" s="71"/>
      <c r="K745" s="71"/>
      <c r="L745" s="71"/>
      <c r="M745" s="71"/>
      <c r="N745" s="71"/>
      <c r="O745" s="71"/>
      <c r="P745" s="61"/>
      <c r="Q745" s="62"/>
      <c r="R745" s="63"/>
      <c r="S745" s="63"/>
      <c r="T745" s="63"/>
      <c r="U745" s="63"/>
      <c r="V745" s="63"/>
      <c r="W745" s="63"/>
      <c r="X745" s="63"/>
      <c r="Y745" s="63"/>
      <c r="Z745" s="63"/>
      <c r="AA745" s="63"/>
      <c r="AB745" s="63"/>
      <c r="AC745" s="63"/>
    </row>
    <row r="746" spans="2:29">
      <c r="B746" s="71"/>
      <c r="C746" s="71"/>
      <c r="D746" s="71"/>
      <c r="E746" s="71"/>
      <c r="F746" s="71"/>
      <c r="G746" s="71"/>
      <c r="H746" s="71"/>
      <c r="I746" s="71"/>
      <c r="J746" s="71"/>
      <c r="K746" s="71"/>
      <c r="L746" s="71"/>
      <c r="M746" s="71"/>
      <c r="N746" s="71"/>
      <c r="O746" s="71"/>
      <c r="P746" s="61"/>
      <c r="Q746" s="62"/>
      <c r="R746" s="63"/>
      <c r="S746" s="63"/>
      <c r="T746" s="63"/>
      <c r="U746" s="63"/>
      <c r="V746" s="63"/>
      <c r="W746" s="63"/>
      <c r="X746" s="63"/>
      <c r="Y746" s="63"/>
      <c r="Z746" s="63"/>
      <c r="AA746" s="63"/>
      <c r="AB746" s="63"/>
      <c r="AC746" s="63"/>
    </row>
    <row r="747" spans="2:29">
      <c r="B747" s="71"/>
      <c r="C747" s="71"/>
      <c r="D747" s="71"/>
      <c r="E747" s="71"/>
      <c r="F747" s="71"/>
      <c r="G747" s="71"/>
      <c r="H747" s="71"/>
      <c r="I747" s="71"/>
      <c r="J747" s="71"/>
      <c r="K747" s="71"/>
      <c r="L747" s="71"/>
      <c r="M747" s="71"/>
      <c r="N747" s="71"/>
      <c r="O747" s="71"/>
      <c r="P747" s="61"/>
      <c r="Q747" s="62"/>
      <c r="R747" s="63"/>
      <c r="S747" s="63"/>
      <c r="T747" s="63"/>
      <c r="U747" s="63"/>
      <c r="V747" s="63"/>
      <c r="W747" s="63"/>
      <c r="X747" s="63"/>
      <c r="Y747" s="63"/>
      <c r="Z747" s="63"/>
      <c r="AA747" s="63"/>
      <c r="AB747" s="63"/>
      <c r="AC747" s="63"/>
    </row>
    <row r="748" spans="2:29">
      <c r="B748" s="71"/>
      <c r="C748" s="71"/>
      <c r="D748" s="71"/>
      <c r="E748" s="71"/>
      <c r="F748" s="71"/>
      <c r="G748" s="71"/>
      <c r="H748" s="71"/>
      <c r="I748" s="71"/>
      <c r="J748" s="71"/>
      <c r="K748" s="71"/>
      <c r="L748" s="71"/>
      <c r="M748" s="71"/>
      <c r="N748" s="71"/>
      <c r="O748" s="71"/>
      <c r="P748" s="61"/>
      <c r="Q748" s="62"/>
      <c r="R748" s="63"/>
      <c r="S748" s="63"/>
      <c r="T748" s="63"/>
      <c r="U748" s="63"/>
      <c r="V748" s="63"/>
      <c r="W748" s="63"/>
      <c r="X748" s="63"/>
      <c r="Y748" s="63"/>
      <c r="Z748" s="63"/>
      <c r="AA748" s="63"/>
      <c r="AB748" s="63"/>
      <c r="AC748" s="63"/>
    </row>
    <row r="749" spans="2:29">
      <c r="B749" s="71"/>
      <c r="C749" s="71"/>
      <c r="D749" s="71"/>
      <c r="E749" s="71"/>
      <c r="F749" s="71"/>
      <c r="G749" s="71"/>
      <c r="H749" s="71"/>
      <c r="I749" s="71"/>
      <c r="J749" s="71"/>
      <c r="K749" s="71"/>
      <c r="L749" s="71"/>
      <c r="M749" s="71"/>
      <c r="N749" s="71"/>
      <c r="O749" s="71"/>
      <c r="P749" s="61"/>
      <c r="Q749" s="62"/>
      <c r="R749" s="63"/>
      <c r="S749" s="63"/>
      <c r="T749" s="63"/>
      <c r="U749" s="63"/>
      <c r="V749" s="63"/>
      <c r="W749" s="63"/>
      <c r="X749" s="63"/>
      <c r="Y749" s="63"/>
      <c r="Z749" s="63"/>
      <c r="AA749" s="63"/>
      <c r="AB749" s="63"/>
      <c r="AC749" s="63"/>
    </row>
    <row r="750" spans="2:29">
      <c r="B750" s="71"/>
      <c r="C750" s="71"/>
      <c r="D750" s="71"/>
      <c r="E750" s="71"/>
      <c r="F750" s="71"/>
      <c r="G750" s="71"/>
      <c r="H750" s="71"/>
      <c r="I750" s="71"/>
      <c r="J750" s="71"/>
      <c r="K750" s="71"/>
      <c r="L750" s="71"/>
      <c r="M750" s="71"/>
      <c r="N750" s="71"/>
      <c r="O750" s="71"/>
      <c r="P750" s="61"/>
      <c r="Q750" s="62"/>
      <c r="R750" s="63"/>
      <c r="S750" s="63"/>
      <c r="T750" s="63"/>
      <c r="U750" s="63"/>
      <c r="V750" s="63"/>
      <c r="W750" s="63"/>
      <c r="X750" s="63"/>
      <c r="Y750" s="63"/>
      <c r="Z750" s="63"/>
      <c r="AA750" s="63"/>
      <c r="AB750" s="63"/>
      <c r="AC750" s="63"/>
    </row>
    <row r="751" spans="2:29">
      <c r="B751" s="71"/>
      <c r="C751" s="71"/>
      <c r="D751" s="71"/>
      <c r="E751" s="71"/>
      <c r="F751" s="71"/>
      <c r="G751" s="71"/>
      <c r="H751" s="71"/>
      <c r="I751" s="71"/>
      <c r="J751" s="71"/>
      <c r="K751" s="71"/>
      <c r="L751" s="71"/>
      <c r="M751" s="71"/>
      <c r="N751" s="71"/>
      <c r="O751" s="71"/>
      <c r="P751" s="61"/>
      <c r="Q751" s="62"/>
      <c r="R751" s="63"/>
      <c r="S751" s="63"/>
      <c r="T751" s="63"/>
      <c r="U751" s="63"/>
      <c r="V751" s="63"/>
      <c r="W751" s="63"/>
      <c r="X751" s="63"/>
      <c r="Y751" s="63"/>
      <c r="Z751" s="63"/>
      <c r="AA751" s="63"/>
      <c r="AB751" s="63"/>
      <c r="AC751" s="63"/>
    </row>
    <row r="752" spans="2:29">
      <c r="B752" s="71"/>
      <c r="C752" s="71"/>
      <c r="D752" s="71"/>
      <c r="E752" s="71"/>
      <c r="F752" s="71"/>
      <c r="G752" s="71"/>
      <c r="H752" s="71"/>
      <c r="I752" s="71"/>
      <c r="J752" s="71"/>
      <c r="K752" s="71"/>
      <c r="L752" s="71"/>
      <c r="M752" s="71"/>
      <c r="N752" s="71"/>
      <c r="O752" s="71"/>
      <c r="P752" s="61"/>
      <c r="Q752" s="62"/>
      <c r="R752" s="63"/>
      <c r="S752" s="63"/>
      <c r="T752" s="63"/>
      <c r="U752" s="63"/>
      <c r="V752" s="63"/>
      <c r="W752" s="63"/>
      <c r="X752" s="63"/>
      <c r="Y752" s="63"/>
      <c r="Z752" s="63"/>
      <c r="AA752" s="63"/>
      <c r="AB752" s="63"/>
      <c r="AC752" s="63"/>
    </row>
    <row r="753" spans="2:29">
      <c r="B753" s="71"/>
      <c r="C753" s="71"/>
      <c r="D753" s="71"/>
      <c r="E753" s="71"/>
      <c r="F753" s="71"/>
      <c r="G753" s="71"/>
      <c r="H753" s="71"/>
      <c r="I753" s="71"/>
      <c r="J753" s="71"/>
      <c r="K753" s="71"/>
      <c r="L753" s="71"/>
      <c r="M753" s="71"/>
      <c r="N753" s="71"/>
      <c r="O753" s="71"/>
      <c r="P753" s="61"/>
      <c r="Q753" s="62"/>
      <c r="R753" s="63"/>
      <c r="S753" s="63"/>
      <c r="T753" s="63"/>
      <c r="U753" s="63"/>
      <c r="V753" s="63"/>
      <c r="W753" s="63"/>
      <c r="X753" s="63"/>
      <c r="Y753" s="63"/>
      <c r="Z753" s="63"/>
      <c r="AA753" s="63"/>
      <c r="AB753" s="63"/>
      <c r="AC753" s="63"/>
    </row>
    <row r="754" spans="2:29">
      <c r="B754" s="71"/>
      <c r="C754" s="71"/>
      <c r="D754" s="71"/>
      <c r="E754" s="71"/>
      <c r="F754" s="71"/>
      <c r="G754" s="71"/>
      <c r="H754" s="71"/>
      <c r="I754" s="71"/>
      <c r="J754" s="71"/>
      <c r="K754" s="71"/>
      <c r="L754" s="71"/>
      <c r="M754" s="71"/>
      <c r="N754" s="71"/>
      <c r="O754" s="71"/>
      <c r="P754" s="61"/>
      <c r="Q754" s="62"/>
      <c r="R754" s="63"/>
      <c r="S754" s="63"/>
      <c r="T754" s="63"/>
      <c r="U754" s="63"/>
      <c r="V754" s="63"/>
      <c r="W754" s="63"/>
      <c r="X754" s="63"/>
      <c r="Y754" s="63"/>
      <c r="Z754" s="63"/>
      <c r="AA754" s="63"/>
      <c r="AB754" s="63"/>
      <c r="AC754" s="63"/>
    </row>
    <row r="755" spans="2:29">
      <c r="B755" s="71"/>
      <c r="C755" s="71"/>
      <c r="D755" s="71"/>
      <c r="E755" s="71"/>
      <c r="F755" s="71"/>
      <c r="G755" s="71"/>
      <c r="H755" s="71"/>
      <c r="I755" s="71"/>
      <c r="J755" s="71"/>
      <c r="K755" s="71"/>
      <c r="L755" s="71"/>
      <c r="M755" s="71"/>
      <c r="N755" s="71"/>
      <c r="O755" s="71"/>
      <c r="P755" s="61"/>
      <c r="Q755" s="62"/>
      <c r="R755" s="63"/>
      <c r="S755" s="63"/>
      <c r="T755" s="63"/>
      <c r="U755" s="63"/>
      <c r="V755" s="63"/>
      <c r="W755" s="63"/>
      <c r="X755" s="63"/>
      <c r="Y755" s="63"/>
      <c r="Z755" s="63"/>
      <c r="AA755" s="63"/>
      <c r="AB755" s="63"/>
      <c r="AC755" s="63"/>
    </row>
    <row r="756" spans="2:29">
      <c r="B756" s="71"/>
      <c r="C756" s="71"/>
      <c r="D756" s="71"/>
      <c r="E756" s="71"/>
      <c r="F756" s="71"/>
      <c r="G756" s="71"/>
      <c r="H756" s="71"/>
      <c r="I756" s="71"/>
      <c r="J756" s="71"/>
      <c r="K756" s="71"/>
      <c r="L756" s="71"/>
      <c r="M756" s="71"/>
      <c r="N756" s="71"/>
      <c r="O756" s="71"/>
      <c r="P756" s="61"/>
      <c r="Q756" s="62"/>
      <c r="R756" s="63"/>
      <c r="S756" s="63"/>
      <c r="T756" s="63"/>
      <c r="U756" s="63"/>
      <c r="V756" s="63"/>
      <c r="W756" s="63"/>
      <c r="X756" s="63"/>
      <c r="Y756" s="63"/>
      <c r="Z756" s="63"/>
      <c r="AA756" s="63"/>
      <c r="AB756" s="63"/>
      <c r="AC756" s="63"/>
    </row>
    <row r="757" spans="2:29">
      <c r="B757" s="71"/>
      <c r="C757" s="71"/>
      <c r="D757" s="71"/>
      <c r="E757" s="71"/>
      <c r="F757" s="71"/>
      <c r="G757" s="71"/>
      <c r="H757" s="71"/>
      <c r="I757" s="71"/>
      <c r="J757" s="71"/>
      <c r="K757" s="71"/>
      <c r="L757" s="71"/>
      <c r="M757" s="71"/>
      <c r="N757" s="71"/>
      <c r="O757" s="71"/>
      <c r="P757" s="61"/>
      <c r="Q757" s="62"/>
      <c r="R757" s="63"/>
      <c r="S757" s="63"/>
      <c r="T757" s="63"/>
      <c r="U757" s="63"/>
      <c r="V757" s="63"/>
      <c r="W757" s="63"/>
      <c r="X757" s="63"/>
      <c r="Y757" s="63"/>
      <c r="Z757" s="63"/>
      <c r="AA757" s="63"/>
      <c r="AB757" s="63"/>
      <c r="AC757" s="63"/>
    </row>
    <row r="758" spans="2:29">
      <c r="B758" s="71"/>
      <c r="C758" s="71"/>
      <c r="D758" s="71"/>
      <c r="E758" s="71"/>
      <c r="F758" s="71"/>
      <c r="G758" s="71"/>
      <c r="H758" s="71"/>
      <c r="I758" s="71"/>
      <c r="J758" s="71"/>
      <c r="K758" s="71"/>
      <c r="L758" s="71"/>
      <c r="M758" s="71"/>
      <c r="N758" s="71"/>
      <c r="O758" s="71"/>
      <c r="P758" s="61"/>
      <c r="Q758" s="62"/>
      <c r="R758" s="63"/>
      <c r="S758" s="63"/>
      <c r="T758" s="63"/>
      <c r="U758" s="63"/>
      <c r="V758" s="63"/>
      <c r="W758" s="63"/>
      <c r="X758" s="63"/>
      <c r="Y758" s="63"/>
      <c r="Z758" s="63"/>
      <c r="AA758" s="63"/>
      <c r="AB758" s="63"/>
      <c r="AC758" s="63"/>
    </row>
    <row r="759" spans="2:29">
      <c r="B759" s="71"/>
      <c r="C759" s="71"/>
      <c r="D759" s="71"/>
      <c r="E759" s="71"/>
      <c r="F759" s="71"/>
      <c r="G759" s="71"/>
      <c r="H759" s="71"/>
      <c r="I759" s="71"/>
      <c r="J759" s="71"/>
      <c r="K759" s="71"/>
      <c r="L759" s="71"/>
      <c r="M759" s="71"/>
      <c r="N759" s="71"/>
      <c r="O759" s="71"/>
      <c r="P759" s="61"/>
      <c r="Q759" s="62"/>
      <c r="R759" s="63"/>
      <c r="S759" s="63"/>
      <c r="T759" s="63"/>
      <c r="U759" s="63"/>
      <c r="V759" s="63"/>
      <c r="W759" s="63"/>
      <c r="X759" s="63"/>
      <c r="Y759" s="63"/>
      <c r="Z759" s="63"/>
      <c r="AA759" s="63"/>
      <c r="AB759" s="63"/>
      <c r="AC759" s="63"/>
    </row>
    <row r="760" spans="2:29">
      <c r="B760" s="71"/>
      <c r="C760" s="71"/>
      <c r="D760" s="71"/>
      <c r="E760" s="71"/>
      <c r="F760" s="71"/>
      <c r="G760" s="71"/>
      <c r="H760" s="71"/>
      <c r="I760" s="71"/>
      <c r="J760" s="71"/>
      <c r="K760" s="71"/>
      <c r="L760" s="71"/>
      <c r="M760" s="71"/>
      <c r="N760" s="71"/>
      <c r="O760" s="71"/>
      <c r="P760" s="61"/>
      <c r="Q760" s="62"/>
      <c r="R760" s="63"/>
      <c r="S760" s="63"/>
      <c r="T760" s="63"/>
      <c r="U760" s="63"/>
      <c r="V760" s="63"/>
      <c r="W760" s="63"/>
      <c r="X760" s="63"/>
      <c r="Y760" s="63"/>
      <c r="Z760" s="63"/>
      <c r="AA760" s="63"/>
      <c r="AB760" s="63"/>
      <c r="AC760" s="63"/>
    </row>
    <row r="761" spans="2:29">
      <c r="B761" s="71"/>
      <c r="C761" s="71"/>
      <c r="D761" s="71"/>
      <c r="E761" s="71"/>
      <c r="F761" s="71"/>
      <c r="G761" s="71"/>
      <c r="H761" s="71"/>
      <c r="I761" s="71"/>
      <c r="J761" s="71"/>
      <c r="K761" s="71"/>
      <c r="L761" s="71"/>
      <c r="M761" s="71"/>
      <c r="N761" s="71"/>
      <c r="O761" s="71"/>
      <c r="P761" s="61"/>
      <c r="Q761" s="62"/>
      <c r="R761" s="63"/>
      <c r="S761" s="63"/>
      <c r="T761" s="63"/>
      <c r="U761" s="63"/>
      <c r="V761" s="63"/>
      <c r="W761" s="63"/>
      <c r="X761" s="63"/>
      <c r="Y761" s="63"/>
      <c r="Z761" s="63"/>
      <c r="AA761" s="63"/>
      <c r="AB761" s="63"/>
      <c r="AC761" s="63"/>
    </row>
    <row r="762" spans="2:29">
      <c r="B762" s="71"/>
      <c r="C762" s="71"/>
      <c r="D762" s="71"/>
      <c r="E762" s="71"/>
      <c r="F762" s="71"/>
      <c r="G762" s="71"/>
      <c r="H762" s="71"/>
      <c r="I762" s="71"/>
      <c r="J762" s="71"/>
      <c r="K762" s="71"/>
      <c r="L762" s="71"/>
      <c r="M762" s="71"/>
      <c r="N762" s="71"/>
      <c r="O762" s="71"/>
      <c r="P762" s="61"/>
      <c r="Q762" s="62"/>
      <c r="R762" s="63"/>
      <c r="S762" s="63"/>
      <c r="T762" s="63"/>
      <c r="U762" s="63"/>
      <c r="V762" s="63"/>
      <c r="W762" s="63"/>
      <c r="X762" s="63"/>
      <c r="Y762" s="63"/>
      <c r="Z762" s="63"/>
      <c r="AA762" s="63"/>
      <c r="AB762" s="63"/>
      <c r="AC762" s="63"/>
    </row>
    <row r="763" spans="2:29">
      <c r="B763" s="71"/>
      <c r="C763" s="71"/>
      <c r="D763" s="71"/>
      <c r="E763" s="71"/>
      <c r="F763" s="71"/>
      <c r="G763" s="71"/>
      <c r="H763" s="71"/>
      <c r="I763" s="71"/>
      <c r="J763" s="71"/>
      <c r="K763" s="71"/>
      <c r="L763" s="71"/>
      <c r="M763" s="71"/>
      <c r="N763" s="71"/>
      <c r="O763" s="71"/>
      <c r="P763" s="61"/>
      <c r="Q763" s="62"/>
      <c r="R763" s="63"/>
      <c r="S763" s="63"/>
      <c r="T763" s="63"/>
      <c r="U763" s="63"/>
      <c r="V763" s="63"/>
      <c r="W763" s="63"/>
      <c r="X763" s="63"/>
      <c r="Y763" s="63"/>
      <c r="Z763" s="63"/>
      <c r="AA763" s="63"/>
      <c r="AB763" s="63"/>
      <c r="AC763" s="63"/>
    </row>
    <row r="764" spans="2:29">
      <c r="B764" s="71"/>
      <c r="C764" s="71"/>
      <c r="D764" s="71"/>
      <c r="E764" s="71"/>
      <c r="F764" s="71"/>
      <c r="G764" s="71"/>
      <c r="H764" s="71"/>
      <c r="I764" s="71"/>
      <c r="J764" s="71"/>
      <c r="K764" s="71"/>
      <c r="L764" s="71"/>
      <c r="M764" s="71"/>
      <c r="N764" s="71"/>
      <c r="O764" s="71"/>
      <c r="P764" s="61"/>
      <c r="Q764" s="62"/>
      <c r="R764" s="63"/>
      <c r="S764" s="63"/>
      <c r="T764" s="63"/>
      <c r="U764" s="63"/>
      <c r="V764" s="63"/>
      <c r="W764" s="63"/>
      <c r="X764" s="63"/>
      <c r="Y764" s="63"/>
      <c r="Z764" s="63"/>
      <c r="AA764" s="63"/>
      <c r="AB764" s="63"/>
      <c r="AC764" s="63"/>
    </row>
    <row r="765" spans="2:29">
      <c r="B765" s="71"/>
      <c r="C765" s="71"/>
      <c r="D765" s="71"/>
      <c r="E765" s="71"/>
      <c r="F765" s="71"/>
      <c r="G765" s="71"/>
      <c r="H765" s="71"/>
      <c r="I765" s="71"/>
      <c r="J765" s="71"/>
      <c r="K765" s="71"/>
      <c r="L765" s="71"/>
      <c r="M765" s="71"/>
      <c r="N765" s="71"/>
      <c r="O765" s="71"/>
      <c r="P765" s="61"/>
      <c r="Q765" s="62"/>
      <c r="R765" s="63"/>
      <c r="S765" s="63"/>
      <c r="T765" s="63"/>
      <c r="U765" s="63"/>
      <c r="V765" s="63"/>
      <c r="W765" s="63"/>
      <c r="X765" s="63"/>
      <c r="Y765" s="63"/>
      <c r="Z765" s="63"/>
      <c r="AA765" s="63"/>
      <c r="AB765" s="63"/>
      <c r="AC765" s="63"/>
    </row>
    <row r="766" spans="2:29">
      <c r="B766" s="71"/>
      <c r="C766" s="71"/>
      <c r="D766" s="71"/>
      <c r="E766" s="71"/>
      <c r="F766" s="71"/>
      <c r="G766" s="71"/>
      <c r="H766" s="71"/>
      <c r="I766" s="71"/>
      <c r="J766" s="71"/>
      <c r="K766" s="71"/>
      <c r="L766" s="71"/>
      <c r="M766" s="71"/>
      <c r="N766" s="71"/>
      <c r="O766" s="71"/>
      <c r="P766" s="61"/>
      <c r="Q766" s="62"/>
      <c r="R766" s="63"/>
      <c r="S766" s="63"/>
      <c r="T766" s="63"/>
      <c r="U766" s="63"/>
      <c r="V766" s="63"/>
      <c r="W766" s="63"/>
      <c r="X766" s="63"/>
      <c r="Y766" s="63"/>
      <c r="Z766" s="63"/>
      <c r="AA766" s="63"/>
      <c r="AB766" s="63"/>
      <c r="AC766" s="63"/>
    </row>
    <row r="767" spans="2:29">
      <c r="B767" s="71"/>
      <c r="C767" s="71"/>
      <c r="D767" s="71"/>
      <c r="E767" s="71"/>
      <c r="F767" s="71"/>
      <c r="G767" s="71"/>
      <c r="H767" s="71"/>
      <c r="I767" s="71"/>
      <c r="J767" s="71"/>
      <c r="K767" s="71"/>
      <c r="L767" s="71"/>
      <c r="M767" s="71"/>
      <c r="N767" s="71"/>
      <c r="O767" s="71"/>
      <c r="P767" s="61"/>
      <c r="Q767" s="62"/>
      <c r="R767" s="63"/>
      <c r="S767" s="63"/>
      <c r="T767" s="63"/>
      <c r="U767" s="63"/>
      <c r="V767" s="63"/>
      <c r="W767" s="63"/>
      <c r="X767" s="63"/>
      <c r="Y767" s="63"/>
      <c r="Z767" s="63"/>
      <c r="AA767" s="63"/>
      <c r="AB767" s="63"/>
      <c r="AC767" s="63"/>
    </row>
    <row r="768" spans="2:29">
      <c r="B768" s="71"/>
      <c r="C768" s="71"/>
      <c r="D768" s="71"/>
      <c r="E768" s="71"/>
      <c r="F768" s="71"/>
      <c r="G768" s="71"/>
      <c r="H768" s="71"/>
      <c r="I768" s="71"/>
      <c r="J768" s="71"/>
      <c r="K768" s="71"/>
      <c r="L768" s="71"/>
      <c r="M768" s="71"/>
      <c r="N768" s="71"/>
      <c r="O768" s="71"/>
      <c r="P768" s="61"/>
      <c r="Q768" s="62"/>
      <c r="R768" s="63"/>
      <c r="S768" s="63"/>
      <c r="T768" s="63"/>
      <c r="U768" s="63"/>
      <c r="V768" s="63"/>
      <c r="W768" s="63"/>
      <c r="X768" s="63"/>
      <c r="Y768" s="63"/>
      <c r="Z768" s="63"/>
      <c r="AA768" s="63"/>
      <c r="AB768" s="63"/>
      <c r="AC768" s="63"/>
    </row>
    <row r="769" spans="2:29">
      <c r="B769" s="71"/>
      <c r="C769" s="71"/>
      <c r="D769" s="71"/>
      <c r="E769" s="71"/>
      <c r="F769" s="71"/>
      <c r="G769" s="71"/>
      <c r="H769" s="71"/>
      <c r="I769" s="71"/>
      <c r="J769" s="71"/>
      <c r="K769" s="71"/>
      <c r="L769" s="71"/>
      <c r="M769" s="71"/>
      <c r="N769" s="71"/>
      <c r="O769" s="71"/>
      <c r="P769" s="61"/>
      <c r="Q769" s="62"/>
      <c r="R769" s="63"/>
      <c r="S769" s="63"/>
      <c r="T769" s="63"/>
      <c r="U769" s="63"/>
      <c r="V769" s="63"/>
      <c r="W769" s="63"/>
      <c r="X769" s="63"/>
      <c r="Y769" s="63"/>
      <c r="Z769" s="63"/>
      <c r="AA769" s="63"/>
      <c r="AB769" s="63"/>
      <c r="AC769" s="63"/>
    </row>
    <row r="770" spans="2:29">
      <c r="B770" s="71"/>
      <c r="C770" s="71"/>
      <c r="D770" s="71"/>
      <c r="E770" s="71"/>
      <c r="F770" s="71"/>
      <c r="G770" s="71"/>
      <c r="H770" s="71"/>
      <c r="I770" s="71"/>
      <c r="J770" s="71"/>
      <c r="K770" s="71"/>
      <c r="L770" s="71"/>
      <c r="M770" s="71"/>
      <c r="N770" s="71"/>
      <c r="O770" s="71"/>
      <c r="P770" s="61"/>
      <c r="Q770" s="62"/>
      <c r="R770" s="63"/>
      <c r="S770" s="63"/>
      <c r="T770" s="63"/>
      <c r="U770" s="63"/>
      <c r="V770" s="63"/>
      <c r="W770" s="63"/>
      <c r="X770" s="63"/>
      <c r="Y770" s="63"/>
      <c r="Z770" s="63"/>
      <c r="AA770" s="63"/>
      <c r="AB770" s="63"/>
      <c r="AC770" s="63"/>
    </row>
    <row r="771" spans="2:29">
      <c r="B771" s="71"/>
      <c r="C771" s="71"/>
      <c r="D771" s="71"/>
      <c r="E771" s="71"/>
      <c r="F771" s="71"/>
      <c r="G771" s="71"/>
      <c r="H771" s="71"/>
      <c r="I771" s="71"/>
      <c r="J771" s="71"/>
      <c r="K771" s="71"/>
      <c r="L771" s="71"/>
      <c r="M771" s="71"/>
      <c r="N771" s="71"/>
      <c r="O771" s="71"/>
      <c r="P771" s="61"/>
      <c r="Q771" s="62"/>
      <c r="R771" s="63"/>
      <c r="S771" s="63"/>
      <c r="T771" s="63"/>
      <c r="U771" s="63"/>
      <c r="V771" s="63"/>
      <c r="W771" s="63"/>
      <c r="X771" s="63"/>
      <c r="Y771" s="63"/>
      <c r="Z771" s="63"/>
      <c r="AA771" s="63"/>
      <c r="AB771" s="63"/>
      <c r="AC771" s="63"/>
    </row>
    <row r="772" spans="2:29">
      <c r="B772" s="71"/>
      <c r="C772" s="71"/>
      <c r="D772" s="71"/>
      <c r="E772" s="71"/>
      <c r="F772" s="71"/>
      <c r="G772" s="71"/>
      <c r="H772" s="71"/>
      <c r="I772" s="71"/>
      <c r="J772" s="71"/>
      <c r="K772" s="71"/>
      <c r="L772" s="71"/>
      <c r="M772" s="71"/>
      <c r="N772" s="71"/>
      <c r="O772" s="71"/>
      <c r="P772" s="61"/>
      <c r="Q772" s="62"/>
      <c r="R772" s="63"/>
      <c r="S772" s="63"/>
      <c r="T772" s="63"/>
      <c r="U772" s="63"/>
      <c r="V772" s="63"/>
      <c r="W772" s="63"/>
      <c r="X772" s="63"/>
      <c r="Y772" s="63"/>
      <c r="Z772" s="63"/>
      <c r="AA772" s="63"/>
      <c r="AB772" s="63"/>
      <c r="AC772" s="63"/>
    </row>
    <row r="773" spans="2:29">
      <c r="B773" s="71"/>
      <c r="C773" s="71"/>
      <c r="D773" s="71"/>
      <c r="E773" s="71"/>
      <c r="F773" s="71"/>
      <c r="G773" s="71"/>
      <c r="H773" s="71"/>
      <c r="I773" s="71"/>
      <c r="J773" s="71"/>
      <c r="K773" s="71"/>
      <c r="L773" s="71"/>
      <c r="M773" s="71"/>
      <c r="N773" s="71"/>
      <c r="O773" s="71"/>
      <c r="P773" s="61"/>
      <c r="Q773" s="62"/>
      <c r="R773" s="63"/>
      <c r="S773" s="63"/>
      <c r="T773" s="63"/>
      <c r="U773" s="63"/>
      <c r="V773" s="63"/>
      <c r="W773" s="63"/>
      <c r="X773" s="63"/>
      <c r="Y773" s="63"/>
      <c r="Z773" s="63"/>
      <c r="AA773" s="63"/>
      <c r="AB773" s="63"/>
      <c r="AC773" s="63"/>
    </row>
    <row r="774" spans="2:29">
      <c r="B774" s="71"/>
      <c r="C774" s="71"/>
      <c r="D774" s="71"/>
      <c r="E774" s="71"/>
      <c r="F774" s="71"/>
      <c r="G774" s="71"/>
      <c r="H774" s="71"/>
      <c r="I774" s="71"/>
      <c r="J774" s="71"/>
      <c r="K774" s="71"/>
      <c r="L774" s="71"/>
      <c r="M774" s="71"/>
      <c r="N774" s="71"/>
      <c r="O774" s="71"/>
      <c r="P774" s="61"/>
      <c r="Q774" s="62"/>
      <c r="R774" s="63"/>
      <c r="S774" s="63"/>
      <c r="T774" s="63"/>
      <c r="U774" s="63"/>
      <c r="V774" s="63"/>
      <c r="W774" s="63"/>
      <c r="X774" s="63"/>
      <c r="Y774" s="63"/>
      <c r="Z774" s="63"/>
      <c r="AA774" s="63"/>
      <c r="AB774" s="63"/>
      <c r="AC774" s="63"/>
    </row>
    <row r="775" spans="2:29">
      <c r="B775" s="71"/>
      <c r="C775" s="71"/>
      <c r="D775" s="71"/>
      <c r="E775" s="71"/>
      <c r="F775" s="71"/>
      <c r="G775" s="71"/>
      <c r="H775" s="71"/>
      <c r="I775" s="71"/>
      <c r="J775" s="71"/>
      <c r="K775" s="71"/>
      <c r="L775" s="71"/>
      <c r="M775" s="71"/>
      <c r="N775" s="71"/>
      <c r="O775" s="71"/>
      <c r="P775" s="61"/>
      <c r="Q775" s="62"/>
      <c r="R775" s="63"/>
      <c r="S775" s="63"/>
      <c r="T775" s="63"/>
      <c r="U775" s="63"/>
      <c r="V775" s="63"/>
      <c r="W775" s="63"/>
      <c r="X775" s="63"/>
      <c r="Y775" s="63"/>
      <c r="Z775" s="63"/>
      <c r="AA775" s="63"/>
      <c r="AB775" s="63"/>
      <c r="AC775" s="63"/>
    </row>
    <row r="776" spans="2:29">
      <c r="B776" s="71"/>
      <c r="C776" s="71"/>
      <c r="D776" s="71"/>
      <c r="E776" s="71"/>
      <c r="F776" s="71"/>
      <c r="G776" s="71"/>
      <c r="H776" s="71"/>
      <c r="I776" s="71"/>
      <c r="J776" s="71"/>
      <c r="K776" s="71"/>
      <c r="L776" s="71"/>
      <c r="M776" s="71"/>
      <c r="N776" s="71"/>
      <c r="O776" s="71"/>
      <c r="P776" s="61"/>
      <c r="Q776" s="62"/>
      <c r="R776" s="63"/>
      <c r="S776" s="63"/>
      <c r="T776" s="63"/>
      <c r="U776" s="63"/>
      <c r="V776" s="63"/>
      <c r="W776" s="63"/>
      <c r="X776" s="63"/>
      <c r="Y776" s="63"/>
      <c r="Z776" s="63"/>
      <c r="AA776" s="63"/>
      <c r="AB776" s="63"/>
      <c r="AC776" s="63"/>
    </row>
    <row r="777" spans="2:29">
      <c r="B777" s="71"/>
      <c r="C777" s="71"/>
      <c r="D777" s="71"/>
      <c r="E777" s="71"/>
      <c r="F777" s="71"/>
      <c r="G777" s="71"/>
      <c r="H777" s="71"/>
      <c r="I777" s="71"/>
      <c r="J777" s="71"/>
      <c r="K777" s="71"/>
      <c r="L777" s="71"/>
      <c r="M777" s="71"/>
      <c r="N777" s="71"/>
      <c r="O777" s="71"/>
      <c r="P777" s="61"/>
      <c r="Q777" s="62"/>
      <c r="R777" s="63"/>
      <c r="S777" s="63"/>
      <c r="T777" s="63"/>
      <c r="U777" s="63"/>
      <c r="V777" s="63"/>
      <c r="W777" s="63"/>
      <c r="X777" s="63"/>
      <c r="Y777" s="63"/>
      <c r="Z777" s="63"/>
      <c r="AA777" s="63"/>
      <c r="AB777" s="63"/>
      <c r="AC777" s="63"/>
    </row>
    <row r="778" spans="2:29">
      <c r="B778" s="71"/>
      <c r="C778" s="71"/>
      <c r="D778" s="71"/>
      <c r="E778" s="71"/>
      <c r="F778" s="71"/>
      <c r="G778" s="71"/>
      <c r="H778" s="71"/>
      <c r="I778" s="71"/>
      <c r="J778" s="71"/>
      <c r="K778" s="71"/>
      <c r="L778" s="71"/>
      <c r="M778" s="71"/>
      <c r="N778" s="71"/>
      <c r="O778" s="71"/>
      <c r="P778" s="61"/>
      <c r="Q778" s="62"/>
      <c r="R778" s="63"/>
      <c r="S778" s="63"/>
      <c r="T778" s="63"/>
      <c r="U778" s="63"/>
      <c r="V778" s="63"/>
      <c r="W778" s="63"/>
      <c r="X778" s="63"/>
      <c r="Y778" s="63"/>
      <c r="Z778" s="63"/>
      <c r="AA778" s="63"/>
      <c r="AB778" s="63"/>
      <c r="AC778" s="63"/>
    </row>
    <row r="779" spans="2:29">
      <c r="B779" s="71"/>
      <c r="C779" s="71"/>
      <c r="D779" s="71"/>
      <c r="E779" s="71"/>
      <c r="F779" s="71"/>
      <c r="G779" s="71"/>
      <c r="H779" s="71"/>
      <c r="I779" s="71"/>
      <c r="J779" s="71"/>
      <c r="K779" s="71"/>
      <c r="L779" s="71"/>
      <c r="M779" s="71"/>
      <c r="N779" s="71"/>
      <c r="O779" s="71"/>
      <c r="P779" s="61"/>
      <c r="Q779" s="62"/>
      <c r="R779" s="63"/>
      <c r="S779" s="63"/>
      <c r="T779" s="63"/>
      <c r="U779" s="63"/>
      <c r="V779" s="63"/>
      <c r="W779" s="63"/>
      <c r="X779" s="63"/>
      <c r="Y779" s="63"/>
      <c r="Z779" s="63"/>
      <c r="AA779" s="63"/>
      <c r="AB779" s="63"/>
      <c r="AC779" s="63"/>
    </row>
    <row r="780" spans="2:29">
      <c r="B780" s="71"/>
      <c r="C780" s="71"/>
      <c r="D780" s="71"/>
      <c r="E780" s="71"/>
      <c r="F780" s="71"/>
      <c r="G780" s="71"/>
      <c r="H780" s="71"/>
      <c r="I780" s="71"/>
      <c r="J780" s="71"/>
      <c r="K780" s="71"/>
      <c r="L780" s="71"/>
      <c r="M780" s="71"/>
      <c r="N780" s="71"/>
      <c r="O780" s="71"/>
      <c r="P780" s="61"/>
      <c r="Q780" s="62"/>
      <c r="R780" s="63"/>
      <c r="S780" s="63"/>
      <c r="T780" s="63"/>
      <c r="U780" s="63"/>
      <c r="V780" s="63"/>
      <c r="W780" s="63"/>
      <c r="X780" s="63"/>
      <c r="Y780" s="63"/>
      <c r="Z780" s="63"/>
      <c r="AA780" s="63"/>
      <c r="AB780" s="63"/>
      <c r="AC780" s="63"/>
    </row>
    <row r="781" spans="2:29">
      <c r="B781" s="71"/>
      <c r="C781" s="71"/>
      <c r="D781" s="71"/>
      <c r="E781" s="71"/>
      <c r="F781" s="71"/>
      <c r="G781" s="71"/>
      <c r="H781" s="71"/>
      <c r="I781" s="71"/>
      <c r="J781" s="71"/>
      <c r="K781" s="71"/>
      <c r="L781" s="71"/>
      <c r="M781" s="71"/>
      <c r="N781" s="71"/>
      <c r="O781" s="71"/>
      <c r="P781" s="61"/>
      <c r="Q781" s="62"/>
      <c r="R781" s="63"/>
      <c r="S781" s="63"/>
      <c r="T781" s="63"/>
      <c r="U781" s="63"/>
      <c r="V781" s="63"/>
      <c r="W781" s="63"/>
      <c r="X781" s="63"/>
      <c r="Y781" s="63"/>
      <c r="Z781" s="63"/>
      <c r="AA781" s="63"/>
      <c r="AB781" s="63"/>
      <c r="AC781" s="63"/>
    </row>
    <row r="782" spans="2:29">
      <c r="B782" s="71"/>
      <c r="C782" s="71"/>
      <c r="D782" s="71"/>
      <c r="E782" s="71"/>
      <c r="F782" s="71"/>
      <c r="G782" s="71"/>
      <c r="H782" s="71"/>
      <c r="I782" s="71"/>
      <c r="J782" s="71"/>
      <c r="K782" s="71"/>
      <c r="L782" s="71"/>
      <c r="M782" s="71"/>
      <c r="N782" s="71"/>
      <c r="O782" s="71"/>
      <c r="P782" s="61"/>
      <c r="Q782" s="62"/>
      <c r="R782" s="63"/>
      <c r="S782" s="63"/>
      <c r="T782" s="63"/>
      <c r="U782" s="63"/>
      <c r="V782" s="63"/>
      <c r="W782" s="63"/>
      <c r="X782" s="63"/>
      <c r="Y782" s="63"/>
      <c r="Z782" s="63"/>
      <c r="AA782" s="63"/>
      <c r="AB782" s="63"/>
      <c r="AC782" s="63"/>
    </row>
    <row r="783" spans="2:29">
      <c r="B783" s="71"/>
      <c r="C783" s="71"/>
      <c r="D783" s="71"/>
      <c r="E783" s="71"/>
      <c r="F783" s="71"/>
      <c r="G783" s="71"/>
      <c r="H783" s="71"/>
      <c r="I783" s="71"/>
      <c r="J783" s="71"/>
      <c r="K783" s="71"/>
      <c r="L783" s="71"/>
      <c r="M783" s="71"/>
      <c r="N783" s="71"/>
      <c r="O783" s="71"/>
      <c r="P783" s="61"/>
      <c r="Q783" s="62"/>
      <c r="R783" s="63"/>
      <c r="S783" s="63"/>
      <c r="T783" s="63"/>
      <c r="U783" s="63"/>
      <c r="V783" s="63"/>
      <c r="W783" s="63"/>
      <c r="X783" s="63"/>
      <c r="Y783" s="63"/>
      <c r="Z783" s="63"/>
      <c r="AA783" s="63"/>
      <c r="AB783" s="63"/>
      <c r="AC783" s="63"/>
    </row>
    <row r="784" spans="2:29">
      <c r="B784" s="71"/>
      <c r="C784" s="71"/>
      <c r="D784" s="71"/>
      <c r="E784" s="71"/>
      <c r="F784" s="71"/>
      <c r="G784" s="71"/>
      <c r="H784" s="71"/>
      <c r="I784" s="71"/>
      <c r="J784" s="71"/>
      <c r="K784" s="71"/>
      <c r="L784" s="71"/>
      <c r="M784" s="71"/>
      <c r="N784" s="71"/>
      <c r="O784" s="71"/>
      <c r="P784" s="61"/>
      <c r="Q784" s="62"/>
      <c r="R784" s="63"/>
      <c r="S784" s="63"/>
      <c r="T784" s="63"/>
      <c r="U784" s="63"/>
      <c r="V784" s="63"/>
      <c r="W784" s="63"/>
      <c r="X784" s="63"/>
      <c r="Y784" s="63"/>
      <c r="Z784" s="63"/>
      <c r="AA784" s="63"/>
      <c r="AB784" s="63"/>
      <c r="AC784" s="63"/>
    </row>
    <row r="785" spans="2:29">
      <c r="B785" s="71"/>
      <c r="C785" s="71"/>
      <c r="D785" s="71"/>
      <c r="E785" s="71"/>
      <c r="F785" s="71"/>
      <c r="G785" s="71"/>
      <c r="H785" s="71"/>
      <c r="I785" s="71"/>
      <c r="J785" s="71"/>
      <c r="K785" s="71"/>
      <c r="L785" s="71"/>
      <c r="M785" s="71"/>
      <c r="N785" s="71"/>
      <c r="O785" s="71"/>
      <c r="P785" s="61"/>
      <c r="Q785" s="62"/>
      <c r="R785" s="63"/>
      <c r="S785" s="63"/>
      <c r="T785" s="63"/>
      <c r="U785" s="63"/>
      <c r="V785" s="63"/>
      <c r="W785" s="63"/>
      <c r="X785" s="63"/>
      <c r="Y785" s="63"/>
      <c r="Z785" s="63"/>
      <c r="AA785" s="63"/>
      <c r="AB785" s="63"/>
      <c r="AC785" s="63"/>
    </row>
    <row r="786" spans="2:29">
      <c r="B786" s="71"/>
      <c r="C786" s="71"/>
      <c r="D786" s="71"/>
      <c r="E786" s="71"/>
      <c r="F786" s="71"/>
      <c r="G786" s="71"/>
      <c r="H786" s="71"/>
      <c r="I786" s="71"/>
      <c r="J786" s="71"/>
      <c r="K786" s="71"/>
      <c r="L786" s="71"/>
      <c r="M786" s="71"/>
      <c r="N786" s="71"/>
      <c r="O786" s="71"/>
      <c r="P786" s="61"/>
      <c r="Q786" s="62"/>
      <c r="R786" s="63"/>
      <c r="S786" s="63"/>
      <c r="T786" s="63"/>
      <c r="U786" s="63"/>
      <c r="V786" s="63"/>
      <c r="W786" s="63"/>
      <c r="X786" s="63"/>
      <c r="Y786" s="63"/>
      <c r="Z786" s="63"/>
      <c r="AA786" s="63"/>
      <c r="AB786" s="63"/>
      <c r="AC786" s="63"/>
    </row>
    <row r="787" spans="2:29">
      <c r="B787" s="71"/>
      <c r="C787" s="71"/>
      <c r="D787" s="71"/>
      <c r="E787" s="71"/>
      <c r="F787" s="71"/>
      <c r="G787" s="71"/>
      <c r="H787" s="71"/>
      <c r="I787" s="71"/>
      <c r="J787" s="71"/>
      <c r="K787" s="71"/>
      <c r="L787" s="71"/>
      <c r="M787" s="71"/>
      <c r="N787" s="71"/>
      <c r="O787" s="71"/>
      <c r="P787" s="61"/>
      <c r="Q787" s="62"/>
      <c r="R787" s="63"/>
      <c r="S787" s="63"/>
      <c r="T787" s="63"/>
      <c r="U787" s="63"/>
      <c r="V787" s="63"/>
      <c r="W787" s="63"/>
      <c r="X787" s="63"/>
      <c r="Y787" s="63"/>
      <c r="Z787" s="63"/>
      <c r="AA787" s="63"/>
      <c r="AB787" s="63"/>
      <c r="AC787" s="63"/>
    </row>
    <row r="788" spans="2:29">
      <c r="B788" s="71"/>
      <c r="C788" s="71"/>
      <c r="D788" s="71"/>
      <c r="E788" s="71"/>
      <c r="F788" s="71"/>
      <c r="G788" s="71"/>
      <c r="H788" s="71"/>
      <c r="I788" s="71"/>
      <c r="J788" s="71"/>
      <c r="K788" s="71"/>
      <c r="L788" s="71"/>
      <c r="M788" s="71"/>
      <c r="N788" s="71"/>
      <c r="O788" s="71"/>
      <c r="P788" s="61"/>
      <c r="Q788" s="62"/>
      <c r="R788" s="63"/>
      <c r="S788" s="63"/>
      <c r="T788" s="63"/>
      <c r="U788" s="63"/>
      <c r="V788" s="63"/>
      <c r="W788" s="63"/>
      <c r="X788" s="63"/>
      <c r="Y788" s="63"/>
      <c r="Z788" s="63"/>
      <c r="AA788" s="63"/>
      <c r="AB788" s="63"/>
      <c r="AC788" s="63"/>
    </row>
    <row r="789" spans="2:29">
      <c r="B789" s="71"/>
      <c r="C789" s="71"/>
      <c r="D789" s="71"/>
      <c r="E789" s="71"/>
      <c r="F789" s="71"/>
      <c r="G789" s="71"/>
      <c r="H789" s="71"/>
      <c r="I789" s="71"/>
      <c r="J789" s="71"/>
      <c r="K789" s="71"/>
      <c r="L789" s="71"/>
      <c r="M789" s="71"/>
      <c r="N789" s="71"/>
      <c r="O789" s="71"/>
      <c r="P789" s="61"/>
      <c r="Q789" s="62"/>
      <c r="R789" s="63"/>
      <c r="S789" s="63"/>
      <c r="T789" s="63"/>
      <c r="U789" s="63"/>
      <c r="V789" s="63"/>
      <c r="W789" s="63"/>
      <c r="X789" s="63"/>
      <c r="Y789" s="63"/>
      <c r="Z789" s="63"/>
      <c r="AA789" s="63"/>
      <c r="AB789" s="63"/>
      <c r="AC789" s="63"/>
    </row>
    <row r="790" spans="2:29">
      <c r="B790" s="71"/>
      <c r="C790" s="71"/>
      <c r="D790" s="71"/>
      <c r="E790" s="71"/>
      <c r="F790" s="71"/>
      <c r="G790" s="71"/>
      <c r="H790" s="71"/>
      <c r="I790" s="71"/>
      <c r="J790" s="71"/>
      <c r="K790" s="71"/>
      <c r="L790" s="71"/>
      <c r="M790" s="71"/>
      <c r="N790" s="71"/>
      <c r="O790" s="71"/>
      <c r="P790" s="61"/>
      <c r="Q790" s="62"/>
      <c r="R790" s="63"/>
      <c r="S790" s="63"/>
      <c r="T790" s="63"/>
      <c r="U790" s="63"/>
      <c r="V790" s="63"/>
      <c r="W790" s="63"/>
      <c r="X790" s="63"/>
      <c r="Y790" s="63"/>
      <c r="Z790" s="63"/>
      <c r="AA790" s="63"/>
      <c r="AB790" s="63"/>
      <c r="AC790" s="63"/>
    </row>
    <row r="791" spans="2:29">
      <c r="B791" s="71"/>
      <c r="C791" s="71"/>
      <c r="D791" s="71"/>
      <c r="E791" s="71"/>
      <c r="F791" s="71"/>
      <c r="G791" s="71"/>
      <c r="H791" s="71"/>
      <c r="I791" s="71"/>
      <c r="J791" s="71"/>
      <c r="K791" s="71"/>
      <c r="L791" s="71"/>
      <c r="M791" s="71"/>
      <c r="N791" s="71"/>
      <c r="O791" s="71"/>
      <c r="P791" s="61"/>
      <c r="Q791" s="62"/>
      <c r="R791" s="63"/>
      <c r="S791" s="63"/>
      <c r="T791" s="63"/>
      <c r="U791" s="63"/>
      <c r="V791" s="63"/>
      <c r="W791" s="63"/>
      <c r="X791" s="63"/>
      <c r="Y791" s="63"/>
      <c r="Z791" s="63"/>
      <c r="AA791" s="63"/>
      <c r="AB791" s="63"/>
      <c r="AC791" s="63"/>
    </row>
    <row r="792" spans="2:29">
      <c r="B792" s="71"/>
      <c r="C792" s="71"/>
      <c r="D792" s="71"/>
      <c r="E792" s="71"/>
      <c r="F792" s="71"/>
      <c r="G792" s="71"/>
      <c r="H792" s="71"/>
      <c r="I792" s="71"/>
      <c r="J792" s="71"/>
      <c r="K792" s="71"/>
      <c r="L792" s="71"/>
      <c r="M792" s="71"/>
      <c r="N792" s="71"/>
      <c r="O792" s="71"/>
      <c r="P792" s="61"/>
      <c r="Q792" s="62"/>
      <c r="R792" s="63"/>
      <c r="S792" s="63"/>
      <c r="T792" s="63"/>
      <c r="U792" s="63"/>
      <c r="V792" s="63"/>
      <c r="W792" s="63"/>
      <c r="X792" s="63"/>
      <c r="Y792" s="63"/>
      <c r="Z792" s="63"/>
      <c r="AA792" s="63"/>
      <c r="AB792" s="63"/>
      <c r="AC792" s="63"/>
    </row>
    <row r="793" spans="2:29">
      <c r="B793" s="71"/>
      <c r="C793" s="71"/>
      <c r="D793" s="71"/>
      <c r="E793" s="71"/>
      <c r="F793" s="71"/>
      <c r="G793" s="71"/>
      <c r="H793" s="71"/>
      <c r="I793" s="71"/>
      <c r="J793" s="71"/>
      <c r="K793" s="71"/>
      <c r="L793" s="71"/>
      <c r="M793" s="71"/>
      <c r="N793" s="71"/>
      <c r="O793" s="71"/>
      <c r="P793" s="61"/>
      <c r="Q793" s="62"/>
      <c r="R793" s="63"/>
      <c r="S793" s="63"/>
      <c r="T793" s="63"/>
      <c r="U793" s="63"/>
      <c r="V793" s="63"/>
      <c r="W793" s="63"/>
      <c r="X793" s="63"/>
      <c r="Y793" s="63"/>
      <c r="Z793" s="63"/>
      <c r="AA793" s="63"/>
      <c r="AB793" s="63"/>
      <c r="AC793" s="63"/>
    </row>
    <row r="794" spans="2:29">
      <c r="B794" s="71"/>
      <c r="C794" s="71"/>
      <c r="D794" s="71"/>
      <c r="E794" s="71"/>
      <c r="F794" s="71"/>
      <c r="G794" s="71"/>
      <c r="H794" s="71"/>
      <c r="I794" s="71"/>
      <c r="J794" s="71"/>
      <c r="K794" s="71"/>
      <c r="L794" s="71"/>
      <c r="M794" s="71"/>
      <c r="N794" s="71"/>
      <c r="O794" s="71"/>
      <c r="P794" s="61"/>
      <c r="Q794" s="62"/>
      <c r="R794" s="63"/>
      <c r="S794" s="63"/>
      <c r="T794" s="63"/>
      <c r="U794" s="63"/>
      <c r="V794" s="63"/>
      <c r="W794" s="63"/>
      <c r="X794" s="63"/>
      <c r="Y794" s="63"/>
      <c r="Z794" s="63"/>
      <c r="AA794" s="63"/>
      <c r="AB794" s="63"/>
      <c r="AC794" s="63"/>
    </row>
    <row r="795" spans="2:29">
      <c r="B795" s="71"/>
      <c r="C795" s="71"/>
      <c r="D795" s="71"/>
      <c r="E795" s="71"/>
      <c r="F795" s="71"/>
      <c r="G795" s="71"/>
      <c r="H795" s="71"/>
      <c r="I795" s="71"/>
      <c r="J795" s="71"/>
      <c r="K795" s="71"/>
      <c r="L795" s="71"/>
      <c r="M795" s="71"/>
      <c r="N795" s="71"/>
      <c r="O795" s="71"/>
      <c r="P795" s="61"/>
      <c r="Q795" s="62"/>
      <c r="R795" s="63"/>
      <c r="S795" s="63"/>
      <c r="T795" s="63"/>
      <c r="U795" s="63"/>
      <c r="V795" s="63"/>
      <c r="W795" s="63"/>
      <c r="X795" s="63"/>
      <c r="Y795" s="63"/>
      <c r="Z795" s="63"/>
      <c r="AA795" s="63"/>
      <c r="AB795" s="63"/>
      <c r="AC795" s="63"/>
    </row>
    <row r="796" spans="2:29">
      <c r="B796" s="71"/>
      <c r="C796" s="71"/>
      <c r="D796" s="71"/>
      <c r="E796" s="71"/>
      <c r="F796" s="71"/>
      <c r="G796" s="71"/>
      <c r="H796" s="71"/>
      <c r="I796" s="71"/>
      <c r="J796" s="71"/>
      <c r="K796" s="71"/>
      <c r="L796" s="71"/>
      <c r="M796" s="71"/>
      <c r="N796" s="71"/>
      <c r="O796" s="71"/>
      <c r="P796" s="61"/>
      <c r="Q796" s="62"/>
      <c r="R796" s="63"/>
      <c r="S796" s="63"/>
      <c r="T796" s="63"/>
      <c r="U796" s="63"/>
      <c r="V796" s="63"/>
      <c r="W796" s="63"/>
      <c r="X796" s="63"/>
      <c r="Y796" s="63"/>
      <c r="Z796" s="63"/>
      <c r="AA796" s="63"/>
      <c r="AB796" s="63"/>
      <c r="AC796" s="63"/>
    </row>
    <row r="797" spans="2:29">
      <c r="B797" s="71"/>
      <c r="C797" s="71"/>
      <c r="D797" s="71"/>
      <c r="E797" s="71"/>
      <c r="F797" s="71"/>
      <c r="G797" s="71"/>
      <c r="H797" s="71"/>
      <c r="I797" s="71"/>
      <c r="J797" s="71"/>
      <c r="K797" s="71"/>
      <c r="L797" s="71"/>
      <c r="M797" s="71"/>
      <c r="N797" s="71"/>
      <c r="O797" s="71"/>
      <c r="P797" s="61"/>
      <c r="Q797" s="62"/>
      <c r="R797" s="63"/>
      <c r="S797" s="63"/>
      <c r="T797" s="63"/>
      <c r="U797" s="63"/>
      <c r="V797" s="63"/>
      <c r="W797" s="63"/>
      <c r="X797" s="63"/>
      <c r="Y797" s="63"/>
      <c r="Z797" s="63"/>
      <c r="AA797" s="63"/>
      <c r="AB797" s="63"/>
      <c r="AC797" s="63"/>
    </row>
    <row r="798" spans="2:29">
      <c r="B798" s="71"/>
      <c r="C798" s="71"/>
      <c r="D798" s="71"/>
      <c r="E798" s="71"/>
      <c r="F798" s="71"/>
      <c r="G798" s="71"/>
      <c r="H798" s="71"/>
      <c r="I798" s="71"/>
      <c r="J798" s="71"/>
      <c r="K798" s="71"/>
      <c r="L798" s="71"/>
      <c r="M798" s="71"/>
      <c r="N798" s="71"/>
      <c r="O798" s="71"/>
      <c r="P798" s="61"/>
      <c r="Q798" s="62"/>
      <c r="R798" s="63"/>
      <c r="S798" s="63"/>
      <c r="T798" s="63"/>
      <c r="U798" s="63"/>
      <c r="V798" s="63"/>
      <c r="W798" s="63"/>
      <c r="X798" s="63"/>
      <c r="Y798" s="63"/>
      <c r="Z798" s="63"/>
      <c r="AA798" s="63"/>
      <c r="AB798" s="63"/>
      <c r="AC798" s="63"/>
    </row>
    <row r="799" spans="2:29">
      <c r="B799" s="71"/>
      <c r="C799" s="71"/>
      <c r="D799" s="71"/>
      <c r="E799" s="71"/>
      <c r="F799" s="71"/>
      <c r="G799" s="71"/>
      <c r="H799" s="71"/>
      <c r="I799" s="71"/>
      <c r="J799" s="71"/>
      <c r="K799" s="71"/>
      <c r="L799" s="71"/>
      <c r="M799" s="71"/>
      <c r="N799" s="71"/>
      <c r="O799" s="71"/>
      <c r="P799" s="61"/>
      <c r="Q799" s="62"/>
      <c r="R799" s="63"/>
      <c r="S799" s="63"/>
      <c r="T799" s="63"/>
      <c r="U799" s="63"/>
      <c r="V799" s="63"/>
      <c r="W799" s="63"/>
      <c r="X799" s="63"/>
      <c r="Y799" s="63"/>
      <c r="Z799" s="63"/>
      <c r="AA799" s="63"/>
      <c r="AB799" s="63"/>
      <c r="AC799" s="63"/>
    </row>
    <row r="800" spans="2:29">
      <c r="B800" s="71"/>
      <c r="C800" s="71"/>
      <c r="D800" s="71"/>
      <c r="E800" s="71"/>
      <c r="F800" s="71"/>
      <c r="G800" s="71"/>
      <c r="H800" s="71"/>
      <c r="I800" s="71"/>
      <c r="J800" s="71"/>
      <c r="K800" s="71"/>
      <c r="L800" s="71"/>
      <c r="M800" s="71"/>
      <c r="N800" s="71"/>
      <c r="O800" s="71"/>
      <c r="P800" s="61"/>
      <c r="Q800" s="62"/>
      <c r="R800" s="63"/>
      <c r="S800" s="63"/>
      <c r="T800" s="63"/>
      <c r="U800" s="63"/>
      <c r="V800" s="63"/>
      <c r="W800" s="63"/>
      <c r="X800" s="63"/>
      <c r="Y800" s="63"/>
      <c r="Z800" s="63"/>
      <c r="AA800" s="63"/>
      <c r="AB800" s="63"/>
      <c r="AC800" s="63"/>
    </row>
    <row r="801" spans="2:29">
      <c r="B801" s="71"/>
      <c r="C801" s="71"/>
      <c r="D801" s="71"/>
      <c r="E801" s="71"/>
      <c r="F801" s="71"/>
      <c r="G801" s="71"/>
      <c r="H801" s="71"/>
      <c r="I801" s="71"/>
      <c r="J801" s="71"/>
      <c r="K801" s="71"/>
      <c r="L801" s="71"/>
      <c r="M801" s="71"/>
      <c r="N801" s="71"/>
      <c r="O801" s="71"/>
      <c r="P801" s="61"/>
      <c r="Q801" s="62"/>
      <c r="R801" s="63"/>
      <c r="S801" s="63"/>
      <c r="T801" s="63"/>
      <c r="U801" s="63"/>
      <c r="V801" s="63"/>
      <c r="W801" s="63"/>
      <c r="X801" s="63"/>
      <c r="Y801" s="63"/>
      <c r="Z801" s="63"/>
      <c r="AA801" s="63"/>
      <c r="AB801" s="63"/>
      <c r="AC801" s="63"/>
    </row>
    <row r="802" spans="2:29">
      <c r="B802" s="71"/>
      <c r="C802" s="71"/>
      <c r="D802" s="71"/>
      <c r="E802" s="71"/>
      <c r="F802" s="71"/>
      <c r="G802" s="71"/>
      <c r="H802" s="71"/>
      <c r="I802" s="71"/>
      <c r="J802" s="71"/>
      <c r="K802" s="71"/>
      <c r="L802" s="71"/>
      <c r="M802" s="71"/>
      <c r="N802" s="71"/>
      <c r="O802" s="71"/>
      <c r="P802" s="61"/>
      <c r="Q802" s="62"/>
      <c r="R802" s="63"/>
      <c r="S802" s="63"/>
      <c r="T802" s="63"/>
      <c r="U802" s="63"/>
      <c r="V802" s="63"/>
      <c r="W802" s="63"/>
      <c r="X802" s="63"/>
      <c r="Y802" s="63"/>
      <c r="Z802" s="63"/>
      <c r="AA802" s="63"/>
      <c r="AB802" s="63"/>
      <c r="AC802" s="63"/>
    </row>
    <row r="803" spans="2:29">
      <c r="B803" s="71"/>
      <c r="C803" s="71"/>
      <c r="D803" s="71"/>
      <c r="E803" s="71"/>
      <c r="F803" s="71"/>
      <c r="G803" s="71"/>
      <c r="H803" s="71"/>
      <c r="I803" s="71"/>
      <c r="J803" s="71"/>
      <c r="K803" s="71"/>
      <c r="L803" s="71"/>
      <c r="M803" s="71"/>
      <c r="N803" s="71"/>
      <c r="O803" s="71"/>
      <c r="P803" s="61"/>
      <c r="Q803" s="62"/>
      <c r="R803" s="63"/>
      <c r="S803" s="63"/>
      <c r="T803" s="63"/>
      <c r="U803" s="63"/>
      <c r="V803" s="63"/>
      <c r="W803" s="63"/>
      <c r="X803" s="63"/>
      <c r="Y803" s="63"/>
      <c r="Z803" s="63"/>
      <c r="AA803" s="63"/>
      <c r="AB803" s="63"/>
      <c r="AC803" s="63"/>
    </row>
    <row r="804" spans="2:29">
      <c r="B804" s="71"/>
      <c r="C804" s="71"/>
      <c r="D804" s="71"/>
      <c r="E804" s="71"/>
      <c r="F804" s="71"/>
      <c r="G804" s="71"/>
      <c r="H804" s="71"/>
      <c r="I804" s="71"/>
      <c r="J804" s="71"/>
      <c r="K804" s="71"/>
      <c r="L804" s="71"/>
      <c r="M804" s="71"/>
      <c r="N804" s="71"/>
      <c r="O804" s="71"/>
      <c r="P804" s="61"/>
      <c r="Q804" s="62"/>
      <c r="R804" s="63"/>
      <c r="S804" s="63"/>
      <c r="T804" s="63"/>
      <c r="U804" s="63"/>
      <c r="V804" s="63"/>
      <c r="W804" s="63"/>
      <c r="X804" s="63"/>
      <c r="Y804" s="63"/>
      <c r="Z804" s="63"/>
      <c r="AA804" s="63"/>
      <c r="AB804" s="63"/>
      <c r="AC804" s="63"/>
    </row>
    <row r="805" spans="2:29">
      <c r="B805" s="71"/>
      <c r="C805" s="71"/>
      <c r="D805" s="71"/>
      <c r="E805" s="71"/>
      <c r="F805" s="71"/>
      <c r="G805" s="71"/>
      <c r="H805" s="71"/>
      <c r="I805" s="71"/>
      <c r="J805" s="71"/>
      <c r="K805" s="71"/>
      <c r="L805" s="71"/>
      <c r="M805" s="71"/>
      <c r="N805" s="71"/>
      <c r="O805" s="71"/>
      <c r="P805" s="61"/>
      <c r="Q805" s="62"/>
      <c r="R805" s="63"/>
      <c r="S805" s="63"/>
      <c r="T805" s="63"/>
      <c r="U805" s="63"/>
      <c r="V805" s="63"/>
      <c r="W805" s="63"/>
      <c r="X805" s="63"/>
      <c r="Y805" s="63"/>
      <c r="Z805" s="63"/>
      <c r="AA805" s="63"/>
      <c r="AB805" s="63"/>
      <c r="AC805" s="63"/>
    </row>
    <row r="806" spans="2:29">
      <c r="B806" s="71"/>
      <c r="C806" s="71"/>
      <c r="D806" s="71"/>
      <c r="E806" s="71"/>
      <c r="F806" s="71"/>
      <c r="G806" s="71"/>
      <c r="H806" s="71"/>
      <c r="I806" s="71"/>
      <c r="J806" s="71"/>
      <c r="K806" s="71"/>
      <c r="L806" s="71"/>
      <c r="M806" s="71"/>
      <c r="N806" s="71"/>
      <c r="O806" s="71"/>
      <c r="P806" s="61"/>
      <c r="Q806" s="62"/>
      <c r="R806" s="63"/>
      <c r="S806" s="63"/>
      <c r="T806" s="63"/>
      <c r="U806" s="63"/>
      <c r="V806" s="63"/>
      <c r="W806" s="63"/>
      <c r="X806" s="63"/>
      <c r="Y806" s="63"/>
      <c r="Z806" s="63"/>
      <c r="AA806" s="63"/>
      <c r="AB806" s="63"/>
      <c r="AC806" s="63"/>
    </row>
    <row r="807" spans="2:29">
      <c r="B807" s="71"/>
      <c r="C807" s="71"/>
      <c r="D807" s="71"/>
      <c r="E807" s="71"/>
      <c r="F807" s="71"/>
      <c r="G807" s="71"/>
      <c r="H807" s="71"/>
      <c r="I807" s="71"/>
      <c r="J807" s="71"/>
      <c r="K807" s="71"/>
      <c r="L807" s="71"/>
      <c r="M807" s="71"/>
      <c r="N807" s="71"/>
      <c r="O807" s="71"/>
      <c r="P807" s="61"/>
      <c r="Q807" s="62"/>
      <c r="R807" s="63"/>
      <c r="S807" s="63"/>
      <c r="T807" s="63"/>
      <c r="U807" s="63"/>
      <c r="V807" s="63"/>
      <c r="W807" s="63"/>
      <c r="X807" s="63"/>
      <c r="Y807" s="63"/>
      <c r="Z807" s="63"/>
      <c r="AA807" s="63"/>
      <c r="AB807" s="63"/>
      <c r="AC807" s="63"/>
    </row>
    <row r="808" spans="2:29">
      <c r="B808" s="71"/>
      <c r="C808" s="71"/>
      <c r="D808" s="71"/>
      <c r="E808" s="71"/>
      <c r="F808" s="71"/>
      <c r="G808" s="71"/>
      <c r="H808" s="71"/>
      <c r="I808" s="71"/>
      <c r="J808" s="71"/>
      <c r="K808" s="71"/>
      <c r="L808" s="71"/>
      <c r="M808" s="71"/>
      <c r="N808" s="71"/>
      <c r="O808" s="71"/>
      <c r="P808" s="61"/>
      <c r="Q808" s="62"/>
      <c r="R808" s="63"/>
      <c r="S808" s="63"/>
      <c r="T808" s="63"/>
      <c r="U808" s="63"/>
      <c r="V808" s="63"/>
      <c r="W808" s="63"/>
      <c r="X808" s="63"/>
      <c r="Y808" s="63"/>
      <c r="Z808" s="63"/>
      <c r="AA808" s="63"/>
      <c r="AB808" s="63"/>
      <c r="AC808" s="63"/>
    </row>
    <row r="809" spans="2:29">
      <c r="B809" s="71"/>
      <c r="C809" s="71"/>
      <c r="D809" s="71"/>
      <c r="E809" s="71"/>
      <c r="F809" s="71"/>
      <c r="G809" s="71"/>
      <c r="H809" s="71"/>
      <c r="I809" s="71"/>
      <c r="J809" s="71"/>
      <c r="K809" s="71"/>
      <c r="L809" s="71"/>
      <c r="M809" s="71"/>
      <c r="N809" s="71"/>
      <c r="O809" s="71"/>
      <c r="P809" s="61"/>
      <c r="Q809" s="62"/>
      <c r="R809" s="63"/>
      <c r="S809" s="63"/>
      <c r="T809" s="63"/>
      <c r="U809" s="63"/>
      <c r="V809" s="63"/>
      <c r="W809" s="63"/>
      <c r="X809" s="63"/>
      <c r="Y809" s="63"/>
      <c r="Z809" s="63"/>
      <c r="AA809" s="63"/>
      <c r="AB809" s="63"/>
      <c r="AC809" s="63"/>
    </row>
    <row r="810" spans="2:29">
      <c r="B810" s="71"/>
      <c r="C810" s="71"/>
      <c r="D810" s="71"/>
      <c r="E810" s="71"/>
      <c r="F810" s="71"/>
      <c r="G810" s="71"/>
      <c r="H810" s="71"/>
      <c r="I810" s="71"/>
      <c r="J810" s="71"/>
      <c r="K810" s="71"/>
      <c r="L810" s="71"/>
      <c r="M810" s="71"/>
      <c r="N810" s="71"/>
      <c r="O810" s="71"/>
      <c r="P810" s="61"/>
      <c r="Q810" s="62"/>
      <c r="R810" s="63"/>
      <c r="S810" s="63"/>
      <c r="T810" s="63"/>
      <c r="U810" s="63"/>
      <c r="V810" s="63"/>
      <c r="W810" s="63"/>
      <c r="X810" s="63"/>
      <c r="Y810" s="63"/>
      <c r="Z810" s="63"/>
      <c r="AA810" s="63"/>
      <c r="AB810" s="63"/>
      <c r="AC810" s="63"/>
    </row>
    <row r="811" spans="2:29">
      <c r="B811" s="71"/>
      <c r="C811" s="71"/>
      <c r="D811" s="71"/>
      <c r="E811" s="71"/>
      <c r="F811" s="71"/>
      <c r="G811" s="71"/>
      <c r="H811" s="71"/>
      <c r="I811" s="71"/>
      <c r="J811" s="71"/>
      <c r="K811" s="71"/>
      <c r="L811" s="71"/>
      <c r="M811" s="71"/>
      <c r="N811" s="71"/>
      <c r="O811" s="71"/>
      <c r="P811" s="61"/>
      <c r="Q811" s="62"/>
      <c r="R811" s="63"/>
      <c r="S811" s="63"/>
      <c r="T811" s="63"/>
      <c r="U811" s="63"/>
      <c r="V811" s="63"/>
      <c r="W811" s="63"/>
      <c r="X811" s="63"/>
      <c r="Y811" s="63"/>
      <c r="Z811" s="63"/>
      <c r="AA811" s="63"/>
      <c r="AB811" s="63"/>
      <c r="AC811" s="63"/>
    </row>
    <row r="812" spans="2:29">
      <c r="B812" s="71"/>
      <c r="C812" s="71"/>
      <c r="D812" s="71"/>
      <c r="E812" s="71"/>
      <c r="F812" s="71"/>
      <c r="G812" s="71"/>
      <c r="H812" s="71"/>
      <c r="I812" s="71"/>
      <c r="J812" s="71"/>
      <c r="K812" s="71"/>
      <c r="L812" s="71"/>
      <c r="M812" s="71"/>
      <c r="N812" s="71"/>
      <c r="O812" s="71"/>
      <c r="P812" s="61"/>
      <c r="Q812" s="62"/>
      <c r="R812" s="63"/>
      <c r="S812" s="63"/>
      <c r="T812" s="63"/>
      <c r="U812" s="63"/>
      <c r="V812" s="63"/>
      <c r="W812" s="63"/>
      <c r="X812" s="63"/>
      <c r="Y812" s="63"/>
      <c r="Z812" s="63"/>
      <c r="AA812" s="63"/>
      <c r="AB812" s="63"/>
      <c r="AC812" s="63"/>
    </row>
    <row r="813" spans="2:29">
      <c r="B813" s="71"/>
      <c r="C813" s="71"/>
      <c r="D813" s="71"/>
      <c r="E813" s="71"/>
      <c r="F813" s="71"/>
      <c r="G813" s="71"/>
      <c r="H813" s="71"/>
      <c r="I813" s="71"/>
      <c r="J813" s="71"/>
      <c r="K813" s="71"/>
      <c r="L813" s="71"/>
      <c r="M813" s="71"/>
      <c r="N813" s="71"/>
      <c r="O813" s="71"/>
      <c r="P813" s="61"/>
      <c r="Q813" s="62"/>
      <c r="R813" s="63"/>
      <c r="S813" s="63"/>
      <c r="T813" s="63"/>
      <c r="U813" s="63"/>
      <c r="V813" s="63"/>
      <c r="W813" s="63"/>
      <c r="X813" s="63"/>
      <c r="Y813" s="63"/>
      <c r="Z813" s="63"/>
      <c r="AA813" s="63"/>
      <c r="AB813" s="63"/>
      <c r="AC813" s="63"/>
    </row>
    <row r="814" spans="2:29">
      <c r="B814" s="71"/>
      <c r="C814" s="71"/>
      <c r="D814" s="71"/>
      <c r="E814" s="71"/>
      <c r="F814" s="71"/>
      <c r="G814" s="71"/>
      <c r="H814" s="71"/>
      <c r="I814" s="71"/>
      <c r="J814" s="71"/>
      <c r="K814" s="71"/>
      <c r="L814" s="71"/>
      <c r="M814" s="71"/>
      <c r="N814" s="71"/>
      <c r="O814" s="71"/>
      <c r="P814" s="61"/>
      <c r="Q814" s="62"/>
      <c r="R814" s="63"/>
      <c r="S814" s="63"/>
      <c r="T814" s="63"/>
      <c r="U814" s="63"/>
      <c r="V814" s="63"/>
      <c r="W814" s="63"/>
      <c r="X814" s="63"/>
      <c r="Y814" s="63"/>
      <c r="Z814" s="63"/>
      <c r="AA814" s="63"/>
      <c r="AB814" s="63"/>
      <c r="AC814" s="63"/>
    </row>
    <row r="815" spans="2:29">
      <c r="B815" s="71"/>
      <c r="C815" s="71"/>
      <c r="D815" s="71"/>
      <c r="E815" s="71"/>
      <c r="F815" s="71"/>
      <c r="G815" s="71"/>
      <c r="H815" s="71"/>
      <c r="I815" s="71"/>
      <c r="J815" s="71"/>
      <c r="K815" s="71"/>
      <c r="L815" s="71"/>
      <c r="M815" s="71"/>
      <c r="N815" s="71"/>
      <c r="O815" s="71"/>
      <c r="P815" s="61"/>
      <c r="Q815" s="62"/>
      <c r="R815" s="63"/>
      <c r="S815" s="63"/>
      <c r="T815" s="63"/>
      <c r="U815" s="63"/>
      <c r="V815" s="63"/>
      <c r="W815" s="63"/>
      <c r="X815" s="63"/>
      <c r="Y815" s="63"/>
      <c r="Z815" s="63"/>
      <c r="AA815" s="63"/>
      <c r="AB815" s="63"/>
      <c r="AC815" s="63"/>
    </row>
    <row r="816" spans="2:29">
      <c r="B816" s="71"/>
      <c r="C816" s="71"/>
      <c r="D816" s="71"/>
      <c r="E816" s="71"/>
      <c r="F816" s="71"/>
      <c r="G816" s="71"/>
      <c r="H816" s="71"/>
      <c r="I816" s="71"/>
      <c r="J816" s="71"/>
      <c r="K816" s="71"/>
      <c r="L816" s="71"/>
      <c r="M816" s="71"/>
      <c r="N816" s="71"/>
      <c r="O816" s="71"/>
      <c r="P816" s="61"/>
      <c r="Q816" s="62"/>
      <c r="R816" s="63"/>
      <c r="S816" s="63"/>
      <c r="T816" s="63"/>
      <c r="U816" s="63"/>
      <c r="V816" s="63"/>
      <c r="W816" s="63"/>
      <c r="X816" s="63"/>
      <c r="Y816" s="63"/>
      <c r="Z816" s="63"/>
      <c r="AA816" s="63"/>
      <c r="AB816" s="63"/>
      <c r="AC816" s="63"/>
    </row>
    <row r="817" spans="2:29">
      <c r="B817" s="71"/>
      <c r="C817" s="71"/>
      <c r="D817" s="71"/>
      <c r="E817" s="71"/>
      <c r="F817" s="71"/>
      <c r="G817" s="71"/>
      <c r="H817" s="71"/>
      <c r="I817" s="71"/>
      <c r="J817" s="71"/>
      <c r="K817" s="71"/>
      <c r="L817" s="71"/>
      <c r="M817" s="71"/>
      <c r="N817" s="71"/>
      <c r="O817" s="71"/>
      <c r="P817" s="61"/>
      <c r="Q817" s="62"/>
      <c r="R817" s="63"/>
      <c r="S817" s="63"/>
      <c r="T817" s="63"/>
      <c r="U817" s="63"/>
      <c r="V817" s="63"/>
      <c r="W817" s="63"/>
      <c r="X817" s="63"/>
      <c r="Y817" s="63"/>
      <c r="Z817" s="63"/>
      <c r="AA817" s="63"/>
      <c r="AB817" s="63"/>
      <c r="AC817" s="63"/>
    </row>
    <row r="818" spans="2:29">
      <c r="B818" s="71"/>
      <c r="C818" s="71"/>
      <c r="D818" s="71"/>
      <c r="E818" s="71"/>
      <c r="F818" s="71"/>
      <c r="G818" s="71"/>
      <c r="H818" s="71"/>
      <c r="I818" s="71"/>
      <c r="J818" s="71"/>
      <c r="K818" s="71"/>
      <c r="L818" s="71"/>
      <c r="M818" s="71"/>
      <c r="N818" s="71"/>
      <c r="O818" s="71"/>
      <c r="P818" s="61"/>
      <c r="Q818" s="62"/>
      <c r="R818" s="63"/>
      <c r="S818" s="63"/>
      <c r="T818" s="63"/>
      <c r="U818" s="63"/>
      <c r="V818" s="63"/>
      <c r="W818" s="63"/>
      <c r="X818" s="63"/>
      <c r="Y818" s="63"/>
      <c r="Z818" s="63"/>
      <c r="AA818" s="63"/>
      <c r="AB818" s="63"/>
      <c r="AC818" s="63"/>
    </row>
    <row r="819" spans="2:29">
      <c r="B819" s="71"/>
      <c r="C819" s="71"/>
      <c r="D819" s="71"/>
      <c r="E819" s="71"/>
      <c r="F819" s="71"/>
      <c r="G819" s="71"/>
      <c r="H819" s="71"/>
      <c r="I819" s="71"/>
      <c r="J819" s="71"/>
      <c r="K819" s="71"/>
      <c r="L819" s="71"/>
      <c r="M819" s="71"/>
      <c r="N819" s="71"/>
      <c r="O819" s="71"/>
      <c r="P819" s="61"/>
      <c r="Q819" s="62"/>
      <c r="R819" s="63"/>
      <c r="S819" s="63"/>
      <c r="T819" s="63"/>
      <c r="U819" s="63"/>
      <c r="V819" s="63"/>
      <c r="W819" s="63"/>
      <c r="X819" s="63"/>
      <c r="Y819" s="63"/>
      <c r="Z819" s="63"/>
      <c r="AA819" s="63"/>
      <c r="AB819" s="63"/>
      <c r="AC819" s="63"/>
    </row>
    <row r="820" spans="2:29">
      <c r="B820" s="71"/>
      <c r="C820" s="71"/>
      <c r="D820" s="71"/>
      <c r="E820" s="71"/>
      <c r="F820" s="71"/>
      <c r="G820" s="71"/>
      <c r="H820" s="71"/>
      <c r="I820" s="71"/>
      <c r="J820" s="71"/>
      <c r="K820" s="71"/>
      <c r="L820" s="71"/>
      <c r="M820" s="71"/>
      <c r="N820" s="71"/>
      <c r="O820" s="71"/>
      <c r="P820" s="61"/>
      <c r="Q820" s="62"/>
      <c r="R820" s="63"/>
      <c r="S820" s="63"/>
      <c r="T820" s="63"/>
      <c r="U820" s="63"/>
      <c r="V820" s="63"/>
      <c r="W820" s="63"/>
      <c r="X820" s="63"/>
      <c r="Y820" s="63"/>
      <c r="Z820" s="63"/>
      <c r="AA820" s="63"/>
      <c r="AB820" s="63"/>
      <c r="AC820" s="63"/>
    </row>
    <row r="821" spans="2:29">
      <c r="B821" s="71"/>
      <c r="C821" s="71"/>
      <c r="D821" s="71"/>
      <c r="E821" s="71"/>
      <c r="F821" s="71"/>
      <c r="G821" s="71"/>
      <c r="H821" s="71"/>
      <c r="I821" s="71"/>
      <c r="J821" s="71"/>
      <c r="K821" s="71"/>
      <c r="L821" s="71"/>
      <c r="M821" s="71"/>
      <c r="N821" s="71"/>
      <c r="O821" s="71"/>
      <c r="P821" s="61"/>
      <c r="Q821" s="62"/>
      <c r="R821" s="63"/>
      <c r="S821" s="63"/>
      <c r="T821" s="63"/>
      <c r="U821" s="63"/>
      <c r="V821" s="63"/>
      <c r="W821" s="63"/>
      <c r="X821" s="63"/>
      <c r="Y821" s="63"/>
      <c r="Z821" s="63"/>
      <c r="AA821" s="63"/>
      <c r="AB821" s="63"/>
      <c r="AC821" s="63"/>
    </row>
    <row r="822" spans="2:29">
      <c r="B822" s="71"/>
      <c r="C822" s="71"/>
      <c r="D822" s="71"/>
      <c r="E822" s="71"/>
      <c r="F822" s="71"/>
      <c r="G822" s="71"/>
      <c r="H822" s="71"/>
      <c r="I822" s="71"/>
      <c r="J822" s="71"/>
      <c r="K822" s="71"/>
      <c r="L822" s="71"/>
      <c r="M822" s="71"/>
      <c r="N822" s="71"/>
      <c r="O822" s="71"/>
      <c r="P822" s="61"/>
      <c r="Q822" s="62"/>
      <c r="R822" s="63"/>
      <c r="S822" s="63"/>
      <c r="T822" s="63"/>
      <c r="U822" s="63"/>
      <c r="V822" s="63"/>
      <c r="W822" s="63"/>
      <c r="X822" s="63"/>
      <c r="Y822" s="63"/>
      <c r="Z822" s="63"/>
      <c r="AA822" s="63"/>
      <c r="AB822" s="63"/>
      <c r="AC822" s="63"/>
    </row>
    <row r="823" spans="2:29">
      <c r="B823" s="71"/>
      <c r="C823" s="71"/>
      <c r="D823" s="71"/>
      <c r="E823" s="71"/>
      <c r="F823" s="71"/>
      <c r="G823" s="71"/>
      <c r="H823" s="71"/>
      <c r="I823" s="71"/>
      <c r="J823" s="71"/>
      <c r="K823" s="71"/>
      <c r="L823" s="71"/>
      <c r="M823" s="71"/>
      <c r="N823" s="71"/>
      <c r="O823" s="71"/>
      <c r="P823" s="61"/>
      <c r="Q823" s="62"/>
      <c r="R823" s="63"/>
      <c r="S823" s="63"/>
      <c r="T823" s="63"/>
      <c r="U823" s="63"/>
      <c r="V823" s="63"/>
      <c r="W823" s="63"/>
      <c r="X823" s="63"/>
      <c r="Y823" s="63"/>
      <c r="Z823" s="63"/>
      <c r="AA823" s="63"/>
      <c r="AB823" s="63"/>
      <c r="AC823" s="63"/>
    </row>
    <row r="824" spans="2:29">
      <c r="B824" s="71"/>
      <c r="C824" s="71"/>
      <c r="D824" s="71"/>
      <c r="E824" s="71"/>
      <c r="F824" s="71"/>
      <c r="G824" s="71"/>
      <c r="H824" s="71"/>
      <c r="I824" s="71"/>
      <c r="J824" s="71"/>
      <c r="K824" s="71"/>
      <c r="L824" s="71"/>
      <c r="M824" s="71"/>
      <c r="N824" s="71"/>
      <c r="O824" s="71"/>
      <c r="P824" s="61"/>
      <c r="Q824" s="62"/>
      <c r="R824" s="63"/>
      <c r="S824" s="63"/>
      <c r="T824" s="63"/>
      <c r="U824" s="63"/>
      <c r="V824" s="63"/>
      <c r="W824" s="63"/>
      <c r="X824" s="63"/>
      <c r="Y824" s="63"/>
      <c r="Z824" s="63"/>
      <c r="AA824" s="63"/>
      <c r="AB824" s="63"/>
      <c r="AC824" s="63"/>
    </row>
    <row r="825" spans="2:29">
      <c r="B825" s="71"/>
      <c r="C825" s="71"/>
      <c r="D825" s="71"/>
      <c r="E825" s="71"/>
      <c r="F825" s="71"/>
      <c r="G825" s="71"/>
      <c r="H825" s="71"/>
      <c r="I825" s="71"/>
      <c r="J825" s="71"/>
      <c r="K825" s="71"/>
      <c r="L825" s="71"/>
      <c r="M825" s="71"/>
      <c r="N825" s="71"/>
      <c r="O825" s="71"/>
      <c r="P825" s="61"/>
      <c r="Q825" s="62"/>
      <c r="R825" s="63"/>
      <c r="S825" s="63"/>
      <c r="T825" s="63"/>
      <c r="U825" s="63"/>
      <c r="V825" s="63"/>
      <c r="W825" s="63"/>
      <c r="X825" s="63"/>
      <c r="Y825" s="63"/>
      <c r="Z825" s="63"/>
      <c r="AA825" s="63"/>
      <c r="AB825" s="63"/>
      <c r="AC825" s="63"/>
    </row>
    <row r="826" spans="2:29">
      <c r="B826" s="71"/>
      <c r="C826" s="71"/>
      <c r="D826" s="71"/>
      <c r="E826" s="71"/>
      <c r="F826" s="71"/>
      <c r="G826" s="71"/>
      <c r="H826" s="71"/>
      <c r="I826" s="71"/>
      <c r="J826" s="71"/>
      <c r="K826" s="71"/>
      <c r="L826" s="71"/>
      <c r="M826" s="71"/>
      <c r="N826" s="71"/>
      <c r="O826" s="71"/>
      <c r="P826" s="61"/>
      <c r="Q826" s="62"/>
      <c r="R826" s="63"/>
      <c r="S826" s="63"/>
      <c r="T826" s="63"/>
      <c r="U826" s="63"/>
      <c r="V826" s="63"/>
      <c r="W826" s="63"/>
      <c r="X826" s="63"/>
      <c r="Y826" s="63"/>
      <c r="Z826" s="63"/>
      <c r="AA826" s="63"/>
      <c r="AB826" s="63"/>
      <c r="AC826" s="63"/>
    </row>
    <row r="827" spans="2:29">
      <c r="B827" s="71"/>
      <c r="C827" s="71"/>
      <c r="D827" s="71"/>
      <c r="E827" s="71"/>
      <c r="F827" s="71"/>
      <c r="G827" s="71"/>
      <c r="H827" s="71"/>
      <c r="I827" s="71"/>
      <c r="J827" s="71"/>
      <c r="K827" s="71"/>
      <c r="L827" s="71"/>
      <c r="M827" s="71"/>
      <c r="N827" s="71"/>
      <c r="O827" s="71"/>
      <c r="P827" s="61"/>
      <c r="Q827" s="62"/>
      <c r="R827" s="63"/>
      <c r="S827" s="63"/>
      <c r="T827" s="63"/>
      <c r="U827" s="63"/>
      <c r="V827" s="63"/>
      <c r="W827" s="63"/>
      <c r="X827" s="63"/>
      <c r="Y827" s="63"/>
      <c r="Z827" s="63"/>
      <c r="AA827" s="63"/>
      <c r="AB827" s="63"/>
      <c r="AC827" s="63"/>
    </row>
    <row r="828" spans="2:29">
      <c r="B828" s="71"/>
      <c r="C828" s="71"/>
      <c r="D828" s="71"/>
      <c r="E828" s="71"/>
      <c r="F828" s="71"/>
      <c r="G828" s="71"/>
      <c r="H828" s="71"/>
      <c r="I828" s="71"/>
      <c r="J828" s="71"/>
      <c r="K828" s="71"/>
      <c r="L828" s="71"/>
      <c r="M828" s="71"/>
      <c r="N828" s="71"/>
      <c r="O828" s="71"/>
      <c r="P828" s="61"/>
      <c r="Q828" s="62"/>
      <c r="R828" s="63"/>
      <c r="S828" s="63"/>
      <c r="T828" s="63"/>
      <c r="U828" s="63"/>
      <c r="V828" s="63"/>
      <c r="W828" s="63"/>
      <c r="X828" s="63"/>
      <c r="Y828" s="63"/>
      <c r="Z828" s="63"/>
      <c r="AA828" s="63"/>
      <c r="AB828" s="63"/>
      <c r="AC828" s="63"/>
    </row>
    <row r="829" spans="2:29">
      <c r="B829" s="71"/>
      <c r="C829" s="71"/>
      <c r="D829" s="71"/>
      <c r="E829" s="71"/>
      <c r="F829" s="71"/>
      <c r="G829" s="71"/>
      <c r="H829" s="71"/>
      <c r="I829" s="71"/>
      <c r="J829" s="71"/>
      <c r="K829" s="71"/>
      <c r="L829" s="71"/>
      <c r="M829" s="71"/>
      <c r="N829" s="71"/>
      <c r="O829" s="71"/>
      <c r="P829" s="61"/>
      <c r="Q829" s="62"/>
      <c r="R829" s="63"/>
      <c r="S829" s="63"/>
      <c r="T829" s="63"/>
      <c r="U829" s="63"/>
      <c r="V829" s="63"/>
      <c r="W829" s="63"/>
      <c r="X829" s="63"/>
      <c r="Y829" s="63"/>
      <c r="Z829" s="63"/>
      <c r="AA829" s="63"/>
      <c r="AB829" s="63"/>
      <c r="AC829" s="63"/>
    </row>
    <row r="830" spans="2:29">
      <c r="B830" s="71"/>
      <c r="C830" s="71"/>
      <c r="D830" s="71"/>
      <c r="E830" s="71"/>
      <c r="F830" s="71"/>
      <c r="G830" s="71"/>
      <c r="H830" s="71"/>
      <c r="I830" s="71"/>
      <c r="J830" s="71"/>
      <c r="K830" s="71"/>
      <c r="L830" s="71"/>
      <c r="M830" s="71"/>
      <c r="N830" s="71"/>
      <c r="O830" s="71"/>
      <c r="P830" s="61"/>
      <c r="Q830" s="62"/>
      <c r="R830" s="63"/>
      <c r="S830" s="63"/>
      <c r="T830" s="63"/>
      <c r="U830" s="63"/>
      <c r="V830" s="63"/>
      <c r="W830" s="63"/>
      <c r="X830" s="63"/>
      <c r="Y830" s="63"/>
      <c r="Z830" s="63"/>
      <c r="AA830" s="63"/>
      <c r="AB830" s="63"/>
      <c r="AC830" s="63"/>
    </row>
    <row r="831" spans="2:29">
      <c r="B831" s="71"/>
      <c r="C831" s="71"/>
      <c r="D831" s="71"/>
      <c r="E831" s="71"/>
      <c r="F831" s="71"/>
      <c r="G831" s="71"/>
      <c r="H831" s="71"/>
      <c r="I831" s="71"/>
      <c r="J831" s="71"/>
      <c r="K831" s="71"/>
      <c r="L831" s="71"/>
      <c r="M831" s="71"/>
      <c r="N831" s="71"/>
      <c r="O831" s="71"/>
      <c r="P831" s="61"/>
      <c r="Q831" s="62"/>
      <c r="R831" s="63"/>
      <c r="S831" s="63"/>
      <c r="T831" s="63"/>
      <c r="U831" s="63"/>
      <c r="V831" s="63"/>
      <c r="W831" s="63"/>
      <c r="X831" s="63"/>
      <c r="Y831" s="63"/>
      <c r="Z831" s="63"/>
      <c r="AA831" s="63"/>
      <c r="AB831" s="63"/>
      <c r="AC831" s="63"/>
    </row>
    <row r="832" spans="2:29">
      <c r="B832" s="71"/>
      <c r="C832" s="71"/>
      <c r="D832" s="71"/>
      <c r="E832" s="71"/>
      <c r="F832" s="71"/>
      <c r="G832" s="71"/>
      <c r="H832" s="71"/>
      <c r="I832" s="71"/>
      <c r="J832" s="71"/>
      <c r="K832" s="71"/>
      <c r="L832" s="71"/>
      <c r="M832" s="71"/>
      <c r="N832" s="71"/>
      <c r="O832" s="71"/>
      <c r="P832" s="61"/>
      <c r="Q832" s="62"/>
      <c r="R832" s="63"/>
      <c r="S832" s="63"/>
      <c r="T832" s="63"/>
      <c r="U832" s="63"/>
      <c r="V832" s="63"/>
      <c r="W832" s="63"/>
      <c r="X832" s="63"/>
      <c r="Y832" s="63"/>
      <c r="Z832" s="63"/>
      <c r="AA832" s="63"/>
      <c r="AB832" s="63"/>
      <c r="AC832" s="63"/>
    </row>
    <row r="833" spans="2:29">
      <c r="B833" s="71"/>
      <c r="C833" s="71"/>
      <c r="D833" s="71"/>
      <c r="E833" s="71"/>
      <c r="F833" s="71"/>
      <c r="G833" s="71"/>
      <c r="H833" s="71"/>
      <c r="I833" s="71"/>
      <c r="J833" s="71"/>
      <c r="K833" s="71"/>
      <c r="L833" s="71"/>
      <c r="M833" s="71"/>
      <c r="N833" s="71"/>
      <c r="O833" s="71"/>
      <c r="P833" s="61"/>
      <c r="Q833" s="62"/>
      <c r="R833" s="63"/>
      <c r="S833" s="63"/>
      <c r="T833" s="63"/>
      <c r="U833" s="63"/>
      <c r="V833" s="63"/>
      <c r="W833" s="63"/>
      <c r="X833" s="63"/>
      <c r="Y833" s="63"/>
      <c r="Z833" s="63"/>
      <c r="AA833" s="63"/>
      <c r="AB833" s="63"/>
      <c r="AC833" s="63"/>
    </row>
    <row r="834" spans="2:29">
      <c r="B834" s="71"/>
      <c r="C834" s="71"/>
      <c r="D834" s="71"/>
      <c r="E834" s="71"/>
      <c r="F834" s="71"/>
      <c r="G834" s="71"/>
      <c r="H834" s="71"/>
      <c r="I834" s="71"/>
      <c r="J834" s="71"/>
      <c r="K834" s="71"/>
      <c r="L834" s="71"/>
      <c r="M834" s="71"/>
      <c r="N834" s="71"/>
      <c r="O834" s="71"/>
      <c r="P834" s="61"/>
      <c r="Q834" s="62"/>
      <c r="R834" s="63"/>
      <c r="S834" s="63"/>
      <c r="T834" s="63"/>
      <c r="U834" s="63"/>
      <c r="V834" s="63"/>
      <c r="W834" s="63"/>
      <c r="X834" s="63"/>
      <c r="Y834" s="63"/>
      <c r="Z834" s="63"/>
      <c r="AA834" s="63"/>
      <c r="AB834" s="63"/>
      <c r="AC834" s="63"/>
    </row>
    <row r="835" spans="2:29">
      <c r="B835" s="71"/>
      <c r="C835" s="71"/>
      <c r="D835" s="71"/>
      <c r="E835" s="71"/>
      <c r="F835" s="71"/>
      <c r="G835" s="71"/>
      <c r="H835" s="71"/>
      <c r="I835" s="71"/>
      <c r="J835" s="71"/>
      <c r="K835" s="71"/>
      <c r="L835" s="71"/>
      <c r="M835" s="71"/>
      <c r="N835" s="71"/>
      <c r="O835" s="71"/>
      <c r="P835" s="61"/>
      <c r="Q835" s="62"/>
      <c r="R835" s="63"/>
      <c r="S835" s="63"/>
      <c r="T835" s="63"/>
      <c r="U835" s="63"/>
      <c r="V835" s="63"/>
      <c r="W835" s="63"/>
      <c r="X835" s="63"/>
      <c r="Y835" s="63"/>
      <c r="Z835" s="63"/>
      <c r="AA835" s="63"/>
      <c r="AB835" s="63"/>
      <c r="AC835" s="63"/>
    </row>
    <row r="836" spans="2:29">
      <c r="B836" s="71"/>
      <c r="C836" s="71"/>
      <c r="D836" s="71"/>
      <c r="E836" s="71"/>
      <c r="F836" s="71"/>
      <c r="G836" s="71"/>
      <c r="H836" s="71"/>
      <c r="I836" s="71"/>
      <c r="J836" s="71"/>
      <c r="K836" s="71"/>
      <c r="L836" s="71"/>
      <c r="M836" s="71"/>
      <c r="N836" s="71"/>
      <c r="O836" s="71"/>
      <c r="P836" s="61"/>
      <c r="Q836" s="62"/>
      <c r="R836" s="63"/>
      <c r="S836" s="63"/>
      <c r="T836" s="63"/>
      <c r="U836" s="63"/>
      <c r="V836" s="63"/>
      <c r="W836" s="63"/>
      <c r="X836" s="63"/>
      <c r="Y836" s="63"/>
      <c r="Z836" s="63"/>
      <c r="AA836" s="63"/>
      <c r="AB836" s="63"/>
      <c r="AC836" s="63"/>
    </row>
    <row r="837" spans="2:29">
      <c r="B837" s="71"/>
      <c r="C837" s="71"/>
      <c r="D837" s="71"/>
      <c r="E837" s="71"/>
      <c r="F837" s="71"/>
      <c r="G837" s="71"/>
      <c r="H837" s="71"/>
      <c r="I837" s="71"/>
      <c r="J837" s="71"/>
      <c r="K837" s="71"/>
      <c r="L837" s="71"/>
      <c r="M837" s="71"/>
      <c r="N837" s="71"/>
      <c r="O837" s="71"/>
      <c r="P837" s="61"/>
      <c r="Q837" s="62"/>
      <c r="R837" s="63"/>
      <c r="S837" s="63"/>
      <c r="T837" s="63"/>
      <c r="U837" s="63"/>
      <c r="V837" s="63"/>
      <c r="W837" s="63"/>
      <c r="X837" s="63"/>
      <c r="Y837" s="63"/>
      <c r="Z837" s="63"/>
      <c r="AA837" s="63"/>
      <c r="AB837" s="63"/>
      <c r="AC837" s="63"/>
    </row>
    <row r="838" spans="2:29">
      <c r="B838" s="71"/>
      <c r="C838" s="71"/>
      <c r="D838" s="71"/>
      <c r="E838" s="71"/>
      <c r="F838" s="71"/>
      <c r="G838" s="71"/>
      <c r="H838" s="71"/>
      <c r="I838" s="71"/>
      <c r="J838" s="71"/>
      <c r="K838" s="71"/>
      <c r="L838" s="71"/>
      <c r="M838" s="71"/>
      <c r="N838" s="71"/>
      <c r="O838" s="71"/>
      <c r="P838" s="61"/>
      <c r="Q838" s="62"/>
      <c r="R838" s="63"/>
      <c r="S838" s="63"/>
      <c r="T838" s="63"/>
      <c r="U838" s="63"/>
      <c r="V838" s="63"/>
      <c r="W838" s="63"/>
      <c r="X838" s="63"/>
      <c r="Y838" s="63"/>
      <c r="Z838" s="63"/>
      <c r="AA838" s="63"/>
      <c r="AB838" s="63"/>
      <c r="AC838" s="63"/>
    </row>
    <row r="839" spans="2:29">
      <c r="B839" s="71"/>
      <c r="C839" s="71"/>
      <c r="D839" s="71"/>
      <c r="E839" s="71"/>
      <c r="F839" s="71"/>
      <c r="G839" s="71"/>
      <c r="H839" s="71"/>
      <c r="I839" s="71"/>
      <c r="J839" s="71"/>
      <c r="K839" s="71"/>
      <c r="L839" s="71"/>
      <c r="M839" s="71"/>
      <c r="N839" s="71"/>
      <c r="O839" s="71"/>
      <c r="P839" s="61"/>
      <c r="Q839" s="62"/>
      <c r="R839" s="63"/>
      <c r="S839" s="63"/>
      <c r="T839" s="63"/>
      <c r="U839" s="63"/>
      <c r="V839" s="63"/>
      <c r="W839" s="63"/>
      <c r="X839" s="63"/>
      <c r="Y839" s="63"/>
      <c r="Z839" s="63"/>
      <c r="AA839" s="63"/>
      <c r="AB839" s="63"/>
      <c r="AC839" s="63"/>
    </row>
    <row r="840" spans="2:29">
      <c r="B840" s="71"/>
      <c r="C840" s="71"/>
      <c r="D840" s="71"/>
      <c r="E840" s="71"/>
      <c r="F840" s="71"/>
      <c r="G840" s="71"/>
      <c r="H840" s="71"/>
      <c r="I840" s="71"/>
      <c r="J840" s="71"/>
      <c r="K840" s="71"/>
      <c r="L840" s="71"/>
      <c r="M840" s="71"/>
      <c r="N840" s="71"/>
      <c r="O840" s="71"/>
      <c r="P840" s="61"/>
      <c r="Q840" s="62"/>
      <c r="R840" s="63"/>
      <c r="S840" s="63"/>
      <c r="T840" s="63"/>
      <c r="U840" s="63"/>
      <c r="V840" s="63"/>
      <c r="W840" s="63"/>
      <c r="X840" s="63"/>
      <c r="Y840" s="63"/>
      <c r="Z840" s="63"/>
      <c r="AA840" s="63"/>
      <c r="AB840" s="63"/>
      <c r="AC840" s="63"/>
    </row>
    <row r="841" spans="2:29">
      <c r="B841" s="71"/>
      <c r="C841" s="71"/>
      <c r="D841" s="71"/>
      <c r="E841" s="71"/>
      <c r="F841" s="71"/>
      <c r="G841" s="71"/>
      <c r="H841" s="71"/>
      <c r="I841" s="71"/>
      <c r="J841" s="71"/>
      <c r="K841" s="71"/>
      <c r="L841" s="71"/>
      <c r="M841" s="71"/>
      <c r="N841" s="71"/>
      <c r="O841" s="71"/>
      <c r="P841" s="61"/>
      <c r="Q841" s="62"/>
      <c r="R841" s="63"/>
      <c r="S841" s="63"/>
      <c r="T841" s="63"/>
      <c r="U841" s="63"/>
      <c r="V841" s="63"/>
      <c r="W841" s="63"/>
      <c r="X841" s="63"/>
      <c r="Y841" s="63"/>
      <c r="Z841" s="63"/>
      <c r="AA841" s="63"/>
      <c r="AB841" s="63"/>
      <c r="AC841" s="63"/>
    </row>
    <row r="842" spans="2:29">
      <c r="B842" s="71"/>
      <c r="C842" s="71"/>
      <c r="D842" s="71"/>
      <c r="E842" s="71"/>
      <c r="F842" s="71"/>
      <c r="G842" s="71"/>
      <c r="H842" s="71"/>
      <c r="I842" s="71"/>
      <c r="J842" s="71"/>
      <c r="K842" s="71"/>
      <c r="L842" s="71"/>
      <c r="M842" s="71"/>
      <c r="N842" s="71"/>
      <c r="O842" s="71"/>
      <c r="P842" s="61"/>
      <c r="Q842" s="62"/>
      <c r="R842" s="63"/>
      <c r="S842" s="63"/>
      <c r="T842" s="63"/>
      <c r="U842" s="63"/>
      <c r="V842" s="63"/>
      <c r="W842" s="63"/>
      <c r="X842" s="63"/>
      <c r="Y842" s="63"/>
      <c r="Z842" s="63"/>
      <c r="AA842" s="63"/>
      <c r="AB842" s="63"/>
      <c r="AC842" s="63"/>
    </row>
    <row r="843" spans="2:29">
      <c r="B843" s="71"/>
      <c r="C843" s="71"/>
      <c r="D843" s="71"/>
      <c r="E843" s="71"/>
      <c r="F843" s="71"/>
      <c r="G843" s="71"/>
      <c r="H843" s="71"/>
      <c r="I843" s="71"/>
      <c r="J843" s="71"/>
      <c r="K843" s="71"/>
      <c r="L843" s="71"/>
      <c r="M843" s="71"/>
      <c r="N843" s="71"/>
      <c r="O843" s="71"/>
      <c r="P843" s="61"/>
      <c r="Q843" s="62"/>
      <c r="R843" s="63"/>
      <c r="S843" s="63"/>
      <c r="T843" s="63"/>
      <c r="U843" s="63"/>
      <c r="V843" s="63"/>
      <c r="W843" s="63"/>
      <c r="X843" s="63"/>
      <c r="Y843" s="63"/>
      <c r="Z843" s="63"/>
      <c r="AA843" s="63"/>
      <c r="AB843" s="63"/>
      <c r="AC843" s="63"/>
    </row>
    <row r="844" spans="2:29">
      <c r="B844" s="71"/>
      <c r="C844" s="71"/>
      <c r="D844" s="71"/>
      <c r="E844" s="71"/>
      <c r="F844" s="71"/>
      <c r="G844" s="71"/>
      <c r="H844" s="71"/>
      <c r="I844" s="71"/>
      <c r="J844" s="71"/>
      <c r="K844" s="71"/>
      <c r="L844" s="71"/>
      <c r="M844" s="71"/>
      <c r="N844" s="71"/>
      <c r="O844" s="71"/>
      <c r="P844" s="61"/>
      <c r="Q844" s="62"/>
      <c r="R844" s="63"/>
      <c r="S844" s="63"/>
      <c r="T844" s="63"/>
      <c r="U844" s="63"/>
      <c r="V844" s="63"/>
      <c r="W844" s="63"/>
      <c r="X844" s="63"/>
      <c r="Y844" s="63"/>
      <c r="Z844" s="63"/>
      <c r="AA844" s="63"/>
      <c r="AB844" s="63"/>
      <c r="AC844" s="63"/>
    </row>
    <row r="845" spans="2:29">
      <c r="B845" s="71"/>
      <c r="C845" s="71"/>
      <c r="D845" s="71"/>
      <c r="E845" s="71"/>
      <c r="F845" s="71"/>
      <c r="G845" s="71"/>
      <c r="H845" s="71"/>
      <c r="I845" s="71"/>
      <c r="J845" s="71"/>
      <c r="K845" s="71"/>
      <c r="L845" s="71"/>
      <c r="M845" s="71"/>
      <c r="N845" s="71"/>
      <c r="O845" s="71"/>
      <c r="P845" s="61"/>
      <c r="Q845" s="62"/>
      <c r="R845" s="63"/>
      <c r="S845" s="63"/>
      <c r="T845" s="63"/>
      <c r="U845" s="63"/>
      <c r="V845" s="63"/>
      <c r="W845" s="63"/>
      <c r="X845" s="63"/>
      <c r="Y845" s="63"/>
      <c r="Z845" s="63"/>
      <c r="AA845" s="63"/>
      <c r="AB845" s="63"/>
      <c r="AC845" s="63"/>
    </row>
    <row r="846" spans="2:29">
      <c r="B846" s="71"/>
      <c r="C846" s="71"/>
      <c r="D846" s="71"/>
      <c r="E846" s="71"/>
      <c r="F846" s="71"/>
      <c r="G846" s="71"/>
      <c r="H846" s="71"/>
      <c r="I846" s="71"/>
      <c r="J846" s="71"/>
      <c r="K846" s="71"/>
      <c r="L846" s="71"/>
      <c r="M846" s="71"/>
      <c r="N846" s="71"/>
      <c r="O846" s="71"/>
      <c r="P846" s="61"/>
      <c r="Q846" s="62"/>
      <c r="R846" s="63"/>
      <c r="S846" s="63"/>
      <c r="T846" s="63"/>
      <c r="U846" s="63"/>
      <c r="V846" s="63"/>
      <c r="W846" s="63"/>
      <c r="X846" s="63"/>
      <c r="Y846" s="63"/>
      <c r="Z846" s="63"/>
      <c r="AA846" s="63"/>
      <c r="AB846" s="63"/>
      <c r="AC846" s="63"/>
    </row>
    <row r="847" spans="2:29">
      <c r="B847" s="71"/>
      <c r="C847" s="71"/>
      <c r="D847" s="71"/>
      <c r="E847" s="71"/>
      <c r="F847" s="71"/>
      <c r="G847" s="71"/>
      <c r="H847" s="71"/>
      <c r="I847" s="71"/>
      <c r="J847" s="71"/>
      <c r="K847" s="71"/>
      <c r="L847" s="71"/>
      <c r="M847" s="71"/>
      <c r="N847" s="71"/>
      <c r="O847" s="71"/>
      <c r="P847" s="61"/>
      <c r="Q847" s="62"/>
      <c r="R847" s="63"/>
      <c r="S847" s="63"/>
      <c r="T847" s="63"/>
      <c r="U847" s="63"/>
      <c r="V847" s="63"/>
      <c r="W847" s="63"/>
      <c r="X847" s="63"/>
      <c r="Y847" s="63"/>
      <c r="Z847" s="63"/>
      <c r="AA847" s="63"/>
      <c r="AB847" s="63"/>
      <c r="AC847" s="63"/>
    </row>
    <row r="848" spans="2:29">
      <c r="B848" s="71"/>
      <c r="C848" s="71"/>
      <c r="D848" s="71"/>
      <c r="E848" s="71"/>
      <c r="F848" s="71"/>
      <c r="G848" s="71"/>
      <c r="H848" s="71"/>
      <c r="I848" s="71"/>
      <c r="J848" s="71"/>
      <c r="K848" s="71"/>
      <c r="L848" s="71"/>
      <c r="M848" s="71"/>
      <c r="N848" s="71"/>
      <c r="O848" s="71"/>
      <c r="P848" s="61"/>
      <c r="Q848" s="62"/>
      <c r="R848" s="63"/>
      <c r="S848" s="63"/>
      <c r="T848" s="63"/>
      <c r="U848" s="63"/>
      <c r="V848" s="63"/>
      <c r="W848" s="63"/>
      <c r="X848" s="63"/>
      <c r="Y848" s="63"/>
      <c r="Z848" s="63"/>
      <c r="AA848" s="63"/>
      <c r="AB848" s="63"/>
      <c r="AC848" s="63"/>
    </row>
    <row r="849" spans="2:29">
      <c r="B849" s="71"/>
      <c r="C849" s="71"/>
      <c r="D849" s="71"/>
      <c r="E849" s="71"/>
      <c r="F849" s="71"/>
      <c r="G849" s="71"/>
      <c r="H849" s="71"/>
      <c r="I849" s="71"/>
      <c r="J849" s="71"/>
      <c r="K849" s="71"/>
      <c r="L849" s="71"/>
      <c r="M849" s="71"/>
      <c r="N849" s="71"/>
      <c r="O849" s="71"/>
      <c r="P849" s="61"/>
      <c r="Q849" s="62"/>
      <c r="R849" s="63"/>
      <c r="S849" s="63"/>
      <c r="T849" s="63"/>
      <c r="U849" s="63"/>
      <c r="V849" s="63"/>
      <c r="W849" s="63"/>
      <c r="X849" s="63"/>
      <c r="Y849" s="63"/>
      <c r="Z849" s="63"/>
      <c r="AA849" s="63"/>
      <c r="AB849" s="63"/>
      <c r="AC849" s="63"/>
    </row>
    <row r="850" spans="2:29">
      <c r="B850" s="71"/>
      <c r="C850" s="71"/>
      <c r="D850" s="71"/>
      <c r="E850" s="71"/>
      <c r="F850" s="71"/>
      <c r="G850" s="71"/>
      <c r="H850" s="71"/>
      <c r="I850" s="71"/>
      <c r="J850" s="71"/>
      <c r="K850" s="71"/>
      <c r="L850" s="71"/>
      <c r="M850" s="71"/>
      <c r="N850" s="71"/>
      <c r="O850" s="71"/>
      <c r="P850" s="61"/>
      <c r="Q850" s="62"/>
      <c r="R850" s="63"/>
      <c r="S850" s="63"/>
      <c r="T850" s="63"/>
      <c r="U850" s="63"/>
      <c r="V850" s="63"/>
      <c r="W850" s="63"/>
      <c r="X850" s="63"/>
      <c r="Y850" s="63"/>
      <c r="Z850" s="63"/>
      <c r="AA850" s="63"/>
      <c r="AB850" s="63"/>
      <c r="AC850" s="63"/>
    </row>
    <row r="851" spans="2:29">
      <c r="B851" s="71"/>
      <c r="C851" s="71"/>
      <c r="D851" s="71"/>
      <c r="E851" s="71"/>
      <c r="F851" s="71"/>
      <c r="G851" s="71"/>
      <c r="H851" s="71"/>
      <c r="I851" s="71"/>
      <c r="J851" s="71"/>
      <c r="K851" s="71"/>
      <c r="L851" s="71"/>
      <c r="M851" s="71"/>
      <c r="N851" s="71"/>
      <c r="O851" s="71"/>
      <c r="P851" s="61"/>
      <c r="Q851" s="62"/>
      <c r="R851" s="63"/>
      <c r="S851" s="63"/>
      <c r="T851" s="63"/>
      <c r="U851" s="63"/>
      <c r="V851" s="63"/>
      <c r="W851" s="63"/>
      <c r="X851" s="63"/>
      <c r="Y851" s="63"/>
      <c r="Z851" s="63"/>
      <c r="AA851" s="63"/>
      <c r="AB851" s="63"/>
      <c r="AC851" s="63"/>
    </row>
    <row r="852" spans="2:29">
      <c r="B852" s="71"/>
      <c r="C852" s="71"/>
      <c r="D852" s="71"/>
      <c r="E852" s="71"/>
      <c r="F852" s="71"/>
      <c r="G852" s="71"/>
      <c r="H852" s="71"/>
      <c r="I852" s="71"/>
      <c r="J852" s="71"/>
      <c r="K852" s="71"/>
      <c r="L852" s="71"/>
      <c r="M852" s="71"/>
      <c r="N852" s="71"/>
      <c r="O852" s="71"/>
      <c r="P852" s="61"/>
      <c r="Q852" s="62"/>
      <c r="R852" s="63"/>
      <c r="S852" s="63"/>
      <c r="T852" s="63"/>
      <c r="U852" s="63"/>
      <c r="V852" s="63"/>
      <c r="W852" s="63"/>
      <c r="X852" s="63"/>
      <c r="Y852" s="63"/>
      <c r="Z852" s="63"/>
      <c r="AA852" s="63"/>
      <c r="AB852" s="63"/>
      <c r="AC852" s="63"/>
    </row>
    <row r="853" spans="2:29">
      <c r="B853" s="71"/>
      <c r="C853" s="71"/>
      <c r="D853" s="71"/>
      <c r="E853" s="71"/>
      <c r="F853" s="71"/>
      <c r="G853" s="71"/>
      <c r="H853" s="71"/>
      <c r="I853" s="71"/>
      <c r="J853" s="71"/>
      <c r="K853" s="71"/>
      <c r="L853" s="71"/>
      <c r="M853" s="71"/>
      <c r="N853" s="71"/>
      <c r="O853" s="71"/>
      <c r="P853" s="61"/>
      <c r="Q853" s="62"/>
      <c r="R853" s="63"/>
      <c r="S853" s="63"/>
      <c r="T853" s="63"/>
      <c r="U853" s="63"/>
      <c r="V853" s="63"/>
      <c r="W853" s="63"/>
      <c r="X853" s="63"/>
      <c r="Y853" s="63"/>
      <c r="Z853" s="63"/>
      <c r="AA853" s="63"/>
      <c r="AB853" s="63"/>
      <c r="AC853" s="63"/>
    </row>
    <row r="854" spans="2:29">
      <c r="B854" s="71"/>
      <c r="C854" s="71"/>
      <c r="D854" s="71"/>
      <c r="E854" s="71"/>
      <c r="F854" s="71"/>
      <c r="G854" s="71"/>
      <c r="H854" s="71"/>
      <c r="I854" s="71"/>
      <c r="J854" s="71"/>
      <c r="K854" s="71"/>
      <c r="L854" s="71"/>
      <c r="M854" s="71"/>
      <c r="N854" s="71"/>
      <c r="O854" s="71"/>
      <c r="P854" s="61"/>
      <c r="Q854" s="62"/>
      <c r="R854" s="63"/>
      <c r="S854" s="63"/>
      <c r="T854" s="63"/>
      <c r="U854" s="63"/>
      <c r="V854" s="63"/>
      <c r="W854" s="63"/>
      <c r="X854" s="63"/>
      <c r="Y854" s="63"/>
      <c r="Z854" s="63"/>
      <c r="AA854" s="63"/>
      <c r="AB854" s="63"/>
      <c r="AC854" s="63"/>
    </row>
    <row r="855" spans="2:29">
      <c r="B855" s="71"/>
      <c r="C855" s="71"/>
      <c r="D855" s="71"/>
      <c r="E855" s="71"/>
      <c r="F855" s="71"/>
      <c r="G855" s="71"/>
      <c r="H855" s="71"/>
      <c r="I855" s="71"/>
      <c r="J855" s="71"/>
      <c r="K855" s="71"/>
      <c r="L855" s="71"/>
      <c r="M855" s="71"/>
      <c r="N855" s="71"/>
      <c r="O855" s="71"/>
      <c r="P855" s="61"/>
      <c r="Q855" s="62"/>
      <c r="R855" s="63"/>
      <c r="S855" s="63"/>
      <c r="T855" s="63"/>
      <c r="U855" s="63"/>
      <c r="V855" s="63"/>
      <c r="W855" s="63"/>
      <c r="X855" s="63"/>
      <c r="Y855" s="63"/>
      <c r="Z855" s="63"/>
      <c r="AA855" s="63"/>
      <c r="AB855" s="63"/>
      <c r="AC855" s="63"/>
    </row>
    <row r="856" spans="2:29">
      <c r="B856" s="71"/>
      <c r="C856" s="71"/>
      <c r="D856" s="71"/>
      <c r="E856" s="71"/>
      <c r="F856" s="71"/>
      <c r="G856" s="71"/>
      <c r="H856" s="71"/>
      <c r="I856" s="71"/>
      <c r="J856" s="71"/>
      <c r="K856" s="71"/>
      <c r="L856" s="71"/>
      <c r="M856" s="71"/>
      <c r="N856" s="71"/>
      <c r="O856" s="71"/>
      <c r="P856" s="61"/>
      <c r="Q856" s="62"/>
      <c r="R856" s="63"/>
      <c r="S856" s="63"/>
      <c r="T856" s="63"/>
      <c r="U856" s="63"/>
      <c r="V856" s="63"/>
      <c r="W856" s="63"/>
      <c r="X856" s="63"/>
      <c r="Y856" s="63"/>
      <c r="Z856" s="63"/>
      <c r="AA856" s="63"/>
      <c r="AB856" s="63"/>
      <c r="AC856" s="63"/>
    </row>
    <row r="857" spans="2:29">
      <c r="B857" s="71"/>
      <c r="C857" s="71"/>
      <c r="D857" s="71"/>
      <c r="E857" s="71"/>
      <c r="F857" s="71"/>
      <c r="G857" s="71"/>
      <c r="H857" s="71"/>
      <c r="I857" s="71"/>
      <c r="J857" s="71"/>
      <c r="K857" s="71"/>
      <c r="L857" s="71"/>
      <c r="M857" s="71"/>
      <c r="N857" s="71"/>
      <c r="O857" s="71"/>
      <c r="P857" s="61"/>
      <c r="Q857" s="62"/>
      <c r="R857" s="63"/>
      <c r="S857" s="63"/>
      <c r="T857" s="63"/>
      <c r="U857" s="63"/>
      <c r="V857" s="63"/>
      <c r="W857" s="63"/>
      <c r="X857" s="63"/>
      <c r="Y857" s="63"/>
      <c r="Z857" s="63"/>
      <c r="AA857" s="63"/>
      <c r="AB857" s="63"/>
      <c r="AC857" s="63"/>
    </row>
    <row r="858" spans="2:29">
      <c r="B858" s="71"/>
      <c r="C858" s="71"/>
      <c r="D858" s="71"/>
      <c r="E858" s="71"/>
      <c r="F858" s="71"/>
      <c r="G858" s="71"/>
      <c r="H858" s="71"/>
      <c r="I858" s="71"/>
      <c r="J858" s="71"/>
      <c r="K858" s="71"/>
      <c r="L858" s="71"/>
      <c r="M858" s="71"/>
      <c r="N858" s="71"/>
      <c r="O858" s="71"/>
      <c r="P858" s="61"/>
      <c r="Q858" s="62"/>
      <c r="R858" s="63"/>
      <c r="S858" s="63"/>
      <c r="T858" s="63"/>
      <c r="U858" s="63"/>
      <c r="V858" s="63"/>
      <c r="W858" s="63"/>
      <c r="X858" s="63"/>
      <c r="Y858" s="63"/>
      <c r="Z858" s="63"/>
      <c r="AA858" s="63"/>
      <c r="AB858" s="63"/>
      <c r="AC858" s="63"/>
    </row>
    <row r="859" spans="2:29">
      <c r="B859" s="71"/>
      <c r="C859" s="71"/>
      <c r="D859" s="71"/>
      <c r="E859" s="71"/>
      <c r="F859" s="71"/>
      <c r="G859" s="71"/>
      <c r="H859" s="71"/>
      <c r="I859" s="71"/>
      <c r="J859" s="71"/>
      <c r="K859" s="71"/>
      <c r="L859" s="71"/>
      <c r="M859" s="71"/>
      <c r="N859" s="71"/>
      <c r="O859" s="71"/>
      <c r="P859" s="61"/>
      <c r="Q859" s="62"/>
      <c r="R859" s="63"/>
      <c r="S859" s="63"/>
      <c r="T859" s="63"/>
      <c r="U859" s="63"/>
      <c r="V859" s="63"/>
      <c r="W859" s="63"/>
      <c r="X859" s="63"/>
      <c r="Y859" s="63"/>
      <c r="Z859" s="63"/>
      <c r="AA859" s="63"/>
      <c r="AB859" s="63"/>
      <c r="AC859" s="63"/>
    </row>
    <row r="860" spans="2:29">
      <c r="B860" s="71"/>
      <c r="C860" s="71"/>
      <c r="D860" s="71"/>
      <c r="E860" s="71"/>
      <c r="F860" s="71"/>
      <c r="G860" s="71"/>
      <c r="H860" s="71"/>
      <c r="I860" s="71"/>
      <c r="J860" s="71"/>
      <c r="K860" s="71"/>
      <c r="L860" s="71"/>
      <c r="M860" s="71"/>
      <c r="N860" s="71"/>
      <c r="O860" s="71"/>
      <c r="P860" s="61"/>
      <c r="Q860" s="62"/>
      <c r="R860" s="63"/>
      <c r="S860" s="63"/>
      <c r="T860" s="63"/>
      <c r="U860" s="63"/>
      <c r="V860" s="63"/>
      <c r="W860" s="63"/>
      <c r="X860" s="63"/>
      <c r="Y860" s="63"/>
      <c r="Z860" s="63"/>
      <c r="AA860" s="63"/>
      <c r="AB860" s="63"/>
      <c r="AC860" s="63"/>
    </row>
    <row r="861" spans="2:29">
      <c r="B861" s="71"/>
      <c r="C861" s="71"/>
      <c r="D861" s="71"/>
      <c r="E861" s="71"/>
      <c r="F861" s="71"/>
      <c r="G861" s="71"/>
      <c r="H861" s="71"/>
      <c r="I861" s="71"/>
      <c r="J861" s="71"/>
      <c r="K861" s="71"/>
      <c r="L861" s="71"/>
      <c r="M861" s="71"/>
      <c r="N861" s="71"/>
      <c r="O861" s="71"/>
      <c r="P861" s="61"/>
      <c r="Q861" s="62"/>
      <c r="R861" s="63"/>
      <c r="S861" s="63"/>
      <c r="T861" s="63"/>
      <c r="U861" s="63"/>
      <c r="V861" s="63"/>
      <c r="W861" s="63"/>
      <c r="X861" s="63"/>
      <c r="Y861" s="63"/>
      <c r="Z861" s="63"/>
      <c r="AA861" s="63"/>
      <c r="AB861" s="63"/>
      <c r="AC861" s="63"/>
    </row>
    <row r="862" spans="2:29">
      <c r="B862" s="71"/>
      <c r="C862" s="71"/>
      <c r="D862" s="71"/>
      <c r="E862" s="71"/>
      <c r="F862" s="71"/>
      <c r="G862" s="71"/>
      <c r="H862" s="71"/>
      <c r="I862" s="71"/>
      <c r="J862" s="71"/>
      <c r="K862" s="71"/>
      <c r="L862" s="71"/>
      <c r="M862" s="71"/>
      <c r="N862" s="71"/>
      <c r="O862" s="71"/>
      <c r="P862" s="61"/>
      <c r="Q862" s="62"/>
      <c r="R862" s="63"/>
      <c r="S862" s="63"/>
      <c r="T862" s="63"/>
      <c r="U862" s="63"/>
      <c r="V862" s="63"/>
      <c r="W862" s="63"/>
      <c r="X862" s="63"/>
      <c r="Y862" s="63"/>
      <c r="Z862" s="63"/>
      <c r="AA862" s="63"/>
      <c r="AB862" s="63"/>
      <c r="AC862" s="63"/>
    </row>
    <row r="863" spans="2:29">
      <c r="B863" s="71"/>
      <c r="C863" s="71"/>
      <c r="D863" s="71"/>
      <c r="E863" s="71"/>
      <c r="F863" s="71"/>
      <c r="G863" s="71"/>
      <c r="H863" s="71"/>
      <c r="I863" s="71"/>
      <c r="J863" s="71"/>
      <c r="K863" s="71"/>
      <c r="L863" s="71"/>
      <c r="M863" s="71"/>
      <c r="N863" s="71"/>
      <c r="O863" s="71"/>
      <c r="P863" s="61"/>
      <c r="Q863" s="62"/>
      <c r="R863" s="63"/>
      <c r="S863" s="63"/>
      <c r="T863" s="63"/>
      <c r="U863" s="63"/>
      <c r="V863" s="63"/>
      <c r="W863" s="63"/>
      <c r="X863" s="63"/>
      <c r="Y863" s="63"/>
      <c r="Z863" s="63"/>
      <c r="AA863" s="63"/>
      <c r="AB863" s="63"/>
      <c r="AC863" s="63"/>
    </row>
    <row r="864" spans="2:29">
      <c r="B864" s="71"/>
      <c r="C864" s="71"/>
      <c r="D864" s="71"/>
      <c r="E864" s="71"/>
      <c r="F864" s="71"/>
      <c r="G864" s="71"/>
      <c r="H864" s="71"/>
      <c r="I864" s="71"/>
      <c r="J864" s="71"/>
      <c r="K864" s="71"/>
      <c r="L864" s="71"/>
      <c r="M864" s="71"/>
      <c r="N864" s="71"/>
      <c r="O864" s="71"/>
      <c r="P864" s="61"/>
      <c r="Q864" s="62"/>
      <c r="R864" s="63"/>
      <c r="S864" s="63"/>
      <c r="T864" s="63"/>
      <c r="U864" s="63"/>
      <c r="V864" s="63"/>
      <c r="W864" s="63"/>
      <c r="X864" s="63"/>
      <c r="Y864" s="63"/>
      <c r="Z864" s="63"/>
      <c r="AA864" s="63"/>
      <c r="AB864" s="63"/>
      <c r="AC864" s="63"/>
    </row>
    <row r="865" spans="2:29">
      <c r="B865" s="71"/>
      <c r="C865" s="71"/>
      <c r="D865" s="71"/>
      <c r="E865" s="71"/>
      <c r="F865" s="71"/>
      <c r="G865" s="71"/>
      <c r="H865" s="71"/>
      <c r="I865" s="71"/>
      <c r="J865" s="71"/>
      <c r="K865" s="71"/>
      <c r="L865" s="71"/>
      <c r="M865" s="71"/>
      <c r="N865" s="71"/>
      <c r="O865" s="71"/>
      <c r="P865" s="61"/>
      <c r="Q865" s="62"/>
      <c r="R865" s="63"/>
      <c r="S865" s="63"/>
      <c r="T865" s="63"/>
      <c r="U865" s="63"/>
      <c r="V865" s="63"/>
      <c r="W865" s="63"/>
      <c r="X865" s="63"/>
      <c r="Y865" s="63"/>
      <c r="Z865" s="63"/>
      <c r="AA865" s="63"/>
      <c r="AB865" s="63"/>
      <c r="AC865" s="63"/>
    </row>
    <row r="866" spans="2:29">
      <c r="B866" s="71"/>
      <c r="C866" s="71"/>
      <c r="D866" s="71"/>
      <c r="E866" s="71"/>
      <c r="F866" s="71"/>
      <c r="G866" s="71"/>
      <c r="H866" s="71"/>
      <c r="I866" s="71"/>
      <c r="J866" s="71"/>
      <c r="K866" s="71"/>
      <c r="L866" s="71"/>
      <c r="M866" s="71"/>
      <c r="N866" s="71"/>
      <c r="O866" s="71"/>
      <c r="P866" s="61"/>
      <c r="Q866" s="62"/>
      <c r="R866" s="63"/>
      <c r="S866" s="63"/>
      <c r="T866" s="63"/>
      <c r="U866" s="63"/>
      <c r="V866" s="63"/>
      <c r="W866" s="63"/>
      <c r="X866" s="63"/>
      <c r="Y866" s="63"/>
      <c r="Z866" s="63"/>
      <c r="AA866" s="63"/>
      <c r="AB866" s="63"/>
      <c r="AC866" s="63"/>
    </row>
    <row r="867" spans="2:29">
      <c r="B867" s="71"/>
      <c r="C867" s="71"/>
      <c r="D867" s="71"/>
      <c r="E867" s="71"/>
      <c r="F867" s="71"/>
      <c r="G867" s="71"/>
      <c r="H867" s="71"/>
      <c r="I867" s="71"/>
      <c r="J867" s="71"/>
      <c r="K867" s="71"/>
      <c r="L867" s="71"/>
      <c r="M867" s="71"/>
      <c r="N867" s="71"/>
      <c r="O867" s="71"/>
      <c r="P867" s="61"/>
      <c r="Q867" s="62"/>
      <c r="R867" s="63"/>
      <c r="S867" s="63"/>
      <c r="T867" s="63"/>
      <c r="U867" s="63"/>
      <c r="V867" s="63"/>
      <c r="W867" s="63"/>
      <c r="X867" s="63"/>
      <c r="Y867" s="63"/>
      <c r="Z867" s="63"/>
      <c r="AA867" s="63"/>
      <c r="AB867" s="63"/>
      <c r="AC867" s="63"/>
    </row>
    <row r="868" spans="2:29">
      <c r="B868" s="71"/>
      <c r="C868" s="71"/>
      <c r="D868" s="71"/>
      <c r="E868" s="71"/>
      <c r="F868" s="71"/>
      <c r="G868" s="71"/>
      <c r="H868" s="71"/>
      <c r="I868" s="71"/>
      <c r="J868" s="71"/>
      <c r="K868" s="71"/>
      <c r="L868" s="71"/>
      <c r="M868" s="71"/>
      <c r="N868" s="71"/>
      <c r="O868" s="71"/>
      <c r="P868" s="61"/>
      <c r="Q868" s="62"/>
      <c r="R868" s="63"/>
      <c r="S868" s="63"/>
      <c r="T868" s="63"/>
      <c r="U868" s="63"/>
      <c r="V868" s="63"/>
      <c r="W868" s="63"/>
      <c r="X868" s="63"/>
      <c r="Y868" s="63"/>
      <c r="Z868" s="63"/>
      <c r="AA868" s="63"/>
      <c r="AB868" s="63"/>
      <c r="AC868" s="63"/>
    </row>
    <row r="869" spans="2:29">
      <c r="B869" s="71"/>
      <c r="C869" s="71"/>
      <c r="D869" s="71"/>
      <c r="E869" s="71"/>
      <c r="F869" s="71"/>
      <c r="G869" s="71"/>
      <c r="H869" s="71"/>
      <c r="I869" s="71"/>
      <c r="J869" s="71"/>
      <c r="K869" s="71"/>
      <c r="L869" s="71"/>
      <c r="M869" s="71"/>
      <c r="N869" s="71"/>
      <c r="O869" s="71"/>
      <c r="P869" s="61"/>
      <c r="Q869" s="62"/>
      <c r="R869" s="63"/>
      <c r="S869" s="63"/>
      <c r="T869" s="63"/>
      <c r="U869" s="63"/>
      <c r="V869" s="63"/>
      <c r="W869" s="63"/>
      <c r="X869" s="63"/>
      <c r="Y869" s="63"/>
      <c r="Z869" s="63"/>
      <c r="AA869" s="63"/>
      <c r="AB869" s="63"/>
      <c r="AC869" s="63"/>
    </row>
    <row r="870" spans="2:29">
      <c r="B870" s="71"/>
      <c r="C870" s="71"/>
      <c r="D870" s="71"/>
      <c r="E870" s="71"/>
      <c r="F870" s="71"/>
      <c r="G870" s="71"/>
      <c r="H870" s="71"/>
      <c r="I870" s="71"/>
      <c r="J870" s="71"/>
      <c r="K870" s="71"/>
      <c r="L870" s="71"/>
      <c r="M870" s="71"/>
      <c r="N870" s="71"/>
      <c r="O870" s="71"/>
      <c r="P870" s="61"/>
      <c r="Q870" s="62"/>
      <c r="R870" s="63"/>
      <c r="S870" s="63"/>
      <c r="T870" s="63"/>
      <c r="U870" s="63"/>
      <c r="V870" s="63"/>
      <c r="W870" s="63"/>
      <c r="X870" s="63"/>
      <c r="Y870" s="63"/>
      <c r="Z870" s="63"/>
      <c r="AA870" s="63"/>
      <c r="AB870" s="63"/>
      <c r="AC870" s="63"/>
    </row>
    <row r="871" spans="2:29">
      <c r="B871" s="71"/>
      <c r="C871" s="71"/>
      <c r="D871" s="71"/>
      <c r="E871" s="71"/>
      <c r="F871" s="71"/>
      <c r="G871" s="71"/>
      <c r="H871" s="71"/>
      <c r="I871" s="71"/>
      <c r="J871" s="71"/>
      <c r="K871" s="71"/>
      <c r="L871" s="71"/>
      <c r="M871" s="71"/>
      <c r="N871" s="71"/>
      <c r="O871" s="71"/>
      <c r="P871" s="61"/>
      <c r="Q871" s="62"/>
      <c r="R871" s="63"/>
      <c r="S871" s="63"/>
      <c r="T871" s="63"/>
      <c r="U871" s="63"/>
      <c r="V871" s="63"/>
      <c r="W871" s="63"/>
      <c r="X871" s="63"/>
      <c r="Y871" s="63"/>
      <c r="Z871" s="63"/>
      <c r="AA871" s="63"/>
      <c r="AB871" s="63"/>
      <c r="AC871" s="63"/>
    </row>
    <row r="872" spans="2:29">
      <c r="B872" s="71"/>
      <c r="C872" s="71"/>
      <c r="D872" s="71"/>
      <c r="E872" s="71"/>
      <c r="F872" s="71"/>
      <c r="G872" s="71"/>
      <c r="H872" s="71"/>
      <c r="I872" s="71"/>
      <c r="J872" s="71"/>
      <c r="K872" s="71"/>
      <c r="L872" s="71"/>
      <c r="M872" s="71"/>
      <c r="N872" s="71"/>
      <c r="O872" s="71"/>
      <c r="P872" s="61"/>
      <c r="Q872" s="62"/>
      <c r="R872" s="63"/>
      <c r="S872" s="63"/>
      <c r="T872" s="63"/>
      <c r="U872" s="63"/>
      <c r="V872" s="63"/>
      <c r="W872" s="63"/>
      <c r="X872" s="63"/>
      <c r="Y872" s="63"/>
      <c r="Z872" s="63"/>
      <c r="AA872" s="63"/>
      <c r="AB872" s="63"/>
      <c r="AC872" s="63"/>
    </row>
    <row r="873" spans="2:29">
      <c r="B873" s="71"/>
      <c r="C873" s="71"/>
      <c r="D873" s="71"/>
      <c r="E873" s="71"/>
      <c r="F873" s="71"/>
      <c r="G873" s="71"/>
      <c r="H873" s="71"/>
      <c r="I873" s="71"/>
      <c r="J873" s="71"/>
      <c r="K873" s="71"/>
      <c r="L873" s="71"/>
      <c r="M873" s="71"/>
      <c r="N873" s="71"/>
      <c r="O873" s="71"/>
      <c r="P873" s="61"/>
      <c r="Q873" s="62"/>
      <c r="R873" s="63"/>
      <c r="S873" s="63"/>
      <c r="T873" s="63"/>
      <c r="U873" s="63"/>
      <c r="V873" s="63"/>
      <c r="W873" s="63"/>
      <c r="X873" s="63"/>
      <c r="Y873" s="63"/>
      <c r="Z873" s="63"/>
      <c r="AA873" s="63"/>
      <c r="AB873" s="63"/>
      <c r="AC873" s="63"/>
    </row>
    <row r="874" spans="2:29">
      <c r="B874" s="71"/>
      <c r="C874" s="71"/>
      <c r="D874" s="71"/>
      <c r="E874" s="71"/>
      <c r="F874" s="71"/>
      <c r="G874" s="71"/>
      <c r="H874" s="71"/>
      <c r="I874" s="71"/>
      <c r="J874" s="71"/>
      <c r="K874" s="71"/>
      <c r="L874" s="71"/>
      <c r="M874" s="71"/>
      <c r="N874" s="71"/>
      <c r="O874" s="71"/>
      <c r="P874" s="61"/>
      <c r="Q874" s="62"/>
      <c r="R874" s="63"/>
      <c r="S874" s="63"/>
      <c r="T874" s="63"/>
      <c r="U874" s="63"/>
      <c r="V874" s="63"/>
      <c r="W874" s="63"/>
      <c r="X874" s="63"/>
      <c r="Y874" s="63"/>
      <c r="Z874" s="63"/>
      <c r="AA874" s="63"/>
      <c r="AB874" s="63"/>
      <c r="AC874" s="63"/>
    </row>
    <row r="875" spans="2:29">
      <c r="B875" s="71"/>
      <c r="C875" s="71"/>
      <c r="D875" s="71"/>
      <c r="E875" s="71"/>
      <c r="F875" s="71"/>
      <c r="G875" s="71"/>
      <c r="H875" s="71"/>
      <c r="I875" s="71"/>
      <c r="J875" s="71"/>
      <c r="K875" s="71"/>
      <c r="L875" s="71"/>
      <c r="M875" s="71"/>
      <c r="N875" s="71"/>
      <c r="O875" s="71"/>
      <c r="P875" s="61"/>
      <c r="Q875" s="62"/>
      <c r="R875" s="63"/>
      <c r="S875" s="63"/>
      <c r="T875" s="63"/>
      <c r="U875" s="63"/>
      <c r="V875" s="63"/>
      <c r="W875" s="63"/>
      <c r="X875" s="63"/>
      <c r="Y875" s="63"/>
      <c r="Z875" s="63"/>
      <c r="AA875" s="63"/>
      <c r="AB875" s="63"/>
      <c r="AC875" s="63"/>
    </row>
    <row r="876" spans="2:29">
      <c r="B876" s="71"/>
      <c r="C876" s="71"/>
      <c r="D876" s="71"/>
      <c r="E876" s="71"/>
      <c r="F876" s="71"/>
      <c r="G876" s="71"/>
      <c r="H876" s="71"/>
      <c r="I876" s="71"/>
      <c r="J876" s="71"/>
      <c r="K876" s="71"/>
      <c r="L876" s="71"/>
      <c r="M876" s="71"/>
      <c r="N876" s="71"/>
      <c r="O876" s="71"/>
      <c r="P876" s="61"/>
      <c r="Q876" s="62"/>
      <c r="R876" s="63"/>
      <c r="S876" s="63"/>
      <c r="T876" s="63"/>
      <c r="U876" s="63"/>
      <c r="V876" s="63"/>
      <c r="W876" s="63"/>
      <c r="X876" s="63"/>
      <c r="Y876" s="63"/>
      <c r="Z876" s="63"/>
      <c r="AA876" s="63"/>
      <c r="AB876" s="63"/>
      <c r="AC876" s="63"/>
    </row>
    <row r="877" spans="2:29">
      <c r="B877" s="71"/>
      <c r="C877" s="71"/>
      <c r="D877" s="71"/>
      <c r="E877" s="71"/>
      <c r="F877" s="71"/>
      <c r="G877" s="71"/>
      <c r="H877" s="71"/>
      <c r="I877" s="71"/>
      <c r="J877" s="71"/>
      <c r="K877" s="71"/>
      <c r="L877" s="71"/>
      <c r="M877" s="71"/>
      <c r="N877" s="71"/>
      <c r="O877" s="71"/>
      <c r="P877" s="61"/>
      <c r="Q877" s="62"/>
      <c r="R877" s="63"/>
      <c r="S877" s="63"/>
      <c r="T877" s="63"/>
      <c r="U877" s="63"/>
      <c r="V877" s="63"/>
      <c r="W877" s="63"/>
      <c r="X877" s="63"/>
      <c r="Y877" s="63"/>
      <c r="Z877" s="63"/>
      <c r="AA877" s="63"/>
      <c r="AB877" s="63"/>
      <c r="AC877" s="63"/>
    </row>
    <row r="878" spans="2:29">
      <c r="B878" s="71"/>
      <c r="C878" s="71"/>
      <c r="D878" s="71"/>
      <c r="E878" s="71"/>
      <c r="F878" s="71"/>
      <c r="G878" s="71"/>
      <c r="H878" s="71"/>
      <c r="I878" s="71"/>
      <c r="J878" s="71"/>
      <c r="K878" s="71"/>
      <c r="L878" s="71"/>
      <c r="M878" s="71"/>
      <c r="N878" s="71"/>
      <c r="O878" s="71"/>
      <c r="P878" s="61"/>
      <c r="Q878" s="62"/>
      <c r="R878" s="63"/>
      <c r="S878" s="63"/>
      <c r="T878" s="63"/>
      <c r="U878" s="63"/>
      <c r="V878" s="63"/>
      <c r="W878" s="63"/>
      <c r="X878" s="63"/>
      <c r="Y878" s="63"/>
      <c r="Z878" s="63"/>
      <c r="AA878" s="63"/>
      <c r="AB878" s="63"/>
      <c r="AC878" s="63"/>
    </row>
    <row r="879" spans="2:29">
      <c r="B879" s="71"/>
      <c r="C879" s="71"/>
      <c r="D879" s="71"/>
      <c r="E879" s="71"/>
      <c r="F879" s="71"/>
      <c r="G879" s="71"/>
      <c r="H879" s="71"/>
      <c r="I879" s="71"/>
      <c r="J879" s="71"/>
      <c r="K879" s="71"/>
      <c r="L879" s="71"/>
      <c r="M879" s="71"/>
      <c r="N879" s="71"/>
      <c r="O879" s="71"/>
      <c r="P879" s="61"/>
      <c r="Q879" s="62"/>
      <c r="R879" s="63"/>
      <c r="S879" s="63"/>
      <c r="T879" s="63"/>
      <c r="U879" s="63"/>
      <c r="V879" s="63"/>
      <c r="W879" s="63"/>
      <c r="X879" s="63"/>
      <c r="Y879" s="63"/>
      <c r="Z879" s="63"/>
      <c r="AA879" s="63"/>
      <c r="AB879" s="63"/>
      <c r="AC879" s="63"/>
    </row>
    <row r="880" spans="2:29">
      <c r="B880" s="71"/>
      <c r="C880" s="71"/>
      <c r="D880" s="71"/>
      <c r="E880" s="71"/>
      <c r="F880" s="71"/>
      <c r="G880" s="71"/>
      <c r="H880" s="71"/>
      <c r="I880" s="71"/>
      <c r="J880" s="71"/>
      <c r="K880" s="71"/>
      <c r="L880" s="71"/>
      <c r="M880" s="71"/>
      <c r="N880" s="71"/>
      <c r="O880" s="71"/>
      <c r="P880" s="61"/>
      <c r="Q880" s="62"/>
      <c r="R880" s="63"/>
      <c r="S880" s="63"/>
      <c r="T880" s="63"/>
      <c r="U880" s="63"/>
      <c r="V880" s="63"/>
      <c r="W880" s="63"/>
      <c r="X880" s="63"/>
      <c r="Y880" s="63"/>
      <c r="Z880" s="63"/>
      <c r="AA880" s="63"/>
      <c r="AB880" s="63"/>
      <c r="AC880" s="63"/>
    </row>
    <row r="881" spans="2:29">
      <c r="B881" s="71"/>
      <c r="C881" s="71"/>
      <c r="D881" s="71"/>
      <c r="E881" s="71"/>
      <c r="F881" s="71"/>
      <c r="G881" s="71"/>
      <c r="H881" s="71"/>
      <c r="I881" s="71"/>
      <c r="J881" s="71"/>
      <c r="K881" s="71"/>
      <c r="L881" s="71"/>
      <c r="M881" s="71"/>
      <c r="N881" s="71"/>
      <c r="O881" s="71"/>
      <c r="P881" s="61"/>
      <c r="Q881" s="62"/>
      <c r="R881" s="63"/>
      <c r="S881" s="63"/>
      <c r="T881" s="63"/>
      <c r="U881" s="63"/>
      <c r="V881" s="63"/>
      <c r="W881" s="63"/>
      <c r="X881" s="63"/>
      <c r="Y881" s="63"/>
      <c r="Z881" s="63"/>
      <c r="AA881" s="63"/>
      <c r="AB881" s="63"/>
      <c r="AC881" s="63"/>
    </row>
    <row r="882" spans="2:29">
      <c r="B882" s="71"/>
      <c r="C882" s="71"/>
      <c r="D882" s="71"/>
      <c r="E882" s="71"/>
      <c r="F882" s="71"/>
      <c r="G882" s="71"/>
      <c r="H882" s="71"/>
      <c r="I882" s="71"/>
      <c r="J882" s="71"/>
      <c r="K882" s="71"/>
      <c r="L882" s="71"/>
      <c r="M882" s="71"/>
      <c r="N882" s="71"/>
      <c r="O882" s="71"/>
      <c r="P882" s="61"/>
      <c r="Q882" s="62"/>
      <c r="R882" s="63"/>
      <c r="S882" s="63"/>
      <c r="T882" s="63"/>
      <c r="U882" s="63"/>
      <c r="V882" s="63"/>
      <c r="W882" s="63"/>
      <c r="X882" s="63"/>
      <c r="Y882" s="63"/>
      <c r="Z882" s="63"/>
      <c r="AA882" s="63"/>
      <c r="AB882" s="63"/>
      <c r="AC882" s="63"/>
    </row>
    <row r="883" spans="2:29">
      <c r="B883" s="71"/>
      <c r="C883" s="71"/>
      <c r="D883" s="71"/>
      <c r="E883" s="71"/>
      <c r="F883" s="71"/>
      <c r="G883" s="71"/>
      <c r="H883" s="71"/>
      <c r="I883" s="71"/>
      <c r="J883" s="71"/>
      <c r="K883" s="71"/>
      <c r="L883" s="71"/>
      <c r="M883" s="71"/>
      <c r="N883" s="71"/>
      <c r="O883" s="71"/>
      <c r="P883" s="61"/>
      <c r="Q883" s="62"/>
      <c r="R883" s="63"/>
      <c r="S883" s="63"/>
      <c r="T883" s="63"/>
      <c r="U883" s="63"/>
      <c r="V883" s="63"/>
      <c r="W883" s="63"/>
      <c r="X883" s="63"/>
      <c r="Y883" s="63"/>
      <c r="Z883" s="63"/>
      <c r="AA883" s="63"/>
      <c r="AB883" s="63"/>
      <c r="AC883" s="63"/>
    </row>
    <row r="884" spans="2:29">
      <c r="B884" s="71"/>
      <c r="C884" s="71"/>
      <c r="D884" s="71"/>
      <c r="E884" s="71"/>
      <c r="F884" s="71"/>
      <c r="G884" s="71"/>
      <c r="H884" s="71"/>
      <c r="I884" s="71"/>
      <c r="J884" s="71"/>
      <c r="K884" s="71"/>
      <c r="L884" s="71"/>
      <c r="M884" s="71"/>
      <c r="N884" s="71"/>
      <c r="O884" s="71"/>
      <c r="P884" s="61"/>
      <c r="Q884" s="62"/>
      <c r="R884" s="63"/>
      <c r="S884" s="63"/>
      <c r="T884" s="63"/>
      <c r="U884" s="63"/>
      <c r="V884" s="63"/>
      <c r="W884" s="63"/>
      <c r="X884" s="63"/>
      <c r="Y884" s="63"/>
      <c r="Z884" s="63"/>
      <c r="AA884" s="63"/>
      <c r="AB884" s="63"/>
      <c r="AC884" s="63"/>
    </row>
    <row r="885" spans="2:29">
      <c r="B885" s="71"/>
      <c r="C885" s="71"/>
      <c r="D885" s="71"/>
      <c r="E885" s="71"/>
      <c r="F885" s="71"/>
      <c r="G885" s="71"/>
      <c r="H885" s="71"/>
      <c r="I885" s="71"/>
      <c r="J885" s="71"/>
      <c r="K885" s="71"/>
      <c r="L885" s="71"/>
      <c r="M885" s="71"/>
      <c r="N885" s="71"/>
      <c r="O885" s="71"/>
      <c r="P885" s="61"/>
      <c r="Q885" s="62"/>
      <c r="R885" s="63"/>
      <c r="S885" s="63"/>
      <c r="T885" s="63"/>
      <c r="U885" s="63"/>
      <c r="V885" s="63"/>
      <c r="W885" s="63"/>
      <c r="X885" s="63"/>
      <c r="Y885" s="63"/>
      <c r="Z885" s="63"/>
      <c r="AA885" s="63"/>
      <c r="AB885" s="63"/>
      <c r="AC885" s="63"/>
    </row>
    <row r="886" spans="2:29">
      <c r="B886" s="71"/>
      <c r="C886" s="71"/>
      <c r="D886" s="71"/>
      <c r="E886" s="71"/>
      <c r="F886" s="71"/>
      <c r="G886" s="71"/>
      <c r="H886" s="71"/>
      <c r="I886" s="71"/>
      <c r="J886" s="71"/>
      <c r="K886" s="71"/>
      <c r="L886" s="71"/>
      <c r="M886" s="71"/>
      <c r="N886" s="71"/>
      <c r="O886" s="71"/>
      <c r="P886" s="61"/>
      <c r="Q886" s="62"/>
      <c r="R886" s="63"/>
      <c r="S886" s="63"/>
      <c r="T886" s="63"/>
      <c r="U886" s="63"/>
      <c r="V886" s="63"/>
      <c r="W886" s="63"/>
      <c r="X886" s="63"/>
      <c r="Y886" s="63"/>
      <c r="Z886" s="63"/>
      <c r="AA886" s="63"/>
      <c r="AB886" s="63"/>
      <c r="AC886" s="63"/>
    </row>
    <row r="887" spans="2:29">
      <c r="B887" s="71"/>
      <c r="C887" s="71"/>
      <c r="D887" s="71"/>
      <c r="E887" s="71"/>
      <c r="F887" s="71"/>
      <c r="G887" s="71"/>
      <c r="H887" s="71"/>
      <c r="I887" s="71"/>
      <c r="J887" s="71"/>
      <c r="K887" s="71"/>
      <c r="L887" s="71"/>
      <c r="M887" s="71"/>
      <c r="N887" s="71"/>
      <c r="O887" s="71"/>
      <c r="P887" s="61"/>
      <c r="Q887" s="62"/>
      <c r="R887" s="63"/>
      <c r="S887" s="63"/>
      <c r="T887" s="63"/>
      <c r="U887" s="63"/>
      <c r="V887" s="63"/>
      <c r="W887" s="63"/>
      <c r="X887" s="63"/>
      <c r="Y887" s="63"/>
      <c r="Z887" s="63"/>
      <c r="AA887" s="63"/>
      <c r="AB887" s="63"/>
      <c r="AC887" s="63"/>
    </row>
    <row r="888" spans="2:29">
      <c r="B888" s="71"/>
      <c r="C888" s="71"/>
      <c r="D888" s="71"/>
      <c r="E888" s="71"/>
      <c r="F888" s="71"/>
      <c r="G888" s="71"/>
      <c r="H888" s="71"/>
      <c r="I888" s="71"/>
      <c r="J888" s="71"/>
      <c r="K888" s="71"/>
      <c r="L888" s="71"/>
      <c r="M888" s="71"/>
      <c r="N888" s="71"/>
      <c r="O888" s="71"/>
      <c r="P888" s="61"/>
      <c r="Q888" s="62"/>
      <c r="R888" s="63"/>
      <c r="S888" s="63"/>
      <c r="T888" s="63"/>
      <c r="U888" s="63"/>
      <c r="V888" s="63"/>
      <c r="W888" s="63"/>
      <c r="X888" s="63"/>
      <c r="Y888" s="63"/>
      <c r="Z888" s="63"/>
      <c r="AA888" s="63"/>
      <c r="AB888" s="63"/>
      <c r="AC888" s="63"/>
    </row>
    <row r="889" spans="2:29">
      <c r="B889" s="71"/>
      <c r="C889" s="71"/>
      <c r="D889" s="71"/>
      <c r="E889" s="71"/>
      <c r="F889" s="71"/>
      <c r="G889" s="71"/>
      <c r="H889" s="71"/>
      <c r="I889" s="71"/>
      <c r="J889" s="71"/>
      <c r="K889" s="71"/>
      <c r="L889" s="71"/>
      <c r="M889" s="71"/>
      <c r="N889" s="71"/>
      <c r="O889" s="71"/>
      <c r="P889" s="61"/>
      <c r="Q889" s="62"/>
      <c r="R889" s="63"/>
      <c r="S889" s="63"/>
      <c r="T889" s="63"/>
      <c r="U889" s="63"/>
      <c r="V889" s="63"/>
      <c r="W889" s="63"/>
      <c r="X889" s="63"/>
      <c r="Y889" s="63"/>
      <c r="Z889" s="63"/>
      <c r="AA889" s="63"/>
      <c r="AB889" s="63"/>
      <c r="AC889" s="63"/>
    </row>
    <row r="890" spans="2:29">
      <c r="B890" s="71"/>
      <c r="C890" s="71"/>
      <c r="D890" s="71"/>
      <c r="E890" s="71"/>
      <c r="F890" s="71"/>
      <c r="G890" s="71"/>
      <c r="H890" s="71"/>
      <c r="I890" s="71"/>
      <c r="J890" s="71"/>
      <c r="K890" s="71"/>
      <c r="L890" s="71"/>
      <c r="M890" s="71"/>
      <c r="N890" s="71"/>
      <c r="O890" s="71"/>
      <c r="P890" s="61"/>
      <c r="Q890" s="62"/>
      <c r="R890" s="63"/>
      <c r="S890" s="63"/>
      <c r="T890" s="63"/>
      <c r="U890" s="63"/>
      <c r="V890" s="63"/>
      <c r="W890" s="63"/>
      <c r="X890" s="63"/>
      <c r="Y890" s="63"/>
      <c r="Z890" s="63"/>
      <c r="AA890" s="63"/>
      <c r="AB890" s="63"/>
      <c r="AC890" s="63"/>
    </row>
    <row r="891" spans="2:29">
      <c r="B891" s="71"/>
      <c r="C891" s="71"/>
      <c r="D891" s="71"/>
      <c r="E891" s="71"/>
      <c r="F891" s="71"/>
      <c r="G891" s="71"/>
      <c r="H891" s="71"/>
      <c r="I891" s="71"/>
      <c r="J891" s="71"/>
      <c r="K891" s="71"/>
      <c r="L891" s="71"/>
      <c r="M891" s="71"/>
      <c r="N891" s="71"/>
      <c r="O891" s="71"/>
      <c r="P891" s="61"/>
      <c r="Q891" s="62"/>
      <c r="R891" s="63"/>
      <c r="S891" s="63"/>
      <c r="T891" s="63"/>
      <c r="U891" s="63"/>
      <c r="V891" s="63"/>
      <c r="W891" s="63"/>
      <c r="X891" s="63"/>
      <c r="Y891" s="63"/>
      <c r="Z891" s="63"/>
      <c r="AA891" s="63"/>
      <c r="AB891" s="63"/>
      <c r="AC891" s="63"/>
    </row>
    <row r="892" spans="2:29">
      <c r="B892" s="71"/>
      <c r="C892" s="71"/>
      <c r="D892" s="71"/>
      <c r="E892" s="71"/>
      <c r="F892" s="71"/>
      <c r="G892" s="71"/>
      <c r="H892" s="71"/>
      <c r="I892" s="71"/>
      <c r="J892" s="71"/>
      <c r="K892" s="71"/>
      <c r="L892" s="71"/>
      <c r="M892" s="71"/>
      <c r="N892" s="71"/>
      <c r="O892" s="71"/>
      <c r="P892" s="61"/>
      <c r="Q892" s="62"/>
      <c r="R892" s="63"/>
      <c r="S892" s="63"/>
      <c r="T892" s="63"/>
      <c r="U892" s="63"/>
      <c r="V892" s="63"/>
      <c r="W892" s="63"/>
      <c r="X892" s="63"/>
      <c r="Y892" s="63"/>
      <c r="Z892" s="63"/>
      <c r="AA892" s="63"/>
      <c r="AB892" s="63"/>
      <c r="AC892" s="63"/>
    </row>
    <row r="893" spans="2:29">
      <c r="B893" s="71"/>
      <c r="C893" s="71"/>
      <c r="D893" s="71"/>
      <c r="E893" s="71"/>
      <c r="F893" s="71"/>
      <c r="G893" s="71"/>
      <c r="H893" s="71"/>
      <c r="I893" s="71"/>
      <c r="J893" s="71"/>
      <c r="K893" s="71"/>
      <c r="L893" s="71"/>
      <c r="M893" s="71"/>
      <c r="N893" s="71"/>
      <c r="O893" s="71"/>
      <c r="P893" s="61"/>
      <c r="Q893" s="62"/>
      <c r="R893" s="63"/>
      <c r="S893" s="63"/>
      <c r="T893" s="63"/>
      <c r="U893" s="63"/>
      <c r="V893" s="63"/>
      <c r="W893" s="63"/>
      <c r="X893" s="63"/>
      <c r="Y893" s="63"/>
      <c r="Z893" s="63"/>
      <c r="AA893" s="63"/>
      <c r="AB893" s="63"/>
      <c r="AC893" s="63"/>
    </row>
    <row r="894" spans="2:29">
      <c r="B894" s="71"/>
      <c r="C894" s="71"/>
      <c r="D894" s="71"/>
      <c r="E894" s="71"/>
      <c r="F894" s="71"/>
      <c r="G894" s="71"/>
      <c r="H894" s="71"/>
      <c r="I894" s="71"/>
      <c r="J894" s="71"/>
      <c r="K894" s="71"/>
      <c r="L894" s="71"/>
      <c r="M894" s="71"/>
      <c r="N894" s="71"/>
      <c r="O894" s="71"/>
      <c r="P894" s="61"/>
      <c r="Q894" s="62"/>
      <c r="R894" s="63"/>
      <c r="S894" s="63"/>
      <c r="T894" s="63"/>
      <c r="U894" s="63"/>
      <c r="V894" s="63"/>
      <c r="W894" s="63"/>
      <c r="X894" s="63"/>
      <c r="Y894" s="63"/>
      <c r="Z894" s="63"/>
      <c r="AA894" s="63"/>
      <c r="AB894" s="63"/>
      <c r="AC894" s="63"/>
    </row>
    <row r="895" spans="2:29">
      <c r="B895" s="71"/>
      <c r="C895" s="71"/>
      <c r="D895" s="71"/>
      <c r="E895" s="71"/>
      <c r="F895" s="71"/>
      <c r="G895" s="71"/>
      <c r="H895" s="71"/>
      <c r="I895" s="71"/>
      <c r="J895" s="71"/>
      <c r="K895" s="71"/>
      <c r="L895" s="71"/>
      <c r="M895" s="71"/>
      <c r="N895" s="71"/>
      <c r="O895" s="71"/>
      <c r="P895" s="61"/>
      <c r="Q895" s="62"/>
      <c r="R895" s="63"/>
      <c r="S895" s="63"/>
      <c r="T895" s="63"/>
      <c r="U895" s="63"/>
      <c r="V895" s="63"/>
      <c r="W895" s="63"/>
      <c r="X895" s="63"/>
      <c r="Y895" s="63"/>
      <c r="Z895" s="63"/>
      <c r="AA895" s="63"/>
      <c r="AB895" s="63"/>
      <c r="AC895" s="63"/>
    </row>
    <row r="896" spans="2:29">
      <c r="B896" s="71"/>
      <c r="C896" s="71"/>
      <c r="D896" s="71"/>
      <c r="E896" s="71"/>
      <c r="F896" s="71"/>
      <c r="G896" s="71"/>
      <c r="H896" s="71"/>
      <c r="I896" s="71"/>
      <c r="J896" s="71"/>
      <c r="K896" s="71"/>
      <c r="L896" s="71"/>
      <c r="M896" s="71"/>
      <c r="N896" s="71"/>
      <c r="O896" s="71"/>
      <c r="P896" s="61"/>
      <c r="Q896" s="62"/>
      <c r="R896" s="63"/>
      <c r="S896" s="63"/>
      <c r="T896" s="63"/>
      <c r="U896" s="63"/>
      <c r="V896" s="63"/>
      <c r="W896" s="63"/>
      <c r="X896" s="63"/>
      <c r="Y896" s="63"/>
      <c r="Z896" s="63"/>
      <c r="AA896" s="63"/>
      <c r="AB896" s="63"/>
      <c r="AC896" s="63"/>
    </row>
    <row r="897" spans="2:29">
      <c r="B897" s="71"/>
      <c r="C897" s="71"/>
      <c r="D897" s="71"/>
      <c r="E897" s="71"/>
      <c r="F897" s="71"/>
      <c r="G897" s="71"/>
      <c r="H897" s="71"/>
      <c r="I897" s="71"/>
      <c r="J897" s="71"/>
      <c r="K897" s="71"/>
      <c r="L897" s="71"/>
      <c r="M897" s="71"/>
      <c r="N897" s="71"/>
      <c r="O897" s="71"/>
      <c r="P897" s="61"/>
      <c r="Q897" s="62"/>
      <c r="R897" s="63"/>
      <c r="S897" s="63"/>
      <c r="T897" s="63"/>
      <c r="U897" s="63"/>
      <c r="V897" s="63"/>
      <c r="W897" s="63"/>
      <c r="X897" s="63"/>
      <c r="Y897" s="63"/>
      <c r="Z897" s="63"/>
      <c r="AA897" s="63"/>
      <c r="AB897" s="63"/>
      <c r="AC897" s="63"/>
    </row>
    <row r="898" spans="2:29">
      <c r="B898" s="71"/>
      <c r="C898" s="71"/>
      <c r="D898" s="71"/>
      <c r="E898" s="71"/>
      <c r="F898" s="71"/>
      <c r="G898" s="71"/>
      <c r="H898" s="71"/>
      <c r="I898" s="71"/>
      <c r="J898" s="71"/>
      <c r="K898" s="71"/>
      <c r="L898" s="71"/>
      <c r="M898" s="71"/>
      <c r="N898" s="71"/>
      <c r="O898" s="71"/>
      <c r="P898" s="61"/>
      <c r="Q898" s="62"/>
      <c r="R898" s="63"/>
      <c r="S898" s="63"/>
      <c r="T898" s="63"/>
      <c r="U898" s="63"/>
      <c r="V898" s="63"/>
      <c r="W898" s="63"/>
      <c r="X898" s="63"/>
      <c r="Y898" s="63"/>
      <c r="Z898" s="63"/>
      <c r="AA898" s="63"/>
      <c r="AB898" s="63"/>
      <c r="AC898" s="63"/>
    </row>
    <row r="899" spans="2:29">
      <c r="B899" s="71"/>
      <c r="C899" s="71"/>
      <c r="D899" s="71"/>
      <c r="E899" s="71"/>
      <c r="F899" s="71"/>
      <c r="G899" s="71"/>
      <c r="H899" s="71"/>
      <c r="I899" s="71"/>
      <c r="J899" s="71"/>
      <c r="K899" s="71"/>
      <c r="L899" s="71"/>
      <c r="M899" s="71"/>
      <c r="N899" s="71"/>
      <c r="O899" s="71"/>
      <c r="P899" s="61"/>
      <c r="Q899" s="62"/>
      <c r="R899" s="63"/>
      <c r="S899" s="63"/>
      <c r="T899" s="63"/>
      <c r="U899" s="63"/>
      <c r="V899" s="63"/>
      <c r="W899" s="63"/>
      <c r="X899" s="63"/>
      <c r="Y899" s="63"/>
      <c r="Z899" s="63"/>
      <c r="AA899" s="63"/>
      <c r="AB899" s="63"/>
      <c r="AC899" s="63"/>
    </row>
    <row r="900" spans="2:29">
      <c r="B900" s="71"/>
      <c r="C900" s="71"/>
      <c r="D900" s="71"/>
      <c r="E900" s="71"/>
      <c r="F900" s="71"/>
      <c r="G900" s="71"/>
      <c r="H900" s="71"/>
      <c r="I900" s="71"/>
      <c r="J900" s="71"/>
      <c r="K900" s="71"/>
      <c r="L900" s="71"/>
      <c r="M900" s="71"/>
      <c r="N900" s="71"/>
      <c r="O900" s="71"/>
      <c r="P900" s="61"/>
      <c r="Q900" s="62"/>
      <c r="R900" s="63"/>
      <c r="S900" s="63"/>
      <c r="T900" s="63"/>
      <c r="U900" s="63"/>
      <c r="V900" s="63"/>
      <c r="W900" s="63"/>
      <c r="X900" s="63"/>
      <c r="Y900" s="63"/>
      <c r="Z900" s="63"/>
      <c r="AA900" s="63"/>
      <c r="AB900" s="63"/>
      <c r="AC900" s="63"/>
    </row>
    <row r="901" spans="2:29">
      <c r="B901" s="71"/>
      <c r="C901" s="71"/>
      <c r="D901" s="71"/>
      <c r="E901" s="71"/>
      <c r="F901" s="71"/>
      <c r="G901" s="71"/>
      <c r="H901" s="71"/>
      <c r="I901" s="71"/>
      <c r="J901" s="71"/>
      <c r="K901" s="71"/>
      <c r="L901" s="71"/>
      <c r="M901" s="71"/>
      <c r="N901" s="71"/>
      <c r="O901" s="71"/>
      <c r="P901" s="61"/>
      <c r="Q901" s="62"/>
      <c r="R901" s="63"/>
      <c r="S901" s="63"/>
      <c r="T901" s="63"/>
      <c r="U901" s="63"/>
      <c r="V901" s="63"/>
      <c r="W901" s="63"/>
      <c r="X901" s="63"/>
      <c r="Y901" s="63"/>
      <c r="Z901" s="63"/>
      <c r="AA901" s="63"/>
      <c r="AB901" s="63"/>
      <c r="AC901" s="63"/>
    </row>
    <row r="902" spans="2:29">
      <c r="B902" s="71"/>
      <c r="C902" s="71"/>
      <c r="D902" s="71"/>
      <c r="E902" s="71"/>
      <c r="F902" s="71"/>
      <c r="G902" s="71"/>
      <c r="H902" s="71"/>
      <c r="I902" s="71"/>
      <c r="J902" s="71"/>
      <c r="K902" s="71"/>
      <c r="L902" s="71"/>
      <c r="M902" s="71"/>
      <c r="N902" s="71"/>
      <c r="O902" s="71"/>
      <c r="P902" s="61"/>
      <c r="Q902" s="62"/>
      <c r="R902" s="63"/>
      <c r="S902" s="63"/>
      <c r="T902" s="63"/>
      <c r="U902" s="63"/>
      <c r="V902" s="63"/>
      <c r="W902" s="63"/>
      <c r="X902" s="63"/>
      <c r="Y902" s="63"/>
      <c r="Z902" s="63"/>
      <c r="AA902" s="63"/>
      <c r="AB902" s="63"/>
      <c r="AC902" s="63"/>
    </row>
    <row r="903" spans="2:29">
      <c r="B903" s="71"/>
      <c r="C903" s="71"/>
      <c r="D903" s="71"/>
      <c r="E903" s="71"/>
      <c r="F903" s="71"/>
      <c r="G903" s="71"/>
      <c r="H903" s="71"/>
      <c r="I903" s="71"/>
      <c r="J903" s="71"/>
      <c r="K903" s="71"/>
      <c r="L903" s="71"/>
      <c r="M903" s="71"/>
      <c r="N903" s="71"/>
      <c r="O903" s="71"/>
      <c r="P903" s="61"/>
      <c r="Q903" s="62"/>
      <c r="R903" s="63"/>
      <c r="S903" s="63"/>
      <c r="T903" s="63"/>
      <c r="U903" s="63"/>
      <c r="V903" s="63"/>
      <c r="W903" s="63"/>
      <c r="X903" s="63"/>
      <c r="Y903" s="63"/>
      <c r="Z903" s="63"/>
      <c r="AA903" s="63"/>
      <c r="AB903" s="63"/>
      <c r="AC903" s="63"/>
    </row>
    <row r="904" spans="2:29">
      <c r="B904" s="71"/>
      <c r="C904" s="71"/>
      <c r="D904" s="71"/>
      <c r="E904" s="71"/>
      <c r="F904" s="71"/>
      <c r="G904" s="71"/>
      <c r="H904" s="71"/>
      <c r="I904" s="71"/>
      <c r="J904" s="71"/>
      <c r="K904" s="71"/>
      <c r="L904" s="71"/>
      <c r="M904" s="71"/>
      <c r="N904" s="71"/>
      <c r="O904" s="71"/>
      <c r="P904" s="61"/>
      <c r="Q904" s="62"/>
      <c r="R904" s="63"/>
      <c r="S904" s="63"/>
      <c r="T904" s="63"/>
      <c r="U904" s="63"/>
      <c r="V904" s="63"/>
      <c r="W904" s="63"/>
      <c r="X904" s="63"/>
      <c r="Y904" s="63"/>
      <c r="Z904" s="63"/>
      <c r="AA904" s="63"/>
      <c r="AB904" s="63"/>
      <c r="AC904" s="63"/>
    </row>
    <row r="905" spans="2:29">
      <c r="B905" s="71"/>
      <c r="C905" s="71"/>
      <c r="D905" s="71"/>
      <c r="E905" s="71"/>
      <c r="F905" s="71"/>
      <c r="G905" s="71"/>
      <c r="H905" s="71"/>
      <c r="I905" s="71"/>
      <c r="J905" s="71"/>
      <c r="K905" s="71"/>
      <c r="L905" s="71"/>
      <c r="M905" s="71"/>
      <c r="N905" s="71"/>
      <c r="O905" s="71"/>
      <c r="P905" s="61"/>
      <c r="Q905" s="62"/>
      <c r="R905" s="63"/>
      <c r="S905" s="63"/>
      <c r="T905" s="63"/>
      <c r="U905" s="63"/>
      <c r="V905" s="63"/>
      <c r="W905" s="63"/>
      <c r="X905" s="63"/>
      <c r="Y905" s="63"/>
      <c r="Z905" s="63"/>
      <c r="AA905" s="63"/>
      <c r="AB905" s="63"/>
      <c r="AC905" s="63"/>
    </row>
    <row r="906" spans="2:29">
      <c r="B906" s="71"/>
      <c r="C906" s="71"/>
      <c r="D906" s="71"/>
      <c r="E906" s="71"/>
      <c r="F906" s="71"/>
      <c r="G906" s="71"/>
      <c r="H906" s="71"/>
      <c r="I906" s="71"/>
      <c r="J906" s="71"/>
      <c r="K906" s="71"/>
      <c r="L906" s="71"/>
      <c r="M906" s="71"/>
      <c r="N906" s="71"/>
      <c r="O906" s="71"/>
      <c r="P906" s="61"/>
      <c r="Q906" s="62"/>
      <c r="R906" s="63"/>
      <c r="S906" s="63"/>
      <c r="T906" s="63"/>
      <c r="U906" s="63"/>
      <c r="V906" s="63"/>
      <c r="W906" s="63"/>
      <c r="X906" s="63"/>
      <c r="Y906" s="63"/>
      <c r="Z906" s="63"/>
      <c r="AA906" s="63"/>
      <c r="AB906" s="63"/>
      <c r="AC906" s="63"/>
    </row>
    <row r="907" spans="2:29">
      <c r="B907" s="71"/>
      <c r="C907" s="71"/>
      <c r="D907" s="71"/>
      <c r="E907" s="71"/>
      <c r="F907" s="71"/>
      <c r="G907" s="71"/>
      <c r="H907" s="71"/>
      <c r="I907" s="71"/>
      <c r="J907" s="71"/>
      <c r="K907" s="71"/>
      <c r="L907" s="71"/>
      <c r="M907" s="71"/>
      <c r="N907" s="71"/>
      <c r="O907" s="71"/>
      <c r="P907" s="61"/>
      <c r="Q907" s="62"/>
      <c r="R907" s="63"/>
      <c r="S907" s="63"/>
      <c r="T907" s="63"/>
      <c r="U907" s="63"/>
      <c r="V907" s="63"/>
      <c r="W907" s="63"/>
      <c r="X907" s="63"/>
      <c r="Y907" s="63"/>
      <c r="Z907" s="63"/>
      <c r="AA907" s="63"/>
      <c r="AB907" s="63"/>
      <c r="AC907" s="63"/>
    </row>
    <row r="908" spans="2:29">
      <c r="B908" s="71"/>
      <c r="C908" s="71"/>
      <c r="D908" s="71"/>
      <c r="E908" s="71"/>
      <c r="F908" s="71"/>
      <c r="G908" s="71"/>
      <c r="H908" s="71"/>
      <c r="I908" s="71"/>
      <c r="J908" s="71"/>
      <c r="K908" s="71"/>
      <c r="L908" s="71"/>
      <c r="M908" s="71"/>
      <c r="N908" s="71"/>
      <c r="O908" s="71"/>
      <c r="P908" s="61"/>
      <c r="Q908" s="62"/>
      <c r="R908" s="63"/>
      <c r="S908" s="63"/>
      <c r="T908" s="63"/>
      <c r="U908" s="63"/>
      <c r="V908" s="63"/>
      <c r="W908" s="63"/>
      <c r="X908" s="63"/>
      <c r="Y908" s="63"/>
      <c r="Z908" s="63"/>
      <c r="AA908" s="63"/>
      <c r="AB908" s="63"/>
      <c r="AC908" s="63"/>
    </row>
    <row r="909" spans="2:29">
      <c r="B909" s="71"/>
      <c r="C909" s="71"/>
      <c r="D909" s="71"/>
      <c r="E909" s="71"/>
      <c r="F909" s="71"/>
      <c r="G909" s="71"/>
      <c r="H909" s="71"/>
      <c r="I909" s="71"/>
      <c r="J909" s="71"/>
      <c r="K909" s="71"/>
      <c r="L909" s="71"/>
      <c r="M909" s="71"/>
      <c r="N909" s="71"/>
      <c r="O909" s="71"/>
      <c r="P909" s="61"/>
      <c r="Q909" s="62"/>
      <c r="R909" s="63"/>
      <c r="S909" s="63"/>
      <c r="T909" s="63"/>
      <c r="U909" s="63"/>
      <c r="V909" s="63"/>
      <c r="W909" s="63"/>
      <c r="X909" s="63"/>
      <c r="Y909" s="63"/>
      <c r="Z909" s="63"/>
      <c r="AA909" s="63"/>
      <c r="AB909" s="63"/>
      <c r="AC909" s="63"/>
    </row>
    <row r="910" spans="2:29">
      <c r="B910" s="71"/>
      <c r="C910" s="71"/>
      <c r="D910" s="71"/>
      <c r="E910" s="71"/>
      <c r="F910" s="71"/>
      <c r="G910" s="71"/>
      <c r="H910" s="71"/>
      <c r="I910" s="71"/>
      <c r="J910" s="71"/>
      <c r="K910" s="71"/>
      <c r="L910" s="71"/>
      <c r="M910" s="71"/>
      <c r="N910" s="71"/>
      <c r="O910" s="71"/>
      <c r="P910" s="61"/>
      <c r="Q910" s="62"/>
      <c r="R910" s="63"/>
      <c r="S910" s="63"/>
      <c r="T910" s="63"/>
      <c r="U910" s="63"/>
      <c r="V910" s="63"/>
      <c r="W910" s="63"/>
      <c r="X910" s="63"/>
      <c r="Y910" s="63"/>
      <c r="Z910" s="63"/>
      <c r="AA910" s="63"/>
      <c r="AB910" s="63"/>
      <c r="AC910" s="63"/>
    </row>
    <row r="911" spans="2:29">
      <c r="B911" s="71"/>
      <c r="C911" s="71"/>
      <c r="D911" s="71"/>
      <c r="E911" s="71"/>
      <c r="F911" s="71"/>
      <c r="G911" s="71"/>
      <c r="H911" s="71"/>
      <c r="I911" s="71"/>
      <c r="J911" s="71"/>
      <c r="K911" s="71"/>
      <c r="L911" s="71"/>
      <c r="M911" s="71"/>
      <c r="N911" s="71"/>
      <c r="O911" s="71"/>
      <c r="P911" s="61"/>
      <c r="Q911" s="62"/>
      <c r="R911" s="63"/>
      <c r="S911" s="63"/>
      <c r="T911" s="63"/>
      <c r="U911" s="63"/>
      <c r="V911" s="63"/>
      <c r="W911" s="63"/>
      <c r="X911" s="63"/>
      <c r="Y911" s="63"/>
      <c r="Z911" s="63"/>
      <c r="AA911" s="63"/>
      <c r="AB911" s="63"/>
      <c r="AC911" s="63"/>
    </row>
    <row r="912" spans="2:29">
      <c r="B912" s="71"/>
      <c r="C912" s="71"/>
      <c r="D912" s="71"/>
      <c r="E912" s="71"/>
      <c r="F912" s="71"/>
      <c r="G912" s="71"/>
      <c r="H912" s="71"/>
      <c r="I912" s="71"/>
      <c r="J912" s="71"/>
      <c r="K912" s="71"/>
      <c r="L912" s="71"/>
      <c r="M912" s="71"/>
      <c r="N912" s="71"/>
      <c r="O912" s="71"/>
      <c r="P912" s="61"/>
      <c r="Q912" s="62"/>
      <c r="R912" s="63"/>
      <c r="S912" s="63"/>
      <c r="T912" s="63"/>
      <c r="U912" s="63"/>
      <c r="V912" s="63"/>
      <c r="W912" s="63"/>
      <c r="X912" s="63"/>
      <c r="Y912" s="63"/>
      <c r="Z912" s="63"/>
      <c r="AA912" s="63"/>
      <c r="AB912" s="63"/>
      <c r="AC912" s="63"/>
    </row>
    <row r="913" spans="2:29">
      <c r="B913" s="71"/>
      <c r="C913" s="71"/>
      <c r="D913" s="71"/>
      <c r="E913" s="71"/>
      <c r="F913" s="71"/>
      <c r="G913" s="71"/>
      <c r="H913" s="71"/>
      <c r="I913" s="71"/>
      <c r="J913" s="71"/>
      <c r="K913" s="71"/>
      <c r="L913" s="71"/>
      <c r="M913" s="71"/>
      <c r="N913" s="71"/>
      <c r="O913" s="71"/>
      <c r="P913" s="61"/>
      <c r="Q913" s="62"/>
      <c r="R913" s="63"/>
      <c r="S913" s="63"/>
      <c r="T913" s="63"/>
      <c r="U913" s="63"/>
      <c r="V913" s="63"/>
      <c r="W913" s="63"/>
      <c r="X913" s="63"/>
      <c r="Y913" s="63"/>
      <c r="Z913" s="63"/>
      <c r="AA913" s="63"/>
      <c r="AB913" s="63"/>
      <c r="AC913" s="63"/>
    </row>
    <row r="914" spans="2:29">
      <c r="B914" s="71"/>
      <c r="C914" s="71"/>
      <c r="D914" s="71"/>
      <c r="E914" s="71"/>
      <c r="F914" s="71"/>
      <c r="G914" s="71"/>
      <c r="H914" s="71"/>
      <c r="I914" s="71"/>
      <c r="J914" s="71"/>
      <c r="K914" s="71"/>
      <c r="L914" s="71"/>
      <c r="M914" s="71"/>
      <c r="N914" s="71"/>
      <c r="O914" s="71"/>
      <c r="P914" s="61"/>
      <c r="Q914" s="62"/>
      <c r="R914" s="63"/>
      <c r="S914" s="63"/>
      <c r="T914" s="63"/>
      <c r="U914" s="63"/>
      <c r="V914" s="63"/>
      <c r="W914" s="63"/>
      <c r="X914" s="63"/>
      <c r="Y914" s="63"/>
      <c r="Z914" s="63"/>
      <c r="AA914" s="63"/>
      <c r="AB914" s="63"/>
      <c r="AC914" s="6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DAF38-AC33-314A-A34D-D3DC298DC4EF}">
  <dimension ref="A1:F48"/>
  <sheetViews>
    <sheetView workbookViewId="0">
      <selection activeCell="K15" sqref="K15"/>
    </sheetView>
  </sheetViews>
  <sheetFormatPr baseColWidth="10" defaultRowHeight="16"/>
  <cols>
    <col min="6" max="6" width="12.1640625" bestFit="1" customWidth="1"/>
  </cols>
  <sheetData>
    <row r="1" spans="1:4" s="1" customFormat="1">
      <c r="A1" s="1" t="s">
        <v>171</v>
      </c>
      <c r="B1" s="1" t="s">
        <v>208</v>
      </c>
      <c r="C1" s="1" t="s">
        <v>246</v>
      </c>
      <c r="D1" s="1" t="s">
        <v>209</v>
      </c>
    </row>
    <row r="2" spans="1:4">
      <c r="A2" t="s">
        <v>206</v>
      </c>
      <c r="B2" t="s">
        <v>216</v>
      </c>
      <c r="C2">
        <v>22.18</v>
      </c>
      <c r="D2" s="13">
        <v>0.1386</v>
      </c>
    </row>
    <row r="3" spans="1:4">
      <c r="A3" t="s">
        <v>206</v>
      </c>
      <c r="B3" t="s">
        <v>217</v>
      </c>
      <c r="C3">
        <v>15.12</v>
      </c>
      <c r="D3" s="13">
        <v>9.4500000000000001E-2</v>
      </c>
    </row>
    <row r="4" spans="1:4">
      <c r="A4" t="s">
        <v>206</v>
      </c>
      <c r="B4" t="s">
        <v>218</v>
      </c>
      <c r="C4">
        <v>9.5299999999999994</v>
      </c>
      <c r="D4" s="13">
        <v>5.96E-2</v>
      </c>
    </row>
    <row r="5" spans="1:4">
      <c r="A5" t="s">
        <v>206</v>
      </c>
      <c r="B5" t="s">
        <v>219</v>
      </c>
      <c r="C5">
        <v>5.54</v>
      </c>
      <c r="D5" s="13">
        <v>3.4599999999999999E-2</v>
      </c>
    </row>
    <row r="6" spans="1:4">
      <c r="A6" t="s">
        <v>206</v>
      </c>
      <c r="B6" t="s">
        <v>220</v>
      </c>
      <c r="C6">
        <v>5.38</v>
      </c>
      <c r="D6" s="13">
        <v>3.3599999999999998E-2</v>
      </c>
    </row>
    <row r="7" spans="1:4">
      <c r="A7" t="s">
        <v>206</v>
      </c>
      <c r="B7" t="s">
        <v>221</v>
      </c>
      <c r="C7">
        <v>1.21</v>
      </c>
      <c r="D7" s="13">
        <v>7.6E-3</v>
      </c>
    </row>
    <row r="8" spans="1:4">
      <c r="A8" t="s">
        <v>206</v>
      </c>
      <c r="B8" t="s">
        <v>245</v>
      </c>
      <c r="C8">
        <v>0.88</v>
      </c>
      <c r="D8" s="13">
        <v>5.4999999999999997E-3</v>
      </c>
    </row>
    <row r="9" spans="1:4">
      <c r="A9" t="s">
        <v>206</v>
      </c>
      <c r="B9" t="s">
        <v>222</v>
      </c>
      <c r="C9">
        <v>0.44</v>
      </c>
      <c r="D9" s="13">
        <v>2.7000000000000001E-3</v>
      </c>
    </row>
    <row r="10" spans="1:4">
      <c r="A10" t="s">
        <v>206</v>
      </c>
      <c r="B10" t="s">
        <v>223</v>
      </c>
      <c r="C10">
        <v>0.31</v>
      </c>
      <c r="D10" s="13">
        <v>1.9E-3</v>
      </c>
    </row>
    <row r="11" spans="1:4">
      <c r="A11" t="s">
        <v>206</v>
      </c>
      <c r="B11" t="s">
        <v>224</v>
      </c>
      <c r="C11">
        <v>0.05</v>
      </c>
      <c r="D11" s="13">
        <v>2.9999999999999997E-4</v>
      </c>
    </row>
    <row r="12" spans="1:4">
      <c r="A12" t="s">
        <v>206</v>
      </c>
      <c r="B12" t="s">
        <v>225</v>
      </c>
      <c r="C12">
        <v>0.03</v>
      </c>
      <c r="D12" s="13">
        <v>2.0000000000000001E-4</v>
      </c>
    </row>
    <row r="13" spans="1:4">
      <c r="A13" t="s">
        <v>206</v>
      </c>
      <c r="B13" t="s">
        <v>226</v>
      </c>
      <c r="C13">
        <v>0.02</v>
      </c>
      <c r="D13" s="13">
        <v>1E-4</v>
      </c>
    </row>
    <row r="14" spans="1:4">
      <c r="A14" t="s">
        <v>206</v>
      </c>
      <c r="B14" t="s">
        <v>227</v>
      </c>
      <c r="C14">
        <v>0.01</v>
      </c>
      <c r="D14" s="13">
        <v>1E-4</v>
      </c>
    </row>
    <row r="15" spans="1:4">
      <c r="A15" t="s">
        <v>206</v>
      </c>
      <c r="B15" t="s">
        <v>228</v>
      </c>
      <c r="C15">
        <v>0.01</v>
      </c>
      <c r="D15" s="13">
        <v>1E-4</v>
      </c>
    </row>
    <row r="16" spans="1:4">
      <c r="A16" t="s">
        <v>206</v>
      </c>
      <c r="B16" t="s">
        <v>229</v>
      </c>
      <c r="C16">
        <v>0.01</v>
      </c>
      <c r="D16" s="13">
        <v>1E-4</v>
      </c>
    </row>
    <row r="17" spans="1:6">
      <c r="A17" t="s">
        <v>206</v>
      </c>
      <c r="B17" t="s">
        <v>230</v>
      </c>
      <c r="C17">
        <v>4.0000000000000002E-4</v>
      </c>
      <c r="D17" s="13">
        <v>0</v>
      </c>
      <c r="F17" s="22"/>
    </row>
    <row r="18" spans="1:6">
      <c r="A18" t="s">
        <v>206</v>
      </c>
      <c r="B18" t="s">
        <v>231</v>
      </c>
      <c r="C18">
        <v>4.0000000000000002E-4</v>
      </c>
      <c r="D18" s="13">
        <v>0</v>
      </c>
    </row>
    <row r="19" spans="1:6">
      <c r="A19" t="s">
        <v>206</v>
      </c>
      <c r="B19" t="s">
        <v>232</v>
      </c>
      <c r="C19">
        <v>2.0000000000000001E-4</v>
      </c>
      <c r="D19" s="13">
        <v>0</v>
      </c>
    </row>
    <row r="20" spans="1:6">
      <c r="A20" t="s">
        <v>206</v>
      </c>
      <c r="B20" t="s">
        <v>233</v>
      </c>
      <c r="C20">
        <v>1E-4</v>
      </c>
      <c r="D20" s="13">
        <v>0</v>
      </c>
    </row>
    <row r="21" spans="1:6">
      <c r="A21" t="s">
        <v>206</v>
      </c>
      <c r="B21" t="s">
        <v>234</v>
      </c>
      <c r="C21">
        <v>3.0000000000000001E-5</v>
      </c>
      <c r="D21" s="13">
        <v>0</v>
      </c>
    </row>
    <row r="22" spans="1:6">
      <c r="A22" t="s">
        <v>206</v>
      </c>
      <c r="B22" t="s">
        <v>247</v>
      </c>
      <c r="C22">
        <v>99.29</v>
      </c>
      <c r="D22" s="13">
        <v>0.62050000000000005</v>
      </c>
    </row>
    <row r="23" spans="1:6">
      <c r="A23" t="s">
        <v>40</v>
      </c>
      <c r="B23" t="s">
        <v>235</v>
      </c>
      <c r="C23">
        <v>43</v>
      </c>
      <c r="D23" s="13">
        <v>1.5100000000000001E-2</v>
      </c>
    </row>
    <row r="24" spans="1:6">
      <c r="A24" t="s">
        <v>40</v>
      </c>
      <c r="B24" t="s">
        <v>236</v>
      </c>
      <c r="C24">
        <v>142</v>
      </c>
      <c r="D24" s="13">
        <v>4.9799999999999997E-2</v>
      </c>
    </row>
    <row r="25" spans="1:6">
      <c r="A25" t="s">
        <v>40</v>
      </c>
      <c r="B25" t="s">
        <v>237</v>
      </c>
      <c r="C25">
        <v>281</v>
      </c>
      <c r="D25" s="13">
        <v>9.8500000000000004E-2</v>
      </c>
    </row>
    <row r="26" spans="1:6">
      <c r="A26" t="s">
        <v>40</v>
      </c>
      <c r="B26" t="s">
        <v>238</v>
      </c>
      <c r="C26">
        <v>267</v>
      </c>
      <c r="D26" s="13">
        <v>9.3600000000000003E-2</v>
      </c>
    </row>
    <row r="27" spans="1:6">
      <c r="A27" t="s">
        <v>40</v>
      </c>
      <c r="B27" t="s">
        <v>239</v>
      </c>
      <c r="C27">
        <v>3</v>
      </c>
      <c r="D27" s="13">
        <v>1.1000000000000001E-3</v>
      </c>
    </row>
    <row r="28" spans="1:6">
      <c r="A28" t="s">
        <v>40</v>
      </c>
      <c r="B28" t="s">
        <v>240</v>
      </c>
      <c r="C28">
        <v>36</v>
      </c>
      <c r="D28" s="13">
        <v>1.26E-2</v>
      </c>
    </row>
    <row r="29" spans="1:6">
      <c r="A29" t="s">
        <v>40</v>
      </c>
      <c r="B29" t="s">
        <v>248</v>
      </c>
      <c r="C29">
        <v>489</v>
      </c>
      <c r="D29" s="13">
        <v>0.1714</v>
      </c>
    </row>
    <row r="30" spans="1:6">
      <c r="A30" t="s">
        <v>40</v>
      </c>
      <c r="B30" t="s">
        <v>241</v>
      </c>
      <c r="C30">
        <v>4</v>
      </c>
      <c r="D30" s="13">
        <v>1.4E-3</v>
      </c>
    </row>
    <row r="31" spans="1:6">
      <c r="A31" t="s">
        <v>40</v>
      </c>
      <c r="B31" t="s">
        <v>242</v>
      </c>
      <c r="C31">
        <v>3</v>
      </c>
      <c r="D31" s="13">
        <v>1.1000000000000001E-3</v>
      </c>
    </row>
    <row r="32" spans="1:6">
      <c r="A32" t="s">
        <v>40</v>
      </c>
      <c r="B32" t="s">
        <v>243</v>
      </c>
      <c r="C32">
        <v>50</v>
      </c>
      <c r="D32" s="13">
        <v>1.7500000000000002E-2</v>
      </c>
    </row>
    <row r="33" spans="1:4">
      <c r="A33" t="s">
        <v>40</v>
      </c>
      <c r="B33" t="s">
        <v>249</v>
      </c>
      <c r="C33">
        <v>38</v>
      </c>
      <c r="D33" s="13">
        <v>1.3299999999999999E-2</v>
      </c>
    </row>
    <row r="34" spans="1:4">
      <c r="A34" t="s">
        <v>40</v>
      </c>
      <c r="B34" t="s">
        <v>244</v>
      </c>
      <c r="C34">
        <v>23</v>
      </c>
      <c r="D34" s="13">
        <v>8.0999999999999996E-3</v>
      </c>
    </row>
    <row r="35" spans="1:4">
      <c r="A35" t="s">
        <v>40</v>
      </c>
      <c r="B35" t="s">
        <v>250</v>
      </c>
      <c r="C35">
        <v>63</v>
      </c>
      <c r="D35" s="13">
        <v>2.2100000000000002E-2</v>
      </c>
    </row>
    <row r="36" spans="1:4">
      <c r="A36" t="s">
        <v>40</v>
      </c>
      <c r="B36" t="s">
        <v>251</v>
      </c>
      <c r="C36">
        <v>60</v>
      </c>
      <c r="D36" s="13">
        <v>2.1000000000000001E-2</v>
      </c>
    </row>
    <row r="37" spans="1:4">
      <c r="A37" t="s">
        <v>40</v>
      </c>
      <c r="B37" t="s">
        <v>252</v>
      </c>
      <c r="C37">
        <v>15</v>
      </c>
      <c r="D37" s="13">
        <v>5.3E-3</v>
      </c>
    </row>
    <row r="38" spans="1:4">
      <c r="A38" t="s">
        <v>40</v>
      </c>
      <c r="B38" t="s">
        <v>253</v>
      </c>
      <c r="C38">
        <v>122</v>
      </c>
      <c r="D38" s="13">
        <v>4.2799999999999998E-2</v>
      </c>
    </row>
    <row r="39" spans="1:4">
      <c r="A39" t="s">
        <v>40</v>
      </c>
      <c r="B39" t="s">
        <v>254</v>
      </c>
      <c r="C39">
        <v>501</v>
      </c>
      <c r="D39" s="13">
        <v>0.17560000000000001</v>
      </c>
    </row>
    <row r="40" spans="1:4">
      <c r="A40" t="s">
        <v>40</v>
      </c>
      <c r="B40" t="s">
        <v>255</v>
      </c>
      <c r="C40">
        <v>133</v>
      </c>
      <c r="D40" s="13">
        <v>4.6600000000000003E-2</v>
      </c>
    </row>
    <row r="41" spans="1:4">
      <c r="A41" t="s">
        <v>40</v>
      </c>
      <c r="B41" t="s">
        <v>256</v>
      </c>
      <c r="C41">
        <v>47</v>
      </c>
      <c r="D41" s="13">
        <v>1.6500000000000001E-2</v>
      </c>
    </row>
    <row r="42" spans="1:4">
      <c r="A42" t="s">
        <v>40</v>
      </c>
      <c r="B42" t="s">
        <v>257</v>
      </c>
      <c r="C42">
        <v>31</v>
      </c>
      <c r="D42" s="13">
        <v>1.09E-2</v>
      </c>
    </row>
    <row r="43" spans="1:4">
      <c r="A43" t="s">
        <v>40</v>
      </c>
      <c r="B43" t="s">
        <v>258</v>
      </c>
      <c r="C43">
        <v>50</v>
      </c>
      <c r="D43" s="13">
        <v>1.7500000000000002E-2</v>
      </c>
    </row>
    <row r="44" spans="1:4">
      <c r="A44" t="s">
        <v>40</v>
      </c>
      <c r="B44" t="s">
        <v>259</v>
      </c>
      <c r="C44">
        <v>5</v>
      </c>
      <c r="D44" s="13">
        <v>1.8E-3</v>
      </c>
    </row>
    <row r="45" spans="1:4">
      <c r="A45" t="s">
        <v>40</v>
      </c>
      <c r="B45" t="s">
        <v>260</v>
      </c>
      <c r="C45">
        <v>77</v>
      </c>
      <c r="D45" s="13">
        <v>2.7E-2</v>
      </c>
    </row>
    <row r="46" spans="1:4">
      <c r="A46" t="s">
        <v>40</v>
      </c>
      <c r="B46" t="s">
        <v>261</v>
      </c>
      <c r="C46">
        <v>7</v>
      </c>
      <c r="D46" s="13">
        <v>2.5000000000000001E-3</v>
      </c>
    </row>
    <row r="47" spans="1:4">
      <c r="A47" t="s">
        <v>40</v>
      </c>
      <c r="B47" t="s">
        <v>262</v>
      </c>
      <c r="C47">
        <v>1</v>
      </c>
      <c r="D47" s="13">
        <v>4.0000000000000002E-4</v>
      </c>
    </row>
    <row r="48" spans="1:4">
      <c r="A48" t="s">
        <v>40</v>
      </c>
      <c r="B48" t="s">
        <v>263</v>
      </c>
      <c r="C48">
        <v>362</v>
      </c>
      <c r="D48" s="13">
        <v>0.12690000000000001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89344-702C-DE43-A5EB-32AE5FC0E19C}">
  <dimension ref="A1:AY75"/>
  <sheetViews>
    <sheetView zoomScale="60" zoomScaleNormal="60" workbookViewId="0">
      <selection activeCell="N37" sqref="N37"/>
    </sheetView>
  </sheetViews>
  <sheetFormatPr baseColWidth="10" defaultRowHeight="16"/>
  <sheetData>
    <row r="1" spans="1:51">
      <c r="A1" t="s">
        <v>7927</v>
      </c>
      <c r="B1" t="s">
        <v>7927</v>
      </c>
      <c r="E1" t="s">
        <v>9083</v>
      </c>
      <c r="G1" t="s">
        <v>9084</v>
      </c>
    </row>
    <row r="2" spans="1:51">
      <c r="A2" s="546"/>
      <c r="B2" s="547" t="s">
        <v>7921</v>
      </c>
      <c r="C2" s="547" t="s">
        <v>7922</v>
      </c>
      <c r="D2" s="547"/>
      <c r="E2" s="548" t="s">
        <v>7921</v>
      </c>
      <c r="F2" s="548" t="s">
        <v>7922</v>
      </c>
      <c r="G2" s="548" t="s">
        <v>7921</v>
      </c>
      <c r="H2" s="548" t="s">
        <v>7922</v>
      </c>
      <c r="I2" s="549" t="s">
        <v>7668</v>
      </c>
      <c r="J2" s="549" t="s">
        <v>7672</v>
      </c>
      <c r="K2">
        <v>0</v>
      </c>
      <c r="L2">
        <v>1</v>
      </c>
      <c r="M2">
        <v>2</v>
      </c>
      <c r="N2">
        <v>3</v>
      </c>
      <c r="O2">
        <v>4</v>
      </c>
      <c r="P2">
        <v>5</v>
      </c>
      <c r="Q2">
        <v>6</v>
      </c>
      <c r="R2">
        <v>7</v>
      </c>
      <c r="S2">
        <v>8</v>
      </c>
      <c r="T2">
        <v>9</v>
      </c>
      <c r="U2">
        <v>10</v>
      </c>
      <c r="V2">
        <v>11</v>
      </c>
      <c r="W2">
        <v>12</v>
      </c>
      <c r="X2">
        <v>13</v>
      </c>
      <c r="Y2">
        <v>14</v>
      </c>
      <c r="Z2">
        <v>15</v>
      </c>
      <c r="AA2">
        <v>16</v>
      </c>
      <c r="AB2">
        <v>17</v>
      </c>
      <c r="AC2">
        <v>18</v>
      </c>
      <c r="AD2">
        <v>19</v>
      </c>
      <c r="AE2">
        <v>20</v>
      </c>
      <c r="AF2">
        <v>21</v>
      </c>
      <c r="AG2">
        <v>22</v>
      </c>
      <c r="AH2">
        <v>23</v>
      </c>
      <c r="AI2">
        <v>24</v>
      </c>
      <c r="AJ2">
        <v>25</v>
      </c>
      <c r="AK2">
        <v>26</v>
      </c>
      <c r="AL2">
        <v>27</v>
      </c>
      <c r="AM2">
        <v>28</v>
      </c>
      <c r="AN2">
        <v>29</v>
      </c>
      <c r="AO2">
        <v>30</v>
      </c>
      <c r="AP2">
        <v>31</v>
      </c>
      <c r="AQ2">
        <v>32</v>
      </c>
      <c r="AR2">
        <v>33</v>
      </c>
      <c r="AS2">
        <v>34</v>
      </c>
      <c r="AT2">
        <v>35</v>
      </c>
      <c r="AU2">
        <v>36</v>
      </c>
      <c r="AV2">
        <v>37</v>
      </c>
      <c r="AW2">
        <v>38</v>
      </c>
      <c r="AX2">
        <v>39</v>
      </c>
      <c r="AY2">
        <v>40</v>
      </c>
    </row>
    <row r="3" spans="1:51">
      <c r="A3" s="550" t="s">
        <v>7938</v>
      </c>
      <c r="B3" s="546"/>
      <c r="C3" s="551"/>
      <c r="D3" s="551"/>
      <c r="E3" s="552">
        <v>2</v>
      </c>
      <c r="F3" s="552">
        <v>14.21</v>
      </c>
      <c r="G3" s="552">
        <v>2</v>
      </c>
      <c r="H3" s="552">
        <v>14.21</v>
      </c>
      <c r="I3" s="553">
        <f>H3*(LN(2))^(1/G3)</f>
        <v>11.830601024550885</v>
      </c>
      <c r="J3" s="553">
        <f>H3*EXP(GAMMALN(1+1/G3))</f>
        <v>12.593284610683693</v>
      </c>
      <c r="K3" s="340">
        <f t="shared" ref="K3:K30" si="0">1-(_xlfn.WEIBULL.DIST(K$2,$G3,$H3,TRUE))</f>
        <v>1</v>
      </c>
      <c r="L3" s="340">
        <f t="shared" ref="L3:AY3" si="1">1-(_xlfn.WEIBULL.DIST(L$2,$G$3,$H$3,TRUE))</f>
        <v>0.99505988683543956</v>
      </c>
      <c r="M3" s="340">
        <f t="shared" si="1"/>
        <v>0.98038549399754416</v>
      </c>
      <c r="N3" s="340">
        <f t="shared" si="1"/>
        <v>0.95640749883085097</v>
      </c>
      <c r="O3" s="340">
        <f t="shared" si="1"/>
        <v>0.92382031201576897</v>
      </c>
      <c r="P3" s="340">
        <f t="shared" si="1"/>
        <v>0.88354867398413794</v>
      </c>
      <c r="Q3" s="340">
        <f t="shared" si="1"/>
        <v>0.83670408704230304</v>
      </c>
      <c r="R3" s="340">
        <f t="shared" si="1"/>
        <v>0.78453394577268476</v>
      </c>
      <c r="S3" s="340">
        <f t="shared" si="1"/>
        <v>0.72836660803968711</v>
      </c>
      <c r="T3" s="340">
        <f t="shared" si="1"/>
        <v>0.66955576441145725</v>
      </c>
      <c r="U3" s="340">
        <f t="shared" si="1"/>
        <v>0.60942731781194537</v>
      </c>
      <c r="V3" s="340">
        <f t="shared" si="1"/>
        <v>0.5492316051585755</v>
      </c>
      <c r="W3" s="340">
        <f t="shared" si="1"/>
        <v>0.49010322641861703</v>
      </c>
      <c r="X3" s="340">
        <f t="shared" si="1"/>
        <v>0.43303005581751686</v>
      </c>
      <c r="Y3" s="340">
        <f t="shared" si="1"/>
        <v>0.378832263399842</v>
      </c>
      <c r="Z3" s="340">
        <f t="shared" si="1"/>
        <v>0.3281514404052388</v>
      </c>
      <c r="AA3" s="340">
        <f t="shared" si="1"/>
        <v>0.2814492588863533</v>
      </c>
      <c r="AB3" s="340">
        <f t="shared" si="1"/>
        <v>0.23901455157130125</v>
      </c>
      <c r="AC3" s="340">
        <f t="shared" si="1"/>
        <v>0.20097730278154002</v>
      </c>
      <c r="AD3" s="340">
        <f t="shared" si="1"/>
        <v>0.16732780846910478</v>
      </c>
      <c r="AE3" s="340">
        <f t="shared" si="1"/>
        <v>0.13793918985333042</v>
      </c>
      <c r="AF3" s="340">
        <f t="shared" si="1"/>
        <v>0.11259151352500807</v>
      </c>
      <c r="AG3" s="340">
        <f t="shared" si="1"/>
        <v>9.0995953866873758E-2</v>
      </c>
      <c r="AH3" s="340">
        <f t="shared" si="1"/>
        <v>7.2817697909253742E-2</v>
      </c>
      <c r="AI3" s="340">
        <f t="shared" si="1"/>
        <v>5.7696603292443527E-2</v>
      </c>
      <c r="AJ3" s="340">
        <f t="shared" si="1"/>
        <v>4.5264943838702054E-2</v>
      </c>
      <c r="AK3" s="340">
        <f t="shared" si="1"/>
        <v>3.5161886191373726E-2</v>
      </c>
      <c r="AL3" s="340">
        <f t="shared" si="1"/>
        <v>2.7044613567428821E-2</v>
      </c>
      <c r="AM3" s="340">
        <f t="shared" si="1"/>
        <v>2.0596234841249506E-2</v>
      </c>
      <c r="AN3" s="340">
        <f t="shared" si="1"/>
        <v>1.5530782159999923E-2</v>
      </c>
      <c r="AO3" s="340">
        <f t="shared" si="1"/>
        <v>1.1595707709371794E-2</v>
      </c>
      <c r="AP3" s="340">
        <f t="shared" si="1"/>
        <v>8.5723447683461185E-3</v>
      </c>
      <c r="AQ3" s="340">
        <f t="shared" si="1"/>
        <v>6.2748079431923509E-3</v>
      </c>
      <c r="AR3" s="340">
        <f t="shared" si="1"/>
        <v>4.5477824792268251E-3</v>
      </c>
      <c r="AS3" s="340">
        <f t="shared" si="1"/>
        <v>3.2636033410654575E-3</v>
      </c>
      <c r="AT3" s="340">
        <f t="shared" si="1"/>
        <v>2.3189612536927973E-3</v>
      </c>
      <c r="AU3" s="340">
        <f t="shared" si="1"/>
        <v>1.6315036656496806E-3</v>
      </c>
      <c r="AV3" s="340">
        <f t="shared" si="1"/>
        <v>1.1365303923746017E-3</v>
      </c>
      <c r="AW3" s="340">
        <f t="shared" si="1"/>
        <v>7.8392134924876178E-4</v>
      </c>
      <c r="AX3" s="340">
        <f t="shared" si="1"/>
        <v>5.353802779093364E-4</v>
      </c>
      <c r="AY3" s="340">
        <f t="shared" si="1"/>
        <v>3.6203510463461708E-4</v>
      </c>
    </row>
    <row r="4" spans="1:51">
      <c r="A4" s="546" t="s">
        <v>7942</v>
      </c>
      <c r="B4" s="546"/>
      <c r="C4" s="551"/>
      <c r="D4" s="551"/>
      <c r="E4" s="552"/>
      <c r="F4" s="552"/>
      <c r="G4" s="552"/>
      <c r="H4" s="552"/>
      <c r="I4" s="553" t="e">
        <f t="shared" ref="I4:I67" si="2">H4*(LN(2))^(1/G4)</f>
        <v>#DIV/0!</v>
      </c>
      <c r="J4" s="553" t="e">
        <f t="shared" ref="J4:J67" si="3">H4*EXP(GAMMALN(1+1/G4))</f>
        <v>#DIV/0!</v>
      </c>
      <c r="K4" s="340" t="e">
        <f t="shared" si="0"/>
        <v>#NUM!</v>
      </c>
      <c r="L4" s="340" t="e">
        <f t="shared" ref="L4:Z4" si="4">1-(_xlfn.WEIBULL.DIST(L$2,$G4,$H4,TRUE))</f>
        <v>#NUM!</v>
      </c>
      <c r="M4" s="340" t="e">
        <f t="shared" si="4"/>
        <v>#NUM!</v>
      </c>
      <c r="N4" s="340" t="e">
        <f t="shared" si="4"/>
        <v>#NUM!</v>
      </c>
      <c r="O4" s="340" t="e">
        <f t="shared" si="4"/>
        <v>#NUM!</v>
      </c>
      <c r="P4" s="340" t="e">
        <f t="shared" si="4"/>
        <v>#NUM!</v>
      </c>
      <c r="Q4" s="340" t="e">
        <f t="shared" si="4"/>
        <v>#NUM!</v>
      </c>
      <c r="R4" s="340" t="e">
        <f t="shared" si="4"/>
        <v>#NUM!</v>
      </c>
      <c r="S4" s="340" t="e">
        <f t="shared" si="4"/>
        <v>#NUM!</v>
      </c>
      <c r="T4" s="340" t="e">
        <f t="shared" si="4"/>
        <v>#NUM!</v>
      </c>
      <c r="U4" s="340" t="e">
        <f t="shared" si="4"/>
        <v>#NUM!</v>
      </c>
      <c r="V4" s="340" t="e">
        <f t="shared" si="4"/>
        <v>#NUM!</v>
      </c>
      <c r="W4" s="340" t="e">
        <f t="shared" si="4"/>
        <v>#NUM!</v>
      </c>
      <c r="X4" s="340" t="e">
        <f t="shared" si="4"/>
        <v>#NUM!</v>
      </c>
      <c r="Y4" s="340" t="e">
        <f t="shared" si="4"/>
        <v>#NUM!</v>
      </c>
      <c r="Z4" s="340" t="e">
        <f t="shared" si="4"/>
        <v>#NUM!</v>
      </c>
      <c r="AA4" s="340" t="e">
        <f t="shared" ref="L4:AW11" si="5">1-(_xlfn.WEIBULL.DIST(AA$2,$G4,$H4,TRUE))</f>
        <v>#NUM!</v>
      </c>
      <c r="AB4" s="340" t="e">
        <f t="shared" si="5"/>
        <v>#NUM!</v>
      </c>
      <c r="AC4" s="340" t="e">
        <f t="shared" si="5"/>
        <v>#NUM!</v>
      </c>
      <c r="AD4" s="340" t="e">
        <f t="shared" si="5"/>
        <v>#NUM!</v>
      </c>
      <c r="AE4" s="340" t="e">
        <f t="shared" si="5"/>
        <v>#NUM!</v>
      </c>
      <c r="AF4" s="340" t="e">
        <f t="shared" si="5"/>
        <v>#NUM!</v>
      </c>
      <c r="AG4" s="340" t="e">
        <f t="shared" si="5"/>
        <v>#NUM!</v>
      </c>
      <c r="AH4" s="340" t="e">
        <f t="shared" si="5"/>
        <v>#NUM!</v>
      </c>
      <c r="AI4" s="340" t="e">
        <f t="shared" si="5"/>
        <v>#NUM!</v>
      </c>
      <c r="AJ4" s="340" t="e">
        <f t="shared" si="5"/>
        <v>#NUM!</v>
      </c>
      <c r="AK4" s="340" t="e">
        <f t="shared" si="5"/>
        <v>#NUM!</v>
      </c>
      <c r="AL4" s="340" t="e">
        <f t="shared" si="5"/>
        <v>#NUM!</v>
      </c>
      <c r="AM4" s="340" t="e">
        <f t="shared" si="5"/>
        <v>#NUM!</v>
      </c>
      <c r="AN4" s="340" t="e">
        <f t="shared" si="5"/>
        <v>#NUM!</v>
      </c>
      <c r="AO4" s="340" t="e">
        <f t="shared" si="5"/>
        <v>#NUM!</v>
      </c>
      <c r="AP4" s="340" t="e">
        <f t="shared" si="5"/>
        <v>#NUM!</v>
      </c>
      <c r="AQ4" s="340" t="e">
        <f t="shared" si="5"/>
        <v>#NUM!</v>
      </c>
      <c r="AR4" s="340" t="e">
        <f t="shared" si="5"/>
        <v>#NUM!</v>
      </c>
      <c r="AS4" s="340" t="e">
        <f t="shared" si="5"/>
        <v>#NUM!</v>
      </c>
      <c r="AT4" s="340" t="e">
        <f t="shared" si="5"/>
        <v>#NUM!</v>
      </c>
      <c r="AU4" s="340" t="e">
        <f t="shared" si="5"/>
        <v>#NUM!</v>
      </c>
      <c r="AV4" s="340" t="e">
        <f t="shared" si="5"/>
        <v>#NUM!</v>
      </c>
      <c r="AW4" s="340" t="e">
        <f t="shared" si="5"/>
        <v>#NUM!</v>
      </c>
      <c r="AX4" s="340" t="e">
        <f t="shared" ref="AX4:AY23" si="6">1-(_xlfn.WEIBULL.DIST(AX$2,$G4,$H4,TRUE))</f>
        <v>#NUM!</v>
      </c>
      <c r="AY4" s="340" t="e">
        <f t="shared" si="6"/>
        <v>#NUM!</v>
      </c>
    </row>
    <row r="5" spans="1:51">
      <c r="A5" s="546" t="s">
        <v>7945</v>
      </c>
      <c r="B5" s="546">
        <v>1.8</v>
      </c>
      <c r="C5" s="554">
        <v>15.8</v>
      </c>
      <c r="D5" s="554"/>
      <c r="E5" s="555"/>
      <c r="F5" s="555"/>
      <c r="G5" s="546">
        <v>1.8</v>
      </c>
      <c r="H5" s="554">
        <v>15.8</v>
      </c>
      <c r="I5" s="553">
        <f t="shared" si="2"/>
        <v>12.88922448191178</v>
      </c>
      <c r="J5" s="553">
        <f t="shared" si="3"/>
        <v>14.050730372744967</v>
      </c>
      <c r="K5" s="340">
        <f t="shared" si="0"/>
        <v>1</v>
      </c>
      <c r="L5" s="340">
        <f t="shared" si="5"/>
        <v>0.99306721962216071</v>
      </c>
      <c r="M5" s="340">
        <f t="shared" si="5"/>
        <v>0.97606566456678734</v>
      </c>
      <c r="N5" s="340">
        <f t="shared" si="5"/>
        <v>0.95098070431096071</v>
      </c>
      <c r="O5" s="340">
        <f t="shared" si="5"/>
        <v>0.91910234550985137</v>
      </c>
      <c r="P5" s="340">
        <f t="shared" si="5"/>
        <v>0.88156554700571044</v>
      </c>
      <c r="Q5" s="340">
        <f t="shared" si="5"/>
        <v>0.8394396179062128</v>
      </c>
      <c r="R5" s="340">
        <f t="shared" si="5"/>
        <v>0.79374717691020114</v>
      </c>
      <c r="S5" s="340">
        <f t="shared" si="5"/>
        <v>0.74546215578915598</v>
      </c>
      <c r="T5" s="340">
        <f t="shared" si="5"/>
        <v>0.69550088004270461</v>
      </c>
      <c r="U5" s="340">
        <f t="shared" si="5"/>
        <v>0.64471158733687417</v>
      </c>
      <c r="V5" s="340">
        <f t="shared" si="5"/>
        <v>0.59386479464967179</v>
      </c>
      <c r="W5" s="340">
        <f t="shared" si="5"/>
        <v>0.54364567072467707</v>
      </c>
      <c r="X5" s="340">
        <f t="shared" si="5"/>
        <v>0.4946489353335648</v>
      </c>
      <c r="Y5" s="340">
        <f t="shared" si="5"/>
        <v>0.44737643943470329</v>
      </c>
      <c r="Z5" s="340">
        <f t="shared" si="5"/>
        <v>0.40223734864181215</v>
      </c>
      <c r="AA5" s="340">
        <f t="shared" si="5"/>
        <v>0.35955070118342691</v>
      </c>
      <c r="AB5" s="340">
        <f t="shared" si="5"/>
        <v>0.31955001487940815</v>
      </c>
      <c r="AC5" s="340">
        <f t="shared" si="5"/>
        <v>0.28238956173896079</v>
      </c>
      <c r="AD5" s="340">
        <f t="shared" si="5"/>
        <v>0.24815190481988725</v>
      </c>
      <c r="AE5" s="340">
        <f t="shared" si="5"/>
        <v>0.21685629339239554</v>
      </c>
      <c r="AF5" s="340">
        <f t="shared" si="5"/>
        <v>0.18846753363269819</v>
      </c>
      <c r="AG5" s="340">
        <f t="shared" si="5"/>
        <v>0.16290498799458253</v>
      </c>
      <c r="AH5" s="340">
        <f t="shared" si="5"/>
        <v>0.14005140246853376</v>
      </c>
      <c r="AI5" s="340">
        <f t="shared" si="5"/>
        <v>0.11976131298889714</v>
      </c>
      <c r="AJ5" s="340">
        <f t="shared" si="5"/>
        <v>0.10186883665672175</v>
      </c>
      <c r="AK5" s="340">
        <f t="shared" si="5"/>
        <v>8.6194707152386085E-2</v>
      </c>
      <c r="AL5" s="340">
        <f t="shared" si="5"/>
        <v>7.2552464274500572E-2</v>
      </c>
      <c r="AM5" s="340">
        <f t="shared" si="5"/>
        <v>6.0753753137097632E-2</v>
      </c>
      <c r="AN5" s="340">
        <f t="shared" si="5"/>
        <v>5.0612727959622683E-2</v>
      </c>
      <c r="AO5" s="340">
        <f t="shared" si="5"/>
        <v>4.1949587914133835E-2</v>
      </c>
      <c r="AP5" s="340">
        <f t="shared" si="5"/>
        <v>3.4593297948162904E-2</v>
      </c>
      <c r="AQ5" s="340">
        <f t="shared" si="5"/>
        <v>2.8383566070201427E-2</v>
      </c>
      <c r="AR5" s="340">
        <f t="shared" si="5"/>
        <v>2.3172160762972127E-2</v>
      </c>
      <c r="AS5" s="340">
        <f t="shared" si="5"/>
        <v>1.8823658689743339E-2</v>
      </c>
      <c r="AT5" s="340">
        <f t="shared" si="5"/>
        <v>1.521571452780901E-2</v>
      </c>
      <c r="AU5" s="340">
        <f t="shared" si="5"/>
        <v>1.2238942509541939E-2</v>
      </c>
      <c r="AV5" s="340">
        <f t="shared" si="5"/>
        <v>9.796493984531196E-3</v>
      </c>
      <c r="AW5" s="340">
        <f t="shared" si="5"/>
        <v>7.8034078983911792E-3</v>
      </c>
      <c r="AX5" s="340">
        <f t="shared" si="6"/>
        <v>6.1858022948040325E-3</v>
      </c>
      <c r="AY5" s="340">
        <f t="shared" si="6"/>
        <v>4.8799654623530309E-3</v>
      </c>
    </row>
    <row r="6" spans="1:51">
      <c r="A6" s="546" t="s">
        <v>277</v>
      </c>
      <c r="B6" s="546">
        <v>1.6</v>
      </c>
      <c r="C6" s="551">
        <v>13.1</v>
      </c>
      <c r="D6" s="551"/>
      <c r="E6" s="552">
        <v>1.64</v>
      </c>
      <c r="F6" s="552">
        <v>12.12</v>
      </c>
      <c r="G6" s="552">
        <v>1.64</v>
      </c>
      <c r="H6" s="552">
        <v>12.12</v>
      </c>
      <c r="I6" s="553">
        <f t="shared" si="2"/>
        <v>9.6927045325047132</v>
      </c>
      <c r="J6" s="553">
        <f t="shared" si="3"/>
        <v>10.843173279253564</v>
      </c>
      <c r="K6" s="340">
        <f t="shared" si="0"/>
        <v>1</v>
      </c>
      <c r="L6" s="340">
        <f t="shared" si="5"/>
        <v>0.98342583853474508</v>
      </c>
      <c r="M6" s="340">
        <f t="shared" si="5"/>
        <v>0.9492445082569555</v>
      </c>
      <c r="N6" s="340">
        <f t="shared" si="5"/>
        <v>0.9036776765672867</v>
      </c>
      <c r="O6" s="340">
        <f t="shared" si="5"/>
        <v>0.85014938732321665</v>
      </c>
      <c r="P6" s="340">
        <f t="shared" si="5"/>
        <v>0.79129757040675142</v>
      </c>
      <c r="Q6" s="340">
        <f t="shared" si="5"/>
        <v>0.72930514513769529</v>
      </c>
      <c r="R6" s="340">
        <f t="shared" si="5"/>
        <v>0.6660045603321626</v>
      </c>
      <c r="S6" s="340">
        <f t="shared" si="5"/>
        <v>0.60292150212101436</v>
      </c>
      <c r="T6" s="340">
        <f t="shared" si="5"/>
        <v>0.54130035483426364</v>
      </c>
      <c r="U6" s="340">
        <f t="shared" si="5"/>
        <v>0.48212537823701518</v>
      </c>
      <c r="V6" s="340">
        <f t="shared" si="5"/>
        <v>0.42614241254833185</v>
      </c>
      <c r="W6" s="340">
        <f t="shared" si="5"/>
        <v>0.37388243215819417</v>
      </c>
      <c r="X6" s="340">
        <f t="shared" si="5"/>
        <v>0.32568682274757121</v>
      </c>
      <c r="Y6" s="340">
        <f t="shared" si="5"/>
        <v>0.28173367222493428</v>
      </c>
      <c r="Z6" s="340">
        <f t="shared" si="5"/>
        <v>0.24206418698051291</v>
      </c>
      <c r="AA6" s="340">
        <f t="shared" si="5"/>
        <v>0.20660836866297272</v>
      </c>
      <c r="AB6" s="340">
        <f t="shared" si="5"/>
        <v>0.17520921131188194</v>
      </c>
      <c r="AC6" s="340">
        <f t="shared" si="5"/>
        <v>0.14764484797402055</v>
      </c>
      <c r="AD6" s="340">
        <f t="shared" si="5"/>
        <v>0.12364825668552171</v>
      </c>
      <c r="AE6" s="340">
        <f t="shared" si="5"/>
        <v>0.10292430787398077</v>
      </c>
      <c r="AF6" s="340">
        <f t="shared" si="5"/>
        <v>8.5164087100603192E-2</v>
      </c>
      <c r="AG6" s="340">
        <f t="shared" si="5"/>
        <v>7.0056552525274762E-2</v>
      </c>
      <c r="AH6" s="340">
        <f t="shared" si="5"/>
        <v>5.7297683368333296E-2</v>
      </c>
      <c r="AI6" s="340">
        <f t="shared" si="5"/>
        <v>4.6597344520116435E-2</v>
      </c>
      <c r="AJ6" s="340">
        <f t="shared" si="5"/>
        <v>3.7684135685729481E-2</v>
      </c>
      <c r="AK6" s="340">
        <f t="shared" si="5"/>
        <v>3.0308514520163699E-2</v>
      </c>
      <c r="AL6" s="340">
        <f t="shared" si="5"/>
        <v>2.4244486120802433E-2</v>
      </c>
      <c r="AM6" s="340">
        <f t="shared" si="5"/>
        <v>1.9290140129102018E-2</v>
      </c>
      <c r="AN6" s="340">
        <f t="shared" si="5"/>
        <v>1.5267295487166321E-2</v>
      </c>
      <c r="AO6" s="340">
        <f t="shared" si="5"/>
        <v>1.2020485135907255E-2</v>
      </c>
      <c r="AP6" s="340">
        <f t="shared" si="5"/>
        <v>9.4154816478853043E-3</v>
      </c>
      <c r="AQ6" s="340">
        <f t="shared" si="5"/>
        <v>7.3375324068265524E-3</v>
      </c>
      <c r="AR6" s="340">
        <f t="shared" si="5"/>
        <v>5.6894413535836241E-3</v>
      </c>
      <c r="AS6" s="340">
        <f t="shared" si="5"/>
        <v>4.3896048590011949E-3</v>
      </c>
      <c r="AT6" s="340">
        <f t="shared" si="5"/>
        <v>3.370082831975485E-3</v>
      </c>
      <c r="AU6" s="340">
        <f t="shared" si="5"/>
        <v>2.57476320588923E-3</v>
      </c>
      <c r="AV6" s="340">
        <f t="shared" si="5"/>
        <v>1.9576586338475588E-3</v>
      </c>
      <c r="AW6" s="340">
        <f t="shared" si="5"/>
        <v>1.4813584906220312E-3</v>
      </c>
      <c r="AX6" s="340">
        <f t="shared" si="6"/>
        <v>1.1156468876160064E-3</v>
      </c>
      <c r="AY6" s="340">
        <f t="shared" si="6"/>
        <v>8.3628801065804836E-4</v>
      </c>
    </row>
    <row r="7" spans="1:51">
      <c r="A7" s="546" t="s">
        <v>7947</v>
      </c>
      <c r="B7" s="546">
        <v>2.5</v>
      </c>
      <c r="C7" s="551">
        <v>18</v>
      </c>
      <c r="D7" s="551"/>
      <c r="E7" s="555"/>
      <c r="F7" s="552"/>
      <c r="G7" s="546">
        <v>2.5</v>
      </c>
      <c r="H7" s="551">
        <v>18</v>
      </c>
      <c r="I7" s="553">
        <f t="shared" si="2"/>
        <v>15.545428210842747</v>
      </c>
      <c r="J7" s="553">
        <f t="shared" si="3"/>
        <v>15.970748715055358</v>
      </c>
      <c r="K7" s="340">
        <f t="shared" si="0"/>
        <v>1</v>
      </c>
      <c r="L7" s="340">
        <f t="shared" si="5"/>
        <v>0.99927278843426082</v>
      </c>
      <c r="M7" s="340">
        <f t="shared" si="5"/>
        <v>0.99589322960310911</v>
      </c>
      <c r="N7" s="340">
        <f t="shared" si="5"/>
        <v>0.9887238277478988</v>
      </c>
      <c r="O7" s="340">
        <f t="shared" si="5"/>
        <v>0.97698963539878392</v>
      </c>
      <c r="P7" s="340">
        <f t="shared" si="5"/>
        <v>0.96014866130841914</v>
      </c>
      <c r="Q7" s="340">
        <f t="shared" si="5"/>
        <v>0.93786428128134647</v>
      </c>
      <c r="R7" s="340">
        <f t="shared" si="5"/>
        <v>0.90999941437032983</v>
      </c>
      <c r="S7" s="340">
        <f t="shared" si="5"/>
        <v>0.87661511990170382</v>
      </c>
      <c r="T7" s="340">
        <f t="shared" si="5"/>
        <v>0.83796688557875576</v>
      </c>
      <c r="U7" s="340">
        <f t="shared" si="5"/>
        <v>0.79449534994180548</v>
      </c>
      <c r="V7" s="340">
        <f t="shared" si="5"/>
        <v>0.74680990635267852</v>
      </c>
      <c r="W7" s="340">
        <f t="shared" si="5"/>
        <v>0.69566478229732498</v>
      </c>
      <c r="X7" s="340">
        <f t="shared" si="5"/>
        <v>0.64192810998917449</v>
      </c>
      <c r="Y7" s="340">
        <f t="shared" si="5"/>
        <v>0.5865452810051196</v>
      </c>
      <c r="Z7" s="340">
        <f t="shared" si="5"/>
        <v>0.53049850169371937</v>
      </c>
      <c r="AA7" s="340">
        <f t="shared" si="5"/>
        <v>0.474764902760755</v>
      </c>
      <c r="AB7" s="340">
        <f t="shared" si="5"/>
        <v>0.42027577080585632</v>
      </c>
      <c r="AC7" s="340">
        <f t="shared" si="5"/>
        <v>0.36787944117144233</v>
      </c>
      <c r="AD7" s="340">
        <f t="shared" si="5"/>
        <v>0.3183101224633802</v>
      </c>
      <c r="AE7" s="340">
        <f t="shared" si="5"/>
        <v>0.27216444141244178</v>
      </c>
      <c r="AF7" s="340">
        <f t="shared" si="5"/>
        <v>0.22988685432773637</v>
      </c>
      <c r="AG7" s="340">
        <f t="shared" si="5"/>
        <v>0.19176433852754382</v>
      </c>
      <c r="AH7" s="340">
        <f t="shared" si="5"/>
        <v>0.15793003361126678</v>
      </c>
      <c r="AI7" s="340">
        <f t="shared" si="5"/>
        <v>0.12837482715790938</v>
      </c>
      <c r="AJ7" s="340">
        <f t="shared" si="5"/>
        <v>0.10296534012359304</v>
      </c>
      <c r="AK7" s="340">
        <f t="shared" si="5"/>
        <v>8.146641192526316E-2</v>
      </c>
      <c r="AL7" s="340">
        <f t="shared" si="5"/>
        <v>6.3566037004625375E-2</v>
      </c>
      <c r="AM7" s="340">
        <f t="shared" si="5"/>
        <v>4.890076019768741E-2</v>
      </c>
      <c r="AN7" s="340">
        <f t="shared" si="5"/>
        <v>3.7079770203773066E-2</v>
      </c>
      <c r="AO7" s="340">
        <f t="shared" si="5"/>
        <v>2.7706293458343301E-2</v>
      </c>
      <c r="AP7" s="340">
        <f t="shared" si="5"/>
        <v>2.039532918836362E-2</v>
      </c>
      <c r="AQ7" s="340">
        <f t="shared" si="5"/>
        <v>1.4787223182517906E-2</v>
      </c>
      <c r="AR7" s="340">
        <f t="shared" si="5"/>
        <v>1.055700183503927E-2</v>
      </c>
      <c r="AS7" s="340">
        <f t="shared" si="5"/>
        <v>7.4197403379667737E-3</v>
      </c>
      <c r="AT7" s="340">
        <f t="shared" si="5"/>
        <v>5.1324957709483199E-3</v>
      </c>
      <c r="AU7" s="340">
        <f t="shared" si="5"/>
        <v>3.4934892766461667E-3</v>
      </c>
      <c r="AV7" s="340">
        <f t="shared" si="5"/>
        <v>2.3392773658496013E-3</v>
      </c>
      <c r="AW7" s="340">
        <f t="shared" si="5"/>
        <v>1.5406268186992644E-3</v>
      </c>
      <c r="AX7" s="340">
        <f t="shared" si="6"/>
        <v>9.9772275358522844E-4</v>
      </c>
      <c r="AY7" s="340">
        <f t="shared" si="6"/>
        <v>6.3521904444874266E-4</v>
      </c>
    </row>
    <row r="8" spans="1:51">
      <c r="A8" s="546" t="s">
        <v>279</v>
      </c>
      <c r="B8" s="546">
        <v>2.2000000000000002</v>
      </c>
      <c r="C8" s="551">
        <v>13.9</v>
      </c>
      <c r="D8" s="551"/>
      <c r="E8" s="555">
        <v>2.2000000000000002</v>
      </c>
      <c r="F8" s="552">
        <v>13.6</v>
      </c>
      <c r="G8" s="555">
        <v>2.2000000000000002</v>
      </c>
      <c r="H8" s="552">
        <v>13.6</v>
      </c>
      <c r="I8" s="553">
        <f t="shared" si="2"/>
        <v>11.512956008541527</v>
      </c>
      <c r="J8" s="553">
        <f t="shared" si="3"/>
        <v>12.04449674212281</v>
      </c>
      <c r="K8" s="340">
        <f t="shared" si="0"/>
        <v>1</v>
      </c>
      <c r="L8" s="340">
        <f t="shared" si="5"/>
        <v>0.99679728708228577</v>
      </c>
      <c r="M8" s="340">
        <f t="shared" si="5"/>
        <v>0.98536867359468394</v>
      </c>
      <c r="N8" s="340">
        <f t="shared" si="5"/>
        <v>0.96467396882152945</v>
      </c>
      <c r="O8" s="340">
        <f t="shared" si="5"/>
        <v>0.93451781398361156</v>
      </c>
      <c r="P8" s="340">
        <f t="shared" si="5"/>
        <v>0.89525271821841812</v>
      </c>
      <c r="Q8" s="340">
        <f t="shared" si="5"/>
        <v>0.84767992371423351</v>
      </c>
      <c r="R8" s="340">
        <f t="shared" si="5"/>
        <v>0.79297064600388545</v>
      </c>
      <c r="S8" s="340">
        <f t="shared" si="5"/>
        <v>0.73258163364012396</v>
      </c>
      <c r="T8" s="340">
        <f t="shared" si="5"/>
        <v>0.66816145334980326</v>
      </c>
      <c r="U8" s="340">
        <f t="shared" si="5"/>
        <v>0.60145090275532076</v>
      </c>
      <c r="V8" s="340">
        <f t="shared" si="5"/>
        <v>0.53418367081267215</v>
      </c>
      <c r="W8" s="340">
        <f t="shared" si="5"/>
        <v>0.46799411838583782</v>
      </c>
      <c r="X8" s="340">
        <f t="shared" si="5"/>
        <v>0.40433855020597143</v>
      </c>
      <c r="Y8" s="340">
        <f t="shared" si="5"/>
        <v>0.34443496858261424</v>
      </c>
      <c r="Z8" s="340">
        <f t="shared" si="5"/>
        <v>0.28922435812521896</v>
      </c>
      <c r="AA8" s="340">
        <f t="shared" si="5"/>
        <v>0.23935436904941532</v>
      </c>
      <c r="AB8" s="340">
        <f t="shared" si="5"/>
        <v>0.19518415119971322</v>
      </c>
      <c r="AC8" s="340">
        <f t="shared" si="5"/>
        <v>0.15680730417895505</v>
      </c>
      <c r="AD8" s="340">
        <f t="shared" si="5"/>
        <v>0.12408863918447977</v>
      </c>
      <c r="AE8" s="340">
        <f t="shared" si="5"/>
        <v>9.6709791036173498E-2</v>
      </c>
      <c r="AF8" s="340">
        <f t="shared" si="5"/>
        <v>7.4218674887077785E-2</v>
      </c>
      <c r="AG8" s="340">
        <f t="shared" si="5"/>
        <v>5.6078268823674171E-2</v>
      </c>
      <c r="AH8" s="340">
        <f t="shared" si="5"/>
        <v>4.1711079680502028E-2</v>
      </c>
      <c r="AI8" s="340">
        <f t="shared" si="5"/>
        <v>3.0536744605175969E-2</v>
      </c>
      <c r="AJ8" s="340">
        <f t="shared" si="5"/>
        <v>2.200136573467415E-2</v>
      </c>
      <c r="AK8" s="340">
        <f t="shared" si="5"/>
        <v>1.5598225724346437E-2</v>
      </c>
      <c r="AL8" s="340">
        <f t="shared" si="5"/>
        <v>1.0880385197369224E-2</v>
      </c>
      <c r="AM8" s="340">
        <f t="shared" si="5"/>
        <v>7.4662645880803069E-3</v>
      </c>
      <c r="AN8" s="340">
        <f t="shared" si="5"/>
        <v>5.0396526530438468E-3</v>
      </c>
      <c r="AO8" s="340">
        <f t="shared" si="5"/>
        <v>3.3456885264872005E-3</v>
      </c>
      <c r="AP8" s="340">
        <f t="shared" si="5"/>
        <v>2.1842835130597704E-3</v>
      </c>
      <c r="AQ8" s="340">
        <f t="shared" si="5"/>
        <v>1.4022431382628708E-3</v>
      </c>
      <c r="AR8" s="340">
        <f t="shared" si="5"/>
        <v>8.8507869932397121E-4</v>
      </c>
      <c r="AS8" s="340">
        <f t="shared" si="5"/>
        <v>5.4921107840200101E-4</v>
      </c>
      <c r="AT8" s="340">
        <f t="shared" si="5"/>
        <v>3.3500492893545619E-4</v>
      </c>
      <c r="AU8" s="340">
        <f t="shared" si="5"/>
        <v>2.0085114736401177E-4</v>
      </c>
      <c r="AV8" s="340">
        <f t="shared" si="5"/>
        <v>1.183494741593405E-4</v>
      </c>
      <c r="AW8" s="340">
        <f t="shared" si="5"/>
        <v>6.8530808819633471E-5</v>
      </c>
      <c r="AX8" s="340">
        <f t="shared" si="6"/>
        <v>3.8993515464103012E-5</v>
      </c>
      <c r="AY8" s="340">
        <f t="shared" si="6"/>
        <v>2.179948711100721E-5</v>
      </c>
    </row>
    <row r="9" spans="1:51">
      <c r="A9" s="546" t="s">
        <v>7950</v>
      </c>
      <c r="B9" s="546">
        <v>2.6</v>
      </c>
      <c r="C9" s="551">
        <v>16.5</v>
      </c>
      <c r="D9" s="551"/>
      <c r="E9" s="556">
        <v>2.58</v>
      </c>
      <c r="F9" s="552">
        <v>14.6</v>
      </c>
      <c r="G9" s="556">
        <v>2.58</v>
      </c>
      <c r="H9" s="552">
        <v>14.6</v>
      </c>
      <c r="I9" s="553">
        <f t="shared" si="2"/>
        <v>12.666519558282216</v>
      </c>
      <c r="J9" s="553">
        <f t="shared" si="3"/>
        <v>12.964944762044768</v>
      </c>
      <c r="K9" s="340">
        <f t="shared" si="0"/>
        <v>1</v>
      </c>
      <c r="L9" s="340">
        <f t="shared" si="5"/>
        <v>0.9990097279796174</v>
      </c>
      <c r="M9" s="340">
        <f t="shared" si="5"/>
        <v>0.99409334996111254</v>
      </c>
      <c r="N9" s="340">
        <f t="shared" si="5"/>
        <v>0.98327809326549998</v>
      </c>
      <c r="O9" s="340">
        <f t="shared" si="5"/>
        <v>0.96519712471169994</v>
      </c>
      <c r="P9" s="340">
        <f t="shared" si="5"/>
        <v>0.93894732903947797</v>
      </c>
      <c r="Q9" s="340">
        <f t="shared" si="5"/>
        <v>0.90408459645171635</v>
      </c>
      <c r="R9" s="340">
        <f t="shared" si="5"/>
        <v>0.86063919562199209</v>
      </c>
      <c r="S9" s="340">
        <f t="shared" si="5"/>
        <v>0.80912025503548302</v>
      </c>
      <c r="T9" s="340">
        <f t="shared" si="5"/>
        <v>0.75049515818881485</v>
      </c>
      <c r="U9" s="340">
        <f t="shared" si="5"/>
        <v>0.68613734563930762</v>
      </c>
      <c r="V9" s="340">
        <f t="shared" si="5"/>
        <v>0.61774186810665233</v>
      </c>
      <c r="W9" s="340">
        <f t="shared" si="5"/>
        <v>0.5472132998838416</v>
      </c>
      <c r="X9" s="340">
        <f t="shared" si="5"/>
        <v>0.47653515853146822</v>
      </c>
      <c r="Y9" s="340">
        <f t="shared" si="5"/>
        <v>0.40763325517074278</v>
      </c>
      <c r="Z9" s="340">
        <f t="shared" si="5"/>
        <v>0.3422468889129584</v>
      </c>
      <c r="AA9" s="340">
        <f t="shared" si="5"/>
        <v>0.28182119118887317</v>
      </c>
      <c r="AB9" s="340">
        <f t="shared" si="5"/>
        <v>0.22743126554051107</v>
      </c>
      <c r="AC9" s="340">
        <f t="shared" si="5"/>
        <v>0.17974448599975423</v>
      </c>
      <c r="AD9" s="340">
        <f t="shared" si="5"/>
        <v>0.13902216118820099</v>
      </c>
      <c r="AE9" s="340">
        <f t="shared" si="5"/>
        <v>0.10515665732186852</v>
      </c>
      <c r="AF9" s="340">
        <f t="shared" si="5"/>
        <v>7.7735886196894532E-2</v>
      </c>
      <c r="AG9" s="340">
        <f t="shared" si="5"/>
        <v>5.6124466576444654E-2</v>
      </c>
      <c r="AH9" s="340">
        <f t="shared" si="5"/>
        <v>3.955016575753989E-2</v>
      </c>
      <c r="AI9" s="340">
        <f t="shared" si="5"/>
        <v>2.7185331027994808E-2</v>
      </c>
      <c r="AJ9" s="340">
        <f t="shared" si="5"/>
        <v>1.8215495503866808E-2</v>
      </c>
      <c r="AK9" s="340">
        <f t="shared" si="5"/>
        <v>1.1890548828685676E-2</v>
      </c>
      <c r="AL9" s="340">
        <f t="shared" si="5"/>
        <v>7.5571194387249463E-3</v>
      </c>
      <c r="AM9" s="340">
        <f t="shared" si="5"/>
        <v>4.673553939466224E-3</v>
      </c>
      <c r="AN9" s="340">
        <f t="shared" si="5"/>
        <v>2.8107479406397351E-3</v>
      </c>
      <c r="AO9" s="340">
        <f t="shared" si="5"/>
        <v>1.6429753955321535E-3</v>
      </c>
      <c r="AP9" s="340">
        <f t="shared" si="5"/>
        <v>9.3288727181872755E-4</v>
      </c>
      <c r="AQ9" s="340">
        <f t="shared" si="5"/>
        <v>5.1424973116553918E-4</v>
      </c>
      <c r="AR9" s="340">
        <f t="shared" si="5"/>
        <v>2.7505964937457605E-4</v>
      </c>
      <c r="AS9" s="340">
        <f t="shared" si="5"/>
        <v>1.4267629643527346E-4</v>
      </c>
      <c r="AT9" s="340">
        <f t="shared" si="5"/>
        <v>7.1732523326595299E-5</v>
      </c>
      <c r="AU9" s="340">
        <f t="shared" si="5"/>
        <v>3.4937336593432455E-5</v>
      </c>
      <c r="AV9" s="340">
        <f t="shared" si="5"/>
        <v>1.6475769031520926E-5</v>
      </c>
      <c r="AW9" s="340">
        <f t="shared" si="5"/>
        <v>7.5189856844071201E-6</v>
      </c>
      <c r="AX9" s="340">
        <f t="shared" si="6"/>
        <v>3.319009261981698E-6</v>
      </c>
      <c r="AY9" s="340">
        <f t="shared" si="6"/>
        <v>1.4163602738426206E-6</v>
      </c>
    </row>
    <row r="10" spans="1:51">
      <c r="A10" s="546" t="s">
        <v>280</v>
      </c>
      <c r="B10" s="546">
        <v>2</v>
      </c>
      <c r="C10" s="554">
        <v>13.5</v>
      </c>
      <c r="D10" s="554"/>
      <c r="E10" s="552">
        <v>2</v>
      </c>
      <c r="F10" s="555">
        <v>13.47</v>
      </c>
      <c r="G10" s="552">
        <v>2</v>
      </c>
      <c r="H10" s="555">
        <v>13.47</v>
      </c>
      <c r="I10" s="553">
        <f t="shared" si="2"/>
        <v>11.214510612294188</v>
      </c>
      <c r="J10" s="553">
        <f t="shared" si="3"/>
        <v>11.937476685848651</v>
      </c>
      <c r="K10" s="340">
        <f t="shared" si="0"/>
        <v>1</v>
      </c>
      <c r="L10" s="340">
        <f t="shared" si="5"/>
        <v>0.99450372359575878</v>
      </c>
      <c r="M10" s="340">
        <f t="shared" si="5"/>
        <v>0.97819548547224344</v>
      </c>
      <c r="N10" s="340">
        <f t="shared" si="5"/>
        <v>0.95160720553908529</v>
      </c>
      <c r="O10" s="340">
        <f t="shared" si="5"/>
        <v>0.91559332237278035</v>
      </c>
      <c r="P10" s="340">
        <f t="shared" si="5"/>
        <v>0.87128520291340839</v>
      </c>
      <c r="Q10" s="340">
        <f t="shared" si="5"/>
        <v>0.82003216471772711</v>
      </c>
      <c r="R10" s="340">
        <f t="shared" si="5"/>
        <v>0.76333339614968598</v>
      </c>
      <c r="S10" s="340">
        <f t="shared" si="5"/>
        <v>0.70276555399090235</v>
      </c>
      <c r="T10" s="340">
        <f t="shared" si="5"/>
        <v>0.63991088339951563</v>
      </c>
      <c r="U10" s="340">
        <f t="shared" si="5"/>
        <v>0.57629035852821242</v>
      </c>
      <c r="V10" s="340">
        <f t="shared" si="5"/>
        <v>0.51330564230204878</v>
      </c>
      <c r="W10" s="340">
        <f t="shared" si="5"/>
        <v>0.45219270255830968</v>
      </c>
      <c r="X10" s="340">
        <f t="shared" si="5"/>
        <v>0.39398881060447932</v>
      </c>
      <c r="Y10" s="340">
        <f t="shared" si="5"/>
        <v>0.3395135044732317</v>
      </c>
      <c r="Z10" s="340">
        <f t="shared" si="5"/>
        <v>0.28936303176090239</v>
      </c>
      <c r="AA10" s="340">
        <f t="shared" si="5"/>
        <v>0.24391688532822797</v>
      </c>
      <c r="AB10" s="340">
        <f t="shared" si="5"/>
        <v>0.20335437131993772</v>
      </c>
      <c r="AC10" s="340">
        <f t="shared" si="5"/>
        <v>0.16767873398740896</v>
      </c>
      <c r="AD10" s="340">
        <f t="shared" si="5"/>
        <v>0.13674620645687163</v>
      </c>
      <c r="AE10" s="340">
        <f t="shared" si="5"/>
        <v>0.11029743557617677</v>
      </c>
      <c r="AF10" s="340">
        <f t="shared" si="5"/>
        <v>8.7988997626838539E-2</v>
      </c>
      <c r="AG10" s="340">
        <f t="shared" si="5"/>
        <v>6.9423123934774233E-2</v>
      </c>
      <c r="AH10" s="340">
        <f t="shared" si="5"/>
        <v>5.4174231788514549E-2</v>
      </c>
      <c r="AI10" s="340">
        <f t="shared" si="5"/>
        <v>4.1811350734504926E-2</v>
      </c>
      <c r="AJ10" s="340">
        <f t="shared" si="5"/>
        <v>3.1916000353775287E-2</v>
      </c>
      <c r="AK10" s="340">
        <f t="shared" si="5"/>
        <v>2.4095478305336648E-2</v>
      </c>
      <c r="AL10" s="340">
        <f t="shared" si="5"/>
        <v>1.7991835395832378E-2</v>
      </c>
      <c r="AM10" s="340">
        <f t="shared" si="5"/>
        <v>1.3287039122515276E-2</v>
      </c>
      <c r="AN10" s="340">
        <f t="shared" si="5"/>
        <v>9.7049607971585461E-3</v>
      </c>
      <c r="AO10" s="340">
        <f t="shared" si="5"/>
        <v>7.0108743574652799E-3</v>
      </c>
      <c r="AP10" s="340">
        <f t="shared" si="5"/>
        <v>5.0091427687067869E-3</v>
      </c>
      <c r="AQ10" s="340">
        <f t="shared" si="5"/>
        <v>3.5397082075688813E-3</v>
      </c>
      <c r="AR10" s="340">
        <f t="shared" si="5"/>
        <v>2.4739125447222898E-3</v>
      </c>
      <c r="AS10" s="340">
        <f t="shared" si="5"/>
        <v>1.7100706367004781E-3</v>
      </c>
      <c r="AT10" s="340">
        <f t="shared" si="5"/>
        <v>1.1691132538187432E-3</v>
      </c>
      <c r="AU10" s="340">
        <f t="shared" si="5"/>
        <v>7.905183312125752E-4</v>
      </c>
      <c r="AV10" s="340">
        <f t="shared" si="5"/>
        <v>5.2866448184096804E-4</v>
      </c>
      <c r="AW10" s="340">
        <f t="shared" si="5"/>
        <v>3.4967223449056117E-4</v>
      </c>
      <c r="AX10" s="340">
        <f t="shared" si="6"/>
        <v>2.2874678098228074E-4</v>
      </c>
      <c r="AY10" s="340">
        <f t="shared" si="6"/>
        <v>1.4799998136449943E-4</v>
      </c>
    </row>
    <row r="11" spans="1:51">
      <c r="A11" s="546" t="s">
        <v>266</v>
      </c>
      <c r="B11" s="546">
        <v>2.2000000000000002</v>
      </c>
      <c r="C11" s="551">
        <v>16.5</v>
      </c>
      <c r="D11" s="551"/>
      <c r="E11" s="552">
        <v>2.2000000000000002</v>
      </c>
      <c r="F11" s="552">
        <v>16.71</v>
      </c>
      <c r="G11" s="552">
        <v>2.2000000000000002</v>
      </c>
      <c r="H11" s="552">
        <v>16.71</v>
      </c>
      <c r="I11" s="553">
        <f t="shared" si="2"/>
        <v>14.145698154612422</v>
      </c>
      <c r="J11" s="553">
        <f t="shared" si="3"/>
        <v>14.798789747122955</v>
      </c>
      <c r="K11" s="340">
        <f t="shared" si="0"/>
        <v>1</v>
      </c>
      <c r="L11" s="340">
        <f t="shared" si="5"/>
        <v>0.99796291529963799</v>
      </c>
      <c r="M11" s="340">
        <f t="shared" si="5"/>
        <v>0.99067422739323063</v>
      </c>
      <c r="N11" s="340">
        <f t="shared" si="5"/>
        <v>0.9773971314748392</v>
      </c>
      <c r="O11" s="340">
        <f t="shared" si="5"/>
        <v>0.95786248586084377</v>
      </c>
      <c r="P11" s="340">
        <f t="shared" ref="L11:AW17" si="7">1-(_xlfn.WEIBULL.DIST(P$2,$G11,$H11,TRUE))</f>
        <v>0.93207935740810455</v>
      </c>
      <c r="Q11" s="340">
        <f t="shared" si="7"/>
        <v>0.90028201081495618</v>
      </c>
      <c r="R11" s="340">
        <f t="shared" si="7"/>
        <v>0.86289892568219939</v>
      </c>
      <c r="S11" s="340">
        <f t="shared" si="7"/>
        <v>0.82052516317378721</v>
      </c>
      <c r="T11" s="340">
        <f t="shared" si="7"/>
        <v>0.77389298737151546</v>
      </c>
      <c r="U11" s="340">
        <f t="shared" si="7"/>
        <v>0.72383960053997398</v>
      </c>
      <c r="V11" s="340">
        <f t="shared" si="7"/>
        <v>0.67127244433203326</v>
      </c>
      <c r="W11" s="340">
        <f t="shared" si="7"/>
        <v>0.61713327567743459</v>
      </c>
      <c r="X11" s="340">
        <f t="shared" si="7"/>
        <v>0.56236257690430924</v>
      </c>
      <c r="Y11" s="340">
        <f t="shared" si="7"/>
        <v>0.50786595404891344</v>
      </c>
      <c r="Z11" s="340">
        <f t="shared" si="7"/>
        <v>0.45448408291285713</v>
      </c>
      <c r="AA11" s="340">
        <f t="shared" si="7"/>
        <v>0.40296752373267553</v>
      </c>
      <c r="AB11" s="340">
        <f t="shared" si="7"/>
        <v>0.35395738245671371</v>
      </c>
      <c r="AC11" s="340">
        <f t="shared" si="7"/>
        <v>0.3079723903228937</v>
      </c>
      <c r="AD11" s="340">
        <f t="shared" si="7"/>
        <v>0.26540254473986558</v>
      </c>
      <c r="AE11" s="340">
        <f t="shared" si="7"/>
        <v>0.22650904232314739</v>
      </c>
      <c r="AF11" s="340">
        <f t="shared" si="7"/>
        <v>0.19142987318754878</v>
      </c>
      <c r="AG11" s="340">
        <f t="shared" si="7"/>
        <v>0.16019016040007417</v>
      </c>
      <c r="AH11" s="340">
        <f t="shared" si="7"/>
        <v>0.13271613649090619</v>
      </c>
      <c r="AI11" s="340">
        <f t="shared" si="7"/>
        <v>0.10885155650723366</v>
      </c>
      <c r="AJ11" s="340">
        <f t="shared" si="7"/>
        <v>8.837535086248749E-2</v>
      </c>
      <c r="AK11" s="340">
        <f t="shared" si="7"/>
        <v>7.101940937822393E-2</v>
      </c>
      <c r="AL11" s="340">
        <f t="shared" si="7"/>
        <v>5.6485542418758139E-2</v>
      </c>
      <c r="AM11" s="340">
        <f t="shared" si="7"/>
        <v>4.446086423670581E-2</v>
      </c>
      <c r="AN11" s="340">
        <f t="shared" si="7"/>
        <v>3.4631064965313096E-2</v>
      </c>
      <c r="AO11" s="340">
        <f t="shared" si="7"/>
        <v>2.6691259915065935E-2</v>
      </c>
      <c r="AP11" s="340">
        <f t="shared" si="7"/>
        <v>2.0354310068392611E-2</v>
      </c>
      <c r="AQ11" s="340">
        <f t="shared" si="7"/>
        <v>1.5356682568755331E-2</v>
      </c>
      <c r="AR11" s="340">
        <f t="shared" si="7"/>
        <v>1.1462056300096002E-2</v>
      </c>
      <c r="AS11" s="340">
        <f t="shared" si="7"/>
        <v>8.4629720568250022E-3</v>
      </c>
      <c r="AT11" s="340">
        <f t="shared" si="7"/>
        <v>6.1808803766875142E-3</v>
      </c>
      <c r="AU11" s="340">
        <f t="shared" si="7"/>
        <v>4.4649572992896402E-3</v>
      </c>
      <c r="AV11" s="340">
        <f t="shared" si="7"/>
        <v>3.1900458221795214E-3</v>
      </c>
      <c r="AW11" s="340">
        <f t="shared" si="7"/>
        <v>2.2540464658490356E-3</v>
      </c>
      <c r="AX11" s="340">
        <f t="shared" si="6"/>
        <v>1.5750320439551491E-3</v>
      </c>
      <c r="AY11" s="340">
        <f t="shared" si="6"/>
        <v>1.0883066943661035E-3</v>
      </c>
    </row>
    <row r="12" spans="1:51">
      <c r="A12" s="546" t="s">
        <v>7955</v>
      </c>
      <c r="B12" s="546">
        <v>2.6</v>
      </c>
      <c r="C12" s="551">
        <v>23.2</v>
      </c>
      <c r="D12" s="551"/>
      <c r="E12" s="552">
        <v>1.28</v>
      </c>
      <c r="F12" s="552">
        <v>18.55</v>
      </c>
      <c r="G12" s="552">
        <v>1.28</v>
      </c>
      <c r="H12" s="552">
        <v>18.55</v>
      </c>
      <c r="I12" s="553">
        <f t="shared" si="2"/>
        <v>13.931208926514058</v>
      </c>
      <c r="J12" s="553">
        <f t="shared" si="3"/>
        <v>17.187329446844416</v>
      </c>
      <c r="K12" s="340">
        <f t="shared" si="0"/>
        <v>1</v>
      </c>
      <c r="L12" s="340">
        <f t="shared" si="7"/>
        <v>0.97648404538324129</v>
      </c>
      <c r="M12" s="340">
        <f t="shared" si="7"/>
        <v>0.94384995706587849</v>
      </c>
      <c r="N12" s="340">
        <f t="shared" si="7"/>
        <v>0.90746205616662279</v>
      </c>
      <c r="O12" s="340">
        <f t="shared" si="7"/>
        <v>0.86906969449000315</v>
      </c>
      <c r="P12" s="340">
        <f t="shared" si="7"/>
        <v>0.82967224732911005</v>
      </c>
      <c r="Q12" s="340">
        <f t="shared" si="7"/>
        <v>0.78993453276258807</v>
      </c>
      <c r="R12" s="340">
        <f t="shared" si="7"/>
        <v>0.75033144733908386</v>
      </c>
      <c r="S12" s="340">
        <f t="shared" si="7"/>
        <v>0.71121487011073059</v>
      </c>
      <c r="T12" s="340">
        <f t="shared" si="7"/>
        <v>0.6728501740030004</v>
      </c>
      <c r="U12" s="340">
        <f t="shared" si="7"/>
        <v>0.63543850466904406</v>
      </c>
      <c r="V12" s="340">
        <f t="shared" si="7"/>
        <v>0.59913152348532561</v>
      </c>
      <c r="W12" s="340">
        <f t="shared" si="7"/>
        <v>0.56404178023071638</v>
      </c>
      <c r="X12" s="340">
        <f t="shared" si="7"/>
        <v>0.5302503640064451</v>
      </c>
      <c r="Y12" s="340">
        <f t="shared" si="7"/>
        <v>0.49781275795468782</v>
      </c>
      <c r="Z12" s="340">
        <f t="shared" si="7"/>
        <v>0.46676344994015473</v>
      </c>
      <c r="AA12" s="340">
        <f t="shared" si="7"/>
        <v>0.43711964571001938</v>
      </c>
      <c r="AB12" s="340">
        <f t="shared" si="7"/>
        <v>0.40888431162710703</v>
      </c>
      <c r="AC12" s="340">
        <f t="shared" si="7"/>
        <v>0.38204870156173965</v>
      </c>
      <c r="AD12" s="340">
        <f t="shared" si="7"/>
        <v>0.35659447678138323</v>
      </c>
      <c r="AE12" s="340">
        <f t="shared" si="7"/>
        <v>0.33249549783077859</v>
      </c>
      <c r="AF12" s="340">
        <f t="shared" si="7"/>
        <v>0.30971934733090101</v>
      </c>
      <c r="AG12" s="340">
        <f t="shared" si="7"/>
        <v>0.28822862876604605</v>
      </c>
      <c r="AH12" s="340">
        <f t="shared" si="7"/>
        <v>0.26798207651370842</v>
      </c>
      <c r="AI12" s="340">
        <f t="shared" si="7"/>
        <v>0.24893550525805941</v>
      </c>
      <c r="AJ12" s="340">
        <f t="shared" si="7"/>
        <v>0.23104262165767397</v>
      </c>
      <c r="AK12" s="340">
        <f t="shared" si="7"/>
        <v>0.21425571715235359</v>
      </c>
      <c r="AL12" s="340">
        <f t="shared" si="7"/>
        <v>0.19852625771985388</v>
      </c>
      <c r="AM12" s="340">
        <f t="shared" si="7"/>
        <v>0.1838053839781848</v>
      </c>
      <c r="AN12" s="340">
        <f t="shared" si="7"/>
        <v>0.17004433309835065</v>
      </c>
      <c r="AO12" s="340">
        <f t="shared" si="7"/>
        <v>0.15719479242357115</v>
      </c>
      <c r="AP12" s="340">
        <f t="shared" si="7"/>
        <v>0.14520919339706972</v>
      </c>
      <c r="AQ12" s="340">
        <f t="shared" si="7"/>
        <v>0.13404095331864496</v>
      </c>
      <c r="AR12" s="340">
        <f t="shared" si="7"/>
        <v>0.1236446715345233</v>
      </c>
      <c r="AS12" s="340">
        <f t="shared" si="7"/>
        <v>0.11397628588146225</v>
      </c>
      <c r="AT12" s="340">
        <f t="shared" si="7"/>
        <v>0.10499319452924816</v>
      </c>
      <c r="AU12" s="340">
        <f t="shared" si="7"/>
        <v>9.6654347776294891E-2</v>
      </c>
      <c r="AV12" s="340">
        <f t="shared" si="7"/>
        <v>8.892031383612975E-2</v>
      </c>
      <c r="AW12" s="340">
        <f t="shared" si="7"/>
        <v>8.1753322196613354E-2</v>
      </c>
      <c r="AX12" s="340">
        <f t="shared" si="6"/>
        <v>7.5117287729656534E-2</v>
      </c>
      <c r="AY12" s="340">
        <f t="shared" si="6"/>
        <v>6.897781836970851E-2</v>
      </c>
    </row>
    <row r="13" spans="1:51">
      <c r="A13" s="546" t="s">
        <v>268</v>
      </c>
      <c r="B13" s="546">
        <v>2.8</v>
      </c>
      <c r="C13" s="551">
        <v>12.3</v>
      </c>
      <c r="D13" s="551"/>
      <c r="E13" s="555">
        <v>2.69</v>
      </c>
      <c r="F13" s="552">
        <v>14.52</v>
      </c>
      <c r="G13" s="555">
        <v>2.69</v>
      </c>
      <c r="H13" s="552">
        <v>14.52</v>
      </c>
      <c r="I13" s="553">
        <f t="shared" si="2"/>
        <v>12.670505019965223</v>
      </c>
      <c r="J13" s="553">
        <f t="shared" si="3"/>
        <v>12.91076393107819</v>
      </c>
      <c r="K13" s="340">
        <f t="shared" si="0"/>
        <v>1</v>
      </c>
      <c r="L13" s="340">
        <f t="shared" si="7"/>
        <v>0.9992515768142487</v>
      </c>
      <c r="M13" s="340">
        <f t="shared" si="7"/>
        <v>0.99518016945717747</v>
      </c>
      <c r="N13" s="340">
        <f t="shared" si="7"/>
        <v>0.98572266693798039</v>
      </c>
      <c r="O13" s="340">
        <f t="shared" si="7"/>
        <v>0.96930281817560682</v>
      </c>
      <c r="P13" s="340">
        <f t="shared" si="7"/>
        <v>0.94475942868004326</v>
      </c>
      <c r="Q13" s="340">
        <f t="shared" si="7"/>
        <v>0.91137795987247883</v>
      </c>
      <c r="R13" s="340">
        <f t="shared" si="7"/>
        <v>0.86893850516289861</v>
      </c>
      <c r="S13" s="340">
        <f t="shared" si="7"/>
        <v>0.8177511799363768</v>
      </c>
      <c r="T13" s="340">
        <f t="shared" si="7"/>
        <v>0.75866191763471058</v>
      </c>
      <c r="U13" s="340">
        <f t="shared" si="7"/>
        <v>0.69301816745678768</v>
      </c>
      <c r="V13" s="340">
        <f t="shared" si="7"/>
        <v>0.62259028285900864</v>
      </c>
      <c r="W13" s="340">
        <f t="shared" si="7"/>
        <v>0.54945123913708893</v>
      </c>
      <c r="X13" s="340">
        <f t="shared" si="7"/>
        <v>0.47582419399603815</v>
      </c>
      <c r="Y13" s="340">
        <f t="shared" si="7"/>
        <v>0.40391326038099939</v>
      </c>
      <c r="Z13" s="340">
        <f t="shared" si="7"/>
        <v>0.33573655242161426</v>
      </c>
      <c r="AA13" s="340">
        <f t="shared" si="7"/>
        <v>0.27298121080058846</v>
      </c>
      <c r="AB13" s="340">
        <f t="shared" si="7"/>
        <v>0.21689738370277412</v>
      </c>
      <c r="AC13" s="340">
        <f t="shared" si="7"/>
        <v>0.16824241631280579</v>
      </c>
      <c r="AD13" s="340">
        <f t="shared" si="7"/>
        <v>0.12727885087132895</v>
      </c>
      <c r="AE13" s="340">
        <f t="shared" si="7"/>
        <v>9.3821782440397961E-2</v>
      </c>
      <c r="AF13" s="340">
        <f t="shared" si="7"/>
        <v>6.732426306856476E-2</v>
      </c>
      <c r="AG13" s="340">
        <f t="shared" si="7"/>
        <v>4.69850935304571E-2</v>
      </c>
      <c r="AH13" s="340">
        <f t="shared" si="7"/>
        <v>3.1862149504241821E-2</v>
      </c>
      <c r="AI13" s="340">
        <f t="shared" si="7"/>
        <v>2.0976256377015279E-2</v>
      </c>
      <c r="AJ13" s="340">
        <f t="shared" si="7"/>
        <v>1.3394776871291425E-2</v>
      </c>
      <c r="AK13" s="340">
        <f t="shared" si="7"/>
        <v>8.2893246985961122E-3</v>
      </c>
      <c r="AL13" s="340">
        <f t="shared" si="7"/>
        <v>4.9671266091453337E-3</v>
      </c>
      <c r="AM13" s="340">
        <f t="shared" si="7"/>
        <v>2.8795484826200646E-3</v>
      </c>
      <c r="AN13" s="340">
        <f t="shared" si="7"/>
        <v>1.6136581706933661E-3</v>
      </c>
      <c r="AO13" s="340">
        <f t="shared" si="7"/>
        <v>8.7338471173092902E-4</v>
      </c>
      <c r="AP13" s="340">
        <f t="shared" si="7"/>
        <v>4.5619370204541543E-4</v>
      </c>
      <c r="AQ13" s="340">
        <f t="shared" si="7"/>
        <v>2.297677507990814E-4</v>
      </c>
      <c r="AR13" s="340">
        <f t="shared" si="7"/>
        <v>1.1150000832971241E-4</v>
      </c>
      <c r="AS13" s="340">
        <f t="shared" si="7"/>
        <v>5.2090688013706199E-5</v>
      </c>
      <c r="AT13" s="340">
        <f t="shared" si="7"/>
        <v>2.3409989805878162E-5</v>
      </c>
      <c r="AU13" s="340">
        <f t="shared" si="7"/>
        <v>1.0112487109803503E-5</v>
      </c>
      <c r="AV13" s="340">
        <f t="shared" si="7"/>
        <v>4.1955901123325035E-6</v>
      </c>
      <c r="AW13" s="340">
        <f t="shared" si="7"/>
        <v>1.6705982591735946E-6</v>
      </c>
      <c r="AX13" s="340">
        <f t="shared" si="6"/>
        <v>6.3791566806692401E-7</v>
      </c>
      <c r="AY13" s="340">
        <f t="shared" si="6"/>
        <v>2.3341988808489589E-7</v>
      </c>
    </row>
    <row r="14" spans="1:51">
      <c r="A14" s="546" t="s">
        <v>269</v>
      </c>
      <c r="B14" s="546">
        <v>2.4</v>
      </c>
      <c r="C14" s="551">
        <v>13.6</v>
      </c>
      <c r="D14" s="551"/>
      <c r="E14" s="552">
        <v>2.36</v>
      </c>
      <c r="F14" s="552">
        <v>13.36</v>
      </c>
      <c r="G14" s="552">
        <v>2.36</v>
      </c>
      <c r="H14" s="552">
        <v>13.36</v>
      </c>
      <c r="I14" s="553">
        <f t="shared" si="2"/>
        <v>11.438250925285869</v>
      </c>
      <c r="J14" s="553">
        <f t="shared" si="3"/>
        <v>11.839982596833472</v>
      </c>
      <c r="K14" s="340">
        <f t="shared" si="0"/>
        <v>1</v>
      </c>
      <c r="L14" s="340">
        <f t="shared" si="7"/>
        <v>0.99779900842247216</v>
      </c>
      <c r="M14" s="340">
        <f t="shared" si="7"/>
        <v>0.98875204522785443</v>
      </c>
      <c r="N14" s="340">
        <f t="shared" si="7"/>
        <v>0.9709782651654334</v>
      </c>
      <c r="O14" s="340">
        <f t="shared" si="7"/>
        <v>0.94358307260602559</v>
      </c>
      <c r="P14" s="340">
        <f t="shared" si="7"/>
        <v>0.9063538774753912</v>
      </c>
      <c r="Q14" s="340">
        <f t="shared" si="7"/>
        <v>0.85968115794649758</v>
      </c>
      <c r="R14" s="340">
        <f t="shared" si="7"/>
        <v>0.80449985350540432</v>
      </c>
      <c r="S14" s="340">
        <f t="shared" si="7"/>
        <v>0.74221327999387221</v>
      </c>
      <c r="T14" s="340">
        <f t="shared" si="7"/>
        <v>0.67459083975351275</v>
      </c>
      <c r="U14" s="340">
        <f t="shared" si="7"/>
        <v>0.60364213625689844</v>
      </c>
      <c r="V14" s="340">
        <f t="shared" si="7"/>
        <v>0.53147630670785351</v>
      </c>
      <c r="W14" s="340">
        <f t="shared" si="7"/>
        <v>0.46015878400165389</v>
      </c>
      <c r="X14" s="340">
        <f t="shared" si="7"/>
        <v>0.39157874973821838</v>
      </c>
      <c r="Y14" s="340">
        <f t="shared" si="7"/>
        <v>0.3273394359113595</v>
      </c>
      <c r="Z14" s="340">
        <f t="shared" si="7"/>
        <v>0.26868051541003812</v>
      </c>
      <c r="AA14" s="340">
        <f t="shared" si="7"/>
        <v>0.2164376592471785</v>
      </c>
      <c r="AB14" s="340">
        <f t="shared" si="7"/>
        <v>0.17103966797798287</v>
      </c>
      <c r="AC14" s="340">
        <f t="shared" si="7"/>
        <v>0.13253918358768568</v>
      </c>
      <c r="AD14" s="340">
        <f t="shared" si="7"/>
        <v>0.10066953062219608</v>
      </c>
      <c r="AE14" s="340">
        <f t="shared" si="7"/>
        <v>7.4918172563614216E-2</v>
      </c>
      <c r="AF14" s="340">
        <f t="shared" si="7"/>
        <v>5.4606762378104023E-2</v>
      </c>
      <c r="AG14" s="340">
        <f t="shared" si="7"/>
        <v>3.8968685368690137E-2</v>
      </c>
      <c r="AH14" s="340">
        <f t="shared" si="7"/>
        <v>2.7216978984156426E-2</v>
      </c>
      <c r="AI14" s="340">
        <f t="shared" si="7"/>
        <v>1.8598081009060574E-2</v>
      </c>
      <c r="AJ14" s="340">
        <f t="shared" si="7"/>
        <v>1.2429503059486535E-2</v>
      </c>
      <c r="AK14" s="340">
        <f t="shared" si="7"/>
        <v>8.121832542301588E-3</v>
      </c>
      <c r="AL14" s="340">
        <f t="shared" si="7"/>
        <v>5.1871614295029289E-3</v>
      </c>
      <c r="AM14" s="340">
        <f t="shared" si="7"/>
        <v>3.237018517434298E-3</v>
      </c>
      <c r="AN14" s="340">
        <f t="shared" si="7"/>
        <v>1.9731844881317739E-3</v>
      </c>
      <c r="AO14" s="340">
        <f t="shared" si="7"/>
        <v>1.1745396731223101E-3</v>
      </c>
      <c r="AP14" s="340">
        <f t="shared" si="7"/>
        <v>6.8252475681118696E-4</v>
      </c>
      <c r="AQ14" s="340">
        <f t="shared" si="7"/>
        <v>3.8707556376471608E-4</v>
      </c>
      <c r="AR14" s="340">
        <f t="shared" si="7"/>
        <v>2.1417963493230996E-4</v>
      </c>
      <c r="AS14" s="340">
        <f t="shared" si="7"/>
        <v>1.155969881616592E-4</v>
      </c>
      <c r="AT14" s="340">
        <f t="shared" si="7"/>
        <v>6.083926127309347E-5</v>
      </c>
      <c r="AU14" s="340">
        <f t="shared" si="7"/>
        <v>3.1215891047375877E-5</v>
      </c>
      <c r="AV14" s="340">
        <f t="shared" si="7"/>
        <v>1.5610231098528438E-5</v>
      </c>
      <c r="AW14" s="340">
        <f t="shared" si="7"/>
        <v>7.6063115004298965E-6</v>
      </c>
      <c r="AX14" s="340">
        <f t="shared" si="6"/>
        <v>3.6104500701350517E-6</v>
      </c>
      <c r="AY14" s="340">
        <f t="shared" si="6"/>
        <v>1.6690299943222797E-6</v>
      </c>
    </row>
    <row r="15" spans="1:51">
      <c r="A15" s="546" t="s">
        <v>270</v>
      </c>
      <c r="B15" s="546">
        <v>2.5</v>
      </c>
      <c r="C15" s="554">
        <v>20.6</v>
      </c>
      <c r="D15" s="554"/>
      <c r="E15" s="552">
        <v>1.6</v>
      </c>
      <c r="F15" s="555">
        <v>15.36</v>
      </c>
      <c r="G15" s="552">
        <v>1.6</v>
      </c>
      <c r="H15" s="555">
        <v>15.36</v>
      </c>
      <c r="I15" s="553">
        <f t="shared" si="2"/>
        <v>12.215384139039438</v>
      </c>
      <c r="J15" s="553">
        <f t="shared" si="3"/>
        <v>13.771380941669344</v>
      </c>
      <c r="K15" s="340">
        <f t="shared" si="0"/>
        <v>1</v>
      </c>
      <c r="L15" s="340">
        <f t="shared" si="7"/>
        <v>0.98743877384767498</v>
      </c>
      <c r="M15" s="340">
        <f t="shared" si="7"/>
        <v>0.96240521520988176</v>
      </c>
      <c r="N15" s="340">
        <f t="shared" si="7"/>
        <v>0.92931193871488449</v>
      </c>
      <c r="O15" s="340">
        <f t="shared" si="7"/>
        <v>0.89032955862884788</v>
      </c>
      <c r="P15" s="340">
        <f t="shared" si="7"/>
        <v>0.84704041479321401</v>
      </c>
      <c r="Q15" s="340">
        <f t="shared" si="7"/>
        <v>0.80072569704831498</v>
      </c>
      <c r="R15" s="340">
        <f t="shared" si="7"/>
        <v>0.75246494444645984</v>
      </c>
      <c r="S15" s="340">
        <f t="shared" si="7"/>
        <v>0.70318014493275549</v>
      </c>
      <c r="T15" s="340">
        <f t="shared" si="7"/>
        <v>0.65365900126807963</v>
      </c>
      <c r="U15" s="340">
        <f t="shared" si="7"/>
        <v>0.60456945025122877</v>
      </c>
      <c r="V15" s="340">
        <f t="shared" si="7"/>
        <v>0.55647037860906723</v>
      </c>
      <c r="W15" s="340">
        <f t="shared" si="7"/>
        <v>0.50982073056150679</v>
      </c>
      <c r="X15" s="340">
        <f t="shared" si="7"/>
        <v>0.46498800213542357</v>
      </c>
      <c r="Y15" s="340">
        <f t="shared" si="7"/>
        <v>0.42225654756845321</v>
      </c>
      <c r="Z15" s="340">
        <f t="shared" si="7"/>
        <v>0.38183583934077825</v>
      </c>
      <c r="AA15" s="340">
        <f t="shared" si="7"/>
        <v>0.34386868072593502</v>
      </c>
      <c r="AB15" s="340">
        <f t="shared" si="7"/>
        <v>0.3084393014375908</v>
      </c>
      <c r="AC15" s="340">
        <f t="shared" si="7"/>
        <v>0.27558123958518999</v>
      </c>
      <c r="AD15" s="340">
        <f t="shared" si="7"/>
        <v>0.24528490886819732</v>
      </c>
      <c r="AE15" s="340">
        <f t="shared" si="7"/>
        <v>0.21750475858083029</v>
      </c>
      <c r="AF15" s="340">
        <f t="shared" si="7"/>
        <v>0.19216594950094712</v>
      </c>
      <c r="AG15" s="340">
        <f t="shared" si="7"/>
        <v>0.16917048733892148</v>
      </c>
      <c r="AH15" s="340">
        <f t="shared" si="7"/>
        <v>0.14840277474582919</v>
      </c>
      <c r="AI15" s="340">
        <f t="shared" si="7"/>
        <v>0.12973456141869399</v>
      </c>
      <c r="AJ15" s="340">
        <f t="shared" si="7"/>
        <v>0.11302928866612738</v>
      </c>
      <c r="AK15" s="340">
        <f t="shared" si="7"/>
        <v>9.8145839380545108E-2</v>
      </c>
      <c r="AL15" s="340">
        <f t="shared" si="7"/>
        <v>8.4941716453262317E-2</v>
      </c>
      <c r="AM15" s="340">
        <f t="shared" si="7"/>
        <v>7.3275682214480664E-2</v>
      </c>
      <c r="AN15" s="340">
        <f t="shared" si="7"/>
        <v>6.3009898568880285E-2</v>
      </c>
      <c r="AO15" s="340">
        <f t="shared" si="7"/>
        <v>5.4011612311097412E-2</v>
      </c>
      <c r="AP15" s="340">
        <f t="shared" si="7"/>
        <v>4.6154432885845087E-2</v>
      </c>
      <c r="AQ15" s="340">
        <f t="shared" si="7"/>
        <v>3.9319250880403889E-2</v>
      </c>
      <c r="AR15" s="340">
        <f t="shared" si="7"/>
        <v>3.3394845091210268E-2</v>
      </c>
      <c r="AS15" s="340">
        <f t="shared" si="7"/>
        <v>2.8278224377263905E-2</v>
      </c>
      <c r="AT15" s="340">
        <f t="shared" si="7"/>
        <v>2.38747479729291E-2</v>
      </c>
      <c r="AU15" s="340">
        <f t="shared" si="7"/>
        <v>2.0098064731228438E-2</v>
      </c>
      <c r="AV15" s="340">
        <f t="shared" si="7"/>
        <v>1.6869908128560041E-2</v>
      </c>
      <c r="AW15" s="340">
        <f t="shared" si="7"/>
        <v>1.4119779975564795E-2</v>
      </c>
      <c r="AX15" s="340">
        <f t="shared" si="6"/>
        <v>1.1784551808470933E-2</v>
      </c>
      <c r="AY15" s="340">
        <f t="shared" si="6"/>
        <v>9.8080090122295571E-3</v>
      </c>
    </row>
    <row r="16" spans="1:51">
      <c r="A16" s="546" t="s">
        <v>7959</v>
      </c>
      <c r="B16" s="546">
        <v>0.8</v>
      </c>
      <c r="C16" s="554">
        <v>14.7</v>
      </c>
      <c r="D16" s="554"/>
      <c r="E16" s="555">
        <v>2.0699999999999998</v>
      </c>
      <c r="F16" s="555">
        <v>17.989999999999998</v>
      </c>
      <c r="G16" s="555">
        <v>2.0699999999999998</v>
      </c>
      <c r="H16" s="555">
        <v>17.989999999999998</v>
      </c>
      <c r="I16" s="553">
        <f t="shared" si="2"/>
        <v>15.070763366079341</v>
      </c>
      <c r="J16" s="553">
        <f t="shared" si="3"/>
        <v>15.93552871576405</v>
      </c>
      <c r="K16" s="340">
        <f t="shared" si="0"/>
        <v>1</v>
      </c>
      <c r="L16" s="340">
        <f t="shared" si="7"/>
        <v>0.99747920497885822</v>
      </c>
      <c r="M16" s="340">
        <f t="shared" si="7"/>
        <v>0.98945811383140203</v>
      </c>
      <c r="N16" s="340">
        <f t="shared" si="7"/>
        <v>0.97576682033126272</v>
      </c>
      <c r="O16" s="340">
        <f t="shared" si="7"/>
        <v>0.95647661316858301</v>
      </c>
      <c r="P16" s="340">
        <f t="shared" si="7"/>
        <v>0.93181202257908091</v>
      </c>
      <c r="Q16" s="340">
        <f t="shared" si="7"/>
        <v>0.90212240429206858</v>
      </c>
      <c r="R16" s="340">
        <f t="shared" si="7"/>
        <v>0.86786215958785262</v>
      </c>
      <c r="S16" s="340">
        <f t="shared" si="7"/>
        <v>0.82957220862814196</v>
      </c>
      <c r="T16" s="340">
        <f t="shared" si="7"/>
        <v>0.787860987354561</v>
      </c>
      <c r="U16" s="340">
        <f t="shared" si="7"/>
        <v>0.74338477014180304</v>
      </c>
      <c r="V16" s="340">
        <f t="shared" si="7"/>
        <v>0.69682767261516565</v>
      </c>
      <c r="W16" s="340">
        <f t="shared" si="7"/>
        <v>0.64888190682942204</v>
      </c>
      <c r="X16" s="340">
        <f t="shared" si="7"/>
        <v>0.60022892774657688</v>
      </c>
      <c r="Y16" s="340">
        <f t="shared" si="7"/>
        <v>0.55152209161388377</v>
      </c>
      <c r="Z16" s="340">
        <f t="shared" si="7"/>
        <v>0.50337137371455276</v>
      </c>
      <c r="AA16" s="340">
        <f t="shared" si="7"/>
        <v>0.45633058329983989</v>
      </c>
      <c r="AB16" s="340">
        <f t="shared" si="7"/>
        <v>0.41088738117634116</v>
      </c>
      <c r="AC16" s="340">
        <f t="shared" si="7"/>
        <v>0.36745626234686279</v>
      </c>
      <c r="AD16" s="340">
        <f t="shared" si="7"/>
        <v>0.32637452289820867</v>
      </c>
      <c r="AE16" s="340">
        <f t="shared" si="7"/>
        <v>0.2879010962242361</v>
      </c>
      <c r="AF16" s="340">
        <f t="shared" si="7"/>
        <v>0.25221802624895517</v>
      </c>
      <c r="AG16" s="340">
        <f t="shared" si="7"/>
        <v>0.21943425024254193</v>
      </c>
      <c r="AH16" s="340">
        <f t="shared" si="7"/>
        <v>0.18959129470023783</v>
      </c>
      <c r="AI16" s="340">
        <f t="shared" si="7"/>
        <v>0.16267044608365977</v>
      </c>
      <c r="AJ16" s="340">
        <f t="shared" si="7"/>
        <v>0.13860094354110897</v>
      </c>
      <c r="AK16" s="340">
        <f t="shared" si="7"/>
        <v>0.1172687508503778</v>
      </c>
      <c r="AL16" s="340">
        <f t="shared" si="7"/>
        <v>9.8525496229052267E-2</v>
      </c>
      <c r="AM16" s="340">
        <f t="shared" si="7"/>
        <v>8.2197216856824129E-2</v>
      </c>
      <c r="AN16" s="340">
        <f t="shared" si="7"/>
        <v>6.8092604970571347E-2</v>
      </c>
      <c r="AO16" s="340">
        <f t="shared" si="7"/>
        <v>5.6010519158886107E-2</v>
      </c>
      <c r="AP16" s="340">
        <f t="shared" si="7"/>
        <v>4.5746593214297304E-2</v>
      </c>
      <c r="AQ16" s="340">
        <f t="shared" si="7"/>
        <v>3.709884139295383E-2</v>
      </c>
      <c r="AR16" s="340">
        <f t="shared" si="7"/>
        <v>2.9872219763421026E-2</v>
      </c>
      <c r="AS16" s="340">
        <f t="shared" si="7"/>
        <v>2.3882155981122088E-2</v>
      </c>
      <c r="AT16" s="340">
        <f t="shared" si="7"/>
        <v>1.8957102716826268E-2</v>
      </c>
      <c r="AU16" s="340">
        <f t="shared" si="7"/>
        <v>1.4940202395485103E-2</v>
      </c>
      <c r="AV16" s="340">
        <f t="shared" si="7"/>
        <v>1.1690172944323507E-2</v>
      </c>
      <c r="AW16" s="340">
        <f t="shared" si="7"/>
        <v>9.0815366191876468E-3</v>
      </c>
      <c r="AX16" s="340">
        <f t="shared" si="6"/>
        <v>7.0043178557486208E-3</v>
      </c>
      <c r="AY16" s="340">
        <f t="shared" si="6"/>
        <v>5.3633329541505903E-3</v>
      </c>
    </row>
    <row r="17" spans="1:51">
      <c r="A17" s="546" t="s">
        <v>283</v>
      </c>
      <c r="B17" s="546">
        <v>1.3</v>
      </c>
      <c r="C17" s="551">
        <v>9.4</v>
      </c>
      <c r="D17" s="551"/>
      <c r="E17" s="552">
        <v>1.22</v>
      </c>
      <c r="F17" s="552">
        <v>7.97</v>
      </c>
      <c r="G17" s="552">
        <v>1.22</v>
      </c>
      <c r="H17" s="552">
        <v>7.97</v>
      </c>
      <c r="I17" s="553">
        <f t="shared" si="2"/>
        <v>5.9018394062571256</v>
      </c>
      <c r="J17" s="553">
        <f t="shared" si="3"/>
        <v>7.4659221288748148</v>
      </c>
      <c r="K17" s="340">
        <f t="shared" si="0"/>
        <v>1</v>
      </c>
      <c r="L17" s="340">
        <f t="shared" si="7"/>
        <v>0.92360274724530611</v>
      </c>
      <c r="M17" s="340">
        <f t="shared" si="7"/>
        <v>0.83099602008547147</v>
      </c>
      <c r="N17" s="340">
        <f t="shared" si="7"/>
        <v>0.7381524517821576</v>
      </c>
      <c r="O17" s="340">
        <f t="shared" si="7"/>
        <v>0.64969328628643241</v>
      </c>
      <c r="P17" s="340">
        <f t="shared" si="7"/>
        <v>0.56768267692719732</v>
      </c>
      <c r="Q17" s="340">
        <f t="shared" si="7"/>
        <v>0.49300416753804011</v>
      </c>
      <c r="R17" s="340">
        <f t="shared" si="7"/>
        <v>0.42589068122512186</v>
      </c>
      <c r="S17" s="340">
        <f t="shared" si="7"/>
        <v>0.36619323501183998</v>
      </c>
      <c r="T17" s="340">
        <f t="shared" si="7"/>
        <v>0.31353749234820261</v>
      </c>
      <c r="U17" s="340">
        <f t="shared" si="7"/>
        <v>0.26742201967852441</v>
      </c>
      <c r="V17" s="340">
        <f t="shared" si="7"/>
        <v>0.22728232348521848</v>
      </c>
      <c r="W17" s="340">
        <f t="shared" si="7"/>
        <v>0.19253315761174583</v>
      </c>
      <c r="X17" s="340">
        <f t="shared" si="7"/>
        <v>0.16259632675427627</v>
      </c>
      <c r="Y17" s="340">
        <f t="shared" si="7"/>
        <v>0.13691851506928088</v>
      </c>
      <c r="Z17" s="340">
        <f t="shared" si="7"/>
        <v>0.11498214687745467</v>
      </c>
      <c r="AA17" s="340">
        <f t="shared" si="7"/>
        <v>9.6311357771702855E-2</v>
      </c>
      <c r="AB17" s="340">
        <f t="shared" si="7"/>
        <v>8.0474551473528666E-2</v>
      </c>
      <c r="AC17" s="340">
        <f t="shared" si="7"/>
        <v>6.7084607062274926E-2</v>
      </c>
      <c r="AD17" s="340">
        <f t="shared" si="7"/>
        <v>5.5797511259591093E-2</v>
      </c>
      <c r="AE17" s="340">
        <f t="shared" si="7"/>
        <v>4.6309980488770663E-2</v>
      </c>
      <c r="AF17" s="340">
        <f t="shared" si="7"/>
        <v>3.835648275177761E-2</v>
      </c>
      <c r="AG17" s="340">
        <f t="shared" si="7"/>
        <v>3.1705954216574184E-2</v>
      </c>
      <c r="AH17" s="340">
        <f t="shared" si="7"/>
        <v>2.6158419242924391E-2</v>
      </c>
      <c r="AI17" s="340">
        <f t="shared" si="7"/>
        <v>2.1541658056652091E-2</v>
      </c>
      <c r="AJ17" s="340">
        <f t="shared" si="7"/>
        <v>1.77080181280862E-2</v>
      </c>
      <c r="AK17" s="340">
        <f t="shared" si="7"/>
        <v>1.4531429618097502E-2</v>
      </c>
      <c r="AL17" s="340">
        <f t="shared" si="7"/>
        <v>1.1904659085155811E-2</v>
      </c>
      <c r="AM17" s="340">
        <f t="shared" si="7"/>
        <v>9.7368167534841454E-3</v>
      </c>
      <c r="AN17" s="340">
        <f t="shared" si="7"/>
        <v>7.9511192939979436E-3</v>
      </c>
      <c r="AO17" s="340">
        <f t="shared" si="7"/>
        <v>6.4829009237382662E-3</v>
      </c>
      <c r="AP17" s="340">
        <f t="shared" si="7"/>
        <v>5.2778596427401903E-3</v>
      </c>
      <c r="AQ17" s="340">
        <f t="shared" ref="L17:AW24" si="8">1-(_xlfn.WEIBULL.DIST(AQ$2,$G17,$H17,TRUE))</f>
        <v>4.2905217893991487E-3</v>
      </c>
      <c r="AR17" s="340">
        <f t="shared" si="8"/>
        <v>3.4829061786160187E-3</v>
      </c>
      <c r="AS17" s="340">
        <f t="shared" si="8"/>
        <v>2.8233684071846676E-3</v>
      </c>
      <c r="AT17" s="340">
        <f t="shared" si="8"/>
        <v>2.2856060970952718E-3</v>
      </c>
      <c r="AU17" s="340">
        <f t="shared" si="8"/>
        <v>1.8478066179000718E-3</v>
      </c>
      <c r="AV17" s="340">
        <f t="shared" si="8"/>
        <v>1.4919199723001375E-3</v>
      </c>
      <c r="AW17" s="340">
        <f t="shared" si="8"/>
        <v>1.2030408877262699E-3</v>
      </c>
      <c r="AX17" s="340">
        <f t="shared" si="6"/>
        <v>9.6888561658781125E-4</v>
      </c>
      <c r="AY17" s="340">
        <f t="shared" si="6"/>
        <v>7.7935042767907081E-4</v>
      </c>
    </row>
    <row r="18" spans="1:51">
      <c r="A18" s="546" t="s">
        <v>285</v>
      </c>
      <c r="B18" s="546">
        <v>1.3</v>
      </c>
      <c r="C18" s="551">
        <v>12.3</v>
      </c>
      <c r="D18" s="551"/>
      <c r="E18" s="552"/>
      <c r="F18" s="552"/>
      <c r="G18" s="546">
        <v>1.3</v>
      </c>
      <c r="H18" s="551">
        <v>12.3</v>
      </c>
      <c r="I18" s="553">
        <f t="shared" si="2"/>
        <v>9.2781877906316517</v>
      </c>
      <c r="J18" s="553">
        <f t="shared" si="3"/>
        <v>11.359993675138529</v>
      </c>
      <c r="K18" s="340">
        <f t="shared" si="0"/>
        <v>1</v>
      </c>
      <c r="L18" s="340">
        <f t="shared" si="8"/>
        <v>0.96243057098385887</v>
      </c>
      <c r="M18" s="340">
        <f t="shared" si="8"/>
        <v>0.91001946779065668</v>
      </c>
      <c r="N18" s="340">
        <f t="shared" si="8"/>
        <v>0.85237562476441053</v>
      </c>
      <c r="O18" s="340">
        <f t="shared" si="8"/>
        <v>0.79281335029590649</v>
      </c>
      <c r="P18" s="340">
        <f t="shared" si="8"/>
        <v>0.73322560079891619</v>
      </c>
      <c r="Q18" s="340">
        <f t="shared" si="8"/>
        <v>0.67482869292579795</v>
      </c>
      <c r="R18" s="340">
        <f t="shared" si="8"/>
        <v>0.61843478835760479</v>
      </c>
      <c r="S18" s="340">
        <f t="shared" si="8"/>
        <v>0.56458556260045645</v>
      </c>
      <c r="T18" s="340">
        <f t="shared" si="8"/>
        <v>0.51362998791312231</v>
      </c>
      <c r="U18" s="340">
        <f t="shared" si="8"/>
        <v>0.46577491758889278</v>
      </c>
      <c r="V18" s="340">
        <f t="shared" si="8"/>
        <v>0.42112053828784657</v>
      </c>
      <c r="W18" s="340">
        <f t="shared" si="8"/>
        <v>0.37968650544629368</v>
      </c>
      <c r="X18" s="340">
        <f t="shared" si="8"/>
        <v>0.341431871222033</v>
      </c>
      <c r="Y18" s="340">
        <f t="shared" si="8"/>
        <v>0.30627061497993369</v>
      </c>
      <c r="Z18" s="340">
        <f t="shared" si="8"/>
        <v>0.27408390873942334</v>
      </c>
      <c r="AA18" s="340">
        <f t="shared" si="8"/>
        <v>0.24472987169997795</v>
      </c>
      <c r="AB18" s="340">
        <f t="shared" si="8"/>
        <v>0.21805134379140501</v>
      </c>
      <c r="AC18" s="340">
        <f t="shared" si="8"/>
        <v>0.19388206800773566</v>
      </c>
      <c r="AD18" s="340">
        <f t="shared" si="8"/>
        <v>0.17205157912048752</v>
      </c>
      <c r="AE18" s="340">
        <f t="shared" si="8"/>
        <v>0.1523890328787415</v>
      </c>
      <c r="AF18" s="340">
        <f t="shared" si="8"/>
        <v>0.13472616413673333</v>
      </c>
      <c r="AG18" s="340">
        <f t="shared" si="8"/>
        <v>0.11889952819532024</v>
      </c>
      <c r="AH18" s="340">
        <f t="shared" si="8"/>
        <v>0.10475215321541476</v>
      </c>
      <c r="AI18" s="340">
        <f t="shared" si="8"/>
        <v>9.2134710519309104E-2</v>
      </c>
      <c r="AJ18" s="340">
        <f t="shared" si="8"/>
        <v>8.0906292452243789E-2</v>
      </c>
      <c r="AK18" s="340">
        <f t="shared" si="8"/>
        <v>7.0934873258780784E-2</v>
      </c>
      <c r="AL18" s="340">
        <f t="shared" si="8"/>
        <v>6.20975164812122E-2</v>
      </c>
      <c r="AM18" s="340">
        <f t="shared" si="8"/>
        <v>5.4280382254829895E-2</v>
      </c>
      <c r="AN18" s="340">
        <f t="shared" si="8"/>
        <v>4.7378579230007767E-2</v>
      </c>
      <c r="AO18" s="340">
        <f t="shared" si="8"/>
        <v>4.1295898450098067E-2</v>
      </c>
      <c r="AP18" s="340">
        <f t="shared" si="8"/>
        <v>3.5944460169546555E-2</v>
      </c>
      <c r="AQ18" s="340">
        <f t="shared" si="8"/>
        <v>3.1244299159129407E-2</v>
      </c>
      <c r="AR18" s="340">
        <f t="shared" si="8"/>
        <v>2.7122909392582883E-2</v>
      </c>
      <c r="AS18" s="340">
        <f t="shared" si="8"/>
        <v>2.3514765038526897E-2</v>
      </c>
      <c r="AT18" s="340">
        <f t="shared" si="8"/>
        <v>2.0360831305687999E-2</v>
      </c>
      <c r="AU18" s="340">
        <f t="shared" si="8"/>
        <v>1.7608075831779257E-2</v>
      </c>
      <c r="AV18" s="340">
        <f t="shared" si="8"/>
        <v>1.5208988900142106E-2</v>
      </c>
      <c r="AW18" s="340">
        <f t="shared" si="8"/>
        <v>1.3121118754403249E-2</v>
      </c>
      <c r="AX18" s="340">
        <f t="shared" si="6"/>
        <v>1.1306626607685888E-2</v>
      </c>
      <c r="AY18" s="340">
        <f t="shared" si="6"/>
        <v>9.7318645629814737E-3</v>
      </c>
    </row>
    <row r="19" spans="1:51">
      <c r="A19" s="546" t="s">
        <v>286</v>
      </c>
      <c r="B19" s="546">
        <v>1.8</v>
      </c>
      <c r="C19" s="551">
        <v>7.9</v>
      </c>
      <c r="D19" s="551"/>
      <c r="E19" s="552"/>
      <c r="F19" s="552"/>
      <c r="G19" s="546">
        <v>1.8</v>
      </c>
      <c r="H19" s="551">
        <v>7.9</v>
      </c>
      <c r="I19" s="553">
        <f t="shared" si="2"/>
        <v>6.4446122409558901</v>
      </c>
      <c r="J19" s="553">
        <f t="shared" si="3"/>
        <v>7.0253651863724835</v>
      </c>
      <c r="K19" s="340">
        <f t="shared" si="0"/>
        <v>1</v>
      </c>
      <c r="L19" s="340">
        <f t="shared" si="8"/>
        <v>0.97606566456678734</v>
      </c>
      <c r="M19" s="340">
        <f t="shared" si="8"/>
        <v>0.91910234550985137</v>
      </c>
      <c r="N19" s="340">
        <f t="shared" si="8"/>
        <v>0.8394396179062128</v>
      </c>
      <c r="O19" s="340">
        <f t="shared" si="8"/>
        <v>0.74546215578915598</v>
      </c>
      <c r="P19" s="340">
        <f t="shared" si="8"/>
        <v>0.64471158733687417</v>
      </c>
      <c r="Q19" s="340">
        <f t="shared" si="8"/>
        <v>0.54364567072467707</v>
      </c>
      <c r="R19" s="340">
        <f t="shared" si="8"/>
        <v>0.44737643943470329</v>
      </c>
      <c r="S19" s="340">
        <f t="shared" si="8"/>
        <v>0.35955070118342691</v>
      </c>
      <c r="T19" s="340">
        <f t="shared" si="8"/>
        <v>0.28238956173896079</v>
      </c>
      <c r="U19" s="340">
        <f t="shared" si="8"/>
        <v>0.21685629339239554</v>
      </c>
      <c r="V19" s="340">
        <f t="shared" si="8"/>
        <v>0.16290498799458253</v>
      </c>
      <c r="W19" s="340">
        <f t="shared" si="8"/>
        <v>0.11976131298889714</v>
      </c>
      <c r="X19" s="340">
        <f t="shared" si="8"/>
        <v>8.6194707152386085E-2</v>
      </c>
      <c r="Y19" s="340">
        <f t="shared" si="8"/>
        <v>6.0753753137097632E-2</v>
      </c>
      <c r="Z19" s="340">
        <f t="shared" si="8"/>
        <v>4.1949587914133835E-2</v>
      </c>
      <c r="AA19" s="340">
        <f t="shared" si="8"/>
        <v>2.8383566070201427E-2</v>
      </c>
      <c r="AB19" s="340">
        <f t="shared" si="8"/>
        <v>1.8823658689743339E-2</v>
      </c>
      <c r="AC19" s="340">
        <f t="shared" si="8"/>
        <v>1.2238942509541939E-2</v>
      </c>
      <c r="AD19" s="340">
        <f t="shared" si="8"/>
        <v>7.8034078983911792E-3</v>
      </c>
      <c r="AE19" s="340">
        <f t="shared" si="8"/>
        <v>4.8799654623530309E-3</v>
      </c>
      <c r="AF19" s="340">
        <f t="shared" si="8"/>
        <v>2.9938295571974027E-3</v>
      </c>
      <c r="AG19" s="340">
        <f t="shared" si="8"/>
        <v>1.8021715524949578E-3</v>
      </c>
      <c r="AH19" s="340">
        <f t="shared" si="8"/>
        <v>1.0646338667189559E-3</v>
      </c>
      <c r="AI19" s="340">
        <f t="shared" si="8"/>
        <v>6.1732207761810987E-4</v>
      </c>
      <c r="AJ19" s="340">
        <f t="shared" si="8"/>
        <v>3.5139804571115985E-4</v>
      </c>
      <c r="AK19" s="340">
        <f t="shared" si="8"/>
        <v>1.9639396647896934E-4</v>
      </c>
      <c r="AL19" s="340">
        <f t="shared" si="8"/>
        <v>1.077855177743503E-4</v>
      </c>
      <c r="AM19" s="340">
        <f t="shared" si="8"/>
        <v>5.8097246597665908E-5</v>
      </c>
      <c r="AN19" s="340">
        <f t="shared" si="8"/>
        <v>3.0758869351554807E-5</v>
      </c>
      <c r="AO19" s="340">
        <f t="shared" si="8"/>
        <v>1.5997764158059979E-5</v>
      </c>
      <c r="AP19" s="340">
        <f t="shared" si="8"/>
        <v>8.1747510732865791E-6</v>
      </c>
      <c r="AQ19" s="340">
        <f t="shared" si="8"/>
        <v>4.1045568761610696E-6</v>
      </c>
      <c r="AR19" s="340">
        <f t="shared" si="8"/>
        <v>2.0252692870537103E-6</v>
      </c>
      <c r="AS19" s="340">
        <f t="shared" si="8"/>
        <v>9.8213348764808472E-7</v>
      </c>
      <c r="AT19" s="340">
        <f t="shared" si="8"/>
        <v>4.6813846965587658E-7</v>
      </c>
      <c r="AU19" s="340">
        <f t="shared" si="8"/>
        <v>2.1934992067151882E-7</v>
      </c>
      <c r="AV19" s="340">
        <f t="shared" si="8"/>
        <v>1.0104196468407878E-7</v>
      </c>
      <c r="AW19" s="340">
        <f t="shared" si="8"/>
        <v>4.5762281852823605E-8</v>
      </c>
      <c r="AX19" s="340">
        <f t="shared" si="6"/>
        <v>2.0379536280756838E-8</v>
      </c>
      <c r="AY19" s="340">
        <f t="shared" si="6"/>
        <v>8.9248226586846613E-9</v>
      </c>
    </row>
    <row r="20" spans="1:51">
      <c r="A20" s="546" t="s">
        <v>287</v>
      </c>
      <c r="B20" s="546">
        <v>1.5</v>
      </c>
      <c r="C20" s="554">
        <v>10.3</v>
      </c>
      <c r="D20" s="554"/>
      <c r="E20" s="552">
        <v>1.45</v>
      </c>
      <c r="F20" s="552">
        <v>8.6999999999999993</v>
      </c>
      <c r="G20" s="552">
        <v>1.45</v>
      </c>
      <c r="H20" s="552">
        <v>8.6999999999999993</v>
      </c>
      <c r="I20" s="553">
        <f t="shared" si="2"/>
        <v>6.7568411424653609</v>
      </c>
      <c r="J20" s="553">
        <f t="shared" si="3"/>
        <v>7.8884565321401992</v>
      </c>
      <c r="K20" s="340">
        <f t="shared" si="0"/>
        <v>1</v>
      </c>
      <c r="L20" s="340">
        <f t="shared" si="8"/>
        <v>0.95750845631429971</v>
      </c>
      <c r="M20" s="340">
        <f t="shared" si="8"/>
        <v>0.88813730941468128</v>
      </c>
      <c r="N20" s="340">
        <f t="shared" si="8"/>
        <v>0.80770250856081161</v>
      </c>
      <c r="O20" s="340">
        <f t="shared" si="8"/>
        <v>0.72317520089961385</v>
      </c>
      <c r="P20" s="340">
        <f t="shared" si="8"/>
        <v>0.63895373214304618</v>
      </c>
      <c r="Q20" s="340">
        <f t="shared" si="8"/>
        <v>0.5579604860600379</v>
      </c>
      <c r="R20" s="340">
        <f t="shared" si="8"/>
        <v>0.48209821532939123</v>
      </c>
      <c r="S20" s="340">
        <f t="shared" si="8"/>
        <v>0.41251712019823994</v>
      </c>
      <c r="T20" s="340">
        <f t="shared" si="8"/>
        <v>0.34980287032921531</v>
      </c>
      <c r="U20" s="340">
        <f t="shared" si="8"/>
        <v>0.29412149789841369</v>
      </c>
      <c r="V20" s="340">
        <f t="shared" si="8"/>
        <v>0.24533518385249375</v>
      </c>
      <c r="W20" s="340">
        <f t="shared" si="8"/>
        <v>0.20309545611279689</v>
      </c>
      <c r="X20" s="340">
        <f t="shared" si="8"/>
        <v>0.16691756639340793</v>
      </c>
      <c r="Y20" s="340">
        <f t="shared" si="8"/>
        <v>0.13623877785764027</v>
      </c>
      <c r="Z20" s="340">
        <f t="shared" si="8"/>
        <v>0.11046289074799243</v>
      </c>
      <c r="AA20" s="340">
        <f t="shared" si="8"/>
        <v>8.899313779318585E-2</v>
      </c>
      <c r="AB20" s="340">
        <f t="shared" si="8"/>
        <v>7.1255432681465392E-2</v>
      </c>
      <c r="AC20" s="340">
        <f t="shared" si="8"/>
        <v>5.6713795796669242E-2</v>
      </c>
      <c r="AD20" s="340">
        <f t="shared" si="8"/>
        <v>4.4879598750154015E-2</v>
      </c>
      <c r="AE20" s="340">
        <f t="shared" si="8"/>
        <v>3.5316067834895826E-2</v>
      </c>
      <c r="AF20" s="340">
        <f t="shared" si="8"/>
        <v>2.7639276984487648E-2</v>
      </c>
      <c r="AG20" s="340">
        <f t="shared" si="8"/>
        <v>2.1516654080015241E-2</v>
      </c>
      <c r="AH20" s="340">
        <f t="shared" si="8"/>
        <v>1.6663829505221162E-2</v>
      </c>
      <c r="AI20" s="340">
        <f t="shared" si="8"/>
        <v>1.2840479031077212E-2</v>
      </c>
      <c r="AJ20" s="340">
        <f t="shared" si="8"/>
        <v>9.8456581178674174E-3</v>
      </c>
      <c r="AK20" s="340">
        <f t="shared" si="8"/>
        <v>7.5129930256688793E-3</v>
      </c>
      <c r="AL20" s="340">
        <f t="shared" si="8"/>
        <v>5.705985469442787E-3</v>
      </c>
      <c r="AM20" s="340">
        <f t="shared" si="8"/>
        <v>4.3136004787440729E-3</v>
      </c>
      <c r="AN20" s="340">
        <f t="shared" si="8"/>
        <v>3.2462394026279151E-3</v>
      </c>
      <c r="AO20" s="340">
        <f t="shared" si="8"/>
        <v>2.4321490278848001E-3</v>
      </c>
      <c r="AP20" s="340">
        <f t="shared" si="8"/>
        <v>1.814280836184623E-3</v>
      </c>
      <c r="AQ20" s="340">
        <f t="shared" si="8"/>
        <v>1.347588887280482E-3</v>
      </c>
      <c r="AR20" s="340">
        <f t="shared" si="8"/>
        <v>9.9673827493218514E-4</v>
      </c>
      <c r="AS20" s="340">
        <f t="shared" si="8"/>
        <v>7.341864449639246E-4</v>
      </c>
      <c r="AT20" s="340">
        <f t="shared" si="8"/>
        <v>5.3859509689768714E-4</v>
      </c>
      <c r="AU20" s="340">
        <f t="shared" si="8"/>
        <v>3.9352943758652614E-4</v>
      </c>
      <c r="AV20" s="340">
        <f t="shared" si="8"/>
        <v>2.8640304162286245E-4</v>
      </c>
      <c r="AW20" s="340">
        <f t="shared" si="8"/>
        <v>2.0762958946662913E-4</v>
      </c>
      <c r="AX20" s="340">
        <f t="shared" si="6"/>
        <v>1.4994661872613779E-4</v>
      </c>
      <c r="AY20" s="340">
        <f t="shared" si="6"/>
        <v>1.0788064427103006E-4</v>
      </c>
    </row>
    <row r="21" spans="1:51">
      <c r="A21" s="546" t="s">
        <v>288</v>
      </c>
      <c r="B21" s="546">
        <v>1.3</v>
      </c>
      <c r="C21" s="554">
        <v>10.8</v>
      </c>
      <c r="D21" s="554" t="s">
        <v>9067</v>
      </c>
      <c r="E21" s="552">
        <v>1.2</v>
      </c>
      <c r="F21" s="552">
        <v>8.09</v>
      </c>
      <c r="G21" s="552">
        <v>1.2</v>
      </c>
      <c r="H21" s="552">
        <v>8.09</v>
      </c>
      <c r="I21" s="553">
        <f t="shared" si="2"/>
        <v>5.9607797154021078</v>
      </c>
      <c r="J21" s="553">
        <f t="shared" si="3"/>
        <v>7.6099058932972827</v>
      </c>
      <c r="K21" s="340">
        <f t="shared" si="0"/>
        <v>1</v>
      </c>
      <c r="L21" s="340">
        <f t="shared" si="8"/>
        <v>0.92185298193499587</v>
      </c>
      <c r="M21" s="340">
        <f t="shared" si="8"/>
        <v>0.82949510033483786</v>
      </c>
      <c r="N21" s="340">
        <f t="shared" si="8"/>
        <v>0.73779180605226446</v>
      </c>
      <c r="O21" s="340">
        <f t="shared" si="8"/>
        <v>0.65085335642690634</v>
      </c>
      <c r="P21" s="340">
        <f t="shared" si="8"/>
        <v>0.57044431190679168</v>
      </c>
      <c r="Q21" s="340">
        <f t="shared" si="8"/>
        <v>0.49726925664492727</v>
      </c>
      <c r="R21" s="340">
        <f t="shared" si="8"/>
        <v>0.43145989535781726</v>
      </c>
      <c r="S21" s="340">
        <f t="shared" si="8"/>
        <v>0.37281793770855709</v>
      </c>
      <c r="T21" s="340">
        <f t="shared" si="8"/>
        <v>0.32095433728026801</v>
      </c>
      <c r="U21" s="340">
        <f t="shared" si="8"/>
        <v>0.27537539415451273</v>
      </c>
      <c r="V21" s="340">
        <f t="shared" si="8"/>
        <v>0.23553812640684524</v>
      </c>
      <c r="W21" s="340">
        <f t="shared" si="8"/>
        <v>0.20088641257775297</v>
      </c>
      <c r="X21" s="340">
        <f t="shared" si="8"/>
        <v>0.17087447401410527</v>
      </c>
      <c r="Y21" s="340">
        <f t="shared" si="8"/>
        <v>0.14498175536946667</v>
      </c>
      <c r="Z21" s="340">
        <f t="shared" si="8"/>
        <v>0.1227218584651576</v>
      </c>
      <c r="AA21" s="340">
        <f t="shared" si="8"/>
        <v>0.1036473392125844</v>
      </c>
      <c r="AB21" s="340">
        <f t="shared" si="8"/>
        <v>8.7351636189132553E-2</v>
      </c>
      <c r="AC21" s="340">
        <f t="shared" si="8"/>
        <v>7.3469036438824298E-2</v>
      </c>
      <c r="AD21" s="340">
        <f t="shared" si="8"/>
        <v>6.1673331603595893E-2</v>
      </c>
      <c r="AE21" s="340">
        <f t="shared" si="8"/>
        <v>5.1675637186586298E-2</v>
      </c>
      <c r="AF21" s="340">
        <f t="shared" si="8"/>
        <v>4.3221716538369148E-2</v>
      </c>
      <c r="AG21" s="340">
        <f t="shared" si="8"/>
        <v>3.6089054480007543E-2</v>
      </c>
      <c r="AH21" s="340">
        <f t="shared" si="8"/>
        <v>3.0083853730949683E-2</v>
      </c>
      <c r="AI21" s="340">
        <f t="shared" si="8"/>
        <v>2.503807391822499E-2</v>
      </c>
      <c r="AJ21" s="340">
        <f t="shared" si="8"/>
        <v>2.0806593255471073E-2</v>
      </c>
      <c r="AK21" s="340">
        <f t="shared" si="8"/>
        <v>1.7264543620642891E-2</v>
      </c>
      <c r="AL21" s="340">
        <f t="shared" si="8"/>
        <v>1.4304848229233169E-2</v>
      </c>
      <c r="AM21" s="340">
        <f t="shared" si="8"/>
        <v>1.183597551375104E-2</v>
      </c>
      <c r="AN21" s="340">
        <f t="shared" si="8"/>
        <v>9.7799117479804298E-3</v>
      </c>
      <c r="AO21" s="340">
        <f t="shared" si="8"/>
        <v>8.0703472978365109E-3</v>
      </c>
      <c r="AP21" s="340">
        <f t="shared" si="8"/>
        <v>6.6510662932598441E-3</v>
      </c>
      <c r="AQ21" s="340">
        <f t="shared" si="8"/>
        <v>5.4745263442850245E-3</v>
      </c>
      <c r="AR21" s="340">
        <f t="shared" si="8"/>
        <v>4.500613165070888E-3</v>
      </c>
      <c r="AS21" s="340">
        <f t="shared" si="8"/>
        <v>3.6955542341382541E-3</v>
      </c>
      <c r="AT21" s="340">
        <f t="shared" si="8"/>
        <v>3.0309756097739449E-3</v>
      </c>
      <c r="AU21" s="340">
        <f t="shared" si="8"/>
        <v>2.4830865098331989E-3</v>
      </c>
      <c r="AV21" s="340">
        <f t="shared" si="8"/>
        <v>2.0319770837324835E-3</v>
      </c>
      <c r="AW21" s="340">
        <f t="shared" si="8"/>
        <v>1.6610158232837069E-3</v>
      </c>
      <c r="AX21" s="340">
        <f t="shared" si="6"/>
        <v>1.3563341838540577E-3</v>
      </c>
      <c r="AY21" s="340">
        <f t="shared" si="6"/>
        <v>1.1063871499139566E-3</v>
      </c>
    </row>
    <row r="22" spans="1:51">
      <c r="A22" s="546" t="s">
        <v>7968</v>
      </c>
      <c r="B22" s="546">
        <v>1.3</v>
      </c>
      <c r="C22" s="554">
        <v>5.9</v>
      </c>
      <c r="D22" s="554" t="s">
        <v>9066</v>
      </c>
      <c r="E22" s="555">
        <v>1.25</v>
      </c>
      <c r="F22" s="555">
        <v>5.91</v>
      </c>
      <c r="G22" s="555">
        <v>1.25</v>
      </c>
      <c r="H22" s="555">
        <v>5.91</v>
      </c>
      <c r="I22" s="553">
        <f t="shared" si="2"/>
        <v>4.4080635774923804</v>
      </c>
      <c r="J22" s="553">
        <f t="shared" si="3"/>
        <v>5.5044780864932346</v>
      </c>
      <c r="K22" s="340">
        <f t="shared" si="0"/>
        <v>1</v>
      </c>
      <c r="L22" s="340">
        <f t="shared" si="8"/>
        <v>0.89715963686503708</v>
      </c>
      <c r="M22" s="340">
        <f t="shared" si="8"/>
        <v>0.77251102599191013</v>
      </c>
      <c r="N22" s="340">
        <f t="shared" si="8"/>
        <v>0.65150719369094168</v>
      </c>
      <c r="O22" s="340">
        <f t="shared" si="8"/>
        <v>0.54124127938096289</v>
      </c>
      <c r="P22" s="340">
        <f t="shared" si="8"/>
        <v>0.44424138520817735</v>
      </c>
      <c r="Q22" s="340">
        <f t="shared" si="8"/>
        <v>0.36092986073939137</v>
      </c>
      <c r="R22" s="340">
        <f t="shared" si="8"/>
        <v>0.29065179687729259</v>
      </c>
      <c r="S22" s="340">
        <f t="shared" si="8"/>
        <v>0.23221654069878539</v>
      </c>
      <c r="T22" s="340">
        <f t="shared" si="8"/>
        <v>0.18420938184379243</v>
      </c>
      <c r="U22" s="340">
        <f t="shared" si="8"/>
        <v>0.14517507199546542</v>
      </c>
      <c r="V22" s="340">
        <f t="shared" si="8"/>
        <v>0.11372354605262958</v>
      </c>
      <c r="W22" s="340">
        <f t="shared" si="8"/>
        <v>8.8586618206730305E-2</v>
      </c>
      <c r="X22" s="340">
        <f t="shared" si="8"/>
        <v>6.8643553211577335E-2</v>
      </c>
      <c r="Y22" s="340">
        <f t="shared" si="8"/>
        <v>5.2927177680349824E-2</v>
      </c>
      <c r="Z22" s="340">
        <f t="shared" si="8"/>
        <v>4.0618289216736159E-2</v>
      </c>
      <c r="AA22" s="340">
        <f t="shared" si="8"/>
        <v>3.1033534918671446E-2</v>
      </c>
      <c r="AB22" s="340">
        <f t="shared" si="8"/>
        <v>2.3610166682773714E-2</v>
      </c>
      <c r="AC22" s="340">
        <f t="shared" si="8"/>
        <v>1.788986239692214E-2</v>
      </c>
      <c r="AD22" s="340">
        <f t="shared" si="8"/>
        <v>1.3502960780731987E-2</v>
      </c>
      <c r="AE22" s="340">
        <f t="shared" si="8"/>
        <v>1.0153882316699336E-2</v>
      </c>
      <c r="AF22" s="340">
        <f t="shared" si="8"/>
        <v>7.6081225615022285E-3</v>
      </c>
      <c r="AG22" s="340">
        <f t="shared" si="8"/>
        <v>5.680952260493255E-3</v>
      </c>
      <c r="AH22" s="340">
        <f t="shared" si="8"/>
        <v>4.2278013039687146E-3</v>
      </c>
      <c r="AI22" s="340">
        <f t="shared" si="8"/>
        <v>3.1362116543067753E-3</v>
      </c>
      <c r="AJ22" s="340">
        <f t="shared" si="8"/>
        <v>2.3191968646717465E-3</v>
      </c>
      <c r="AK22" s="340">
        <f t="shared" si="8"/>
        <v>1.7098275255044149E-3</v>
      </c>
      <c r="AL22" s="340">
        <f t="shared" si="8"/>
        <v>1.2568621293137516E-3</v>
      </c>
      <c r="AM22" s="340">
        <f t="shared" si="8"/>
        <v>9.2125390919617356E-4</v>
      </c>
      <c r="AN22" s="340">
        <f t="shared" si="8"/>
        <v>6.7338104743308591E-4</v>
      </c>
      <c r="AO22" s="340">
        <f t="shared" si="8"/>
        <v>4.9086686985277961E-4</v>
      </c>
      <c r="AP22" s="340">
        <f t="shared" si="8"/>
        <v>3.5687608250178915E-4</v>
      </c>
      <c r="AQ22" s="340">
        <f t="shared" si="8"/>
        <v>2.5879148185936618E-4</v>
      </c>
      <c r="AR22" s="340">
        <f t="shared" si="8"/>
        <v>1.8719218521201508E-4</v>
      </c>
      <c r="AS22" s="340">
        <f t="shared" si="8"/>
        <v>1.3506898525816879E-4</v>
      </c>
      <c r="AT22" s="340">
        <f t="shared" si="8"/>
        <v>9.7224885239111103E-5</v>
      </c>
      <c r="AU22" s="340">
        <f t="shared" si="8"/>
        <v>6.9819321441788595E-5</v>
      </c>
      <c r="AV22" s="340">
        <f t="shared" si="8"/>
        <v>5.0023214462013854E-5</v>
      </c>
      <c r="AW22" s="340">
        <f t="shared" si="8"/>
        <v>3.5759031223991933E-5</v>
      </c>
      <c r="AX22" s="340">
        <f t="shared" si="6"/>
        <v>2.5505715802509599E-5</v>
      </c>
      <c r="AY22" s="340">
        <f t="shared" si="6"/>
        <v>1.8152877710342352E-5</v>
      </c>
    </row>
    <row r="23" spans="1:51">
      <c r="A23" s="546" t="s">
        <v>295</v>
      </c>
      <c r="B23" s="546">
        <v>2.1</v>
      </c>
      <c r="C23" s="554">
        <v>9.6</v>
      </c>
      <c r="D23" s="554"/>
      <c r="E23" s="555">
        <v>1.58</v>
      </c>
      <c r="F23" s="555">
        <v>8.9499999999999993</v>
      </c>
      <c r="G23" s="555">
        <v>1.58</v>
      </c>
      <c r="H23" s="555">
        <v>8.9499999999999993</v>
      </c>
      <c r="I23" s="553">
        <f t="shared" si="2"/>
        <v>7.0970792728265257</v>
      </c>
      <c r="J23" s="553">
        <f t="shared" si="3"/>
        <v>8.0339068910515792</v>
      </c>
      <c r="K23" s="340">
        <f t="shared" si="0"/>
        <v>1</v>
      </c>
      <c r="L23" s="340">
        <f t="shared" si="8"/>
        <v>0.96914456584147513</v>
      </c>
      <c r="M23" s="340">
        <f t="shared" si="8"/>
        <v>0.91055443299250982</v>
      </c>
      <c r="N23" s="340">
        <f t="shared" si="8"/>
        <v>0.83709631504886906</v>
      </c>
      <c r="O23" s="340">
        <f t="shared" si="8"/>
        <v>0.75567829683428689</v>
      </c>
      <c r="P23" s="340">
        <f t="shared" si="8"/>
        <v>0.67128692577030169</v>
      </c>
      <c r="Q23" s="340">
        <f t="shared" si="8"/>
        <v>0.58765416632390388</v>
      </c>
      <c r="R23" s="340">
        <f t="shared" si="8"/>
        <v>0.5075164708227643</v>
      </c>
      <c r="S23" s="340">
        <f t="shared" si="8"/>
        <v>0.43277698845478452</v>
      </c>
      <c r="T23" s="340">
        <f t="shared" si="8"/>
        <v>0.36464131583399984</v>
      </c>
      <c r="U23" s="340">
        <f t="shared" si="8"/>
        <v>0.30374397500908246</v>
      </c>
      <c r="V23" s="340">
        <f t="shared" si="8"/>
        <v>0.25026770213321514</v>
      </c>
      <c r="W23" s="340">
        <f t="shared" si="8"/>
        <v>0.20405340719406284</v>
      </c>
      <c r="X23" s="340">
        <f t="shared" si="8"/>
        <v>0.16469812808010775</v>
      </c>
      <c r="Y23" s="340">
        <f t="shared" si="8"/>
        <v>0.13163904716162134</v>
      </c>
      <c r="Z23" s="340">
        <f t="shared" si="8"/>
        <v>0.10422272545092248</v>
      </c>
      <c r="AA23" s="340">
        <f t="shared" si="8"/>
        <v>8.1759741029166833E-2</v>
      </c>
      <c r="AB23" s="340">
        <f t="shared" si="8"/>
        <v>6.3565733558163862E-2</v>
      </c>
      <c r="AC23" s="340">
        <f t="shared" si="8"/>
        <v>4.8990408970507326E-2</v>
      </c>
      <c r="AD23" s="340">
        <f t="shared" si="8"/>
        <v>3.7436359964619026E-2</v>
      </c>
      <c r="AE23" s="340">
        <f t="shared" si="8"/>
        <v>2.8369649160282284E-2</v>
      </c>
      <c r="AF23" s="340">
        <f t="shared" si="8"/>
        <v>2.1324033849700053E-2</v>
      </c>
      <c r="AG23" s="340">
        <f t="shared" si="8"/>
        <v>1.5900535574856267E-2</v>
      </c>
      <c r="AH23" s="340">
        <f t="shared" si="8"/>
        <v>1.1763819882473658E-2</v>
      </c>
      <c r="AI23" s="340">
        <f t="shared" si="8"/>
        <v>8.6365885089341177E-3</v>
      </c>
      <c r="AJ23" s="340">
        <f t="shared" si="8"/>
        <v>6.2929254118889721E-3</v>
      </c>
      <c r="AK23" s="340">
        <f t="shared" si="8"/>
        <v>4.5512980102363487E-3</v>
      </c>
      <c r="AL23" s="340">
        <f t="shared" si="8"/>
        <v>3.2677065374789871E-3</v>
      </c>
      <c r="AM23" s="340">
        <f t="shared" si="8"/>
        <v>2.3293022751927905E-3</v>
      </c>
      <c r="AN23" s="340">
        <f t="shared" si="8"/>
        <v>1.6486598781149109E-3</v>
      </c>
      <c r="AO23" s="340">
        <f t="shared" si="8"/>
        <v>1.1587873363348988E-3</v>
      </c>
      <c r="AP23" s="340">
        <f t="shared" si="8"/>
        <v>8.0888494060293858E-4</v>
      </c>
      <c r="AQ23" s="340">
        <f t="shared" si="8"/>
        <v>5.6081677904018523E-4</v>
      </c>
      <c r="AR23" s="340">
        <f t="shared" si="8"/>
        <v>3.8622960066214684E-4</v>
      </c>
      <c r="AS23" s="340">
        <f t="shared" si="8"/>
        <v>2.6423953134502298E-4</v>
      </c>
      <c r="AT23" s="340">
        <f t="shared" si="8"/>
        <v>1.7960296472896431E-4</v>
      </c>
      <c r="AU23" s="340">
        <f t="shared" si="8"/>
        <v>1.2129056505139069E-4</v>
      </c>
      <c r="AV23" s="340">
        <f t="shared" si="8"/>
        <v>8.1390048998652986E-5</v>
      </c>
      <c r="AW23" s="340">
        <f t="shared" si="8"/>
        <v>5.4272279558120751E-5</v>
      </c>
      <c r="AX23" s="340">
        <f t="shared" si="6"/>
        <v>3.5964810445432427E-5</v>
      </c>
      <c r="AY23" s="340">
        <f t="shared" si="6"/>
        <v>2.3686441728898444E-5</v>
      </c>
    </row>
    <row r="24" spans="1:51">
      <c r="A24" s="546" t="s">
        <v>271</v>
      </c>
      <c r="B24" s="546">
        <v>1.5</v>
      </c>
      <c r="C24" s="551">
        <v>5.2</v>
      </c>
      <c r="D24" s="551" t="s">
        <v>9068</v>
      </c>
      <c r="E24" s="552">
        <v>1.6</v>
      </c>
      <c r="F24" s="552">
        <v>6.57</v>
      </c>
      <c r="G24" s="552">
        <v>1.6</v>
      </c>
      <c r="H24" s="552">
        <v>6.57</v>
      </c>
      <c r="I24" s="553">
        <f t="shared" si="2"/>
        <v>5.2249397000969475</v>
      </c>
      <c r="J24" s="553">
        <f t="shared" si="3"/>
        <v>5.8904930199718493</v>
      </c>
      <c r="K24" s="340">
        <f t="shared" si="0"/>
        <v>1</v>
      </c>
      <c r="L24" s="340">
        <f t="shared" si="8"/>
        <v>0.95199822833117964</v>
      </c>
      <c r="M24" s="340">
        <f t="shared" si="8"/>
        <v>0.86146351233708907</v>
      </c>
      <c r="N24" s="340">
        <f t="shared" si="8"/>
        <v>0.75179478578874626</v>
      </c>
      <c r="O24" s="340">
        <f t="shared" si="8"/>
        <v>0.63631909327372038</v>
      </c>
      <c r="P24" s="340">
        <f t="shared" si="8"/>
        <v>0.52412652694017137</v>
      </c>
      <c r="Q24" s="340">
        <f t="shared" si="8"/>
        <v>0.42111754994119088</v>
      </c>
      <c r="R24" s="340">
        <f t="shared" si="8"/>
        <v>0.33062945965830692</v>
      </c>
      <c r="S24" s="340">
        <f t="shared" si="8"/>
        <v>0.25401171874697659</v>
      </c>
      <c r="T24" s="340">
        <f t="shared" si="8"/>
        <v>0.19117549700591685</v>
      </c>
      <c r="U24" s="340">
        <f t="shared" si="8"/>
        <v>0.14108778678287148</v>
      </c>
      <c r="V24" s="340">
        <f t="shared" si="8"/>
        <v>0.10218282176124016</v>
      </c>
      <c r="W24" s="340">
        <f t="shared" si="8"/>
        <v>7.267814647852433E-2</v>
      </c>
      <c r="X24" s="340">
        <f t="shared" si="8"/>
        <v>5.0796839112176029E-2</v>
      </c>
      <c r="Y24" s="340">
        <f t="shared" si="8"/>
        <v>3.4907282521816407E-2</v>
      </c>
      <c r="Z24" s="340">
        <f t="shared" si="8"/>
        <v>2.3597008768566408E-2</v>
      </c>
      <c r="AA24" s="340">
        <f t="shared" si="8"/>
        <v>1.5698347852985406E-2</v>
      </c>
      <c r="AB24" s="340">
        <f t="shared" si="8"/>
        <v>1.0282155325536779E-2</v>
      </c>
      <c r="AC24" s="340">
        <f t="shared" si="8"/>
        <v>6.6329977102366211E-3</v>
      </c>
      <c r="AD24" s="340">
        <f t="shared" si="8"/>
        <v>4.2158039957667093E-3</v>
      </c>
      <c r="AE24" s="340">
        <f t="shared" si="8"/>
        <v>2.6407911160454267E-3</v>
      </c>
      <c r="AF24" s="340">
        <f t="shared" ref="L24:AW31" si="9">1-(_xlfn.WEIBULL.DIST(AF$2,$G24,$H24,TRUE))</f>
        <v>1.63079408956468E-3</v>
      </c>
      <c r="AG24" s="340">
        <f t="shared" si="9"/>
        <v>9.9310534182850407E-4</v>
      </c>
      <c r="AH24" s="340">
        <f t="shared" si="9"/>
        <v>5.9653311789642505E-4</v>
      </c>
      <c r="AI24" s="340">
        <f t="shared" si="9"/>
        <v>3.535264272248595E-4</v>
      </c>
      <c r="AJ24" s="340">
        <f t="shared" si="9"/>
        <v>2.0675504355394114E-4</v>
      </c>
      <c r="AK24" s="340">
        <f t="shared" si="9"/>
        <v>1.1935220820091796E-4</v>
      </c>
      <c r="AL24" s="340">
        <f t="shared" si="9"/>
        <v>6.801944042555963E-5</v>
      </c>
      <c r="AM24" s="340">
        <f t="shared" si="9"/>
        <v>3.827783878773694E-5</v>
      </c>
      <c r="AN24" s="340">
        <f t="shared" si="9"/>
        <v>2.1274178818031508E-5</v>
      </c>
      <c r="AO24" s="340">
        <f t="shared" si="9"/>
        <v>1.1679510943718441E-5</v>
      </c>
      <c r="AP24" s="340">
        <f t="shared" si="9"/>
        <v>6.3348279462083212E-6</v>
      </c>
      <c r="AQ24" s="340">
        <f t="shared" si="9"/>
        <v>3.3950946149996497E-6</v>
      </c>
      <c r="AR24" s="340">
        <f t="shared" si="9"/>
        <v>1.7982140204653163E-6</v>
      </c>
      <c r="AS24" s="340">
        <f t="shared" si="9"/>
        <v>9.4138236306218204E-7</v>
      </c>
      <c r="AT24" s="340">
        <f t="shared" si="9"/>
        <v>4.8717618306159949E-7</v>
      </c>
      <c r="AU24" s="340">
        <f t="shared" si="9"/>
        <v>2.4926371189337715E-7</v>
      </c>
      <c r="AV24" s="340">
        <f t="shared" si="9"/>
        <v>1.261073871994256E-7</v>
      </c>
      <c r="AW24" s="340">
        <f t="shared" si="9"/>
        <v>6.3093378521728027E-8</v>
      </c>
      <c r="AX24" s="340">
        <f t="shared" ref="AX24:AY43" si="10">1-(_xlfn.WEIBULL.DIST(AX$2,$G24,$H24,TRUE))</f>
        <v>3.1220522722641419E-8</v>
      </c>
      <c r="AY24" s="340">
        <f t="shared" si="10"/>
        <v>1.5281260368205096E-8</v>
      </c>
    </row>
    <row r="25" spans="1:51">
      <c r="A25" s="546" t="s">
        <v>271</v>
      </c>
      <c r="B25" s="546"/>
      <c r="C25" s="551"/>
      <c r="D25" s="551" t="s">
        <v>9069</v>
      </c>
      <c r="E25" s="552">
        <v>1.6</v>
      </c>
      <c r="F25" s="552">
        <v>6.8</v>
      </c>
      <c r="G25" s="552">
        <v>1.6</v>
      </c>
      <c r="H25" s="552">
        <v>6.8</v>
      </c>
      <c r="I25" s="553">
        <f t="shared" si="2"/>
        <v>5.4078523532205844</v>
      </c>
      <c r="J25" s="553">
        <f t="shared" si="3"/>
        <v>6.0967051043848661</v>
      </c>
      <c r="K25" s="340">
        <f t="shared" si="0"/>
        <v>1</v>
      </c>
      <c r="L25" s="340">
        <f t="shared" si="9"/>
        <v>0.95451007501056129</v>
      </c>
      <c r="M25" s="340">
        <f t="shared" si="9"/>
        <v>0.86837235430188464</v>
      </c>
      <c r="N25" s="340">
        <f t="shared" si="9"/>
        <v>0.76337190880958083</v>
      </c>
      <c r="O25" s="340">
        <f t="shared" si="9"/>
        <v>0.65191549447480868</v>
      </c>
      <c r="P25" s="340">
        <f t="shared" si="9"/>
        <v>0.54258130523723092</v>
      </c>
      <c r="Q25" s="340">
        <f t="shared" si="9"/>
        <v>0.44108526889497568</v>
      </c>
      <c r="R25" s="340">
        <f t="shared" si="9"/>
        <v>0.35082335768871675</v>
      </c>
      <c r="S25" s="340">
        <f t="shared" si="9"/>
        <v>0.2733589895370625</v>
      </c>
      <c r="T25" s="340">
        <f t="shared" si="9"/>
        <v>0.20889258939900213</v>
      </c>
      <c r="U25" s="340">
        <f t="shared" si="9"/>
        <v>0.15669237940551672</v>
      </c>
      <c r="V25" s="340">
        <f t="shared" si="9"/>
        <v>0.11546266070766031</v>
      </c>
      <c r="W25" s="340">
        <f t="shared" si="9"/>
        <v>8.3636122736342133E-2</v>
      </c>
      <c r="X25" s="340">
        <f t="shared" si="9"/>
        <v>5.9588142564888313E-2</v>
      </c>
      <c r="Y25" s="340">
        <f t="shared" si="9"/>
        <v>4.1779785773558897E-2</v>
      </c>
      <c r="Z25" s="340">
        <f t="shared" si="9"/>
        <v>2.8841411289488472E-2</v>
      </c>
      <c r="AA25" s="340">
        <f t="shared" si="9"/>
        <v>1.9610779026768332E-2</v>
      </c>
      <c r="AB25" s="340">
        <f t="shared" si="9"/>
        <v>1.3139198434596433E-2</v>
      </c>
      <c r="AC25" s="340">
        <f t="shared" si="9"/>
        <v>8.6774506082948344E-3</v>
      </c>
      <c r="AD25" s="340">
        <f t="shared" si="9"/>
        <v>5.6507498327811323E-3</v>
      </c>
      <c r="AE25" s="340">
        <f t="shared" si="9"/>
        <v>3.6294553594791168E-3</v>
      </c>
      <c r="AF25" s="340">
        <f t="shared" si="9"/>
        <v>2.2999573005063612E-3</v>
      </c>
      <c r="AG25" s="340">
        <f t="shared" si="9"/>
        <v>1.4383159091723163E-3</v>
      </c>
      <c r="AH25" s="340">
        <f t="shared" si="9"/>
        <v>8.8787318004035498E-4</v>
      </c>
      <c r="AI25" s="340">
        <f t="shared" si="9"/>
        <v>5.4113937743605067E-4</v>
      </c>
      <c r="AJ25" s="340">
        <f t="shared" si="9"/>
        <v>3.2570348971128205E-4</v>
      </c>
      <c r="AK25" s="340">
        <f t="shared" si="9"/>
        <v>1.9363282472750765E-4</v>
      </c>
      <c r="AL25" s="340">
        <f t="shared" si="9"/>
        <v>1.1372665270747984E-4</v>
      </c>
      <c r="AM25" s="340">
        <f t="shared" si="9"/>
        <v>6.6001115208713657E-5</v>
      </c>
      <c r="AN25" s="340">
        <f t="shared" si="9"/>
        <v>3.7854809862514216E-5</v>
      </c>
      <c r="AO25" s="340">
        <f t="shared" si="9"/>
        <v>2.1460657198324462E-5</v>
      </c>
      <c r="AP25" s="340">
        <f t="shared" si="9"/>
        <v>1.2027770328382204E-5</v>
      </c>
      <c r="AQ25" s="340">
        <f t="shared" si="9"/>
        <v>6.665186433663095E-6</v>
      </c>
      <c r="AR25" s="340">
        <f t="shared" si="9"/>
        <v>3.6524693447503864E-6</v>
      </c>
      <c r="AS25" s="340">
        <f t="shared" si="9"/>
        <v>1.979553938880052E-6</v>
      </c>
      <c r="AT25" s="340">
        <f t="shared" si="9"/>
        <v>1.0612348279037676E-6</v>
      </c>
      <c r="AU25" s="340">
        <f t="shared" si="9"/>
        <v>5.6282535931817534E-7</v>
      </c>
      <c r="AV25" s="340">
        <f t="shared" si="9"/>
        <v>2.9532914003205235E-7</v>
      </c>
      <c r="AW25" s="340">
        <f t="shared" si="9"/>
        <v>1.5334156588941994E-7</v>
      </c>
      <c r="AX25" s="340">
        <f t="shared" si="10"/>
        <v>7.8792164570629097E-8</v>
      </c>
      <c r="AY25" s="340">
        <f t="shared" si="10"/>
        <v>4.0070295859173655E-8</v>
      </c>
    </row>
    <row r="26" spans="1:51">
      <c r="A26" s="546" t="s">
        <v>296</v>
      </c>
      <c r="B26" s="546">
        <v>1.7</v>
      </c>
      <c r="C26" s="554">
        <v>10.1</v>
      </c>
      <c r="D26" s="554"/>
      <c r="E26" s="555">
        <v>1.88</v>
      </c>
      <c r="F26" s="555">
        <v>9.31</v>
      </c>
      <c r="G26" s="555">
        <v>1.88</v>
      </c>
      <c r="H26" s="555">
        <v>9.31</v>
      </c>
      <c r="I26" s="553">
        <f t="shared" si="2"/>
        <v>7.660945504389173</v>
      </c>
      <c r="J26" s="553">
        <f t="shared" si="3"/>
        <v>8.2642838021588378</v>
      </c>
      <c r="K26" s="340">
        <f t="shared" si="0"/>
        <v>1</v>
      </c>
      <c r="L26" s="340">
        <f t="shared" si="9"/>
        <v>0.98503404842921716</v>
      </c>
      <c r="M26" s="340">
        <f t="shared" si="9"/>
        <v>0.94600984650762543</v>
      </c>
      <c r="N26" s="340">
        <f t="shared" si="9"/>
        <v>0.8878526513153262</v>
      </c>
      <c r="O26" s="340">
        <f t="shared" si="9"/>
        <v>0.8152258159210124</v>
      </c>
      <c r="P26" s="340">
        <f t="shared" si="9"/>
        <v>0.73288288088038889</v>
      </c>
      <c r="Q26" s="340">
        <f t="shared" si="9"/>
        <v>0.64543976966664429</v>
      </c>
      <c r="R26" s="340">
        <f t="shared" si="9"/>
        <v>0.55710357382780651</v>
      </c>
      <c r="S26" s="340">
        <f t="shared" si="9"/>
        <v>0.47145057060018392</v>
      </c>
      <c r="T26" s="340">
        <f t="shared" si="9"/>
        <v>0.39128502699504075</v>
      </c>
      <c r="U26" s="340">
        <f t="shared" si="9"/>
        <v>0.31858545122199411</v>
      </c>
      <c r="V26" s="340">
        <f t="shared" si="9"/>
        <v>0.25453006954507473</v>
      </c>
      <c r="W26" s="340">
        <f t="shared" si="9"/>
        <v>0.19958428040452636</v>
      </c>
      <c r="X26" s="340">
        <f t="shared" si="9"/>
        <v>0.15362863496526469</v>
      </c>
      <c r="Y26" s="340">
        <f t="shared" si="9"/>
        <v>0.11610570892465777</v>
      </c>
      <c r="Z26" s="340">
        <f t="shared" si="9"/>
        <v>8.6167030519065269E-2</v>
      </c>
      <c r="AA26" s="340">
        <f t="shared" si="9"/>
        <v>6.2805831565779346E-2</v>
      </c>
      <c r="AB26" s="340">
        <f t="shared" si="9"/>
        <v>4.4966651492776455E-2</v>
      </c>
      <c r="AC26" s="340">
        <f t="shared" si="9"/>
        <v>3.1627816367895023E-2</v>
      </c>
      <c r="AD26" s="340">
        <f t="shared" si="9"/>
        <v>2.1856906679789678E-2</v>
      </c>
      <c r="AE26" s="340">
        <f t="shared" si="9"/>
        <v>1.4842210133294342E-2</v>
      </c>
      <c r="AF26" s="340">
        <f t="shared" si="9"/>
        <v>9.9047965688912054E-3</v>
      </c>
      <c r="AG26" s="340">
        <f t="shared" si="9"/>
        <v>6.4964158933080718E-3</v>
      </c>
      <c r="AH26" s="340">
        <f t="shared" si="9"/>
        <v>4.1881789389058843E-3</v>
      </c>
      <c r="AI26" s="340">
        <f t="shared" si="9"/>
        <v>2.6542362534900388E-3</v>
      </c>
      <c r="AJ26" s="340">
        <f t="shared" si="9"/>
        <v>1.6536925243062495E-3</v>
      </c>
      <c r="AK26" s="340">
        <f t="shared" si="9"/>
        <v>1.0129941934903242E-3</v>
      </c>
      <c r="AL26" s="340">
        <f t="shared" si="9"/>
        <v>6.1014174198570359E-4</v>
      </c>
      <c r="AM26" s="340">
        <f t="shared" si="9"/>
        <v>3.6137593729013151E-4</v>
      </c>
      <c r="AN26" s="340">
        <f t="shared" si="9"/>
        <v>2.1048648333055198E-4</v>
      </c>
      <c r="AO26" s="340">
        <f t="shared" si="9"/>
        <v>1.2057470560333794E-4</v>
      </c>
      <c r="AP26" s="340">
        <f t="shared" si="9"/>
        <v>6.7933594813829323E-5</v>
      </c>
      <c r="AQ26" s="340">
        <f t="shared" si="9"/>
        <v>3.7647632109893969E-5</v>
      </c>
      <c r="AR26" s="340">
        <f t="shared" si="9"/>
        <v>2.052308804545433E-5</v>
      </c>
      <c r="AS26" s="340">
        <f t="shared" si="9"/>
        <v>1.1005912972983367E-5</v>
      </c>
      <c r="AT26" s="340">
        <f t="shared" si="9"/>
        <v>5.8064840204874457E-6</v>
      </c>
      <c r="AU26" s="340">
        <f t="shared" si="9"/>
        <v>3.0138999816964329E-6</v>
      </c>
      <c r="AV26" s="340">
        <f t="shared" si="9"/>
        <v>1.539205990774839E-6</v>
      </c>
      <c r="AW26" s="340">
        <f t="shared" si="9"/>
        <v>7.7346399118827236E-7</v>
      </c>
      <c r="AX26" s="340">
        <f t="shared" si="10"/>
        <v>3.824558842957515E-7</v>
      </c>
      <c r="AY26" s="340">
        <f t="shared" si="10"/>
        <v>1.8609824681270482E-7</v>
      </c>
    </row>
    <row r="27" spans="1:51">
      <c r="A27" s="546" t="s">
        <v>7976</v>
      </c>
      <c r="B27" s="546">
        <v>2.1</v>
      </c>
      <c r="C27" s="554">
        <v>6.5</v>
      </c>
      <c r="D27" s="554"/>
      <c r="E27" s="555">
        <v>1.24</v>
      </c>
      <c r="F27" s="555">
        <v>7.22</v>
      </c>
      <c r="G27" s="555">
        <v>1.24</v>
      </c>
      <c r="H27" s="555">
        <v>7.22</v>
      </c>
      <c r="I27" s="553">
        <f t="shared" si="2"/>
        <v>5.3724283711766816</v>
      </c>
      <c r="J27" s="553">
        <f t="shared" si="3"/>
        <v>6.73706957118275</v>
      </c>
      <c r="K27" s="340">
        <f t="shared" si="0"/>
        <v>1</v>
      </c>
      <c r="L27" s="340">
        <f t="shared" si="9"/>
        <v>0.91742773461302685</v>
      </c>
      <c r="M27" s="340">
        <f t="shared" si="9"/>
        <v>0.81582177842905801</v>
      </c>
      <c r="N27" s="340">
        <f t="shared" si="9"/>
        <v>0.71423314005469485</v>
      </c>
      <c r="O27" s="340">
        <f t="shared" si="9"/>
        <v>0.61828595835288014</v>
      </c>
      <c r="P27" s="340">
        <f t="shared" si="9"/>
        <v>0.53042896439960563</v>
      </c>
      <c r="Q27" s="340">
        <f t="shared" si="9"/>
        <v>0.45161901478009914</v>
      </c>
      <c r="R27" s="340">
        <f t="shared" si="9"/>
        <v>0.38199211772261199</v>
      </c>
      <c r="S27" s="340">
        <f t="shared" si="9"/>
        <v>0.32121246382787949</v>
      </c>
      <c r="T27" s="340">
        <f t="shared" si="9"/>
        <v>0.26867851807773935</v>
      </c>
      <c r="U27" s="340">
        <f t="shared" si="9"/>
        <v>0.22365239912187529</v>
      </c>
      <c r="V27" s="340">
        <f t="shared" si="9"/>
        <v>0.1853430664311424</v>
      </c>
      <c r="W27" s="340">
        <f t="shared" si="9"/>
        <v>0.15295970882888077</v>
      </c>
      <c r="X27" s="340">
        <f t="shared" si="9"/>
        <v>0.12574514829763939</v>
      </c>
      <c r="Y27" s="340">
        <f t="shared" si="9"/>
        <v>0.10299559018919324</v>
      </c>
      <c r="Z27" s="340">
        <f t="shared" si="9"/>
        <v>8.4071010173091043E-2</v>
      </c>
      <c r="AA27" s="340">
        <f t="shared" si="9"/>
        <v>6.8399174576377231E-2</v>
      </c>
      <c r="AB27" s="340">
        <f t="shared" si="9"/>
        <v>5.5475421663995661E-2</v>
      </c>
      <c r="AC27" s="340">
        <f t="shared" si="9"/>
        <v>4.485972340821065E-2</v>
      </c>
      <c r="AD27" s="340">
        <f t="shared" si="9"/>
        <v>3.6172110588973072E-2</v>
      </c>
      <c r="AE27" s="340">
        <f t="shared" si="9"/>
        <v>2.9087225511532311E-2</v>
      </c>
      <c r="AF27" s="340">
        <f t="shared" si="9"/>
        <v>2.3328532593963613E-2</v>
      </c>
      <c r="AG27" s="340">
        <f t="shared" si="9"/>
        <v>1.8662545024780264E-2</v>
      </c>
      <c r="AH27" s="340">
        <f t="shared" si="9"/>
        <v>1.4893299792160475E-2</v>
      </c>
      <c r="AI27" s="340">
        <f t="shared" si="9"/>
        <v>1.1857222131930634E-2</v>
      </c>
      <c r="AJ27" s="340">
        <f t="shared" si="9"/>
        <v>9.4184552530832688E-3</v>
      </c>
      <c r="AK27" s="340">
        <f t="shared" si="9"/>
        <v>7.4646855817829261E-3</v>
      </c>
      <c r="AL27" s="340">
        <f t="shared" si="9"/>
        <v>5.9034627552211338E-3</v>
      </c>
      <c r="AM27" s="340">
        <f t="shared" si="9"/>
        <v>4.6589933908784964E-3</v>
      </c>
      <c r="AN27" s="340">
        <f t="shared" si="9"/>
        <v>3.6693753396810358E-3</v>
      </c>
      <c r="AO27" s="340">
        <f t="shared" si="9"/>
        <v>2.8842324781630513E-3</v>
      </c>
      <c r="AP27" s="340">
        <f t="shared" si="9"/>
        <v>2.2627074177783424E-3</v>
      </c>
      <c r="AQ27" s="340">
        <f t="shared" si="9"/>
        <v>1.7717695409819045E-3</v>
      </c>
      <c r="AR27" s="340">
        <f t="shared" si="9"/>
        <v>1.3847975717662386E-3</v>
      </c>
      <c r="AS27" s="340">
        <f t="shared" si="9"/>
        <v>1.0803987634286916E-3</v>
      </c>
      <c r="AT27" s="340">
        <f t="shared" si="9"/>
        <v>8.4143024277638645E-4</v>
      </c>
      <c r="AU27" s="340">
        <f t="shared" si="9"/>
        <v>6.5419173964587074E-4</v>
      </c>
      <c r="AV27" s="340">
        <f t="shared" si="9"/>
        <v>5.0776261663321165E-4</v>
      </c>
      <c r="AW27" s="340">
        <f t="shared" si="9"/>
        <v>3.9345964204062778E-4</v>
      </c>
      <c r="AX27" s="340">
        <f t="shared" si="10"/>
        <v>3.0439522554681631E-4</v>
      </c>
      <c r="AY27" s="340">
        <f t="shared" si="10"/>
        <v>2.3511881071802687E-4</v>
      </c>
    </row>
    <row r="28" spans="1:51">
      <c r="A28" s="546" t="s">
        <v>297</v>
      </c>
      <c r="B28" s="546">
        <v>0.7</v>
      </c>
      <c r="C28" s="551">
        <v>7.6</v>
      </c>
      <c r="D28" s="554"/>
      <c r="E28" s="555">
        <v>1.56</v>
      </c>
      <c r="F28" s="555">
        <v>6.26</v>
      </c>
      <c r="G28" s="555">
        <v>1.56</v>
      </c>
      <c r="H28" s="555">
        <v>6.26</v>
      </c>
      <c r="I28" s="553">
        <f t="shared" si="2"/>
        <v>4.9492497787807164</v>
      </c>
      <c r="J28" s="553">
        <f t="shared" si="3"/>
        <v>5.626423841309399</v>
      </c>
      <c r="K28" s="340">
        <f t="shared" si="0"/>
        <v>1</v>
      </c>
      <c r="L28" s="340">
        <f t="shared" si="9"/>
        <v>0.94441163571125442</v>
      </c>
      <c r="M28" s="340">
        <f t="shared" si="9"/>
        <v>0.84481618307105033</v>
      </c>
      <c r="N28" s="340">
        <f t="shared" si="9"/>
        <v>0.72801485807832933</v>
      </c>
      <c r="O28" s="340">
        <f t="shared" si="9"/>
        <v>0.60821286767074767</v>
      </c>
      <c r="P28" s="340">
        <f t="shared" si="9"/>
        <v>0.49447096244529376</v>
      </c>
      <c r="Q28" s="340">
        <f t="shared" si="9"/>
        <v>0.39220688001579163</v>
      </c>
      <c r="R28" s="340">
        <f t="shared" si="9"/>
        <v>0.30409621206395809</v>
      </c>
      <c r="S28" s="340">
        <f t="shared" si="9"/>
        <v>0.23082330168421472</v>
      </c>
      <c r="T28" s="340">
        <f t="shared" si="9"/>
        <v>0.17173145624448427</v>
      </c>
      <c r="U28" s="340">
        <f t="shared" si="9"/>
        <v>0.12536097824923709</v>
      </c>
      <c r="V28" s="340">
        <f t="shared" si="9"/>
        <v>8.9865349412088791E-2</v>
      </c>
      <c r="W28" s="340">
        <f t="shared" si="9"/>
        <v>6.3308783261831092E-2</v>
      </c>
      <c r="X28" s="340">
        <f t="shared" si="9"/>
        <v>4.3859318235082712E-2</v>
      </c>
      <c r="Y28" s="340">
        <f t="shared" si="9"/>
        <v>2.9897721634650098E-2</v>
      </c>
      <c r="Z28" s="340">
        <f t="shared" si="9"/>
        <v>2.0064030521778631E-2</v>
      </c>
      <c r="AA28" s="340">
        <f t="shared" si="9"/>
        <v>1.3261894617851433E-2</v>
      </c>
      <c r="AB28" s="340">
        <f t="shared" si="9"/>
        <v>8.6374398110624639E-3</v>
      </c>
      <c r="AC28" s="340">
        <f t="shared" si="9"/>
        <v>5.5453042894486604E-3</v>
      </c>
      <c r="AD28" s="340">
        <f t="shared" si="9"/>
        <v>3.5106027831732778E-3</v>
      </c>
      <c r="AE28" s="340">
        <f t="shared" si="9"/>
        <v>2.1922854095597355E-3</v>
      </c>
      <c r="AF28" s="340">
        <f t="shared" si="9"/>
        <v>1.3508410393793246E-3</v>
      </c>
      <c r="AG28" s="340">
        <f t="shared" si="9"/>
        <v>8.2153596718026467E-4</v>
      </c>
      <c r="AH28" s="340">
        <f t="shared" si="9"/>
        <v>4.9326390624382377E-4</v>
      </c>
      <c r="AI28" s="340">
        <f t="shared" si="9"/>
        <v>2.924626703466604E-4</v>
      </c>
      <c r="AJ28" s="340">
        <f t="shared" si="9"/>
        <v>1.7127787237225522E-4</v>
      </c>
      <c r="AK28" s="340">
        <f t="shared" si="9"/>
        <v>9.9098538885122878E-5</v>
      </c>
      <c r="AL28" s="340">
        <f t="shared" si="9"/>
        <v>5.665764587869937E-5</v>
      </c>
      <c r="AM28" s="340">
        <f t="shared" si="9"/>
        <v>3.2015503190208072E-5</v>
      </c>
      <c r="AN28" s="340">
        <f t="shared" si="9"/>
        <v>1.7883539911056623E-5</v>
      </c>
      <c r="AO28" s="340">
        <f t="shared" si="9"/>
        <v>9.876765834304635E-6</v>
      </c>
      <c r="AP28" s="340">
        <f t="shared" si="9"/>
        <v>5.3940774837890615E-6</v>
      </c>
      <c r="AQ28" s="340">
        <f t="shared" si="9"/>
        <v>2.9136029884302417E-6</v>
      </c>
      <c r="AR28" s="340">
        <f t="shared" si="9"/>
        <v>1.556756869303122E-6</v>
      </c>
      <c r="AS28" s="340">
        <f t="shared" si="9"/>
        <v>8.2290927783112977E-7</v>
      </c>
      <c r="AT28" s="340">
        <f t="shared" si="9"/>
        <v>4.3041231745366559E-7</v>
      </c>
      <c r="AU28" s="340">
        <f t="shared" si="9"/>
        <v>2.2278055344937542E-7</v>
      </c>
      <c r="AV28" s="340">
        <f t="shared" si="9"/>
        <v>1.1412627953788501E-7</v>
      </c>
      <c r="AW28" s="340">
        <f t="shared" si="9"/>
        <v>5.7871345382487505E-8</v>
      </c>
      <c r="AX28" s="340">
        <f t="shared" si="10"/>
        <v>2.9051109851074841E-8</v>
      </c>
      <c r="AY28" s="340">
        <f t="shared" si="10"/>
        <v>1.4438859108345525E-8</v>
      </c>
    </row>
    <row r="29" spans="1:51">
      <c r="A29" s="546" t="s">
        <v>281</v>
      </c>
      <c r="B29" s="546">
        <v>1.5</v>
      </c>
      <c r="C29" s="551">
        <v>7.8</v>
      </c>
      <c r="D29" s="551"/>
      <c r="E29" s="552">
        <v>1.46</v>
      </c>
      <c r="F29" s="552">
        <v>7.78</v>
      </c>
      <c r="G29" s="552">
        <v>1.46</v>
      </c>
      <c r="H29" s="552">
        <v>7.78</v>
      </c>
      <c r="I29" s="553">
        <f t="shared" si="2"/>
        <v>6.0527946512636337</v>
      </c>
      <c r="J29" s="553">
        <f t="shared" si="3"/>
        <v>7.0476662980973179</v>
      </c>
      <c r="K29" s="340">
        <f t="shared" si="0"/>
        <v>1</v>
      </c>
      <c r="L29" s="340">
        <f t="shared" si="9"/>
        <v>0.95120754050094347</v>
      </c>
      <c r="M29" s="340">
        <f t="shared" si="9"/>
        <v>0.87143197336920286</v>
      </c>
      <c r="N29" s="340">
        <f t="shared" si="9"/>
        <v>0.77977322641848357</v>
      </c>
      <c r="O29" s="340">
        <f t="shared" si="9"/>
        <v>0.68482141630393567</v>
      </c>
      <c r="P29" s="340">
        <f t="shared" si="9"/>
        <v>0.59190803714741969</v>
      </c>
      <c r="Q29" s="340">
        <f t="shared" si="9"/>
        <v>0.50442408138267858</v>
      </c>
      <c r="R29" s="340">
        <f t="shared" si="9"/>
        <v>0.42440658538978482</v>
      </c>
      <c r="S29" s="340">
        <f t="shared" si="9"/>
        <v>0.35290636614875215</v>
      </c>
      <c r="T29" s="340">
        <f t="shared" si="9"/>
        <v>0.29025850839080736</v>
      </c>
      <c r="U29" s="340">
        <f t="shared" si="9"/>
        <v>0.23629381725170995</v>
      </c>
      <c r="V29" s="340">
        <f t="shared" si="9"/>
        <v>0.19050612290191626</v>
      </c>
      <c r="W29" s="340">
        <f t="shared" si="9"/>
        <v>0.15218309810733177</v>
      </c>
      <c r="X29" s="340">
        <f t="shared" si="9"/>
        <v>0.12050601152378293</v>
      </c>
      <c r="Y29" s="340">
        <f t="shared" si="9"/>
        <v>9.4623163807320054E-2</v>
      </c>
      <c r="Z29" s="340">
        <f t="shared" si="9"/>
        <v>7.3701478278137889E-2</v>
      </c>
      <c r="AA29" s="340">
        <f t="shared" si="9"/>
        <v>5.6960452732096267E-2</v>
      </c>
      <c r="AB29" s="340">
        <f t="shared" si="9"/>
        <v>4.3692320026115339E-2</v>
      </c>
      <c r="AC29" s="340">
        <f t="shared" si="9"/>
        <v>3.3271814949666134E-2</v>
      </c>
      <c r="AD29" s="340">
        <f t="shared" si="9"/>
        <v>2.5158440894516021E-2</v>
      </c>
      <c r="AE29" s="340">
        <f t="shared" si="9"/>
        <v>1.8893613870426429E-2</v>
      </c>
      <c r="AF29" s="340">
        <f t="shared" si="9"/>
        <v>1.4094568292840726E-2</v>
      </c>
      <c r="AG29" s="340">
        <f t="shared" si="9"/>
        <v>1.0446462850834393E-2</v>
      </c>
      <c r="AH29" s="340">
        <f t="shared" si="9"/>
        <v>7.6937393920575303E-3</v>
      </c>
      <c r="AI29" s="340">
        <f t="shared" si="9"/>
        <v>5.6314682596644294E-3</v>
      </c>
      <c r="AJ29" s="340">
        <f t="shared" si="9"/>
        <v>4.0971586542120075E-3</v>
      </c>
      <c r="AK29" s="340">
        <f t="shared" si="9"/>
        <v>2.9633169634880607E-3</v>
      </c>
      <c r="AL29" s="340">
        <f t="shared" si="9"/>
        <v>2.1308918542136679E-3</v>
      </c>
      <c r="AM29" s="340">
        <f t="shared" si="9"/>
        <v>1.523643566990307E-3</v>
      </c>
      <c r="AN29" s="340">
        <f t="shared" si="9"/>
        <v>1.0834076754361321E-3</v>
      </c>
      <c r="AO29" s="340">
        <f t="shared" si="9"/>
        <v>7.6618263190098013E-4</v>
      </c>
      <c r="AP29" s="340">
        <f t="shared" si="9"/>
        <v>5.3894883619221012E-4</v>
      </c>
      <c r="AQ29" s="340">
        <f t="shared" si="9"/>
        <v>3.7711901737880194E-4</v>
      </c>
      <c r="AR29" s="340">
        <f t="shared" si="9"/>
        <v>2.625208658653122E-4</v>
      </c>
      <c r="AS29" s="340">
        <f t="shared" si="9"/>
        <v>1.8181961555663317E-4</v>
      </c>
      <c r="AT29" s="340">
        <f t="shared" si="9"/>
        <v>1.2529809834394001E-4</v>
      </c>
      <c r="AU29" s="340">
        <f t="shared" si="9"/>
        <v>8.5922879162647625E-5</v>
      </c>
      <c r="AV29" s="340">
        <f t="shared" si="9"/>
        <v>5.8636233428499551E-5</v>
      </c>
      <c r="AW29" s="340">
        <f t="shared" si="9"/>
        <v>3.9824209428496182E-5</v>
      </c>
      <c r="AX29" s="340">
        <f t="shared" si="10"/>
        <v>2.6920418361831011E-5</v>
      </c>
      <c r="AY29" s="340">
        <f t="shared" si="10"/>
        <v>1.8113338357883535E-5</v>
      </c>
    </row>
    <row r="30" spans="1:51">
      <c r="A30" s="546" t="s">
        <v>7980</v>
      </c>
      <c r="B30" s="546">
        <v>2.2000000000000002</v>
      </c>
      <c r="C30" s="551">
        <v>8.5</v>
      </c>
      <c r="D30" s="551"/>
      <c r="E30" s="552"/>
      <c r="F30" s="552"/>
      <c r="G30" s="546">
        <v>2.2000000000000002</v>
      </c>
      <c r="H30" s="551">
        <v>8.5</v>
      </c>
      <c r="I30" s="553">
        <f t="shared" si="2"/>
        <v>7.1955975053384549</v>
      </c>
      <c r="J30" s="553">
        <f t="shared" si="3"/>
        <v>7.5278104638267562</v>
      </c>
      <c r="K30" s="340">
        <f t="shared" si="0"/>
        <v>1</v>
      </c>
      <c r="L30" s="340">
        <f t="shared" si="9"/>
        <v>0.99101907966301717</v>
      </c>
      <c r="M30" s="340">
        <f t="shared" si="9"/>
        <v>0.95939548920222517</v>
      </c>
      <c r="N30" s="340">
        <f t="shared" si="9"/>
        <v>0.90380182368528428</v>
      </c>
      <c r="O30" s="340">
        <f t="shared" si="9"/>
        <v>0.82657644065040525</v>
      </c>
      <c r="P30" s="340">
        <f t="shared" si="9"/>
        <v>0.73258163364012396</v>
      </c>
      <c r="Q30" s="340">
        <f t="shared" si="9"/>
        <v>0.62829772844787546</v>
      </c>
      <c r="R30" s="340">
        <f t="shared" si="9"/>
        <v>0.52080993835298384</v>
      </c>
      <c r="S30" s="340">
        <f t="shared" si="9"/>
        <v>0.41680467076106731</v>
      </c>
      <c r="T30" s="340">
        <f t="shared" si="9"/>
        <v>0.32174468745920559</v>
      </c>
      <c r="U30" s="340">
        <f t="shared" si="9"/>
        <v>0.23935436904941532</v>
      </c>
      <c r="V30" s="340">
        <f t="shared" si="9"/>
        <v>0.17146686801762479</v>
      </c>
      <c r="W30" s="340">
        <f t="shared" si="9"/>
        <v>0.11819854201604529</v>
      </c>
      <c r="X30" s="340">
        <f t="shared" si="9"/>
        <v>7.8350809683528477E-2</v>
      </c>
      <c r="Y30" s="340">
        <f t="shared" si="9"/>
        <v>4.9911398885205571E-2</v>
      </c>
      <c r="Z30" s="340">
        <f t="shared" si="9"/>
        <v>3.0536744605175969E-2</v>
      </c>
      <c r="AA30" s="340">
        <f t="shared" si="9"/>
        <v>1.7933650674482271E-2</v>
      </c>
      <c r="AB30" s="340">
        <f t="shared" si="9"/>
        <v>1.010430791344008E-2</v>
      </c>
      <c r="AC30" s="340">
        <f t="shared" si="9"/>
        <v>5.4590434507638674E-3</v>
      </c>
      <c r="AD30" s="340">
        <f t="shared" si="9"/>
        <v>2.8267602750424725E-3</v>
      </c>
      <c r="AE30" s="340">
        <f t="shared" si="9"/>
        <v>1.4022431382628708E-3</v>
      </c>
      <c r="AF30" s="340">
        <f t="shared" si="9"/>
        <v>6.660814354060296E-4</v>
      </c>
      <c r="AG30" s="340">
        <f t="shared" si="9"/>
        <v>3.028421298236772E-4</v>
      </c>
      <c r="AH30" s="340">
        <f t="shared" si="9"/>
        <v>1.3173840999003428E-4</v>
      </c>
      <c r="AI30" s="340">
        <f t="shared" si="9"/>
        <v>5.4808039697928912E-5</v>
      </c>
      <c r="AJ30" s="340">
        <f t="shared" si="9"/>
        <v>2.179948711100721E-5</v>
      </c>
      <c r="AK30" s="340">
        <f t="shared" si="9"/>
        <v>8.2862551096241077E-6</v>
      </c>
      <c r="AL30" s="340">
        <f t="shared" si="9"/>
        <v>3.0090212218558676E-6</v>
      </c>
      <c r="AM30" s="340">
        <f t="shared" si="9"/>
        <v>1.0435103025008274E-6</v>
      </c>
      <c r="AN30" s="340">
        <f t="shared" si="9"/>
        <v>3.4548307592530136E-7</v>
      </c>
      <c r="AO30" s="340">
        <f t="shared" si="9"/>
        <v>1.0916250203774069E-7</v>
      </c>
      <c r="AP30" s="340">
        <f t="shared" si="9"/>
        <v>3.2907799041304031E-8</v>
      </c>
      <c r="AQ30" s="340">
        <f t="shared" si="9"/>
        <v>9.4616844359407537E-9</v>
      </c>
      <c r="AR30" s="340">
        <f t="shared" si="9"/>
        <v>2.5938891035082179E-9</v>
      </c>
      <c r="AS30" s="340">
        <f t="shared" si="9"/>
        <v>6.778286820718904E-10</v>
      </c>
      <c r="AT30" s="340">
        <f t="shared" si="9"/>
        <v>1.6879109221434874E-10</v>
      </c>
      <c r="AU30" s="340">
        <f t="shared" si="9"/>
        <v>4.0042191784550596E-11</v>
      </c>
      <c r="AV30" s="340">
        <f t="shared" si="9"/>
        <v>9.0470964053679381E-12</v>
      </c>
      <c r="AW30" s="340">
        <f t="shared" si="9"/>
        <v>1.9462209621678994E-12</v>
      </c>
      <c r="AX30" s="340">
        <f t="shared" si="10"/>
        <v>3.985700658404312E-13</v>
      </c>
      <c r="AY30" s="340">
        <f t="shared" si="10"/>
        <v>7.7715611723760958E-14</v>
      </c>
    </row>
    <row r="31" spans="1:51">
      <c r="A31" s="546" t="s">
        <v>273</v>
      </c>
      <c r="B31" s="546">
        <v>2.5</v>
      </c>
      <c r="C31" s="551">
        <v>7.5</v>
      </c>
      <c r="D31" s="551"/>
      <c r="E31" s="555">
        <v>2.33</v>
      </c>
      <c r="F31" s="552"/>
      <c r="G31" s="546">
        <v>2.5</v>
      </c>
      <c r="H31" s="551">
        <v>7.5</v>
      </c>
      <c r="I31" s="553">
        <f t="shared" si="2"/>
        <v>6.4772617545178113</v>
      </c>
      <c r="J31" s="553">
        <f t="shared" si="3"/>
        <v>6.654478631273065</v>
      </c>
      <c r="K31" s="340">
        <f t="shared" ref="K31:Z75" si="11">1-(_xlfn.WEIBULL.DIST(K$2,$G31,$H31,TRUE))</f>
        <v>1</v>
      </c>
      <c r="L31" s="340">
        <f t="shared" si="11"/>
        <v>0.99352949783320754</v>
      </c>
      <c r="M31" s="340">
        <f t="shared" si="11"/>
        <v>0.96394444097566934</v>
      </c>
      <c r="N31" s="340">
        <f t="shared" si="11"/>
        <v>0.90375869446365809</v>
      </c>
      <c r="O31" s="340">
        <f t="shared" si="11"/>
        <v>0.81242729534123626</v>
      </c>
      <c r="P31" s="340">
        <f t="shared" si="11"/>
        <v>0.69566478229732498</v>
      </c>
      <c r="Q31" s="340">
        <f t="shared" si="11"/>
        <v>0.56415096083725491</v>
      </c>
      <c r="R31" s="340">
        <f t="shared" si="11"/>
        <v>0.43103185306177116</v>
      </c>
      <c r="S31" s="340">
        <f t="shared" si="11"/>
        <v>0.3087906202889279</v>
      </c>
      <c r="T31" s="340">
        <f t="shared" si="11"/>
        <v>0.20650287056946615</v>
      </c>
      <c r="U31" s="340">
        <f t="shared" si="11"/>
        <v>0.12837482715790938</v>
      </c>
      <c r="V31" s="340">
        <f t="shared" si="11"/>
        <v>7.3893905284140415E-2</v>
      </c>
      <c r="W31" s="340">
        <f t="shared" si="11"/>
        <v>3.9235539461036195E-2</v>
      </c>
      <c r="X31" s="340">
        <f t="shared" si="11"/>
        <v>1.9148423037909201E-2</v>
      </c>
      <c r="Y31" s="340">
        <f t="shared" si="11"/>
        <v>8.5599800235741652E-3</v>
      </c>
      <c r="Z31" s="340">
        <f t="shared" si="11"/>
        <v>3.4934892766461667E-3</v>
      </c>
      <c r="AA31" s="340">
        <f t="shared" si="9"/>
        <v>1.2974905242316703E-3</v>
      </c>
      <c r="AB31" s="340">
        <f t="shared" si="9"/>
        <v>4.3718364380007646E-4</v>
      </c>
      <c r="AC31" s="340">
        <f t="shared" si="9"/>
        <v>1.3324065487307912E-4</v>
      </c>
      <c r="AD31" s="340">
        <f t="shared" si="9"/>
        <v>3.6623408037450567E-5</v>
      </c>
      <c r="AE31" s="340">
        <f t="shared" si="9"/>
        <v>9.0531678970107166E-6</v>
      </c>
      <c r="AF31" s="340">
        <f t="shared" si="9"/>
        <v>2.0070808277594665E-6</v>
      </c>
      <c r="AG31" s="340">
        <f t="shared" si="9"/>
        <v>3.9800072371143358E-7</v>
      </c>
      <c r="AH31" s="340">
        <f t="shared" si="9"/>
        <v>7.0407239927128273E-8</v>
      </c>
      <c r="AI31" s="340">
        <f t="shared" si="9"/>
        <v>1.1082828876851636E-8</v>
      </c>
      <c r="AJ31" s="340">
        <f t="shared" ref="L31:AW38" si="12">1-(_xlfn.WEIBULL.DIST(AJ$2,$G31,$H31,TRUE))</f>
        <v>1.5484357129835757E-9</v>
      </c>
      <c r="AK31" s="340">
        <f t="shared" si="12"/>
        <v>1.9154766661699796E-10</v>
      </c>
      <c r="AL31" s="340">
        <f t="shared" si="12"/>
        <v>2.0929258326418676E-11</v>
      </c>
      <c r="AM31" s="340">
        <f t="shared" si="12"/>
        <v>2.0151658119971216E-12</v>
      </c>
      <c r="AN31" s="340">
        <f t="shared" si="12"/>
        <v>1.7053025658242404E-13</v>
      </c>
      <c r="AO31" s="340">
        <f t="shared" si="12"/>
        <v>1.2656542480726785E-14</v>
      </c>
      <c r="AP31" s="340">
        <f t="shared" si="12"/>
        <v>0</v>
      </c>
      <c r="AQ31" s="340">
        <f t="shared" si="12"/>
        <v>0</v>
      </c>
      <c r="AR31" s="340">
        <f t="shared" si="12"/>
        <v>0</v>
      </c>
      <c r="AS31" s="340">
        <f t="shared" si="12"/>
        <v>0</v>
      </c>
      <c r="AT31" s="340">
        <f t="shared" si="12"/>
        <v>0</v>
      </c>
      <c r="AU31" s="340">
        <f t="shared" si="12"/>
        <v>0</v>
      </c>
      <c r="AV31" s="340">
        <f t="shared" si="12"/>
        <v>0</v>
      </c>
      <c r="AW31" s="340">
        <f t="shared" si="12"/>
        <v>0</v>
      </c>
      <c r="AX31" s="340">
        <f t="shared" si="10"/>
        <v>0</v>
      </c>
      <c r="AY31" s="340">
        <f t="shared" si="10"/>
        <v>0</v>
      </c>
    </row>
    <row r="32" spans="1:51">
      <c r="A32" s="546" t="s">
        <v>289</v>
      </c>
      <c r="B32" s="546">
        <v>1.4</v>
      </c>
      <c r="C32" s="554">
        <v>10.199999999999999</v>
      </c>
      <c r="D32" s="557" t="s">
        <v>9070</v>
      </c>
      <c r="E32" s="555">
        <v>1.3</v>
      </c>
      <c r="F32" s="555">
        <v>9.8699999999999992</v>
      </c>
      <c r="G32" s="555">
        <v>1.3</v>
      </c>
      <c r="H32" s="555">
        <v>9.8699999999999992</v>
      </c>
      <c r="I32" s="553">
        <f t="shared" si="2"/>
        <v>7.4451799588239336</v>
      </c>
      <c r="J32" s="553">
        <f t="shared" si="3"/>
        <v>9.1157022417575018</v>
      </c>
      <c r="K32" s="340">
        <f t="shared" si="11"/>
        <v>1</v>
      </c>
      <c r="L32" s="340">
        <f t="shared" si="12"/>
        <v>0.95029902935275012</v>
      </c>
      <c r="M32" s="340">
        <f t="shared" si="12"/>
        <v>0.88203461428824192</v>
      </c>
      <c r="N32" s="340">
        <f t="shared" si="12"/>
        <v>0.80844697971189605</v>
      </c>
      <c r="O32" s="340">
        <f t="shared" si="12"/>
        <v>0.73412476166370677</v>
      </c>
      <c r="P32" s="340">
        <f t="shared" si="12"/>
        <v>0.66160020272624354</v>
      </c>
      <c r="Q32" s="340">
        <f t="shared" si="12"/>
        <v>0.59239505676147486</v>
      </c>
      <c r="R32" s="340">
        <f t="shared" si="12"/>
        <v>0.52742048849007483</v>
      </c>
      <c r="S32" s="340">
        <f t="shared" si="12"/>
        <v>0.46718259829951947</v>
      </c>
      <c r="T32" s="340">
        <f t="shared" si="12"/>
        <v>0.41190694645129244</v>
      </c>
      <c r="U32" s="340">
        <f t="shared" si="12"/>
        <v>0.36162181645654701</v>
      </c>
      <c r="V32" s="340">
        <f t="shared" si="12"/>
        <v>0.31621728791434112</v>
      </c>
      <c r="W32" s="340">
        <f t="shared" si="12"/>
        <v>0.27548861437129446</v>
      </c>
      <c r="X32" s="340">
        <f t="shared" si="12"/>
        <v>0.23916865826444789</v>
      </c>
      <c r="Y32" s="340">
        <f t="shared" si="12"/>
        <v>0.20695230948272547</v>
      </c>
      <c r="Z32" s="340">
        <f t="shared" si="12"/>
        <v>0.17851483751366537</v>
      </c>
      <c r="AA32" s="340">
        <f t="shared" si="12"/>
        <v>0.15352556002138107</v>
      </c>
      <c r="AB32" s="340">
        <f t="shared" si="12"/>
        <v>0.13165785579441425</v>
      </c>
      <c r="AC32" s="340">
        <f t="shared" si="12"/>
        <v>0.11259631240090018</v>
      </c>
      <c r="AD32" s="340">
        <f t="shared" si="12"/>
        <v>9.6041630217393537E-2</v>
      </c>
      <c r="AE32" s="340">
        <f t="shared" si="12"/>
        <v>8.1713778840949325E-2</v>
      </c>
      <c r="AF32" s="340">
        <f t="shared" si="12"/>
        <v>6.9353804719610945E-2</v>
      </c>
      <c r="AG32" s="340">
        <f t="shared" si="12"/>
        <v>5.8724611621628786E-2</v>
      </c>
      <c r="AH32" s="340">
        <f t="shared" si="12"/>
        <v>4.9610973070491338E-2</v>
      </c>
      <c r="AI32" s="340">
        <f t="shared" si="12"/>
        <v>4.1818984715814467E-2</v>
      </c>
      <c r="AJ32" s="340">
        <f t="shared" si="12"/>
        <v>3.5175122481343801E-2</v>
      </c>
      <c r="AK32" s="340">
        <f t="shared" si="12"/>
        <v>2.9525037570277912E-2</v>
      </c>
      <c r="AL32" s="340">
        <f t="shared" si="12"/>
        <v>2.4732190758438244E-2</v>
      </c>
      <c r="AM32" s="340">
        <f t="shared" si="12"/>
        <v>2.0676404874959364E-2</v>
      </c>
      <c r="AN32" s="340">
        <f t="shared" si="12"/>
        <v>1.7252395147217325E-2</v>
      </c>
      <c r="AO32" s="340">
        <f t="shared" si="12"/>
        <v>1.4368321492970071E-2</v>
      </c>
      <c r="AP32" s="340">
        <f t="shared" si="12"/>
        <v>1.1944394301309114E-2</v>
      </c>
      <c r="AQ32" s="340">
        <f t="shared" si="12"/>
        <v>9.9115552604782664E-3</v>
      </c>
      <c r="AR32" s="340">
        <f t="shared" si="12"/>
        <v>8.2102469393863231E-3</v>
      </c>
      <c r="AS32" s="340">
        <f t="shared" si="12"/>
        <v>6.7892787446642844E-3</v>
      </c>
      <c r="AT32" s="340">
        <f t="shared" si="12"/>
        <v>5.6047922422465257E-3</v>
      </c>
      <c r="AU32" s="340">
        <f t="shared" si="12"/>
        <v>4.6193253833121117E-3</v>
      </c>
      <c r="AV32" s="340">
        <f t="shared" si="12"/>
        <v>3.8009726810078748E-3</v>
      </c>
      <c r="AW32" s="340">
        <f t="shared" si="12"/>
        <v>3.1226366542308481E-3</v>
      </c>
      <c r="AX32" s="340">
        <f t="shared" si="10"/>
        <v>2.5613647266488071E-3</v>
      </c>
      <c r="AY32" s="340">
        <f t="shared" si="10"/>
        <v>2.0977651090339222E-3</v>
      </c>
    </row>
    <row r="33" spans="1:51">
      <c r="A33" s="546"/>
      <c r="B33" s="546"/>
      <c r="C33" s="554"/>
      <c r="D33" s="554" t="s">
        <v>9071</v>
      </c>
      <c r="E33" s="555">
        <v>1.3</v>
      </c>
      <c r="F33" s="555">
        <v>6.15</v>
      </c>
      <c r="G33" s="555">
        <v>1.3</v>
      </c>
      <c r="H33" s="555">
        <v>6.15</v>
      </c>
      <c r="I33" s="553">
        <f t="shared" si="2"/>
        <v>4.6390938953158258</v>
      </c>
      <c r="J33" s="553">
        <f t="shared" si="3"/>
        <v>5.6799968375692647</v>
      </c>
      <c r="K33" s="340">
        <f t="shared" si="11"/>
        <v>1</v>
      </c>
      <c r="L33" s="340">
        <f t="shared" si="12"/>
        <v>0.91001946779065668</v>
      </c>
      <c r="M33" s="340">
        <f t="shared" si="12"/>
        <v>0.79281335029590649</v>
      </c>
      <c r="N33" s="340">
        <f t="shared" si="12"/>
        <v>0.67482869292579795</v>
      </c>
      <c r="O33" s="340">
        <f t="shared" si="12"/>
        <v>0.56458556260045645</v>
      </c>
      <c r="P33" s="340">
        <f t="shared" si="12"/>
        <v>0.46577491758889278</v>
      </c>
      <c r="Q33" s="340">
        <f t="shared" si="12"/>
        <v>0.37968650544629368</v>
      </c>
      <c r="R33" s="340">
        <f t="shared" si="12"/>
        <v>0.30627061497993369</v>
      </c>
      <c r="S33" s="340">
        <f t="shared" si="12"/>
        <v>0.24472987169997795</v>
      </c>
      <c r="T33" s="340">
        <f t="shared" si="12"/>
        <v>0.19388206800773566</v>
      </c>
      <c r="U33" s="340">
        <f t="shared" si="12"/>
        <v>0.1523890328787415</v>
      </c>
      <c r="V33" s="340">
        <f t="shared" si="12"/>
        <v>0.11889952819532024</v>
      </c>
      <c r="W33" s="340">
        <f t="shared" si="12"/>
        <v>9.2134710519309104E-2</v>
      </c>
      <c r="X33" s="340">
        <f t="shared" si="12"/>
        <v>7.0934873258780784E-2</v>
      </c>
      <c r="Y33" s="340">
        <f t="shared" si="12"/>
        <v>5.4280382254829895E-2</v>
      </c>
      <c r="Z33" s="340">
        <f t="shared" si="12"/>
        <v>4.1295898450098067E-2</v>
      </c>
      <c r="AA33" s="340">
        <f t="shared" si="12"/>
        <v>3.1244299159129407E-2</v>
      </c>
      <c r="AB33" s="340">
        <f t="shared" si="12"/>
        <v>2.3514765038526897E-2</v>
      </c>
      <c r="AC33" s="340">
        <f t="shared" si="12"/>
        <v>1.7608075831779257E-2</v>
      </c>
      <c r="AD33" s="340">
        <f t="shared" si="12"/>
        <v>1.3121118754403249E-2</v>
      </c>
      <c r="AE33" s="340">
        <f t="shared" si="12"/>
        <v>9.7318645629814737E-3</v>
      </c>
      <c r="AF33" s="340">
        <f t="shared" si="12"/>
        <v>7.1855373452851534E-3</v>
      </c>
      <c r="AG33" s="340">
        <f t="shared" si="12"/>
        <v>5.2823402345638648E-3</v>
      </c>
      <c r="AH33" s="340">
        <f t="shared" si="12"/>
        <v>3.8668577988334452E-3</v>
      </c>
      <c r="AI33" s="340">
        <f t="shared" si="12"/>
        <v>2.8191033812786648E-3</v>
      </c>
      <c r="AJ33" s="340">
        <f t="shared" si="12"/>
        <v>2.0470903862920276E-3</v>
      </c>
      <c r="AK33" s="340">
        <f t="shared" si="12"/>
        <v>1.4807608315134946E-3</v>
      </c>
      <c r="AL33" s="340">
        <f t="shared" si="12"/>
        <v>1.0670878263370209E-3</v>
      </c>
      <c r="AM33" s="340">
        <f t="shared" si="12"/>
        <v>7.6617035576620474E-4</v>
      </c>
      <c r="AN33" s="340">
        <f t="shared" si="12"/>
        <v>5.4815128724094997E-4</v>
      </c>
      <c r="AO33" s="340">
        <f t="shared" si="12"/>
        <v>3.9080766418109203E-4</v>
      </c>
      <c r="AP33" s="340">
        <f t="shared" si="12"/>
        <v>2.7768263842942176E-4</v>
      </c>
      <c r="AQ33" s="340">
        <f t="shared" si="12"/>
        <v>1.9664863144874811E-4</v>
      </c>
      <c r="AR33" s="340">
        <f t="shared" si="12"/>
        <v>1.3881020966588498E-4</v>
      </c>
      <c r="AS33" s="340">
        <f t="shared" si="12"/>
        <v>9.7672041273200172E-5</v>
      </c>
      <c r="AT33" s="340">
        <f t="shared" si="12"/>
        <v>6.8511909197543908E-5</v>
      </c>
      <c r="AU33" s="340">
        <f t="shared" si="12"/>
        <v>4.791108569313085E-5</v>
      </c>
      <c r="AV33" s="340">
        <f t="shared" si="12"/>
        <v>3.3404577745144159E-5</v>
      </c>
      <c r="AW33" s="340">
        <f t="shared" si="12"/>
        <v>2.3222057293326159E-5</v>
      </c>
      <c r="AX33" s="340">
        <f t="shared" si="10"/>
        <v>1.6096954637001559E-5</v>
      </c>
      <c r="AY33" s="340">
        <f t="shared" si="10"/>
        <v>1.1126475805589564E-5</v>
      </c>
    </row>
    <row r="34" spans="1:51">
      <c r="A34" s="546" t="s">
        <v>7984</v>
      </c>
      <c r="B34" s="546">
        <v>0.8</v>
      </c>
      <c r="C34" s="554">
        <v>8</v>
      </c>
      <c r="D34" s="554"/>
      <c r="E34" s="552"/>
      <c r="F34" s="555"/>
      <c r="G34" s="546">
        <v>0.8</v>
      </c>
      <c r="H34" s="554">
        <v>8</v>
      </c>
      <c r="I34" s="553">
        <f t="shared" si="2"/>
        <v>5.0596655837774076</v>
      </c>
      <c r="J34" s="553">
        <f t="shared" si="3"/>
        <v>9.0640247705547701</v>
      </c>
      <c r="K34" s="340">
        <f t="shared" si="11"/>
        <v>1</v>
      </c>
      <c r="L34" s="340">
        <f t="shared" si="12"/>
        <v>0.8274020305587767</v>
      </c>
      <c r="M34" s="340">
        <f t="shared" si="12"/>
        <v>0.71901218252850363</v>
      </c>
      <c r="N34" s="340">
        <f t="shared" si="12"/>
        <v>0.6336406670595276</v>
      </c>
      <c r="O34" s="340">
        <f t="shared" si="12"/>
        <v>0.56307120899555707</v>
      </c>
      <c r="P34" s="340">
        <f t="shared" si="12"/>
        <v>0.50328415920063097</v>
      </c>
      <c r="Q34" s="340">
        <f t="shared" si="12"/>
        <v>0.45184418556273198</v>
      </c>
      <c r="R34" s="340">
        <f t="shared" si="12"/>
        <v>0.40710553548625927</v>
      </c>
      <c r="S34" s="340">
        <f t="shared" si="12"/>
        <v>0.36787944117144233</v>
      </c>
      <c r="T34" s="340">
        <f t="shared" si="12"/>
        <v>0.33326792952542295</v>
      </c>
      <c r="U34" s="340">
        <f t="shared" si="12"/>
        <v>0.30257060471247221</v>
      </c>
      <c r="V34" s="340">
        <f t="shared" si="12"/>
        <v>0.27522789973243955</v>
      </c>
      <c r="W34" s="340">
        <f t="shared" si="12"/>
        <v>0.25078435132081589</v>
      </c>
      <c r="X34" s="340">
        <f t="shared" si="12"/>
        <v>0.22886368048297212</v>
      </c>
      <c r="Y34" s="340">
        <f t="shared" si="12"/>
        <v>0.20915123397660618</v>
      </c>
      <c r="Z34" s="340">
        <f t="shared" si="12"/>
        <v>0.19138122712585215</v>
      </c>
      <c r="AA34" s="340">
        <f t="shared" si="12"/>
        <v>0.17532723680481777</v>
      </c>
      <c r="AB34" s="340">
        <f t="shared" si="12"/>
        <v>0.16079496393937598</v>
      </c>
      <c r="AC34" s="340">
        <f t="shared" si="12"/>
        <v>0.14761662303944834</v>
      </c>
      <c r="AD34" s="340">
        <f t="shared" si="12"/>
        <v>0.1356465247991423</v>
      </c>
      <c r="AE34" s="340">
        <f t="shared" si="12"/>
        <v>0.12475755082777462</v>
      </c>
      <c r="AF34" s="340">
        <f t="shared" si="12"/>
        <v>0.11483830697562059</v>
      </c>
      <c r="AG34" s="340">
        <f t="shared" si="12"/>
        <v>0.10579080064538293</v>
      </c>
      <c r="AH34" s="340">
        <f t="shared" si="12"/>
        <v>9.7528528127242442E-2</v>
      </c>
      <c r="AI34" s="340">
        <f t="shared" si="12"/>
        <v>8.997488660784958E-2</v>
      </c>
      <c r="AJ34" s="340">
        <f t="shared" si="12"/>
        <v>8.3061846014077068E-2</v>
      </c>
      <c r="AK34" s="340">
        <f t="shared" si="12"/>
        <v>7.6728830797340719E-2</v>
      </c>
      <c r="AL34" s="340">
        <f t="shared" si="12"/>
        <v>7.0921772816178508E-2</v>
      </c>
      <c r="AM34" s="340">
        <f t="shared" si="12"/>
        <v>6.5592304758138931E-2</v>
      </c>
      <c r="AN34" s="340">
        <f t="shared" si="12"/>
        <v>6.069706982684564E-2</v>
      </c>
      <c r="AO34" s="340">
        <f t="shared" si="12"/>
        <v>5.6197128242255756E-2</v>
      </c>
      <c r="AP34" s="340">
        <f t="shared" si="12"/>
        <v>5.2057444840246103E-2</v>
      </c>
      <c r="AQ34" s="340">
        <f t="shared" si="12"/>
        <v>4.8246444982980363E-2</v>
      </c>
      <c r="AR34" s="340">
        <f t="shared" si="12"/>
        <v>4.4735628300847763E-2</v>
      </c>
      <c r="AS34" s="340">
        <f t="shared" si="12"/>
        <v>4.1499231624624766E-2</v>
      </c>
      <c r="AT34" s="340">
        <f t="shared" si="12"/>
        <v>3.8513933940155343E-2</v>
      </c>
      <c r="AU34" s="340">
        <f t="shared" si="12"/>
        <v>3.5758597387725799E-2</v>
      </c>
      <c r="AV34" s="340">
        <f t="shared" si="12"/>
        <v>3.3214039295324738E-2</v>
      </c>
      <c r="AW34" s="340">
        <f t="shared" si="12"/>
        <v>3.086283102565146E-2</v>
      </c>
      <c r="AX34" s="340">
        <f t="shared" si="10"/>
        <v>2.8689120066901608E-2</v>
      </c>
      <c r="AY34" s="340">
        <f t="shared" si="10"/>
        <v>2.6678472334831449E-2</v>
      </c>
    </row>
    <row r="35" spans="1:51">
      <c r="A35" s="546" t="s">
        <v>290</v>
      </c>
      <c r="B35" s="546">
        <v>2.1</v>
      </c>
      <c r="C35" s="558">
        <v>15.6</v>
      </c>
      <c r="D35" s="558"/>
      <c r="E35" s="552">
        <v>2.09</v>
      </c>
      <c r="F35" s="552">
        <v>15.54</v>
      </c>
      <c r="G35" s="552">
        <v>2.09</v>
      </c>
      <c r="H35" s="552">
        <v>15.54</v>
      </c>
      <c r="I35" s="553">
        <f t="shared" si="2"/>
        <v>13.040401047062019</v>
      </c>
      <c r="J35" s="553">
        <f t="shared" si="3"/>
        <v>13.764151725312047</v>
      </c>
      <c r="K35" s="340">
        <f t="shared" si="11"/>
        <v>1</v>
      </c>
      <c r="L35" s="340">
        <f t="shared" si="12"/>
        <v>0.99677027824418452</v>
      </c>
      <c r="M35" s="340">
        <f t="shared" si="12"/>
        <v>0.98632167896228562</v>
      </c>
      <c r="N35" s="340">
        <f t="shared" si="12"/>
        <v>0.9683706473624345</v>
      </c>
      <c r="O35" s="340">
        <f t="shared" si="12"/>
        <v>0.94304890409519615</v>
      </c>
      <c r="P35" s="340">
        <f t="shared" si="12"/>
        <v>0.91075701942957477</v>
      </c>
      <c r="Q35" s="340">
        <f t="shared" si="12"/>
        <v>0.87211238291043225</v>
      </c>
      <c r="R35" s="340">
        <f t="shared" si="12"/>
        <v>0.82790877798994744</v>
      </c>
      <c r="S35" s="340">
        <f t="shared" si="12"/>
        <v>0.77907615085537929</v>
      </c>
      <c r="T35" s="340">
        <f t="shared" si="12"/>
        <v>0.72663865662477867</v>
      </c>
      <c r="U35" s="340">
        <f t="shared" si="12"/>
        <v>0.6716716866490422</v>
      </c>
      <c r="V35" s="340">
        <f t="shared" si="12"/>
        <v>0.61525948663652019</v>
      </c>
      <c r="W35" s="340">
        <f t="shared" si="12"/>
        <v>0.55845523155351007</v>
      </c>
      <c r="X35" s="340">
        <f t="shared" si="12"/>
        <v>0.50224534402754617</v>
      </c>
      <c r="Y35" s="340">
        <f t="shared" si="12"/>
        <v>0.44751955795498322</v>
      </c>
      <c r="Z35" s="340">
        <f t="shared" si="12"/>
        <v>0.39504781541329081</v>
      </c>
      <c r="AA35" s="340">
        <f t="shared" si="12"/>
        <v>0.34546460327420148</v>
      </c>
      <c r="AB35" s="340">
        <f t="shared" si="12"/>
        <v>0.29926083883505217</v>
      </c>
      <c r="AC35" s="340">
        <f t="shared" si="12"/>
        <v>0.25678294703198445</v>
      </c>
      <c r="AD35" s="340">
        <f t="shared" si="12"/>
        <v>0.21823837236116184</v>
      </c>
      <c r="AE35" s="340">
        <f t="shared" si="12"/>
        <v>0.18370646295806747</v>
      </c>
      <c r="AF35" s="340">
        <f t="shared" si="12"/>
        <v>0.15315346720172818</v>
      </c>
      <c r="AG35" s="340">
        <f t="shared" si="12"/>
        <v>0.12645029797631291</v>
      </c>
      <c r="AH35" s="340">
        <f t="shared" si="12"/>
        <v>0.10339173916727018</v>
      </c>
      <c r="AI35" s="340">
        <f t="shared" si="12"/>
        <v>8.3715877558515506E-2</v>
      </c>
      <c r="AJ35" s="340">
        <f t="shared" si="12"/>
        <v>6.7122719784521334E-2</v>
      </c>
      <c r="AK35" s="340">
        <f t="shared" si="12"/>
        <v>5.3291174294808785E-2</v>
      </c>
      <c r="AL35" s="340">
        <f t="shared" si="12"/>
        <v>4.1893818241459768E-2</v>
      </c>
      <c r="AM35" s="340">
        <f t="shared" si="12"/>
        <v>3.2609106883124572E-2</v>
      </c>
      <c r="AN35" s="340">
        <f t="shared" si="12"/>
        <v>2.5130900557185143E-2</v>
      </c>
      <c r="AO35" s="340">
        <f t="shared" si="12"/>
        <v>1.9175368528217329E-2</v>
      </c>
      <c r="AP35" s="340">
        <f t="shared" si="12"/>
        <v>1.4485472391311816E-2</v>
      </c>
      <c r="AQ35" s="340">
        <f t="shared" si="12"/>
        <v>1.0833331511197919E-2</v>
      </c>
      <c r="AR35" s="340">
        <f t="shared" si="12"/>
        <v>8.0208307846373339E-3</v>
      </c>
      <c r="AS35" s="340">
        <f t="shared" si="12"/>
        <v>5.8788516183654327E-3</v>
      </c>
      <c r="AT35" s="340">
        <f t="shared" si="12"/>
        <v>4.2654972908211519E-3</v>
      </c>
      <c r="AU35" s="340">
        <f t="shared" si="12"/>
        <v>3.0636516605657693E-3</v>
      </c>
      <c r="AV35" s="340">
        <f t="shared" si="12"/>
        <v>2.1781633676849488E-3</v>
      </c>
      <c r="AW35" s="340">
        <f t="shared" si="12"/>
        <v>1.5328934084207768E-3</v>
      </c>
      <c r="AX35" s="340">
        <f t="shared" si="10"/>
        <v>1.0678082191613036E-3</v>
      </c>
      <c r="AY35" s="340">
        <f t="shared" si="10"/>
        <v>7.3624772250957538E-4</v>
      </c>
    </row>
    <row r="36" spans="1:51">
      <c r="A36" s="546" t="s">
        <v>7987</v>
      </c>
      <c r="B36" s="546">
        <v>1.7</v>
      </c>
      <c r="C36" s="554">
        <v>10.5</v>
      </c>
      <c r="D36" s="554"/>
      <c r="E36" s="552">
        <v>1.1399999999999999</v>
      </c>
      <c r="F36" s="552">
        <v>8.33</v>
      </c>
      <c r="G36" s="552">
        <v>1.1399999999999999</v>
      </c>
      <c r="H36" s="552">
        <v>8.33</v>
      </c>
      <c r="I36" s="553">
        <f t="shared" si="2"/>
        <v>6.0397395748169602</v>
      </c>
      <c r="J36" s="553">
        <f t="shared" si="3"/>
        <v>7.9481207936917473</v>
      </c>
      <c r="K36" s="340">
        <f t="shared" si="11"/>
        <v>1</v>
      </c>
      <c r="L36" s="340">
        <f t="shared" si="12"/>
        <v>0.91464386378477858</v>
      </c>
      <c r="M36" s="340">
        <f t="shared" si="12"/>
        <v>0.82149857884863442</v>
      </c>
      <c r="N36" s="340">
        <f t="shared" si="12"/>
        <v>0.73186143432111994</v>
      </c>
      <c r="O36" s="340">
        <f t="shared" si="12"/>
        <v>0.64835016902453257</v>
      </c>
      <c r="P36" s="340">
        <f t="shared" si="12"/>
        <v>0.57186982895704763</v>
      </c>
      <c r="Q36" s="340">
        <f t="shared" si="12"/>
        <v>0.50260515654555726</v>
      </c>
      <c r="R36" s="340">
        <f t="shared" si="12"/>
        <v>0.44037958676911448</v>
      </c>
      <c r="S36" s="340">
        <f t="shared" si="12"/>
        <v>0.38482575805861641</v>
      </c>
      <c r="T36" s="340">
        <f t="shared" si="12"/>
        <v>0.33547848515911005</v>
      </c>
      <c r="U36" s="340">
        <f t="shared" si="12"/>
        <v>0.29182940634785914</v>
      </c>
      <c r="V36" s="340">
        <f t="shared" si="12"/>
        <v>0.25336034041894873</v>
      </c>
      <c r="W36" s="340">
        <f t="shared" si="12"/>
        <v>0.21956386816691031</v>
      </c>
      <c r="X36" s="340">
        <f t="shared" si="12"/>
        <v>0.18995584677252619</v>
      </c>
      <c r="Y36" s="340">
        <f t="shared" si="12"/>
        <v>0.16408266235091706</v>
      </c>
      <c r="Z36" s="340">
        <f t="shared" si="12"/>
        <v>0.14152498710899719</v>
      </c>
      <c r="AA36" s="340">
        <f t="shared" si="12"/>
        <v>0.12189919961000306</v>
      </c>
      <c r="AB36" s="340">
        <f t="shared" si="12"/>
        <v>0.10485725047382144</v>
      </c>
      <c r="AC36" s="340">
        <f t="shared" si="12"/>
        <v>9.0085512530905576E-2</v>
      </c>
      <c r="AD36" s="340">
        <f t="shared" si="12"/>
        <v>7.7302991470459936E-2</v>
      </c>
      <c r="AE36" s="340">
        <f t="shared" si="12"/>
        <v>6.6259160855961285E-2</v>
      </c>
      <c r="AF36" s="340">
        <f t="shared" si="12"/>
        <v>5.673160658339671E-2</v>
      </c>
      <c r="AG36" s="340">
        <f t="shared" si="12"/>
        <v>4.8523609671660139E-2</v>
      </c>
      <c r="AH36" s="340">
        <f t="shared" si="12"/>
        <v>4.1461755807093215E-2</v>
      </c>
      <c r="AI36" s="340">
        <f t="shared" si="12"/>
        <v>3.539363074999069E-2</v>
      </c>
      <c r="AJ36" s="340">
        <f t="shared" si="12"/>
        <v>3.0185639439258005E-2</v>
      </c>
      <c r="AK36" s="340">
        <f t="shared" si="12"/>
        <v>2.5720971230552059E-2</v>
      </c>
      <c r="AL36" s="340">
        <f t="shared" si="12"/>
        <v>2.1897722625700444E-2</v>
      </c>
      <c r="AM36" s="340">
        <f t="shared" si="12"/>
        <v>1.8627180975705593E-2</v>
      </c>
      <c r="AN36" s="340">
        <f t="shared" si="12"/>
        <v>1.5832267142570355E-2</v>
      </c>
      <c r="AO36" s="340">
        <f t="shared" si="12"/>
        <v>1.3446131375051462E-2</v>
      </c>
      <c r="AP36" s="340">
        <f t="shared" si="12"/>
        <v>1.1410894232621982E-2</v>
      </c>
      <c r="AQ36" s="340">
        <f t="shared" si="12"/>
        <v>9.6765229359073723E-3</v>
      </c>
      <c r="AR36" s="340">
        <f t="shared" si="12"/>
        <v>8.199832770442117E-3</v>
      </c>
      <c r="AS36" s="340">
        <f t="shared" si="12"/>
        <v>6.9436029269004385E-3</v>
      </c>
      <c r="AT36" s="340">
        <f t="shared" si="12"/>
        <v>5.8757962761267768E-3</v>
      </c>
      <c r="AU36" s="340">
        <f t="shared" si="12"/>
        <v>4.9688729390283681E-3</v>
      </c>
      <c r="AV36" s="340">
        <f t="shared" si="12"/>
        <v>4.199188035369783E-3</v>
      </c>
      <c r="AW36" s="340">
        <f t="shared" si="12"/>
        <v>3.5464646188765325E-3</v>
      </c>
      <c r="AX36" s="340">
        <f t="shared" si="10"/>
        <v>2.9933334823811775E-3</v>
      </c>
      <c r="AY36" s="340">
        <f t="shared" si="10"/>
        <v>2.5249322122676832E-3</v>
      </c>
    </row>
    <row r="37" spans="1:51">
      <c r="A37" s="546" t="s">
        <v>7989</v>
      </c>
      <c r="B37" s="546">
        <v>1.5</v>
      </c>
      <c r="C37" s="554">
        <v>10.8</v>
      </c>
      <c r="D37" s="554"/>
      <c r="E37" s="552">
        <v>1.49</v>
      </c>
      <c r="F37" s="552">
        <v>11.5</v>
      </c>
      <c r="G37" s="552">
        <v>1.49</v>
      </c>
      <c r="H37" s="552">
        <v>11.5</v>
      </c>
      <c r="I37" s="553">
        <f t="shared" si="2"/>
        <v>8.9922690116105173</v>
      </c>
      <c r="J37" s="553">
        <f t="shared" si="3"/>
        <v>10.390101855782699</v>
      </c>
      <c r="K37" s="340">
        <f t="shared" si="11"/>
        <v>1</v>
      </c>
      <c r="L37" s="340">
        <f t="shared" si="12"/>
        <v>0.97406615337904612</v>
      </c>
      <c r="M37" s="340">
        <f t="shared" si="12"/>
        <v>0.92885136178072769</v>
      </c>
      <c r="N37" s="340">
        <f t="shared" si="12"/>
        <v>0.87367866596924193</v>
      </c>
      <c r="O37" s="340">
        <f t="shared" si="12"/>
        <v>0.8127640240855597</v>
      </c>
      <c r="P37" s="340">
        <f t="shared" si="12"/>
        <v>0.74894855867865706</v>
      </c>
      <c r="Q37" s="340">
        <f t="shared" si="12"/>
        <v>0.68432668931087015</v>
      </c>
      <c r="R37" s="340">
        <f t="shared" si="12"/>
        <v>0.62048032365889016</v>
      </c>
      <c r="S37" s="340">
        <f t="shared" si="12"/>
        <v>0.55859896650164065</v>
      </c>
      <c r="T37" s="340">
        <f t="shared" si="12"/>
        <v>0.49955613992552772</v>
      </c>
      <c r="U37" s="340">
        <f t="shared" si="12"/>
        <v>0.44396576227380846</v>
      </c>
      <c r="V37" s="340">
        <f t="shared" si="12"/>
        <v>0.39222773428641777</v>
      </c>
      <c r="W37" s="340">
        <f t="shared" si="12"/>
        <v>0.34456667507097816</v>
      </c>
      <c r="X37" s="340">
        <f t="shared" si="12"/>
        <v>0.30106558134051453</v>
      </c>
      <c r="Y37" s="340">
        <f t="shared" si="12"/>
        <v>0.26169525162685714</v>
      </c>
      <c r="Z37" s="340">
        <f t="shared" si="12"/>
        <v>0.22633991837685108</v>
      </c>
      <c r="AA37" s="340">
        <f t="shared" si="12"/>
        <v>0.19481937285510298</v>
      </c>
      <c r="AB37" s="340">
        <f t="shared" si="12"/>
        <v>0.16690781919514786</v>
      </c>
      <c r="AC37" s="340">
        <f t="shared" si="12"/>
        <v>0.14234969224904681</v>
      </c>
      <c r="AD37" s="340">
        <f t="shared" si="12"/>
        <v>0.1208726885025464</v>
      </c>
      <c r="AE37" s="340">
        <f t="shared" si="12"/>
        <v>0.10219827540388227</v>
      </c>
      <c r="AF37" s="340">
        <f t="shared" si="12"/>
        <v>8.6049955264644984E-2</v>
      </c>
      <c r="AG37" s="340">
        <f t="shared" si="12"/>
        <v>7.2159562982143877E-2</v>
      </c>
      <c r="AH37" s="340">
        <f t="shared" si="12"/>
        <v>6.0271872015946748E-2</v>
      </c>
      <c r="AI37" s="340">
        <f t="shared" si="12"/>
        <v>5.0147771278358788E-2</v>
      </c>
      <c r="AJ37" s="340">
        <f t="shared" si="12"/>
        <v>4.1566258323527672E-2</v>
      </c>
      <c r="AK37" s="340">
        <f t="shared" si="12"/>
        <v>3.432547303236344E-2</v>
      </c>
      <c r="AL37" s="340">
        <f t="shared" si="12"/>
        <v>2.8242972408754841E-2</v>
      </c>
      <c r="AM37" s="340">
        <f t="shared" si="12"/>
        <v>2.315542246315605E-2</v>
      </c>
      <c r="AN37" s="340">
        <f t="shared" si="12"/>
        <v>1.8917858567573331E-2</v>
      </c>
      <c r="AO37" s="340">
        <f t="shared" si="12"/>
        <v>1.5402641982746657E-2</v>
      </c>
      <c r="AP37" s="340">
        <f t="shared" si="12"/>
        <v>1.2498218112521609E-2</v>
      </c>
      <c r="AQ37" s="340">
        <f t="shared" si="12"/>
        <v>1.0107761851899766E-2</v>
      </c>
      <c r="AR37" s="340">
        <f t="shared" si="12"/>
        <v>8.1477774055992436E-3</v>
      </c>
      <c r="AS37" s="340">
        <f t="shared" si="12"/>
        <v>6.5467042592570746E-3</v>
      </c>
      <c r="AT37" s="340">
        <f t="shared" si="12"/>
        <v>5.2435675682377392E-3</v>
      </c>
      <c r="AU37" s="340">
        <f t="shared" si="12"/>
        <v>4.1866999879213163E-3</v>
      </c>
      <c r="AV37" s="340">
        <f t="shared" si="12"/>
        <v>3.3325527446698144E-3</v>
      </c>
      <c r="AW37" s="340">
        <f t="shared" si="12"/>
        <v>2.6446063424260258E-3</v>
      </c>
      <c r="AX37" s="340">
        <f t="shared" si="10"/>
        <v>2.0923855014773896E-3</v>
      </c>
      <c r="AY37" s="340">
        <f t="shared" si="10"/>
        <v>1.650578513973544E-3</v>
      </c>
    </row>
    <row r="38" spans="1:51">
      <c r="A38" s="546" t="s">
        <v>291</v>
      </c>
      <c r="B38" s="546">
        <v>1.4</v>
      </c>
      <c r="C38" s="558">
        <v>8.1999999999999993</v>
      </c>
      <c r="D38" s="558"/>
      <c r="E38" s="555">
        <v>1.19</v>
      </c>
      <c r="F38" s="555">
        <v>6.75</v>
      </c>
      <c r="G38" s="555">
        <v>1.19</v>
      </c>
      <c r="H38" s="555">
        <v>6.75</v>
      </c>
      <c r="I38" s="553">
        <f t="shared" si="2"/>
        <v>4.9607079081763903</v>
      </c>
      <c r="J38" s="553">
        <f t="shared" si="3"/>
        <v>6.3633054235848183</v>
      </c>
      <c r="K38" s="340">
        <f t="shared" si="11"/>
        <v>1</v>
      </c>
      <c r="L38" s="340">
        <f t="shared" si="12"/>
        <v>0.90206463298160777</v>
      </c>
      <c r="M38" s="340">
        <f t="shared" si="12"/>
        <v>0.7904483258762327</v>
      </c>
      <c r="N38" s="340">
        <f t="shared" si="12"/>
        <v>0.68319117814995534</v>
      </c>
      <c r="O38" s="340">
        <f t="shared" si="12"/>
        <v>0.58478409508362228</v>
      </c>
      <c r="P38" s="340">
        <f t="shared" si="12"/>
        <v>0.49674155114448482</v>
      </c>
      <c r="Q38" s="340">
        <f t="shared" si="12"/>
        <v>0.41927947618471639</v>
      </c>
      <c r="R38" s="340">
        <f t="shared" si="12"/>
        <v>0.35196356254955052</v>
      </c>
      <c r="S38" s="340">
        <f t="shared" si="12"/>
        <v>0.29403156848600887</v>
      </c>
      <c r="T38" s="340">
        <f t="shared" si="12"/>
        <v>0.24457302012716453</v>
      </c>
      <c r="U38" s="340">
        <f t="shared" si="12"/>
        <v>0.20263449353666185</v>
      </c>
      <c r="V38" s="340">
        <f t="shared" si="12"/>
        <v>0.16728182619927967</v>
      </c>
      <c r="W38" s="340">
        <f t="shared" si="12"/>
        <v>0.13763586525433802</v>
      </c>
      <c r="X38" s="340">
        <f t="shared" si="12"/>
        <v>0.11289143997396822</v>
      </c>
      <c r="Y38" s="340">
        <f t="shared" ref="L38:AW45" si="13">1-(_xlfn.WEIBULL.DIST(Y$2,$G38,$H38,TRUE))</f>
        <v>9.2325586135769577E-2</v>
      </c>
      <c r="Z38" s="340">
        <f t="shared" si="13"/>
        <v>7.5298931583184348E-2</v>
      </c>
      <c r="AA38" s="340">
        <f t="shared" si="13"/>
        <v>6.1252841218819798E-2</v>
      </c>
      <c r="AB38" s="340">
        <f t="shared" si="13"/>
        <v>4.9704068222528597E-2</v>
      </c>
      <c r="AC38" s="340">
        <f t="shared" si="13"/>
        <v>4.0238086678210272E-2</v>
      </c>
      <c r="AD38" s="340">
        <f t="shared" si="13"/>
        <v>3.250188880421323E-2</v>
      </c>
      <c r="AE38" s="340">
        <f t="shared" si="13"/>
        <v>2.6196757964925821E-2</v>
      </c>
      <c r="AF38" s="340">
        <f t="shared" si="13"/>
        <v>2.1071339096451203E-2</v>
      </c>
      <c r="AG38" s="340">
        <f t="shared" si="13"/>
        <v>1.6915196452714221E-2</v>
      </c>
      <c r="AH38" s="340">
        <f t="shared" si="13"/>
        <v>1.3552957880936689E-2</v>
      </c>
      <c r="AI38" s="340">
        <f t="shared" si="13"/>
        <v>1.0839083428215046E-2</v>
      </c>
      <c r="AJ38" s="340">
        <f t="shared" si="13"/>
        <v>8.6532555999558891E-3</v>
      </c>
      <c r="AK38" s="340">
        <f t="shared" si="13"/>
        <v>6.8963630018479272E-3</v>
      </c>
      <c r="AL38" s="340">
        <f t="shared" si="13"/>
        <v>5.4870340147732399E-3</v>
      </c>
      <c r="AM38" s="340">
        <f t="shared" si="13"/>
        <v>4.3586693809418708E-3</v>
      </c>
      <c r="AN38" s="340">
        <f t="shared" si="13"/>
        <v>3.4569197930441886E-3</v>
      </c>
      <c r="AO38" s="340">
        <f t="shared" si="13"/>
        <v>2.7375550900337053E-3</v>
      </c>
      <c r="AP38" s="340">
        <f t="shared" si="13"/>
        <v>2.1646742606741265E-3</v>
      </c>
      <c r="AQ38" s="340">
        <f t="shared" si="13"/>
        <v>1.7092092773227652E-3</v>
      </c>
      <c r="AR38" s="340">
        <f t="shared" si="13"/>
        <v>1.3476802249163811E-3</v>
      </c>
      <c r="AS38" s="340">
        <f t="shared" si="13"/>
        <v>1.0611638417842295E-3</v>
      </c>
      <c r="AT38" s="340">
        <f t="shared" si="13"/>
        <v>8.3444217697303813E-4</v>
      </c>
      <c r="AU38" s="340">
        <f t="shared" si="13"/>
        <v>6.5530242111822012E-4</v>
      </c>
      <c r="AV38" s="340">
        <f t="shared" si="13"/>
        <v>5.1396298419625897E-4</v>
      </c>
      <c r="AW38" s="340">
        <f t="shared" si="13"/>
        <v>4.0260452368501287E-4</v>
      </c>
      <c r="AX38" s="340">
        <f t="shared" si="10"/>
        <v>3.1498785505734705E-4</v>
      </c>
      <c r="AY38" s="340">
        <f t="shared" si="10"/>
        <v>2.4614351018881209E-4</v>
      </c>
    </row>
    <row r="39" spans="1:51">
      <c r="A39" s="546" t="s">
        <v>7991</v>
      </c>
      <c r="B39" s="546">
        <v>2</v>
      </c>
      <c r="C39" s="551">
        <v>12.6</v>
      </c>
      <c r="D39" s="551"/>
      <c r="E39" s="552"/>
      <c r="F39" s="552"/>
      <c r="G39" s="546">
        <v>2</v>
      </c>
      <c r="H39" s="551">
        <v>12.6</v>
      </c>
      <c r="I39" s="553">
        <f t="shared" si="2"/>
        <v>10.490188100586991</v>
      </c>
      <c r="J39" s="553">
        <f t="shared" si="3"/>
        <v>11.166459260704752</v>
      </c>
      <c r="K39" s="340">
        <f t="shared" si="11"/>
        <v>1</v>
      </c>
      <c r="L39" s="340">
        <f t="shared" si="13"/>
        <v>0.9937209801322594</v>
      </c>
      <c r="M39" s="340">
        <f t="shared" si="13"/>
        <v>0.97511948839762885</v>
      </c>
      <c r="N39" s="340">
        <f t="shared" si="13"/>
        <v>0.94488756027488963</v>
      </c>
      <c r="O39" s="340">
        <f t="shared" si="13"/>
        <v>0.90413096783299784</v>
      </c>
      <c r="P39" s="340">
        <f t="shared" si="13"/>
        <v>0.85430210436469611</v>
      </c>
      <c r="Q39" s="340">
        <f t="shared" si="13"/>
        <v>0.7971141629458125</v>
      </c>
      <c r="R39" s="340">
        <f t="shared" si="13"/>
        <v>0.73444367192973115</v>
      </c>
      <c r="S39" s="340">
        <f t="shared" si="13"/>
        <v>0.66822909166340549</v>
      </c>
      <c r="T39" s="340">
        <f t="shared" si="13"/>
        <v>0.60037304119840451</v>
      </c>
      <c r="U39" s="340">
        <f t="shared" si="13"/>
        <v>0.53265487305731596</v>
      </c>
      <c r="V39" s="340">
        <f t="shared" si="13"/>
        <v>0.46665889090242252</v>
      </c>
      <c r="W39" s="340">
        <f t="shared" si="13"/>
        <v>0.40372170860859757</v>
      </c>
      <c r="X39" s="340">
        <f t="shared" si="13"/>
        <v>0.34490030524203563</v>
      </c>
      <c r="Y39" s="340">
        <f t="shared" si="13"/>
        <v>0.29096045886431021</v>
      </c>
      <c r="Z39" s="340">
        <f t="shared" si="13"/>
        <v>0.24238362999515983</v>
      </c>
      <c r="AA39" s="340">
        <f t="shared" si="13"/>
        <v>0.19938914712530376</v>
      </c>
      <c r="AB39" s="340">
        <f t="shared" si="13"/>
        <v>0.16196779290574459</v>
      </c>
      <c r="AC39" s="340">
        <f t="shared" si="13"/>
        <v>0.12992260830505953</v>
      </c>
      <c r="AD39" s="340">
        <f t="shared" si="13"/>
        <v>0.10291287608308186</v>
      </c>
      <c r="AE39" s="340">
        <f t="shared" si="13"/>
        <v>8.049772715543857E-2</v>
      </c>
      <c r="AF39" s="340">
        <f t="shared" si="13"/>
        <v>6.2176524022116264E-2</v>
      </c>
      <c r="AG39" s="340">
        <f t="shared" si="13"/>
        <v>4.7423999580669784E-2</v>
      </c>
      <c r="AH39" s="340">
        <f t="shared" si="13"/>
        <v>3.5718962449264757E-2</v>
      </c>
      <c r="AI39" s="340">
        <f t="shared" si="13"/>
        <v>2.6566137145725088E-2</v>
      </c>
      <c r="AJ39" s="340">
        <f t="shared" si="13"/>
        <v>1.9511331314295166E-2</v>
      </c>
      <c r="AK39" s="340">
        <f t="shared" si="13"/>
        <v>1.4150582408979484E-2</v>
      </c>
      <c r="AL39" s="340">
        <f t="shared" si="13"/>
        <v>1.0134227381485728E-2</v>
      </c>
      <c r="AM39" s="340">
        <f t="shared" si="13"/>
        <v>7.166975037612433E-3</v>
      </c>
      <c r="AN39" s="340">
        <f t="shared" si="13"/>
        <v>5.0050688662058862E-3</v>
      </c>
      <c r="AO39" s="340">
        <f t="shared" si="13"/>
        <v>3.4515418305625101E-3</v>
      </c>
      <c r="AP39" s="340">
        <f t="shared" si="13"/>
        <v>2.3504182086233616E-3</v>
      </c>
      <c r="AQ39" s="340">
        <f t="shared" si="13"/>
        <v>1.580542079697711E-3</v>
      </c>
      <c r="AR39" s="340">
        <f t="shared" si="13"/>
        <v>1.0495325222678042E-3</v>
      </c>
      <c r="AS39" s="340">
        <f t="shared" si="13"/>
        <v>6.881999818632023E-4</v>
      </c>
      <c r="AT39" s="340">
        <f t="shared" si="13"/>
        <v>4.456175955920294E-4</v>
      </c>
      <c r="AU39" s="340">
        <f t="shared" si="13"/>
        <v>2.8493048887656691E-4</v>
      </c>
      <c r="AV39" s="340">
        <f t="shared" si="13"/>
        <v>1.799054970784697E-4</v>
      </c>
      <c r="AW39" s="340">
        <f t="shared" si="13"/>
        <v>1.1217055327272796E-4</v>
      </c>
      <c r="AX39" s="340">
        <f t="shared" si="10"/>
        <v>6.9062486190207828E-5</v>
      </c>
      <c r="AY39" s="340">
        <f t="shared" si="10"/>
        <v>4.1988897653832957E-5</v>
      </c>
    </row>
    <row r="40" spans="1:51">
      <c r="A40" s="546" t="s">
        <v>274</v>
      </c>
      <c r="B40" s="546">
        <v>2.1</v>
      </c>
      <c r="C40" s="551">
        <v>12</v>
      </c>
      <c r="D40" s="551"/>
      <c r="E40" s="552">
        <v>2.0099999999999998</v>
      </c>
      <c r="F40" s="552">
        <v>11.75</v>
      </c>
      <c r="G40" s="552">
        <v>2.0099999999999998</v>
      </c>
      <c r="H40" s="552">
        <v>11.75</v>
      </c>
      <c r="I40" s="553">
        <f t="shared" si="2"/>
        <v>9.7914397002866931</v>
      </c>
      <c r="J40" s="553">
        <f t="shared" si="3"/>
        <v>10.412251339691837</v>
      </c>
      <c r="K40" s="340">
        <f t="shared" si="11"/>
        <v>1</v>
      </c>
      <c r="L40" s="340">
        <f t="shared" si="13"/>
        <v>0.99295809354078612</v>
      </c>
      <c r="M40" s="340">
        <f t="shared" si="13"/>
        <v>0.97193739482114294</v>
      </c>
      <c r="N40" s="340">
        <f t="shared" si="13"/>
        <v>0.93771994193595287</v>
      </c>
      <c r="O40" s="340">
        <f t="shared" si="13"/>
        <v>0.89168043369739214</v>
      </c>
      <c r="P40" s="340">
        <f t="shared" si="13"/>
        <v>0.83565715790227668</v>
      </c>
      <c r="Q40" s="340">
        <f t="shared" si="13"/>
        <v>0.77181927748190882</v>
      </c>
      <c r="R40" s="340">
        <f t="shared" si="13"/>
        <v>0.70252222847671608</v>
      </c>
      <c r="S40" s="340">
        <f t="shared" si="13"/>
        <v>0.63016119959916939</v>
      </c>
      <c r="T40" s="340">
        <f t="shared" si="13"/>
        <v>0.55703421813661746</v>
      </c>
      <c r="U40" s="340">
        <f t="shared" si="13"/>
        <v>0.48522503644106163</v>
      </c>
      <c r="V40" s="340">
        <f t="shared" si="13"/>
        <v>0.41651333854727335</v>
      </c>
      <c r="W40" s="340">
        <f t="shared" si="13"/>
        <v>0.35231645180949367</v>
      </c>
      <c r="X40" s="340">
        <f t="shared" si="13"/>
        <v>0.29366329529948954</v>
      </c>
      <c r="Y40" s="340">
        <f t="shared" si="13"/>
        <v>0.24119818026917594</v>
      </c>
      <c r="Z40" s="340">
        <f t="shared" si="13"/>
        <v>0.19520963858859375</v>
      </c>
      <c r="AA40" s="340">
        <f t="shared" si="13"/>
        <v>0.15567789143934918</v>
      </c>
      <c r="AB40" s="340">
        <f t="shared" si="13"/>
        <v>0.12233393379466861</v>
      </c>
      <c r="AC40" s="340">
        <f t="shared" si="13"/>
        <v>9.4723420445452233E-2</v>
      </c>
      <c r="AD40" s="340">
        <f t="shared" si="13"/>
        <v>7.2269419500478271E-2</v>
      </c>
      <c r="AE40" s="340">
        <f t="shared" si="13"/>
        <v>5.4329418179446698E-2</v>
      </c>
      <c r="AF40" s="340">
        <f t="shared" si="13"/>
        <v>4.024348122428556E-2</v>
      </c>
      <c r="AG40" s="340">
        <f t="shared" si="13"/>
        <v>2.9371957778548952E-2</v>
      </c>
      <c r="AH40" s="340">
        <f t="shared" si="13"/>
        <v>2.1122441907904688E-2</v>
      </c>
      <c r="AI40" s="340">
        <f t="shared" si="13"/>
        <v>1.4966710946204498E-2</v>
      </c>
      <c r="AJ40" s="340">
        <f t="shared" si="13"/>
        <v>1.0449052183427954E-2</v>
      </c>
      <c r="AK40" s="340">
        <f t="shared" si="13"/>
        <v>7.1877519031953163E-3</v>
      </c>
      <c r="AL40" s="340">
        <f t="shared" si="13"/>
        <v>4.8716085850657453E-3</v>
      </c>
      <c r="AM40" s="340">
        <f t="shared" si="13"/>
        <v>3.2532122143702491E-3</v>
      </c>
      <c r="AN40" s="340">
        <f t="shared" si="13"/>
        <v>2.1404779423346287E-3</v>
      </c>
      <c r="AO40" s="340">
        <f t="shared" si="13"/>
        <v>1.3876029469923612E-3</v>
      </c>
      <c r="AP40" s="340">
        <f t="shared" si="13"/>
        <v>8.8628536726542695E-4</v>
      </c>
      <c r="AQ40" s="340">
        <f t="shared" si="13"/>
        <v>5.5774250007056825E-4</v>
      </c>
      <c r="AR40" s="340">
        <f t="shared" si="13"/>
        <v>3.4581485537432677E-4</v>
      </c>
      <c r="AS40" s="340">
        <f t="shared" si="13"/>
        <v>2.1125223538820403E-4</v>
      </c>
      <c r="AT40" s="340">
        <f t="shared" si="13"/>
        <v>1.2714661867874177E-4</v>
      </c>
      <c r="AU40" s="340">
        <f t="shared" si="13"/>
        <v>7.5396689933837635E-5</v>
      </c>
      <c r="AV40" s="340">
        <f t="shared" si="13"/>
        <v>4.4049591811812228E-5</v>
      </c>
      <c r="AW40" s="340">
        <f t="shared" si="13"/>
        <v>2.5355481992006546E-5</v>
      </c>
      <c r="AX40" s="340">
        <f t="shared" si="10"/>
        <v>1.4379391349517157E-5</v>
      </c>
      <c r="AY40" s="340">
        <f t="shared" si="10"/>
        <v>8.0342641913810908E-6</v>
      </c>
    </row>
    <row r="41" spans="1:51">
      <c r="A41" s="546" t="s">
        <v>292</v>
      </c>
      <c r="B41" s="546">
        <v>1.4</v>
      </c>
      <c r="C41" s="554">
        <v>8.7200000000000006</v>
      </c>
      <c r="D41" s="554"/>
      <c r="E41" s="555"/>
      <c r="F41" s="555"/>
      <c r="G41" s="546">
        <v>1.4</v>
      </c>
      <c r="H41" s="554">
        <v>8.7200000000000006</v>
      </c>
      <c r="I41" s="553">
        <f t="shared" si="2"/>
        <v>6.7115122263689226</v>
      </c>
      <c r="J41" s="553">
        <f t="shared" si="3"/>
        <v>7.9476115216448813</v>
      </c>
      <c r="K41" s="340">
        <f t="shared" si="11"/>
        <v>1</v>
      </c>
      <c r="L41" s="340">
        <f t="shared" si="13"/>
        <v>0.95291886038103191</v>
      </c>
      <c r="M41" s="340">
        <f t="shared" si="13"/>
        <v>0.88049774610551279</v>
      </c>
      <c r="N41" s="340">
        <f t="shared" si="13"/>
        <v>0.7989030495889955</v>
      </c>
      <c r="O41" s="340">
        <f t="shared" si="13"/>
        <v>0.71472170896942677</v>
      </c>
      <c r="P41" s="340">
        <f t="shared" si="13"/>
        <v>0.63190039033965384</v>
      </c>
      <c r="Q41" s="340">
        <f t="shared" si="13"/>
        <v>0.55294295825556361</v>
      </c>
      <c r="R41" s="340">
        <f t="shared" si="13"/>
        <v>0.47940252402110484</v>
      </c>
      <c r="S41" s="340">
        <f t="shared" si="13"/>
        <v>0.41215935857511821</v>
      </c>
      <c r="T41" s="340">
        <f t="shared" si="13"/>
        <v>0.35160707394063695</v>
      </c>
      <c r="U41" s="340">
        <f t="shared" si="13"/>
        <v>0.29778893992331212</v>
      </c>
      <c r="V41" s="340">
        <f t="shared" si="13"/>
        <v>0.25050191320752169</v>
      </c>
      <c r="W41" s="340">
        <f t="shared" si="13"/>
        <v>0.20937716934653561</v>
      </c>
      <c r="X41" s="340">
        <f t="shared" si="13"/>
        <v>0.17394233684717642</v>
      </c>
      <c r="Y41" s="340">
        <f t="shared" si="13"/>
        <v>0.14366900457728926</v>
      </c>
      <c r="Z41" s="340">
        <f t="shared" si="13"/>
        <v>0.11800824368565699</v>
      </c>
      <c r="AA41" s="340">
        <f t="shared" si="13"/>
        <v>9.6416393267149014E-2</v>
      </c>
      <c r="AB41" s="340">
        <f t="shared" si="13"/>
        <v>7.8373014359051529E-2</v>
      </c>
      <c r="AC41" s="340">
        <f t="shared" si="13"/>
        <v>6.3392639485139068E-2</v>
      </c>
      <c r="AD41" s="340">
        <f t="shared" si="13"/>
        <v>5.1031702474465979E-2</v>
      </c>
      <c r="AE41" s="340">
        <f t="shared" si="13"/>
        <v>4.0891813944699096E-2</v>
      </c>
      <c r="AF41" s="340">
        <f t="shared" si="13"/>
        <v>3.2620348534909804E-2</v>
      </c>
      <c r="AG41" s="340">
        <f t="shared" si="13"/>
        <v>2.5909130689589666E-2</v>
      </c>
      <c r="AH41" s="340">
        <f t="shared" si="13"/>
        <v>2.0491847175362565E-2</v>
      </c>
      <c r="AI41" s="340">
        <f t="shared" si="13"/>
        <v>1.6140676839441315E-2</v>
      </c>
      <c r="AJ41" s="340">
        <f t="shared" si="13"/>
        <v>1.2662511010404387E-2</v>
      </c>
      <c r="AK41" s="340">
        <f t="shared" si="13"/>
        <v>9.8950403536441911E-3</v>
      </c>
      <c r="AL41" s="340">
        <f t="shared" si="13"/>
        <v>7.7029043644463169E-3</v>
      </c>
      <c r="AM41" s="340">
        <f t="shared" si="13"/>
        <v>5.9740361118373331E-3</v>
      </c>
      <c r="AN41" s="340">
        <f t="shared" si="13"/>
        <v>4.6162852700716295E-3</v>
      </c>
      <c r="AO41" s="340">
        <f t="shared" si="13"/>
        <v>3.5543648013681706E-3</v>
      </c>
      <c r="AP41" s="340">
        <f t="shared" si="13"/>
        <v>2.7271388752793113E-3</v>
      </c>
      <c r="AQ41" s="340">
        <f t="shared" si="13"/>
        <v>2.0852498746050108E-3</v>
      </c>
      <c r="AR41" s="340">
        <f t="shared" si="13"/>
        <v>1.5890689921157497E-3</v>
      </c>
      <c r="AS41" s="340">
        <f t="shared" si="13"/>
        <v>1.2069465330085682E-3</v>
      </c>
      <c r="AT41" s="340">
        <f t="shared" si="13"/>
        <v>9.137333931176217E-4</v>
      </c>
      <c r="AU41" s="340">
        <f t="shared" si="13"/>
        <v>6.8954328214210214E-4</v>
      </c>
      <c r="AV41" s="340">
        <f t="shared" si="13"/>
        <v>5.1872529769614317E-4</v>
      </c>
      <c r="AW41" s="340">
        <f t="shared" si="13"/>
        <v>3.8901779400279946E-4</v>
      </c>
      <c r="AX41" s="340">
        <f t="shared" si="10"/>
        <v>2.9085663956351926E-4</v>
      </c>
      <c r="AY41" s="340">
        <f t="shared" si="10"/>
        <v>2.1681355503255784E-4</v>
      </c>
    </row>
    <row r="42" spans="1:51">
      <c r="A42" s="546" t="s">
        <v>7996</v>
      </c>
      <c r="B42" s="546">
        <v>1.6</v>
      </c>
      <c r="C42" s="554">
        <v>8.43</v>
      </c>
      <c r="D42" s="554"/>
      <c r="E42" s="555"/>
      <c r="F42" s="555"/>
      <c r="G42" s="546">
        <v>1.6</v>
      </c>
      <c r="H42" s="554">
        <v>8.43</v>
      </c>
      <c r="I42" s="553">
        <f t="shared" si="2"/>
        <v>6.7041463731837538</v>
      </c>
      <c r="J42" s="553">
        <f t="shared" si="3"/>
        <v>7.5581211808771211</v>
      </c>
      <c r="K42" s="340">
        <f t="shared" si="11"/>
        <v>1</v>
      </c>
      <c r="L42" s="340">
        <f t="shared" si="13"/>
        <v>0.96752665176841579</v>
      </c>
      <c r="M42" s="340">
        <f t="shared" si="13"/>
        <v>0.90476991743791102</v>
      </c>
      <c r="N42" s="340">
        <f t="shared" si="13"/>
        <v>0.82575562739807729</v>
      </c>
      <c r="O42" s="340">
        <f t="shared" si="13"/>
        <v>0.73832625971849764</v>
      </c>
      <c r="P42" s="340">
        <f t="shared" si="13"/>
        <v>0.64821119566007701</v>
      </c>
      <c r="Q42" s="340">
        <f t="shared" si="13"/>
        <v>0.5596815744628123</v>
      </c>
      <c r="R42" s="340">
        <f t="shared" si="13"/>
        <v>0.47581172359834534</v>
      </c>
      <c r="S42" s="340">
        <f t="shared" si="13"/>
        <v>0.39866083946555642</v>
      </c>
      <c r="T42" s="340">
        <f t="shared" si="13"/>
        <v>0.329440267512499</v>
      </c>
      <c r="U42" s="340">
        <f t="shared" si="13"/>
        <v>0.26867746607301979</v>
      </c>
      <c r="V42" s="340">
        <f t="shared" si="13"/>
        <v>0.21637339604571659</v>
      </c>
      <c r="W42" s="340">
        <f t="shared" si="13"/>
        <v>0.17214722441131369</v>
      </c>
      <c r="X42" s="340">
        <f t="shared" si="13"/>
        <v>0.13536317560905209</v>
      </c>
      <c r="Y42" s="340">
        <f t="shared" si="13"/>
        <v>0.10523645045627494</v>
      </c>
      <c r="Z42" s="340">
        <f t="shared" si="13"/>
        <v>8.0917287535230198E-2</v>
      </c>
      <c r="AA42" s="340">
        <f t="shared" si="13"/>
        <v>6.1554024048676825E-2</v>
      </c>
      <c r="AB42" s="340">
        <f t="shared" si="13"/>
        <v>4.633727249258579E-2</v>
      </c>
      <c r="AC42" s="340">
        <f t="shared" si="13"/>
        <v>3.4528066233441623E-2</v>
      </c>
      <c r="AD42" s="340">
        <f t="shared" si="13"/>
        <v>2.5473116369063353E-2</v>
      </c>
      <c r="AE42" s="340">
        <f t="shared" si="13"/>
        <v>1.861027030375928E-2</v>
      </c>
      <c r="AF42" s="340">
        <f t="shared" si="13"/>
        <v>1.3466979659393141E-2</v>
      </c>
      <c r="AG42" s="340">
        <f t="shared" si="13"/>
        <v>9.654170379238991E-3</v>
      </c>
      <c r="AH42" s="340">
        <f t="shared" si="13"/>
        <v>6.8574408277581878E-3</v>
      </c>
      <c r="AI42" s="340">
        <f t="shared" si="13"/>
        <v>4.827052455263936E-3</v>
      </c>
      <c r="AJ42" s="340">
        <f t="shared" si="13"/>
        <v>3.3677599264653191E-3</v>
      </c>
      <c r="AK42" s="340">
        <f t="shared" si="13"/>
        <v>2.329174054756411E-3</v>
      </c>
      <c r="AL42" s="340">
        <f t="shared" si="13"/>
        <v>1.5970687783130044E-3</v>
      </c>
      <c r="AM42" s="340">
        <f t="shared" si="13"/>
        <v>1.0858308928372029E-3</v>
      </c>
      <c r="AN42" s="340">
        <f t="shared" si="13"/>
        <v>7.3210078486696251E-4</v>
      </c>
      <c r="AO42" s="340">
        <f t="shared" si="13"/>
        <v>4.8955361957414567E-4</v>
      </c>
      <c r="AP42" s="340">
        <f t="shared" si="13"/>
        <v>3.247121928340313E-4</v>
      </c>
      <c r="AQ42" s="340">
        <f t="shared" si="13"/>
        <v>2.1365442236032095E-4</v>
      </c>
      <c r="AR42" s="340">
        <f t="shared" si="13"/>
        <v>1.3947106738665394E-4</v>
      </c>
      <c r="AS42" s="340">
        <f t="shared" si="13"/>
        <v>9.0335284179787756E-5</v>
      </c>
      <c r="AT42" s="340">
        <f t="shared" si="13"/>
        <v>5.8059342391669766E-5</v>
      </c>
      <c r="AU42" s="340">
        <f t="shared" si="13"/>
        <v>3.7031128094167087E-5</v>
      </c>
      <c r="AV42" s="340">
        <f t="shared" si="13"/>
        <v>2.3441160634241065E-5</v>
      </c>
      <c r="AW42" s="340">
        <f t="shared" si="13"/>
        <v>1.4728021340393305E-5</v>
      </c>
      <c r="AX42" s="340">
        <f t="shared" si="10"/>
        <v>9.1853832353550047E-6</v>
      </c>
      <c r="AY42" s="340">
        <f t="shared" si="10"/>
        <v>5.6868392085407393E-6</v>
      </c>
    </row>
    <row r="43" spans="1:51">
      <c r="A43" s="546" t="s">
        <v>7999</v>
      </c>
      <c r="B43" s="546">
        <v>1.9</v>
      </c>
      <c r="C43" s="554">
        <v>8.43</v>
      </c>
      <c r="D43" s="554"/>
      <c r="E43" s="555"/>
      <c r="F43" s="555"/>
      <c r="G43" s="546">
        <v>1.9</v>
      </c>
      <c r="H43" s="554">
        <v>8.43</v>
      </c>
      <c r="I43" s="553">
        <f t="shared" si="2"/>
        <v>6.9510674302206459</v>
      </c>
      <c r="J43" s="553">
        <f t="shared" si="3"/>
        <v>7.4804727529680868</v>
      </c>
      <c r="K43" s="340">
        <f t="shared" si="11"/>
        <v>1</v>
      </c>
      <c r="L43" s="340">
        <f t="shared" si="13"/>
        <v>0.98273560192531484</v>
      </c>
      <c r="M43" s="340">
        <f t="shared" si="13"/>
        <v>0.937071496347746</v>
      </c>
      <c r="N43" s="340">
        <f t="shared" si="13"/>
        <v>0.86898502662454091</v>
      </c>
      <c r="O43" s="340">
        <f t="shared" si="13"/>
        <v>0.78460684943046466</v>
      </c>
      <c r="P43" s="340">
        <f t="shared" si="13"/>
        <v>0.69028160389014248</v>
      </c>
      <c r="Q43" s="340">
        <f t="shared" si="13"/>
        <v>0.59208741490848005</v>
      </c>
      <c r="R43" s="340">
        <f t="shared" si="13"/>
        <v>0.49537138693055338</v>
      </c>
      <c r="S43" s="340">
        <f t="shared" si="13"/>
        <v>0.40441542935756924</v>
      </c>
      <c r="T43" s="340">
        <f t="shared" si="13"/>
        <v>0.32226855637060869</v>
      </c>
      <c r="U43" s="340">
        <f t="shared" si="13"/>
        <v>0.25074074203110452</v>
      </c>
      <c r="V43" s="340">
        <f t="shared" si="13"/>
        <v>0.1905275057582978</v>
      </c>
      <c r="W43" s="340">
        <f t="shared" si="13"/>
        <v>0.14142099235745331</v>
      </c>
      <c r="X43" s="340">
        <f t="shared" si="13"/>
        <v>0.1025608916600903</v>
      </c>
      <c r="Y43" s="340">
        <f t="shared" si="13"/>
        <v>7.2684519921153434E-2</v>
      </c>
      <c r="Z43" s="340">
        <f t="shared" si="13"/>
        <v>5.0346381372424531E-2</v>
      </c>
      <c r="AA43" s="340">
        <f t="shared" si="13"/>
        <v>3.4090168881735439E-2</v>
      </c>
      <c r="AB43" s="340">
        <f t="shared" si="13"/>
        <v>2.2567742311347394E-2</v>
      </c>
      <c r="AC43" s="340">
        <f t="shared" si="13"/>
        <v>1.4608459796595974E-2</v>
      </c>
      <c r="AD43" s="340">
        <f t="shared" si="13"/>
        <v>9.2476984751689306E-3</v>
      </c>
      <c r="AE43" s="340">
        <f t="shared" si="13"/>
        <v>5.7256931547010614E-3</v>
      </c>
      <c r="AF43" s="340">
        <f t="shared" si="13"/>
        <v>3.4676637171568991E-3</v>
      </c>
      <c r="AG43" s="340">
        <f t="shared" si="13"/>
        <v>2.0545042697637239E-3</v>
      </c>
      <c r="AH43" s="340">
        <f t="shared" si="13"/>
        <v>1.1909199776810597E-3</v>
      </c>
      <c r="AI43" s="340">
        <f t="shared" si="13"/>
        <v>6.7546942909779695E-4</v>
      </c>
      <c r="AJ43" s="340">
        <f t="shared" si="13"/>
        <v>3.7490096458048239E-4</v>
      </c>
      <c r="AK43" s="340">
        <f t="shared" si="13"/>
        <v>2.0363551140833991E-4</v>
      </c>
      <c r="AL43" s="340">
        <f t="shared" si="13"/>
        <v>1.0825632378841377E-4</v>
      </c>
      <c r="AM43" s="340">
        <f t="shared" si="13"/>
        <v>5.6331461339986788E-5</v>
      </c>
      <c r="AN43" s="340">
        <f t="shared" si="13"/>
        <v>2.8693301364457469E-5</v>
      </c>
      <c r="AO43" s="340">
        <f t="shared" si="13"/>
        <v>1.4307845924599327E-5</v>
      </c>
      <c r="AP43" s="340">
        <f t="shared" si="13"/>
        <v>6.9849529823473588E-6</v>
      </c>
      <c r="AQ43" s="340">
        <f t="shared" si="13"/>
        <v>3.3387073611335083E-6</v>
      </c>
      <c r="AR43" s="340">
        <f t="shared" si="13"/>
        <v>1.5626004463697996E-6</v>
      </c>
      <c r="AS43" s="340">
        <f t="shared" si="13"/>
        <v>7.1614400121156052E-7</v>
      </c>
      <c r="AT43" s="340">
        <f t="shared" si="13"/>
        <v>3.2141251193884557E-7</v>
      </c>
      <c r="AU43" s="340">
        <f t="shared" si="13"/>
        <v>1.4127376568584538E-7</v>
      </c>
      <c r="AV43" s="340">
        <f t="shared" si="13"/>
        <v>6.0816592983847784E-8</v>
      </c>
      <c r="AW43" s="340">
        <f t="shared" si="13"/>
        <v>2.5643022150134698E-8</v>
      </c>
      <c r="AX43" s="340">
        <f t="shared" si="10"/>
        <v>1.059075427356504E-8</v>
      </c>
      <c r="AY43" s="340">
        <f t="shared" si="10"/>
        <v>4.2846807213337001E-9</v>
      </c>
    </row>
    <row r="44" spans="1:51">
      <c r="A44" s="546" t="s">
        <v>8001</v>
      </c>
      <c r="B44" s="546">
        <v>1.6</v>
      </c>
      <c r="C44" s="554">
        <v>6.9</v>
      </c>
      <c r="D44" s="554"/>
      <c r="E44" s="555"/>
      <c r="F44" s="555"/>
      <c r="G44" s="546">
        <v>1.6</v>
      </c>
      <c r="H44" s="554">
        <v>6.9</v>
      </c>
      <c r="I44" s="553">
        <f t="shared" si="2"/>
        <v>5.4873795937091225</v>
      </c>
      <c r="J44" s="553">
        <f t="shared" si="3"/>
        <v>6.1863625323905262</v>
      </c>
      <c r="K44" s="340">
        <f t="shared" si="11"/>
        <v>1</v>
      </c>
      <c r="L44" s="340">
        <f t="shared" si="13"/>
        <v>0.9555366118504306</v>
      </c>
      <c r="M44" s="340">
        <f t="shared" si="13"/>
        <v>0.87120650101162578</v>
      </c>
      <c r="N44" s="340">
        <f t="shared" si="13"/>
        <v>0.76814549905630891</v>
      </c>
      <c r="O44" s="340">
        <f t="shared" si="13"/>
        <v>0.65838683969766465</v>
      </c>
      <c r="P44" s="340">
        <f t="shared" si="13"/>
        <v>0.55029471299535115</v>
      </c>
      <c r="Q44" s="340">
        <f t="shared" si="13"/>
        <v>0.44949990102552606</v>
      </c>
      <c r="R44" s="340">
        <f t="shared" si="13"/>
        <v>0.35941088046712277</v>
      </c>
      <c r="S44" s="340">
        <f t="shared" si="13"/>
        <v>0.28166813453041994</v>
      </c>
      <c r="T44" s="340">
        <f t="shared" si="13"/>
        <v>0.21658293568934461</v>
      </c>
      <c r="U44" s="340">
        <f t="shared" si="13"/>
        <v>0.16354306012060371</v>
      </c>
      <c r="V44" s="340">
        <f t="shared" si="13"/>
        <v>0.1213632894734753</v>
      </c>
      <c r="W44" s="340">
        <f t="shared" si="13"/>
        <v>8.8567218300003359E-2</v>
      </c>
      <c r="X44" s="340">
        <f t="shared" si="13"/>
        <v>6.3597231643530039E-2</v>
      </c>
      <c r="Y44" s="340">
        <f t="shared" si="13"/>
        <v>4.4957743056530997E-2</v>
      </c>
      <c r="Z44" s="340">
        <f t="shared" si="13"/>
        <v>3.1301900639352676E-2</v>
      </c>
      <c r="AA44" s="340">
        <f t="shared" si="13"/>
        <v>2.1474184737815705E-2</v>
      </c>
      <c r="AB44" s="340">
        <f t="shared" si="13"/>
        <v>1.4521323728216018E-2</v>
      </c>
      <c r="AC44" s="340">
        <f t="shared" si="13"/>
        <v>9.682539926941458E-3</v>
      </c>
      <c r="AD44" s="340">
        <f t="shared" si="13"/>
        <v>6.3680151257919926E-3</v>
      </c>
      <c r="AE44" s="340">
        <f t="shared" si="13"/>
        <v>4.1321716433633249E-3</v>
      </c>
      <c r="AF44" s="340">
        <f t="shared" si="13"/>
        <v>2.6462494451783281E-3</v>
      </c>
      <c r="AG44" s="340">
        <f t="shared" si="13"/>
        <v>1.6729078271320308E-3</v>
      </c>
      <c r="AH44" s="340">
        <f t="shared" si="13"/>
        <v>1.0442525682248238E-3</v>
      </c>
      <c r="AI44" s="340">
        <f t="shared" si="13"/>
        <v>6.4376669711718737E-4</v>
      </c>
      <c r="AJ44" s="340">
        <f t="shared" si="13"/>
        <v>3.9204168185624777E-4</v>
      </c>
      <c r="AK44" s="340">
        <f t="shared" si="13"/>
        <v>2.3588642499361434E-4</v>
      </c>
      <c r="AL44" s="340">
        <f t="shared" si="13"/>
        <v>1.4025621231272822E-4</v>
      </c>
      <c r="AM44" s="340">
        <f t="shared" si="13"/>
        <v>8.2426512939992591E-5</v>
      </c>
      <c r="AN44" s="340">
        <f t="shared" si="13"/>
        <v>4.7886237616645566E-5</v>
      </c>
      <c r="AO44" s="340">
        <f t="shared" si="13"/>
        <v>2.7505731520105492E-5</v>
      </c>
      <c r="AP44" s="340">
        <f t="shared" si="13"/>
        <v>1.5623229605576938E-5</v>
      </c>
      <c r="AQ44" s="340">
        <f t="shared" si="13"/>
        <v>8.7764113431143542E-6</v>
      </c>
      <c r="AR44" s="340">
        <f t="shared" si="13"/>
        <v>4.8766576487002666E-6</v>
      </c>
      <c r="AS44" s="340">
        <f t="shared" si="13"/>
        <v>2.680678423683247E-6</v>
      </c>
      <c r="AT44" s="340">
        <f t="shared" si="13"/>
        <v>1.4579408991188814E-6</v>
      </c>
      <c r="AU44" s="340">
        <f t="shared" si="13"/>
        <v>7.8462334063278405E-7</v>
      </c>
      <c r="AV44" s="340">
        <f t="shared" si="13"/>
        <v>4.1788799132191912E-7</v>
      </c>
      <c r="AW44" s="340">
        <f t="shared" si="13"/>
        <v>2.2028515300753782E-7</v>
      </c>
      <c r="AX44" s="340">
        <f t="shared" ref="AX44:AY63" si="14">1-(_xlfn.WEIBULL.DIST(AX$2,$G44,$H44,TRUE))</f>
        <v>1.1494357599062255E-7</v>
      </c>
      <c r="AY44" s="340">
        <f t="shared" si="14"/>
        <v>5.9375061978172994E-8</v>
      </c>
    </row>
    <row r="45" spans="1:51">
      <c r="A45" s="546" t="s">
        <v>275</v>
      </c>
      <c r="B45" s="546">
        <v>1.2</v>
      </c>
      <c r="C45" s="554">
        <v>4.57</v>
      </c>
      <c r="D45" s="554"/>
      <c r="E45" s="555"/>
      <c r="F45" s="555"/>
      <c r="G45" s="546">
        <v>1.2</v>
      </c>
      <c r="H45" s="554">
        <v>4.57</v>
      </c>
      <c r="I45" s="553">
        <f t="shared" si="2"/>
        <v>3.3672142520874702</v>
      </c>
      <c r="J45" s="553">
        <f t="shared" si="3"/>
        <v>4.2987972722334469</v>
      </c>
      <c r="K45" s="340">
        <f t="shared" si="11"/>
        <v>1</v>
      </c>
      <c r="L45" s="340">
        <f t="shared" si="13"/>
        <v>0.85088930085457792</v>
      </c>
      <c r="M45" s="340">
        <f t="shared" si="13"/>
        <v>0.69006596079242988</v>
      </c>
      <c r="N45" s="340">
        <f t="shared" ref="L45:AW51" si="15">1-(_xlfn.WEIBULL.DIST(N$2,$G45,$H45,TRUE))</f>
        <v>0.54691787036402384</v>
      </c>
      <c r="O45" s="340">
        <f t="shared" si="15"/>
        <v>0.42644969352773754</v>
      </c>
      <c r="P45" s="340">
        <f t="shared" si="15"/>
        <v>0.32826072448220511</v>
      </c>
      <c r="Q45" s="340">
        <f t="shared" si="15"/>
        <v>0.24997877012068004</v>
      </c>
      <c r="R45" s="340">
        <f t="shared" si="15"/>
        <v>0.18860788179040688</v>
      </c>
      <c r="S45" s="340">
        <f t="shared" si="15"/>
        <v>0.14114305608117728</v>
      </c>
      <c r="T45" s="340">
        <f t="shared" si="15"/>
        <v>0.10484902749265423</v>
      </c>
      <c r="U45" s="340">
        <f t="shared" si="15"/>
        <v>7.7368280863917893E-2</v>
      </c>
      <c r="V45" s="340">
        <f t="shared" si="15"/>
        <v>5.674019524160423E-2</v>
      </c>
      <c r="W45" s="340">
        <f t="shared" si="15"/>
        <v>4.1375630512679007E-2</v>
      </c>
      <c r="X45" s="340">
        <f t="shared" si="15"/>
        <v>3.0011732887238463E-2</v>
      </c>
      <c r="Y45" s="340">
        <f t="shared" si="15"/>
        <v>2.1660753216073858E-2</v>
      </c>
      <c r="Z45" s="340">
        <f t="shared" si="15"/>
        <v>1.5560259504949214E-2</v>
      </c>
      <c r="AA45" s="340">
        <f t="shared" si="15"/>
        <v>1.1128344747503793E-2</v>
      </c>
      <c r="AB45" s="340">
        <f t="shared" si="15"/>
        <v>7.9252318449889447E-3</v>
      </c>
      <c r="AC45" s="340">
        <f t="shared" si="15"/>
        <v>5.6214440185921033E-3</v>
      </c>
      <c r="AD45" s="340">
        <f t="shared" si="15"/>
        <v>3.9720655494633883E-3</v>
      </c>
      <c r="AE45" s="340">
        <f t="shared" si="15"/>
        <v>2.7963283825137575E-3</v>
      </c>
      <c r="AF45" s="340">
        <f t="shared" si="15"/>
        <v>1.9616766720291778E-3</v>
      </c>
      <c r="AG45" s="340">
        <f t="shared" si="15"/>
        <v>1.3714907505605334E-3</v>
      </c>
      <c r="AH45" s="340">
        <f t="shared" si="15"/>
        <v>9.5573702882700839E-4</v>
      </c>
      <c r="AI45" s="340">
        <f t="shared" si="15"/>
        <v>6.6391679069333076E-4</v>
      </c>
      <c r="AJ45" s="340">
        <f t="shared" si="15"/>
        <v>4.5979526718675778E-4</v>
      </c>
      <c r="AK45" s="340">
        <f t="shared" si="15"/>
        <v>3.1749253581769832E-4</v>
      </c>
      <c r="AL45" s="340">
        <f t="shared" si="15"/>
        <v>2.1860512221183459E-4</v>
      </c>
      <c r="AM45" s="340">
        <f t="shared" si="15"/>
        <v>1.5010041726459811E-4</v>
      </c>
      <c r="AN45" s="340">
        <f t="shared" si="15"/>
        <v>1.027857219568773E-4</v>
      </c>
      <c r="AO45" s="340">
        <f t="shared" si="15"/>
        <v>7.0201343950082595E-5</v>
      </c>
      <c r="AP45" s="340">
        <f t="shared" si="15"/>
        <v>4.7824481832714483E-5</v>
      </c>
      <c r="AQ45" s="340">
        <f t="shared" si="15"/>
        <v>3.2499450781209305E-5</v>
      </c>
      <c r="AR45" s="340">
        <f t="shared" si="15"/>
        <v>2.203178794668581E-5</v>
      </c>
      <c r="AS45" s="340">
        <f t="shared" si="15"/>
        <v>1.4900369074255515E-5</v>
      </c>
      <c r="AT45" s="340">
        <f t="shared" si="15"/>
        <v>1.0054074527809931E-5</v>
      </c>
      <c r="AU45" s="340">
        <f t="shared" si="15"/>
        <v>6.7687417663053751E-6</v>
      </c>
      <c r="AV45" s="340">
        <f t="shared" si="15"/>
        <v>4.5469103261419619E-6</v>
      </c>
      <c r="AW45" s="340">
        <f t="shared" si="15"/>
        <v>3.0478121246790835E-6</v>
      </c>
      <c r="AX45" s="340">
        <f t="shared" si="14"/>
        <v>2.0386521557558268E-6</v>
      </c>
      <c r="AY45" s="340">
        <f t="shared" si="14"/>
        <v>1.3608180597923791E-6</v>
      </c>
    </row>
    <row r="46" spans="1:51">
      <c r="A46" s="546" t="s">
        <v>8004</v>
      </c>
      <c r="B46" s="546">
        <v>2.2999999999999998</v>
      </c>
      <c r="C46" s="554">
        <v>16.59</v>
      </c>
      <c r="D46" s="554"/>
      <c r="E46" s="555"/>
      <c r="F46" s="555"/>
      <c r="G46" s="546">
        <v>2.2999999999999998</v>
      </c>
      <c r="H46" s="554">
        <v>16.59</v>
      </c>
      <c r="I46" s="553">
        <f t="shared" si="2"/>
        <v>14.146208822776034</v>
      </c>
      <c r="J46" s="553">
        <f t="shared" si="3"/>
        <v>14.697324944909695</v>
      </c>
      <c r="K46" s="340">
        <f t="shared" si="11"/>
        <v>1</v>
      </c>
      <c r="L46" s="340">
        <f t="shared" si="15"/>
        <v>0.99843680323727291</v>
      </c>
      <c r="M46" s="340">
        <f t="shared" si="15"/>
        <v>0.99232549363462774</v>
      </c>
      <c r="N46" s="340">
        <f t="shared" si="15"/>
        <v>0.9806140013671214</v>
      </c>
      <c r="O46" s="340">
        <f t="shared" si="15"/>
        <v>0.96277121293299173</v>
      </c>
      <c r="P46" s="340">
        <f t="shared" si="15"/>
        <v>0.93858234763697512</v>
      </c>
      <c r="Q46" s="340">
        <f t="shared" si="15"/>
        <v>0.90809583425128726</v>
      </c>
      <c r="R46" s="340">
        <f t="shared" si="15"/>
        <v>0.87159611589762664</v>
      </c>
      <c r="S46" s="340">
        <f t="shared" si="15"/>
        <v>0.82957987574767367</v>
      </c>
      <c r="T46" s="340">
        <f t="shared" si="15"/>
        <v>0.78272882254132592</v>
      </c>
      <c r="U46" s="340">
        <f t="shared" si="15"/>
        <v>0.73187701380167969</v>
      </c>
      <c r="V46" s="340">
        <f t="shared" si="15"/>
        <v>0.67797284361175247</v>
      </c>
      <c r="W46" s="340">
        <f t="shared" si="15"/>
        <v>0.62203700807316975</v>
      </c>
      <c r="X46" s="340">
        <f t="shared" si="15"/>
        <v>0.56511845857926901</v>
      </c>
      <c r="Y46" s="340">
        <f t="shared" si="15"/>
        <v>0.50825070802375416</v>
      </c>
      <c r="Z46" s="340">
        <f t="shared" si="15"/>
        <v>0.4524109230997243</v>
      </c>
      <c r="AA46" s="340">
        <f t="shared" si="15"/>
        <v>0.3984840525768103</v>
      </c>
      <c r="AB46" s="340">
        <f t="shared" si="15"/>
        <v>0.34723384780214195</v>
      </c>
      <c r="AC46" s="340">
        <f t="shared" si="15"/>
        <v>0.29928208063850392</v>
      </c>
      <c r="AD46" s="340">
        <f t="shared" si="15"/>
        <v>0.25509661931866312</v>
      </c>
      <c r="AE46" s="340">
        <f t="shared" si="15"/>
        <v>0.21498835321592236</v>
      </c>
      <c r="AF46" s="340">
        <f t="shared" si="15"/>
        <v>0.17911633034797014</v>
      </c>
      <c r="AG46" s="340">
        <f t="shared" si="15"/>
        <v>0.14749994442715286</v>
      </c>
      <c r="AH46" s="340">
        <f t="shared" si="15"/>
        <v>0.12003662419033767</v>
      </c>
      <c r="AI46" s="340">
        <f t="shared" si="15"/>
        <v>9.6523260392945343E-2</v>
      </c>
      <c r="AJ46" s="340">
        <f t="shared" si="15"/>
        <v>7.6679558957890359E-2</v>
      </c>
      <c r="AK46" s="340">
        <f t="shared" si="15"/>
        <v>6.0171617480011985E-2</v>
      </c>
      <c r="AL46" s="340">
        <f t="shared" si="15"/>
        <v>4.6634256919048767E-2</v>
      </c>
      <c r="AM46" s="340">
        <f t="shared" si="15"/>
        <v>3.5690961603322302E-2</v>
      </c>
      <c r="AN46" s="340">
        <f t="shared" si="15"/>
        <v>2.6970645610346122E-2</v>
      </c>
      <c r="AO46" s="340">
        <f t="shared" si="15"/>
        <v>2.012083101489881E-2</v>
      </c>
      <c r="AP46" s="340">
        <f t="shared" si="15"/>
        <v>1.4817158587456913E-2</v>
      </c>
      <c r="AQ46" s="340">
        <f t="shared" si="15"/>
        <v>1.0769428859404684E-2</v>
      </c>
      <c r="AR46" s="340">
        <f t="shared" si="15"/>
        <v>7.7245763283979585E-3</v>
      </c>
      <c r="AS46" s="340">
        <f t="shared" si="15"/>
        <v>5.4671076729219115E-3</v>
      </c>
      <c r="AT46" s="340">
        <f t="shared" si="15"/>
        <v>3.8175907753453808E-3</v>
      </c>
      <c r="AU46" s="340">
        <f t="shared" si="15"/>
        <v>2.6297762220709453E-3</v>
      </c>
      <c r="AV46" s="340">
        <f t="shared" si="15"/>
        <v>1.7868816712968139E-3</v>
      </c>
      <c r="AW46" s="340">
        <f t="shared" si="15"/>
        <v>1.1974881907028667E-3</v>
      </c>
      <c r="AX46" s="340">
        <f t="shared" si="14"/>
        <v>7.9140158840995678E-4</v>
      </c>
      <c r="AY46" s="340">
        <f t="shared" si="14"/>
        <v>5.1573368444068901E-4</v>
      </c>
    </row>
    <row r="47" spans="1:51">
      <c r="A47" s="546" t="s">
        <v>8006</v>
      </c>
      <c r="B47" s="546">
        <v>2</v>
      </c>
      <c r="C47" s="551">
        <v>11.84</v>
      </c>
      <c r="D47" s="551"/>
      <c r="E47" s="552"/>
      <c r="F47" s="552"/>
      <c r="G47" s="546">
        <v>2</v>
      </c>
      <c r="H47" s="551">
        <v>11.84</v>
      </c>
      <c r="I47" s="553">
        <f t="shared" si="2"/>
        <v>9.85744659610714</v>
      </c>
      <c r="J47" s="553">
        <f t="shared" si="3"/>
        <v>10.492926797360655</v>
      </c>
      <c r="K47" s="340">
        <f t="shared" si="11"/>
        <v>1</v>
      </c>
      <c r="L47" s="340">
        <f t="shared" si="15"/>
        <v>0.99289198201776074</v>
      </c>
      <c r="M47" s="340">
        <f t="shared" si="15"/>
        <v>0.97186963764180723</v>
      </c>
      <c r="N47" s="340">
        <f t="shared" si="15"/>
        <v>0.93781685213325472</v>
      </c>
      <c r="O47" s="340">
        <f t="shared" si="15"/>
        <v>0.89213804030066857</v>
      </c>
      <c r="P47" s="340">
        <f t="shared" si="15"/>
        <v>0.83666208862310376</v>
      </c>
      <c r="Q47" s="340">
        <f t="shared" si="15"/>
        <v>0.77352103828747931</v>
      </c>
      <c r="R47" s="340">
        <f t="shared" si="15"/>
        <v>0.70501470775967334</v>
      </c>
      <c r="S47" s="340">
        <f t="shared" si="15"/>
        <v>0.63347317850796436</v>
      </c>
      <c r="T47" s="340">
        <f t="shared" si="15"/>
        <v>0.56112845553798285</v>
      </c>
      <c r="U47" s="340">
        <f t="shared" si="15"/>
        <v>0.49000483076675039</v>
      </c>
      <c r="V47" s="340">
        <f t="shared" si="15"/>
        <v>0.42183483181909853</v>
      </c>
      <c r="W47" s="340">
        <f t="shared" si="15"/>
        <v>0.35800452891012724</v>
      </c>
      <c r="X47" s="340">
        <f t="shared" si="15"/>
        <v>0.29952881689447741</v>
      </c>
      <c r="Y47" s="340">
        <f t="shared" si="15"/>
        <v>0.24705446582049195</v>
      </c>
      <c r="Z47" s="340">
        <f t="shared" si="15"/>
        <v>0.20088652838294285</v>
      </c>
      <c r="AA47" s="340">
        <f t="shared" si="15"/>
        <v>0.16103227394534048</v>
      </c>
      <c r="AB47" s="340">
        <f t="shared" si="15"/>
        <v>0.12725622765417333</v>
      </c>
      <c r="AC47" s="340">
        <f t="shared" si="15"/>
        <v>9.9140058663343189E-2</v>
      </c>
      <c r="AD47" s="340">
        <f t="shared" si="15"/>
        <v>7.6141829098876013E-2</v>
      </c>
      <c r="AE47" s="340">
        <f t="shared" si="15"/>
        <v>5.7650283373128164E-2</v>
      </c>
      <c r="AF47" s="340">
        <f t="shared" si="15"/>
        <v>4.3031213604185492E-2</v>
      </c>
      <c r="AG47" s="340">
        <f t="shared" si="15"/>
        <v>3.1664289685915059E-2</v>
      </c>
      <c r="AH47" s="340">
        <f t="shared" si="15"/>
        <v>2.2969942752302241E-2</v>
      </c>
      <c r="AI47" s="340">
        <f t="shared" si="15"/>
        <v>1.6426842106488926E-2</v>
      </c>
      <c r="AJ47" s="340">
        <f t="shared" si="15"/>
        <v>1.1581165287120609E-2</v>
      </c>
      <c r="AK47" s="340">
        <f t="shared" si="15"/>
        <v>8.0492319864222672E-3</v>
      </c>
      <c r="AL47" s="340">
        <f t="shared" si="15"/>
        <v>5.5151919985507725E-3</v>
      </c>
      <c r="AM47" s="340">
        <f t="shared" si="15"/>
        <v>3.7253821974476686E-3</v>
      </c>
      <c r="AN47" s="340">
        <f t="shared" si="15"/>
        <v>2.4807616581709047E-3</v>
      </c>
      <c r="AO47" s="340">
        <f t="shared" si="15"/>
        <v>1.6285580900907703E-3</v>
      </c>
      <c r="AP47" s="340">
        <f t="shared" si="15"/>
        <v>1.0539632667101451E-3</v>
      </c>
      <c r="AQ47" s="340">
        <f t="shared" si="15"/>
        <v>6.7243715599019094E-4</v>
      </c>
      <c r="AR47" s="340">
        <f t="shared" si="15"/>
        <v>4.2294309371671002E-4</v>
      </c>
      <c r="AS47" s="340">
        <f t="shared" si="15"/>
        <v>2.6225041249938741E-4</v>
      </c>
      <c r="AT47" s="340">
        <f t="shared" si="15"/>
        <v>1.603077170956313E-4</v>
      </c>
      <c r="AU47" s="340">
        <f t="shared" si="15"/>
        <v>9.6604350776074988E-5</v>
      </c>
      <c r="AV47" s="340">
        <f t="shared" si="15"/>
        <v>5.739088873946141E-5</v>
      </c>
      <c r="AW47" s="340">
        <f t="shared" si="15"/>
        <v>3.3611912272246691E-5</v>
      </c>
      <c r="AX47" s="340">
        <f t="shared" si="14"/>
        <v>1.9406512654085439E-5</v>
      </c>
      <c r="AY47" s="340">
        <f t="shared" si="14"/>
        <v>1.104601898793689E-5</v>
      </c>
    </row>
    <row r="48" spans="1:51">
      <c r="A48" s="546" t="s">
        <v>8008</v>
      </c>
      <c r="B48" s="546">
        <v>2</v>
      </c>
      <c r="C48" s="554">
        <v>6.6</v>
      </c>
      <c r="D48" s="554"/>
      <c r="E48" s="555"/>
      <c r="F48" s="555"/>
      <c r="G48" s="546">
        <v>2</v>
      </c>
      <c r="H48" s="554">
        <v>6.6</v>
      </c>
      <c r="I48" s="553">
        <f t="shared" si="2"/>
        <v>5.4948604336408042</v>
      </c>
      <c r="J48" s="553">
        <f t="shared" si="3"/>
        <v>5.8490977079882027</v>
      </c>
      <c r="K48" s="340">
        <f t="shared" si="11"/>
        <v>1</v>
      </c>
      <c r="L48" s="340">
        <f t="shared" si="15"/>
        <v>0.97730466221948797</v>
      </c>
      <c r="M48" s="340">
        <f t="shared" si="15"/>
        <v>0.91226262481631548</v>
      </c>
      <c r="N48" s="340">
        <f t="shared" si="15"/>
        <v>0.8133355123498387</v>
      </c>
      <c r="O48" s="340">
        <f t="shared" si="15"/>
        <v>0.69259528257566716</v>
      </c>
      <c r="P48" s="340">
        <f t="shared" si="15"/>
        <v>0.56331233900476152</v>
      </c>
      <c r="Q48" s="340">
        <f t="shared" si="15"/>
        <v>0.43760163963891063</v>
      </c>
      <c r="R48" s="340">
        <f t="shared" si="15"/>
        <v>0.32468973447273908</v>
      </c>
      <c r="S48" s="340">
        <f t="shared" si="15"/>
        <v>0.23010079363159797</v>
      </c>
      <c r="T48" s="340">
        <f t="shared" si="15"/>
        <v>0.15574984254978319</v>
      </c>
      <c r="U48" s="340">
        <f t="shared" si="15"/>
        <v>0.10069248457540192</v>
      </c>
      <c r="V48" s="340">
        <f t="shared" si="15"/>
        <v>6.2176524022116264E-2</v>
      </c>
      <c r="W48" s="340">
        <f t="shared" si="15"/>
        <v>3.6670409713703833E-2</v>
      </c>
      <c r="X48" s="340">
        <f t="shared" si="15"/>
        <v>2.0656894268089476E-2</v>
      </c>
      <c r="Y48" s="340">
        <f t="shared" si="15"/>
        <v>1.1114098258721339E-2</v>
      </c>
      <c r="Z48" s="340">
        <f t="shared" si="15"/>
        <v>5.7114105391453673E-3</v>
      </c>
      <c r="AA48" s="340">
        <f t="shared" si="15"/>
        <v>2.8033186499843987E-3</v>
      </c>
      <c r="AB48" s="340">
        <f t="shared" si="15"/>
        <v>1.3142000978132451E-3</v>
      </c>
      <c r="AC48" s="340">
        <f t="shared" si="15"/>
        <v>5.884512167481093E-4</v>
      </c>
      <c r="AD48" s="340">
        <f t="shared" si="15"/>
        <v>2.5166300401902042E-4</v>
      </c>
      <c r="AE48" s="340">
        <f t="shared" si="15"/>
        <v>1.0279884345298917E-4</v>
      </c>
      <c r="AF48" s="340">
        <f t="shared" si="15"/>
        <v>4.010670854937004E-5</v>
      </c>
      <c r="AG48" s="340">
        <f t="shared" si="15"/>
        <v>1.4945338524752216E-5</v>
      </c>
      <c r="AH48" s="340">
        <f t="shared" si="15"/>
        <v>5.3192993609840755E-6</v>
      </c>
      <c r="AI48" s="340">
        <f t="shared" si="15"/>
        <v>1.8082690506071586E-6</v>
      </c>
      <c r="AJ48" s="340">
        <f t="shared" si="15"/>
        <v>5.8712639794400445E-7</v>
      </c>
      <c r="AK48" s="340">
        <f t="shared" si="15"/>
        <v>1.8207910346124123E-7</v>
      </c>
      <c r="AL48" s="340">
        <f t="shared" si="15"/>
        <v>5.3932250998478537E-8</v>
      </c>
      <c r="AM48" s="340">
        <f t="shared" si="15"/>
        <v>1.525797599377654E-8</v>
      </c>
      <c r="AN48" s="340">
        <f t="shared" si="15"/>
        <v>4.1229232250472592E-9</v>
      </c>
      <c r="AO48" s="340">
        <f t="shared" si="15"/>
        <v>1.0640781589188464E-9</v>
      </c>
      <c r="AP48" s="340">
        <f t="shared" si="15"/>
        <v>2.6230206895405672E-10</v>
      </c>
      <c r="AQ48" s="340">
        <f t="shared" si="15"/>
        <v>6.1757488012403883E-11</v>
      </c>
      <c r="AR48" s="340">
        <f t="shared" si="15"/>
        <v>1.3887890837338546E-11</v>
      </c>
      <c r="AS48" s="340">
        <f t="shared" si="15"/>
        <v>2.9829472225628706E-12</v>
      </c>
      <c r="AT48" s="340">
        <f t="shared" si="15"/>
        <v>6.1195493117338629E-13</v>
      </c>
      <c r="AU48" s="340">
        <f t="shared" si="15"/>
        <v>1.1990408665951691E-13</v>
      </c>
      <c r="AV48" s="340">
        <f t="shared" si="15"/>
        <v>2.2426505097428162E-14</v>
      </c>
      <c r="AW48" s="340">
        <f t="shared" si="15"/>
        <v>3.9968028886505635E-15</v>
      </c>
      <c r="AX48" s="340">
        <f t="shared" si="14"/>
        <v>0</v>
      </c>
      <c r="AY48" s="340">
        <f t="shared" si="14"/>
        <v>0</v>
      </c>
    </row>
    <row r="49" spans="1:51">
      <c r="A49" s="546" t="s">
        <v>8011</v>
      </c>
      <c r="B49" s="546">
        <v>1.9</v>
      </c>
      <c r="C49" s="551">
        <v>11.6</v>
      </c>
      <c r="D49" s="551"/>
      <c r="E49" s="552"/>
      <c r="F49" s="552"/>
      <c r="G49" s="546">
        <v>1.9</v>
      </c>
      <c r="H49" s="551">
        <v>11.6</v>
      </c>
      <c r="I49" s="553">
        <f t="shared" si="2"/>
        <v>9.5649326441944833</v>
      </c>
      <c r="J49" s="553">
        <f t="shared" si="3"/>
        <v>10.293414464345172</v>
      </c>
      <c r="K49" s="340">
        <f t="shared" si="11"/>
        <v>1</v>
      </c>
      <c r="L49" s="340">
        <f t="shared" si="15"/>
        <v>0.99054918039309547</v>
      </c>
      <c r="M49" s="340">
        <f t="shared" si="15"/>
        <v>0.96518118686408239</v>
      </c>
      <c r="N49" s="340">
        <f t="shared" si="15"/>
        <v>0.9262878175198781</v>
      </c>
      <c r="O49" s="340">
        <f t="shared" si="15"/>
        <v>0.8761090975970367</v>
      </c>
      <c r="P49" s="340">
        <f t="shared" si="15"/>
        <v>0.81701074544980923</v>
      </c>
      <c r="Q49" s="340">
        <f t="shared" si="15"/>
        <v>0.75143514864546024</v>
      </c>
      <c r="R49" s="340">
        <f t="shared" si="15"/>
        <v>0.68180248339862248</v>
      </c>
      <c r="S49" s="340">
        <f t="shared" si="15"/>
        <v>0.61040711210567489</v>
      </c>
      <c r="T49" s="340">
        <f t="shared" si="15"/>
        <v>0.53932653914646611</v>
      </c>
      <c r="U49" s="340">
        <f t="shared" si="15"/>
        <v>0.4703514086144378</v>
      </c>
      <c r="V49" s="340">
        <f t="shared" si="15"/>
        <v>0.40494031440289735</v>
      </c>
      <c r="W49" s="340">
        <f t="shared" si="15"/>
        <v>0.34419988455964512</v>
      </c>
      <c r="X49" s="340">
        <f t="shared" si="15"/>
        <v>0.28888813260338231</v>
      </c>
      <c r="Y49" s="340">
        <f t="shared" si="15"/>
        <v>0.23943733196103623</v>
      </c>
      <c r="Z49" s="340">
        <f t="shared" si="15"/>
        <v>0.1959916366965424</v>
      </c>
      <c r="AA49" s="340">
        <f t="shared" si="15"/>
        <v>0.15845428960452124</v>
      </c>
      <c r="AB49" s="340">
        <f t="shared" si="15"/>
        <v>0.12653943150411506</v>
      </c>
      <c r="AC49" s="340">
        <f t="shared" si="15"/>
        <v>9.9824122118986613E-2</v>
      </c>
      <c r="AD49" s="340">
        <f t="shared" si="15"/>
        <v>7.7797055152991179E-2</v>
      </c>
      <c r="AE49" s="340">
        <f t="shared" si="15"/>
        <v>5.9901452105210473E-2</v>
      </c>
      <c r="AF49" s="340">
        <f t="shared" si="15"/>
        <v>4.5570623204458593E-2</v>
      </c>
      <c r="AG49" s="340">
        <f t="shared" si="15"/>
        <v>3.4255590598884389E-2</v>
      </c>
      <c r="AH49" s="340">
        <f t="shared" si="15"/>
        <v>2.5444913256784107E-2</v>
      </c>
      <c r="AI49" s="340">
        <f t="shared" si="15"/>
        <v>1.8677402715299274E-2</v>
      </c>
      <c r="AJ49" s="340">
        <f t="shared" si="15"/>
        <v>1.3548770312520553E-2</v>
      </c>
      <c r="AK49" s="340">
        <f t="shared" si="15"/>
        <v>9.7134180592755026E-3</v>
      </c>
      <c r="AL49" s="340">
        <f t="shared" si="15"/>
        <v>6.8826089885908326E-3</v>
      </c>
      <c r="AM49" s="340">
        <f t="shared" si="15"/>
        <v>4.8201673072169049E-3</v>
      </c>
      <c r="AN49" s="340">
        <f t="shared" si="15"/>
        <v>3.3367029392712411E-3</v>
      </c>
      <c r="AO49" s="340">
        <f t="shared" si="15"/>
        <v>2.2831639434902629E-3</v>
      </c>
      <c r="AP49" s="340">
        <f t="shared" si="15"/>
        <v>1.5443218638275802E-3</v>
      </c>
      <c r="AQ49" s="340">
        <f t="shared" si="15"/>
        <v>1.0326095685762038E-3</v>
      </c>
      <c r="AR49" s="340">
        <f t="shared" si="15"/>
        <v>6.8257115622660791E-4</v>
      </c>
      <c r="AS49" s="340">
        <f t="shared" si="15"/>
        <v>4.4605509524098252E-4</v>
      </c>
      <c r="AT49" s="340">
        <f t="shared" si="15"/>
        <v>2.8818587019785458E-4</v>
      </c>
      <c r="AU49" s="340">
        <f t="shared" si="15"/>
        <v>1.8408348065379609E-4</v>
      </c>
      <c r="AV49" s="340">
        <f t="shared" si="15"/>
        <v>1.1625959641092809E-4</v>
      </c>
      <c r="AW49" s="340">
        <f t="shared" si="15"/>
        <v>7.2598584029859303E-5</v>
      </c>
      <c r="AX49" s="340">
        <f t="shared" si="14"/>
        <v>4.4825580859608749E-5</v>
      </c>
      <c r="AY49" s="340">
        <f t="shared" si="14"/>
        <v>2.7367482885787275E-5</v>
      </c>
    </row>
    <row r="50" spans="1:51">
      <c r="A50" s="546" t="s">
        <v>8013</v>
      </c>
      <c r="B50" s="546">
        <v>2.6</v>
      </c>
      <c r="C50" s="554">
        <v>15.7</v>
      </c>
      <c r="D50" s="554"/>
      <c r="E50" s="555"/>
      <c r="F50" s="555"/>
      <c r="G50" s="546">
        <v>2.6</v>
      </c>
      <c r="H50" s="554">
        <v>15.7</v>
      </c>
      <c r="I50" s="553">
        <f t="shared" si="2"/>
        <v>13.635738875317209</v>
      </c>
      <c r="J50" s="553">
        <f t="shared" si="3"/>
        <v>13.944903825306632</v>
      </c>
      <c r="K50" s="340">
        <f t="shared" si="11"/>
        <v>1</v>
      </c>
      <c r="L50" s="340">
        <f t="shared" si="15"/>
        <v>0.99922287282110356</v>
      </c>
      <c r="M50" s="340">
        <f t="shared" si="15"/>
        <v>0.99529764100290841</v>
      </c>
      <c r="N50" s="340">
        <f t="shared" si="15"/>
        <v>0.98656485687674245</v>
      </c>
      <c r="O50" s="340">
        <f t="shared" si="15"/>
        <v>0.97182744479588257</v>
      </c>
      <c r="P50" s="340">
        <f t="shared" si="15"/>
        <v>0.95023259099434398</v>
      </c>
      <c r="Q50" s="340">
        <f t="shared" si="15"/>
        <v>0.92126494791762503</v>
      </c>
      <c r="R50" s="340">
        <f t="shared" si="15"/>
        <v>0.88476086294766931</v>
      </c>
      <c r="S50" s="340">
        <f t="shared" si="15"/>
        <v>0.84092010159379604</v>
      </c>
      <c r="T50" s="340">
        <f t="shared" si="15"/>
        <v>0.79030395165283307</v>
      </c>
      <c r="U50" s="340">
        <f t="shared" si="15"/>
        <v>0.73381364046176856</v>
      </c>
      <c r="V50" s="340">
        <f t="shared" si="15"/>
        <v>0.67264651318300417</v>
      </c>
      <c r="W50" s="340">
        <f t="shared" si="15"/>
        <v>0.60823061269250511</v>
      </c>
      <c r="X50" s="340">
        <f t="shared" si="15"/>
        <v>0.54214130097091373</v>
      </c>
      <c r="Y50" s="340">
        <f t="shared" si="15"/>
        <v>0.47600615053967021</v>
      </c>
      <c r="Z50" s="340">
        <f t="shared" si="15"/>
        <v>0.41140619288746894</v>
      </c>
      <c r="AA50" s="340">
        <f t="shared" si="15"/>
        <v>0.34978245027024979</v>
      </c>
      <c r="AB50" s="340">
        <f t="shared" si="15"/>
        <v>0.29235633154597962</v>
      </c>
      <c r="AC50" s="340">
        <f t="shared" si="15"/>
        <v>0.24007095550533775</v>
      </c>
      <c r="AD50" s="340">
        <f t="shared" si="15"/>
        <v>0.19355798676036007</v>
      </c>
      <c r="AE50" s="340">
        <f t="shared" si="15"/>
        <v>0.15313150895015615</v>
      </c>
      <c r="AF50" s="340">
        <f t="shared" si="15"/>
        <v>0.11880729915466837</v>
      </c>
      <c r="AG50" s="340">
        <f t="shared" si="15"/>
        <v>9.0343097518161608E-2</v>
      </c>
      <c r="AH50" s="340">
        <f t="shared" si="15"/>
        <v>6.7293493568905349E-2</v>
      </c>
      <c r="AI50" s="340">
        <f t="shared" si="15"/>
        <v>4.907212071900624E-2</v>
      </c>
      <c r="AJ50" s="340">
        <f t="shared" si="15"/>
        <v>3.5014007878996556E-2</v>
      </c>
      <c r="AK50" s="340">
        <f t="shared" si="15"/>
        <v>2.4432033036744905E-2</v>
      </c>
      <c r="AL50" s="340">
        <f t="shared" si="15"/>
        <v>1.6663162659631414E-2</v>
      </c>
      <c r="AM50" s="340">
        <f t="shared" si="15"/>
        <v>1.110217558830795E-2</v>
      </c>
      <c r="AN50" s="340">
        <f t="shared" si="15"/>
        <v>7.2225026566202777E-3</v>
      </c>
      <c r="AO50" s="340">
        <f t="shared" si="15"/>
        <v>4.5853827837913919E-3</v>
      </c>
      <c r="AP50" s="340">
        <f t="shared" si="15"/>
        <v>2.8395798152250906E-3</v>
      </c>
      <c r="AQ50" s="340">
        <f t="shared" si="15"/>
        <v>1.7143850820298123E-3</v>
      </c>
      <c r="AR50" s="340">
        <f t="shared" si="15"/>
        <v>1.0086174145975679E-3</v>
      </c>
      <c r="AS50" s="340">
        <f t="shared" si="15"/>
        <v>5.7796153519307225E-4</v>
      </c>
      <c r="AT50" s="340">
        <f t="shared" si="15"/>
        <v>3.2241773983310296E-4</v>
      </c>
      <c r="AU50" s="340">
        <f t="shared" si="15"/>
        <v>1.7501770787031745E-4</v>
      </c>
      <c r="AV50" s="340">
        <f t="shared" si="15"/>
        <v>9.2402984255279819E-5</v>
      </c>
      <c r="AW50" s="340">
        <f t="shared" si="15"/>
        <v>4.742758971598704E-5</v>
      </c>
      <c r="AX50" s="340">
        <f t="shared" si="14"/>
        <v>2.3654807606576789E-5</v>
      </c>
      <c r="AY50" s="340">
        <f t="shared" si="14"/>
        <v>1.145922968326385E-5</v>
      </c>
    </row>
    <row r="51" spans="1:51">
      <c r="A51" s="546" t="s">
        <v>293</v>
      </c>
      <c r="B51" s="546">
        <v>1.5</v>
      </c>
      <c r="C51" s="554">
        <v>4.7</v>
      </c>
      <c r="D51" s="554"/>
      <c r="E51" s="555">
        <v>1.1399999999999999</v>
      </c>
      <c r="F51" s="555">
        <v>4.78</v>
      </c>
      <c r="G51" s="555">
        <v>1.1399999999999999</v>
      </c>
      <c r="H51" s="555">
        <v>4.78</v>
      </c>
      <c r="I51" s="553">
        <f t="shared" si="2"/>
        <v>3.4657809324880033</v>
      </c>
      <c r="J51" s="553">
        <f t="shared" si="3"/>
        <v>4.5608664338351206</v>
      </c>
      <c r="K51" s="340">
        <f t="shared" si="11"/>
        <v>1</v>
      </c>
      <c r="L51" s="340">
        <f t="shared" si="15"/>
        <v>0.84530709301547635</v>
      </c>
      <c r="M51" s="340">
        <f t="shared" si="15"/>
        <v>0.6904843464061049</v>
      </c>
      <c r="N51" s="340">
        <f t="shared" si="15"/>
        <v>0.55544223597153253</v>
      </c>
      <c r="O51" s="340">
        <f t="shared" si="15"/>
        <v>0.4421051572419854</v>
      </c>
      <c r="P51" s="340">
        <f t="shared" si="15"/>
        <v>0.34901671057896833</v>
      </c>
      <c r="Q51" s="340">
        <f t="shared" si="15"/>
        <v>0.27367340535362894</v>
      </c>
      <c r="R51" s="340">
        <f t="shared" si="15"/>
        <v>0.2133608347886039</v>
      </c>
      <c r="S51" s="340">
        <f t="shared" si="15"/>
        <v>0.16550291547808349</v>
      </c>
      <c r="T51" s="340">
        <f t="shared" si="15"/>
        <v>0.12780398952428484</v>
      </c>
      <c r="U51" s="340">
        <f t="shared" si="15"/>
        <v>9.8292374001689775E-2</v>
      </c>
      <c r="V51" s="340">
        <f t="shared" si="15"/>
        <v>7.5315636084822835E-2</v>
      </c>
      <c r="W51" s="340">
        <f t="shared" si="15"/>
        <v>5.7513187454813708E-2</v>
      </c>
      <c r="X51" s="340">
        <f t="shared" si="15"/>
        <v>4.3779808718043323E-2</v>
      </c>
      <c r="Y51" s="340">
        <f t="shared" si="15"/>
        <v>3.3227381336030759E-2</v>
      </c>
      <c r="Z51" s="340">
        <f t="shared" si="15"/>
        <v>2.5148589198178861E-2</v>
      </c>
      <c r="AA51" s="340">
        <f t="shared" si="15"/>
        <v>1.8984357146136444E-2</v>
      </c>
      <c r="AB51" s="340">
        <f t="shared" si="15"/>
        <v>1.4295662681061527E-2</v>
      </c>
      <c r="AC51" s="340">
        <f t="shared" si="15"/>
        <v>1.0739731682405829E-2</v>
      </c>
      <c r="AD51" s="340">
        <f t="shared" si="15"/>
        <v>8.0503034835669451E-3</v>
      </c>
      <c r="AE51" s="340">
        <f t="shared" si="15"/>
        <v>6.0215026369900837E-3</v>
      </c>
      <c r="AF51" s="340">
        <f t="shared" si="15"/>
        <v>4.4948097642203422E-3</v>
      </c>
      <c r="AG51" s="340">
        <f t="shared" si="15"/>
        <v>3.3486364360838516E-3</v>
      </c>
      <c r="AH51" s="340">
        <f t="shared" si="15"/>
        <v>2.4900511960320726E-3</v>
      </c>
      <c r="AI51" s="340">
        <f t="shared" si="15"/>
        <v>1.8482588263278865E-3</v>
      </c>
      <c r="AJ51" s="340">
        <f t="shared" si="15"/>
        <v>1.3694929201935047E-3</v>
      </c>
      <c r="AK51" s="340">
        <f t="shared" si="15"/>
        <v>1.0130372849472824E-3</v>
      </c>
      <c r="AL51" s="340">
        <f t="shared" si="15"/>
        <v>7.4814189093674877E-4</v>
      </c>
      <c r="AM51" s="340">
        <f t="shared" si="15"/>
        <v>5.5164287355780051E-4</v>
      </c>
      <c r="AN51" s="340">
        <f t="shared" si="15"/>
        <v>4.0613333088845849E-4</v>
      </c>
      <c r="AO51" s="340">
        <f t="shared" ref="L51:AW58" si="16">1-(_xlfn.WEIBULL.DIST(AO$2,$G51,$H51,TRUE))</f>
        <v>2.9856271066563966E-4</v>
      </c>
      <c r="AP51" s="340">
        <f t="shared" si="16"/>
        <v>2.1916808392019593E-4</v>
      </c>
      <c r="AQ51" s="340">
        <f t="shared" si="16"/>
        <v>1.6066129362002357E-4</v>
      </c>
      <c r="AR51" s="340">
        <f t="shared" si="16"/>
        <v>1.1761258269493702E-4</v>
      </c>
      <c r="AS51" s="340">
        <f t="shared" si="16"/>
        <v>8.5984534280658664E-5</v>
      </c>
      <c r="AT51" s="340">
        <f t="shared" si="16"/>
        <v>6.2780610094015366E-5</v>
      </c>
      <c r="AU51" s="340">
        <f t="shared" si="16"/>
        <v>4.5780778902937413E-5</v>
      </c>
      <c r="AV51" s="340">
        <f t="shared" si="16"/>
        <v>3.3343131802254788E-5</v>
      </c>
      <c r="AW51" s="340">
        <f t="shared" si="16"/>
        <v>2.425535390393474E-5</v>
      </c>
      <c r="AX51" s="340">
        <f t="shared" si="14"/>
        <v>1.7623765070751141E-5</v>
      </c>
      <c r="AY51" s="340">
        <f t="shared" si="14"/>
        <v>1.2790599455136942E-5</v>
      </c>
    </row>
    <row r="52" spans="1:51">
      <c r="A52" s="546" t="s">
        <v>8017</v>
      </c>
      <c r="B52" s="546">
        <v>1.2</v>
      </c>
      <c r="C52" s="554">
        <v>5.6</v>
      </c>
      <c r="D52" s="554"/>
      <c r="E52" s="555"/>
      <c r="F52" s="555"/>
      <c r="G52" s="546">
        <v>1.2</v>
      </c>
      <c r="H52" s="554">
        <v>5.6</v>
      </c>
      <c r="I52" s="553">
        <f t="shared" si="2"/>
        <v>4.1261268734551049</v>
      </c>
      <c r="J52" s="553">
        <f t="shared" si="3"/>
        <v>5.267672806237921</v>
      </c>
      <c r="K52" s="340">
        <f t="shared" si="11"/>
        <v>1</v>
      </c>
      <c r="L52" s="340">
        <f t="shared" si="16"/>
        <v>0.88115262833634489</v>
      </c>
      <c r="M52" s="340">
        <f t="shared" si="16"/>
        <v>0.74775731818602109</v>
      </c>
      <c r="N52" s="340">
        <f t="shared" si="16"/>
        <v>0.62322593627455825</v>
      </c>
      <c r="O52" s="340">
        <f t="shared" si="16"/>
        <v>0.51283562126923832</v>
      </c>
      <c r="P52" s="340">
        <f t="shared" si="16"/>
        <v>0.41776028120871178</v>
      </c>
      <c r="Q52" s="340">
        <f t="shared" si="16"/>
        <v>0.33745765969281905</v>
      </c>
      <c r="R52" s="340">
        <f t="shared" si="16"/>
        <v>0.2706173521065447</v>
      </c>
      <c r="S52" s="340">
        <f t="shared" si="16"/>
        <v>0.21562784012393998</v>
      </c>
      <c r="T52" s="340">
        <f t="shared" si="16"/>
        <v>0.17082471593807136</v>
      </c>
      <c r="U52" s="340">
        <f t="shared" si="16"/>
        <v>0.13462300307081332</v>
      </c>
      <c r="V52" s="340">
        <f t="shared" si="16"/>
        <v>0.10558329483201978</v>
      </c>
      <c r="W52" s="340">
        <f t="shared" si="16"/>
        <v>8.2438968611675101E-2</v>
      </c>
      <c r="X52" s="340">
        <f t="shared" si="16"/>
        <v>6.4100576304007895E-2</v>
      </c>
      <c r="Y52" s="340">
        <f t="shared" si="16"/>
        <v>4.9647309218546876E-2</v>
      </c>
      <c r="Z52" s="340">
        <f t="shared" si="16"/>
        <v>3.8311720462937515E-2</v>
      </c>
      <c r="AA52" s="340">
        <f t="shared" si="16"/>
        <v>2.9461555635544534E-2</v>
      </c>
      <c r="AB52" s="340">
        <f t="shared" si="16"/>
        <v>2.2581040410319275E-2</v>
      </c>
      <c r="AC52" s="340">
        <f t="shared" si="16"/>
        <v>1.7252995921968828E-2</v>
      </c>
      <c r="AD52" s="340">
        <f t="shared" si="16"/>
        <v>1.3142518010553328E-2</v>
      </c>
      <c r="AE52" s="340">
        <f t="shared" si="16"/>
        <v>9.9825498097988463E-3</v>
      </c>
      <c r="AF52" s="340">
        <f t="shared" si="16"/>
        <v>7.5614237197152434E-3</v>
      </c>
      <c r="AG52" s="340">
        <f t="shared" si="16"/>
        <v>5.712297910708708E-3</v>
      </c>
      <c r="AH52" s="340">
        <f t="shared" si="16"/>
        <v>4.3043296167769585E-3</v>
      </c>
      <c r="AI52" s="340">
        <f t="shared" si="16"/>
        <v>3.235388858736421E-3</v>
      </c>
      <c r="AJ52" s="340">
        <f t="shared" si="16"/>
        <v>2.4261056154463168E-3</v>
      </c>
      <c r="AK52" s="340">
        <f t="shared" si="16"/>
        <v>1.8150497476586702E-3</v>
      </c>
      <c r="AL52" s="340">
        <f t="shared" si="16"/>
        <v>1.3548587303884307E-3</v>
      </c>
      <c r="AM52" s="340">
        <f t="shared" si="16"/>
        <v>1.0091485663138444E-3</v>
      </c>
      <c r="AN52" s="340">
        <f t="shared" si="16"/>
        <v>7.500650056343483E-4</v>
      </c>
      <c r="AO52" s="340">
        <f t="shared" si="16"/>
        <v>5.5635347582949635E-4</v>
      </c>
      <c r="AP52" s="340">
        <f t="shared" si="16"/>
        <v>4.1184584154074777E-4</v>
      </c>
      <c r="AQ52" s="340">
        <f t="shared" si="16"/>
        <v>3.0427973090019211E-4</v>
      </c>
      <c r="AR52" s="340">
        <f t="shared" si="16"/>
        <v>2.2438149240711081E-4</v>
      </c>
      <c r="AS52" s="340">
        <f t="shared" si="16"/>
        <v>1.6515691508367514E-4</v>
      </c>
      <c r="AT52" s="340">
        <f t="shared" si="16"/>
        <v>1.2134480801440084E-4</v>
      </c>
      <c r="AU52" s="340">
        <f t="shared" si="16"/>
        <v>8.8997610866892174E-5</v>
      </c>
      <c r="AV52" s="340">
        <f t="shared" si="16"/>
        <v>6.5160635750682872E-5</v>
      </c>
      <c r="AW52" s="340">
        <f t="shared" si="16"/>
        <v>4.7627563113716853E-5</v>
      </c>
      <c r="AX52" s="340">
        <f t="shared" si="14"/>
        <v>3.4754655522828415E-5</v>
      </c>
      <c r="AY52" s="340">
        <f t="shared" si="14"/>
        <v>2.5320015787366756E-5</v>
      </c>
    </row>
    <row r="53" spans="1:51">
      <c r="A53" s="546" t="s">
        <v>8019</v>
      </c>
      <c r="B53" s="546">
        <v>2.4</v>
      </c>
      <c r="C53" s="554">
        <v>11.6</v>
      </c>
      <c r="D53" s="554"/>
      <c r="E53" s="555"/>
      <c r="F53" s="555"/>
      <c r="G53" s="546">
        <v>2.4</v>
      </c>
      <c r="H53" s="554">
        <v>11.6</v>
      </c>
      <c r="I53" s="553">
        <f t="shared" si="2"/>
        <v>9.9571549301074995</v>
      </c>
      <c r="J53" s="553">
        <f t="shared" si="3"/>
        <v>10.283192449910739</v>
      </c>
      <c r="K53" s="340">
        <f t="shared" si="11"/>
        <v>1</v>
      </c>
      <c r="L53" s="340">
        <f t="shared" si="16"/>
        <v>0.99721583128709046</v>
      </c>
      <c r="M53" s="340">
        <f t="shared" si="16"/>
        <v>0.98539231753000167</v>
      </c>
      <c r="N53" s="340">
        <f t="shared" si="16"/>
        <v>0.96180877035804357</v>
      </c>
      <c r="O53" s="340">
        <f t="shared" si="16"/>
        <v>0.92527112173353165</v>
      </c>
      <c r="P53" s="340">
        <f t="shared" si="16"/>
        <v>0.87573903215019766</v>
      </c>
      <c r="Q53" s="340">
        <f t="shared" si="16"/>
        <v>0.81422005867383918</v>
      </c>
      <c r="R53" s="340">
        <f t="shared" si="16"/>
        <v>0.74264757648744584</v>
      </c>
      <c r="S53" s="340">
        <f t="shared" si="16"/>
        <v>0.66369226433328987</v>
      </c>
      <c r="T53" s="340">
        <f t="shared" si="16"/>
        <v>0.58050628387238112</v>
      </c>
      <c r="U53" s="340">
        <f t="shared" si="16"/>
        <v>0.49642298244847738</v>
      </c>
      <c r="V53" s="340">
        <f t="shared" si="16"/>
        <v>0.41464793174919357</v>
      </c>
      <c r="W53" s="340">
        <f t="shared" si="16"/>
        <v>0.33798107369658481</v>
      </c>
      <c r="X53" s="340">
        <f t="shared" si="16"/>
        <v>0.26860511351407945</v>
      </c>
      <c r="Y53" s="340">
        <f t="shared" si="16"/>
        <v>0.20796361657978679</v>
      </c>
      <c r="Z53" s="340">
        <f t="shared" si="16"/>
        <v>0.15673644611709936</v>
      </c>
      <c r="AA53" s="340">
        <f t="shared" si="16"/>
        <v>0.11490393540783217</v>
      </c>
      <c r="AB53" s="340">
        <f t="shared" si="16"/>
        <v>8.1878083951347769E-2</v>
      </c>
      <c r="AC53" s="340">
        <f t="shared" si="16"/>
        <v>5.6671600449837989E-2</v>
      </c>
      <c r="AD53" s="340">
        <f t="shared" si="16"/>
        <v>3.8074658858364141E-2</v>
      </c>
      <c r="AE53" s="340">
        <f t="shared" si="16"/>
        <v>2.4813989576624063E-2</v>
      </c>
      <c r="AF53" s="340">
        <f t="shared" si="16"/>
        <v>1.5677373167799713E-2</v>
      </c>
      <c r="AG53" s="340">
        <f t="shared" si="16"/>
        <v>9.5962227760377772E-3</v>
      </c>
      <c r="AH53" s="340">
        <f t="shared" si="16"/>
        <v>5.6874732417890872E-3</v>
      </c>
      <c r="AI53" s="340">
        <f t="shared" si="16"/>
        <v>3.2619633795674119E-3</v>
      </c>
      <c r="AJ53" s="340">
        <f t="shared" si="16"/>
        <v>1.8094000343620298E-3</v>
      </c>
      <c r="AK53" s="340">
        <f t="shared" si="16"/>
        <v>9.7016831149543403E-4</v>
      </c>
      <c r="AL53" s="340">
        <f t="shared" si="16"/>
        <v>5.0255477217930888E-4</v>
      </c>
      <c r="AM53" s="340">
        <f t="shared" si="16"/>
        <v>2.5137131234631571E-4</v>
      </c>
      <c r="AN53" s="340">
        <f t="shared" si="16"/>
        <v>1.2134480801440084E-4</v>
      </c>
      <c r="AO53" s="340">
        <f t="shared" si="16"/>
        <v>5.6504334932538924E-5</v>
      </c>
      <c r="AP53" s="340">
        <f t="shared" si="16"/>
        <v>2.5367857763858304E-5</v>
      </c>
      <c r="AQ53" s="340">
        <f t="shared" si="16"/>
        <v>1.0975337547347586E-5</v>
      </c>
      <c r="AR53" s="340">
        <f t="shared" si="16"/>
        <v>4.5738157629093834E-6</v>
      </c>
      <c r="AS53" s="340">
        <f t="shared" si="16"/>
        <v>1.835120459925399E-6</v>
      </c>
      <c r="AT53" s="340">
        <f t="shared" si="16"/>
        <v>7.0856172740274559E-7</v>
      </c>
      <c r="AU53" s="340">
        <f t="shared" si="16"/>
        <v>2.6316222134781242E-7</v>
      </c>
      <c r="AV53" s="340">
        <f t="shared" si="16"/>
        <v>9.3974707016108994E-8</v>
      </c>
      <c r="AW53" s="340">
        <f t="shared" si="16"/>
        <v>3.2251654902282212E-8</v>
      </c>
      <c r="AX53" s="340">
        <f t="shared" si="14"/>
        <v>1.0633142810689833E-8</v>
      </c>
      <c r="AY53" s="340">
        <f t="shared" si="14"/>
        <v>3.366338874322139E-9</v>
      </c>
    </row>
    <row r="54" spans="1:51">
      <c r="A54" s="546" t="s">
        <v>282</v>
      </c>
      <c r="B54" s="546">
        <v>1.4</v>
      </c>
      <c r="C54" s="554">
        <v>7.6</v>
      </c>
      <c r="D54" s="554" t="s">
        <v>9072</v>
      </c>
      <c r="E54" s="555">
        <v>2.5</v>
      </c>
      <c r="F54" s="555">
        <v>14</v>
      </c>
      <c r="G54" s="555">
        <v>2.5</v>
      </c>
      <c r="H54" s="555">
        <v>14</v>
      </c>
      <c r="I54" s="553">
        <f t="shared" si="2"/>
        <v>12.090888608433247</v>
      </c>
      <c r="J54" s="553">
        <f t="shared" si="3"/>
        <v>12.421693445043054</v>
      </c>
      <c r="K54" s="340">
        <f t="shared" si="11"/>
        <v>1</v>
      </c>
      <c r="L54" s="340">
        <f t="shared" si="16"/>
        <v>0.99863735148488497</v>
      </c>
      <c r="M54" s="340">
        <f t="shared" si="16"/>
        <v>0.99231611249120577</v>
      </c>
      <c r="N54" s="340">
        <f t="shared" si="16"/>
        <v>0.97896824443001407</v>
      </c>
      <c r="O54" s="340">
        <f t="shared" si="16"/>
        <v>0.95730379910460017</v>
      </c>
      <c r="P54" s="340">
        <f t="shared" si="16"/>
        <v>0.92660647846586863</v>
      </c>
      <c r="Q54" s="340">
        <f t="shared" si="16"/>
        <v>0.88670537488117906</v>
      </c>
      <c r="R54" s="340">
        <f t="shared" si="16"/>
        <v>0.83796688557875576</v>
      </c>
      <c r="S54" s="340">
        <f t="shared" si="16"/>
        <v>0.78127041930940422</v>
      </c>
      <c r="T54" s="340">
        <f t="shared" si="16"/>
        <v>0.71795427424256841</v>
      </c>
      <c r="U54" s="340">
        <f t="shared" si="16"/>
        <v>0.64972820455954228</v>
      </c>
      <c r="V54" s="340">
        <f t="shared" si="16"/>
        <v>0.57855620881212777</v>
      </c>
      <c r="W54" s="340">
        <f t="shared" si="16"/>
        <v>0.50651853635339339</v>
      </c>
      <c r="X54" s="340">
        <f t="shared" si="16"/>
        <v>0.43566574314023843</v>
      </c>
      <c r="Y54" s="340">
        <f t="shared" si="16"/>
        <v>0.36787944117144233</v>
      </c>
      <c r="Z54" s="340">
        <f t="shared" si="16"/>
        <v>0.30475392104386922</v>
      </c>
      <c r="AA54" s="340">
        <f t="shared" si="16"/>
        <v>0.24751016398366599</v>
      </c>
      <c r="AB54" s="340">
        <f t="shared" si="16"/>
        <v>0.19694936390639228</v>
      </c>
      <c r="AC54" s="340">
        <f t="shared" si="16"/>
        <v>0.15344773727636907</v>
      </c>
      <c r="AD54" s="340">
        <f t="shared" si="16"/>
        <v>0.11698905892673261</v>
      </c>
      <c r="AE54" s="340">
        <f t="shared" si="16"/>
        <v>8.7226939211523469E-2</v>
      </c>
      <c r="AF54" s="340">
        <f t="shared" si="16"/>
        <v>6.3566037004625375E-2</v>
      </c>
      <c r="AG54" s="340">
        <f t="shared" si="16"/>
        <v>4.5250508432960634E-2</v>
      </c>
      <c r="AH54" s="340">
        <f t="shared" si="16"/>
        <v>3.1448946241015019E-2</v>
      </c>
      <c r="AI54" s="340">
        <f t="shared" si="16"/>
        <v>2.132744900382888E-2</v>
      </c>
      <c r="AJ54" s="340">
        <f t="shared" si="16"/>
        <v>1.4105640654379692E-2</v>
      </c>
      <c r="AK54" s="340">
        <f t="shared" si="16"/>
        <v>9.0937591286639474E-3</v>
      </c>
      <c r="AL54" s="340">
        <f t="shared" si="16"/>
        <v>5.7117723251474128E-3</v>
      </c>
      <c r="AM54" s="340">
        <f t="shared" si="16"/>
        <v>3.4934892766461667E-3</v>
      </c>
      <c r="AN54" s="340">
        <f t="shared" si="16"/>
        <v>2.0796835764985699E-3</v>
      </c>
      <c r="AO54" s="340">
        <f t="shared" si="16"/>
        <v>1.2044157233319641E-3</v>
      </c>
      <c r="AP54" s="340">
        <f t="shared" si="16"/>
        <v>6.7825408919131025E-4</v>
      </c>
      <c r="AQ54" s="340">
        <f t="shared" si="16"/>
        <v>3.7123096947844214E-4</v>
      </c>
      <c r="AR54" s="340">
        <f t="shared" si="16"/>
        <v>1.9739397638518508E-4</v>
      </c>
      <c r="AS54" s="340">
        <f t="shared" si="16"/>
        <v>1.0192171466438804E-4</v>
      </c>
      <c r="AT54" s="340">
        <f t="shared" si="16"/>
        <v>5.1079991764568788E-5</v>
      </c>
      <c r="AU54" s="340">
        <f t="shared" si="16"/>
        <v>2.4836885292867095E-5</v>
      </c>
      <c r="AV54" s="340">
        <f t="shared" si="16"/>
        <v>1.1711682412429703E-5</v>
      </c>
      <c r="AW54" s="340">
        <f t="shared" si="16"/>
        <v>5.353446701827913E-6</v>
      </c>
      <c r="AX54" s="340">
        <f t="shared" si="14"/>
        <v>2.3711464941511551E-6</v>
      </c>
      <c r="AY54" s="340">
        <f t="shared" si="14"/>
        <v>1.017220335519653E-6</v>
      </c>
    </row>
    <row r="55" spans="1:51">
      <c r="A55" s="546" t="s">
        <v>8023</v>
      </c>
      <c r="B55" s="546">
        <v>2.6</v>
      </c>
      <c r="C55" s="554">
        <v>19.2</v>
      </c>
      <c r="D55" s="554"/>
      <c r="E55" s="555"/>
      <c r="F55" s="555"/>
      <c r="G55" s="546">
        <v>2.6</v>
      </c>
      <c r="H55" s="554">
        <v>19.2</v>
      </c>
      <c r="I55" s="553">
        <f t="shared" si="2"/>
        <v>16.675553274273273</v>
      </c>
      <c r="J55" s="553">
        <f t="shared" si="3"/>
        <v>17.053640346871806</v>
      </c>
      <c r="K55" s="340">
        <f t="shared" si="11"/>
        <v>1</v>
      </c>
      <c r="L55" s="340">
        <f t="shared" si="16"/>
        <v>0.99953940759768189</v>
      </c>
      <c r="M55" s="340">
        <f t="shared" si="16"/>
        <v>0.99721074378328478</v>
      </c>
      <c r="N55" s="340">
        <f t="shared" si="16"/>
        <v>0.99201651192824292</v>
      </c>
      <c r="O55" s="340">
        <f t="shared" si="16"/>
        <v>0.98320806715022835</v>
      </c>
      <c r="P55" s="340">
        <f t="shared" si="16"/>
        <v>0.97020204438898261</v>
      </c>
      <c r="Q55" s="340">
        <f t="shared" si="16"/>
        <v>0.95256487247237021</v>
      </c>
      <c r="R55" s="340">
        <f t="shared" si="16"/>
        <v>0.93001391656528953</v>
      </c>
      <c r="S55" s="340">
        <f t="shared" si="16"/>
        <v>0.90242318642415298</v>
      </c>
      <c r="T55" s="340">
        <f t="shared" si="16"/>
        <v>0.86982846669717873</v>
      </c>
      <c r="U55" s="340">
        <f t="shared" si="16"/>
        <v>0.8324289722956224</v>
      </c>
      <c r="V55" s="340">
        <f t="shared" si="16"/>
        <v>0.79058371509556746</v>
      </c>
      <c r="W55" s="340">
        <f t="shared" si="16"/>
        <v>0.74480151685110307</v>
      </c>
      <c r="X55" s="340">
        <f t="shared" si="16"/>
        <v>0.69572426109008334</v>
      </c>
      <c r="Y55" s="340">
        <f t="shared" si="16"/>
        <v>0.6441036097300572</v>
      </c>
      <c r="Z55" s="340">
        <f t="shared" si="16"/>
        <v>0.59077201543401425</v>
      </c>
      <c r="AA55" s="340">
        <f t="shared" si="16"/>
        <v>0.53660940558089987</v>
      </c>
      <c r="AB55" s="340">
        <f t="shared" si="16"/>
        <v>0.48250735393969402</v>
      </c>
      <c r="AC55" s="340">
        <f t="shared" si="16"/>
        <v>0.42933284803513416</v>
      </c>
      <c r="AD55" s="340">
        <f t="shared" si="16"/>
        <v>0.37789386983284845</v>
      </c>
      <c r="AE55" s="340">
        <f t="shared" si="16"/>
        <v>0.32890891748691642</v>
      </c>
      <c r="AF55" s="340">
        <f t="shared" si="16"/>
        <v>0.28298231024391274</v>
      </c>
      <c r="AG55" s="340">
        <f t="shared" si="16"/>
        <v>0.240586663197775</v>
      </c>
      <c r="AH55" s="340">
        <f t="shared" si="16"/>
        <v>0.20205333957284921</v>
      </c>
      <c r="AI55" s="340">
        <f t="shared" si="16"/>
        <v>0.16757104655808119</v>
      </c>
      <c r="AJ55" s="340">
        <f t="shared" si="16"/>
        <v>0.13719210457334685</v>
      </c>
      <c r="AK55" s="340">
        <f t="shared" si="16"/>
        <v>0.11084535563285169</v>
      </c>
      <c r="AL55" s="340">
        <f t="shared" si="16"/>
        <v>8.8354240143219132E-2</v>
      </c>
      <c r="AM55" s="340">
        <f t="shared" si="16"/>
        <v>6.9458301437513081E-2</v>
      </c>
      <c r="AN55" s="340">
        <f t="shared" si="16"/>
        <v>5.3836290075470083E-2</v>
      </c>
      <c r="AO55" s="340">
        <f t="shared" si="16"/>
        <v>4.1129129001696074E-2</v>
      </c>
      <c r="AP55" s="340">
        <f t="shared" si="16"/>
        <v>3.0961239147318853E-2</v>
      </c>
      <c r="AQ55" s="340">
        <f t="shared" si="16"/>
        <v>2.2959070906334977E-2</v>
      </c>
      <c r="AR55" s="340">
        <f t="shared" si="16"/>
        <v>1.6766089943817897E-2</v>
      </c>
      <c r="AS55" s="340">
        <f t="shared" si="16"/>
        <v>1.2053875331322961E-2</v>
      </c>
      <c r="AT55" s="340">
        <f t="shared" si="16"/>
        <v>8.5293597152119593E-3</v>
      </c>
      <c r="AU55" s="340">
        <f t="shared" si="16"/>
        <v>5.9385421276795247E-3</v>
      </c>
      <c r="AV55" s="340">
        <f t="shared" si="16"/>
        <v>4.0672151835415837E-3</v>
      </c>
      <c r="AW55" s="340">
        <f t="shared" si="16"/>
        <v>2.7393649938288744E-3</v>
      </c>
      <c r="AX55" s="340">
        <f t="shared" si="14"/>
        <v>1.8139316382203008E-3</v>
      </c>
      <c r="AY55" s="340">
        <f t="shared" si="14"/>
        <v>1.1805767864822014E-3</v>
      </c>
    </row>
    <row r="56" spans="1:51">
      <c r="A56" s="546" t="s">
        <v>8026</v>
      </c>
      <c r="B56" s="546">
        <v>1.7</v>
      </c>
      <c r="C56" s="554">
        <v>9.6</v>
      </c>
      <c r="D56" s="554"/>
      <c r="E56" s="555"/>
      <c r="F56" s="555"/>
      <c r="G56" s="546">
        <v>1.7</v>
      </c>
      <c r="H56" s="554">
        <v>9.6</v>
      </c>
      <c r="I56" s="553">
        <f t="shared" si="2"/>
        <v>7.7381857649848396</v>
      </c>
      <c r="J56" s="553">
        <f t="shared" si="3"/>
        <v>8.5655472239935122</v>
      </c>
      <c r="K56" s="340">
        <f t="shared" si="11"/>
        <v>1</v>
      </c>
      <c r="L56" s="340">
        <f t="shared" si="16"/>
        <v>0.97884060872125378</v>
      </c>
      <c r="M56" s="340">
        <f t="shared" si="16"/>
        <v>0.9328743003319554</v>
      </c>
      <c r="N56" s="340">
        <f t="shared" si="16"/>
        <v>0.8707200871840427</v>
      </c>
      <c r="O56" s="340">
        <f t="shared" si="16"/>
        <v>0.79791211015816876</v>
      </c>
      <c r="P56" s="340">
        <f t="shared" si="16"/>
        <v>0.71899257323118637</v>
      </c>
      <c r="Q56" s="340">
        <f t="shared" si="16"/>
        <v>0.63777116034593706</v>
      </c>
      <c r="R56" s="340">
        <f t="shared" si="16"/>
        <v>0.55736868855267785</v>
      </c>
      <c r="S56" s="340">
        <f t="shared" si="16"/>
        <v>0.48023193724370394</v>
      </c>
      <c r="T56" s="340">
        <f t="shared" si="16"/>
        <v>0.40816284717823603</v>
      </c>
      <c r="U56" s="340">
        <f t="shared" si="16"/>
        <v>0.34237040497165783</v>
      </c>
      <c r="V56" s="340">
        <f t="shared" si="16"/>
        <v>0.28354217237443491</v>
      </c>
      <c r="W56" s="340">
        <f t="shared" si="16"/>
        <v>0.23192860314983954</v>
      </c>
      <c r="X56" s="340">
        <f t="shared" si="16"/>
        <v>0.18743260235582659</v>
      </c>
      <c r="Y56" s="340">
        <f t="shared" si="16"/>
        <v>0.14969757625402602</v>
      </c>
      <c r="Z56" s="340">
        <f t="shared" si="16"/>
        <v>0.11818869746916971</v>
      </c>
      <c r="AA56" s="340">
        <f t="shared" si="16"/>
        <v>9.226380730605932E-2</v>
      </c>
      <c r="AB56" s="340">
        <f t="shared" si="16"/>
        <v>7.1232009987958866E-2</v>
      </c>
      <c r="AC56" s="340">
        <f t="shared" si="16"/>
        <v>5.4399413332936186E-2</v>
      </c>
      <c r="AD56" s="340">
        <f t="shared" si="16"/>
        <v>4.1102553876800174E-2</v>
      </c>
      <c r="AE56" s="340">
        <f t="shared" si="16"/>
        <v>3.0730791459555817E-2</v>
      </c>
      <c r="AF56" s="340">
        <f t="shared" si="16"/>
        <v>2.2739392068931497E-2</v>
      </c>
      <c r="AG56" s="340">
        <f t="shared" si="16"/>
        <v>1.6655187961642337E-2</v>
      </c>
      <c r="AH56" s="340">
        <f t="shared" si="16"/>
        <v>1.2076672707145519E-2</v>
      </c>
      <c r="AI56" s="340">
        <f t="shared" si="16"/>
        <v>8.6702192008525358E-3</v>
      </c>
      <c r="AJ56" s="340">
        <f t="shared" si="16"/>
        <v>6.1638582873826397E-3</v>
      </c>
      <c r="AK56" s="340">
        <f t="shared" si="16"/>
        <v>4.3397716033028999E-3</v>
      </c>
      <c r="AL56" s="340">
        <f t="shared" si="16"/>
        <v>3.0263698735172317E-3</v>
      </c>
      <c r="AM56" s="340">
        <f t="shared" si="16"/>
        <v>2.0905707888297931E-3</v>
      </c>
      <c r="AN56" s="340">
        <f t="shared" si="16"/>
        <v>1.4306721620387375E-3</v>
      </c>
      <c r="AO56" s="340">
        <f t="shared" si="16"/>
        <v>9.7004160193614464E-4</v>
      </c>
      <c r="AP56" s="340">
        <f t="shared" si="16"/>
        <v>6.5171289907206553E-4</v>
      </c>
      <c r="AQ56" s="340">
        <f t="shared" si="16"/>
        <v>4.3388736852778553E-4</v>
      </c>
      <c r="AR56" s="340">
        <f t="shared" si="16"/>
        <v>2.8627922795942951E-4</v>
      </c>
      <c r="AS56" s="340">
        <f t="shared" si="16"/>
        <v>1.8721072478755652E-4</v>
      </c>
      <c r="AT56" s="340">
        <f t="shared" si="16"/>
        <v>1.2134843995592615E-4</v>
      </c>
      <c r="AU56" s="340">
        <f t="shared" si="16"/>
        <v>7.7971068949134192E-5</v>
      </c>
      <c r="AV56" s="340">
        <f t="shared" si="16"/>
        <v>4.9666163877026825E-5</v>
      </c>
      <c r="AW56" s="340">
        <f t="shared" si="16"/>
        <v>3.1365084955048417E-5</v>
      </c>
      <c r="AX56" s="340">
        <f t="shared" si="14"/>
        <v>1.9639067302401614E-5</v>
      </c>
      <c r="AY56" s="340">
        <f t="shared" si="14"/>
        <v>1.2193056938003544E-5</v>
      </c>
    </row>
    <row r="57" spans="1:51">
      <c r="A57" s="546" t="s">
        <v>8028</v>
      </c>
      <c r="B57" s="546">
        <v>1.9</v>
      </c>
      <c r="C57" s="554">
        <v>11.6</v>
      </c>
      <c r="D57" s="554"/>
      <c r="E57" s="555"/>
      <c r="F57" s="555"/>
      <c r="G57" s="546">
        <v>1.9</v>
      </c>
      <c r="H57" s="554">
        <v>11.6</v>
      </c>
      <c r="I57" s="553">
        <f t="shared" si="2"/>
        <v>9.5649326441944833</v>
      </c>
      <c r="J57" s="553">
        <f t="shared" si="3"/>
        <v>10.293414464345172</v>
      </c>
      <c r="K57" s="340">
        <f t="shared" si="11"/>
        <v>1</v>
      </c>
      <c r="L57" s="340">
        <f t="shared" si="16"/>
        <v>0.99054918039309547</v>
      </c>
      <c r="M57" s="340">
        <f t="shared" si="16"/>
        <v>0.96518118686408239</v>
      </c>
      <c r="N57" s="340">
        <f t="shared" si="16"/>
        <v>0.9262878175198781</v>
      </c>
      <c r="O57" s="340">
        <f t="shared" si="16"/>
        <v>0.8761090975970367</v>
      </c>
      <c r="P57" s="340">
        <f t="shared" si="16"/>
        <v>0.81701074544980923</v>
      </c>
      <c r="Q57" s="340">
        <f t="shared" si="16"/>
        <v>0.75143514864546024</v>
      </c>
      <c r="R57" s="340">
        <f t="shared" si="16"/>
        <v>0.68180248339862248</v>
      </c>
      <c r="S57" s="340">
        <f t="shared" si="16"/>
        <v>0.61040711210567489</v>
      </c>
      <c r="T57" s="340">
        <f t="shared" si="16"/>
        <v>0.53932653914646611</v>
      </c>
      <c r="U57" s="340">
        <f t="shared" si="16"/>
        <v>0.4703514086144378</v>
      </c>
      <c r="V57" s="340">
        <f t="shared" si="16"/>
        <v>0.40494031440289735</v>
      </c>
      <c r="W57" s="340">
        <f t="shared" si="16"/>
        <v>0.34419988455964512</v>
      </c>
      <c r="X57" s="340">
        <f t="shared" si="16"/>
        <v>0.28888813260338231</v>
      </c>
      <c r="Y57" s="340">
        <f t="shared" si="16"/>
        <v>0.23943733196103623</v>
      </c>
      <c r="Z57" s="340">
        <f t="shared" si="16"/>
        <v>0.1959916366965424</v>
      </c>
      <c r="AA57" s="340">
        <f t="shared" si="16"/>
        <v>0.15845428960452124</v>
      </c>
      <c r="AB57" s="340">
        <f t="shared" si="16"/>
        <v>0.12653943150411506</v>
      </c>
      <c r="AC57" s="340">
        <f t="shared" si="16"/>
        <v>9.9824122118986613E-2</v>
      </c>
      <c r="AD57" s="340">
        <f t="shared" si="16"/>
        <v>7.7797055152991179E-2</v>
      </c>
      <c r="AE57" s="340">
        <f t="shared" si="16"/>
        <v>5.9901452105210473E-2</v>
      </c>
      <c r="AF57" s="340">
        <f t="shared" si="16"/>
        <v>4.5570623204458593E-2</v>
      </c>
      <c r="AG57" s="340">
        <f t="shared" si="16"/>
        <v>3.4255590598884389E-2</v>
      </c>
      <c r="AH57" s="340">
        <f t="shared" si="16"/>
        <v>2.5444913256784107E-2</v>
      </c>
      <c r="AI57" s="340">
        <f t="shared" si="16"/>
        <v>1.8677402715299274E-2</v>
      </c>
      <c r="AJ57" s="340">
        <f t="shared" si="16"/>
        <v>1.3548770312520553E-2</v>
      </c>
      <c r="AK57" s="340">
        <f t="shared" si="16"/>
        <v>9.7134180592755026E-3</v>
      </c>
      <c r="AL57" s="340">
        <f t="shared" si="16"/>
        <v>6.8826089885908326E-3</v>
      </c>
      <c r="AM57" s="340">
        <f t="shared" si="16"/>
        <v>4.8201673072169049E-3</v>
      </c>
      <c r="AN57" s="340">
        <f t="shared" si="16"/>
        <v>3.3367029392712411E-3</v>
      </c>
      <c r="AO57" s="340">
        <f t="shared" si="16"/>
        <v>2.2831639434902629E-3</v>
      </c>
      <c r="AP57" s="340">
        <f t="shared" si="16"/>
        <v>1.5443218638275802E-3</v>
      </c>
      <c r="AQ57" s="340">
        <f t="shared" si="16"/>
        <v>1.0326095685762038E-3</v>
      </c>
      <c r="AR57" s="340">
        <f t="shared" si="16"/>
        <v>6.8257115622660791E-4</v>
      </c>
      <c r="AS57" s="340">
        <f t="shared" si="16"/>
        <v>4.4605509524098252E-4</v>
      </c>
      <c r="AT57" s="340">
        <f t="shared" si="16"/>
        <v>2.8818587019785458E-4</v>
      </c>
      <c r="AU57" s="340">
        <f t="shared" si="16"/>
        <v>1.8408348065379609E-4</v>
      </c>
      <c r="AV57" s="340">
        <f t="shared" si="16"/>
        <v>1.1625959641092809E-4</v>
      </c>
      <c r="AW57" s="340">
        <f t="shared" si="16"/>
        <v>7.2598584029859303E-5</v>
      </c>
      <c r="AX57" s="340">
        <f t="shared" si="14"/>
        <v>4.4825580859608749E-5</v>
      </c>
      <c r="AY57" s="340">
        <f t="shared" si="14"/>
        <v>2.7367482885787275E-5</v>
      </c>
    </row>
    <row r="58" spans="1:51">
      <c r="A58" s="546" t="s">
        <v>8031</v>
      </c>
      <c r="B58" s="546">
        <v>2</v>
      </c>
      <c r="C58" s="554">
        <v>10.1</v>
      </c>
      <c r="D58" s="554"/>
      <c r="E58" s="555">
        <v>2</v>
      </c>
      <c r="F58" s="555">
        <v>15</v>
      </c>
      <c r="G58" s="555">
        <v>2</v>
      </c>
      <c r="H58" s="555">
        <v>15</v>
      </c>
      <c r="I58" s="553">
        <f t="shared" si="2"/>
        <v>12.488319167365466</v>
      </c>
      <c r="J58" s="553">
        <f t="shared" si="3"/>
        <v>13.29340388179137</v>
      </c>
      <c r="K58" s="340">
        <f t="shared" si="11"/>
        <v>1</v>
      </c>
      <c r="L58" s="340">
        <f t="shared" si="16"/>
        <v>0.9955654174830928</v>
      </c>
      <c r="M58" s="340">
        <f t="shared" si="16"/>
        <v>0.98237931461817762</v>
      </c>
      <c r="N58" s="340">
        <f t="shared" si="16"/>
        <v>0.96078943915232318</v>
      </c>
      <c r="O58" s="340">
        <f t="shared" si="16"/>
        <v>0.93135840211135201</v>
      </c>
      <c r="P58" s="340">
        <f t="shared" si="16"/>
        <v>0.89483931681436979</v>
      </c>
      <c r="Q58" s="340">
        <f t="shared" si="16"/>
        <v>0.85214378896621135</v>
      </c>
      <c r="R58" s="340">
        <f t="shared" si="16"/>
        <v>0.80430415606557215</v>
      </c>
      <c r="S58" s="340">
        <f t="shared" si="16"/>
        <v>0.75243215608930325</v>
      </c>
      <c r="T58" s="340">
        <f t="shared" si="16"/>
        <v>0.69767632607103103</v>
      </c>
      <c r="U58" s="340">
        <f t="shared" si="16"/>
        <v>0.64118038842995451</v>
      </c>
      <c r="V58" s="340">
        <f t="shared" si="16"/>
        <v>0.58404468844138302</v>
      </c>
      <c r="W58" s="340">
        <f t="shared" si="16"/>
        <v>0.52729242404304855</v>
      </c>
      <c r="X58" s="340">
        <f t="shared" si="16"/>
        <v>0.47184199249207448</v>
      </c>
      <c r="Y58" s="340">
        <f t="shared" si="16"/>
        <v>0.41848630604256454</v>
      </c>
      <c r="Z58" s="340">
        <f t="shared" si="16"/>
        <v>0.36787944117144233</v>
      </c>
      <c r="AA58" s="340">
        <f t="shared" si="16"/>
        <v>0.32053052101554125</v>
      </c>
      <c r="AB58" s="340">
        <f t="shared" si="16"/>
        <v>0.27680432110155639</v>
      </c>
      <c r="AC58" s="340">
        <f t="shared" si="16"/>
        <v>0.23692775868212179</v>
      </c>
      <c r="AD58" s="340">
        <f t="shared" ref="L58:AW65" si="17">1-(_xlfn.WEIBULL.DIST(AD$2,$G58,$H58,TRUE))</f>
        <v>0.2010011912257319</v>
      </c>
      <c r="AE58" s="340">
        <f t="shared" si="17"/>
        <v>0.16901331540606612</v>
      </c>
      <c r="AF58" s="340">
        <f t="shared" si="17"/>
        <v>0.14085842092104506</v>
      </c>
      <c r="AG58" s="340">
        <f t="shared" si="17"/>
        <v>0.11635480280870392</v>
      </c>
      <c r="AH58" s="340">
        <f t="shared" si="17"/>
        <v>9.5263255327810104E-2</v>
      </c>
      <c r="AI58" s="340">
        <f t="shared" si="17"/>
        <v>7.7304740443299713E-2</v>
      </c>
      <c r="AJ58" s="340">
        <f t="shared" si="17"/>
        <v>6.2176524022116264E-2</v>
      </c>
      <c r="AK58" s="340">
        <f t="shared" si="17"/>
        <v>4.9566283504911768E-2</v>
      </c>
      <c r="AL58" s="340">
        <f t="shared" si="17"/>
        <v>3.91638950989871E-2</v>
      </c>
      <c r="AM58" s="340">
        <f t="shared" si="17"/>
        <v>3.0670793026394083E-2</v>
      </c>
      <c r="AN58" s="340">
        <f t="shared" si="17"/>
        <v>2.3806948722729038E-2</v>
      </c>
      <c r="AO58" s="340">
        <f t="shared" si="17"/>
        <v>1.831563888873422E-2</v>
      </c>
      <c r="AP58" s="340">
        <f t="shared" si="17"/>
        <v>1.3966256466258153E-2</v>
      </c>
      <c r="AQ58" s="340">
        <f t="shared" si="17"/>
        <v>1.0555469566198794E-2</v>
      </c>
      <c r="AR58" s="340">
        <f t="shared" si="17"/>
        <v>7.9070540515934207E-3</v>
      </c>
      <c r="AS58" s="340">
        <f t="shared" si="17"/>
        <v>5.8707212757385108E-3</v>
      </c>
      <c r="AT58" s="340">
        <f t="shared" si="17"/>
        <v>4.3202394740941008E-3</v>
      </c>
      <c r="AU58" s="340">
        <f t="shared" si="17"/>
        <v>3.1511115984443894E-3</v>
      </c>
      <c r="AV58" s="340">
        <f t="shared" si="17"/>
        <v>2.2780295447415444E-3</v>
      </c>
      <c r="AW58" s="340">
        <f t="shared" si="17"/>
        <v>1.6322794952194908E-3</v>
      </c>
      <c r="AX58" s="340">
        <f t="shared" si="14"/>
        <v>1.1592291739045413E-3</v>
      </c>
      <c r="AY58" s="340">
        <f t="shared" si="14"/>
        <v>8.1598783507219608E-4</v>
      </c>
    </row>
    <row r="59" spans="1:51">
      <c r="A59" s="546">
        <v>1101</v>
      </c>
      <c r="B59" s="546"/>
      <c r="C59" s="546"/>
      <c r="D59" s="546"/>
      <c r="E59" s="555">
        <v>3.6</v>
      </c>
      <c r="F59" s="555">
        <v>15.5</v>
      </c>
      <c r="G59" s="555">
        <v>3.6</v>
      </c>
      <c r="H59" s="555">
        <v>15.5</v>
      </c>
      <c r="I59" s="553">
        <f t="shared" si="2"/>
        <v>13.999629700752227</v>
      </c>
      <c r="J59" s="553">
        <f t="shared" si="3"/>
        <v>13.967138090875487</v>
      </c>
      <c r="K59" s="340">
        <f t="shared" si="11"/>
        <v>1</v>
      </c>
      <c r="L59" s="340">
        <f t="shared" si="17"/>
        <v>0.99994814452389147</v>
      </c>
      <c r="M59" s="340">
        <f t="shared" si="17"/>
        <v>0.99937139571733868</v>
      </c>
      <c r="N59" s="340">
        <f t="shared" si="17"/>
        <v>0.9972969456342361</v>
      </c>
      <c r="O59" s="340">
        <f t="shared" si="17"/>
        <v>0.99240431006084018</v>
      </c>
      <c r="P59" s="340">
        <f t="shared" si="17"/>
        <v>0.98311869082428005</v>
      </c>
      <c r="Q59" s="340">
        <f t="shared" si="17"/>
        <v>0.96771186842644075</v>
      </c>
      <c r="R59" s="340">
        <f t="shared" si="17"/>
        <v>0.94443466588086844</v>
      </c>
      <c r="S59" s="340">
        <f t="shared" si="17"/>
        <v>0.91169034540627658</v>
      </c>
      <c r="T59" s="340">
        <f t="shared" si="17"/>
        <v>0.86824666744052348</v>
      </c>
      <c r="U59" s="340">
        <f t="shared" si="17"/>
        <v>0.81347041426983735</v>
      </c>
      <c r="V59" s="340">
        <f t="shared" si="17"/>
        <v>0.74755245795280745</v>
      </c>
      <c r="W59" s="340">
        <f t="shared" si="17"/>
        <v>0.67167723082912989</v>
      </c>
      <c r="X59" s="340">
        <f t="shared" si="17"/>
        <v>0.5880832062253547</v>
      </c>
      <c r="Y59" s="340">
        <f t="shared" si="17"/>
        <v>0.49996699841123315</v>
      </c>
      <c r="Z59" s="340">
        <f t="shared" si="17"/>
        <v>0.41120742106489805</v>
      </c>
      <c r="AA59" s="340">
        <f t="shared" si="17"/>
        <v>0.32592657681475734</v>
      </c>
      <c r="AB59" s="340">
        <f t="shared" si="17"/>
        <v>0.24795420923380596</v>
      </c>
      <c r="AC59" s="340">
        <f t="shared" si="17"/>
        <v>0.18030299687961127</v>
      </c>
      <c r="AD59" s="340">
        <f t="shared" si="17"/>
        <v>0.1247773764419795</v>
      </c>
      <c r="AE59" s="340">
        <f t="shared" si="17"/>
        <v>8.1814106393076513E-2</v>
      </c>
      <c r="AF59" s="340">
        <f t="shared" si="17"/>
        <v>5.0591274919681739E-2</v>
      </c>
      <c r="AG59" s="340">
        <f t="shared" si="17"/>
        <v>2.9363832166231507E-2</v>
      </c>
      <c r="AH59" s="340">
        <f t="shared" si="17"/>
        <v>1.5918942553976967E-2</v>
      </c>
      <c r="AI59" s="340">
        <f t="shared" si="17"/>
        <v>8.0203991969144406E-3</v>
      </c>
      <c r="AJ59" s="340">
        <f t="shared" si="17"/>
        <v>3.7360803569993495E-3</v>
      </c>
      <c r="AK59" s="340">
        <f t="shared" si="17"/>
        <v>1.6005759387605067E-3</v>
      </c>
      <c r="AL59" s="340">
        <f t="shared" si="17"/>
        <v>6.2722268511317125E-4</v>
      </c>
      <c r="AM59" s="340">
        <f t="shared" si="17"/>
        <v>2.2358527341870271E-4</v>
      </c>
      <c r="AN59" s="340">
        <f t="shared" si="17"/>
        <v>7.2090328960161543E-5</v>
      </c>
      <c r="AO59" s="340">
        <f t="shared" si="17"/>
        <v>2.0902884966256252E-5</v>
      </c>
      <c r="AP59" s="340">
        <f t="shared" si="17"/>
        <v>5.418277854163378E-6</v>
      </c>
      <c r="AQ59" s="340">
        <f t="shared" si="17"/>
        <v>1.2480173416928864E-6</v>
      </c>
      <c r="AR59" s="340">
        <f t="shared" si="17"/>
        <v>2.5387007918098448E-7</v>
      </c>
      <c r="AS59" s="340">
        <f t="shared" si="17"/>
        <v>4.5322161690286578E-8</v>
      </c>
      <c r="AT59" s="340">
        <f t="shared" si="17"/>
        <v>7.0557727438469442E-9</v>
      </c>
      <c r="AU59" s="340">
        <f t="shared" si="17"/>
        <v>9.5167951297270292E-10</v>
      </c>
      <c r="AV59" s="340">
        <f t="shared" si="17"/>
        <v>1.1047840420275179E-10</v>
      </c>
      <c r="AW59" s="340">
        <f t="shared" si="17"/>
        <v>1.0964451568895583E-11</v>
      </c>
      <c r="AX59" s="340">
        <f t="shared" si="14"/>
        <v>9.2392760109305527E-13</v>
      </c>
      <c r="AY59" s="340">
        <f t="shared" si="14"/>
        <v>6.5614180755346752E-14</v>
      </c>
    </row>
    <row r="60" spans="1:51">
      <c r="A60" s="546" t="s">
        <v>396</v>
      </c>
      <c r="B60" s="546"/>
      <c r="C60" s="546"/>
      <c r="D60" s="546"/>
      <c r="E60" s="555">
        <v>3.6</v>
      </c>
      <c r="F60" s="555">
        <v>15.5</v>
      </c>
      <c r="G60" s="555">
        <v>3.6</v>
      </c>
      <c r="H60" s="555">
        <v>15.5</v>
      </c>
      <c r="I60" s="553">
        <f t="shared" si="2"/>
        <v>13.999629700752227</v>
      </c>
      <c r="J60" s="553">
        <f t="shared" si="3"/>
        <v>13.967138090875487</v>
      </c>
      <c r="K60" s="340">
        <f t="shared" si="11"/>
        <v>1</v>
      </c>
      <c r="L60" s="340">
        <f t="shared" si="17"/>
        <v>0.99994814452389147</v>
      </c>
      <c r="M60" s="340">
        <f t="shared" si="17"/>
        <v>0.99937139571733868</v>
      </c>
      <c r="N60" s="340">
        <f t="shared" si="17"/>
        <v>0.9972969456342361</v>
      </c>
      <c r="O60" s="340">
        <f t="shared" si="17"/>
        <v>0.99240431006084018</v>
      </c>
      <c r="P60" s="340">
        <f t="shared" si="17"/>
        <v>0.98311869082428005</v>
      </c>
      <c r="Q60" s="340">
        <f t="shared" si="17"/>
        <v>0.96771186842644075</v>
      </c>
      <c r="R60" s="340">
        <f t="shared" si="17"/>
        <v>0.94443466588086844</v>
      </c>
      <c r="S60" s="340">
        <f t="shared" si="17"/>
        <v>0.91169034540627658</v>
      </c>
      <c r="T60" s="340">
        <f t="shared" si="17"/>
        <v>0.86824666744052348</v>
      </c>
      <c r="U60" s="340">
        <f t="shared" si="17"/>
        <v>0.81347041426983735</v>
      </c>
      <c r="V60" s="340">
        <f t="shared" si="17"/>
        <v>0.74755245795280745</v>
      </c>
      <c r="W60" s="340">
        <f t="shared" si="17"/>
        <v>0.67167723082912989</v>
      </c>
      <c r="X60" s="340">
        <f t="shared" si="17"/>
        <v>0.5880832062253547</v>
      </c>
      <c r="Y60" s="340">
        <f t="shared" si="17"/>
        <v>0.49996699841123315</v>
      </c>
      <c r="Z60" s="340">
        <f t="shared" si="17"/>
        <v>0.41120742106489805</v>
      </c>
      <c r="AA60" s="340">
        <f t="shared" si="17"/>
        <v>0.32592657681475734</v>
      </c>
      <c r="AB60" s="340">
        <f t="shared" si="17"/>
        <v>0.24795420923380596</v>
      </c>
      <c r="AC60" s="340">
        <f t="shared" si="17"/>
        <v>0.18030299687961127</v>
      </c>
      <c r="AD60" s="340">
        <f t="shared" si="17"/>
        <v>0.1247773764419795</v>
      </c>
      <c r="AE60" s="340">
        <f t="shared" si="17"/>
        <v>8.1814106393076513E-2</v>
      </c>
      <c r="AF60" s="340">
        <f t="shared" si="17"/>
        <v>5.0591274919681739E-2</v>
      </c>
      <c r="AG60" s="340">
        <f t="shared" si="17"/>
        <v>2.9363832166231507E-2</v>
      </c>
      <c r="AH60" s="340">
        <f t="shared" si="17"/>
        <v>1.5918942553976967E-2</v>
      </c>
      <c r="AI60" s="340">
        <f t="shared" si="17"/>
        <v>8.0203991969144406E-3</v>
      </c>
      <c r="AJ60" s="340">
        <f t="shared" si="17"/>
        <v>3.7360803569993495E-3</v>
      </c>
      <c r="AK60" s="340">
        <f t="shared" si="17"/>
        <v>1.6005759387605067E-3</v>
      </c>
      <c r="AL60" s="340">
        <f t="shared" si="17"/>
        <v>6.2722268511317125E-4</v>
      </c>
      <c r="AM60" s="340">
        <f t="shared" si="17"/>
        <v>2.2358527341870271E-4</v>
      </c>
      <c r="AN60" s="340">
        <f t="shared" si="17"/>
        <v>7.2090328960161543E-5</v>
      </c>
      <c r="AO60" s="340">
        <f t="shared" si="17"/>
        <v>2.0902884966256252E-5</v>
      </c>
      <c r="AP60" s="340">
        <f t="shared" si="17"/>
        <v>5.418277854163378E-6</v>
      </c>
      <c r="AQ60" s="340">
        <f t="shared" si="17"/>
        <v>1.2480173416928864E-6</v>
      </c>
      <c r="AR60" s="340">
        <f t="shared" si="17"/>
        <v>2.5387007918098448E-7</v>
      </c>
      <c r="AS60" s="340">
        <f t="shared" si="17"/>
        <v>4.5322161690286578E-8</v>
      </c>
      <c r="AT60" s="340">
        <f t="shared" si="17"/>
        <v>7.0557727438469442E-9</v>
      </c>
      <c r="AU60" s="340">
        <f t="shared" si="17"/>
        <v>9.5167951297270292E-10</v>
      </c>
      <c r="AV60" s="340">
        <f t="shared" si="17"/>
        <v>1.1047840420275179E-10</v>
      </c>
      <c r="AW60" s="340">
        <f t="shared" si="17"/>
        <v>1.0964451568895583E-11</v>
      </c>
      <c r="AX60" s="340">
        <f t="shared" si="14"/>
        <v>9.2392760109305527E-13</v>
      </c>
      <c r="AY60" s="340">
        <f t="shared" si="14"/>
        <v>6.5614180755346752E-14</v>
      </c>
    </row>
    <row r="61" spans="1:51">
      <c r="A61" s="546" t="s">
        <v>398</v>
      </c>
      <c r="B61" s="546"/>
      <c r="C61" s="546"/>
      <c r="D61" s="546"/>
      <c r="E61" s="555">
        <v>3.6</v>
      </c>
      <c r="F61" s="555">
        <v>15.5</v>
      </c>
      <c r="G61" s="555">
        <v>3.6</v>
      </c>
      <c r="H61" s="555">
        <v>15.5</v>
      </c>
      <c r="I61" s="553">
        <f t="shared" si="2"/>
        <v>13.999629700752227</v>
      </c>
      <c r="J61" s="553">
        <f t="shared" si="3"/>
        <v>13.967138090875487</v>
      </c>
      <c r="K61" s="340">
        <f t="shared" si="11"/>
        <v>1</v>
      </c>
      <c r="L61" s="340">
        <f t="shared" si="17"/>
        <v>0.99994814452389147</v>
      </c>
      <c r="M61" s="340">
        <f t="shared" si="17"/>
        <v>0.99937139571733868</v>
      </c>
      <c r="N61" s="340">
        <f t="shared" si="17"/>
        <v>0.9972969456342361</v>
      </c>
      <c r="O61" s="340">
        <f t="shared" si="17"/>
        <v>0.99240431006084018</v>
      </c>
      <c r="P61" s="340">
        <f t="shared" si="17"/>
        <v>0.98311869082428005</v>
      </c>
      <c r="Q61" s="340">
        <f t="shared" si="17"/>
        <v>0.96771186842644075</v>
      </c>
      <c r="R61" s="340">
        <f t="shared" si="17"/>
        <v>0.94443466588086844</v>
      </c>
      <c r="S61" s="340">
        <f t="shared" si="17"/>
        <v>0.91169034540627658</v>
      </c>
      <c r="T61" s="340">
        <f t="shared" si="17"/>
        <v>0.86824666744052348</v>
      </c>
      <c r="U61" s="340">
        <f t="shared" si="17"/>
        <v>0.81347041426983735</v>
      </c>
      <c r="V61" s="340">
        <f t="shared" si="17"/>
        <v>0.74755245795280745</v>
      </c>
      <c r="W61" s="340">
        <f t="shared" si="17"/>
        <v>0.67167723082912989</v>
      </c>
      <c r="X61" s="340">
        <f t="shared" si="17"/>
        <v>0.5880832062253547</v>
      </c>
      <c r="Y61" s="340">
        <f t="shared" si="17"/>
        <v>0.49996699841123315</v>
      </c>
      <c r="Z61" s="340">
        <f t="shared" si="17"/>
        <v>0.41120742106489805</v>
      </c>
      <c r="AA61" s="340">
        <f t="shared" si="17"/>
        <v>0.32592657681475734</v>
      </c>
      <c r="AB61" s="340">
        <f t="shared" si="17"/>
        <v>0.24795420923380596</v>
      </c>
      <c r="AC61" s="340">
        <f t="shared" si="17"/>
        <v>0.18030299687961127</v>
      </c>
      <c r="AD61" s="340">
        <f t="shared" si="17"/>
        <v>0.1247773764419795</v>
      </c>
      <c r="AE61" s="340">
        <f t="shared" si="17"/>
        <v>8.1814106393076513E-2</v>
      </c>
      <c r="AF61" s="340">
        <f t="shared" si="17"/>
        <v>5.0591274919681739E-2</v>
      </c>
      <c r="AG61" s="340">
        <f t="shared" si="17"/>
        <v>2.9363832166231507E-2</v>
      </c>
      <c r="AH61" s="340">
        <f t="shared" si="17"/>
        <v>1.5918942553976967E-2</v>
      </c>
      <c r="AI61" s="340">
        <f t="shared" si="17"/>
        <v>8.0203991969144406E-3</v>
      </c>
      <c r="AJ61" s="340">
        <f t="shared" si="17"/>
        <v>3.7360803569993495E-3</v>
      </c>
      <c r="AK61" s="340">
        <f t="shared" si="17"/>
        <v>1.6005759387605067E-3</v>
      </c>
      <c r="AL61" s="340">
        <f t="shared" si="17"/>
        <v>6.2722268511317125E-4</v>
      </c>
      <c r="AM61" s="340">
        <f t="shared" si="17"/>
        <v>2.2358527341870271E-4</v>
      </c>
      <c r="AN61" s="340">
        <f t="shared" si="17"/>
        <v>7.2090328960161543E-5</v>
      </c>
      <c r="AO61" s="340">
        <f t="shared" si="17"/>
        <v>2.0902884966256252E-5</v>
      </c>
      <c r="AP61" s="340">
        <f t="shared" si="17"/>
        <v>5.418277854163378E-6</v>
      </c>
      <c r="AQ61" s="340">
        <f t="shared" si="17"/>
        <v>1.2480173416928864E-6</v>
      </c>
      <c r="AR61" s="340">
        <f t="shared" si="17"/>
        <v>2.5387007918098448E-7</v>
      </c>
      <c r="AS61" s="340">
        <f t="shared" si="17"/>
        <v>4.5322161690286578E-8</v>
      </c>
      <c r="AT61" s="340">
        <f t="shared" si="17"/>
        <v>7.0557727438469442E-9</v>
      </c>
      <c r="AU61" s="340">
        <f t="shared" si="17"/>
        <v>9.5167951297270292E-10</v>
      </c>
      <c r="AV61" s="340">
        <f t="shared" si="17"/>
        <v>1.1047840420275179E-10</v>
      </c>
      <c r="AW61" s="340">
        <f t="shared" si="17"/>
        <v>1.0964451568895583E-11</v>
      </c>
      <c r="AX61" s="340">
        <f t="shared" si="14"/>
        <v>9.2392760109305527E-13</v>
      </c>
      <c r="AY61" s="340">
        <f t="shared" si="14"/>
        <v>6.5614180755346752E-14</v>
      </c>
    </row>
    <row r="62" spans="1:51">
      <c r="A62" s="546">
        <v>1103</v>
      </c>
      <c r="B62" s="546"/>
      <c r="C62" s="546"/>
      <c r="D62" s="546"/>
      <c r="E62" s="555">
        <v>3.6</v>
      </c>
      <c r="F62" s="555">
        <v>15.5</v>
      </c>
      <c r="G62" s="555">
        <v>3.6</v>
      </c>
      <c r="H62" s="555">
        <v>15.5</v>
      </c>
      <c r="I62" s="553">
        <f t="shared" si="2"/>
        <v>13.999629700752227</v>
      </c>
      <c r="J62" s="553">
        <f t="shared" si="3"/>
        <v>13.967138090875487</v>
      </c>
      <c r="K62" s="340">
        <f t="shared" si="11"/>
        <v>1</v>
      </c>
      <c r="L62" s="340">
        <f t="shared" si="17"/>
        <v>0.99994814452389147</v>
      </c>
      <c r="M62" s="340">
        <f t="shared" si="17"/>
        <v>0.99937139571733868</v>
      </c>
      <c r="N62" s="340">
        <f t="shared" si="17"/>
        <v>0.9972969456342361</v>
      </c>
      <c r="O62" s="340">
        <f t="shared" si="17"/>
        <v>0.99240431006084018</v>
      </c>
      <c r="P62" s="340">
        <f t="shared" si="17"/>
        <v>0.98311869082428005</v>
      </c>
      <c r="Q62" s="340">
        <f t="shared" si="17"/>
        <v>0.96771186842644075</v>
      </c>
      <c r="R62" s="340">
        <f t="shared" si="17"/>
        <v>0.94443466588086844</v>
      </c>
      <c r="S62" s="340">
        <f t="shared" si="17"/>
        <v>0.91169034540627658</v>
      </c>
      <c r="T62" s="340">
        <f t="shared" si="17"/>
        <v>0.86824666744052348</v>
      </c>
      <c r="U62" s="340">
        <f t="shared" si="17"/>
        <v>0.81347041426983735</v>
      </c>
      <c r="V62" s="340">
        <f t="shared" si="17"/>
        <v>0.74755245795280745</v>
      </c>
      <c r="W62" s="340">
        <f t="shared" si="17"/>
        <v>0.67167723082912989</v>
      </c>
      <c r="X62" s="340">
        <f t="shared" si="17"/>
        <v>0.5880832062253547</v>
      </c>
      <c r="Y62" s="340">
        <f t="shared" si="17"/>
        <v>0.49996699841123315</v>
      </c>
      <c r="Z62" s="340">
        <f t="shared" si="17"/>
        <v>0.41120742106489805</v>
      </c>
      <c r="AA62" s="340">
        <f t="shared" si="17"/>
        <v>0.32592657681475734</v>
      </c>
      <c r="AB62" s="340">
        <f t="shared" si="17"/>
        <v>0.24795420923380596</v>
      </c>
      <c r="AC62" s="340">
        <f t="shared" si="17"/>
        <v>0.18030299687961127</v>
      </c>
      <c r="AD62" s="340">
        <f t="shared" si="17"/>
        <v>0.1247773764419795</v>
      </c>
      <c r="AE62" s="340">
        <f t="shared" si="17"/>
        <v>8.1814106393076513E-2</v>
      </c>
      <c r="AF62" s="340">
        <f t="shared" si="17"/>
        <v>5.0591274919681739E-2</v>
      </c>
      <c r="AG62" s="340">
        <f t="shared" si="17"/>
        <v>2.9363832166231507E-2</v>
      </c>
      <c r="AH62" s="340">
        <f t="shared" si="17"/>
        <v>1.5918942553976967E-2</v>
      </c>
      <c r="AI62" s="340">
        <f t="shared" si="17"/>
        <v>8.0203991969144406E-3</v>
      </c>
      <c r="AJ62" s="340">
        <f t="shared" si="17"/>
        <v>3.7360803569993495E-3</v>
      </c>
      <c r="AK62" s="340">
        <f t="shared" si="17"/>
        <v>1.6005759387605067E-3</v>
      </c>
      <c r="AL62" s="340">
        <f t="shared" si="17"/>
        <v>6.2722268511317125E-4</v>
      </c>
      <c r="AM62" s="340">
        <f t="shared" si="17"/>
        <v>2.2358527341870271E-4</v>
      </c>
      <c r="AN62" s="340">
        <f t="shared" si="17"/>
        <v>7.2090328960161543E-5</v>
      </c>
      <c r="AO62" s="340">
        <f t="shared" si="17"/>
        <v>2.0902884966256252E-5</v>
      </c>
      <c r="AP62" s="340">
        <f t="shared" si="17"/>
        <v>5.418277854163378E-6</v>
      </c>
      <c r="AQ62" s="340">
        <f t="shared" si="17"/>
        <v>1.2480173416928864E-6</v>
      </c>
      <c r="AR62" s="340">
        <f t="shared" si="17"/>
        <v>2.5387007918098448E-7</v>
      </c>
      <c r="AS62" s="340">
        <f t="shared" si="17"/>
        <v>4.5322161690286578E-8</v>
      </c>
      <c r="AT62" s="340">
        <f t="shared" si="17"/>
        <v>7.0557727438469442E-9</v>
      </c>
      <c r="AU62" s="340">
        <f t="shared" si="17"/>
        <v>9.5167951297270292E-10</v>
      </c>
      <c r="AV62" s="340">
        <f t="shared" si="17"/>
        <v>1.1047840420275179E-10</v>
      </c>
      <c r="AW62" s="340">
        <f t="shared" si="17"/>
        <v>1.0964451568895583E-11</v>
      </c>
      <c r="AX62" s="340">
        <f t="shared" si="14"/>
        <v>9.2392760109305527E-13</v>
      </c>
      <c r="AY62" s="340">
        <f t="shared" si="14"/>
        <v>6.5614180755346752E-14</v>
      </c>
    </row>
    <row r="63" spans="1:51">
      <c r="A63" s="546">
        <v>1104</v>
      </c>
      <c r="B63" s="546"/>
      <c r="C63" s="546"/>
      <c r="D63" s="546"/>
      <c r="E63" s="555">
        <v>3.6</v>
      </c>
      <c r="F63" s="555">
        <v>15.5</v>
      </c>
      <c r="G63" s="555">
        <v>3.6</v>
      </c>
      <c r="H63" s="555">
        <v>15.5</v>
      </c>
      <c r="I63" s="553">
        <f t="shared" si="2"/>
        <v>13.999629700752227</v>
      </c>
      <c r="J63" s="553">
        <f t="shared" si="3"/>
        <v>13.967138090875487</v>
      </c>
      <c r="K63" s="340">
        <f t="shared" si="11"/>
        <v>1</v>
      </c>
      <c r="L63" s="340">
        <f t="shared" si="17"/>
        <v>0.99994814452389147</v>
      </c>
      <c r="M63" s="340">
        <f t="shared" si="17"/>
        <v>0.99937139571733868</v>
      </c>
      <c r="N63" s="340">
        <f t="shared" si="17"/>
        <v>0.9972969456342361</v>
      </c>
      <c r="O63" s="340">
        <f t="shared" si="17"/>
        <v>0.99240431006084018</v>
      </c>
      <c r="P63" s="340">
        <f t="shared" si="17"/>
        <v>0.98311869082428005</v>
      </c>
      <c r="Q63" s="340">
        <f t="shared" si="17"/>
        <v>0.96771186842644075</v>
      </c>
      <c r="R63" s="340">
        <f t="shared" si="17"/>
        <v>0.94443466588086844</v>
      </c>
      <c r="S63" s="340">
        <f t="shared" si="17"/>
        <v>0.91169034540627658</v>
      </c>
      <c r="T63" s="340">
        <f t="shared" si="17"/>
        <v>0.86824666744052348</v>
      </c>
      <c r="U63" s="340">
        <f t="shared" si="17"/>
        <v>0.81347041426983735</v>
      </c>
      <c r="V63" s="340">
        <f t="shared" si="17"/>
        <v>0.74755245795280745</v>
      </c>
      <c r="W63" s="340">
        <f t="shared" si="17"/>
        <v>0.67167723082912989</v>
      </c>
      <c r="X63" s="340">
        <f t="shared" si="17"/>
        <v>0.5880832062253547</v>
      </c>
      <c r="Y63" s="340">
        <f t="shared" si="17"/>
        <v>0.49996699841123315</v>
      </c>
      <c r="Z63" s="340">
        <f t="shared" si="17"/>
        <v>0.41120742106489805</v>
      </c>
      <c r="AA63" s="340">
        <f t="shared" si="17"/>
        <v>0.32592657681475734</v>
      </c>
      <c r="AB63" s="340">
        <f t="shared" si="17"/>
        <v>0.24795420923380596</v>
      </c>
      <c r="AC63" s="340">
        <f t="shared" si="17"/>
        <v>0.18030299687961127</v>
      </c>
      <c r="AD63" s="340">
        <f t="shared" si="17"/>
        <v>0.1247773764419795</v>
      </c>
      <c r="AE63" s="340">
        <f t="shared" si="17"/>
        <v>8.1814106393076513E-2</v>
      </c>
      <c r="AF63" s="340">
        <f t="shared" si="17"/>
        <v>5.0591274919681739E-2</v>
      </c>
      <c r="AG63" s="340">
        <f t="shared" si="17"/>
        <v>2.9363832166231507E-2</v>
      </c>
      <c r="AH63" s="340">
        <f t="shared" si="17"/>
        <v>1.5918942553976967E-2</v>
      </c>
      <c r="AI63" s="340">
        <f t="shared" si="17"/>
        <v>8.0203991969144406E-3</v>
      </c>
      <c r="AJ63" s="340">
        <f t="shared" si="17"/>
        <v>3.7360803569993495E-3</v>
      </c>
      <c r="AK63" s="340">
        <f t="shared" si="17"/>
        <v>1.6005759387605067E-3</v>
      </c>
      <c r="AL63" s="340">
        <f t="shared" si="17"/>
        <v>6.2722268511317125E-4</v>
      </c>
      <c r="AM63" s="340">
        <f t="shared" si="17"/>
        <v>2.2358527341870271E-4</v>
      </c>
      <c r="AN63" s="340">
        <f t="shared" si="17"/>
        <v>7.2090328960161543E-5</v>
      </c>
      <c r="AO63" s="340">
        <f t="shared" si="17"/>
        <v>2.0902884966256252E-5</v>
      </c>
      <c r="AP63" s="340">
        <f t="shared" si="17"/>
        <v>5.418277854163378E-6</v>
      </c>
      <c r="AQ63" s="340">
        <f t="shared" si="17"/>
        <v>1.2480173416928864E-6</v>
      </c>
      <c r="AR63" s="340">
        <f t="shared" si="17"/>
        <v>2.5387007918098448E-7</v>
      </c>
      <c r="AS63" s="340">
        <f t="shared" si="17"/>
        <v>4.5322161690286578E-8</v>
      </c>
      <c r="AT63" s="340">
        <f t="shared" si="17"/>
        <v>7.0557727438469442E-9</v>
      </c>
      <c r="AU63" s="340">
        <f t="shared" si="17"/>
        <v>9.5167951297270292E-10</v>
      </c>
      <c r="AV63" s="340">
        <f t="shared" si="17"/>
        <v>1.1047840420275179E-10</v>
      </c>
      <c r="AW63" s="340">
        <f t="shared" si="17"/>
        <v>1.0964451568895583E-11</v>
      </c>
      <c r="AX63" s="340">
        <f t="shared" si="14"/>
        <v>9.2392760109305527E-13</v>
      </c>
      <c r="AY63" s="340">
        <f t="shared" si="14"/>
        <v>6.5614180755346752E-14</v>
      </c>
    </row>
    <row r="64" spans="1:51">
      <c r="A64" s="546">
        <v>1105</v>
      </c>
      <c r="B64" s="546"/>
      <c r="C64" s="546"/>
      <c r="D64" s="546"/>
      <c r="E64" s="555">
        <v>3.3</v>
      </c>
      <c r="F64" s="555">
        <v>23</v>
      </c>
      <c r="G64" s="555">
        <v>3.3</v>
      </c>
      <c r="H64" s="555">
        <v>23</v>
      </c>
      <c r="I64" s="553">
        <f t="shared" si="2"/>
        <v>20.582263186327861</v>
      </c>
      <c r="J64" s="553">
        <f t="shared" si="3"/>
        <v>20.631352998969579</v>
      </c>
      <c r="K64" s="340">
        <f t="shared" si="11"/>
        <v>1</v>
      </c>
      <c r="L64" s="340">
        <f t="shared" si="17"/>
        <v>0.99996791580301714</v>
      </c>
      <c r="M64" s="340">
        <f t="shared" si="17"/>
        <v>0.99968404261662569</v>
      </c>
      <c r="N64" s="340">
        <f t="shared" si="17"/>
        <v>0.9987962487274461</v>
      </c>
      <c r="O64" s="340">
        <f t="shared" si="17"/>
        <v>0.99689243345277423</v>
      </c>
      <c r="P64" s="340">
        <f t="shared" si="17"/>
        <v>0.9935212904693913</v>
      </c>
      <c r="Q64" s="340">
        <f t="shared" si="17"/>
        <v>0.98820701407814227</v>
      </c>
      <c r="R64" s="340">
        <f t="shared" si="17"/>
        <v>0.98046360374511132</v>
      </c>
      <c r="S64" s="340">
        <f t="shared" si="17"/>
        <v>0.9698105257908749</v>
      </c>
      <c r="T64" s="340">
        <f t="shared" si="17"/>
        <v>0.95579038353270585</v>
      </c>
      <c r="U64" s="340">
        <f t="shared" si="17"/>
        <v>0.93798866326046526</v>
      </c>
      <c r="V64" s="340">
        <f t="shared" si="17"/>
        <v>0.91605517642371215</v>
      </c>
      <c r="W64" s="340">
        <f t="shared" si="17"/>
        <v>0.88972641200296076</v>
      </c>
      <c r="X64" s="340">
        <f t="shared" si="17"/>
        <v>0.85884763260775976</v>
      </c>
      <c r="Y64" s="340">
        <f t="shared" si="17"/>
        <v>0.82339321277570732</v>
      </c>
      <c r="Z64" s="340">
        <f t="shared" si="17"/>
        <v>0.78348346579110073</v>
      </c>
      <c r="AA64" s="340">
        <f t="shared" si="17"/>
        <v>0.73939608288265135</v>
      </c>
      <c r="AB64" s="340">
        <f t="shared" si="17"/>
        <v>0.69157036349716217</v>
      </c>
      <c r="AC64" s="340">
        <f t="shared" si="17"/>
        <v>0.64060268637493678</v>
      </c>
      <c r="AD64" s="340">
        <f t="shared" si="17"/>
        <v>0.58723217816207396</v>
      </c>
      <c r="AE64" s="340">
        <f t="shared" si="17"/>
        <v>0.53231627002410487</v>
      </c>
      <c r="AF64" s="340">
        <f t="shared" si="17"/>
        <v>0.47679674744411182</v>
      </c>
      <c r="AG64" s="340">
        <f t="shared" si="17"/>
        <v>0.42165790938925263</v>
      </c>
      <c r="AH64" s="340">
        <f t="shared" si="17"/>
        <v>0.36787944117144233</v>
      </c>
      <c r="AI64" s="340">
        <f t="shared" si="17"/>
        <v>0.3163874298055267</v>
      </c>
      <c r="AJ64" s="340">
        <f t="shared" si="17"/>
        <v>0.26800746954663257</v>
      </c>
      <c r="AK64" s="340">
        <f t="shared" si="17"/>
        <v>0.22342390125578659</v>
      </c>
      <c r="AL64" s="340">
        <f t="shared" si="17"/>
        <v>0.1831488359842155</v>
      </c>
      <c r="AM64" s="340">
        <f t="shared" si="17"/>
        <v>0.14750373637359404</v>
      </c>
      <c r="AN64" s="340">
        <f t="shared" si="17"/>
        <v>0.11661505642008729</v>
      </c>
      <c r="AO64" s="340">
        <f t="shared" si="17"/>
        <v>9.0423933412418167E-2</v>
      </c>
      <c r="AP64" s="340">
        <f t="shared" si="17"/>
        <v>6.8708399937282172E-2</v>
      </c>
      <c r="AQ64" s="340">
        <f t="shared" si="17"/>
        <v>5.1115267918372176E-2</v>
      </c>
      <c r="AR64" s="340">
        <f t="shared" si="17"/>
        <v>3.7197930640192056E-2</v>
      </c>
      <c r="AS64" s="340">
        <f t="shared" si="17"/>
        <v>2.6455962776297359E-2</v>
      </c>
      <c r="AT64" s="340">
        <f t="shared" si="17"/>
        <v>1.8372606092723287E-2</v>
      </c>
      <c r="AU64" s="340">
        <f t="shared" si="17"/>
        <v>1.2446940552889085E-2</v>
      </c>
      <c r="AV64" s="340">
        <f t="shared" si="17"/>
        <v>8.2186021325988401E-3</v>
      </c>
      <c r="AW64" s="340">
        <f t="shared" si="17"/>
        <v>5.284115002605061E-3</v>
      </c>
      <c r="AX64" s="340">
        <f t="shared" ref="AX64:AY71" si="18">1-(_xlfn.WEIBULL.DIST(AX$2,$G64,$H64,TRUE))</f>
        <v>3.3050475218528996E-3</v>
      </c>
      <c r="AY64" s="340">
        <f t="shared" si="18"/>
        <v>2.0091078269565132E-3</v>
      </c>
    </row>
    <row r="65" spans="1:51">
      <c r="A65" s="546">
        <v>1106</v>
      </c>
      <c r="B65" s="546"/>
      <c r="C65" s="546"/>
      <c r="D65" s="546"/>
      <c r="E65" s="555">
        <v>3.3</v>
      </c>
      <c r="F65" s="555">
        <v>23</v>
      </c>
      <c r="G65" s="555">
        <v>3.3</v>
      </c>
      <c r="H65" s="555">
        <v>23</v>
      </c>
      <c r="I65" s="553">
        <f t="shared" si="2"/>
        <v>20.582263186327861</v>
      </c>
      <c r="J65" s="553">
        <f t="shared" si="3"/>
        <v>20.631352998969579</v>
      </c>
      <c r="K65" s="340">
        <f t="shared" si="11"/>
        <v>1</v>
      </c>
      <c r="L65" s="340">
        <f t="shared" si="17"/>
        <v>0.99996791580301714</v>
      </c>
      <c r="M65" s="340">
        <f t="shared" si="17"/>
        <v>0.99968404261662569</v>
      </c>
      <c r="N65" s="340">
        <f t="shared" si="17"/>
        <v>0.9987962487274461</v>
      </c>
      <c r="O65" s="340">
        <f t="shared" si="17"/>
        <v>0.99689243345277423</v>
      </c>
      <c r="P65" s="340">
        <f t="shared" si="17"/>
        <v>0.9935212904693913</v>
      </c>
      <c r="Q65" s="340">
        <f t="shared" si="17"/>
        <v>0.98820701407814227</v>
      </c>
      <c r="R65" s="340">
        <f t="shared" si="17"/>
        <v>0.98046360374511132</v>
      </c>
      <c r="S65" s="340">
        <f t="shared" ref="L65:AW71" si="19">1-(_xlfn.WEIBULL.DIST(S$2,$G65,$H65,TRUE))</f>
        <v>0.9698105257908749</v>
      </c>
      <c r="T65" s="340">
        <f t="shared" si="19"/>
        <v>0.95579038353270585</v>
      </c>
      <c r="U65" s="340">
        <f t="shared" si="19"/>
        <v>0.93798866326046526</v>
      </c>
      <c r="V65" s="340">
        <f t="shared" si="19"/>
        <v>0.91605517642371215</v>
      </c>
      <c r="W65" s="340">
        <f t="shared" si="19"/>
        <v>0.88972641200296076</v>
      </c>
      <c r="X65" s="340">
        <f t="shared" si="19"/>
        <v>0.85884763260775976</v>
      </c>
      <c r="Y65" s="340">
        <f t="shared" si="19"/>
        <v>0.82339321277570732</v>
      </c>
      <c r="Z65" s="340">
        <f t="shared" si="19"/>
        <v>0.78348346579110073</v>
      </c>
      <c r="AA65" s="340">
        <f t="shared" si="19"/>
        <v>0.73939608288265135</v>
      </c>
      <c r="AB65" s="340">
        <f t="shared" si="19"/>
        <v>0.69157036349716217</v>
      </c>
      <c r="AC65" s="340">
        <f t="shared" si="19"/>
        <v>0.64060268637493678</v>
      </c>
      <c r="AD65" s="340">
        <f t="shared" si="19"/>
        <v>0.58723217816207396</v>
      </c>
      <c r="AE65" s="340">
        <f t="shared" si="19"/>
        <v>0.53231627002410487</v>
      </c>
      <c r="AF65" s="340">
        <f t="shared" si="19"/>
        <v>0.47679674744411182</v>
      </c>
      <c r="AG65" s="340">
        <f t="shared" si="19"/>
        <v>0.42165790938925263</v>
      </c>
      <c r="AH65" s="340">
        <f t="shared" si="19"/>
        <v>0.36787944117144233</v>
      </c>
      <c r="AI65" s="340">
        <f t="shared" si="19"/>
        <v>0.3163874298055267</v>
      </c>
      <c r="AJ65" s="340">
        <f t="shared" si="19"/>
        <v>0.26800746954663257</v>
      </c>
      <c r="AK65" s="340">
        <f t="shared" si="19"/>
        <v>0.22342390125578659</v>
      </c>
      <c r="AL65" s="340">
        <f t="shared" si="19"/>
        <v>0.1831488359842155</v>
      </c>
      <c r="AM65" s="340">
        <f t="shared" si="19"/>
        <v>0.14750373637359404</v>
      </c>
      <c r="AN65" s="340">
        <f t="shared" si="19"/>
        <v>0.11661505642008729</v>
      </c>
      <c r="AO65" s="340">
        <f t="shared" si="19"/>
        <v>9.0423933412418167E-2</v>
      </c>
      <c r="AP65" s="340">
        <f t="shared" si="19"/>
        <v>6.8708399937282172E-2</v>
      </c>
      <c r="AQ65" s="340">
        <f t="shared" si="19"/>
        <v>5.1115267918372176E-2</v>
      </c>
      <c r="AR65" s="340">
        <f t="shared" si="19"/>
        <v>3.7197930640192056E-2</v>
      </c>
      <c r="AS65" s="340">
        <f t="shared" si="19"/>
        <v>2.6455962776297359E-2</v>
      </c>
      <c r="AT65" s="340">
        <f t="shared" si="19"/>
        <v>1.8372606092723287E-2</v>
      </c>
      <c r="AU65" s="340">
        <f t="shared" si="19"/>
        <v>1.2446940552889085E-2</v>
      </c>
      <c r="AV65" s="340">
        <f t="shared" si="19"/>
        <v>8.2186021325988401E-3</v>
      </c>
      <c r="AW65" s="340">
        <f t="shared" si="19"/>
        <v>5.284115002605061E-3</v>
      </c>
      <c r="AX65" s="340">
        <f t="shared" si="18"/>
        <v>3.3050475218528996E-3</v>
      </c>
      <c r="AY65" s="340">
        <f t="shared" si="18"/>
        <v>2.0091078269565132E-3</v>
      </c>
    </row>
    <row r="66" spans="1:51">
      <c r="A66" s="546">
        <v>1107</v>
      </c>
      <c r="B66" s="546"/>
      <c r="C66" s="546"/>
      <c r="D66" s="546"/>
      <c r="E66" s="555">
        <v>1.8</v>
      </c>
      <c r="F66" s="555">
        <v>17</v>
      </c>
      <c r="G66" s="555">
        <v>1.8</v>
      </c>
      <c r="H66" s="555">
        <v>17</v>
      </c>
      <c r="I66" s="553">
        <f t="shared" si="2"/>
        <v>13.868152923575964</v>
      </c>
      <c r="J66" s="553">
        <f t="shared" si="3"/>
        <v>15.117874451687621</v>
      </c>
      <c r="K66" s="340">
        <f t="shared" si="11"/>
        <v>1</v>
      </c>
      <c r="L66" s="340">
        <f t="shared" si="19"/>
        <v>0.99392049196523691</v>
      </c>
      <c r="M66" s="340">
        <f t="shared" si="19"/>
        <v>0.97898917822911158</v>
      </c>
      <c r="N66" s="340">
        <f t="shared" si="19"/>
        <v>0.95689987094221696</v>
      </c>
      <c r="O66" s="340">
        <f t="shared" si="19"/>
        <v>0.92872417752344805</v>
      </c>
      <c r="P66" s="340">
        <f t="shared" si="19"/>
        <v>0.89539187257153285</v>
      </c>
      <c r="Q66" s="340">
        <f t="shared" si="19"/>
        <v>0.85777477244736988</v>
      </c>
      <c r="R66" s="340">
        <f t="shared" si="19"/>
        <v>0.81670804004847153</v>
      </c>
      <c r="S66" s="340">
        <f t="shared" si="19"/>
        <v>0.7729923117909987</v>
      </c>
      <c r="T66" s="340">
        <f t="shared" si="19"/>
        <v>0.72738890118358901</v>
      </c>
      <c r="U66" s="340">
        <f t="shared" si="19"/>
        <v>0.68061274263435367</v>
      </c>
      <c r="V66" s="340">
        <f t="shared" si="19"/>
        <v>0.63332518732218468</v>
      </c>
      <c r="W66" s="340">
        <f t="shared" si="19"/>
        <v>0.58612770251847313</v>
      </c>
      <c r="X66" s="340">
        <f t="shared" si="19"/>
        <v>0.53955700570524345</v>
      </c>
      <c r="Y66" s="340">
        <f t="shared" si="19"/>
        <v>0.49408187313025875</v>
      </c>
      <c r="Z66" s="340">
        <f t="shared" si="19"/>
        <v>0.45010168140926821</v>
      </c>
      <c r="AA66" s="340">
        <f t="shared" si="19"/>
        <v>0.40794662118863134</v>
      </c>
      <c r="AB66" s="340">
        <f t="shared" si="19"/>
        <v>0.36787944117144233</v>
      </c>
      <c r="AC66" s="340">
        <f t="shared" si="19"/>
        <v>0.33009852762995195</v>
      </c>
      <c r="AD66" s="340">
        <f t="shared" si="19"/>
        <v>0.29474209242922944</v>
      </c>
      <c r="AE66" s="340">
        <f t="shared" si="19"/>
        <v>0.2618932273330864</v>
      </c>
      <c r="AF66" s="340">
        <f t="shared" si="19"/>
        <v>0.23158558072500834</v>
      </c>
      <c r="AG66" s="340">
        <f t="shared" si="19"/>
        <v>0.20380942210796937</v>
      </c>
      <c r="AH66" s="340">
        <f t="shared" si="19"/>
        <v>0.17851787736721525</v>
      </c>
      <c r="AI66" s="340">
        <f t="shared" si="19"/>
        <v>0.15563314150557817</v>
      </c>
      <c r="AJ66" s="340">
        <f t="shared" si="19"/>
        <v>0.13505250330175333</v>
      </c>
      <c r="AK66" s="340">
        <f t="shared" si="19"/>
        <v>0.11665404622532216</v>
      </c>
      <c r="AL66" s="340">
        <f t="shared" si="19"/>
        <v>0.10030192034022145</v>
      </c>
      <c r="AM66" s="340">
        <f t="shared" si="19"/>
        <v>8.5851109479628263E-2</v>
      </c>
      <c r="AN66" s="340">
        <f t="shared" si="19"/>
        <v>7.315164559651488E-2</v>
      </c>
      <c r="AO66" s="340">
        <f t="shared" si="19"/>
        <v>6.205224707869228E-2</v>
      </c>
      <c r="AP66" s="340">
        <f t="shared" si="19"/>
        <v>5.2403379422056973E-2</v>
      </c>
      <c r="AQ66" s="340">
        <f t="shared" si="19"/>
        <v>4.4059754679260266E-2</v>
      </c>
      <c r="AR66" s="340">
        <f t="shared" si="19"/>
        <v>3.6882300452601657E-2</v>
      </c>
      <c r="AS66" s="340">
        <f t="shared" si="19"/>
        <v>3.0739639965612686E-2</v>
      </c>
      <c r="AT66" s="340">
        <f t="shared" si="19"/>
        <v>2.5509132153114011E-2</v>
      </c>
      <c r="AU66" s="340">
        <f t="shared" si="19"/>
        <v>2.1077525082812132E-2</v>
      </c>
      <c r="AV66" s="340">
        <f t="shared" si="19"/>
        <v>1.7341277758922136E-2</v>
      </c>
      <c r="AW66" s="340">
        <f t="shared" si="19"/>
        <v>1.4206604892376795E-2</v>
      </c>
      <c r="AX66" s="340">
        <f t="shared" si="18"/>
        <v>1.1589296994724996E-2</v>
      </c>
      <c r="AY66" s="340">
        <f t="shared" si="18"/>
        <v>9.4143645927352582E-3</v>
      </c>
    </row>
    <row r="67" spans="1:51">
      <c r="A67" s="546">
        <v>1109</v>
      </c>
      <c r="B67" s="546"/>
      <c r="C67" s="546"/>
      <c r="D67" s="546"/>
      <c r="E67" s="555">
        <v>1.8</v>
      </c>
      <c r="F67" s="555">
        <v>10</v>
      </c>
      <c r="G67" s="555">
        <v>1.8</v>
      </c>
      <c r="H67" s="555">
        <v>10</v>
      </c>
      <c r="I67" s="553">
        <f t="shared" si="2"/>
        <v>8.1577370138682141</v>
      </c>
      <c r="J67" s="553">
        <f t="shared" si="3"/>
        <v>8.8928673245221308</v>
      </c>
      <c r="K67" s="340">
        <f t="shared" si="11"/>
        <v>1</v>
      </c>
      <c r="L67" s="340">
        <f t="shared" si="19"/>
        <v>0.98427600150569095</v>
      </c>
      <c r="M67" s="340">
        <f t="shared" si="19"/>
        <v>0.94630610271736948</v>
      </c>
      <c r="N67" s="340">
        <f t="shared" si="19"/>
        <v>0.89180893543505646</v>
      </c>
      <c r="O67" s="340">
        <f t="shared" si="19"/>
        <v>0.82515840135331597</v>
      </c>
      <c r="P67" s="340">
        <f t="shared" si="19"/>
        <v>0.7503807093706214</v>
      </c>
      <c r="Q67" s="340">
        <f t="shared" si="19"/>
        <v>0.6711759984914949</v>
      </c>
      <c r="R67" s="340">
        <f t="shared" si="19"/>
        <v>0.59082757662933927</v>
      </c>
      <c r="S67" s="340">
        <f t="shared" si="19"/>
        <v>0.51211333876827259</v>
      </c>
      <c r="T67" s="340">
        <f t="shared" si="19"/>
        <v>0.43725028776626362</v>
      </c>
      <c r="U67" s="340">
        <f t="shared" si="19"/>
        <v>0.36787944117144233</v>
      </c>
      <c r="V67" s="340">
        <f t="shared" si="19"/>
        <v>0.30508850021384626</v>
      </c>
      <c r="W67" s="340">
        <f t="shared" si="19"/>
        <v>0.24946486240216414</v>
      </c>
      <c r="X67" s="340">
        <f t="shared" si="19"/>
        <v>0.20116952160807533</v>
      </c>
      <c r="Y67" s="340">
        <f t="shared" si="19"/>
        <v>0.1600221625743643</v>
      </c>
      <c r="Z67" s="340">
        <f t="shared" si="19"/>
        <v>0.12558872465487203</v>
      </c>
      <c r="AA67" s="340">
        <f t="shared" si="19"/>
        <v>9.726440540715553E-2</v>
      </c>
      <c r="AB67" s="340">
        <f t="shared" si="19"/>
        <v>7.4347097424761532E-2</v>
      </c>
      <c r="AC67" s="340">
        <f t="shared" si="19"/>
        <v>5.6098281648824577E-2</v>
      </c>
      <c r="AD67" s="340">
        <f t="shared" si="19"/>
        <v>4.1790207879549901E-2</v>
      </c>
      <c r="AE67" s="340">
        <f t="shared" si="19"/>
        <v>3.0739639965612686E-2</v>
      </c>
      <c r="AF67" s="340">
        <f t="shared" si="19"/>
        <v>2.2329472563474173E-2</v>
      </c>
      <c r="AG67" s="340">
        <f t="shared" si="19"/>
        <v>1.6020146795561963E-2</v>
      </c>
      <c r="AH67" s="340">
        <f t="shared" si="19"/>
        <v>1.1353056749857648E-2</v>
      </c>
      <c r="AI67" s="340">
        <f t="shared" si="19"/>
        <v>7.9481254838296156E-3</v>
      </c>
      <c r="AJ67" s="340">
        <f t="shared" si="19"/>
        <v>5.4975235803325084E-3</v>
      </c>
      <c r="AK67" s="340">
        <f t="shared" si="19"/>
        <v>3.7571857364375738E-3</v>
      </c>
      <c r="AL67" s="340">
        <f t="shared" si="19"/>
        <v>2.5374185069593214E-3</v>
      </c>
      <c r="AM67" s="340">
        <f t="shared" si="19"/>
        <v>1.6935353795065611E-3</v>
      </c>
      <c r="AN67" s="340">
        <f t="shared" si="19"/>
        <v>1.1171367659630338E-3</v>
      </c>
      <c r="AO67" s="340">
        <f t="shared" si="19"/>
        <v>7.2838991483914484E-4</v>
      </c>
      <c r="AP67" s="340">
        <f t="shared" si="19"/>
        <v>4.6946278803894348E-4</v>
      </c>
      <c r="AQ67" s="340">
        <f t="shared" si="19"/>
        <v>2.991237635199262E-4</v>
      </c>
      <c r="AR67" s="340">
        <f t="shared" si="19"/>
        <v>1.8842769161020456E-4</v>
      </c>
      <c r="AS67" s="340">
        <f t="shared" si="19"/>
        <v>1.1735808657153957E-4</v>
      </c>
      <c r="AT67" s="340">
        <f t="shared" si="19"/>
        <v>7.2274503910452204E-5</v>
      </c>
      <c r="AU67" s="340">
        <f t="shared" si="19"/>
        <v>4.4013847456114696E-5</v>
      </c>
      <c r="AV67" s="340">
        <f t="shared" si="19"/>
        <v>2.6506538545745251E-5</v>
      </c>
      <c r="AW67" s="340">
        <f t="shared" si="19"/>
        <v>1.5787109692855239E-5</v>
      </c>
      <c r="AX67" s="340">
        <f t="shared" si="18"/>
        <v>9.299589383893192E-6</v>
      </c>
      <c r="AY67" s="340">
        <f t="shared" si="18"/>
        <v>5.418277854163378E-6</v>
      </c>
    </row>
    <row r="68" spans="1:51">
      <c r="A68" s="546">
        <v>1201</v>
      </c>
      <c r="B68" s="546"/>
      <c r="C68" s="546"/>
      <c r="D68" s="546"/>
      <c r="E68" s="555">
        <v>1.5</v>
      </c>
      <c r="F68" s="555">
        <v>16.7</v>
      </c>
      <c r="G68" s="555">
        <v>1.5</v>
      </c>
      <c r="H68" s="555">
        <v>16.7</v>
      </c>
      <c r="I68" s="553">
        <f t="shared" ref="I68:I75" si="20">H68*(LN(2))^(1/G68)</f>
        <v>13.079770138536677</v>
      </c>
      <c r="J68" s="553">
        <f t="shared" ref="J68:J75" si="21">H68*EXP(GAMMALN(1+1/G68))</f>
        <v>15.075846392280589</v>
      </c>
      <c r="K68" s="340">
        <f t="shared" si="11"/>
        <v>1</v>
      </c>
      <c r="L68" s="340">
        <f t="shared" si="19"/>
        <v>0.9854538745328032</v>
      </c>
      <c r="M68" s="340">
        <f t="shared" si="19"/>
        <v>0.95940227104385378</v>
      </c>
      <c r="N68" s="340">
        <f t="shared" si="19"/>
        <v>0.92668738695320252</v>
      </c>
      <c r="O68" s="340">
        <f t="shared" si="19"/>
        <v>0.88938624999256366</v>
      </c>
      <c r="P68" s="340">
        <f t="shared" si="19"/>
        <v>0.84889052529470488</v>
      </c>
      <c r="Q68" s="340">
        <f t="shared" si="19"/>
        <v>0.80625628445595021</v>
      </c>
      <c r="R68" s="340">
        <f t="shared" si="19"/>
        <v>0.7623293699281658</v>
      </c>
      <c r="S68" s="340">
        <f t="shared" si="19"/>
        <v>0.71780410448834009</v>
      </c>
      <c r="T68" s="340">
        <f t="shared" si="19"/>
        <v>0.67325585176175284</v>
      </c>
      <c r="U68" s="340">
        <f t="shared" si="19"/>
        <v>0.62916155874547464</v>
      </c>
      <c r="V68" s="340">
        <f t="shared" si="19"/>
        <v>0.58591415861608143</v>
      </c>
      <c r="W68" s="340">
        <f t="shared" si="19"/>
        <v>0.54383357374254648</v>
      </c>
      <c r="X68" s="340">
        <f t="shared" si="19"/>
        <v>0.50317569779472104</v>
      </c>
      <c r="Y68" s="340">
        <f t="shared" si="19"/>
        <v>0.46414008768642812</v>
      </c>
      <c r="Z68" s="340">
        <f t="shared" si="19"/>
        <v>0.42687676582003264</v>
      </c>
      <c r="AA68" s="340">
        <f t="shared" si="19"/>
        <v>0.39149235658497172</v>
      </c>
      <c r="AB68" s="340">
        <f t="shared" si="19"/>
        <v>0.35805568380000963</v>
      </c>
      <c r="AC68" s="340">
        <f t="shared" si="19"/>
        <v>0.32660290144285797</v>
      </c>
      <c r="AD68" s="340">
        <f t="shared" si="19"/>
        <v>0.29714219978150025</v>
      </c>
      <c r="AE68" s="340">
        <f t="shared" si="19"/>
        <v>0.26965811268984075</v>
      </c>
      <c r="AF68" s="340">
        <f t="shared" si="19"/>
        <v>0.2441154437084041</v>
      </c>
      <c r="AG68" s="340">
        <f t="shared" si="19"/>
        <v>0.22046282490947855</v>
      </c>
      <c r="AH68" s="340">
        <f t="shared" si="19"/>
        <v>0.19863592180889744</v>
      </c>
      <c r="AI68" s="340">
        <f t="shared" si="19"/>
        <v>0.1785602981885388</v>
      </c>
      <c r="AJ68" s="340">
        <f t="shared" si="19"/>
        <v>0.16015395598742521</v>
      </c>
      <c r="AK68" s="340">
        <f t="shared" si="19"/>
        <v>0.14332956691458798</v>
      </c>
      <c r="AL68" s="340">
        <f t="shared" si="19"/>
        <v>0.12799641385141625</v>
      </c>
      <c r="AM68" s="340">
        <f t="shared" si="19"/>
        <v>0.11406206128440843</v>
      </c>
      <c r="AN68" s="340">
        <f t="shared" si="19"/>
        <v>0.10143377485958727</v>
      </c>
      <c r="AO68" s="340">
        <f t="shared" si="19"/>
        <v>9.0019710647456397E-2</v>
      </c>
      <c r="AP68" s="340">
        <f t="shared" si="19"/>
        <v>7.9729894855687933E-2</v>
      </c>
      <c r="AQ68" s="340">
        <f t="shared" si="19"/>
        <v>7.0477014549982453E-2</v>
      </c>
      <c r="AR68" s="340">
        <f t="shared" si="19"/>
        <v>6.2177039478323093E-2</v>
      </c>
      <c r="AS68" s="340">
        <f t="shared" si="19"/>
        <v>5.4749694383117942E-2</v>
      </c>
      <c r="AT68" s="340">
        <f t="shared" si="19"/>
        <v>4.8118800274789986E-2</v>
      </c>
      <c r="AU68" s="340">
        <f t="shared" si="19"/>
        <v>4.2212502074018277E-2</v>
      </c>
      <c r="AV68" s="340">
        <f t="shared" si="19"/>
        <v>3.6963398850524465E-2</v>
      </c>
      <c r="AW68" s="340">
        <f t="shared" si="19"/>
        <v>3.2308591632896455E-2</v>
      </c>
      <c r="AX68" s="340">
        <f t="shared" si="18"/>
        <v>2.8189662471104771E-2</v>
      </c>
      <c r="AY68" s="340">
        <f t="shared" si="18"/>
        <v>2.4552597131115905E-2</v>
      </c>
    </row>
    <row r="69" spans="1:51">
      <c r="A69" s="546">
        <v>1202</v>
      </c>
      <c r="B69" s="546"/>
      <c r="C69" s="546"/>
      <c r="D69" s="546"/>
      <c r="E69" s="555">
        <v>2.2000000000000002</v>
      </c>
      <c r="F69" s="555">
        <v>27.1</v>
      </c>
      <c r="G69" s="555">
        <v>2.2000000000000002</v>
      </c>
      <c r="H69" s="555">
        <v>27.1</v>
      </c>
      <c r="I69" s="553">
        <f t="shared" si="20"/>
        <v>22.941257928784957</v>
      </c>
      <c r="J69" s="553">
        <f t="shared" si="21"/>
        <v>24.0004310082006</v>
      </c>
      <c r="K69" s="340">
        <f t="shared" si="11"/>
        <v>1</v>
      </c>
      <c r="L69" s="340">
        <f t="shared" si="19"/>
        <v>0.99929641797705526</v>
      </c>
      <c r="M69" s="340">
        <f t="shared" si="19"/>
        <v>0.9967712717317484</v>
      </c>
      <c r="N69" s="340">
        <f t="shared" si="19"/>
        <v>0.99214001116043471</v>
      </c>
      <c r="O69" s="340">
        <f t="shared" si="19"/>
        <v>0.98525051448672252</v>
      </c>
      <c r="P69" s="340">
        <f t="shared" si="19"/>
        <v>0.97601495863201837</v>
      </c>
      <c r="Q69" s="340">
        <f t="shared" si="19"/>
        <v>0.96439173290292624</v>
      </c>
      <c r="R69" s="340">
        <f t="shared" si="19"/>
        <v>0.95037754961137644</v>
      </c>
      <c r="S69" s="340">
        <f t="shared" si="19"/>
        <v>0.93400302597453155</v>
      </c>
      <c r="T69" s="340">
        <f t="shared" si="19"/>
        <v>0.91532962793861072</v>
      </c>
      <c r="U69" s="340">
        <f t="shared" si="19"/>
        <v>0.89444713077537519</v>
      </c>
      <c r="V69" s="340">
        <f t="shared" si="19"/>
        <v>0.87147121077648082</v>
      </c>
      <c r="W69" s="340">
        <f t="shared" si="19"/>
        <v>0.84654098271078249</v>
      </c>
      <c r="X69" s="340">
        <f t="shared" si="19"/>
        <v>0.81981639779792514</v>
      </c>
      <c r="Y69" s="340">
        <f t="shared" si="19"/>
        <v>0.7914754726780393</v>
      </c>
      <c r="Z69" s="340">
        <f t="shared" si="19"/>
        <v>0.76171135361767306</v>
      </c>
      <c r="AA69" s="340">
        <f t="shared" si="19"/>
        <v>0.73072924185568355</v>
      </c>
      <c r="AB69" s="340">
        <f t="shared" si="19"/>
        <v>0.69874322023730118</v>
      </c>
      <c r="AC69" s="340">
        <f t="shared" si="19"/>
        <v>0.66597303046638689</v>
      </c>
      <c r="AD69" s="340">
        <f t="shared" si="19"/>
        <v>0.6326408556884251</v>
      </c>
      <c r="AE69" s="340">
        <f t="shared" si="19"/>
        <v>0.59896816543473685</v>
      </c>
      <c r="AF69" s="340">
        <f t="shared" si="19"/>
        <v>0.56517267969219764</v>
      </c>
      <c r="AG69" s="340">
        <f t="shared" si="19"/>
        <v>0.53146550637700263</v>
      </c>
      <c r="AH69" s="340">
        <f t="shared" si="19"/>
        <v>0.49804850210546214</v>
      </c>
      <c r="AI69" s="340">
        <f t="shared" si="19"/>
        <v>0.46511190017943205</v>
      </c>
      <c r="AJ69" s="340">
        <f t="shared" si="19"/>
        <v>0.43283224245431617</v>
      </c>
      <c r="AK69" s="340">
        <f t="shared" si="19"/>
        <v>0.40137064355850793</v>
      </c>
      <c r="AL69" s="340">
        <f t="shared" si="19"/>
        <v>0.37087140711588873</v>
      </c>
      <c r="AM69" s="340">
        <f t="shared" si="19"/>
        <v>0.34146100451811723</v>
      </c>
      <c r="AN69" s="340">
        <f t="shared" si="19"/>
        <v>0.3132474177219281</v>
      </c>
      <c r="AO69" s="340">
        <f t="shared" si="19"/>
        <v>0.28631983881012757</v>
      </c>
      <c r="AP69" s="340">
        <f t="shared" si="19"/>
        <v>0.26074871092642216</v>
      </c>
      <c r="AQ69" s="340">
        <f t="shared" si="19"/>
        <v>0.23658608790949831</v>
      </c>
      <c r="AR69" s="340">
        <f t="shared" si="19"/>
        <v>0.21386628370295901</v>
      </c>
      <c r="AS69" s="340">
        <f t="shared" si="19"/>
        <v>0.19260677754818789</v>
      </c>
      <c r="AT69" s="340">
        <f t="shared" si="19"/>
        <v>0.17280933716905611</v>
      </c>
      <c r="AU69" s="340">
        <f t="shared" si="19"/>
        <v>0.15446131967100185</v>
      </c>
      <c r="AV69" s="340">
        <f t="shared" si="19"/>
        <v>0.13753710869291513</v>
      </c>
      <c r="AW69" s="340">
        <f t="shared" si="19"/>
        <v>0.12199964641281358</v>
      </c>
      <c r="AX69" s="340">
        <f t="shared" si="18"/>
        <v>0.10780202022124497</v>
      </c>
      <c r="AY69" s="340">
        <f t="shared" si="18"/>
        <v>9.4889066109634101E-2</v>
      </c>
    </row>
    <row r="70" spans="1:51">
      <c r="A70" s="546">
        <v>1203</v>
      </c>
      <c r="B70" s="546"/>
      <c r="C70" s="546"/>
      <c r="D70" s="546"/>
      <c r="E70" s="555">
        <v>1.5</v>
      </c>
      <c r="F70" s="555">
        <v>16.7</v>
      </c>
      <c r="G70" s="555">
        <v>1.5</v>
      </c>
      <c r="H70" s="555">
        <v>16.7</v>
      </c>
      <c r="I70" s="553">
        <f t="shared" si="20"/>
        <v>13.079770138536677</v>
      </c>
      <c r="J70" s="553">
        <f t="shared" si="21"/>
        <v>15.075846392280589</v>
      </c>
      <c r="K70" s="340">
        <f t="shared" si="11"/>
        <v>1</v>
      </c>
      <c r="L70" s="340">
        <f t="shared" si="19"/>
        <v>0.9854538745328032</v>
      </c>
      <c r="M70" s="340">
        <f t="shared" si="19"/>
        <v>0.95940227104385378</v>
      </c>
      <c r="N70" s="340">
        <f t="shared" si="19"/>
        <v>0.92668738695320252</v>
      </c>
      <c r="O70" s="340">
        <f t="shared" si="19"/>
        <v>0.88938624999256366</v>
      </c>
      <c r="P70" s="340">
        <f t="shared" si="19"/>
        <v>0.84889052529470488</v>
      </c>
      <c r="Q70" s="340">
        <f t="shared" si="19"/>
        <v>0.80625628445595021</v>
      </c>
      <c r="R70" s="340">
        <f t="shared" si="19"/>
        <v>0.7623293699281658</v>
      </c>
      <c r="S70" s="340">
        <f t="shared" si="19"/>
        <v>0.71780410448834009</v>
      </c>
      <c r="T70" s="340">
        <f t="shared" si="19"/>
        <v>0.67325585176175284</v>
      </c>
      <c r="U70" s="340">
        <f t="shared" si="19"/>
        <v>0.62916155874547464</v>
      </c>
      <c r="V70" s="340">
        <f t="shared" si="19"/>
        <v>0.58591415861608143</v>
      </c>
      <c r="W70" s="340">
        <f t="shared" si="19"/>
        <v>0.54383357374254648</v>
      </c>
      <c r="X70" s="340">
        <f t="shared" si="19"/>
        <v>0.50317569779472104</v>
      </c>
      <c r="Y70" s="340">
        <f t="shared" si="19"/>
        <v>0.46414008768642812</v>
      </c>
      <c r="Z70" s="340">
        <f t="shared" si="19"/>
        <v>0.42687676582003264</v>
      </c>
      <c r="AA70" s="340">
        <f t="shared" si="19"/>
        <v>0.39149235658497172</v>
      </c>
      <c r="AB70" s="340">
        <f t="shared" si="19"/>
        <v>0.35805568380000963</v>
      </c>
      <c r="AC70" s="340">
        <f t="shared" si="19"/>
        <v>0.32660290144285797</v>
      </c>
      <c r="AD70" s="340">
        <f t="shared" si="19"/>
        <v>0.29714219978150025</v>
      </c>
      <c r="AE70" s="340">
        <f t="shared" si="19"/>
        <v>0.26965811268984075</v>
      </c>
      <c r="AF70" s="340">
        <f t="shared" si="19"/>
        <v>0.2441154437084041</v>
      </c>
      <c r="AG70" s="340">
        <f t="shared" si="19"/>
        <v>0.22046282490947855</v>
      </c>
      <c r="AH70" s="340">
        <f t="shared" si="19"/>
        <v>0.19863592180889744</v>
      </c>
      <c r="AI70" s="340">
        <f t="shared" si="19"/>
        <v>0.1785602981885388</v>
      </c>
      <c r="AJ70" s="340">
        <f t="shared" si="19"/>
        <v>0.16015395598742521</v>
      </c>
      <c r="AK70" s="340">
        <f t="shared" si="19"/>
        <v>0.14332956691458798</v>
      </c>
      <c r="AL70" s="340">
        <f t="shared" si="19"/>
        <v>0.12799641385141625</v>
      </c>
      <c r="AM70" s="340">
        <f t="shared" si="19"/>
        <v>0.11406206128440843</v>
      </c>
      <c r="AN70" s="340">
        <f t="shared" si="19"/>
        <v>0.10143377485958727</v>
      </c>
      <c r="AO70" s="340">
        <f t="shared" si="19"/>
        <v>9.0019710647456397E-2</v>
      </c>
      <c r="AP70" s="340">
        <f t="shared" si="19"/>
        <v>7.9729894855687933E-2</v>
      </c>
      <c r="AQ70" s="340">
        <f t="shared" si="19"/>
        <v>7.0477014549982453E-2</v>
      </c>
      <c r="AR70" s="340">
        <f t="shared" si="19"/>
        <v>6.2177039478323093E-2</v>
      </c>
      <c r="AS70" s="340">
        <f t="shared" si="19"/>
        <v>5.4749694383117942E-2</v>
      </c>
      <c r="AT70" s="340">
        <f t="shared" si="19"/>
        <v>4.8118800274789986E-2</v>
      </c>
      <c r="AU70" s="340">
        <f t="shared" si="19"/>
        <v>4.2212502074018277E-2</v>
      </c>
      <c r="AV70" s="340">
        <f t="shared" si="19"/>
        <v>3.6963398850524465E-2</v>
      </c>
      <c r="AW70" s="340">
        <f t="shared" si="19"/>
        <v>3.2308591632896455E-2</v>
      </c>
      <c r="AX70" s="340">
        <f t="shared" si="18"/>
        <v>2.8189662471104771E-2</v>
      </c>
      <c r="AY70" s="340">
        <f t="shared" si="18"/>
        <v>2.4552597131115905E-2</v>
      </c>
    </row>
    <row r="71" spans="1:51">
      <c r="A71" s="546">
        <v>1204</v>
      </c>
      <c r="B71" s="546"/>
      <c r="C71" s="546"/>
      <c r="D71" s="546"/>
      <c r="E71" s="555">
        <v>1.5</v>
      </c>
      <c r="F71" s="555">
        <v>16.7</v>
      </c>
      <c r="G71" s="555">
        <v>1.5</v>
      </c>
      <c r="H71" s="555">
        <v>16.7</v>
      </c>
      <c r="I71" s="553">
        <f t="shared" si="20"/>
        <v>13.079770138536677</v>
      </c>
      <c r="J71" s="553">
        <f t="shared" si="21"/>
        <v>15.075846392280589</v>
      </c>
      <c r="K71" s="340">
        <f t="shared" si="11"/>
        <v>1</v>
      </c>
      <c r="L71" s="340">
        <f t="shared" si="19"/>
        <v>0.9854538745328032</v>
      </c>
      <c r="M71" s="340">
        <f t="shared" si="19"/>
        <v>0.95940227104385378</v>
      </c>
      <c r="N71" s="340">
        <f t="shared" si="19"/>
        <v>0.92668738695320252</v>
      </c>
      <c r="O71" s="340">
        <f t="shared" si="19"/>
        <v>0.88938624999256366</v>
      </c>
      <c r="P71" s="340">
        <f t="shared" si="19"/>
        <v>0.84889052529470488</v>
      </c>
      <c r="Q71" s="340">
        <f t="shared" si="19"/>
        <v>0.80625628445595021</v>
      </c>
      <c r="R71" s="340">
        <f t="shared" si="19"/>
        <v>0.7623293699281658</v>
      </c>
      <c r="S71" s="340">
        <f t="shared" si="19"/>
        <v>0.71780410448834009</v>
      </c>
      <c r="T71" s="340">
        <f t="shared" si="19"/>
        <v>0.67325585176175284</v>
      </c>
      <c r="U71" s="340">
        <f t="shared" si="19"/>
        <v>0.62916155874547464</v>
      </c>
      <c r="V71" s="340">
        <f t="shared" si="19"/>
        <v>0.58591415861608143</v>
      </c>
      <c r="W71" s="340">
        <f t="shared" si="19"/>
        <v>0.54383357374254648</v>
      </c>
      <c r="X71" s="340">
        <f t="shared" si="19"/>
        <v>0.50317569779472104</v>
      </c>
      <c r="Y71" s="340">
        <f t="shared" si="19"/>
        <v>0.46414008768642812</v>
      </c>
      <c r="Z71" s="340">
        <f t="shared" si="19"/>
        <v>0.42687676582003264</v>
      </c>
      <c r="AA71" s="340">
        <f t="shared" si="19"/>
        <v>0.39149235658497172</v>
      </c>
      <c r="AB71" s="340">
        <f t="shared" si="19"/>
        <v>0.35805568380000963</v>
      </c>
      <c r="AC71" s="340">
        <f t="shared" si="19"/>
        <v>0.32660290144285797</v>
      </c>
      <c r="AD71" s="340">
        <f t="shared" si="19"/>
        <v>0.29714219978150025</v>
      </c>
      <c r="AE71" s="340">
        <f t="shared" si="19"/>
        <v>0.26965811268984075</v>
      </c>
      <c r="AF71" s="340">
        <f t="shared" si="19"/>
        <v>0.2441154437084041</v>
      </c>
      <c r="AG71" s="340">
        <f t="shared" si="19"/>
        <v>0.22046282490947855</v>
      </c>
      <c r="AH71" s="340">
        <f t="shared" si="19"/>
        <v>0.19863592180889744</v>
      </c>
      <c r="AI71" s="340">
        <f t="shared" si="19"/>
        <v>0.1785602981885388</v>
      </c>
      <c r="AJ71" s="340">
        <f t="shared" si="19"/>
        <v>0.16015395598742521</v>
      </c>
      <c r="AK71" s="340">
        <f t="shared" si="19"/>
        <v>0.14332956691458798</v>
      </c>
      <c r="AL71" s="340">
        <f t="shared" si="19"/>
        <v>0.12799641385141625</v>
      </c>
      <c r="AM71" s="340">
        <f t="shared" si="19"/>
        <v>0.11406206128440843</v>
      </c>
      <c r="AN71" s="340">
        <f t="shared" si="19"/>
        <v>0.10143377485958727</v>
      </c>
      <c r="AO71" s="340">
        <f t="shared" si="19"/>
        <v>9.0019710647456397E-2</v>
      </c>
      <c r="AP71" s="340">
        <f t="shared" si="19"/>
        <v>7.9729894855687933E-2</v>
      </c>
      <c r="AQ71" s="340">
        <f t="shared" si="19"/>
        <v>7.0477014549982453E-2</v>
      </c>
      <c r="AR71" s="340">
        <f t="shared" si="19"/>
        <v>6.2177039478323093E-2</v>
      </c>
      <c r="AS71" s="340">
        <f t="shared" si="19"/>
        <v>5.4749694383117942E-2</v>
      </c>
      <c r="AT71" s="340">
        <f t="shared" ref="L71:AY75" si="22">1-(_xlfn.WEIBULL.DIST(AT$2,$G71,$H71,TRUE))</f>
        <v>4.8118800274789986E-2</v>
      </c>
      <c r="AU71" s="340">
        <f t="shared" si="22"/>
        <v>4.2212502074018277E-2</v>
      </c>
      <c r="AV71" s="340">
        <f t="shared" si="22"/>
        <v>3.6963398850524465E-2</v>
      </c>
      <c r="AW71" s="340">
        <f t="shared" si="22"/>
        <v>3.2308591632896455E-2</v>
      </c>
      <c r="AX71" s="340">
        <f t="shared" si="18"/>
        <v>2.8189662471104771E-2</v>
      </c>
      <c r="AY71" s="340">
        <f t="shared" si="18"/>
        <v>2.4552597131115905E-2</v>
      </c>
    </row>
    <row r="72" spans="1:51">
      <c r="A72" s="546" t="s">
        <v>420</v>
      </c>
      <c r="B72" s="546"/>
      <c r="C72" s="546"/>
      <c r="D72" s="546"/>
      <c r="E72" s="555">
        <v>3</v>
      </c>
      <c r="F72" s="555">
        <v>24.7</v>
      </c>
      <c r="G72" s="555">
        <v>3</v>
      </c>
      <c r="H72" s="555">
        <v>24.7</v>
      </c>
      <c r="I72" s="553">
        <f t="shared" si="20"/>
        <v>21.859426999162789</v>
      </c>
      <c r="J72" s="553">
        <f t="shared" si="21"/>
        <v>22.056593935760457</v>
      </c>
      <c r="K72" s="340">
        <f t="shared" si="11"/>
        <v>1</v>
      </c>
      <c r="L72" s="340">
        <f t="shared" si="22"/>
        <v>0.99993364177963773</v>
      </c>
      <c r="M72" s="340">
        <f t="shared" si="22"/>
        <v>0.99946925751631499</v>
      </c>
      <c r="N72" s="340">
        <f t="shared" si="22"/>
        <v>0.99820987279397166</v>
      </c>
      <c r="O72" s="340">
        <f t="shared" si="22"/>
        <v>0.99576193901622356</v>
      </c>
      <c r="P72" s="340">
        <f t="shared" si="22"/>
        <v>0.99173925624884962</v>
      </c>
      <c r="Q72" s="340">
        <f t="shared" si="22"/>
        <v>0.98576838937370992</v>
      </c>
      <c r="R72" s="340">
        <f t="shared" si="22"/>
        <v>0.97749546667785503</v>
      </c>
      <c r="S72" s="340">
        <f t="shared" si="22"/>
        <v>0.96659418439314593</v>
      </c>
      <c r="T72" s="340">
        <f t="shared" si="22"/>
        <v>0.95277476369376179</v>
      </c>
      <c r="U72" s="340">
        <f t="shared" si="22"/>
        <v>0.9357935227737858</v>
      </c>
      <c r="V72" s="340">
        <f t="shared" si="22"/>
        <v>0.91546264192083848</v>
      </c>
      <c r="W72" s="340">
        <f t="shared" si="22"/>
        <v>0.89165962147259659</v>
      </c>
      <c r="X72" s="340">
        <f t="shared" si="22"/>
        <v>0.86433586981998123</v>
      </c>
      <c r="Y72" s="340">
        <f t="shared" si="22"/>
        <v>0.83352382040894901</v>
      </c>
      <c r="Z72" s="340">
        <f t="shared" si="22"/>
        <v>0.7993419719760616</v>
      </c>
      <c r="AA72" s="340">
        <f t="shared" si="22"/>
        <v>0.76199728279042711</v>
      </c>
      <c r="AB72" s="340">
        <f t="shared" si="22"/>
        <v>0.72178443286893534</v>
      </c>
      <c r="AC72" s="340">
        <f t="shared" si="22"/>
        <v>0.6790815998906744</v>
      </c>
      <c r="AD72" s="340">
        <f t="shared" si="22"/>
        <v>0.63434257228456858</v>
      </c>
      <c r="AE72" s="340">
        <f t="shared" si="22"/>
        <v>0.58808523898394727</v>
      </c>
      <c r="AF72" s="340">
        <f t="shared" si="22"/>
        <v>0.54087673661926416</v>
      </c>
      <c r="AG72" s="340">
        <f t="shared" si="22"/>
        <v>0.49331578363973128</v>
      </c>
      <c r="AH72" s="340">
        <f t="shared" si="22"/>
        <v>0.44601296561503601</v>
      </c>
      <c r="AI72" s="340">
        <f t="shared" si="22"/>
        <v>0.39956993370032645</v>
      </c>
      <c r="AJ72" s="340">
        <f t="shared" si="22"/>
        <v>0.35455861669142652</v>
      </c>
      <c r="AK72" s="340">
        <f t="shared" si="22"/>
        <v>0.31150160758012346</v>
      </c>
      <c r="AL72" s="340">
        <f t="shared" si="22"/>
        <v>0.27085485567344625</v>
      </c>
      <c r="AM72" s="340">
        <f t="shared" si="22"/>
        <v>0.23299367134439475</v>
      </c>
      <c r="AN72" s="340">
        <f t="shared" si="22"/>
        <v>0.19820283841662201</v>
      </c>
      <c r="AO72" s="340">
        <f t="shared" si="22"/>
        <v>0.16667134518809479</v>
      </c>
      <c r="AP72" s="340">
        <f t="shared" si="22"/>
        <v>0.13849191413441941</v>
      </c>
      <c r="AQ72" s="340">
        <f t="shared" si="22"/>
        <v>0.11366516364150592</v>
      </c>
      <c r="AR72" s="340">
        <f t="shared" si="22"/>
        <v>9.2107906601794132E-2</v>
      </c>
      <c r="AS72" s="340">
        <f t="shared" si="22"/>
        <v>7.366481274334058E-2</v>
      </c>
      <c r="AT72" s="340">
        <f t="shared" si="22"/>
        <v>5.8122460846768975E-2</v>
      </c>
      <c r="AU72" s="340">
        <f t="shared" si="22"/>
        <v>4.5224701113668608E-2</v>
      </c>
      <c r="AV72" s="340">
        <f t="shared" si="22"/>
        <v>3.4688243134907593E-2</v>
      </c>
      <c r="AW72" s="340">
        <f t="shared" si="22"/>
        <v>2.6217475542745117E-2</v>
      </c>
      <c r="AX72" s="340">
        <f>1-(_xlfn.WEIBULL.DIST(AX$2,$G72,$H72,TRUE))</f>
        <v>1.9517693175015394E-2</v>
      </c>
      <c r="AY72" s="340">
        <f t="shared" si="22"/>
        <v>1.4306132054213272E-2</v>
      </c>
    </row>
    <row r="73" spans="1:51">
      <c r="A73" s="546" t="s">
        <v>426</v>
      </c>
      <c r="B73" s="546"/>
      <c r="C73" s="546"/>
      <c r="D73" s="546"/>
      <c r="E73" s="555">
        <v>3</v>
      </c>
      <c r="F73" s="555">
        <v>24.7</v>
      </c>
      <c r="G73" s="555">
        <v>3</v>
      </c>
      <c r="H73" s="555">
        <v>24.7</v>
      </c>
      <c r="I73" s="553">
        <f t="shared" si="20"/>
        <v>21.859426999162789</v>
      </c>
      <c r="J73" s="553">
        <f t="shared" si="21"/>
        <v>22.056593935760457</v>
      </c>
      <c r="K73" s="340">
        <f t="shared" si="11"/>
        <v>1</v>
      </c>
      <c r="L73" s="340">
        <f t="shared" si="22"/>
        <v>0.99993364177963773</v>
      </c>
      <c r="M73" s="340">
        <f t="shared" si="22"/>
        <v>0.99946925751631499</v>
      </c>
      <c r="N73" s="340">
        <f t="shared" si="22"/>
        <v>0.99820987279397166</v>
      </c>
      <c r="O73" s="340">
        <f t="shared" si="22"/>
        <v>0.99576193901622356</v>
      </c>
      <c r="P73" s="340">
        <f t="shared" si="22"/>
        <v>0.99173925624884962</v>
      </c>
      <c r="Q73" s="340">
        <f t="shared" si="22"/>
        <v>0.98576838937370992</v>
      </c>
      <c r="R73" s="340">
        <f t="shared" si="22"/>
        <v>0.97749546667785503</v>
      </c>
      <c r="S73" s="340">
        <f t="shared" si="22"/>
        <v>0.96659418439314593</v>
      </c>
      <c r="T73" s="340">
        <f t="shared" si="22"/>
        <v>0.95277476369376179</v>
      </c>
      <c r="U73" s="340">
        <f t="shared" si="22"/>
        <v>0.9357935227737858</v>
      </c>
      <c r="V73" s="340">
        <f t="shared" si="22"/>
        <v>0.91546264192083848</v>
      </c>
      <c r="W73" s="340">
        <f t="shared" si="22"/>
        <v>0.89165962147259659</v>
      </c>
      <c r="X73" s="340">
        <f t="shared" si="22"/>
        <v>0.86433586981998123</v>
      </c>
      <c r="Y73" s="340">
        <f t="shared" si="22"/>
        <v>0.83352382040894901</v>
      </c>
      <c r="Z73" s="340">
        <f t="shared" si="22"/>
        <v>0.7993419719760616</v>
      </c>
      <c r="AA73" s="340">
        <f t="shared" si="22"/>
        <v>0.76199728279042711</v>
      </c>
      <c r="AB73" s="340">
        <f t="shared" si="22"/>
        <v>0.72178443286893534</v>
      </c>
      <c r="AC73" s="340">
        <f t="shared" si="22"/>
        <v>0.6790815998906744</v>
      </c>
      <c r="AD73" s="340">
        <f t="shared" si="22"/>
        <v>0.63434257228456858</v>
      </c>
      <c r="AE73" s="340">
        <f t="shared" si="22"/>
        <v>0.58808523898394727</v>
      </c>
      <c r="AF73" s="340">
        <f t="shared" si="22"/>
        <v>0.54087673661926416</v>
      </c>
      <c r="AG73" s="340">
        <f t="shared" si="22"/>
        <v>0.49331578363973128</v>
      </c>
      <c r="AH73" s="340">
        <f t="shared" si="22"/>
        <v>0.44601296561503601</v>
      </c>
      <c r="AI73" s="340">
        <f t="shared" si="22"/>
        <v>0.39956993370032645</v>
      </c>
      <c r="AJ73" s="340">
        <f t="shared" si="22"/>
        <v>0.35455861669142652</v>
      </c>
      <c r="AK73" s="340">
        <f t="shared" si="22"/>
        <v>0.31150160758012346</v>
      </c>
      <c r="AL73" s="340">
        <f t="shared" si="22"/>
        <v>0.27085485567344625</v>
      </c>
      <c r="AM73" s="340">
        <f t="shared" si="22"/>
        <v>0.23299367134439475</v>
      </c>
      <c r="AN73" s="340">
        <f t="shared" si="22"/>
        <v>0.19820283841662201</v>
      </c>
      <c r="AO73" s="340">
        <f t="shared" si="22"/>
        <v>0.16667134518809479</v>
      </c>
      <c r="AP73" s="340">
        <f t="shared" si="22"/>
        <v>0.13849191413441941</v>
      </c>
      <c r="AQ73" s="340">
        <f t="shared" si="22"/>
        <v>0.11366516364150592</v>
      </c>
      <c r="AR73" s="340">
        <f t="shared" si="22"/>
        <v>9.2107906601794132E-2</v>
      </c>
      <c r="AS73" s="340">
        <f t="shared" si="22"/>
        <v>7.366481274334058E-2</v>
      </c>
      <c r="AT73" s="340">
        <f t="shared" si="22"/>
        <v>5.8122460846768975E-2</v>
      </c>
      <c r="AU73" s="340">
        <f t="shared" si="22"/>
        <v>4.5224701113668608E-2</v>
      </c>
      <c r="AV73" s="340">
        <f t="shared" si="22"/>
        <v>3.4688243134907593E-2</v>
      </c>
      <c r="AW73" s="340">
        <f t="shared" si="22"/>
        <v>2.6217475542745117E-2</v>
      </c>
      <c r="AX73" s="340">
        <f>1-(_xlfn.WEIBULL.DIST(AX$2,$G73,$H73,TRUE))</f>
        <v>1.9517693175015394E-2</v>
      </c>
      <c r="AY73" s="340">
        <f>1-(_xlfn.WEIBULL.DIST(AY$2,$G73,$H73,TRUE))</f>
        <v>1.4306132054213272E-2</v>
      </c>
    </row>
    <row r="74" spans="1:51">
      <c r="A74" s="546">
        <v>1206</v>
      </c>
      <c r="B74" s="546"/>
      <c r="C74" s="546"/>
      <c r="D74" s="546"/>
      <c r="E74" s="555">
        <v>2.7</v>
      </c>
      <c r="F74" s="555">
        <v>13.6</v>
      </c>
      <c r="G74" s="555">
        <v>2.7</v>
      </c>
      <c r="H74" s="555">
        <v>13.6</v>
      </c>
      <c r="I74" s="553">
        <f t="shared" si="20"/>
        <v>11.873680958837429</v>
      </c>
      <c r="J74" s="553">
        <f t="shared" si="21"/>
        <v>12.094249787514133</v>
      </c>
      <c r="K74" s="340">
        <f t="shared" si="11"/>
        <v>1</v>
      </c>
      <c r="L74" s="340">
        <f t="shared" si="22"/>
        <v>0.99913052704997396</v>
      </c>
      <c r="M74" s="340">
        <f t="shared" si="22"/>
        <v>0.99436363472753675</v>
      </c>
      <c r="N74" s="340">
        <f t="shared" si="22"/>
        <v>0.98325020404253927</v>
      </c>
      <c r="O74" s="340">
        <f t="shared" si="22"/>
        <v>0.96393750470710404</v>
      </c>
      <c r="P74" s="340">
        <f t="shared" si="22"/>
        <v>0.93511014665433301</v>
      </c>
      <c r="Q74" s="340">
        <f t="shared" si="22"/>
        <v>0.89604707216058666</v>
      </c>
      <c r="R74" s="340">
        <f t="shared" si="22"/>
        <v>0.84668920697265526</v>
      </c>
      <c r="S74" s="340">
        <f t="shared" si="22"/>
        <v>0.78767906658614228</v>
      </c>
      <c r="T74" s="340">
        <f t="shared" si="22"/>
        <v>0.72034893978930969</v>
      </c>
      <c r="U74" s="340">
        <f t="shared" si="22"/>
        <v>0.64664469240497124</v>
      </c>
      <c r="V74" s="340">
        <f t="shared" si="22"/>
        <v>0.56898339463660519</v>
      </c>
      <c r="W74" s="340">
        <f t="shared" si="22"/>
        <v>0.49005495834313806</v>
      </c>
      <c r="X74" s="340">
        <f t="shared" si="22"/>
        <v>0.41258908707198449</v>
      </c>
      <c r="Y74" s="340">
        <f t="shared" si="22"/>
        <v>0.33911681173546782</v>
      </c>
      <c r="Z74" s="340">
        <f t="shared" si="22"/>
        <v>0.27175868637786149</v>
      </c>
      <c r="AA74" s="340">
        <f t="shared" si="22"/>
        <v>0.2120683165723305</v>
      </c>
      <c r="AB74" s="340">
        <f t="shared" si="22"/>
        <v>0.16095070763171215</v>
      </c>
      <c r="AC74" s="340">
        <f t="shared" si="22"/>
        <v>0.11866186550310021</v>
      </c>
      <c r="AD74" s="340">
        <f t="shared" si="22"/>
        <v>8.4882123613166716E-2</v>
      </c>
      <c r="AE74" s="340">
        <f t="shared" si="22"/>
        <v>5.8844001946541935E-2</v>
      </c>
      <c r="AF74" s="340">
        <f t="shared" si="22"/>
        <v>3.9488543597831605E-2</v>
      </c>
      <c r="AG74" s="340">
        <f t="shared" si="22"/>
        <v>2.5623146163149424E-2</v>
      </c>
      <c r="AH74" s="340">
        <f t="shared" si="22"/>
        <v>1.605841395742591E-2</v>
      </c>
      <c r="AI74" s="340">
        <f t="shared" si="22"/>
        <v>9.7096749722659359E-3</v>
      </c>
      <c r="AJ74" s="340">
        <f t="shared" si="22"/>
        <v>5.6580627591189536E-3</v>
      </c>
      <c r="AK74" s="340">
        <f t="shared" si="22"/>
        <v>3.1741458803663525E-3</v>
      </c>
      <c r="AL74" s="340">
        <f t="shared" si="22"/>
        <v>1.7124686846139436E-3</v>
      </c>
      <c r="AM74" s="340">
        <f t="shared" si="22"/>
        <v>8.8756645688525815E-4</v>
      </c>
      <c r="AN74" s="340">
        <f t="shared" si="22"/>
        <v>4.4148147417510941E-4</v>
      </c>
      <c r="AO74" s="340">
        <f t="shared" si="22"/>
        <v>2.1052957353950852E-4</v>
      </c>
      <c r="AP74" s="340">
        <f t="shared" si="22"/>
        <v>9.6153035429091815E-5</v>
      </c>
      <c r="AQ74" s="340">
        <f t="shared" si="22"/>
        <v>4.201716675267253E-5</v>
      </c>
      <c r="AR74" s="340">
        <f t="shared" si="22"/>
        <v>1.7549842259323434E-5</v>
      </c>
      <c r="AS74" s="340">
        <f t="shared" si="22"/>
        <v>6.9996317700882216E-6</v>
      </c>
      <c r="AT74" s="340">
        <f t="shared" si="22"/>
        <v>2.663234426436567E-6</v>
      </c>
      <c r="AU74" s="340">
        <f t="shared" si="22"/>
        <v>9.6573116625808808E-7</v>
      </c>
      <c r="AV74" s="340">
        <f t="shared" si="22"/>
        <v>3.334262224097273E-7</v>
      </c>
      <c r="AW74" s="340">
        <f t="shared" si="22"/>
        <v>1.0950334061732292E-7</v>
      </c>
      <c r="AX74" s="340">
        <f>1-(_xlfn.WEIBULL.DIST(AX$2,$G74,$H74,TRUE))</f>
        <v>3.4176681151798505E-8</v>
      </c>
      <c r="AY74" s="340">
        <f>1-(_xlfn.WEIBULL.DIST(AY$2,$G74,$H74,TRUE))</f>
        <v>1.0127478189403405E-8</v>
      </c>
    </row>
    <row r="75" spans="1:51">
      <c r="A75" s="546">
        <v>1301</v>
      </c>
      <c r="B75" s="546"/>
      <c r="C75" s="546"/>
      <c r="D75" s="546"/>
      <c r="E75" s="555">
        <v>1.5</v>
      </c>
      <c r="F75" s="555">
        <v>2.2999999999999998</v>
      </c>
      <c r="G75" s="555">
        <v>1.5</v>
      </c>
      <c r="H75" s="555">
        <v>2.2999999999999998</v>
      </c>
      <c r="I75" s="553">
        <f t="shared" si="20"/>
        <v>1.801405468181698</v>
      </c>
      <c r="J75" s="553">
        <f t="shared" si="21"/>
        <v>2.0763141737871469</v>
      </c>
      <c r="K75" s="340">
        <f t="shared" si="11"/>
        <v>1</v>
      </c>
      <c r="L75" s="340">
        <f t="shared" si="22"/>
        <v>0.75074655389476597</v>
      </c>
      <c r="M75" s="340">
        <f t="shared" si="22"/>
        <v>0.44446954289549323</v>
      </c>
      <c r="N75" s="340">
        <f t="shared" si="22"/>
        <v>0.22544699723612005</v>
      </c>
      <c r="O75" s="340">
        <f t="shared" si="22"/>
        <v>0.10091292136032193</v>
      </c>
      <c r="P75" s="340">
        <f t="shared" si="22"/>
        <v>4.0548361083622808E-2</v>
      </c>
      <c r="Q75" s="340">
        <f t="shared" si="22"/>
        <v>1.4795627495964303E-2</v>
      </c>
      <c r="R75" s="340">
        <f t="shared" si="22"/>
        <v>4.9442966950328238E-3</v>
      </c>
      <c r="S75" s="340">
        <f t="shared" si="22"/>
        <v>1.5231267717265018E-3</v>
      </c>
      <c r="T75" s="340">
        <f t="shared" si="22"/>
        <v>4.3483088032092443E-4</v>
      </c>
      <c r="U75" s="340">
        <f t="shared" si="22"/>
        <v>1.1554573995864459E-4</v>
      </c>
      <c r="V75" s="340">
        <f t="shared" si="22"/>
        <v>2.8683995269895846E-5</v>
      </c>
      <c r="W75" s="340">
        <f t="shared" si="22"/>
        <v>6.6735303816400915E-6</v>
      </c>
      <c r="X75" s="340">
        <f t="shared" si="22"/>
        <v>1.4591617512049737E-6</v>
      </c>
      <c r="Y75" s="340">
        <f t="shared" si="22"/>
        <v>3.0056796318511658E-7</v>
      </c>
      <c r="Z75" s="340">
        <f t="shared" si="22"/>
        <v>5.8454387996675905E-8</v>
      </c>
      <c r="AA75" s="340">
        <f t="shared" si="22"/>
        <v>1.0754103940691095E-8</v>
      </c>
      <c r="AB75" s="340">
        <f t="shared" si="22"/>
        <v>1.8749108932070158E-9</v>
      </c>
      <c r="AC75" s="340">
        <f t="shared" si="22"/>
        <v>3.102660350862152E-10</v>
      </c>
      <c r="AD75" s="340">
        <f t="shared" si="22"/>
        <v>4.8806070296336657E-11</v>
      </c>
      <c r="AE75" s="340">
        <f t="shared" si="22"/>
        <v>7.3078210149901679E-12</v>
      </c>
      <c r="AF75" s="340">
        <f t="shared" si="22"/>
        <v>1.0428324870304095E-12</v>
      </c>
      <c r="AG75" s="340">
        <f t="shared" si="22"/>
        <v>1.4199752484955752E-13</v>
      </c>
      <c r="AH75" s="340">
        <f t="shared" si="22"/>
        <v>1.8429702208777599E-14</v>
      </c>
      <c r="AI75" s="340">
        <f t="shared" si="22"/>
        <v>2.3314683517128287E-15</v>
      </c>
      <c r="AJ75" s="340">
        <f t="shared" si="22"/>
        <v>0</v>
      </c>
      <c r="AK75" s="340">
        <f t="shared" si="22"/>
        <v>0</v>
      </c>
      <c r="AL75" s="340">
        <f t="shared" si="22"/>
        <v>0</v>
      </c>
      <c r="AM75" s="340">
        <f t="shared" si="22"/>
        <v>0</v>
      </c>
      <c r="AN75" s="340">
        <f t="shared" si="22"/>
        <v>0</v>
      </c>
      <c r="AO75" s="340">
        <f t="shared" si="22"/>
        <v>0</v>
      </c>
      <c r="AP75" s="340">
        <f t="shared" si="22"/>
        <v>0</v>
      </c>
      <c r="AQ75" s="340">
        <f t="shared" si="22"/>
        <v>0</v>
      </c>
      <c r="AR75" s="340">
        <f t="shared" si="22"/>
        <v>0</v>
      </c>
      <c r="AS75" s="340">
        <f t="shared" si="22"/>
        <v>0</v>
      </c>
      <c r="AT75" s="340">
        <f t="shared" si="22"/>
        <v>0</v>
      </c>
      <c r="AU75" s="340">
        <f t="shared" si="22"/>
        <v>0</v>
      </c>
      <c r="AV75" s="340">
        <f t="shared" si="22"/>
        <v>0</v>
      </c>
      <c r="AW75" s="340">
        <f t="shared" si="22"/>
        <v>0</v>
      </c>
      <c r="AX75" s="340">
        <f>1-(_xlfn.WEIBULL.DIST(AX$2,$G75,$H75,TRUE))</f>
        <v>0</v>
      </c>
      <c r="AY75" s="340">
        <f>1-(_xlfn.WEIBULL.DIST(AY$2,$G75,$H75,TRUE))</f>
        <v>0</v>
      </c>
    </row>
  </sheetData>
  <pageMargins left="0.7" right="0.7" top="0.75" bottom="0.75" header="0.3" footer="0.3"/>
  <pageSetup paperSize="9" orientation="portrait" horizontalDpi="0" verticalDpi="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8D73E-823F-8544-93C1-DDD881BED365}">
  <dimension ref="A1:G55"/>
  <sheetViews>
    <sheetView zoomScaleNormal="100" workbookViewId="0">
      <selection sqref="A1:XFD1048576"/>
    </sheetView>
  </sheetViews>
  <sheetFormatPr baseColWidth="10" defaultRowHeight="16"/>
  <sheetData>
    <row r="1" spans="1:7">
      <c r="A1" t="s">
        <v>8706</v>
      </c>
      <c r="B1" t="s">
        <v>8707</v>
      </c>
      <c r="C1" t="s">
        <v>8708</v>
      </c>
      <c r="D1" t="s">
        <v>8709</v>
      </c>
      <c r="E1" t="s">
        <v>7768</v>
      </c>
      <c r="F1" t="s">
        <v>7769</v>
      </c>
      <c r="G1" t="s">
        <v>7770</v>
      </c>
    </row>
    <row r="2" spans="1:7">
      <c r="A2" s="200" t="s">
        <v>7938</v>
      </c>
      <c r="B2" t="s">
        <v>8710</v>
      </c>
      <c r="C2" t="s">
        <v>8711</v>
      </c>
      <c r="D2" t="s">
        <v>8712</v>
      </c>
      <c r="E2" t="s">
        <v>8712</v>
      </c>
      <c r="F2" t="s">
        <v>8712</v>
      </c>
      <c r="G2" t="s">
        <v>8713</v>
      </c>
    </row>
    <row r="3" spans="1:7">
      <c r="A3" s="200" t="s">
        <v>7942</v>
      </c>
      <c r="B3" t="s">
        <v>8714</v>
      </c>
      <c r="C3" t="s">
        <v>8714</v>
      </c>
      <c r="D3" t="s">
        <v>8714</v>
      </c>
      <c r="E3" t="s">
        <v>8715</v>
      </c>
      <c r="F3" t="s">
        <v>8715</v>
      </c>
      <c r="G3" t="s">
        <v>8715</v>
      </c>
    </row>
    <row r="4" spans="1:7">
      <c r="A4" s="200" t="s">
        <v>7945</v>
      </c>
      <c r="B4" t="s">
        <v>8716</v>
      </c>
      <c r="C4" t="s">
        <v>8717</v>
      </c>
      <c r="D4" t="s">
        <v>8718</v>
      </c>
      <c r="E4" t="s">
        <v>8719</v>
      </c>
      <c r="F4" t="s">
        <v>8720</v>
      </c>
      <c r="G4" t="s">
        <v>8721</v>
      </c>
    </row>
    <row r="5" spans="1:7">
      <c r="A5" s="200" t="s">
        <v>277</v>
      </c>
      <c r="B5" t="s">
        <v>8722</v>
      </c>
      <c r="C5" t="s">
        <v>8719</v>
      </c>
      <c r="D5" t="s">
        <v>8723</v>
      </c>
      <c r="E5" t="s">
        <v>8724</v>
      </c>
      <c r="F5" t="s">
        <v>8724</v>
      </c>
      <c r="G5" t="s">
        <v>8725</v>
      </c>
    </row>
    <row r="6" spans="1:7">
      <c r="A6" s="200" t="s">
        <v>7947</v>
      </c>
      <c r="B6" t="s">
        <v>8726</v>
      </c>
      <c r="C6" t="s">
        <v>8727</v>
      </c>
      <c r="D6" t="s">
        <v>8728</v>
      </c>
      <c r="E6" t="s">
        <v>8729</v>
      </c>
      <c r="F6" t="s">
        <v>8729</v>
      </c>
      <c r="G6" t="s">
        <v>8730</v>
      </c>
    </row>
    <row r="7" spans="1:7">
      <c r="A7" s="200" t="s">
        <v>279</v>
      </c>
      <c r="B7">
        <v>72.599999999999994</v>
      </c>
      <c r="C7">
        <v>73.099999999999994</v>
      </c>
      <c r="D7">
        <v>71.400000000000006</v>
      </c>
      <c r="E7">
        <v>72.400000000000006</v>
      </c>
      <c r="F7">
        <v>72.400000000000006</v>
      </c>
      <c r="G7">
        <v>71.5</v>
      </c>
    </row>
    <row r="8" spans="1:7">
      <c r="A8" s="200" t="s">
        <v>8731</v>
      </c>
      <c r="B8">
        <v>59.6</v>
      </c>
      <c r="C8">
        <v>46.9</v>
      </c>
      <c r="D8">
        <v>43.2</v>
      </c>
      <c r="E8">
        <v>45.9</v>
      </c>
      <c r="F8">
        <v>46</v>
      </c>
      <c r="G8">
        <v>43.5</v>
      </c>
    </row>
    <row r="9" spans="1:7">
      <c r="A9" s="200" t="s">
        <v>280</v>
      </c>
      <c r="B9">
        <v>7.6</v>
      </c>
      <c r="C9">
        <v>5.9</v>
      </c>
      <c r="D9">
        <v>5.6</v>
      </c>
      <c r="E9">
        <v>5.3</v>
      </c>
      <c r="F9">
        <v>5.0999999999999996</v>
      </c>
      <c r="G9">
        <v>5.2</v>
      </c>
    </row>
    <row r="10" spans="1:7">
      <c r="A10" s="200" t="s">
        <v>266</v>
      </c>
      <c r="B10" t="s">
        <v>8733</v>
      </c>
      <c r="C10" t="s">
        <v>8734</v>
      </c>
      <c r="D10" t="s">
        <v>8735</v>
      </c>
      <c r="E10" t="s">
        <v>8736</v>
      </c>
      <c r="F10" t="s">
        <v>8737</v>
      </c>
      <c r="G10" t="s">
        <v>8738</v>
      </c>
    </row>
    <row r="11" spans="1:7">
      <c r="A11" s="200" t="s">
        <v>7955</v>
      </c>
      <c r="B11" t="s">
        <v>8739</v>
      </c>
      <c r="C11" t="s">
        <v>8740</v>
      </c>
      <c r="D11" t="s">
        <v>8741</v>
      </c>
      <c r="E11" t="s">
        <v>8740</v>
      </c>
      <c r="F11" t="s">
        <v>8740</v>
      </c>
      <c r="G11" t="s">
        <v>8724</v>
      </c>
    </row>
    <row r="12" spans="1:7">
      <c r="A12" s="200" t="s">
        <v>268</v>
      </c>
      <c r="B12" t="s">
        <v>8742</v>
      </c>
      <c r="C12" t="s">
        <v>8726</v>
      </c>
      <c r="D12" t="s">
        <v>8743</v>
      </c>
      <c r="E12" t="s">
        <v>8743</v>
      </c>
      <c r="F12" t="s">
        <v>8743</v>
      </c>
      <c r="G12" t="s">
        <v>8744</v>
      </c>
    </row>
    <row r="13" spans="1:7">
      <c r="A13" s="200" t="s">
        <v>269</v>
      </c>
      <c r="B13" t="s">
        <v>8745</v>
      </c>
      <c r="C13" t="s">
        <v>8746</v>
      </c>
      <c r="D13" t="s">
        <v>8747</v>
      </c>
      <c r="E13" t="s">
        <v>8748</v>
      </c>
      <c r="F13" t="s">
        <v>8748</v>
      </c>
      <c r="G13" t="s">
        <v>8749</v>
      </c>
    </row>
    <row r="14" spans="1:7">
      <c r="A14" s="200" t="s">
        <v>270</v>
      </c>
      <c r="B14" t="s">
        <v>8750</v>
      </c>
      <c r="C14" t="s">
        <v>8751</v>
      </c>
      <c r="D14" t="s">
        <v>8752</v>
      </c>
      <c r="E14" t="s">
        <v>8753</v>
      </c>
      <c r="F14" t="s">
        <v>8754</v>
      </c>
      <c r="G14" t="s">
        <v>8755</v>
      </c>
    </row>
    <row r="15" spans="1:7">
      <c r="A15" s="200" t="s">
        <v>7959</v>
      </c>
      <c r="B15" t="s">
        <v>8756</v>
      </c>
      <c r="C15" t="s">
        <v>8757</v>
      </c>
      <c r="D15" t="s">
        <v>8758</v>
      </c>
      <c r="E15" t="s">
        <v>8759</v>
      </c>
      <c r="F15" t="s">
        <v>8759</v>
      </c>
      <c r="G15" t="s">
        <v>8760</v>
      </c>
    </row>
    <row r="16" spans="1:7">
      <c r="A16" s="200" t="s">
        <v>283</v>
      </c>
      <c r="B16" t="s">
        <v>8761</v>
      </c>
      <c r="C16" t="s">
        <v>8762</v>
      </c>
      <c r="D16" t="s">
        <v>8761</v>
      </c>
      <c r="E16" t="s">
        <v>8761</v>
      </c>
      <c r="F16" t="s">
        <v>8762</v>
      </c>
      <c r="G16" t="s">
        <v>8761</v>
      </c>
    </row>
    <row r="17" spans="1:7">
      <c r="A17" s="200" t="s">
        <v>285</v>
      </c>
      <c r="B17" t="s">
        <v>8763</v>
      </c>
      <c r="C17" t="s">
        <v>8764</v>
      </c>
      <c r="D17" t="s">
        <v>8765</v>
      </c>
      <c r="E17" t="s">
        <v>8766</v>
      </c>
      <c r="F17" t="s">
        <v>8767</v>
      </c>
      <c r="G17" t="s">
        <v>8768</v>
      </c>
    </row>
    <row r="18" spans="1:7">
      <c r="A18" s="200" t="s">
        <v>286</v>
      </c>
      <c r="B18" t="s">
        <v>8769</v>
      </c>
      <c r="C18" t="s">
        <v>8767</v>
      </c>
      <c r="D18" t="s">
        <v>8770</v>
      </c>
      <c r="E18" t="s">
        <v>8771</v>
      </c>
      <c r="F18" t="s">
        <v>8772</v>
      </c>
      <c r="G18" t="s">
        <v>8771</v>
      </c>
    </row>
    <row r="19" spans="1:7">
      <c r="A19" s="200" t="s">
        <v>287</v>
      </c>
      <c r="B19">
        <v>5.3</v>
      </c>
      <c r="C19">
        <v>5.5</v>
      </c>
      <c r="D19">
        <v>5.5</v>
      </c>
      <c r="E19">
        <v>5.9</v>
      </c>
      <c r="F19">
        <v>5.9</v>
      </c>
      <c r="G19">
        <v>5.8</v>
      </c>
    </row>
    <row r="20" spans="1:7">
      <c r="A20" s="200" t="s">
        <v>288</v>
      </c>
      <c r="B20">
        <v>0.7</v>
      </c>
      <c r="C20">
        <v>0.6</v>
      </c>
      <c r="D20">
        <v>0.5</v>
      </c>
      <c r="E20">
        <v>0.5</v>
      </c>
      <c r="F20">
        <v>0.5</v>
      </c>
      <c r="G20">
        <v>0.5</v>
      </c>
    </row>
    <row r="21" spans="1:7">
      <c r="A21" s="200" t="s">
        <v>7968</v>
      </c>
      <c r="B21">
        <v>0.6</v>
      </c>
      <c r="C21">
        <v>0.6</v>
      </c>
      <c r="D21">
        <v>0.9</v>
      </c>
      <c r="E21">
        <v>0.3</v>
      </c>
      <c r="F21">
        <v>0.4</v>
      </c>
      <c r="G21">
        <v>0.3</v>
      </c>
    </row>
    <row r="22" spans="1:7">
      <c r="A22" s="200" t="s">
        <v>295</v>
      </c>
      <c r="B22">
        <v>15</v>
      </c>
      <c r="C22">
        <v>10.199999999999999</v>
      </c>
      <c r="D22">
        <v>9.1999999999999993</v>
      </c>
      <c r="E22">
        <v>8.8000000000000007</v>
      </c>
      <c r="F22">
        <v>8.8000000000000007</v>
      </c>
      <c r="G22">
        <v>8.8000000000000007</v>
      </c>
    </row>
    <row r="23" spans="1:7">
      <c r="A23" s="200" t="s">
        <v>271</v>
      </c>
      <c r="B23">
        <v>4.9000000000000004</v>
      </c>
      <c r="C23">
        <v>4.3</v>
      </c>
      <c r="D23">
        <v>3.7</v>
      </c>
      <c r="E23">
        <v>3.2</v>
      </c>
      <c r="F23">
        <v>3.2</v>
      </c>
      <c r="G23">
        <v>3</v>
      </c>
    </row>
    <row r="24" spans="1:7">
      <c r="A24" s="200" t="s">
        <v>296</v>
      </c>
      <c r="B24" t="s">
        <v>8773</v>
      </c>
      <c r="C24" t="s">
        <v>8774</v>
      </c>
      <c r="D24" t="s">
        <v>8775</v>
      </c>
      <c r="E24" t="s">
        <v>8776</v>
      </c>
      <c r="F24" t="s">
        <v>8776</v>
      </c>
      <c r="G24" t="s">
        <v>8777</v>
      </c>
    </row>
    <row r="25" spans="1:7">
      <c r="A25" s="200" t="s">
        <v>7976</v>
      </c>
      <c r="B25" t="s">
        <v>8762</v>
      </c>
      <c r="C25" t="s">
        <v>8778</v>
      </c>
      <c r="D25" t="s">
        <v>8779</v>
      </c>
      <c r="E25" t="s">
        <v>8779</v>
      </c>
      <c r="F25" t="s">
        <v>8779</v>
      </c>
      <c r="G25" t="s">
        <v>8780</v>
      </c>
    </row>
    <row r="26" spans="1:7">
      <c r="A26" s="200" t="s">
        <v>297</v>
      </c>
      <c r="B26" t="s">
        <v>8778</v>
      </c>
      <c r="C26" t="s">
        <v>8781</v>
      </c>
      <c r="D26" t="s">
        <v>8782</v>
      </c>
      <c r="E26" t="s">
        <v>8782</v>
      </c>
      <c r="F26" t="s">
        <v>8782</v>
      </c>
      <c r="G26" t="s">
        <v>8782</v>
      </c>
    </row>
    <row r="27" spans="1:7">
      <c r="A27" s="200" t="s">
        <v>281</v>
      </c>
      <c r="B27" t="s">
        <v>8783</v>
      </c>
      <c r="C27" t="s">
        <v>8783</v>
      </c>
      <c r="D27" t="s">
        <v>8783</v>
      </c>
      <c r="E27" t="s">
        <v>8783</v>
      </c>
      <c r="F27" t="s">
        <v>8783</v>
      </c>
      <c r="G27" t="s">
        <v>8783</v>
      </c>
    </row>
    <row r="28" spans="1:7">
      <c r="A28" s="200" t="s">
        <v>7980</v>
      </c>
      <c r="B28" t="s">
        <v>8784</v>
      </c>
      <c r="C28" t="s">
        <v>8785</v>
      </c>
      <c r="D28" t="s">
        <v>8786</v>
      </c>
      <c r="E28" t="s">
        <v>8787</v>
      </c>
      <c r="F28" t="s">
        <v>8787</v>
      </c>
      <c r="G28" t="s">
        <v>8788</v>
      </c>
    </row>
    <row r="29" spans="1:7">
      <c r="A29" s="200" t="s">
        <v>273</v>
      </c>
      <c r="B29" t="s">
        <v>8764</v>
      </c>
      <c r="C29" t="s">
        <v>8789</v>
      </c>
      <c r="D29" t="s">
        <v>8790</v>
      </c>
      <c r="E29" t="s">
        <v>8791</v>
      </c>
      <c r="F29" t="s">
        <v>8791</v>
      </c>
      <c r="G29" t="s">
        <v>8792</v>
      </c>
    </row>
    <row r="30" spans="1:7">
      <c r="A30" s="200" t="s">
        <v>289</v>
      </c>
      <c r="B30" t="s">
        <v>8780</v>
      </c>
      <c r="C30" t="s">
        <v>8780</v>
      </c>
      <c r="D30" t="s">
        <v>8780</v>
      </c>
      <c r="E30" t="s">
        <v>8780</v>
      </c>
      <c r="F30" t="s">
        <v>8780</v>
      </c>
      <c r="G30" t="s">
        <v>8780</v>
      </c>
    </row>
    <row r="31" spans="1:7">
      <c r="A31" s="200" t="s">
        <v>7984</v>
      </c>
      <c r="B31" t="s">
        <v>8793</v>
      </c>
      <c r="C31" t="s">
        <v>8793</v>
      </c>
      <c r="D31" t="s">
        <v>8793</v>
      </c>
      <c r="E31" t="s">
        <v>8781</v>
      </c>
      <c r="F31" t="s">
        <v>8781</v>
      </c>
      <c r="G31" t="s">
        <v>8781</v>
      </c>
    </row>
    <row r="32" spans="1:7">
      <c r="A32" s="200" t="s">
        <v>290</v>
      </c>
      <c r="B32" t="s">
        <v>8794</v>
      </c>
      <c r="C32" t="s">
        <v>8794</v>
      </c>
      <c r="D32" t="s">
        <v>8795</v>
      </c>
      <c r="E32" t="s">
        <v>8796</v>
      </c>
      <c r="F32" t="s">
        <v>8797</v>
      </c>
      <c r="G32" t="s">
        <v>8796</v>
      </c>
    </row>
    <row r="33" spans="1:7">
      <c r="A33" s="200" t="s">
        <v>7987</v>
      </c>
      <c r="B33" t="s">
        <v>8798</v>
      </c>
      <c r="C33" t="s">
        <v>8799</v>
      </c>
      <c r="D33" t="s">
        <v>8800</v>
      </c>
      <c r="E33" t="s">
        <v>8768</v>
      </c>
      <c r="F33" t="s">
        <v>8772</v>
      </c>
      <c r="G33" t="s">
        <v>8767</v>
      </c>
    </row>
    <row r="34" spans="1:7">
      <c r="A34" s="200" t="s">
        <v>7989</v>
      </c>
      <c r="B34" t="s">
        <v>8796</v>
      </c>
      <c r="C34" t="s">
        <v>8772</v>
      </c>
      <c r="D34" t="s">
        <v>8801</v>
      </c>
      <c r="E34" t="s">
        <v>8802</v>
      </c>
      <c r="F34" t="s">
        <v>8802</v>
      </c>
      <c r="G34" t="s">
        <v>8802</v>
      </c>
    </row>
    <row r="35" spans="1:7">
      <c r="A35" t="s">
        <v>291</v>
      </c>
      <c r="B35" t="s">
        <v>9269</v>
      </c>
      <c r="C35" t="s">
        <v>8762</v>
      </c>
      <c r="D35" t="s">
        <v>8779</v>
      </c>
      <c r="E35" t="s">
        <v>8793</v>
      </c>
      <c r="F35" t="s">
        <v>8793</v>
      </c>
      <c r="G35" t="s">
        <v>8793</v>
      </c>
    </row>
    <row r="36" spans="1:7">
      <c r="A36" t="s">
        <v>7991</v>
      </c>
      <c r="B36" t="s">
        <v>9270</v>
      </c>
      <c r="C36" t="s">
        <v>9271</v>
      </c>
      <c r="D36" t="s">
        <v>9272</v>
      </c>
    </row>
    <row r="37" spans="1:7">
      <c r="A37" t="s">
        <v>274</v>
      </c>
      <c r="D37" t="s">
        <v>8714</v>
      </c>
      <c r="E37" t="s">
        <v>9273</v>
      </c>
      <c r="F37" t="s">
        <v>9273</v>
      </c>
      <c r="G37" t="s">
        <v>9274</v>
      </c>
    </row>
    <row r="38" spans="1:7">
      <c r="A38" t="s">
        <v>292</v>
      </c>
      <c r="B38" t="s">
        <v>8782</v>
      </c>
      <c r="C38" t="s">
        <v>8782</v>
      </c>
      <c r="D38" t="s">
        <v>8782</v>
      </c>
      <c r="E38" t="s">
        <v>8782</v>
      </c>
      <c r="F38" t="s">
        <v>8782</v>
      </c>
      <c r="G38" t="s">
        <v>8782</v>
      </c>
    </row>
    <row r="39" spans="1:7">
      <c r="A39" t="s">
        <v>7996</v>
      </c>
      <c r="B39" t="s">
        <v>8782</v>
      </c>
      <c r="C39" t="s">
        <v>8782</v>
      </c>
      <c r="D39" t="s">
        <v>8782</v>
      </c>
      <c r="E39" t="s">
        <v>8782</v>
      </c>
      <c r="F39" t="s">
        <v>8782</v>
      </c>
      <c r="G39" t="s">
        <v>8782</v>
      </c>
    </row>
    <row r="40" spans="1:7">
      <c r="A40" t="s">
        <v>7999</v>
      </c>
      <c r="B40" t="s">
        <v>8782</v>
      </c>
      <c r="C40" t="s">
        <v>8782</v>
      </c>
      <c r="D40" t="s">
        <v>8782</v>
      </c>
      <c r="E40" t="s">
        <v>8782</v>
      </c>
      <c r="F40" t="s">
        <v>8782</v>
      </c>
      <c r="G40" t="s">
        <v>8782</v>
      </c>
    </row>
    <row r="41" spans="1:7">
      <c r="A41" t="s">
        <v>8001</v>
      </c>
      <c r="B41" t="s">
        <v>8782</v>
      </c>
      <c r="C41" t="s">
        <v>8782</v>
      </c>
      <c r="D41" t="s">
        <v>8782</v>
      </c>
      <c r="E41" t="s">
        <v>8782</v>
      </c>
      <c r="F41" t="s">
        <v>8782</v>
      </c>
      <c r="G41" t="s">
        <v>8782</v>
      </c>
    </row>
    <row r="42" spans="1:7">
      <c r="A42" t="s">
        <v>275</v>
      </c>
      <c r="E42" t="s">
        <v>9275</v>
      </c>
      <c r="F42" t="s">
        <v>9275</v>
      </c>
      <c r="G42" t="s">
        <v>9275</v>
      </c>
    </row>
    <row r="43" spans="1:7">
      <c r="A43" t="s">
        <v>8004</v>
      </c>
      <c r="B43" t="s">
        <v>8778</v>
      </c>
      <c r="C43" t="s">
        <v>8779</v>
      </c>
      <c r="D43" t="s">
        <v>8779</v>
      </c>
      <c r="E43" t="s">
        <v>8779</v>
      </c>
      <c r="F43" t="s">
        <v>8779</v>
      </c>
      <c r="G43" t="s">
        <v>8779</v>
      </c>
    </row>
    <row r="44" spans="1:7">
      <c r="A44" t="s">
        <v>8006</v>
      </c>
      <c r="B44" t="s">
        <v>8763</v>
      </c>
      <c r="C44" t="s">
        <v>8798</v>
      </c>
      <c r="D44" t="s">
        <v>8767</v>
      </c>
      <c r="E44" t="s">
        <v>8767</v>
      </c>
      <c r="F44" t="s">
        <v>8767</v>
      </c>
      <c r="G44" t="s">
        <v>8768</v>
      </c>
    </row>
    <row r="45" spans="1:7">
      <c r="A45" t="s">
        <v>8008</v>
      </c>
      <c r="B45" t="s">
        <v>9276</v>
      </c>
      <c r="C45" t="s">
        <v>9277</v>
      </c>
      <c r="D45" t="s">
        <v>9278</v>
      </c>
      <c r="E45" t="s">
        <v>9278</v>
      </c>
      <c r="F45" t="s">
        <v>9278</v>
      </c>
      <c r="G45" t="s">
        <v>9279</v>
      </c>
    </row>
    <row r="46" spans="1:7">
      <c r="A46" t="s">
        <v>8011</v>
      </c>
      <c r="B46" t="s">
        <v>8771</v>
      </c>
      <c r="C46" t="s">
        <v>8766</v>
      </c>
      <c r="D46" t="s">
        <v>8766</v>
      </c>
      <c r="E46" t="s">
        <v>8797</v>
      </c>
      <c r="F46" t="s">
        <v>8796</v>
      </c>
      <c r="G46" t="s">
        <v>8794</v>
      </c>
    </row>
    <row r="47" spans="1:7">
      <c r="A47" t="s">
        <v>8013</v>
      </c>
      <c r="B47" t="s">
        <v>8779</v>
      </c>
      <c r="C47" t="s">
        <v>8779</v>
      </c>
      <c r="D47" t="s">
        <v>8779</v>
      </c>
      <c r="E47" t="s">
        <v>8779</v>
      </c>
      <c r="F47" t="s">
        <v>8779</v>
      </c>
      <c r="G47" t="s">
        <v>8779</v>
      </c>
    </row>
    <row r="48" spans="1:7">
      <c r="A48" t="s">
        <v>293</v>
      </c>
      <c r="B48" t="s">
        <v>8801</v>
      </c>
      <c r="C48" t="s">
        <v>8802</v>
      </c>
      <c r="D48" t="s">
        <v>9280</v>
      </c>
      <c r="E48" t="s">
        <v>9280</v>
      </c>
      <c r="F48" t="s">
        <v>9280</v>
      </c>
      <c r="G48" t="s">
        <v>9281</v>
      </c>
    </row>
    <row r="49" spans="1:7">
      <c r="A49" t="s">
        <v>8017</v>
      </c>
      <c r="B49" t="s">
        <v>9282</v>
      </c>
      <c r="C49" t="s">
        <v>9282</v>
      </c>
      <c r="D49" t="s">
        <v>9282</v>
      </c>
      <c r="E49" t="s">
        <v>9282</v>
      </c>
      <c r="F49" t="s">
        <v>9282</v>
      </c>
      <c r="G49" t="s">
        <v>9282</v>
      </c>
    </row>
    <row r="50" spans="1:7">
      <c r="A50" t="s">
        <v>8019</v>
      </c>
      <c r="B50" t="s">
        <v>8793</v>
      </c>
      <c r="C50" t="s">
        <v>8781</v>
      </c>
      <c r="D50" t="s">
        <v>8781</v>
      </c>
      <c r="E50" t="s">
        <v>8781</v>
      </c>
      <c r="F50" t="s">
        <v>8781</v>
      </c>
      <c r="G50" t="s">
        <v>8781</v>
      </c>
    </row>
    <row r="51" spans="1:7">
      <c r="A51" t="s">
        <v>282</v>
      </c>
      <c r="B51" t="s">
        <v>9283</v>
      </c>
      <c r="C51" t="s">
        <v>9283</v>
      </c>
      <c r="D51" t="s">
        <v>9283</v>
      </c>
      <c r="E51" t="s">
        <v>9283</v>
      </c>
      <c r="F51" t="s">
        <v>9283</v>
      </c>
      <c r="G51" t="s">
        <v>9283</v>
      </c>
    </row>
    <row r="52" spans="1:7">
      <c r="A52" t="s">
        <v>8023</v>
      </c>
      <c r="B52" t="s">
        <v>8761</v>
      </c>
      <c r="C52" t="s">
        <v>8793</v>
      </c>
      <c r="D52" t="s">
        <v>8793</v>
      </c>
      <c r="E52" t="s">
        <v>8780</v>
      </c>
      <c r="F52" t="s">
        <v>8793</v>
      </c>
      <c r="G52" t="s">
        <v>8793</v>
      </c>
    </row>
    <row r="53" spans="1:7">
      <c r="A53" t="s">
        <v>8026</v>
      </c>
      <c r="B53" t="s">
        <v>9284</v>
      </c>
      <c r="C53" t="s">
        <v>9285</v>
      </c>
      <c r="D53" t="s">
        <v>8791</v>
      </c>
      <c r="E53" t="s">
        <v>8791</v>
      </c>
      <c r="F53" t="s">
        <v>8791</v>
      </c>
      <c r="G53" t="s">
        <v>8792</v>
      </c>
    </row>
    <row r="54" spans="1:7">
      <c r="A54" t="s">
        <v>8028</v>
      </c>
      <c r="B54" t="s">
        <v>9286</v>
      </c>
      <c r="C54" t="s">
        <v>9287</v>
      </c>
      <c r="D54" t="s">
        <v>9288</v>
      </c>
      <c r="E54" t="s">
        <v>9288</v>
      </c>
      <c r="F54" t="s">
        <v>9288</v>
      </c>
      <c r="G54" t="s">
        <v>9289</v>
      </c>
    </row>
    <row r="55" spans="1:7">
      <c r="A55" t="s">
        <v>8031</v>
      </c>
      <c r="B55" t="s">
        <v>9290</v>
      </c>
      <c r="C55" t="s">
        <v>9291</v>
      </c>
      <c r="D55" t="s">
        <v>9292</v>
      </c>
      <c r="E55" t="s">
        <v>9292</v>
      </c>
      <c r="F55" t="s">
        <v>9292</v>
      </c>
      <c r="G55" t="s">
        <v>9293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FE7ED-9279-0841-B1E4-D9DCA0C2A881}">
  <dimension ref="A1:BA55"/>
  <sheetViews>
    <sheetView zoomScale="75" zoomScaleNormal="90" workbookViewId="0">
      <selection activeCell="J8" sqref="J8"/>
    </sheetView>
  </sheetViews>
  <sheetFormatPr baseColWidth="10" defaultRowHeight="16"/>
  <sheetData>
    <row r="1" spans="1:53">
      <c r="A1" s="1" t="s">
        <v>40</v>
      </c>
    </row>
    <row r="2" spans="1:53" ht="17" thickBot="1"/>
    <row r="3" spans="1:53" ht="17" thickBot="1">
      <c r="A3" s="271" t="s">
        <v>175</v>
      </c>
      <c r="B3" s="272">
        <v>2007</v>
      </c>
      <c r="C3" s="272" t="s">
        <v>7766</v>
      </c>
      <c r="D3" s="272">
        <v>2008</v>
      </c>
      <c r="E3" s="272" t="s">
        <v>7767</v>
      </c>
      <c r="F3" s="272">
        <v>2009</v>
      </c>
      <c r="G3" s="272" t="s">
        <v>7768</v>
      </c>
      <c r="H3" s="272">
        <v>2010</v>
      </c>
      <c r="I3" s="272" t="s">
        <v>7769</v>
      </c>
      <c r="J3" s="272">
        <v>2011</v>
      </c>
      <c r="K3" s="272" t="s">
        <v>7770</v>
      </c>
      <c r="L3" s="272">
        <v>2012</v>
      </c>
      <c r="M3" s="272" t="s">
        <v>7771</v>
      </c>
      <c r="N3" s="272">
        <v>2013</v>
      </c>
      <c r="O3" s="272" t="s">
        <v>7772</v>
      </c>
      <c r="P3" s="272">
        <v>2014</v>
      </c>
      <c r="Q3" s="272" t="s">
        <v>7773</v>
      </c>
      <c r="R3" s="272">
        <v>2015</v>
      </c>
      <c r="S3" s="272" t="s">
        <v>7774</v>
      </c>
      <c r="T3" s="272">
        <v>2016</v>
      </c>
      <c r="U3" s="272" t="s">
        <v>7775</v>
      </c>
      <c r="V3" s="272">
        <v>2017</v>
      </c>
      <c r="W3" s="272" t="s">
        <v>7776</v>
      </c>
      <c r="X3" s="272">
        <v>2018</v>
      </c>
      <c r="Y3" s="272" t="s">
        <v>7777</v>
      </c>
      <c r="Z3" s="272">
        <v>2019</v>
      </c>
      <c r="AA3" s="272" t="s">
        <v>7778</v>
      </c>
      <c r="AB3" s="272">
        <v>2020</v>
      </c>
      <c r="AC3" s="272" t="s">
        <v>7779</v>
      </c>
      <c r="AD3" s="272">
        <v>2021</v>
      </c>
      <c r="AE3" s="272" t="s">
        <v>7780</v>
      </c>
      <c r="AF3" s="272">
        <v>2022</v>
      </c>
      <c r="AG3" s="272" t="s">
        <v>7781</v>
      </c>
      <c r="AH3" s="272">
        <v>2023</v>
      </c>
      <c r="AI3" s="272" t="s">
        <v>7782</v>
      </c>
      <c r="AJ3" s="272">
        <v>2024</v>
      </c>
      <c r="AK3" s="272" t="s">
        <v>7783</v>
      </c>
      <c r="AL3" s="272">
        <v>2025</v>
      </c>
      <c r="AM3" s="272" t="s">
        <v>7784</v>
      </c>
      <c r="AN3" s="272">
        <v>2026</v>
      </c>
      <c r="AO3" s="272" t="s">
        <v>7785</v>
      </c>
      <c r="AP3" s="272">
        <v>2027</v>
      </c>
      <c r="AQ3" s="272" t="s">
        <v>7786</v>
      </c>
      <c r="AR3" s="272">
        <v>2028</v>
      </c>
      <c r="AS3" s="272" t="s">
        <v>7787</v>
      </c>
      <c r="AT3" s="272">
        <v>2029</v>
      </c>
      <c r="AU3" s="272" t="s">
        <v>7788</v>
      </c>
      <c r="AV3" s="272">
        <v>2030</v>
      </c>
      <c r="AW3" s="272" t="s">
        <v>7789</v>
      </c>
      <c r="AX3" s="272">
        <v>2031</v>
      </c>
      <c r="AY3" s="273" t="s">
        <v>7790</v>
      </c>
      <c r="AZ3" s="269"/>
      <c r="BA3" s="269"/>
    </row>
    <row r="4" spans="1:53">
      <c r="A4" s="270"/>
      <c r="B4" s="269"/>
      <c r="C4" s="269"/>
      <c r="D4" s="269"/>
      <c r="E4" s="269"/>
      <c r="F4" s="269"/>
      <c r="G4" s="269"/>
      <c r="H4" s="269"/>
      <c r="I4" s="269"/>
      <c r="J4" s="269"/>
      <c r="K4" s="269"/>
      <c r="L4" s="269"/>
      <c r="M4" s="269"/>
      <c r="N4" s="269"/>
      <c r="O4" s="269"/>
      <c r="P4" s="269"/>
      <c r="Q4" s="269"/>
      <c r="R4" s="269"/>
      <c r="S4" s="269"/>
      <c r="T4" s="269"/>
      <c r="U4" s="269"/>
      <c r="V4" s="269"/>
      <c r="W4" s="269"/>
      <c r="X4" s="269"/>
      <c r="Y4" s="269"/>
      <c r="Z4" s="269"/>
      <c r="AA4" s="269"/>
      <c r="AB4" s="269"/>
      <c r="AC4" s="269"/>
      <c r="AD4" s="269"/>
      <c r="AE4" s="269"/>
      <c r="AF4" s="269"/>
      <c r="AG4" s="269"/>
      <c r="AH4" s="269"/>
      <c r="AI4" s="269"/>
      <c r="AJ4" s="269"/>
      <c r="AK4" s="269"/>
      <c r="AL4" s="269"/>
      <c r="AM4" s="269"/>
      <c r="AN4" s="269"/>
      <c r="AO4" s="269"/>
      <c r="AP4" s="269"/>
      <c r="AQ4" s="269"/>
      <c r="AR4" s="269"/>
      <c r="AS4" s="269"/>
      <c r="AT4" s="269"/>
      <c r="AU4" s="269"/>
      <c r="AV4" s="269"/>
      <c r="AW4" s="269"/>
      <c r="AX4" s="269"/>
      <c r="AY4" s="269"/>
      <c r="AZ4" s="269"/>
      <c r="BA4" s="269"/>
    </row>
    <row r="5" spans="1:53" ht="17" thickBot="1">
      <c r="A5" s="274"/>
      <c r="B5" s="269"/>
      <c r="C5" s="269"/>
      <c r="D5" s="269"/>
      <c r="E5" s="269"/>
      <c r="F5" s="269"/>
      <c r="G5" s="269"/>
      <c r="H5" s="269"/>
      <c r="I5" s="269"/>
      <c r="J5" s="269"/>
      <c r="K5" s="269"/>
      <c r="L5" s="269"/>
      <c r="M5" s="269"/>
      <c r="N5" s="269"/>
      <c r="O5" s="269"/>
      <c r="P5" s="269"/>
      <c r="Q5" s="269"/>
      <c r="R5" s="269"/>
      <c r="S5" s="269"/>
      <c r="T5" s="269"/>
      <c r="U5" s="269"/>
      <c r="V5" s="269"/>
      <c r="W5" s="269"/>
      <c r="X5" s="269"/>
      <c r="Y5" s="269"/>
      <c r="Z5" s="269"/>
      <c r="AA5" s="269"/>
      <c r="AB5" s="269"/>
      <c r="AC5" s="269"/>
      <c r="AD5" s="269"/>
      <c r="AE5" s="269"/>
      <c r="AF5" s="269"/>
      <c r="AG5" s="269"/>
      <c r="AH5" s="269"/>
      <c r="AI5" s="269"/>
      <c r="AJ5" s="269"/>
      <c r="AK5" s="269"/>
      <c r="AL5" s="269"/>
      <c r="AM5" s="269"/>
      <c r="AN5" s="269"/>
      <c r="AO5" s="269"/>
      <c r="AP5" s="269"/>
      <c r="AQ5" s="269"/>
      <c r="AR5" s="269"/>
      <c r="AS5" s="269"/>
      <c r="AT5" s="269"/>
      <c r="AU5" s="269"/>
      <c r="AV5" s="269"/>
      <c r="AW5" s="269"/>
      <c r="AX5" s="269"/>
      <c r="AY5" s="269"/>
      <c r="AZ5" s="269"/>
      <c r="BA5" s="269"/>
    </row>
    <row r="6" spans="1:53">
      <c r="A6" s="275" t="s">
        <v>437</v>
      </c>
      <c r="B6" s="276">
        <v>0.15427778182143695</v>
      </c>
      <c r="C6" s="276">
        <v>0.15427778182143695</v>
      </c>
      <c r="D6" s="276">
        <v>0.15427778182143695</v>
      </c>
      <c r="E6" s="276">
        <v>0.15427778182143695</v>
      </c>
      <c r="F6" s="276">
        <v>0.15427778182143695</v>
      </c>
      <c r="G6" s="276">
        <v>0.15427778182143695</v>
      </c>
      <c r="H6" s="276">
        <v>0.15427778182143695</v>
      </c>
      <c r="I6" s="276">
        <v>0.15427778182143695</v>
      </c>
      <c r="J6" s="276">
        <v>0.15427778182143695</v>
      </c>
      <c r="K6" s="276">
        <v>0.15427778182143695</v>
      </c>
      <c r="L6" s="276">
        <v>0.15427778182143695</v>
      </c>
      <c r="M6" s="276">
        <v>0.15427778182143695</v>
      </c>
      <c r="N6" s="276">
        <v>0.15427778182143695</v>
      </c>
      <c r="O6" s="276">
        <v>0.15427778182143695</v>
      </c>
      <c r="P6" s="276">
        <v>0.15427778182143695</v>
      </c>
      <c r="Q6" s="276">
        <v>0.15427778182143695</v>
      </c>
      <c r="R6" s="276">
        <v>0.15427778182143695</v>
      </c>
      <c r="S6" s="276">
        <v>0.15427778182143695</v>
      </c>
      <c r="T6" s="276">
        <v>0.15427778182143695</v>
      </c>
      <c r="U6" s="276">
        <v>0.15427778182143695</v>
      </c>
      <c r="V6" s="276">
        <v>0.15427778182143695</v>
      </c>
      <c r="W6" s="276">
        <v>0.15427778182143695</v>
      </c>
      <c r="X6" s="276">
        <v>0.15427778182143695</v>
      </c>
      <c r="Y6" s="276">
        <v>0.15427778182143695</v>
      </c>
      <c r="Z6" s="276">
        <v>0.15427778182143695</v>
      </c>
      <c r="AA6" s="276">
        <v>0.15427778182143695</v>
      </c>
      <c r="AB6" s="276">
        <v>0.15427778182143695</v>
      </c>
      <c r="AC6" s="276">
        <v>0.15427778182143695</v>
      </c>
      <c r="AD6" s="276">
        <v>0.15427778182143695</v>
      </c>
      <c r="AE6" s="276">
        <v>0.15427778182143695</v>
      </c>
      <c r="AF6" s="276">
        <v>0.15427778182143695</v>
      </c>
      <c r="AG6" s="276">
        <v>0.15427778182143695</v>
      </c>
      <c r="AH6" s="276">
        <v>0.15427778182143695</v>
      </c>
      <c r="AI6" s="276">
        <v>0.15427778182143695</v>
      </c>
      <c r="AJ6" s="276">
        <v>0.15427778182143695</v>
      </c>
      <c r="AK6" s="276">
        <v>0.15427778182143695</v>
      </c>
      <c r="AL6" s="276">
        <v>0.15427778182143695</v>
      </c>
      <c r="AM6" s="276">
        <v>0.15427778182143695</v>
      </c>
      <c r="AN6" s="276">
        <v>0.15427778182143695</v>
      </c>
      <c r="AO6" s="276">
        <v>0.15427778182143695</v>
      </c>
      <c r="AP6" s="276">
        <v>0.15427778182143695</v>
      </c>
      <c r="AQ6" s="276">
        <v>0.15427778182143695</v>
      </c>
      <c r="AR6" s="276">
        <v>0.15427778182143695</v>
      </c>
      <c r="AS6" s="276">
        <v>0.15427778182143695</v>
      </c>
      <c r="AT6" s="276">
        <v>0.15427778182143695</v>
      </c>
      <c r="AU6" s="276">
        <v>0.15427778182143695</v>
      </c>
      <c r="AV6" s="276">
        <v>0.15427778182143695</v>
      </c>
      <c r="AW6" s="276">
        <v>0.15427778182143695</v>
      </c>
      <c r="AX6" s="276">
        <v>0.15427778182143695</v>
      </c>
      <c r="AY6" s="277">
        <v>0.15427778182143695</v>
      </c>
    </row>
    <row r="7" spans="1:53">
      <c r="A7" s="278" t="s">
        <v>217</v>
      </c>
      <c r="B7" s="279">
        <v>1.7872055322884335E-2</v>
      </c>
      <c r="C7" s="279">
        <v>1.7872055322884335E-2</v>
      </c>
      <c r="D7" s="279">
        <v>1.7872055322884335E-2</v>
      </c>
      <c r="E7" s="279">
        <v>1.7872055322884335E-2</v>
      </c>
      <c r="F7" s="279">
        <v>1.7872055322884335E-2</v>
      </c>
      <c r="G7" s="279">
        <v>1.7872055322884335E-2</v>
      </c>
      <c r="H7" s="279">
        <v>1.7872055322884335E-2</v>
      </c>
      <c r="I7" s="279">
        <v>1.7872055322884335E-2</v>
      </c>
      <c r="J7" s="279">
        <v>1.7872055322884335E-2</v>
      </c>
      <c r="K7" s="279">
        <v>1.7872055322884335E-2</v>
      </c>
      <c r="L7" s="279">
        <v>1.7872055322884335E-2</v>
      </c>
      <c r="M7" s="279">
        <v>1.7872055322884335E-2</v>
      </c>
      <c r="N7" s="279">
        <v>1.7872055322884335E-2</v>
      </c>
      <c r="O7" s="279">
        <v>1.7872055322884335E-2</v>
      </c>
      <c r="P7" s="279">
        <v>1.7872055322884335E-2</v>
      </c>
      <c r="Q7" s="279">
        <v>1.7872055322884335E-2</v>
      </c>
      <c r="R7" s="279">
        <v>1.7872055322884335E-2</v>
      </c>
      <c r="S7" s="279">
        <v>1.7872055322884335E-2</v>
      </c>
      <c r="T7" s="279">
        <v>1.7872055322884335E-2</v>
      </c>
      <c r="U7" s="279">
        <v>1.7872055322884335E-2</v>
      </c>
      <c r="V7" s="279">
        <v>1.7872055322884335E-2</v>
      </c>
      <c r="W7" s="279">
        <v>1.7872055322884335E-2</v>
      </c>
      <c r="X7" s="279">
        <v>1.7872055322884335E-2</v>
      </c>
      <c r="Y7" s="279">
        <v>1.7872055322884335E-2</v>
      </c>
      <c r="Z7" s="279">
        <v>1.7872055322884335E-2</v>
      </c>
      <c r="AA7" s="279">
        <v>1.7872055322884335E-2</v>
      </c>
      <c r="AB7" s="279">
        <v>1.7872055322884335E-2</v>
      </c>
      <c r="AC7" s="279">
        <v>1.7872055322884335E-2</v>
      </c>
      <c r="AD7" s="279">
        <v>1.7872055322884335E-2</v>
      </c>
      <c r="AE7" s="279">
        <v>1.7872055322884335E-2</v>
      </c>
      <c r="AF7" s="279">
        <v>1.7872055322884335E-2</v>
      </c>
      <c r="AG7" s="279">
        <v>1.7872055322884335E-2</v>
      </c>
      <c r="AH7" s="279">
        <v>1.7872055322884335E-2</v>
      </c>
      <c r="AI7" s="279">
        <v>1.7872055322884335E-2</v>
      </c>
      <c r="AJ7" s="279">
        <v>1.7872055322884335E-2</v>
      </c>
      <c r="AK7" s="279">
        <v>1.7872055322884335E-2</v>
      </c>
      <c r="AL7" s="279">
        <v>1.7872055322884335E-2</v>
      </c>
      <c r="AM7" s="279">
        <v>1.7872055322884335E-2</v>
      </c>
      <c r="AN7" s="279">
        <v>1.7872055322884335E-2</v>
      </c>
      <c r="AO7" s="279">
        <v>1.7872055322884335E-2</v>
      </c>
      <c r="AP7" s="279">
        <v>1.7872055322884335E-2</v>
      </c>
      <c r="AQ7" s="279">
        <v>1.7872055322884335E-2</v>
      </c>
      <c r="AR7" s="279">
        <v>1.7872055322884335E-2</v>
      </c>
      <c r="AS7" s="279">
        <v>1.7872055322884335E-2</v>
      </c>
      <c r="AT7" s="279">
        <v>1.7872055322884335E-2</v>
      </c>
      <c r="AU7" s="279">
        <v>1.7872055322884335E-2</v>
      </c>
      <c r="AV7" s="279">
        <v>1.7872055322884335E-2</v>
      </c>
      <c r="AW7" s="279">
        <v>1.7872055322884335E-2</v>
      </c>
      <c r="AX7" s="279">
        <v>1.7872055322884335E-2</v>
      </c>
      <c r="AY7" s="280">
        <v>1.7872055322884335E-2</v>
      </c>
    </row>
    <row r="8" spans="1:53">
      <c r="A8" s="278" t="s">
        <v>313</v>
      </c>
      <c r="B8" s="279">
        <v>0.11547444329977789</v>
      </c>
      <c r="C8" s="279">
        <v>0.11547444329977789</v>
      </c>
      <c r="D8" s="279">
        <v>0.11547444329977789</v>
      </c>
      <c r="E8" s="279">
        <v>0.11547444329977789</v>
      </c>
      <c r="F8" s="279">
        <v>0.11547444329977789</v>
      </c>
      <c r="G8" s="279">
        <v>0.11547444329977789</v>
      </c>
      <c r="H8" s="279">
        <v>0.11547444329977789</v>
      </c>
      <c r="I8" s="279">
        <v>0.11547444329977789</v>
      </c>
      <c r="J8" s="279">
        <v>0.11547444329977789</v>
      </c>
      <c r="K8" s="279">
        <v>0.11547444329977789</v>
      </c>
      <c r="L8" s="279">
        <v>0.11547444329977789</v>
      </c>
      <c r="M8" s="279">
        <v>0.11547444329977789</v>
      </c>
      <c r="N8" s="279">
        <v>0.11547444329977789</v>
      </c>
      <c r="O8" s="279">
        <v>0.11547444329977789</v>
      </c>
      <c r="P8" s="279">
        <v>0.11547444329977789</v>
      </c>
      <c r="Q8" s="279">
        <v>0.11547444329977789</v>
      </c>
      <c r="R8" s="279">
        <v>0.11547444329977789</v>
      </c>
      <c r="S8" s="279">
        <v>0.11547444329977789</v>
      </c>
      <c r="T8" s="279">
        <v>0.11547444329977789</v>
      </c>
      <c r="U8" s="279">
        <v>0.11547444329977789</v>
      </c>
      <c r="V8" s="279">
        <v>0.11547444329977789</v>
      </c>
      <c r="W8" s="279">
        <v>0.11547444329977789</v>
      </c>
      <c r="X8" s="279">
        <v>0.11547444329977789</v>
      </c>
      <c r="Y8" s="279">
        <v>0.11547444329977789</v>
      </c>
      <c r="Z8" s="279">
        <v>0.11547444329977789</v>
      </c>
      <c r="AA8" s="279">
        <v>0.11547444329977789</v>
      </c>
      <c r="AB8" s="279">
        <v>0.11547444329977789</v>
      </c>
      <c r="AC8" s="279">
        <v>0.11547444329977789</v>
      </c>
      <c r="AD8" s="279">
        <v>0.11547444329977789</v>
      </c>
      <c r="AE8" s="279">
        <v>0.11547444329977789</v>
      </c>
      <c r="AF8" s="279">
        <v>0.11547444329977789</v>
      </c>
      <c r="AG8" s="279">
        <v>0.11547444329977789</v>
      </c>
      <c r="AH8" s="279">
        <v>0.11547444329977789</v>
      </c>
      <c r="AI8" s="279">
        <v>0.11547444329977789</v>
      </c>
      <c r="AJ8" s="279">
        <v>0.11547444329977789</v>
      </c>
      <c r="AK8" s="279">
        <v>0.11547444329977789</v>
      </c>
      <c r="AL8" s="279">
        <v>0.11547444329977789</v>
      </c>
      <c r="AM8" s="279">
        <v>0.11547444329977789</v>
      </c>
      <c r="AN8" s="279">
        <v>0.11547444329977789</v>
      </c>
      <c r="AO8" s="279">
        <v>0.11547444329977789</v>
      </c>
      <c r="AP8" s="279">
        <v>0.11547444329977789</v>
      </c>
      <c r="AQ8" s="279">
        <v>0.11547444329977789</v>
      </c>
      <c r="AR8" s="279">
        <v>0.11547444329977789</v>
      </c>
      <c r="AS8" s="279">
        <v>0.11547444329977789</v>
      </c>
      <c r="AT8" s="279">
        <v>0.11547444329977789</v>
      </c>
      <c r="AU8" s="279">
        <v>0.11547444329977789</v>
      </c>
      <c r="AV8" s="279">
        <v>0.11547444329977789</v>
      </c>
      <c r="AW8" s="279">
        <v>0.11547444329977789</v>
      </c>
      <c r="AX8" s="279">
        <v>0.11547444329977789</v>
      </c>
      <c r="AY8" s="280">
        <v>0.11547444329977789</v>
      </c>
    </row>
    <row r="9" spans="1:53">
      <c r="A9" s="278" t="s">
        <v>6911</v>
      </c>
      <c r="B9" s="279">
        <v>0.2829440313166891</v>
      </c>
      <c r="C9" s="279">
        <v>0.2829440313166891</v>
      </c>
      <c r="D9" s="279">
        <v>0.2829440313166891</v>
      </c>
      <c r="E9" s="279">
        <v>0.2829440313166891</v>
      </c>
      <c r="F9" s="279">
        <v>0.2829440313166891</v>
      </c>
      <c r="G9" s="279">
        <v>0.2829440313166891</v>
      </c>
      <c r="H9" s="279">
        <v>0.2829440313166891</v>
      </c>
      <c r="I9" s="279">
        <v>0.2829440313166891</v>
      </c>
      <c r="J9" s="279">
        <v>0.2829440313166891</v>
      </c>
      <c r="K9" s="279">
        <v>0.2829440313166891</v>
      </c>
      <c r="L9" s="279">
        <v>0.2829440313166891</v>
      </c>
      <c r="M9" s="279">
        <v>0.2829440313166891</v>
      </c>
      <c r="N9" s="279">
        <v>0.2829440313166891</v>
      </c>
      <c r="O9" s="279">
        <v>0.2829440313166891</v>
      </c>
      <c r="P9" s="279">
        <v>0.2829440313166891</v>
      </c>
      <c r="Q9" s="279">
        <v>0.2829440313166891</v>
      </c>
      <c r="R9" s="279">
        <v>0.2829440313166891</v>
      </c>
      <c r="S9" s="279">
        <v>0.2829440313166891</v>
      </c>
      <c r="T9" s="279">
        <v>0.2829440313166891</v>
      </c>
      <c r="U9" s="279">
        <v>0.2829440313166891</v>
      </c>
      <c r="V9" s="279">
        <v>0.2829440313166891</v>
      </c>
      <c r="W9" s="279">
        <v>0.2829440313166891</v>
      </c>
      <c r="X9" s="279">
        <v>0.2829440313166891</v>
      </c>
      <c r="Y9" s="279">
        <v>0.2829440313166891</v>
      </c>
      <c r="Z9" s="279">
        <v>0.2829440313166891</v>
      </c>
      <c r="AA9" s="279">
        <v>0.2829440313166891</v>
      </c>
      <c r="AB9" s="279">
        <v>0.2829440313166891</v>
      </c>
      <c r="AC9" s="279">
        <v>0.2829440313166891</v>
      </c>
      <c r="AD9" s="279">
        <v>0.2829440313166891</v>
      </c>
      <c r="AE9" s="279">
        <v>0.2829440313166891</v>
      </c>
      <c r="AF9" s="279">
        <v>0.2829440313166891</v>
      </c>
      <c r="AG9" s="279">
        <v>0.2829440313166891</v>
      </c>
      <c r="AH9" s="279">
        <v>0.2829440313166891</v>
      </c>
      <c r="AI9" s="279">
        <v>0.2829440313166891</v>
      </c>
      <c r="AJ9" s="279">
        <v>0.2829440313166891</v>
      </c>
      <c r="AK9" s="279">
        <v>0.2829440313166891</v>
      </c>
      <c r="AL9" s="279">
        <v>0.2829440313166891</v>
      </c>
      <c r="AM9" s="279">
        <v>0.2829440313166891</v>
      </c>
      <c r="AN9" s="279">
        <v>0.2829440313166891</v>
      </c>
      <c r="AO9" s="279">
        <v>0.2829440313166891</v>
      </c>
      <c r="AP9" s="279">
        <v>0.2829440313166891</v>
      </c>
      <c r="AQ9" s="279">
        <v>0.2829440313166891</v>
      </c>
      <c r="AR9" s="279">
        <v>0.2829440313166891</v>
      </c>
      <c r="AS9" s="279">
        <v>0.2829440313166891</v>
      </c>
      <c r="AT9" s="279">
        <v>0.2829440313166891</v>
      </c>
      <c r="AU9" s="279">
        <v>0.2829440313166891</v>
      </c>
      <c r="AV9" s="279">
        <v>0.2829440313166891</v>
      </c>
      <c r="AW9" s="279">
        <v>0.2829440313166891</v>
      </c>
      <c r="AX9" s="279">
        <v>0.2829440313166891</v>
      </c>
      <c r="AY9" s="280">
        <v>0.2829440313166891</v>
      </c>
    </row>
    <row r="10" spans="1:53">
      <c r="A10" s="278" t="s">
        <v>441</v>
      </c>
      <c r="B10" s="279">
        <v>0.13974449819166015</v>
      </c>
      <c r="C10" s="279">
        <v>0.13974449819166015</v>
      </c>
      <c r="D10" s="279">
        <v>0.13974449819166015</v>
      </c>
      <c r="E10" s="279">
        <v>0.13974449819166015</v>
      </c>
      <c r="F10" s="279">
        <v>0.13974449819166015</v>
      </c>
      <c r="G10" s="279">
        <v>0.13974449819166015</v>
      </c>
      <c r="H10" s="279">
        <v>0.13974449819166015</v>
      </c>
      <c r="I10" s="279">
        <v>0.13974449819166015</v>
      </c>
      <c r="J10" s="279">
        <v>0.13974449819166015</v>
      </c>
      <c r="K10" s="279">
        <v>0.13974449819166015</v>
      </c>
      <c r="L10" s="279">
        <v>0.13974449819166015</v>
      </c>
      <c r="M10" s="279">
        <v>0.13974449819166015</v>
      </c>
      <c r="N10" s="279">
        <v>0.13974449819166015</v>
      </c>
      <c r="O10" s="279">
        <v>0.13974449819166015</v>
      </c>
      <c r="P10" s="279">
        <v>0.13974449819166015</v>
      </c>
      <c r="Q10" s="279">
        <v>0.13974449819166015</v>
      </c>
      <c r="R10" s="279">
        <v>0.13974449819166015</v>
      </c>
      <c r="S10" s="279">
        <v>0.13974449819166015</v>
      </c>
      <c r="T10" s="279">
        <v>0.13974449819166015</v>
      </c>
      <c r="U10" s="279">
        <v>0.13974449819166015</v>
      </c>
      <c r="V10" s="279">
        <v>0.13974449819166015</v>
      </c>
      <c r="W10" s="279">
        <v>0.13974449819166015</v>
      </c>
      <c r="X10" s="279">
        <v>0.13974449819166015</v>
      </c>
      <c r="Y10" s="279">
        <v>0.13974449819166015</v>
      </c>
      <c r="Z10" s="279">
        <v>0.13974449819166015</v>
      </c>
      <c r="AA10" s="279">
        <v>0.13974449819166015</v>
      </c>
      <c r="AB10" s="279">
        <v>0.13974449819166015</v>
      </c>
      <c r="AC10" s="279">
        <v>0.13974449819166015</v>
      </c>
      <c r="AD10" s="279">
        <v>0.13974449819166015</v>
      </c>
      <c r="AE10" s="279">
        <v>0.13974449819166015</v>
      </c>
      <c r="AF10" s="279">
        <v>0.13974449819166015</v>
      </c>
      <c r="AG10" s="279">
        <v>0.13974449819166015</v>
      </c>
      <c r="AH10" s="279">
        <v>0.13974449819166015</v>
      </c>
      <c r="AI10" s="279">
        <v>0.13974449819166015</v>
      </c>
      <c r="AJ10" s="279">
        <v>0.13974449819166015</v>
      </c>
      <c r="AK10" s="279">
        <v>0.13974449819166015</v>
      </c>
      <c r="AL10" s="279">
        <v>0.13974449819166015</v>
      </c>
      <c r="AM10" s="279">
        <v>0.13974449819166015</v>
      </c>
      <c r="AN10" s="279">
        <v>0.13974449819166015</v>
      </c>
      <c r="AO10" s="279">
        <v>0.13974449819166015</v>
      </c>
      <c r="AP10" s="279">
        <v>0.13974449819166015</v>
      </c>
      <c r="AQ10" s="279">
        <v>0.13974449819166015</v>
      </c>
      <c r="AR10" s="279">
        <v>0.13974449819166015</v>
      </c>
      <c r="AS10" s="279">
        <v>0.13974449819166015</v>
      </c>
      <c r="AT10" s="279">
        <v>0.13974449819166015</v>
      </c>
      <c r="AU10" s="279">
        <v>0.13974449819166015</v>
      </c>
      <c r="AV10" s="279">
        <v>0.13974449819166015</v>
      </c>
      <c r="AW10" s="279">
        <v>0.13974449819166015</v>
      </c>
      <c r="AX10" s="279">
        <v>0.13974449819166015</v>
      </c>
      <c r="AY10" s="280">
        <v>0.13974449819166015</v>
      </c>
    </row>
    <row r="11" spans="1:53">
      <c r="A11" s="278" t="s">
        <v>6912</v>
      </c>
      <c r="B11" s="279">
        <v>0.12437025163435485</v>
      </c>
      <c r="C11" s="279">
        <v>0.12437025163435485</v>
      </c>
      <c r="D11" s="279">
        <v>0.12437025163435485</v>
      </c>
      <c r="E11" s="279">
        <v>0.12437025163435485</v>
      </c>
      <c r="F11" s="279">
        <v>0.12437025163435485</v>
      </c>
      <c r="G11" s="279">
        <v>0.12437025163435485</v>
      </c>
      <c r="H11" s="279">
        <v>0.12437025163435485</v>
      </c>
      <c r="I11" s="279">
        <v>0.12437025163435485</v>
      </c>
      <c r="J11" s="279">
        <v>0.12437025163435485</v>
      </c>
      <c r="K11" s="279">
        <v>0.12437025163435485</v>
      </c>
      <c r="L11" s="279">
        <v>0.12437025163435485</v>
      </c>
      <c r="M11" s="279">
        <v>0.12437025163435485</v>
      </c>
      <c r="N11" s="279">
        <v>0.12437025163435485</v>
      </c>
      <c r="O11" s="279">
        <v>0.12437025163435485</v>
      </c>
      <c r="P11" s="279">
        <v>0.12437025163435485</v>
      </c>
      <c r="Q11" s="279">
        <v>0.12437025163435485</v>
      </c>
      <c r="R11" s="279">
        <v>0.12437025163435485</v>
      </c>
      <c r="S11" s="279">
        <v>0.12437025163435485</v>
      </c>
      <c r="T11" s="279">
        <v>0.12437025163435485</v>
      </c>
      <c r="U11" s="279">
        <v>0.12437025163435485</v>
      </c>
      <c r="V11" s="279">
        <v>0.12437025163435485</v>
      </c>
      <c r="W11" s="279">
        <v>0.12437025163435485</v>
      </c>
      <c r="X11" s="279">
        <v>0.12437025163435485</v>
      </c>
      <c r="Y11" s="279">
        <v>0.12437025163435485</v>
      </c>
      <c r="Z11" s="279">
        <v>0.12437025163435485</v>
      </c>
      <c r="AA11" s="279">
        <v>0.12437025163435485</v>
      </c>
      <c r="AB11" s="279">
        <v>0.12437025163435485</v>
      </c>
      <c r="AC11" s="279">
        <v>0.12437025163435485</v>
      </c>
      <c r="AD11" s="279">
        <v>0.12437025163435485</v>
      </c>
      <c r="AE11" s="279">
        <v>0.12437025163435485</v>
      </c>
      <c r="AF11" s="279">
        <v>0.12437025163435485</v>
      </c>
      <c r="AG11" s="279">
        <v>0.12437025163435485</v>
      </c>
      <c r="AH11" s="279">
        <v>0.12437025163435485</v>
      </c>
      <c r="AI11" s="279">
        <v>0.12437025163435485</v>
      </c>
      <c r="AJ11" s="279">
        <v>0.12437025163435485</v>
      </c>
      <c r="AK11" s="279">
        <v>0.12437025163435485</v>
      </c>
      <c r="AL11" s="279">
        <v>0.12437025163435485</v>
      </c>
      <c r="AM11" s="279">
        <v>0.12437025163435485</v>
      </c>
      <c r="AN11" s="279">
        <v>0.12437025163435485</v>
      </c>
      <c r="AO11" s="279">
        <v>0.12437025163435485</v>
      </c>
      <c r="AP11" s="279">
        <v>0.12437025163435485</v>
      </c>
      <c r="AQ11" s="279">
        <v>0.12437025163435485</v>
      </c>
      <c r="AR11" s="279">
        <v>0.12437025163435485</v>
      </c>
      <c r="AS11" s="279">
        <v>0.12437025163435485</v>
      </c>
      <c r="AT11" s="279">
        <v>0.12437025163435485</v>
      </c>
      <c r="AU11" s="279">
        <v>0.12437025163435485</v>
      </c>
      <c r="AV11" s="279">
        <v>0.12437025163435485</v>
      </c>
      <c r="AW11" s="279">
        <v>0.12437025163435485</v>
      </c>
      <c r="AX11" s="279">
        <v>0.12437025163435485</v>
      </c>
      <c r="AY11" s="280">
        <v>0.12437025163435485</v>
      </c>
    </row>
    <row r="12" spans="1:53">
      <c r="A12" s="278" t="s">
        <v>443</v>
      </c>
      <c r="B12" s="279">
        <v>8.2271008255052541E-2</v>
      </c>
      <c r="C12" s="279">
        <v>8.2271008255052541E-2</v>
      </c>
      <c r="D12" s="279">
        <v>8.2271008255052541E-2</v>
      </c>
      <c r="E12" s="279">
        <v>8.2271008255052541E-2</v>
      </c>
      <c r="F12" s="279">
        <v>8.2271008255052541E-2</v>
      </c>
      <c r="G12" s="279">
        <v>8.2271008255052541E-2</v>
      </c>
      <c r="H12" s="279">
        <v>8.2271008255052541E-2</v>
      </c>
      <c r="I12" s="279">
        <v>8.2271008255052541E-2</v>
      </c>
      <c r="J12" s="279">
        <v>8.2271008255052541E-2</v>
      </c>
      <c r="K12" s="279">
        <v>8.2271008255052541E-2</v>
      </c>
      <c r="L12" s="279">
        <v>8.2271008255052541E-2</v>
      </c>
      <c r="M12" s="279">
        <v>8.2271008255052541E-2</v>
      </c>
      <c r="N12" s="279">
        <v>8.2271008255052541E-2</v>
      </c>
      <c r="O12" s="279">
        <v>8.2271008255052541E-2</v>
      </c>
      <c r="P12" s="279">
        <v>8.2271008255052541E-2</v>
      </c>
      <c r="Q12" s="279">
        <v>8.2271008255052541E-2</v>
      </c>
      <c r="R12" s="279">
        <v>8.2271008255052541E-2</v>
      </c>
      <c r="S12" s="279">
        <v>8.2271008255052541E-2</v>
      </c>
      <c r="T12" s="279">
        <v>8.2271008255052541E-2</v>
      </c>
      <c r="U12" s="279">
        <v>8.2271008255052541E-2</v>
      </c>
      <c r="V12" s="279">
        <v>8.2271008255052541E-2</v>
      </c>
      <c r="W12" s="279">
        <v>8.2271008255052541E-2</v>
      </c>
      <c r="X12" s="279">
        <v>8.2271008255052541E-2</v>
      </c>
      <c r="Y12" s="279">
        <v>8.2271008255052541E-2</v>
      </c>
      <c r="Z12" s="279">
        <v>8.2271008255052541E-2</v>
      </c>
      <c r="AA12" s="279">
        <v>8.2271008255052541E-2</v>
      </c>
      <c r="AB12" s="279">
        <v>8.2271008255052541E-2</v>
      </c>
      <c r="AC12" s="279">
        <v>8.2271008255052541E-2</v>
      </c>
      <c r="AD12" s="279">
        <v>8.2271008255052541E-2</v>
      </c>
      <c r="AE12" s="279">
        <v>8.2271008255052541E-2</v>
      </c>
      <c r="AF12" s="279">
        <v>8.2271008255052541E-2</v>
      </c>
      <c r="AG12" s="279">
        <v>8.2271008255052541E-2</v>
      </c>
      <c r="AH12" s="279">
        <v>8.2271008255052541E-2</v>
      </c>
      <c r="AI12" s="279">
        <v>8.2271008255052541E-2</v>
      </c>
      <c r="AJ12" s="279">
        <v>8.2271008255052541E-2</v>
      </c>
      <c r="AK12" s="279">
        <v>8.2271008255052541E-2</v>
      </c>
      <c r="AL12" s="279">
        <v>8.2271008255052541E-2</v>
      </c>
      <c r="AM12" s="279">
        <v>8.2271008255052541E-2</v>
      </c>
      <c r="AN12" s="279">
        <v>8.2271008255052541E-2</v>
      </c>
      <c r="AO12" s="279">
        <v>8.2271008255052541E-2</v>
      </c>
      <c r="AP12" s="279">
        <v>8.2271008255052541E-2</v>
      </c>
      <c r="AQ12" s="279">
        <v>8.2271008255052541E-2</v>
      </c>
      <c r="AR12" s="279">
        <v>8.2271008255052541E-2</v>
      </c>
      <c r="AS12" s="279">
        <v>8.2271008255052541E-2</v>
      </c>
      <c r="AT12" s="279">
        <v>8.2271008255052541E-2</v>
      </c>
      <c r="AU12" s="279">
        <v>8.2271008255052541E-2</v>
      </c>
      <c r="AV12" s="279">
        <v>8.2271008255052541E-2</v>
      </c>
      <c r="AW12" s="279">
        <v>8.2271008255052541E-2</v>
      </c>
      <c r="AX12" s="279">
        <v>8.2271008255052541E-2</v>
      </c>
      <c r="AY12" s="280">
        <v>8.2271008255052541E-2</v>
      </c>
    </row>
    <row r="13" spans="1:53">
      <c r="A13" s="278" t="s">
        <v>445</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c r="AK13" s="281"/>
      <c r="AL13" s="281"/>
      <c r="AM13" s="281"/>
      <c r="AN13" s="281"/>
      <c r="AO13" s="281"/>
      <c r="AP13" s="281"/>
      <c r="AQ13" s="281"/>
      <c r="AR13" s="281"/>
      <c r="AS13" s="281"/>
      <c r="AT13" s="281"/>
      <c r="AU13" s="281"/>
      <c r="AV13" s="281"/>
      <c r="AW13" s="281"/>
      <c r="AX13" s="281"/>
      <c r="AY13" s="282"/>
    </row>
    <row r="14" spans="1:53">
      <c r="A14" s="278" t="s">
        <v>6915</v>
      </c>
      <c r="B14" s="279">
        <v>5.8226338796658859E-2</v>
      </c>
      <c r="C14" s="279">
        <v>5.8226338796658859E-2</v>
      </c>
      <c r="D14" s="279">
        <v>5.8226338796658859E-2</v>
      </c>
      <c r="E14" s="279">
        <v>5.8226338796658859E-2</v>
      </c>
      <c r="F14" s="279">
        <v>5.8226338796658859E-2</v>
      </c>
      <c r="G14" s="279">
        <v>5.8226338796658859E-2</v>
      </c>
      <c r="H14" s="279">
        <v>5.8226338796658859E-2</v>
      </c>
      <c r="I14" s="279">
        <v>5.8226338796658859E-2</v>
      </c>
      <c r="J14" s="279">
        <v>5.8226338796658859E-2</v>
      </c>
      <c r="K14" s="279">
        <v>5.8226338796658859E-2</v>
      </c>
      <c r="L14" s="279">
        <v>5.8226338796658859E-2</v>
      </c>
      <c r="M14" s="279">
        <v>5.8226338796658859E-2</v>
      </c>
      <c r="N14" s="279">
        <v>5.8226338796658859E-2</v>
      </c>
      <c r="O14" s="279">
        <v>5.8226338796658859E-2</v>
      </c>
      <c r="P14" s="279">
        <v>5.8226338796658859E-2</v>
      </c>
      <c r="Q14" s="279">
        <v>5.8226338796658859E-2</v>
      </c>
      <c r="R14" s="279">
        <v>5.8226338796658859E-2</v>
      </c>
      <c r="S14" s="279">
        <v>5.8226338796658859E-2</v>
      </c>
      <c r="T14" s="279">
        <v>5.8226338796658859E-2</v>
      </c>
      <c r="U14" s="279">
        <v>5.8226338796658859E-2</v>
      </c>
      <c r="V14" s="279">
        <v>5.8226338796658859E-2</v>
      </c>
      <c r="W14" s="279">
        <v>5.8226338796658859E-2</v>
      </c>
      <c r="X14" s="279">
        <v>5.8226338796658859E-2</v>
      </c>
      <c r="Y14" s="279">
        <v>5.8226338796658859E-2</v>
      </c>
      <c r="Z14" s="279">
        <v>5.8226338796658859E-2</v>
      </c>
      <c r="AA14" s="279">
        <v>5.8226338796658859E-2</v>
      </c>
      <c r="AB14" s="279">
        <v>5.8226338796658859E-2</v>
      </c>
      <c r="AC14" s="279">
        <v>5.8226338796658859E-2</v>
      </c>
      <c r="AD14" s="279">
        <v>5.8226338796658859E-2</v>
      </c>
      <c r="AE14" s="279">
        <v>5.8226338796658859E-2</v>
      </c>
      <c r="AF14" s="279">
        <v>5.8226338796658859E-2</v>
      </c>
      <c r="AG14" s="279">
        <v>5.8226338796658859E-2</v>
      </c>
      <c r="AH14" s="279">
        <v>5.8226338796658859E-2</v>
      </c>
      <c r="AI14" s="279">
        <v>5.8226338796658859E-2</v>
      </c>
      <c r="AJ14" s="279">
        <v>5.8226338796658859E-2</v>
      </c>
      <c r="AK14" s="279">
        <v>5.8226338796658859E-2</v>
      </c>
      <c r="AL14" s="279">
        <v>5.8226338796658859E-2</v>
      </c>
      <c r="AM14" s="279">
        <v>5.8226338796658859E-2</v>
      </c>
      <c r="AN14" s="279">
        <v>5.8226338796658859E-2</v>
      </c>
      <c r="AO14" s="279">
        <v>5.8226338796658859E-2</v>
      </c>
      <c r="AP14" s="279">
        <v>5.8226338796658859E-2</v>
      </c>
      <c r="AQ14" s="279">
        <v>5.8226338796658859E-2</v>
      </c>
      <c r="AR14" s="279">
        <v>5.8226338796658859E-2</v>
      </c>
      <c r="AS14" s="279">
        <v>5.8226338796658859E-2</v>
      </c>
      <c r="AT14" s="279">
        <v>5.8226338796658859E-2</v>
      </c>
      <c r="AU14" s="279">
        <v>5.8226338796658859E-2</v>
      </c>
      <c r="AV14" s="279">
        <v>5.8226338796658859E-2</v>
      </c>
      <c r="AW14" s="279">
        <v>5.8226338796658859E-2</v>
      </c>
      <c r="AX14" s="279">
        <v>5.8226338796658859E-2</v>
      </c>
      <c r="AY14" s="280">
        <v>5.8226338796658859E-2</v>
      </c>
    </row>
    <row r="15" spans="1:53">
      <c r="A15" s="278" t="s">
        <v>447</v>
      </c>
      <c r="B15" s="279">
        <v>2.4819591361485392E-2</v>
      </c>
      <c r="C15" s="279">
        <v>2.4819591361485392E-2</v>
      </c>
      <c r="D15" s="279">
        <v>2.4819591361485392E-2</v>
      </c>
      <c r="E15" s="279">
        <v>2.4819591361485392E-2</v>
      </c>
      <c r="F15" s="279">
        <v>2.4819591361485392E-2</v>
      </c>
      <c r="G15" s="279">
        <v>2.4819591361485392E-2</v>
      </c>
      <c r="H15" s="279">
        <v>2.4819591361485392E-2</v>
      </c>
      <c r="I15" s="279">
        <v>2.4819591361485392E-2</v>
      </c>
      <c r="J15" s="279">
        <v>2.4819591361485392E-2</v>
      </c>
      <c r="K15" s="279">
        <v>2.4819591361485392E-2</v>
      </c>
      <c r="L15" s="279">
        <v>2.4819591361485392E-2</v>
      </c>
      <c r="M15" s="279">
        <v>2.4819591361485392E-2</v>
      </c>
      <c r="N15" s="279">
        <v>2.4819591361485392E-2</v>
      </c>
      <c r="O15" s="279">
        <v>2.4819591361485392E-2</v>
      </c>
      <c r="P15" s="279">
        <v>2.4819591361485392E-2</v>
      </c>
      <c r="Q15" s="279">
        <v>2.4819591361485392E-2</v>
      </c>
      <c r="R15" s="279">
        <v>2.4819591361485392E-2</v>
      </c>
      <c r="S15" s="279">
        <v>2.4819591361485392E-2</v>
      </c>
      <c r="T15" s="279">
        <v>2.4819591361485392E-2</v>
      </c>
      <c r="U15" s="279">
        <v>2.4819591361485392E-2</v>
      </c>
      <c r="V15" s="279">
        <v>2.4819591361485392E-2</v>
      </c>
      <c r="W15" s="279">
        <v>2.4819591361485392E-2</v>
      </c>
      <c r="X15" s="279">
        <v>2.4819591361485392E-2</v>
      </c>
      <c r="Y15" s="279">
        <v>2.4819591361485392E-2</v>
      </c>
      <c r="Z15" s="279">
        <v>2.4819591361485392E-2</v>
      </c>
      <c r="AA15" s="279">
        <v>2.4819591361485392E-2</v>
      </c>
      <c r="AB15" s="279">
        <v>2.4819591361485392E-2</v>
      </c>
      <c r="AC15" s="279">
        <v>2.4819591361485392E-2</v>
      </c>
      <c r="AD15" s="279">
        <v>2.4819591361485392E-2</v>
      </c>
      <c r="AE15" s="279">
        <v>2.4819591361485392E-2</v>
      </c>
      <c r="AF15" s="279">
        <v>2.4819591361485392E-2</v>
      </c>
      <c r="AG15" s="279">
        <v>2.4819591361485392E-2</v>
      </c>
      <c r="AH15" s="279">
        <v>2.4819591361485392E-2</v>
      </c>
      <c r="AI15" s="279">
        <v>2.4819591361485392E-2</v>
      </c>
      <c r="AJ15" s="279">
        <v>2.4819591361485392E-2</v>
      </c>
      <c r="AK15" s="279">
        <v>2.4819591361485392E-2</v>
      </c>
      <c r="AL15" s="279">
        <v>2.4819591361485392E-2</v>
      </c>
      <c r="AM15" s="279">
        <v>2.4819591361485392E-2</v>
      </c>
      <c r="AN15" s="279">
        <v>2.4819591361485392E-2</v>
      </c>
      <c r="AO15" s="279">
        <v>2.4819591361485392E-2</v>
      </c>
      <c r="AP15" s="279">
        <v>2.4819591361485392E-2</v>
      </c>
      <c r="AQ15" s="279">
        <v>2.4819591361485392E-2</v>
      </c>
      <c r="AR15" s="279">
        <v>2.4819591361485392E-2</v>
      </c>
      <c r="AS15" s="279">
        <v>2.4819591361485392E-2</v>
      </c>
      <c r="AT15" s="279">
        <v>2.4819591361485392E-2</v>
      </c>
      <c r="AU15" s="279">
        <v>2.4819591361485392E-2</v>
      </c>
      <c r="AV15" s="279">
        <v>2.4819591361485392E-2</v>
      </c>
      <c r="AW15" s="279">
        <v>2.4819591361485392E-2</v>
      </c>
      <c r="AX15" s="279">
        <v>2.4819591361485392E-2</v>
      </c>
      <c r="AY15" s="280">
        <v>2.4819591361485392E-2</v>
      </c>
    </row>
    <row r="16" spans="1:53">
      <c r="A16" s="278"/>
      <c r="B16" s="279"/>
      <c r="C16" s="279"/>
      <c r="D16" s="279"/>
      <c r="E16" s="279"/>
      <c r="F16" s="279"/>
      <c r="G16" s="279"/>
      <c r="H16" s="279"/>
      <c r="I16" s="279"/>
      <c r="J16" s="279"/>
      <c r="K16" s="279"/>
      <c r="L16" s="279"/>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9"/>
      <c r="AR16" s="279"/>
      <c r="AS16" s="279"/>
      <c r="AT16" s="279"/>
      <c r="AU16" s="279"/>
      <c r="AV16" s="279"/>
      <c r="AW16" s="279"/>
      <c r="AX16" s="279"/>
      <c r="AY16" s="280"/>
    </row>
    <row r="17" spans="1:51">
      <c r="A17" s="278" t="s">
        <v>7756</v>
      </c>
      <c r="B17" s="283">
        <v>2706.4000000000005</v>
      </c>
      <c r="C17" s="283">
        <v>2706.4000000000005</v>
      </c>
      <c r="D17" s="283">
        <v>2706.4000000000005</v>
      </c>
      <c r="E17" s="283">
        <v>2706.4000000000005</v>
      </c>
      <c r="F17" s="283">
        <v>2706.4000000000005</v>
      </c>
      <c r="G17" s="283">
        <v>2706.4000000000005</v>
      </c>
      <c r="H17" s="283">
        <v>2706.4000000000005</v>
      </c>
      <c r="I17" s="283">
        <v>2706.4000000000005</v>
      </c>
      <c r="J17" s="283">
        <v>2706.4000000000005</v>
      </c>
      <c r="K17" s="283">
        <v>2706.4000000000005</v>
      </c>
      <c r="L17" s="283">
        <v>2706.4000000000005</v>
      </c>
      <c r="M17" s="283">
        <v>2706.4000000000005</v>
      </c>
      <c r="N17" s="283">
        <v>2706.4000000000005</v>
      </c>
      <c r="O17" s="283">
        <v>2706.4000000000005</v>
      </c>
      <c r="P17" s="283">
        <v>2706.4000000000005</v>
      </c>
      <c r="Q17" s="283">
        <v>2706.4000000000005</v>
      </c>
      <c r="R17" s="283">
        <v>2706.4000000000005</v>
      </c>
      <c r="S17" s="283">
        <v>2706.4000000000005</v>
      </c>
      <c r="T17" s="283">
        <v>2706.4000000000005</v>
      </c>
      <c r="U17" s="283">
        <v>2706.4000000000005</v>
      </c>
      <c r="V17" s="283">
        <v>2706.4000000000005</v>
      </c>
      <c r="W17" s="283">
        <v>2706.4000000000005</v>
      </c>
      <c r="X17" s="283">
        <v>2706.4000000000005</v>
      </c>
      <c r="Y17" s="283">
        <v>2706.4000000000005</v>
      </c>
      <c r="Z17" s="283">
        <v>2706.4000000000005</v>
      </c>
      <c r="AA17" s="283">
        <v>2706.4000000000005</v>
      </c>
      <c r="AB17" s="283">
        <v>2706.4000000000005</v>
      </c>
      <c r="AC17" s="283">
        <v>2706.4000000000005</v>
      </c>
      <c r="AD17" s="283">
        <v>2706.4000000000005</v>
      </c>
      <c r="AE17" s="283">
        <v>2706.4000000000005</v>
      </c>
      <c r="AF17" s="283">
        <v>2706.4000000000005</v>
      </c>
      <c r="AG17" s="283">
        <v>2706.4000000000005</v>
      </c>
      <c r="AH17" s="283">
        <v>2706.4000000000005</v>
      </c>
      <c r="AI17" s="283">
        <v>2706.4000000000005</v>
      </c>
      <c r="AJ17" s="283">
        <v>2706.4000000000005</v>
      </c>
      <c r="AK17" s="283">
        <v>2706.4000000000005</v>
      </c>
      <c r="AL17" s="283">
        <v>2706.4000000000005</v>
      </c>
      <c r="AM17" s="283">
        <v>2706.4000000000005</v>
      </c>
      <c r="AN17" s="283">
        <v>2706.4000000000005</v>
      </c>
      <c r="AO17" s="283">
        <v>2706.4000000000005</v>
      </c>
      <c r="AP17" s="283">
        <v>2706.4000000000005</v>
      </c>
      <c r="AQ17" s="283">
        <v>2706.4000000000005</v>
      </c>
      <c r="AR17" s="283">
        <v>2706.4000000000005</v>
      </c>
      <c r="AS17" s="283">
        <v>2706.4000000000005</v>
      </c>
      <c r="AT17" s="283">
        <v>2706.4000000000005</v>
      </c>
      <c r="AU17" s="283">
        <v>2706.4000000000005</v>
      </c>
      <c r="AV17" s="283">
        <v>2706.4000000000005</v>
      </c>
      <c r="AW17" s="283">
        <v>2706.4000000000005</v>
      </c>
      <c r="AX17" s="283">
        <v>2706.4000000000005</v>
      </c>
      <c r="AY17" s="284">
        <v>2706.4000000000005</v>
      </c>
    </row>
    <row r="18" spans="1:51">
      <c r="A18" s="285" t="s">
        <v>7757</v>
      </c>
      <c r="B18" s="283">
        <v>3751.3</v>
      </c>
      <c r="C18" s="283">
        <v>3751.3</v>
      </c>
      <c r="D18" s="283">
        <v>3751.3</v>
      </c>
      <c r="E18" s="283">
        <v>3751.3</v>
      </c>
      <c r="F18" s="283">
        <v>3751.3</v>
      </c>
      <c r="G18" s="283">
        <v>3751.3</v>
      </c>
      <c r="H18" s="283">
        <v>3751.3</v>
      </c>
      <c r="I18" s="283">
        <v>3751.3</v>
      </c>
      <c r="J18" s="283">
        <v>3751.3</v>
      </c>
      <c r="K18" s="283">
        <v>3751.3</v>
      </c>
      <c r="L18" s="283">
        <v>3751.3</v>
      </c>
      <c r="M18" s="283">
        <v>3751.3</v>
      </c>
      <c r="N18" s="283">
        <v>3751.3</v>
      </c>
      <c r="O18" s="283">
        <v>3751.3</v>
      </c>
      <c r="P18" s="283">
        <v>3751.3</v>
      </c>
      <c r="Q18" s="283">
        <v>3751.3</v>
      </c>
      <c r="R18" s="283">
        <v>3751.3</v>
      </c>
      <c r="S18" s="283">
        <v>3751.3</v>
      </c>
      <c r="T18" s="283">
        <v>3751.3</v>
      </c>
      <c r="U18" s="283">
        <v>3751.3</v>
      </c>
      <c r="V18" s="283">
        <v>3751.3</v>
      </c>
      <c r="W18" s="283">
        <v>3751.3</v>
      </c>
      <c r="X18" s="283">
        <v>3751.3</v>
      </c>
      <c r="Y18" s="283">
        <v>3751.3</v>
      </c>
      <c r="Z18" s="283">
        <v>3751.3</v>
      </c>
      <c r="AA18" s="283">
        <v>3751.3</v>
      </c>
      <c r="AB18" s="283">
        <v>3751.3</v>
      </c>
      <c r="AC18" s="283">
        <v>3751.3</v>
      </c>
      <c r="AD18" s="283">
        <v>3751.3</v>
      </c>
      <c r="AE18" s="283">
        <v>3751.3</v>
      </c>
      <c r="AF18" s="283">
        <v>3751.3</v>
      </c>
      <c r="AG18" s="283">
        <v>3751.3</v>
      </c>
      <c r="AH18" s="283">
        <v>3751.3</v>
      </c>
      <c r="AI18" s="283">
        <v>3751.3</v>
      </c>
      <c r="AJ18" s="283">
        <v>3751.3</v>
      </c>
      <c r="AK18" s="283">
        <v>3751.3</v>
      </c>
      <c r="AL18" s="283">
        <v>3751.3</v>
      </c>
      <c r="AM18" s="283">
        <v>3751.3</v>
      </c>
      <c r="AN18" s="283">
        <v>3751.3</v>
      </c>
      <c r="AO18" s="283">
        <v>3751.3</v>
      </c>
      <c r="AP18" s="283">
        <v>3751.3</v>
      </c>
      <c r="AQ18" s="283">
        <v>3751.3</v>
      </c>
      <c r="AR18" s="283">
        <v>3751.3</v>
      </c>
      <c r="AS18" s="283">
        <v>3751.3</v>
      </c>
      <c r="AT18" s="283">
        <v>3751.3</v>
      </c>
      <c r="AU18" s="283">
        <v>3751.3</v>
      </c>
      <c r="AV18" s="283">
        <v>3751.3</v>
      </c>
      <c r="AW18" s="283">
        <v>3751.3</v>
      </c>
      <c r="AX18" s="283">
        <v>3751.3</v>
      </c>
      <c r="AY18" s="284">
        <v>3751.3</v>
      </c>
    </row>
    <row r="19" spans="1:51" ht="17" thickBot="1">
      <c r="A19" s="286" t="s">
        <v>7758</v>
      </c>
      <c r="B19" s="287">
        <v>1744.9</v>
      </c>
      <c r="C19" s="287">
        <v>1744.9</v>
      </c>
      <c r="D19" s="287">
        <v>1744.9</v>
      </c>
      <c r="E19" s="287">
        <v>1744.9</v>
      </c>
      <c r="F19" s="287">
        <v>1744.9</v>
      </c>
      <c r="G19" s="287">
        <v>1744.9</v>
      </c>
      <c r="H19" s="287">
        <v>1744.9</v>
      </c>
      <c r="I19" s="287">
        <v>1744.9</v>
      </c>
      <c r="J19" s="287">
        <v>1744.9</v>
      </c>
      <c r="K19" s="287">
        <v>1744.9</v>
      </c>
      <c r="L19" s="287">
        <v>1744.9</v>
      </c>
      <c r="M19" s="287">
        <v>1744.9</v>
      </c>
      <c r="N19" s="287">
        <v>1744.9</v>
      </c>
      <c r="O19" s="287">
        <v>1744.9</v>
      </c>
      <c r="P19" s="287">
        <v>1744.9</v>
      </c>
      <c r="Q19" s="287">
        <v>1744.9</v>
      </c>
      <c r="R19" s="287">
        <v>1744.9</v>
      </c>
      <c r="S19" s="287">
        <v>1744.9</v>
      </c>
      <c r="T19" s="287">
        <v>1744.9</v>
      </c>
      <c r="U19" s="287">
        <v>1744.9</v>
      </c>
      <c r="V19" s="287">
        <v>1744.9</v>
      </c>
      <c r="W19" s="287">
        <v>1744.9</v>
      </c>
      <c r="X19" s="287">
        <v>1744.9</v>
      </c>
      <c r="Y19" s="287">
        <v>1744.9</v>
      </c>
      <c r="Z19" s="287">
        <v>1744.9</v>
      </c>
      <c r="AA19" s="287">
        <v>1744.9</v>
      </c>
      <c r="AB19" s="287">
        <v>1744.9</v>
      </c>
      <c r="AC19" s="287">
        <v>1744.9</v>
      </c>
      <c r="AD19" s="287">
        <v>1744.9</v>
      </c>
      <c r="AE19" s="287">
        <v>1744.9</v>
      </c>
      <c r="AF19" s="287">
        <v>1744.9</v>
      </c>
      <c r="AG19" s="287">
        <v>1744.9</v>
      </c>
      <c r="AH19" s="287">
        <v>1744.9</v>
      </c>
      <c r="AI19" s="287">
        <v>1744.9</v>
      </c>
      <c r="AJ19" s="287">
        <v>1744.9</v>
      </c>
      <c r="AK19" s="287">
        <v>1744.9</v>
      </c>
      <c r="AL19" s="287">
        <v>1744.9</v>
      </c>
      <c r="AM19" s="287">
        <v>1744.9</v>
      </c>
      <c r="AN19" s="287">
        <v>1744.9</v>
      </c>
      <c r="AO19" s="287">
        <v>1744.9</v>
      </c>
      <c r="AP19" s="287">
        <v>1744.9</v>
      </c>
      <c r="AQ19" s="287">
        <v>1744.9</v>
      </c>
      <c r="AR19" s="287">
        <v>1744.9</v>
      </c>
      <c r="AS19" s="287">
        <v>1744.9</v>
      </c>
      <c r="AT19" s="287">
        <v>1744.9</v>
      </c>
      <c r="AU19" s="287">
        <v>1744.9</v>
      </c>
      <c r="AV19" s="287">
        <v>1744.9</v>
      </c>
      <c r="AW19" s="287">
        <v>1744.9</v>
      </c>
      <c r="AX19" s="287">
        <v>1744.9</v>
      </c>
      <c r="AY19" s="288">
        <v>1744.9</v>
      </c>
    </row>
    <row r="21" spans="1:51">
      <c r="A21" s="1" t="s">
        <v>480</v>
      </c>
    </row>
    <row r="22" spans="1:51" ht="17" thickBot="1"/>
    <row r="23" spans="1:51">
      <c r="A23" s="289" t="s">
        <v>7755</v>
      </c>
      <c r="B23" s="290" t="s">
        <v>480</v>
      </c>
      <c r="C23" s="202"/>
      <c r="D23" s="202"/>
      <c r="E23" s="202"/>
      <c r="F23" s="202"/>
      <c r="G23" s="202"/>
      <c r="H23" s="202"/>
      <c r="I23" s="202"/>
      <c r="J23" s="202"/>
      <c r="K23" s="202"/>
      <c r="L23" s="202"/>
      <c r="M23" s="202"/>
      <c r="N23" s="202"/>
      <c r="O23" s="202"/>
      <c r="P23" s="202"/>
      <c r="Q23" s="202"/>
      <c r="R23" s="202"/>
      <c r="S23" s="202"/>
      <c r="T23" s="202"/>
      <c r="U23" s="202"/>
      <c r="V23" s="202"/>
      <c r="W23" s="202"/>
      <c r="X23" s="202"/>
      <c r="Y23" s="202"/>
      <c r="Z23" s="202"/>
      <c r="AA23" s="202"/>
      <c r="AB23" s="202"/>
      <c r="AC23" s="202"/>
      <c r="AD23" s="202"/>
      <c r="AE23" s="202"/>
      <c r="AF23" s="202"/>
      <c r="AG23" s="202"/>
      <c r="AH23" s="202"/>
      <c r="AI23" s="202"/>
      <c r="AJ23" s="202"/>
      <c r="AK23" s="202"/>
      <c r="AL23" s="202"/>
      <c r="AM23" s="202"/>
      <c r="AN23" s="202"/>
      <c r="AO23" s="202"/>
      <c r="AP23" s="202"/>
      <c r="AQ23" s="202"/>
      <c r="AR23" s="202"/>
      <c r="AS23" s="202"/>
      <c r="AT23" s="202"/>
      <c r="AU23" s="202"/>
      <c r="AV23" s="202"/>
      <c r="AW23" s="202"/>
      <c r="AX23" s="202"/>
      <c r="AY23" s="203"/>
    </row>
    <row r="24" spans="1:51">
      <c r="A24" s="278" t="s">
        <v>437</v>
      </c>
      <c r="B24" s="279">
        <v>9.8749927677404939E-2</v>
      </c>
      <c r="C24" s="279">
        <v>9.8749927677404939E-2</v>
      </c>
      <c r="D24" s="279">
        <v>9.8749927677404939E-2</v>
      </c>
      <c r="E24" s="279">
        <v>9.8749927677404939E-2</v>
      </c>
      <c r="F24" s="279">
        <v>9.8749927677404939E-2</v>
      </c>
      <c r="G24" s="279">
        <v>9.8749927677404939E-2</v>
      </c>
      <c r="H24" s="279">
        <v>9.8749927677404939E-2</v>
      </c>
      <c r="I24" s="279">
        <v>9.8749927677404939E-2</v>
      </c>
      <c r="J24" s="279">
        <v>9.8749927677404939E-2</v>
      </c>
      <c r="K24" s="279">
        <v>9.8749927677404939E-2</v>
      </c>
      <c r="L24" s="279">
        <v>9.8749927677404939E-2</v>
      </c>
      <c r="M24" s="279">
        <v>9.8749927677404939E-2</v>
      </c>
      <c r="N24" s="279">
        <v>9.8749927677404939E-2</v>
      </c>
      <c r="O24" s="279">
        <v>9.8749927677404939E-2</v>
      </c>
      <c r="P24" s="279">
        <v>9.8749927677404939E-2</v>
      </c>
      <c r="Q24" s="279">
        <v>9.8749927677404939E-2</v>
      </c>
      <c r="R24" s="279">
        <v>9.8749927677404939E-2</v>
      </c>
      <c r="S24" s="279">
        <v>9.8749927677404939E-2</v>
      </c>
      <c r="T24" s="279">
        <v>9.8749927677404939E-2</v>
      </c>
      <c r="U24" s="279">
        <v>9.8749927677404939E-2</v>
      </c>
      <c r="V24" s="279">
        <v>9.8749927677404939E-2</v>
      </c>
      <c r="W24" s="279">
        <v>9.8749927677404939E-2</v>
      </c>
      <c r="X24" s="279">
        <v>9.8749927677404939E-2</v>
      </c>
      <c r="Y24" s="279">
        <v>9.8749927677404939E-2</v>
      </c>
      <c r="Z24" s="279">
        <v>9.8749927677404939E-2</v>
      </c>
      <c r="AA24" s="279">
        <v>9.8749927677404939E-2</v>
      </c>
      <c r="AB24" s="279">
        <v>9.8749927677404939E-2</v>
      </c>
      <c r="AC24" s="279">
        <v>9.8749927677404939E-2</v>
      </c>
      <c r="AD24" s="279">
        <v>9.8749927677404939E-2</v>
      </c>
      <c r="AE24" s="279">
        <v>9.8749927677404939E-2</v>
      </c>
      <c r="AF24" s="279">
        <v>9.8749927677404939E-2</v>
      </c>
      <c r="AG24" s="279">
        <v>9.8749927677404939E-2</v>
      </c>
      <c r="AH24" s="279">
        <v>9.8749927677404939E-2</v>
      </c>
      <c r="AI24" s="279">
        <v>9.8749927677404939E-2</v>
      </c>
      <c r="AJ24" s="279">
        <v>9.8749927677404939E-2</v>
      </c>
      <c r="AK24" s="279">
        <v>9.8749927677404939E-2</v>
      </c>
      <c r="AL24" s="279">
        <v>9.8749927677404939E-2</v>
      </c>
      <c r="AM24" s="279">
        <v>9.8749927677404939E-2</v>
      </c>
      <c r="AN24" s="279">
        <v>9.8749927677404939E-2</v>
      </c>
      <c r="AO24" s="279">
        <v>9.8749927677404939E-2</v>
      </c>
      <c r="AP24" s="279">
        <v>9.8749927677404939E-2</v>
      </c>
      <c r="AQ24" s="279">
        <v>9.8749927677404939E-2</v>
      </c>
      <c r="AR24" s="279">
        <v>9.8749927677404939E-2</v>
      </c>
      <c r="AS24" s="279">
        <v>9.8749927677404939E-2</v>
      </c>
      <c r="AT24" s="279">
        <v>9.8749927677404939E-2</v>
      </c>
      <c r="AU24" s="279">
        <v>9.8749927677404939E-2</v>
      </c>
      <c r="AV24" s="279">
        <v>9.8749927677404939E-2</v>
      </c>
      <c r="AW24" s="279">
        <v>9.8749927677404939E-2</v>
      </c>
      <c r="AX24" s="279">
        <v>9.8749927677404939E-2</v>
      </c>
      <c r="AY24" s="279">
        <v>9.8749927677404939E-2</v>
      </c>
    </row>
    <row r="25" spans="1:51">
      <c r="A25" s="278" t="s">
        <v>217</v>
      </c>
      <c r="B25" s="279">
        <v>1.1901857587722352E-2</v>
      </c>
      <c r="C25" s="279">
        <v>1.1901857587722352E-2</v>
      </c>
      <c r="D25" s="279">
        <v>1.1901857587722352E-2</v>
      </c>
      <c r="E25" s="279">
        <v>1.1901857587722352E-2</v>
      </c>
      <c r="F25" s="279">
        <v>1.1901857587722352E-2</v>
      </c>
      <c r="G25" s="279">
        <v>1.1901857587722352E-2</v>
      </c>
      <c r="H25" s="279">
        <v>1.1901857587722352E-2</v>
      </c>
      <c r="I25" s="279">
        <v>1.1901857587722352E-2</v>
      </c>
      <c r="J25" s="279">
        <v>1.1901857587722352E-2</v>
      </c>
      <c r="K25" s="279">
        <v>1.1901857587722352E-2</v>
      </c>
      <c r="L25" s="279">
        <v>1.1901857587722352E-2</v>
      </c>
      <c r="M25" s="279">
        <v>1.1901857587722352E-2</v>
      </c>
      <c r="N25" s="279">
        <v>1.1901857587722352E-2</v>
      </c>
      <c r="O25" s="279">
        <v>1.1901857587722352E-2</v>
      </c>
      <c r="P25" s="279">
        <v>1.1901857587722352E-2</v>
      </c>
      <c r="Q25" s="279">
        <v>1.1901857587722352E-2</v>
      </c>
      <c r="R25" s="279">
        <v>1.1901857587722352E-2</v>
      </c>
      <c r="S25" s="279">
        <v>1.1901857587722352E-2</v>
      </c>
      <c r="T25" s="279">
        <v>1.1901857587722352E-2</v>
      </c>
      <c r="U25" s="279">
        <v>1.1901857587722352E-2</v>
      </c>
      <c r="V25" s="279">
        <v>1.1901857587722352E-2</v>
      </c>
      <c r="W25" s="279">
        <v>1.1901857587722352E-2</v>
      </c>
      <c r="X25" s="279">
        <v>1.1901857587722352E-2</v>
      </c>
      <c r="Y25" s="279">
        <v>1.1901857587722352E-2</v>
      </c>
      <c r="Z25" s="279">
        <v>1.1901857587722352E-2</v>
      </c>
      <c r="AA25" s="279">
        <v>1.1901857587722352E-2</v>
      </c>
      <c r="AB25" s="279">
        <v>1.1901857587722352E-2</v>
      </c>
      <c r="AC25" s="279">
        <v>1.1901857587722352E-2</v>
      </c>
      <c r="AD25" s="279">
        <v>1.1901857587722352E-2</v>
      </c>
      <c r="AE25" s="279">
        <v>1.1901857587722352E-2</v>
      </c>
      <c r="AF25" s="279">
        <v>1.1901857587722352E-2</v>
      </c>
      <c r="AG25" s="279">
        <v>1.1901857587722352E-2</v>
      </c>
      <c r="AH25" s="279">
        <v>1.1901857587722352E-2</v>
      </c>
      <c r="AI25" s="279">
        <v>1.1901857587722352E-2</v>
      </c>
      <c r="AJ25" s="279">
        <v>1.1901857587722352E-2</v>
      </c>
      <c r="AK25" s="279">
        <v>1.1901857587722352E-2</v>
      </c>
      <c r="AL25" s="279">
        <v>1.1901857587722352E-2</v>
      </c>
      <c r="AM25" s="279">
        <v>1.1901857587722352E-2</v>
      </c>
      <c r="AN25" s="279">
        <v>1.1901857587722352E-2</v>
      </c>
      <c r="AO25" s="279">
        <v>1.1901857587722352E-2</v>
      </c>
      <c r="AP25" s="279">
        <v>1.1901857587722352E-2</v>
      </c>
      <c r="AQ25" s="279">
        <v>1.1901857587722352E-2</v>
      </c>
      <c r="AR25" s="279">
        <v>1.1901857587722352E-2</v>
      </c>
      <c r="AS25" s="279">
        <v>1.1901857587722352E-2</v>
      </c>
      <c r="AT25" s="279">
        <v>1.1901857587722352E-2</v>
      </c>
      <c r="AU25" s="279">
        <v>1.1901857587722352E-2</v>
      </c>
      <c r="AV25" s="279">
        <v>1.1901857587722352E-2</v>
      </c>
      <c r="AW25" s="279">
        <v>1.1901857587722352E-2</v>
      </c>
      <c r="AX25" s="279">
        <v>1.1901857587722352E-2</v>
      </c>
      <c r="AY25" s="279">
        <v>1.1901857587722352E-2</v>
      </c>
    </row>
    <row r="26" spans="1:51">
      <c r="A26" s="278" t="s">
        <v>313</v>
      </c>
      <c r="B26" s="279">
        <v>6.2994944104956582E-2</v>
      </c>
      <c r="C26" s="279">
        <v>6.2994944104956582E-2</v>
      </c>
      <c r="D26" s="279">
        <v>6.2994944104956582E-2</v>
      </c>
      <c r="E26" s="279">
        <v>6.2994944104956582E-2</v>
      </c>
      <c r="F26" s="279">
        <v>6.2994944104956582E-2</v>
      </c>
      <c r="G26" s="279">
        <v>6.2994944104956582E-2</v>
      </c>
      <c r="H26" s="279">
        <v>6.2994944104956582E-2</v>
      </c>
      <c r="I26" s="279">
        <v>6.2994944104956582E-2</v>
      </c>
      <c r="J26" s="279">
        <v>6.2994944104956582E-2</v>
      </c>
      <c r="K26" s="279">
        <v>6.2994944104956582E-2</v>
      </c>
      <c r="L26" s="279">
        <v>6.2994944104956582E-2</v>
      </c>
      <c r="M26" s="279">
        <v>6.2994944104956582E-2</v>
      </c>
      <c r="N26" s="279">
        <v>6.2994944104956582E-2</v>
      </c>
      <c r="O26" s="279">
        <v>6.2994944104956582E-2</v>
      </c>
      <c r="P26" s="279">
        <v>6.2994944104956582E-2</v>
      </c>
      <c r="Q26" s="279">
        <v>6.2994944104956582E-2</v>
      </c>
      <c r="R26" s="279">
        <v>6.2994944104956582E-2</v>
      </c>
      <c r="S26" s="279">
        <v>6.2994944104956582E-2</v>
      </c>
      <c r="T26" s="279">
        <v>6.2994944104956582E-2</v>
      </c>
      <c r="U26" s="279">
        <v>6.2994944104956582E-2</v>
      </c>
      <c r="V26" s="279">
        <v>6.2994944104956582E-2</v>
      </c>
      <c r="W26" s="279">
        <v>6.2994944104956582E-2</v>
      </c>
      <c r="X26" s="279">
        <v>6.2994944104956582E-2</v>
      </c>
      <c r="Y26" s="279">
        <v>6.2994944104956582E-2</v>
      </c>
      <c r="Z26" s="279">
        <v>6.2994944104956582E-2</v>
      </c>
      <c r="AA26" s="279">
        <v>6.2994944104956582E-2</v>
      </c>
      <c r="AB26" s="279">
        <v>6.2994944104956582E-2</v>
      </c>
      <c r="AC26" s="279">
        <v>6.2994944104956582E-2</v>
      </c>
      <c r="AD26" s="279">
        <v>6.2994944104956582E-2</v>
      </c>
      <c r="AE26" s="279">
        <v>6.2994944104956582E-2</v>
      </c>
      <c r="AF26" s="279">
        <v>6.2994944104956582E-2</v>
      </c>
      <c r="AG26" s="279">
        <v>6.2994944104956582E-2</v>
      </c>
      <c r="AH26" s="279">
        <v>6.2994944104956582E-2</v>
      </c>
      <c r="AI26" s="279">
        <v>6.2994944104956582E-2</v>
      </c>
      <c r="AJ26" s="279">
        <v>6.2994944104956582E-2</v>
      </c>
      <c r="AK26" s="279">
        <v>6.2994944104956582E-2</v>
      </c>
      <c r="AL26" s="279">
        <v>6.2994944104956582E-2</v>
      </c>
      <c r="AM26" s="279">
        <v>6.2994944104956582E-2</v>
      </c>
      <c r="AN26" s="279">
        <v>6.2994944104956582E-2</v>
      </c>
      <c r="AO26" s="279">
        <v>6.2994944104956582E-2</v>
      </c>
      <c r="AP26" s="279">
        <v>6.2994944104956582E-2</v>
      </c>
      <c r="AQ26" s="279">
        <v>6.2994944104956582E-2</v>
      </c>
      <c r="AR26" s="279">
        <v>6.2994944104956582E-2</v>
      </c>
      <c r="AS26" s="279">
        <v>6.2994944104956582E-2</v>
      </c>
      <c r="AT26" s="279">
        <v>6.2994944104956582E-2</v>
      </c>
      <c r="AU26" s="279">
        <v>6.2994944104956582E-2</v>
      </c>
      <c r="AV26" s="279">
        <v>6.2994944104956582E-2</v>
      </c>
      <c r="AW26" s="279">
        <v>6.2994944104956582E-2</v>
      </c>
      <c r="AX26" s="279">
        <v>6.2994944104956582E-2</v>
      </c>
      <c r="AY26" s="279">
        <v>6.2994944104956582E-2</v>
      </c>
    </row>
    <row r="27" spans="1:51">
      <c r="A27" s="278" t="s">
        <v>6911</v>
      </c>
      <c r="B27" s="279">
        <v>0.23762963314455585</v>
      </c>
      <c r="C27" s="279">
        <v>0.23762963314455585</v>
      </c>
      <c r="D27" s="279">
        <v>0.23762963314455585</v>
      </c>
      <c r="E27" s="279">
        <v>0.23762963314455585</v>
      </c>
      <c r="F27" s="279">
        <v>0.23762963314455585</v>
      </c>
      <c r="G27" s="279">
        <v>0.23762963314455585</v>
      </c>
      <c r="H27" s="279">
        <v>0.23762963314455585</v>
      </c>
      <c r="I27" s="279">
        <v>0.23762963314455585</v>
      </c>
      <c r="J27" s="279">
        <v>0.23762963314455585</v>
      </c>
      <c r="K27" s="279">
        <v>0.23762963314455585</v>
      </c>
      <c r="L27" s="279">
        <v>0.23762963314455585</v>
      </c>
      <c r="M27" s="279">
        <v>0.23762963314455585</v>
      </c>
      <c r="N27" s="279">
        <v>0.23762963314455585</v>
      </c>
      <c r="O27" s="279">
        <v>0.23762963314455585</v>
      </c>
      <c r="P27" s="279">
        <v>0.23762963314455585</v>
      </c>
      <c r="Q27" s="279">
        <v>0.23762963314455585</v>
      </c>
      <c r="R27" s="279">
        <v>0.23762963314455585</v>
      </c>
      <c r="S27" s="279">
        <v>0.23762963314455585</v>
      </c>
      <c r="T27" s="279">
        <v>0.23762963314455585</v>
      </c>
      <c r="U27" s="279">
        <v>0.23762963314455585</v>
      </c>
      <c r="V27" s="279">
        <v>0.23762963314455585</v>
      </c>
      <c r="W27" s="279">
        <v>0.23762963314455585</v>
      </c>
      <c r="X27" s="279">
        <v>0.23762963314455585</v>
      </c>
      <c r="Y27" s="279">
        <v>0.23762963314455585</v>
      </c>
      <c r="Z27" s="279">
        <v>0.23762963314455585</v>
      </c>
      <c r="AA27" s="279">
        <v>0.23762963314455585</v>
      </c>
      <c r="AB27" s="279">
        <v>0.23762963314455585</v>
      </c>
      <c r="AC27" s="279">
        <v>0.23762963314455585</v>
      </c>
      <c r="AD27" s="279">
        <v>0.23762963314455585</v>
      </c>
      <c r="AE27" s="279">
        <v>0.23762963314455585</v>
      </c>
      <c r="AF27" s="279">
        <v>0.23762963314455585</v>
      </c>
      <c r="AG27" s="279">
        <v>0.23762963314455585</v>
      </c>
      <c r="AH27" s="279">
        <v>0.23762963314455585</v>
      </c>
      <c r="AI27" s="279">
        <v>0.23762963314455585</v>
      </c>
      <c r="AJ27" s="279">
        <v>0.23762963314455585</v>
      </c>
      <c r="AK27" s="279">
        <v>0.23762963314455585</v>
      </c>
      <c r="AL27" s="279">
        <v>0.23762963314455585</v>
      </c>
      <c r="AM27" s="279">
        <v>0.23762963314455585</v>
      </c>
      <c r="AN27" s="279">
        <v>0.23762963314455585</v>
      </c>
      <c r="AO27" s="279">
        <v>0.23762963314455585</v>
      </c>
      <c r="AP27" s="279">
        <v>0.23762963314455585</v>
      </c>
      <c r="AQ27" s="279">
        <v>0.23762963314455585</v>
      </c>
      <c r="AR27" s="279">
        <v>0.23762963314455585</v>
      </c>
      <c r="AS27" s="279">
        <v>0.23762963314455585</v>
      </c>
      <c r="AT27" s="279">
        <v>0.23762963314455585</v>
      </c>
      <c r="AU27" s="279">
        <v>0.23762963314455585</v>
      </c>
      <c r="AV27" s="279">
        <v>0.23762963314455585</v>
      </c>
      <c r="AW27" s="279">
        <v>0.23762963314455585</v>
      </c>
      <c r="AX27" s="279">
        <v>0.23762963314455585</v>
      </c>
      <c r="AY27" s="279">
        <v>0.23762963314455585</v>
      </c>
    </row>
    <row r="28" spans="1:51">
      <c r="A28" s="278" t="s">
        <v>441</v>
      </c>
      <c r="B28" s="279">
        <v>0.22718299166485678</v>
      </c>
      <c r="C28" s="279">
        <v>0.22718299166485678</v>
      </c>
      <c r="D28" s="279">
        <v>0.22718299166485678</v>
      </c>
      <c r="E28" s="279">
        <v>0.22718299166485678</v>
      </c>
      <c r="F28" s="279">
        <v>0.22718299166485678</v>
      </c>
      <c r="G28" s="279">
        <v>0.22718299166485678</v>
      </c>
      <c r="H28" s="279">
        <v>0.22718299166485678</v>
      </c>
      <c r="I28" s="279">
        <v>0.22718299166485678</v>
      </c>
      <c r="J28" s="279">
        <v>0.22718299166485678</v>
      </c>
      <c r="K28" s="279">
        <v>0.22718299166485678</v>
      </c>
      <c r="L28" s="279">
        <v>0.22718299166485678</v>
      </c>
      <c r="M28" s="279">
        <v>0.22718299166485678</v>
      </c>
      <c r="N28" s="279">
        <v>0.22718299166485678</v>
      </c>
      <c r="O28" s="279">
        <v>0.22718299166485678</v>
      </c>
      <c r="P28" s="279">
        <v>0.22718299166485678</v>
      </c>
      <c r="Q28" s="279">
        <v>0.22718299166485678</v>
      </c>
      <c r="R28" s="279">
        <v>0.22718299166485678</v>
      </c>
      <c r="S28" s="279">
        <v>0.22718299166485678</v>
      </c>
      <c r="T28" s="279">
        <v>0.22718299166485678</v>
      </c>
      <c r="U28" s="279">
        <v>0.22718299166485678</v>
      </c>
      <c r="V28" s="279">
        <v>0.22718299166485678</v>
      </c>
      <c r="W28" s="279">
        <v>0.22718299166485678</v>
      </c>
      <c r="X28" s="279">
        <v>0.22718299166485678</v>
      </c>
      <c r="Y28" s="279">
        <v>0.22718299166485678</v>
      </c>
      <c r="Z28" s="279">
        <v>0.22718299166485678</v>
      </c>
      <c r="AA28" s="279">
        <v>0.22718299166485678</v>
      </c>
      <c r="AB28" s="279">
        <v>0.22718299166485678</v>
      </c>
      <c r="AC28" s="279">
        <v>0.22718299166485678</v>
      </c>
      <c r="AD28" s="279">
        <v>0.22718299166485678</v>
      </c>
      <c r="AE28" s="279">
        <v>0.22718299166485678</v>
      </c>
      <c r="AF28" s="279">
        <v>0.22718299166485678</v>
      </c>
      <c r="AG28" s="279">
        <v>0.22718299166485678</v>
      </c>
      <c r="AH28" s="279">
        <v>0.22718299166485678</v>
      </c>
      <c r="AI28" s="279">
        <v>0.22718299166485678</v>
      </c>
      <c r="AJ28" s="279">
        <v>0.22718299166485678</v>
      </c>
      <c r="AK28" s="279">
        <v>0.22718299166485678</v>
      </c>
      <c r="AL28" s="279">
        <v>0.22718299166485678</v>
      </c>
      <c r="AM28" s="279">
        <v>0.22718299166485678</v>
      </c>
      <c r="AN28" s="279">
        <v>0.22718299166485678</v>
      </c>
      <c r="AO28" s="279">
        <v>0.22718299166485678</v>
      </c>
      <c r="AP28" s="279">
        <v>0.22718299166485678</v>
      </c>
      <c r="AQ28" s="279">
        <v>0.22718299166485678</v>
      </c>
      <c r="AR28" s="279">
        <v>0.22718299166485678</v>
      </c>
      <c r="AS28" s="279">
        <v>0.22718299166485678</v>
      </c>
      <c r="AT28" s="279">
        <v>0.22718299166485678</v>
      </c>
      <c r="AU28" s="279">
        <v>0.22718299166485678</v>
      </c>
      <c r="AV28" s="279">
        <v>0.22718299166485678</v>
      </c>
      <c r="AW28" s="279">
        <v>0.22718299166485678</v>
      </c>
      <c r="AX28" s="279">
        <v>0.22718299166485678</v>
      </c>
      <c r="AY28" s="279">
        <v>0.22718299166485678</v>
      </c>
    </row>
    <row r="29" spans="1:51">
      <c r="A29" s="278" t="s">
        <v>6912</v>
      </c>
      <c r="B29" s="279">
        <v>0.13995956647528071</v>
      </c>
      <c r="C29" s="279">
        <v>0.13995956647528071</v>
      </c>
      <c r="D29" s="279">
        <v>0.13995956647528071</v>
      </c>
      <c r="E29" s="279">
        <v>0.13995956647528071</v>
      </c>
      <c r="F29" s="279">
        <v>0.13995956647528071</v>
      </c>
      <c r="G29" s="279">
        <v>0.13995956647528071</v>
      </c>
      <c r="H29" s="279">
        <v>0.13995956647528071</v>
      </c>
      <c r="I29" s="279">
        <v>0.13995956647528071</v>
      </c>
      <c r="J29" s="279">
        <v>0.13995956647528071</v>
      </c>
      <c r="K29" s="279">
        <v>0.13995956647528071</v>
      </c>
      <c r="L29" s="279">
        <v>0.13995956647528071</v>
      </c>
      <c r="M29" s="279">
        <v>0.13995956647528071</v>
      </c>
      <c r="N29" s="279">
        <v>0.13995956647528071</v>
      </c>
      <c r="O29" s="279">
        <v>0.13995956647528071</v>
      </c>
      <c r="P29" s="279">
        <v>0.13995956647528071</v>
      </c>
      <c r="Q29" s="279">
        <v>0.13995956647528071</v>
      </c>
      <c r="R29" s="279">
        <v>0.13995956647528071</v>
      </c>
      <c r="S29" s="279">
        <v>0.13995956647528071</v>
      </c>
      <c r="T29" s="279">
        <v>0.13995956647528071</v>
      </c>
      <c r="U29" s="279">
        <v>0.13995956647528071</v>
      </c>
      <c r="V29" s="279">
        <v>0.13995956647528071</v>
      </c>
      <c r="W29" s="279">
        <v>0.13995956647528071</v>
      </c>
      <c r="X29" s="279">
        <v>0.13995956647528071</v>
      </c>
      <c r="Y29" s="279">
        <v>0.13995956647528071</v>
      </c>
      <c r="Z29" s="279">
        <v>0.13995956647528071</v>
      </c>
      <c r="AA29" s="279">
        <v>0.13995956647528071</v>
      </c>
      <c r="AB29" s="279">
        <v>0.13995956647528071</v>
      </c>
      <c r="AC29" s="279">
        <v>0.13995956647528071</v>
      </c>
      <c r="AD29" s="279">
        <v>0.13995956647528071</v>
      </c>
      <c r="AE29" s="279">
        <v>0.13995956647528071</v>
      </c>
      <c r="AF29" s="279">
        <v>0.13995956647528071</v>
      </c>
      <c r="AG29" s="279">
        <v>0.13995956647528071</v>
      </c>
      <c r="AH29" s="279">
        <v>0.13995956647528071</v>
      </c>
      <c r="AI29" s="279">
        <v>0.13995956647528071</v>
      </c>
      <c r="AJ29" s="279">
        <v>0.13995956647528071</v>
      </c>
      <c r="AK29" s="279">
        <v>0.13995956647528071</v>
      </c>
      <c r="AL29" s="279">
        <v>0.13995956647528071</v>
      </c>
      <c r="AM29" s="279">
        <v>0.13995956647528071</v>
      </c>
      <c r="AN29" s="279">
        <v>0.13995956647528071</v>
      </c>
      <c r="AO29" s="279">
        <v>0.13995956647528071</v>
      </c>
      <c r="AP29" s="279">
        <v>0.13995956647528071</v>
      </c>
      <c r="AQ29" s="279">
        <v>0.13995956647528071</v>
      </c>
      <c r="AR29" s="279">
        <v>0.13995956647528071</v>
      </c>
      <c r="AS29" s="279">
        <v>0.13995956647528071</v>
      </c>
      <c r="AT29" s="279">
        <v>0.13995956647528071</v>
      </c>
      <c r="AU29" s="279">
        <v>0.13995956647528071</v>
      </c>
      <c r="AV29" s="279">
        <v>0.13995956647528071</v>
      </c>
      <c r="AW29" s="279">
        <v>0.13995956647528071</v>
      </c>
      <c r="AX29" s="279">
        <v>0.13995956647528071</v>
      </c>
      <c r="AY29" s="279">
        <v>0.13995956647528071</v>
      </c>
    </row>
    <row r="30" spans="1:51">
      <c r="A30" s="278" t="s">
        <v>443</v>
      </c>
      <c r="B30" s="279">
        <v>6.7053974882242282E-2</v>
      </c>
      <c r="C30" s="279">
        <v>6.7053974882242282E-2</v>
      </c>
      <c r="D30" s="279">
        <v>6.7053974882242282E-2</v>
      </c>
      <c r="E30" s="279">
        <v>6.7053974882242282E-2</v>
      </c>
      <c r="F30" s="279">
        <v>6.7053974882242282E-2</v>
      </c>
      <c r="G30" s="279">
        <v>6.7053974882242282E-2</v>
      </c>
      <c r="H30" s="279">
        <v>6.7053974882242282E-2</v>
      </c>
      <c r="I30" s="279">
        <v>6.7053974882242282E-2</v>
      </c>
      <c r="J30" s="279">
        <v>6.7053974882242282E-2</v>
      </c>
      <c r="K30" s="279">
        <v>6.7053974882242282E-2</v>
      </c>
      <c r="L30" s="279">
        <v>6.7053974882242282E-2</v>
      </c>
      <c r="M30" s="279">
        <v>6.7053974882242282E-2</v>
      </c>
      <c r="N30" s="279">
        <v>6.7053974882242282E-2</v>
      </c>
      <c r="O30" s="279">
        <v>6.7053974882242282E-2</v>
      </c>
      <c r="P30" s="279">
        <v>6.7053974882242282E-2</v>
      </c>
      <c r="Q30" s="279">
        <v>6.7053974882242282E-2</v>
      </c>
      <c r="R30" s="279">
        <v>6.7053974882242282E-2</v>
      </c>
      <c r="S30" s="279">
        <v>6.7053974882242282E-2</v>
      </c>
      <c r="T30" s="279">
        <v>6.7053974882242282E-2</v>
      </c>
      <c r="U30" s="279">
        <v>6.7053974882242282E-2</v>
      </c>
      <c r="V30" s="279">
        <v>6.7053974882242282E-2</v>
      </c>
      <c r="W30" s="279">
        <v>6.7053974882242282E-2</v>
      </c>
      <c r="X30" s="279">
        <v>6.7053974882242282E-2</v>
      </c>
      <c r="Y30" s="279">
        <v>6.7053974882242282E-2</v>
      </c>
      <c r="Z30" s="279">
        <v>6.7053974882242282E-2</v>
      </c>
      <c r="AA30" s="279">
        <v>6.7053974882242282E-2</v>
      </c>
      <c r="AB30" s="279">
        <v>6.7053974882242282E-2</v>
      </c>
      <c r="AC30" s="279">
        <v>6.7053974882242282E-2</v>
      </c>
      <c r="AD30" s="279">
        <v>6.7053974882242282E-2</v>
      </c>
      <c r="AE30" s="279">
        <v>6.7053974882242282E-2</v>
      </c>
      <c r="AF30" s="279">
        <v>6.7053974882242282E-2</v>
      </c>
      <c r="AG30" s="279">
        <v>6.7053974882242282E-2</v>
      </c>
      <c r="AH30" s="279">
        <v>6.7053974882242282E-2</v>
      </c>
      <c r="AI30" s="279">
        <v>6.7053974882242282E-2</v>
      </c>
      <c r="AJ30" s="279">
        <v>6.7053974882242282E-2</v>
      </c>
      <c r="AK30" s="279">
        <v>6.7053974882242282E-2</v>
      </c>
      <c r="AL30" s="279">
        <v>6.7053974882242282E-2</v>
      </c>
      <c r="AM30" s="279">
        <v>6.7053974882242282E-2</v>
      </c>
      <c r="AN30" s="279">
        <v>6.7053974882242282E-2</v>
      </c>
      <c r="AO30" s="279">
        <v>6.7053974882242282E-2</v>
      </c>
      <c r="AP30" s="279">
        <v>6.7053974882242282E-2</v>
      </c>
      <c r="AQ30" s="279">
        <v>6.7053974882242282E-2</v>
      </c>
      <c r="AR30" s="279">
        <v>6.7053974882242282E-2</v>
      </c>
      <c r="AS30" s="279">
        <v>6.7053974882242282E-2</v>
      </c>
      <c r="AT30" s="279">
        <v>6.7053974882242282E-2</v>
      </c>
      <c r="AU30" s="279">
        <v>6.7053974882242282E-2</v>
      </c>
      <c r="AV30" s="279">
        <v>6.7053974882242282E-2</v>
      </c>
      <c r="AW30" s="279">
        <v>6.7053974882242282E-2</v>
      </c>
      <c r="AX30" s="279">
        <v>6.7053974882242282E-2</v>
      </c>
      <c r="AY30" s="279">
        <v>6.7053974882242282E-2</v>
      </c>
    </row>
    <row r="31" spans="1:51">
      <c r="A31" s="278" t="s">
        <v>445</v>
      </c>
      <c r="B31" s="279">
        <v>8.7244415514554766E-2</v>
      </c>
      <c r="C31" s="279">
        <v>8.7244415514554766E-2</v>
      </c>
      <c r="D31" s="279">
        <v>8.7244415514554766E-2</v>
      </c>
      <c r="E31" s="279">
        <v>8.7244415514554766E-2</v>
      </c>
      <c r="F31" s="279">
        <v>8.7244415514554766E-2</v>
      </c>
      <c r="G31" s="279">
        <v>8.7244415514554766E-2</v>
      </c>
      <c r="H31" s="279">
        <v>8.7244415514554766E-2</v>
      </c>
      <c r="I31" s="279">
        <v>8.7244415514554766E-2</v>
      </c>
      <c r="J31" s="279">
        <v>8.7244415514554766E-2</v>
      </c>
      <c r="K31" s="279">
        <v>8.7244415514554766E-2</v>
      </c>
      <c r="L31" s="279">
        <v>8.7244415514554766E-2</v>
      </c>
      <c r="M31" s="279">
        <v>8.7244415514554766E-2</v>
      </c>
      <c r="N31" s="279">
        <v>8.7244415514554766E-2</v>
      </c>
      <c r="O31" s="279">
        <v>8.7244415514554766E-2</v>
      </c>
      <c r="P31" s="279">
        <v>8.7244415514554766E-2</v>
      </c>
      <c r="Q31" s="279">
        <v>8.7244415514554766E-2</v>
      </c>
      <c r="R31" s="279">
        <v>8.7244415514554766E-2</v>
      </c>
      <c r="S31" s="279">
        <v>8.7244415514554766E-2</v>
      </c>
      <c r="T31" s="279">
        <v>8.7244415514554766E-2</v>
      </c>
      <c r="U31" s="279">
        <v>8.7244415514554766E-2</v>
      </c>
      <c r="V31" s="279">
        <v>8.7244415514554766E-2</v>
      </c>
      <c r="W31" s="279">
        <v>8.7244415514554766E-2</v>
      </c>
      <c r="X31" s="279">
        <v>8.7244415514554766E-2</v>
      </c>
      <c r="Y31" s="279">
        <v>8.7244415514554766E-2</v>
      </c>
      <c r="Z31" s="279">
        <v>8.7244415514554766E-2</v>
      </c>
      <c r="AA31" s="279">
        <v>8.7244415514554766E-2</v>
      </c>
      <c r="AB31" s="279">
        <v>8.7244415514554766E-2</v>
      </c>
      <c r="AC31" s="279">
        <v>8.7244415514554766E-2</v>
      </c>
      <c r="AD31" s="279">
        <v>8.7244415514554766E-2</v>
      </c>
      <c r="AE31" s="279">
        <v>8.7244415514554766E-2</v>
      </c>
      <c r="AF31" s="279">
        <v>8.7244415514554766E-2</v>
      </c>
      <c r="AG31" s="279">
        <v>8.7244415514554766E-2</v>
      </c>
      <c r="AH31" s="279">
        <v>8.7244415514554766E-2</v>
      </c>
      <c r="AI31" s="279">
        <v>8.7244415514554766E-2</v>
      </c>
      <c r="AJ31" s="279">
        <v>8.7244415514554766E-2</v>
      </c>
      <c r="AK31" s="279">
        <v>8.7244415514554766E-2</v>
      </c>
      <c r="AL31" s="279">
        <v>8.7244415514554766E-2</v>
      </c>
      <c r="AM31" s="279">
        <v>8.7244415514554766E-2</v>
      </c>
      <c r="AN31" s="279">
        <v>8.7244415514554766E-2</v>
      </c>
      <c r="AO31" s="279">
        <v>8.7244415514554766E-2</v>
      </c>
      <c r="AP31" s="279">
        <v>8.7244415514554766E-2</v>
      </c>
      <c r="AQ31" s="279">
        <v>8.7244415514554766E-2</v>
      </c>
      <c r="AR31" s="279">
        <v>8.7244415514554766E-2</v>
      </c>
      <c r="AS31" s="279">
        <v>8.7244415514554766E-2</v>
      </c>
      <c r="AT31" s="279">
        <v>8.7244415514554766E-2</v>
      </c>
      <c r="AU31" s="279">
        <v>8.7244415514554766E-2</v>
      </c>
      <c r="AV31" s="279">
        <v>8.7244415514554766E-2</v>
      </c>
      <c r="AW31" s="279">
        <v>8.7244415514554766E-2</v>
      </c>
      <c r="AX31" s="279">
        <v>8.7244415514554766E-2</v>
      </c>
      <c r="AY31" s="279">
        <v>8.7244415514554766E-2</v>
      </c>
    </row>
    <row r="32" spans="1:51">
      <c r="A32" s="278" t="s">
        <v>6915</v>
      </c>
      <c r="B32" s="279">
        <v>2.5816836523144787E-2</v>
      </c>
      <c r="C32" s="279">
        <v>2.5816836523144787E-2</v>
      </c>
      <c r="D32" s="279">
        <v>2.5816836523144787E-2</v>
      </c>
      <c r="E32" s="279">
        <v>2.5816836523144787E-2</v>
      </c>
      <c r="F32" s="279">
        <v>2.5816836523144787E-2</v>
      </c>
      <c r="G32" s="279">
        <v>2.5816836523144787E-2</v>
      </c>
      <c r="H32" s="279">
        <v>2.5816836523144787E-2</v>
      </c>
      <c r="I32" s="279">
        <v>2.5816836523144787E-2</v>
      </c>
      <c r="J32" s="279">
        <v>2.5816836523144787E-2</v>
      </c>
      <c r="K32" s="279">
        <v>2.5816836523144787E-2</v>
      </c>
      <c r="L32" s="279">
        <v>2.5816836523144787E-2</v>
      </c>
      <c r="M32" s="279">
        <v>2.5816836523144787E-2</v>
      </c>
      <c r="N32" s="279">
        <v>2.5816836523144787E-2</v>
      </c>
      <c r="O32" s="279">
        <v>2.5816836523144787E-2</v>
      </c>
      <c r="P32" s="279">
        <v>2.5816836523144787E-2</v>
      </c>
      <c r="Q32" s="279">
        <v>2.5816836523144787E-2</v>
      </c>
      <c r="R32" s="279">
        <v>2.5816836523144787E-2</v>
      </c>
      <c r="S32" s="279">
        <v>2.5816836523144787E-2</v>
      </c>
      <c r="T32" s="279">
        <v>2.5816836523144787E-2</v>
      </c>
      <c r="U32" s="279">
        <v>2.5816836523144787E-2</v>
      </c>
      <c r="V32" s="279">
        <v>2.5816836523144787E-2</v>
      </c>
      <c r="W32" s="279">
        <v>2.5816836523144787E-2</v>
      </c>
      <c r="X32" s="279">
        <v>2.5816836523144787E-2</v>
      </c>
      <c r="Y32" s="279">
        <v>2.5816836523144787E-2</v>
      </c>
      <c r="Z32" s="279">
        <v>2.5816836523144787E-2</v>
      </c>
      <c r="AA32" s="279">
        <v>2.5816836523144787E-2</v>
      </c>
      <c r="AB32" s="279">
        <v>2.5816836523144787E-2</v>
      </c>
      <c r="AC32" s="279">
        <v>2.5816836523144787E-2</v>
      </c>
      <c r="AD32" s="279">
        <v>2.5816836523144787E-2</v>
      </c>
      <c r="AE32" s="279">
        <v>2.5816836523144787E-2</v>
      </c>
      <c r="AF32" s="279">
        <v>2.5816836523144787E-2</v>
      </c>
      <c r="AG32" s="279">
        <v>2.5816836523144787E-2</v>
      </c>
      <c r="AH32" s="279">
        <v>2.5816836523144787E-2</v>
      </c>
      <c r="AI32" s="279">
        <v>2.5816836523144787E-2</v>
      </c>
      <c r="AJ32" s="279">
        <v>2.5816836523144787E-2</v>
      </c>
      <c r="AK32" s="279">
        <v>2.5816836523144787E-2</v>
      </c>
      <c r="AL32" s="279">
        <v>2.5816836523144787E-2</v>
      </c>
      <c r="AM32" s="279">
        <v>2.5816836523144787E-2</v>
      </c>
      <c r="AN32" s="279">
        <v>2.5816836523144787E-2</v>
      </c>
      <c r="AO32" s="279">
        <v>2.5816836523144787E-2</v>
      </c>
      <c r="AP32" s="279">
        <v>2.5816836523144787E-2</v>
      </c>
      <c r="AQ32" s="279">
        <v>2.5816836523144787E-2</v>
      </c>
      <c r="AR32" s="279">
        <v>2.5816836523144787E-2</v>
      </c>
      <c r="AS32" s="279">
        <v>2.5816836523144787E-2</v>
      </c>
      <c r="AT32" s="279">
        <v>2.5816836523144787E-2</v>
      </c>
      <c r="AU32" s="279">
        <v>2.5816836523144787E-2</v>
      </c>
      <c r="AV32" s="279">
        <v>2.5816836523144787E-2</v>
      </c>
      <c r="AW32" s="279">
        <v>2.5816836523144787E-2</v>
      </c>
      <c r="AX32" s="279">
        <v>2.5816836523144787E-2</v>
      </c>
      <c r="AY32" s="279">
        <v>2.5816836523144787E-2</v>
      </c>
    </row>
    <row r="33" spans="1:51">
      <c r="A33" s="278" t="s">
        <v>447</v>
      </c>
      <c r="B33" s="279">
        <v>4.1465852425280988E-2</v>
      </c>
      <c r="C33" s="279">
        <v>4.1465852425280988E-2</v>
      </c>
      <c r="D33" s="279">
        <v>4.1465852425280988E-2</v>
      </c>
      <c r="E33" s="279">
        <v>4.1465852425280988E-2</v>
      </c>
      <c r="F33" s="279">
        <v>4.1465852425280988E-2</v>
      </c>
      <c r="G33" s="279">
        <v>4.1465852425280988E-2</v>
      </c>
      <c r="H33" s="279">
        <v>4.1465852425280988E-2</v>
      </c>
      <c r="I33" s="279">
        <v>4.1465852425280988E-2</v>
      </c>
      <c r="J33" s="279">
        <v>4.1465852425280988E-2</v>
      </c>
      <c r="K33" s="279">
        <v>4.1465852425280988E-2</v>
      </c>
      <c r="L33" s="279">
        <v>4.1465852425280988E-2</v>
      </c>
      <c r="M33" s="279">
        <v>4.1465852425280988E-2</v>
      </c>
      <c r="N33" s="279">
        <v>4.1465852425280988E-2</v>
      </c>
      <c r="O33" s="279">
        <v>4.1465852425280988E-2</v>
      </c>
      <c r="P33" s="279">
        <v>4.1465852425280988E-2</v>
      </c>
      <c r="Q33" s="279">
        <v>4.1465852425280988E-2</v>
      </c>
      <c r="R33" s="279">
        <v>4.1465852425280988E-2</v>
      </c>
      <c r="S33" s="279">
        <v>4.1465852425280988E-2</v>
      </c>
      <c r="T33" s="279">
        <v>4.1465852425280988E-2</v>
      </c>
      <c r="U33" s="279">
        <v>4.1465852425280988E-2</v>
      </c>
      <c r="V33" s="279">
        <v>4.1465852425280988E-2</v>
      </c>
      <c r="W33" s="279">
        <v>4.1465852425280988E-2</v>
      </c>
      <c r="X33" s="279">
        <v>4.1465852425280988E-2</v>
      </c>
      <c r="Y33" s="279">
        <v>4.1465852425280988E-2</v>
      </c>
      <c r="Z33" s="279">
        <v>4.1465852425280988E-2</v>
      </c>
      <c r="AA33" s="279">
        <v>4.1465852425280988E-2</v>
      </c>
      <c r="AB33" s="279">
        <v>4.1465852425280988E-2</v>
      </c>
      <c r="AC33" s="279">
        <v>4.1465852425280988E-2</v>
      </c>
      <c r="AD33" s="279">
        <v>4.1465852425280988E-2</v>
      </c>
      <c r="AE33" s="279">
        <v>4.1465852425280988E-2</v>
      </c>
      <c r="AF33" s="279">
        <v>4.1465852425280988E-2</v>
      </c>
      <c r="AG33" s="279">
        <v>4.1465852425280988E-2</v>
      </c>
      <c r="AH33" s="279">
        <v>4.1465852425280988E-2</v>
      </c>
      <c r="AI33" s="279">
        <v>4.1465852425280988E-2</v>
      </c>
      <c r="AJ33" s="279">
        <v>4.1465852425280988E-2</v>
      </c>
      <c r="AK33" s="279">
        <v>4.1465852425280988E-2</v>
      </c>
      <c r="AL33" s="279">
        <v>4.1465852425280988E-2</v>
      </c>
      <c r="AM33" s="279">
        <v>4.1465852425280988E-2</v>
      </c>
      <c r="AN33" s="279">
        <v>4.1465852425280988E-2</v>
      </c>
      <c r="AO33" s="279">
        <v>4.1465852425280988E-2</v>
      </c>
      <c r="AP33" s="279">
        <v>4.1465852425280988E-2</v>
      </c>
      <c r="AQ33" s="279">
        <v>4.1465852425280988E-2</v>
      </c>
      <c r="AR33" s="279">
        <v>4.1465852425280988E-2</v>
      </c>
      <c r="AS33" s="279">
        <v>4.1465852425280988E-2</v>
      </c>
      <c r="AT33" s="279">
        <v>4.1465852425280988E-2</v>
      </c>
      <c r="AU33" s="279">
        <v>4.1465852425280988E-2</v>
      </c>
      <c r="AV33" s="279">
        <v>4.1465852425280988E-2</v>
      </c>
      <c r="AW33" s="279">
        <v>4.1465852425280988E-2</v>
      </c>
      <c r="AX33" s="279">
        <v>4.1465852425280988E-2</v>
      </c>
      <c r="AY33" s="279">
        <v>4.1465852425280988E-2</v>
      </c>
    </row>
    <row r="34" spans="1:51">
      <c r="A34" s="278"/>
      <c r="B34" s="279"/>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79"/>
      <c r="AR34" s="279"/>
      <c r="AS34" s="279"/>
      <c r="AT34" s="279"/>
      <c r="AU34" s="279"/>
      <c r="AV34" s="279"/>
      <c r="AW34" s="279"/>
      <c r="AX34" s="279"/>
      <c r="AY34" s="279"/>
    </row>
    <row r="35" spans="1:51">
      <c r="A35" s="278" t="s">
        <v>7756</v>
      </c>
      <c r="B35" s="283">
        <v>135.16666666666669</v>
      </c>
      <c r="C35" s="283">
        <v>135.16666666666669</v>
      </c>
      <c r="D35" s="283">
        <v>135.16666666666669</v>
      </c>
      <c r="E35" s="283">
        <v>135.16666666666669</v>
      </c>
      <c r="F35" s="283">
        <v>135.16666666666669</v>
      </c>
      <c r="G35" s="283">
        <v>135.16666666666669</v>
      </c>
      <c r="H35" s="283">
        <v>135.16666666666669</v>
      </c>
      <c r="I35" s="283">
        <v>135.16666666666669</v>
      </c>
      <c r="J35" s="283">
        <v>135.16666666666669</v>
      </c>
      <c r="K35" s="283">
        <v>135.16666666666669</v>
      </c>
      <c r="L35" s="283">
        <v>135.16666666666669</v>
      </c>
      <c r="M35" s="283">
        <v>135.16666666666669</v>
      </c>
      <c r="N35" s="283">
        <v>135.16666666666669</v>
      </c>
      <c r="O35" s="283">
        <v>135.16666666666669</v>
      </c>
      <c r="P35" s="283">
        <v>135.16666666666669</v>
      </c>
      <c r="Q35" s="283">
        <v>135.16666666666669</v>
      </c>
      <c r="R35" s="283">
        <v>135.16666666666669</v>
      </c>
      <c r="S35" s="283">
        <v>135.16666666666669</v>
      </c>
      <c r="T35" s="283">
        <v>135.16666666666669</v>
      </c>
      <c r="U35" s="283">
        <v>135.16666666666669</v>
      </c>
      <c r="V35" s="283">
        <v>135.16666666666669</v>
      </c>
      <c r="W35" s="283">
        <v>135.16666666666669</v>
      </c>
      <c r="X35" s="283">
        <v>135.16666666666669</v>
      </c>
      <c r="Y35" s="283">
        <v>135.16666666666669</v>
      </c>
      <c r="Z35" s="283">
        <v>135.16666666666669</v>
      </c>
      <c r="AA35" s="283">
        <v>135.16666666666669</v>
      </c>
      <c r="AB35" s="283">
        <v>135.16666666666669</v>
      </c>
      <c r="AC35" s="283">
        <v>135.16666666666669</v>
      </c>
      <c r="AD35" s="283">
        <v>135.16666666666669</v>
      </c>
      <c r="AE35" s="283">
        <v>135.16666666666669</v>
      </c>
      <c r="AF35" s="283">
        <v>135.16666666666669</v>
      </c>
      <c r="AG35" s="283">
        <v>135.16666666666669</v>
      </c>
      <c r="AH35" s="283">
        <v>135.16666666666669</v>
      </c>
      <c r="AI35" s="283">
        <v>135.16666666666669</v>
      </c>
      <c r="AJ35" s="283">
        <v>135.16666666666669</v>
      </c>
      <c r="AK35" s="283">
        <v>135.16666666666669</v>
      </c>
      <c r="AL35" s="283">
        <v>135.16666666666669</v>
      </c>
      <c r="AM35" s="283">
        <v>135.16666666666669</v>
      </c>
      <c r="AN35" s="283">
        <v>135.16666666666669</v>
      </c>
      <c r="AO35" s="283">
        <v>135.16666666666669</v>
      </c>
      <c r="AP35" s="283">
        <v>135.16666666666669</v>
      </c>
      <c r="AQ35" s="283">
        <v>135.16666666666669</v>
      </c>
      <c r="AR35" s="283">
        <v>135.16666666666669</v>
      </c>
      <c r="AS35" s="283">
        <v>135.16666666666669</v>
      </c>
      <c r="AT35" s="283">
        <v>135.16666666666669</v>
      </c>
      <c r="AU35" s="283">
        <v>135.16666666666669</v>
      </c>
      <c r="AV35" s="283">
        <v>135.16666666666669</v>
      </c>
      <c r="AW35" s="283">
        <v>135.16666666666669</v>
      </c>
      <c r="AX35" s="283">
        <v>135.16666666666669</v>
      </c>
      <c r="AY35" s="283">
        <v>135.16666666666669</v>
      </c>
    </row>
    <row r="36" spans="1:51">
      <c r="A36" s="285" t="s">
        <v>7757</v>
      </c>
      <c r="B36" s="283">
        <v>179.79999999999998</v>
      </c>
      <c r="C36" s="283">
        <v>179.79999999999998</v>
      </c>
      <c r="D36" s="283">
        <v>179.79999999999998</v>
      </c>
      <c r="E36" s="283">
        <v>179.79999999999998</v>
      </c>
      <c r="F36" s="283">
        <v>179.79999999999998</v>
      </c>
      <c r="G36" s="283">
        <v>179.79999999999998</v>
      </c>
      <c r="H36" s="283">
        <v>179.79999999999998</v>
      </c>
      <c r="I36" s="283">
        <v>179.79999999999998</v>
      </c>
      <c r="J36" s="283">
        <v>179.79999999999998</v>
      </c>
      <c r="K36" s="283">
        <v>179.79999999999998</v>
      </c>
      <c r="L36" s="283">
        <v>179.79999999999998</v>
      </c>
      <c r="M36" s="283">
        <v>179.79999999999998</v>
      </c>
      <c r="N36" s="283">
        <v>179.79999999999998</v>
      </c>
      <c r="O36" s="283">
        <v>179.79999999999998</v>
      </c>
      <c r="P36" s="283">
        <v>179.79999999999998</v>
      </c>
      <c r="Q36" s="283">
        <v>179.79999999999998</v>
      </c>
      <c r="R36" s="283">
        <v>179.79999999999998</v>
      </c>
      <c r="S36" s="283">
        <v>179.79999999999998</v>
      </c>
      <c r="T36" s="283">
        <v>179.79999999999998</v>
      </c>
      <c r="U36" s="283">
        <v>179.79999999999998</v>
      </c>
      <c r="V36" s="283">
        <v>179.79999999999998</v>
      </c>
      <c r="W36" s="283">
        <v>179.79999999999998</v>
      </c>
      <c r="X36" s="283">
        <v>179.79999999999998</v>
      </c>
      <c r="Y36" s="283">
        <v>179.79999999999998</v>
      </c>
      <c r="Z36" s="283">
        <v>179.79999999999998</v>
      </c>
      <c r="AA36" s="283">
        <v>179.79999999999998</v>
      </c>
      <c r="AB36" s="283">
        <v>179.79999999999998</v>
      </c>
      <c r="AC36" s="283">
        <v>179.79999999999998</v>
      </c>
      <c r="AD36" s="283">
        <v>179.79999999999998</v>
      </c>
      <c r="AE36" s="283">
        <v>179.79999999999998</v>
      </c>
      <c r="AF36" s="283">
        <v>179.79999999999998</v>
      </c>
      <c r="AG36" s="283">
        <v>179.79999999999998</v>
      </c>
      <c r="AH36" s="283">
        <v>179.79999999999998</v>
      </c>
      <c r="AI36" s="283">
        <v>179.79999999999998</v>
      </c>
      <c r="AJ36" s="283">
        <v>179.79999999999998</v>
      </c>
      <c r="AK36" s="283">
        <v>179.79999999999998</v>
      </c>
      <c r="AL36" s="283">
        <v>179.79999999999998</v>
      </c>
      <c r="AM36" s="283">
        <v>179.79999999999998</v>
      </c>
      <c r="AN36" s="283">
        <v>179.79999999999998</v>
      </c>
      <c r="AO36" s="283">
        <v>179.79999999999998</v>
      </c>
      <c r="AP36" s="283">
        <v>179.79999999999998</v>
      </c>
      <c r="AQ36" s="283">
        <v>179.79999999999998</v>
      </c>
      <c r="AR36" s="283">
        <v>179.79999999999998</v>
      </c>
      <c r="AS36" s="283">
        <v>179.79999999999998</v>
      </c>
      <c r="AT36" s="283">
        <v>179.79999999999998</v>
      </c>
      <c r="AU36" s="283">
        <v>179.79999999999998</v>
      </c>
      <c r="AV36" s="283">
        <v>179.79999999999998</v>
      </c>
      <c r="AW36" s="283">
        <v>179.79999999999998</v>
      </c>
      <c r="AX36" s="283">
        <v>179.79999999999998</v>
      </c>
      <c r="AY36" s="283">
        <v>179.79999999999998</v>
      </c>
    </row>
    <row r="37" spans="1:51" ht="17" thickBot="1">
      <c r="A37" s="286" t="s">
        <v>7758</v>
      </c>
      <c r="B37" s="287">
        <v>91.2</v>
      </c>
      <c r="C37" s="287">
        <v>91.2</v>
      </c>
      <c r="D37" s="287">
        <v>91.2</v>
      </c>
      <c r="E37" s="287">
        <v>91.2</v>
      </c>
      <c r="F37" s="287">
        <v>91.2</v>
      </c>
      <c r="G37" s="287">
        <v>91.2</v>
      </c>
      <c r="H37" s="287">
        <v>91.2</v>
      </c>
      <c r="I37" s="287">
        <v>91.2</v>
      </c>
      <c r="J37" s="287">
        <v>91.2</v>
      </c>
      <c r="K37" s="287">
        <v>91.2</v>
      </c>
      <c r="L37" s="287">
        <v>91.2</v>
      </c>
      <c r="M37" s="287">
        <v>91.2</v>
      </c>
      <c r="N37" s="287">
        <v>91.2</v>
      </c>
      <c r="O37" s="287">
        <v>91.2</v>
      </c>
      <c r="P37" s="287">
        <v>91.2</v>
      </c>
      <c r="Q37" s="287">
        <v>91.2</v>
      </c>
      <c r="R37" s="287">
        <v>91.2</v>
      </c>
      <c r="S37" s="287">
        <v>91.2</v>
      </c>
      <c r="T37" s="287">
        <v>91.2</v>
      </c>
      <c r="U37" s="287">
        <v>91.2</v>
      </c>
      <c r="V37" s="287">
        <v>91.2</v>
      </c>
      <c r="W37" s="287">
        <v>91.2</v>
      </c>
      <c r="X37" s="287">
        <v>91.2</v>
      </c>
      <c r="Y37" s="287">
        <v>91.2</v>
      </c>
      <c r="Z37" s="287">
        <v>91.2</v>
      </c>
      <c r="AA37" s="287">
        <v>91.2</v>
      </c>
      <c r="AB37" s="287">
        <v>91.2</v>
      </c>
      <c r="AC37" s="287">
        <v>91.2</v>
      </c>
      <c r="AD37" s="287">
        <v>91.2</v>
      </c>
      <c r="AE37" s="287">
        <v>91.2</v>
      </c>
      <c r="AF37" s="287">
        <v>91.2</v>
      </c>
      <c r="AG37" s="287">
        <v>91.2</v>
      </c>
      <c r="AH37" s="287">
        <v>91.2</v>
      </c>
      <c r="AI37" s="287">
        <v>91.2</v>
      </c>
      <c r="AJ37" s="287">
        <v>91.2</v>
      </c>
      <c r="AK37" s="287">
        <v>91.2</v>
      </c>
      <c r="AL37" s="287">
        <v>91.2</v>
      </c>
      <c r="AM37" s="287">
        <v>91.2</v>
      </c>
      <c r="AN37" s="287">
        <v>91.2</v>
      </c>
      <c r="AO37" s="287">
        <v>91.2</v>
      </c>
      <c r="AP37" s="287">
        <v>91.2</v>
      </c>
      <c r="AQ37" s="287">
        <v>91.2</v>
      </c>
      <c r="AR37" s="287">
        <v>91.2</v>
      </c>
      <c r="AS37" s="287">
        <v>91.2</v>
      </c>
      <c r="AT37" s="287">
        <v>91.2</v>
      </c>
      <c r="AU37" s="287">
        <v>91.2</v>
      </c>
      <c r="AV37" s="287">
        <v>91.2</v>
      </c>
      <c r="AW37" s="287">
        <v>91.2</v>
      </c>
      <c r="AX37" s="287">
        <v>91.2</v>
      </c>
      <c r="AY37" s="287">
        <v>91.2</v>
      </c>
    </row>
    <row r="39" spans="1:51">
      <c r="A39" s="1" t="s">
        <v>91</v>
      </c>
    </row>
    <row r="40" spans="1:51" ht="17" thickBot="1"/>
    <row r="41" spans="1:51">
      <c r="A41" s="289" t="s">
        <v>7755</v>
      </c>
      <c r="B41" s="290" t="s">
        <v>91</v>
      </c>
      <c r="C41" s="202"/>
      <c r="D41" s="202"/>
      <c r="E41" s="202"/>
      <c r="F41" s="202"/>
      <c r="G41" s="202"/>
      <c r="H41" s="202"/>
      <c r="I41" s="202"/>
      <c r="J41" s="202"/>
      <c r="K41" s="202"/>
      <c r="L41" s="202"/>
      <c r="M41" s="202"/>
      <c r="N41" s="202"/>
      <c r="O41" s="202"/>
      <c r="P41" s="202"/>
      <c r="Q41" s="202"/>
      <c r="R41" s="202"/>
      <c r="S41" s="202"/>
      <c r="T41" s="202"/>
      <c r="U41" s="202"/>
      <c r="V41" s="202"/>
      <c r="W41" s="202"/>
      <c r="X41" s="202"/>
      <c r="Y41" s="202"/>
      <c r="Z41" s="202"/>
      <c r="AA41" s="202"/>
      <c r="AB41" s="202"/>
      <c r="AC41" s="202"/>
      <c r="AD41" s="202"/>
      <c r="AE41" s="202"/>
      <c r="AF41" s="202"/>
      <c r="AG41" s="202"/>
      <c r="AH41" s="202"/>
      <c r="AI41" s="202"/>
      <c r="AJ41" s="202"/>
      <c r="AK41" s="202"/>
      <c r="AL41" s="202"/>
      <c r="AM41" s="202"/>
      <c r="AN41" s="202"/>
      <c r="AO41" s="202"/>
      <c r="AP41" s="202"/>
      <c r="AQ41" s="202"/>
      <c r="AR41" s="202"/>
      <c r="AS41" s="202"/>
      <c r="AT41" s="202"/>
      <c r="AU41" s="202"/>
      <c r="AV41" s="202"/>
      <c r="AW41" s="202"/>
      <c r="AX41" s="202"/>
      <c r="AY41" s="203"/>
    </row>
    <row r="42" spans="1:51">
      <c r="A42" s="278" t="s">
        <v>437</v>
      </c>
      <c r="B42" s="279">
        <v>9.3304705812362429E-2</v>
      </c>
      <c r="C42" s="279">
        <v>9.3304705812362429E-2</v>
      </c>
      <c r="D42" s="279">
        <v>9.3304705812362429E-2</v>
      </c>
      <c r="E42" s="279">
        <v>9.3304705812362429E-2</v>
      </c>
      <c r="F42" s="279">
        <v>9.3304705812362429E-2</v>
      </c>
      <c r="G42" s="279">
        <v>9.3304705812362429E-2</v>
      </c>
      <c r="H42" s="279">
        <v>9.3304705812362429E-2</v>
      </c>
      <c r="I42" s="279">
        <v>9.3304705812362429E-2</v>
      </c>
      <c r="J42" s="279">
        <v>9.3304705812362429E-2</v>
      </c>
      <c r="K42" s="279">
        <v>9.3304705812362429E-2</v>
      </c>
      <c r="L42" s="279">
        <v>9.3304705812362429E-2</v>
      </c>
      <c r="M42" s="279">
        <v>9.3304705812362429E-2</v>
      </c>
      <c r="N42" s="279">
        <v>9.3304705812362429E-2</v>
      </c>
      <c r="O42" s="279">
        <v>9.3304705812362429E-2</v>
      </c>
      <c r="P42" s="279">
        <v>9.3304705812362429E-2</v>
      </c>
      <c r="Q42" s="279">
        <v>9.3304705812362429E-2</v>
      </c>
      <c r="R42" s="279">
        <v>9.3304705812362429E-2</v>
      </c>
      <c r="S42" s="279">
        <v>9.3304705812362429E-2</v>
      </c>
      <c r="T42" s="279">
        <v>9.3304705812362429E-2</v>
      </c>
      <c r="U42" s="279">
        <v>9.3304705812362429E-2</v>
      </c>
      <c r="V42" s="279">
        <v>9.3304705812362429E-2</v>
      </c>
      <c r="W42" s="279">
        <v>9.3304705812362429E-2</v>
      </c>
      <c r="X42" s="279">
        <v>9.3304705812362429E-2</v>
      </c>
      <c r="Y42" s="279">
        <v>9.3304705812362429E-2</v>
      </c>
      <c r="Z42" s="279">
        <v>9.3304705812362429E-2</v>
      </c>
      <c r="AA42" s="279">
        <v>9.3304705812362429E-2</v>
      </c>
      <c r="AB42" s="279">
        <v>9.3304705812362429E-2</v>
      </c>
      <c r="AC42" s="279">
        <v>9.3304705812362429E-2</v>
      </c>
      <c r="AD42" s="279">
        <v>9.3304705812362429E-2</v>
      </c>
      <c r="AE42" s="279">
        <v>9.3304705812362429E-2</v>
      </c>
      <c r="AF42" s="279">
        <v>9.3304705812362429E-2</v>
      </c>
      <c r="AG42" s="279">
        <v>9.3304705812362429E-2</v>
      </c>
      <c r="AH42" s="279">
        <v>9.3304705812362429E-2</v>
      </c>
      <c r="AI42" s="279">
        <v>9.3304705812362429E-2</v>
      </c>
      <c r="AJ42" s="279">
        <v>9.3304705812362429E-2</v>
      </c>
      <c r="AK42" s="279">
        <v>9.3304705812362429E-2</v>
      </c>
      <c r="AL42" s="279">
        <v>9.3304705812362429E-2</v>
      </c>
      <c r="AM42" s="279">
        <v>9.3304705812362429E-2</v>
      </c>
      <c r="AN42" s="279">
        <v>9.3304705812362429E-2</v>
      </c>
      <c r="AO42" s="279">
        <v>9.3304705812362429E-2</v>
      </c>
      <c r="AP42" s="279">
        <v>9.3304705812362429E-2</v>
      </c>
      <c r="AQ42" s="279">
        <v>9.3304705812362429E-2</v>
      </c>
      <c r="AR42" s="279">
        <v>9.3304705812362429E-2</v>
      </c>
      <c r="AS42" s="279">
        <v>9.3304705812362429E-2</v>
      </c>
      <c r="AT42" s="279">
        <v>9.3304705812362429E-2</v>
      </c>
      <c r="AU42" s="279">
        <v>9.3304705812362429E-2</v>
      </c>
      <c r="AV42" s="279">
        <v>9.3304705812362429E-2</v>
      </c>
      <c r="AW42" s="279">
        <v>9.3304705812362429E-2</v>
      </c>
      <c r="AX42" s="279">
        <v>9.3304705812362429E-2</v>
      </c>
      <c r="AY42" s="279">
        <v>9.3304705812362429E-2</v>
      </c>
    </row>
    <row r="43" spans="1:51">
      <c r="A43" s="278" t="s">
        <v>217</v>
      </c>
      <c r="B43" s="279">
        <v>4.3443368651033057E-3</v>
      </c>
      <c r="C43" s="279">
        <v>4.3443368651033057E-3</v>
      </c>
      <c r="D43" s="279">
        <v>4.3443368651033057E-3</v>
      </c>
      <c r="E43" s="279">
        <v>4.3443368651033057E-3</v>
      </c>
      <c r="F43" s="279">
        <v>4.3443368651033057E-3</v>
      </c>
      <c r="G43" s="279">
        <v>4.3443368651033057E-3</v>
      </c>
      <c r="H43" s="279">
        <v>4.3443368651033057E-3</v>
      </c>
      <c r="I43" s="279">
        <v>4.3443368651033057E-3</v>
      </c>
      <c r="J43" s="279">
        <v>4.3443368651033057E-3</v>
      </c>
      <c r="K43" s="279">
        <v>4.3443368651033057E-3</v>
      </c>
      <c r="L43" s="279">
        <v>4.3443368651033057E-3</v>
      </c>
      <c r="M43" s="279">
        <v>4.3443368651033057E-3</v>
      </c>
      <c r="N43" s="279">
        <v>4.3443368651033057E-3</v>
      </c>
      <c r="O43" s="279">
        <v>4.3443368651033057E-3</v>
      </c>
      <c r="P43" s="279">
        <v>4.3443368651033057E-3</v>
      </c>
      <c r="Q43" s="279">
        <v>4.3443368651033057E-3</v>
      </c>
      <c r="R43" s="279">
        <v>4.3443368651033057E-3</v>
      </c>
      <c r="S43" s="279">
        <v>4.3443368651033057E-3</v>
      </c>
      <c r="T43" s="279">
        <v>4.3443368651033057E-3</v>
      </c>
      <c r="U43" s="279">
        <v>4.3443368651033057E-3</v>
      </c>
      <c r="V43" s="279">
        <v>4.3443368651033057E-3</v>
      </c>
      <c r="W43" s="279">
        <v>4.3443368651033057E-3</v>
      </c>
      <c r="X43" s="279">
        <v>4.3443368651033057E-3</v>
      </c>
      <c r="Y43" s="279">
        <v>4.3443368651033057E-3</v>
      </c>
      <c r="Z43" s="279">
        <v>4.3443368651033057E-3</v>
      </c>
      <c r="AA43" s="279">
        <v>4.3443368651033057E-3</v>
      </c>
      <c r="AB43" s="279">
        <v>4.3443368651033057E-3</v>
      </c>
      <c r="AC43" s="279">
        <v>4.3443368651033057E-3</v>
      </c>
      <c r="AD43" s="279">
        <v>4.3443368651033057E-3</v>
      </c>
      <c r="AE43" s="279">
        <v>4.3443368651033057E-3</v>
      </c>
      <c r="AF43" s="279">
        <v>4.3443368651033057E-3</v>
      </c>
      <c r="AG43" s="279">
        <v>4.3443368651033057E-3</v>
      </c>
      <c r="AH43" s="279">
        <v>4.3443368651033057E-3</v>
      </c>
      <c r="AI43" s="279">
        <v>4.3443368651033057E-3</v>
      </c>
      <c r="AJ43" s="279">
        <v>4.3443368651033057E-3</v>
      </c>
      <c r="AK43" s="279">
        <v>4.3443368651033057E-3</v>
      </c>
      <c r="AL43" s="279">
        <v>4.3443368651033057E-3</v>
      </c>
      <c r="AM43" s="279">
        <v>4.3443368651033057E-3</v>
      </c>
      <c r="AN43" s="279">
        <v>4.3443368651033057E-3</v>
      </c>
      <c r="AO43" s="279">
        <v>4.3443368651033057E-3</v>
      </c>
      <c r="AP43" s="279">
        <v>4.3443368651033057E-3</v>
      </c>
      <c r="AQ43" s="279">
        <v>4.3443368651033057E-3</v>
      </c>
      <c r="AR43" s="279">
        <v>4.3443368651033057E-3</v>
      </c>
      <c r="AS43" s="279">
        <v>4.3443368651033057E-3</v>
      </c>
      <c r="AT43" s="279">
        <v>4.3443368651033057E-3</v>
      </c>
      <c r="AU43" s="279">
        <v>4.3443368651033057E-3</v>
      </c>
      <c r="AV43" s="279">
        <v>4.3443368651033057E-3</v>
      </c>
      <c r="AW43" s="279">
        <v>4.3443368651033057E-3</v>
      </c>
      <c r="AX43" s="279">
        <v>4.3443368651033057E-3</v>
      </c>
      <c r="AY43" s="279">
        <v>4.3443368651033057E-3</v>
      </c>
    </row>
    <row r="44" spans="1:51">
      <c r="A44" s="278" t="s">
        <v>313</v>
      </c>
      <c r="B44" s="279">
        <v>4.067371648439868E-2</v>
      </c>
      <c r="C44" s="279">
        <v>4.067371648439868E-2</v>
      </c>
      <c r="D44" s="279">
        <v>4.067371648439868E-2</v>
      </c>
      <c r="E44" s="279">
        <v>4.067371648439868E-2</v>
      </c>
      <c r="F44" s="279">
        <v>4.067371648439868E-2</v>
      </c>
      <c r="G44" s="279">
        <v>4.067371648439868E-2</v>
      </c>
      <c r="H44" s="279">
        <v>4.067371648439868E-2</v>
      </c>
      <c r="I44" s="279">
        <v>4.067371648439868E-2</v>
      </c>
      <c r="J44" s="279">
        <v>4.067371648439868E-2</v>
      </c>
      <c r="K44" s="279">
        <v>4.067371648439868E-2</v>
      </c>
      <c r="L44" s="279">
        <v>4.067371648439868E-2</v>
      </c>
      <c r="M44" s="279">
        <v>4.067371648439868E-2</v>
      </c>
      <c r="N44" s="279">
        <v>4.067371648439868E-2</v>
      </c>
      <c r="O44" s="279">
        <v>4.067371648439868E-2</v>
      </c>
      <c r="P44" s="279">
        <v>4.067371648439868E-2</v>
      </c>
      <c r="Q44" s="279">
        <v>4.067371648439868E-2</v>
      </c>
      <c r="R44" s="279">
        <v>4.067371648439868E-2</v>
      </c>
      <c r="S44" s="279">
        <v>4.067371648439868E-2</v>
      </c>
      <c r="T44" s="279">
        <v>4.067371648439868E-2</v>
      </c>
      <c r="U44" s="279">
        <v>4.067371648439868E-2</v>
      </c>
      <c r="V44" s="279">
        <v>4.067371648439868E-2</v>
      </c>
      <c r="W44" s="279">
        <v>4.067371648439868E-2</v>
      </c>
      <c r="X44" s="279">
        <v>4.067371648439868E-2</v>
      </c>
      <c r="Y44" s="279">
        <v>4.067371648439868E-2</v>
      </c>
      <c r="Z44" s="279">
        <v>4.067371648439868E-2</v>
      </c>
      <c r="AA44" s="279">
        <v>4.067371648439868E-2</v>
      </c>
      <c r="AB44" s="279">
        <v>4.067371648439868E-2</v>
      </c>
      <c r="AC44" s="279">
        <v>4.067371648439868E-2</v>
      </c>
      <c r="AD44" s="279">
        <v>4.067371648439868E-2</v>
      </c>
      <c r="AE44" s="279">
        <v>4.067371648439868E-2</v>
      </c>
      <c r="AF44" s="279">
        <v>4.067371648439868E-2</v>
      </c>
      <c r="AG44" s="279">
        <v>4.067371648439868E-2</v>
      </c>
      <c r="AH44" s="279">
        <v>4.067371648439868E-2</v>
      </c>
      <c r="AI44" s="279">
        <v>4.067371648439868E-2</v>
      </c>
      <c r="AJ44" s="279">
        <v>4.067371648439868E-2</v>
      </c>
      <c r="AK44" s="279">
        <v>4.067371648439868E-2</v>
      </c>
      <c r="AL44" s="279">
        <v>4.067371648439868E-2</v>
      </c>
      <c r="AM44" s="279">
        <v>4.067371648439868E-2</v>
      </c>
      <c r="AN44" s="279">
        <v>4.067371648439868E-2</v>
      </c>
      <c r="AO44" s="279">
        <v>4.067371648439868E-2</v>
      </c>
      <c r="AP44" s="279">
        <v>4.067371648439868E-2</v>
      </c>
      <c r="AQ44" s="279">
        <v>4.067371648439868E-2</v>
      </c>
      <c r="AR44" s="279">
        <v>4.067371648439868E-2</v>
      </c>
      <c r="AS44" s="279">
        <v>4.067371648439868E-2</v>
      </c>
      <c r="AT44" s="279">
        <v>4.067371648439868E-2</v>
      </c>
      <c r="AU44" s="279">
        <v>4.067371648439868E-2</v>
      </c>
      <c r="AV44" s="279">
        <v>4.067371648439868E-2</v>
      </c>
      <c r="AW44" s="279">
        <v>4.067371648439868E-2</v>
      </c>
      <c r="AX44" s="279">
        <v>4.067371648439868E-2</v>
      </c>
      <c r="AY44" s="279">
        <v>4.067371648439868E-2</v>
      </c>
    </row>
    <row r="45" spans="1:51">
      <c r="A45" s="278" t="s">
        <v>6911</v>
      </c>
      <c r="B45" s="279">
        <v>0.19500387733722502</v>
      </c>
      <c r="C45" s="279">
        <v>0.19500387733722502</v>
      </c>
      <c r="D45" s="279">
        <v>0.19500387733722502</v>
      </c>
      <c r="E45" s="279">
        <v>0.19500387733722502</v>
      </c>
      <c r="F45" s="279">
        <v>0.19500387733722502</v>
      </c>
      <c r="G45" s="279">
        <v>0.19500387733722502</v>
      </c>
      <c r="H45" s="279">
        <v>0.19500387733722502</v>
      </c>
      <c r="I45" s="279">
        <v>0.19500387733722502</v>
      </c>
      <c r="J45" s="279">
        <v>0.19500387733722502</v>
      </c>
      <c r="K45" s="279">
        <v>0.19500387733722502</v>
      </c>
      <c r="L45" s="279">
        <v>0.19500387733722502</v>
      </c>
      <c r="M45" s="279">
        <v>0.19500387733722502</v>
      </c>
      <c r="N45" s="279">
        <v>0.19500387733722502</v>
      </c>
      <c r="O45" s="279">
        <v>0.19500387733722502</v>
      </c>
      <c r="P45" s="279">
        <v>0.19500387733722502</v>
      </c>
      <c r="Q45" s="279">
        <v>0.19500387733722502</v>
      </c>
      <c r="R45" s="279">
        <v>0.19500387733722502</v>
      </c>
      <c r="S45" s="279">
        <v>0.19500387733722502</v>
      </c>
      <c r="T45" s="279">
        <v>0.19500387733722502</v>
      </c>
      <c r="U45" s="279">
        <v>0.19500387733722502</v>
      </c>
      <c r="V45" s="279">
        <v>0.19500387733722502</v>
      </c>
      <c r="W45" s="279">
        <v>0.19500387733722502</v>
      </c>
      <c r="X45" s="279">
        <v>0.19500387733722502</v>
      </c>
      <c r="Y45" s="279">
        <v>0.19500387733722502</v>
      </c>
      <c r="Z45" s="279">
        <v>0.19500387733722502</v>
      </c>
      <c r="AA45" s="279">
        <v>0.19500387733722502</v>
      </c>
      <c r="AB45" s="279">
        <v>0.19500387733722502</v>
      </c>
      <c r="AC45" s="279">
        <v>0.19500387733722502</v>
      </c>
      <c r="AD45" s="279">
        <v>0.19500387733722502</v>
      </c>
      <c r="AE45" s="279">
        <v>0.19500387733722502</v>
      </c>
      <c r="AF45" s="279">
        <v>0.19500387733722502</v>
      </c>
      <c r="AG45" s="279">
        <v>0.19500387733722502</v>
      </c>
      <c r="AH45" s="279">
        <v>0.19500387733722502</v>
      </c>
      <c r="AI45" s="279">
        <v>0.19500387733722502</v>
      </c>
      <c r="AJ45" s="279">
        <v>0.19500387733722502</v>
      </c>
      <c r="AK45" s="279">
        <v>0.19500387733722502</v>
      </c>
      <c r="AL45" s="279">
        <v>0.19500387733722502</v>
      </c>
      <c r="AM45" s="279">
        <v>0.19500387733722502</v>
      </c>
      <c r="AN45" s="279">
        <v>0.19500387733722502</v>
      </c>
      <c r="AO45" s="279">
        <v>0.19500387733722502</v>
      </c>
      <c r="AP45" s="279">
        <v>0.19500387733722502</v>
      </c>
      <c r="AQ45" s="279">
        <v>0.19500387733722502</v>
      </c>
      <c r="AR45" s="279">
        <v>0.19500387733722502</v>
      </c>
      <c r="AS45" s="279">
        <v>0.19500387733722502</v>
      </c>
      <c r="AT45" s="279">
        <v>0.19500387733722502</v>
      </c>
      <c r="AU45" s="279">
        <v>0.19500387733722502</v>
      </c>
      <c r="AV45" s="279">
        <v>0.19500387733722502</v>
      </c>
      <c r="AW45" s="279">
        <v>0.19500387733722502</v>
      </c>
      <c r="AX45" s="279">
        <v>0.19500387733722502</v>
      </c>
      <c r="AY45" s="279">
        <v>0.19500387733722502</v>
      </c>
    </row>
    <row r="46" spans="1:51">
      <c r="A46" s="278" t="s">
        <v>441</v>
      </c>
      <c r="B46" s="279">
        <v>0.22771968089849545</v>
      </c>
      <c r="C46" s="279">
        <v>0.22771968089849545</v>
      </c>
      <c r="D46" s="279">
        <v>0.22771968089849545</v>
      </c>
      <c r="E46" s="279">
        <v>0.22771968089849545</v>
      </c>
      <c r="F46" s="279">
        <v>0.22771968089849545</v>
      </c>
      <c r="G46" s="279">
        <v>0.22771968089849545</v>
      </c>
      <c r="H46" s="279">
        <v>0.22771968089849545</v>
      </c>
      <c r="I46" s="279">
        <v>0.22771968089849545</v>
      </c>
      <c r="J46" s="279">
        <v>0.22771968089849545</v>
      </c>
      <c r="K46" s="279">
        <v>0.22771968089849545</v>
      </c>
      <c r="L46" s="279">
        <v>0.22771968089849545</v>
      </c>
      <c r="M46" s="279">
        <v>0.22771968089849545</v>
      </c>
      <c r="N46" s="279">
        <v>0.22771968089849545</v>
      </c>
      <c r="O46" s="279">
        <v>0.22771968089849545</v>
      </c>
      <c r="P46" s="279">
        <v>0.22771968089849545</v>
      </c>
      <c r="Q46" s="279">
        <v>0.22771968089849545</v>
      </c>
      <c r="R46" s="279">
        <v>0.22771968089849545</v>
      </c>
      <c r="S46" s="279">
        <v>0.22771968089849545</v>
      </c>
      <c r="T46" s="279">
        <v>0.22771968089849545</v>
      </c>
      <c r="U46" s="279">
        <v>0.22771968089849545</v>
      </c>
      <c r="V46" s="279">
        <v>0.22771968089849545</v>
      </c>
      <c r="W46" s="279">
        <v>0.22771968089849545</v>
      </c>
      <c r="X46" s="279">
        <v>0.22771968089849545</v>
      </c>
      <c r="Y46" s="279">
        <v>0.22771968089849545</v>
      </c>
      <c r="Z46" s="279">
        <v>0.22771968089849545</v>
      </c>
      <c r="AA46" s="279">
        <v>0.22771968089849545</v>
      </c>
      <c r="AB46" s="279">
        <v>0.22771968089849545</v>
      </c>
      <c r="AC46" s="279">
        <v>0.22771968089849545</v>
      </c>
      <c r="AD46" s="279">
        <v>0.22771968089849545</v>
      </c>
      <c r="AE46" s="279">
        <v>0.22771968089849545</v>
      </c>
      <c r="AF46" s="279">
        <v>0.22771968089849545</v>
      </c>
      <c r="AG46" s="279">
        <v>0.22771968089849545</v>
      </c>
      <c r="AH46" s="279">
        <v>0.22771968089849545</v>
      </c>
      <c r="AI46" s="279">
        <v>0.22771968089849545</v>
      </c>
      <c r="AJ46" s="279">
        <v>0.22771968089849545</v>
      </c>
      <c r="AK46" s="279">
        <v>0.22771968089849545</v>
      </c>
      <c r="AL46" s="279">
        <v>0.22771968089849545</v>
      </c>
      <c r="AM46" s="279">
        <v>0.22771968089849545</v>
      </c>
      <c r="AN46" s="279">
        <v>0.22771968089849545</v>
      </c>
      <c r="AO46" s="279">
        <v>0.22771968089849545</v>
      </c>
      <c r="AP46" s="279">
        <v>0.22771968089849545</v>
      </c>
      <c r="AQ46" s="279">
        <v>0.22771968089849545</v>
      </c>
      <c r="AR46" s="279">
        <v>0.22771968089849545</v>
      </c>
      <c r="AS46" s="279">
        <v>0.22771968089849545</v>
      </c>
      <c r="AT46" s="279">
        <v>0.22771968089849545</v>
      </c>
      <c r="AU46" s="279">
        <v>0.22771968089849545</v>
      </c>
      <c r="AV46" s="279">
        <v>0.22771968089849545</v>
      </c>
      <c r="AW46" s="279">
        <v>0.22771968089849545</v>
      </c>
      <c r="AX46" s="279">
        <v>0.22771968089849545</v>
      </c>
      <c r="AY46" s="279">
        <v>0.22771968089849545</v>
      </c>
    </row>
    <row r="47" spans="1:51">
      <c r="A47" s="278" t="s">
        <v>6912</v>
      </c>
      <c r="B47" s="279">
        <v>6.6457719222987141E-2</v>
      </c>
      <c r="C47" s="279">
        <v>6.6457719222987141E-2</v>
      </c>
      <c r="D47" s="279">
        <v>6.6457719222987141E-2</v>
      </c>
      <c r="E47" s="279">
        <v>6.6457719222987141E-2</v>
      </c>
      <c r="F47" s="279">
        <v>6.6457719222987141E-2</v>
      </c>
      <c r="G47" s="279">
        <v>6.6457719222987141E-2</v>
      </c>
      <c r="H47" s="279">
        <v>6.6457719222987141E-2</v>
      </c>
      <c r="I47" s="279">
        <v>6.6457719222987141E-2</v>
      </c>
      <c r="J47" s="279">
        <v>6.6457719222987141E-2</v>
      </c>
      <c r="K47" s="279">
        <v>6.6457719222987141E-2</v>
      </c>
      <c r="L47" s="279">
        <v>6.6457719222987141E-2</v>
      </c>
      <c r="M47" s="279">
        <v>6.6457719222987141E-2</v>
      </c>
      <c r="N47" s="279">
        <v>6.6457719222987141E-2</v>
      </c>
      <c r="O47" s="279">
        <v>6.6457719222987141E-2</v>
      </c>
      <c r="P47" s="279">
        <v>6.6457719222987141E-2</v>
      </c>
      <c r="Q47" s="279">
        <v>6.6457719222987141E-2</v>
      </c>
      <c r="R47" s="279">
        <v>6.6457719222987141E-2</v>
      </c>
      <c r="S47" s="279">
        <v>6.6457719222987141E-2</v>
      </c>
      <c r="T47" s="279">
        <v>6.6457719222987141E-2</v>
      </c>
      <c r="U47" s="279">
        <v>6.6457719222987141E-2</v>
      </c>
      <c r="V47" s="279">
        <v>6.6457719222987141E-2</v>
      </c>
      <c r="W47" s="279">
        <v>6.6457719222987141E-2</v>
      </c>
      <c r="X47" s="279">
        <v>6.6457719222987141E-2</v>
      </c>
      <c r="Y47" s="279">
        <v>6.6457719222987141E-2</v>
      </c>
      <c r="Z47" s="279">
        <v>6.6457719222987141E-2</v>
      </c>
      <c r="AA47" s="279">
        <v>6.6457719222987141E-2</v>
      </c>
      <c r="AB47" s="279">
        <v>6.6457719222987141E-2</v>
      </c>
      <c r="AC47" s="279">
        <v>6.6457719222987141E-2</v>
      </c>
      <c r="AD47" s="279">
        <v>6.6457719222987141E-2</v>
      </c>
      <c r="AE47" s="279">
        <v>6.6457719222987141E-2</v>
      </c>
      <c r="AF47" s="279">
        <v>6.6457719222987141E-2</v>
      </c>
      <c r="AG47" s="279">
        <v>6.6457719222987141E-2</v>
      </c>
      <c r="AH47" s="279">
        <v>6.6457719222987141E-2</v>
      </c>
      <c r="AI47" s="279">
        <v>6.6457719222987141E-2</v>
      </c>
      <c r="AJ47" s="279">
        <v>6.6457719222987141E-2</v>
      </c>
      <c r="AK47" s="279">
        <v>6.6457719222987141E-2</v>
      </c>
      <c r="AL47" s="279">
        <v>6.6457719222987141E-2</v>
      </c>
      <c r="AM47" s="279">
        <v>6.6457719222987141E-2</v>
      </c>
      <c r="AN47" s="279">
        <v>6.6457719222987141E-2</v>
      </c>
      <c r="AO47" s="279">
        <v>6.6457719222987141E-2</v>
      </c>
      <c r="AP47" s="279">
        <v>6.6457719222987141E-2</v>
      </c>
      <c r="AQ47" s="279">
        <v>6.6457719222987141E-2</v>
      </c>
      <c r="AR47" s="279">
        <v>6.6457719222987141E-2</v>
      </c>
      <c r="AS47" s="279">
        <v>6.6457719222987141E-2</v>
      </c>
      <c r="AT47" s="279">
        <v>6.6457719222987141E-2</v>
      </c>
      <c r="AU47" s="279">
        <v>6.6457719222987141E-2</v>
      </c>
      <c r="AV47" s="279">
        <v>6.6457719222987141E-2</v>
      </c>
      <c r="AW47" s="279">
        <v>6.6457719222987141E-2</v>
      </c>
      <c r="AX47" s="279">
        <v>6.6457719222987141E-2</v>
      </c>
      <c r="AY47" s="279">
        <v>6.6457719222987141E-2</v>
      </c>
    </row>
    <row r="48" spans="1:51">
      <c r="A48" s="278" t="s">
        <v>443</v>
      </c>
      <c r="B48" s="279">
        <v>0.14824590349140035</v>
      </c>
      <c r="C48" s="279">
        <v>0.14824590349140035</v>
      </c>
      <c r="D48" s="279">
        <v>0.14824590349140035</v>
      </c>
      <c r="E48" s="279">
        <v>0.14824590349140035</v>
      </c>
      <c r="F48" s="279">
        <v>0.14824590349140035</v>
      </c>
      <c r="G48" s="279">
        <v>0.14824590349140035</v>
      </c>
      <c r="H48" s="279">
        <v>0.14824590349140035</v>
      </c>
      <c r="I48" s="279">
        <v>0.14824590349140035</v>
      </c>
      <c r="J48" s="279">
        <v>0.14824590349140035</v>
      </c>
      <c r="K48" s="279">
        <v>0.14824590349140035</v>
      </c>
      <c r="L48" s="279">
        <v>0.14824590349140035</v>
      </c>
      <c r="M48" s="279">
        <v>0.14824590349140035</v>
      </c>
      <c r="N48" s="279">
        <v>0.14824590349140035</v>
      </c>
      <c r="O48" s="279">
        <v>0.14824590349140035</v>
      </c>
      <c r="P48" s="279">
        <v>0.14824590349140035</v>
      </c>
      <c r="Q48" s="279">
        <v>0.14824590349140035</v>
      </c>
      <c r="R48" s="279">
        <v>0.14824590349140035</v>
      </c>
      <c r="S48" s="279">
        <v>0.14824590349140035</v>
      </c>
      <c r="T48" s="279">
        <v>0.14824590349140035</v>
      </c>
      <c r="U48" s="279">
        <v>0.14824590349140035</v>
      </c>
      <c r="V48" s="279">
        <v>0.14824590349140035</v>
      </c>
      <c r="W48" s="279">
        <v>0.14824590349140035</v>
      </c>
      <c r="X48" s="279">
        <v>0.14824590349140035</v>
      </c>
      <c r="Y48" s="279">
        <v>0.14824590349140035</v>
      </c>
      <c r="Z48" s="279">
        <v>0.14824590349140035</v>
      </c>
      <c r="AA48" s="279">
        <v>0.14824590349140035</v>
      </c>
      <c r="AB48" s="279">
        <v>0.14824590349140035</v>
      </c>
      <c r="AC48" s="279">
        <v>0.14824590349140035</v>
      </c>
      <c r="AD48" s="279">
        <v>0.14824590349140035</v>
      </c>
      <c r="AE48" s="279">
        <v>0.14824590349140035</v>
      </c>
      <c r="AF48" s="279">
        <v>0.14824590349140035</v>
      </c>
      <c r="AG48" s="279">
        <v>0.14824590349140035</v>
      </c>
      <c r="AH48" s="279">
        <v>0.14824590349140035</v>
      </c>
      <c r="AI48" s="279">
        <v>0.14824590349140035</v>
      </c>
      <c r="AJ48" s="279">
        <v>0.14824590349140035</v>
      </c>
      <c r="AK48" s="279">
        <v>0.14824590349140035</v>
      </c>
      <c r="AL48" s="279">
        <v>0.14824590349140035</v>
      </c>
      <c r="AM48" s="279">
        <v>0.14824590349140035</v>
      </c>
      <c r="AN48" s="279">
        <v>0.14824590349140035</v>
      </c>
      <c r="AO48" s="279">
        <v>0.14824590349140035</v>
      </c>
      <c r="AP48" s="279">
        <v>0.14824590349140035</v>
      </c>
      <c r="AQ48" s="279">
        <v>0.14824590349140035</v>
      </c>
      <c r="AR48" s="279">
        <v>0.14824590349140035</v>
      </c>
      <c r="AS48" s="279">
        <v>0.14824590349140035</v>
      </c>
      <c r="AT48" s="279">
        <v>0.14824590349140035</v>
      </c>
      <c r="AU48" s="279">
        <v>0.14824590349140035</v>
      </c>
      <c r="AV48" s="279">
        <v>0.14824590349140035</v>
      </c>
      <c r="AW48" s="279">
        <v>0.14824590349140035</v>
      </c>
      <c r="AX48" s="279">
        <v>0.14824590349140035</v>
      </c>
      <c r="AY48" s="279">
        <v>0.14824590349140035</v>
      </c>
    </row>
    <row r="49" spans="1:51">
      <c r="A49" s="278" t="s">
        <v>445</v>
      </c>
      <c r="B49" s="279">
        <v>0.21779580508539609</v>
      </c>
      <c r="C49" s="279">
        <v>0.21779580508539609</v>
      </c>
      <c r="D49" s="279">
        <v>0.21779580508539609</v>
      </c>
      <c r="E49" s="279">
        <v>0.21779580508539609</v>
      </c>
      <c r="F49" s="279">
        <v>0.21779580508539609</v>
      </c>
      <c r="G49" s="279">
        <v>0.21779580508539609</v>
      </c>
      <c r="H49" s="279">
        <v>0.21779580508539609</v>
      </c>
      <c r="I49" s="279">
        <v>0.21779580508539609</v>
      </c>
      <c r="J49" s="279">
        <v>0.21779580508539609</v>
      </c>
      <c r="K49" s="279">
        <v>0.21779580508539609</v>
      </c>
      <c r="L49" s="279">
        <v>0.21779580508539609</v>
      </c>
      <c r="M49" s="279">
        <v>0.21779580508539609</v>
      </c>
      <c r="N49" s="279">
        <v>0.21779580508539609</v>
      </c>
      <c r="O49" s="279">
        <v>0.21779580508539609</v>
      </c>
      <c r="P49" s="279">
        <v>0.21779580508539609</v>
      </c>
      <c r="Q49" s="279">
        <v>0.21779580508539609</v>
      </c>
      <c r="R49" s="279">
        <v>0.21779580508539609</v>
      </c>
      <c r="S49" s="279">
        <v>0.21779580508539609</v>
      </c>
      <c r="T49" s="279">
        <v>0.21779580508539609</v>
      </c>
      <c r="U49" s="279">
        <v>0.21779580508539609</v>
      </c>
      <c r="V49" s="279">
        <v>0.21779580508539609</v>
      </c>
      <c r="W49" s="279">
        <v>0.21779580508539609</v>
      </c>
      <c r="X49" s="279">
        <v>0.21779580508539609</v>
      </c>
      <c r="Y49" s="279">
        <v>0.21779580508539609</v>
      </c>
      <c r="Z49" s="279">
        <v>0.21779580508539609</v>
      </c>
      <c r="AA49" s="279">
        <v>0.21779580508539609</v>
      </c>
      <c r="AB49" s="279">
        <v>0.21779580508539609</v>
      </c>
      <c r="AC49" s="279">
        <v>0.21779580508539609</v>
      </c>
      <c r="AD49" s="279">
        <v>0.21779580508539609</v>
      </c>
      <c r="AE49" s="279">
        <v>0.21779580508539609</v>
      </c>
      <c r="AF49" s="279">
        <v>0.21779580508539609</v>
      </c>
      <c r="AG49" s="279">
        <v>0.21779580508539609</v>
      </c>
      <c r="AH49" s="279">
        <v>0.21779580508539609</v>
      </c>
      <c r="AI49" s="279">
        <v>0.21779580508539609</v>
      </c>
      <c r="AJ49" s="279">
        <v>0.21779580508539609</v>
      </c>
      <c r="AK49" s="279">
        <v>0.21779580508539609</v>
      </c>
      <c r="AL49" s="279">
        <v>0.21779580508539609</v>
      </c>
      <c r="AM49" s="279">
        <v>0.21779580508539609</v>
      </c>
      <c r="AN49" s="279">
        <v>0.21779580508539609</v>
      </c>
      <c r="AO49" s="279">
        <v>0.21779580508539609</v>
      </c>
      <c r="AP49" s="279">
        <v>0.21779580508539609</v>
      </c>
      <c r="AQ49" s="279">
        <v>0.21779580508539609</v>
      </c>
      <c r="AR49" s="279">
        <v>0.21779580508539609</v>
      </c>
      <c r="AS49" s="279">
        <v>0.21779580508539609</v>
      </c>
      <c r="AT49" s="279">
        <v>0.21779580508539609</v>
      </c>
      <c r="AU49" s="279">
        <v>0.21779580508539609</v>
      </c>
      <c r="AV49" s="279">
        <v>0.21779580508539609</v>
      </c>
      <c r="AW49" s="279">
        <v>0.21779580508539609</v>
      </c>
      <c r="AX49" s="279">
        <v>0.21779580508539609</v>
      </c>
      <c r="AY49" s="279">
        <v>0.21779580508539609</v>
      </c>
    </row>
    <row r="50" spans="1:51">
      <c r="A50" s="278" t="s">
        <v>6915</v>
      </c>
      <c r="B50" s="281"/>
      <c r="C50" s="281"/>
      <c r="D50" s="281"/>
      <c r="E50" s="281"/>
      <c r="F50" s="281"/>
      <c r="G50" s="281"/>
      <c r="H50" s="281"/>
      <c r="I50" s="281"/>
      <c r="J50" s="281"/>
      <c r="K50" s="281"/>
      <c r="L50" s="281"/>
      <c r="M50" s="281"/>
      <c r="N50" s="281"/>
      <c r="O50" s="281"/>
      <c r="P50" s="281"/>
      <c r="Q50" s="281"/>
      <c r="R50" s="281"/>
      <c r="S50" s="281"/>
      <c r="T50" s="281"/>
      <c r="U50" s="281"/>
      <c r="V50" s="281"/>
      <c r="W50" s="281"/>
      <c r="X50" s="281"/>
      <c r="Y50" s="281"/>
      <c r="Z50" s="281"/>
      <c r="AA50" s="281"/>
      <c r="AB50" s="281"/>
      <c r="AC50" s="281"/>
      <c r="AD50" s="281"/>
      <c r="AE50" s="281"/>
      <c r="AF50" s="281"/>
      <c r="AG50" s="281"/>
      <c r="AH50" s="281"/>
      <c r="AI50" s="281"/>
      <c r="AJ50" s="281"/>
      <c r="AK50" s="281"/>
      <c r="AL50" s="281"/>
      <c r="AM50" s="281"/>
      <c r="AN50" s="281"/>
      <c r="AO50" s="281"/>
      <c r="AP50" s="281"/>
      <c r="AQ50" s="281"/>
      <c r="AR50" s="281"/>
      <c r="AS50" s="281"/>
      <c r="AT50" s="281"/>
      <c r="AU50" s="281"/>
      <c r="AV50" s="281"/>
      <c r="AW50" s="281"/>
      <c r="AX50" s="281"/>
      <c r="AY50" s="281"/>
    </row>
    <row r="51" spans="1:51">
      <c r="A51" s="278" t="s">
        <v>447</v>
      </c>
      <c r="B51" s="279">
        <v>6.2875881359649262E-3</v>
      </c>
      <c r="C51" s="279">
        <v>6.2875881359649262E-3</v>
      </c>
      <c r="D51" s="279">
        <v>6.2875881359649262E-3</v>
      </c>
      <c r="E51" s="279">
        <v>6.2875881359649262E-3</v>
      </c>
      <c r="F51" s="279">
        <v>6.2875881359649262E-3</v>
      </c>
      <c r="G51" s="279">
        <v>6.2875881359649262E-3</v>
      </c>
      <c r="H51" s="279">
        <v>6.2875881359649262E-3</v>
      </c>
      <c r="I51" s="279">
        <v>6.2875881359649262E-3</v>
      </c>
      <c r="J51" s="279">
        <v>6.2875881359649262E-3</v>
      </c>
      <c r="K51" s="279">
        <v>6.2875881359649262E-3</v>
      </c>
      <c r="L51" s="279">
        <v>6.2875881359649262E-3</v>
      </c>
      <c r="M51" s="279">
        <v>6.2875881359649262E-3</v>
      </c>
      <c r="N51" s="279">
        <v>6.2875881359649262E-3</v>
      </c>
      <c r="O51" s="279">
        <v>6.2875881359649262E-3</v>
      </c>
      <c r="P51" s="279">
        <v>6.2875881359649262E-3</v>
      </c>
      <c r="Q51" s="279">
        <v>6.2875881359649262E-3</v>
      </c>
      <c r="R51" s="279">
        <v>6.2875881359649262E-3</v>
      </c>
      <c r="S51" s="279">
        <v>6.2875881359649262E-3</v>
      </c>
      <c r="T51" s="279">
        <v>6.2875881359649262E-3</v>
      </c>
      <c r="U51" s="279">
        <v>6.2875881359649262E-3</v>
      </c>
      <c r="V51" s="279">
        <v>6.2875881359649262E-3</v>
      </c>
      <c r="W51" s="279">
        <v>6.2875881359649262E-3</v>
      </c>
      <c r="X51" s="279">
        <v>6.2875881359649262E-3</v>
      </c>
      <c r="Y51" s="279">
        <v>6.2875881359649262E-3</v>
      </c>
      <c r="Z51" s="279">
        <v>6.2875881359649262E-3</v>
      </c>
      <c r="AA51" s="279">
        <v>6.2875881359649262E-3</v>
      </c>
      <c r="AB51" s="279">
        <v>6.2875881359649262E-3</v>
      </c>
      <c r="AC51" s="279">
        <v>6.2875881359649262E-3</v>
      </c>
      <c r="AD51" s="279">
        <v>6.2875881359649262E-3</v>
      </c>
      <c r="AE51" s="279">
        <v>6.2875881359649262E-3</v>
      </c>
      <c r="AF51" s="279">
        <v>6.2875881359649262E-3</v>
      </c>
      <c r="AG51" s="279">
        <v>6.2875881359649262E-3</v>
      </c>
      <c r="AH51" s="279">
        <v>6.2875881359649262E-3</v>
      </c>
      <c r="AI51" s="279">
        <v>6.2875881359649262E-3</v>
      </c>
      <c r="AJ51" s="279">
        <v>6.2875881359649262E-3</v>
      </c>
      <c r="AK51" s="279">
        <v>6.2875881359649262E-3</v>
      </c>
      <c r="AL51" s="279">
        <v>6.2875881359649262E-3</v>
      </c>
      <c r="AM51" s="279">
        <v>6.2875881359649262E-3</v>
      </c>
      <c r="AN51" s="279">
        <v>6.2875881359649262E-3</v>
      </c>
      <c r="AO51" s="279">
        <v>6.2875881359649262E-3</v>
      </c>
      <c r="AP51" s="279">
        <v>6.2875881359649262E-3</v>
      </c>
      <c r="AQ51" s="279">
        <v>6.2875881359649262E-3</v>
      </c>
      <c r="AR51" s="279">
        <v>6.2875881359649262E-3</v>
      </c>
      <c r="AS51" s="279">
        <v>6.2875881359649262E-3</v>
      </c>
      <c r="AT51" s="279">
        <v>6.2875881359649262E-3</v>
      </c>
      <c r="AU51" s="279">
        <v>6.2875881359649262E-3</v>
      </c>
      <c r="AV51" s="279">
        <v>6.2875881359649262E-3</v>
      </c>
      <c r="AW51" s="279">
        <v>6.2875881359649262E-3</v>
      </c>
      <c r="AX51" s="279">
        <v>6.2875881359649262E-3</v>
      </c>
      <c r="AY51" s="279">
        <v>6.2875881359649262E-3</v>
      </c>
    </row>
    <row r="52" spans="1:51">
      <c r="A52" s="278"/>
      <c r="B52" s="279"/>
      <c r="C52" s="279"/>
      <c r="D52" s="279"/>
      <c r="E52" s="279"/>
      <c r="F52" s="279"/>
      <c r="G52" s="279"/>
      <c r="H52" s="279"/>
      <c r="I52" s="279"/>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9"/>
      <c r="AR52" s="279"/>
      <c r="AS52" s="279"/>
      <c r="AT52" s="279"/>
      <c r="AU52" s="279"/>
      <c r="AV52" s="279"/>
      <c r="AW52" s="279"/>
      <c r="AX52" s="279"/>
      <c r="AY52" s="279"/>
    </row>
    <row r="53" spans="1:51">
      <c r="A53" s="278" t="s">
        <v>7756</v>
      </c>
      <c r="B53" s="283">
        <v>579.33333333333326</v>
      </c>
      <c r="C53" s="283">
        <v>579.33333333333326</v>
      </c>
      <c r="D53" s="283">
        <v>579.33333333333326</v>
      </c>
      <c r="E53" s="283">
        <v>579.33333333333326</v>
      </c>
      <c r="F53" s="283">
        <v>579.33333333333326</v>
      </c>
      <c r="G53" s="283">
        <v>579.33333333333326</v>
      </c>
      <c r="H53" s="283">
        <v>579.33333333333326</v>
      </c>
      <c r="I53" s="283">
        <v>579.33333333333326</v>
      </c>
      <c r="J53" s="283">
        <v>579.33333333333326</v>
      </c>
      <c r="K53" s="283">
        <v>579.33333333333326</v>
      </c>
      <c r="L53" s="283">
        <v>579.33333333333326</v>
      </c>
      <c r="M53" s="283">
        <v>579.33333333333326</v>
      </c>
      <c r="N53" s="283">
        <v>579.33333333333326</v>
      </c>
      <c r="O53" s="283">
        <v>579.33333333333326</v>
      </c>
      <c r="P53" s="283">
        <v>579.33333333333326</v>
      </c>
      <c r="Q53" s="283">
        <v>579.33333333333326</v>
      </c>
      <c r="R53" s="283">
        <v>579.33333333333326</v>
      </c>
      <c r="S53" s="283">
        <v>579.33333333333326</v>
      </c>
      <c r="T53" s="283">
        <v>579.33333333333326</v>
      </c>
      <c r="U53" s="283">
        <v>579.33333333333326</v>
      </c>
      <c r="V53" s="283">
        <v>579.33333333333326</v>
      </c>
      <c r="W53" s="283">
        <v>579.33333333333326</v>
      </c>
      <c r="X53" s="283">
        <v>579.33333333333326</v>
      </c>
      <c r="Y53" s="283">
        <v>579.33333333333326</v>
      </c>
      <c r="Z53" s="283">
        <v>579.33333333333326</v>
      </c>
      <c r="AA53" s="283">
        <v>579.33333333333326</v>
      </c>
      <c r="AB53" s="283">
        <v>579.33333333333326</v>
      </c>
      <c r="AC53" s="283">
        <v>579.33333333333326</v>
      </c>
      <c r="AD53" s="283">
        <v>579.33333333333326</v>
      </c>
      <c r="AE53" s="283">
        <v>579.33333333333326</v>
      </c>
      <c r="AF53" s="283">
        <v>579.33333333333326</v>
      </c>
      <c r="AG53" s="283">
        <v>579.33333333333326</v>
      </c>
      <c r="AH53" s="283">
        <v>579.33333333333326</v>
      </c>
      <c r="AI53" s="283">
        <v>579.33333333333326</v>
      </c>
      <c r="AJ53" s="283">
        <v>579.33333333333326</v>
      </c>
      <c r="AK53" s="283">
        <v>579.33333333333326</v>
      </c>
      <c r="AL53" s="283">
        <v>579.33333333333326</v>
      </c>
      <c r="AM53" s="283">
        <v>579.33333333333326</v>
      </c>
      <c r="AN53" s="283">
        <v>579.33333333333326</v>
      </c>
      <c r="AO53" s="283">
        <v>579.33333333333326</v>
      </c>
      <c r="AP53" s="283">
        <v>579.33333333333326</v>
      </c>
      <c r="AQ53" s="283">
        <v>579.33333333333326</v>
      </c>
      <c r="AR53" s="283">
        <v>579.33333333333326</v>
      </c>
      <c r="AS53" s="283">
        <v>579.33333333333326</v>
      </c>
      <c r="AT53" s="283">
        <v>579.33333333333326</v>
      </c>
      <c r="AU53" s="283">
        <v>579.33333333333326</v>
      </c>
      <c r="AV53" s="283">
        <v>579.33333333333326</v>
      </c>
      <c r="AW53" s="283">
        <v>579.33333333333326</v>
      </c>
      <c r="AX53" s="283">
        <v>579.33333333333326</v>
      </c>
      <c r="AY53" s="283">
        <v>579.33333333333326</v>
      </c>
    </row>
    <row r="54" spans="1:51">
      <c r="A54" s="285" t="s">
        <v>7757</v>
      </c>
      <c r="B54" s="283">
        <v>685.8</v>
      </c>
      <c r="C54" s="283">
        <v>685.8</v>
      </c>
      <c r="D54" s="283">
        <v>685.8</v>
      </c>
      <c r="E54" s="283">
        <v>685.8</v>
      </c>
      <c r="F54" s="283">
        <v>685.8</v>
      </c>
      <c r="G54" s="283">
        <v>685.8</v>
      </c>
      <c r="H54" s="283">
        <v>685.8</v>
      </c>
      <c r="I54" s="283">
        <v>685.8</v>
      </c>
      <c r="J54" s="283">
        <v>685.8</v>
      </c>
      <c r="K54" s="283">
        <v>685.8</v>
      </c>
      <c r="L54" s="283">
        <v>685.8</v>
      </c>
      <c r="M54" s="283">
        <v>685.8</v>
      </c>
      <c r="N54" s="283">
        <v>685.8</v>
      </c>
      <c r="O54" s="283">
        <v>685.8</v>
      </c>
      <c r="P54" s="283">
        <v>685.8</v>
      </c>
      <c r="Q54" s="283">
        <v>685.8</v>
      </c>
      <c r="R54" s="283">
        <v>685.8</v>
      </c>
      <c r="S54" s="283">
        <v>685.8</v>
      </c>
      <c r="T54" s="283">
        <v>685.8</v>
      </c>
      <c r="U54" s="283">
        <v>685.8</v>
      </c>
      <c r="V54" s="283">
        <v>685.8</v>
      </c>
      <c r="W54" s="283">
        <v>685.8</v>
      </c>
      <c r="X54" s="283">
        <v>685.8</v>
      </c>
      <c r="Y54" s="283">
        <v>685.8</v>
      </c>
      <c r="Z54" s="283">
        <v>685.8</v>
      </c>
      <c r="AA54" s="283">
        <v>685.8</v>
      </c>
      <c r="AB54" s="283">
        <v>685.8</v>
      </c>
      <c r="AC54" s="283">
        <v>685.8</v>
      </c>
      <c r="AD54" s="283">
        <v>685.8</v>
      </c>
      <c r="AE54" s="283">
        <v>685.8</v>
      </c>
      <c r="AF54" s="283">
        <v>685.8</v>
      </c>
      <c r="AG54" s="283">
        <v>685.8</v>
      </c>
      <c r="AH54" s="283">
        <v>685.8</v>
      </c>
      <c r="AI54" s="283">
        <v>685.8</v>
      </c>
      <c r="AJ54" s="283">
        <v>685.8</v>
      </c>
      <c r="AK54" s="283">
        <v>685.8</v>
      </c>
      <c r="AL54" s="283">
        <v>685.8</v>
      </c>
      <c r="AM54" s="283">
        <v>685.8</v>
      </c>
      <c r="AN54" s="283">
        <v>685.8</v>
      </c>
      <c r="AO54" s="283">
        <v>685.8</v>
      </c>
      <c r="AP54" s="283">
        <v>685.8</v>
      </c>
      <c r="AQ54" s="283">
        <v>685.8</v>
      </c>
      <c r="AR54" s="283">
        <v>685.8</v>
      </c>
      <c r="AS54" s="283">
        <v>685.8</v>
      </c>
      <c r="AT54" s="283">
        <v>685.8</v>
      </c>
      <c r="AU54" s="283">
        <v>685.8</v>
      </c>
      <c r="AV54" s="283">
        <v>685.8</v>
      </c>
      <c r="AW54" s="283">
        <v>685.8</v>
      </c>
      <c r="AX54" s="283">
        <v>685.8</v>
      </c>
      <c r="AY54" s="283">
        <v>685.8</v>
      </c>
    </row>
    <row r="55" spans="1:51" ht="17" thickBot="1">
      <c r="A55" s="286" t="s">
        <v>7758</v>
      </c>
      <c r="B55" s="287">
        <v>491.9</v>
      </c>
      <c r="C55" s="287">
        <v>491.9</v>
      </c>
      <c r="D55" s="287">
        <v>491.9</v>
      </c>
      <c r="E55" s="287">
        <v>491.9</v>
      </c>
      <c r="F55" s="287">
        <v>491.9</v>
      </c>
      <c r="G55" s="287">
        <v>491.9</v>
      </c>
      <c r="H55" s="287">
        <v>491.9</v>
      </c>
      <c r="I55" s="287">
        <v>491.9</v>
      </c>
      <c r="J55" s="287">
        <v>491.9</v>
      </c>
      <c r="K55" s="287">
        <v>491.9</v>
      </c>
      <c r="L55" s="287">
        <v>491.9</v>
      </c>
      <c r="M55" s="287">
        <v>491.9</v>
      </c>
      <c r="N55" s="287">
        <v>491.9</v>
      </c>
      <c r="O55" s="287">
        <v>491.9</v>
      </c>
      <c r="P55" s="287">
        <v>491.9</v>
      </c>
      <c r="Q55" s="287">
        <v>491.9</v>
      </c>
      <c r="R55" s="287">
        <v>491.9</v>
      </c>
      <c r="S55" s="287">
        <v>491.9</v>
      </c>
      <c r="T55" s="287">
        <v>491.9</v>
      </c>
      <c r="U55" s="287">
        <v>491.9</v>
      </c>
      <c r="V55" s="287">
        <v>491.9</v>
      </c>
      <c r="W55" s="287">
        <v>491.9</v>
      </c>
      <c r="X55" s="287">
        <v>491.9</v>
      </c>
      <c r="Y55" s="287">
        <v>491.9</v>
      </c>
      <c r="Z55" s="287">
        <v>491.9</v>
      </c>
      <c r="AA55" s="287">
        <v>491.9</v>
      </c>
      <c r="AB55" s="287">
        <v>491.9</v>
      </c>
      <c r="AC55" s="287">
        <v>491.9</v>
      </c>
      <c r="AD55" s="287">
        <v>491.9</v>
      </c>
      <c r="AE55" s="287">
        <v>491.9</v>
      </c>
      <c r="AF55" s="287">
        <v>491.9</v>
      </c>
      <c r="AG55" s="287">
        <v>491.9</v>
      </c>
      <c r="AH55" s="287">
        <v>491.9</v>
      </c>
      <c r="AI55" s="287">
        <v>491.9</v>
      </c>
      <c r="AJ55" s="287">
        <v>491.9</v>
      </c>
      <c r="AK55" s="287">
        <v>491.9</v>
      </c>
      <c r="AL55" s="287">
        <v>491.9</v>
      </c>
      <c r="AM55" s="287">
        <v>491.9</v>
      </c>
      <c r="AN55" s="287">
        <v>491.9</v>
      </c>
      <c r="AO55" s="287">
        <v>491.9</v>
      </c>
      <c r="AP55" s="287">
        <v>491.9</v>
      </c>
      <c r="AQ55" s="287">
        <v>491.9</v>
      </c>
      <c r="AR55" s="287">
        <v>491.9</v>
      </c>
      <c r="AS55" s="287">
        <v>491.9</v>
      </c>
      <c r="AT55" s="287">
        <v>491.9</v>
      </c>
      <c r="AU55" s="287">
        <v>491.9</v>
      </c>
      <c r="AV55" s="287">
        <v>491.9</v>
      </c>
      <c r="AW55" s="287">
        <v>491.9</v>
      </c>
      <c r="AX55" s="287">
        <v>491.9</v>
      </c>
      <c r="AY55" s="287">
        <v>491.9</v>
      </c>
    </row>
  </sheetData>
  <phoneticPr fontId="13"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08CA3-8C6A-C945-AA8C-225CB34F853E}">
  <dimension ref="A1:BB332"/>
  <sheetViews>
    <sheetView topLeftCell="A95" zoomScale="90" zoomScaleNormal="90" workbookViewId="0">
      <selection activeCell="L344" sqref="L344"/>
    </sheetView>
  </sheetViews>
  <sheetFormatPr baseColWidth="10" defaultRowHeight="16"/>
  <sheetData>
    <row r="1" spans="1:54">
      <c r="A1" t="s">
        <v>171</v>
      </c>
      <c r="B1" s="436" t="s">
        <v>8579</v>
      </c>
      <c r="C1" s="436" t="s">
        <v>6909</v>
      </c>
      <c r="D1" s="436" t="s">
        <v>437</v>
      </c>
      <c r="E1" s="436" t="s">
        <v>217</v>
      </c>
      <c r="F1" s="436" t="s">
        <v>313</v>
      </c>
      <c r="G1" s="436" t="s">
        <v>6911</v>
      </c>
      <c r="H1" s="70" t="s">
        <v>441</v>
      </c>
      <c r="I1" s="437" t="s">
        <v>6912</v>
      </c>
      <c r="J1" s="437" t="s">
        <v>443</v>
      </c>
      <c r="K1" s="67" t="s">
        <v>444</v>
      </c>
      <c r="L1" s="67" t="s">
        <v>445</v>
      </c>
      <c r="M1" s="437" t="s">
        <v>6915</v>
      </c>
      <c r="N1" s="437" t="s">
        <v>8580</v>
      </c>
      <c r="O1" s="56" t="s">
        <v>448</v>
      </c>
    </row>
    <row r="2" spans="1:54">
      <c r="A2" t="s">
        <v>8581</v>
      </c>
      <c r="B2" s="68" t="s">
        <v>8582</v>
      </c>
      <c r="C2" s="68" t="s">
        <v>467</v>
      </c>
      <c r="D2" s="60">
        <v>1.7</v>
      </c>
      <c r="E2" s="60"/>
      <c r="F2" s="60"/>
      <c r="G2" s="60">
        <v>1.7</v>
      </c>
      <c r="H2" s="438"/>
      <c r="I2" s="438"/>
      <c r="J2" s="438">
        <v>4.8</v>
      </c>
      <c r="K2" s="438"/>
      <c r="L2" s="438"/>
      <c r="M2" s="438"/>
      <c r="N2" s="438"/>
      <c r="O2" s="438">
        <f t="shared" ref="O2:O3" si="0">SUM(D2:N2)</f>
        <v>8.1999999999999993</v>
      </c>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row>
    <row r="3" spans="1:54">
      <c r="A3" t="s">
        <v>8581</v>
      </c>
      <c r="B3" s="69"/>
      <c r="C3" s="68" t="s">
        <v>482</v>
      </c>
      <c r="D3" s="60"/>
      <c r="E3" s="60"/>
      <c r="F3" s="60">
        <v>2.2000000000000002</v>
      </c>
      <c r="G3" s="60">
        <v>45.7</v>
      </c>
      <c r="H3" s="438">
        <v>73.3</v>
      </c>
      <c r="I3" s="438">
        <v>42.6</v>
      </c>
      <c r="J3" s="438"/>
      <c r="K3" s="438"/>
      <c r="L3" s="438"/>
      <c r="M3" s="438"/>
      <c r="N3" s="438">
        <v>1.1000000000000001</v>
      </c>
      <c r="O3" s="438">
        <f t="shared" si="0"/>
        <v>164.9</v>
      </c>
      <c r="P3" s="269"/>
      <c r="Q3" s="269"/>
      <c r="R3" s="269"/>
      <c r="S3" s="269"/>
      <c r="T3" s="269"/>
      <c r="U3" s="269"/>
      <c r="V3" s="269"/>
      <c r="W3" s="269"/>
      <c r="X3" s="269"/>
      <c r="Y3" s="269"/>
      <c r="Z3" s="269"/>
      <c r="AA3" s="269"/>
      <c r="AB3" s="269"/>
      <c r="AC3" s="269"/>
      <c r="AD3" s="269"/>
      <c r="AE3" s="269"/>
      <c r="AF3" s="269"/>
      <c r="AG3" s="269"/>
      <c r="AH3" s="269"/>
      <c r="AI3" s="269"/>
      <c r="AJ3" s="269"/>
      <c r="AK3" s="269"/>
      <c r="AL3" s="269"/>
      <c r="AM3" s="269"/>
      <c r="AN3" s="269"/>
      <c r="AO3" s="269"/>
      <c r="AP3" s="269"/>
      <c r="AQ3" s="269"/>
      <c r="AR3" s="269"/>
      <c r="AS3" s="269"/>
      <c r="AT3" s="269"/>
      <c r="AU3" s="269"/>
      <c r="AV3" s="269"/>
      <c r="AW3" s="269"/>
      <c r="AX3" s="269"/>
      <c r="AY3" s="269"/>
      <c r="AZ3" s="269"/>
      <c r="BA3" s="269"/>
      <c r="BB3" s="269"/>
    </row>
    <row r="4" spans="1:54">
      <c r="A4" t="s">
        <v>8581</v>
      </c>
      <c r="B4" s="69"/>
      <c r="C4" s="69"/>
      <c r="D4" s="69"/>
      <c r="E4" s="69"/>
      <c r="F4" s="69"/>
      <c r="G4" s="69"/>
      <c r="H4" s="69"/>
      <c r="I4" s="69"/>
      <c r="J4" s="69"/>
      <c r="K4" s="69"/>
      <c r="L4" s="69"/>
      <c r="M4" s="69"/>
      <c r="N4" s="69"/>
      <c r="O4" s="69"/>
      <c r="P4" s="269"/>
      <c r="Q4" s="269"/>
      <c r="R4" s="269"/>
      <c r="S4" s="269"/>
      <c r="T4" s="269"/>
      <c r="U4" s="269"/>
      <c r="V4" s="269"/>
      <c r="W4" s="269"/>
      <c r="X4" s="269"/>
      <c r="Y4" s="269"/>
      <c r="Z4" s="269"/>
      <c r="AA4" s="269"/>
      <c r="AB4" s="269"/>
      <c r="AC4" s="269"/>
      <c r="AD4" s="269"/>
      <c r="AE4" s="269"/>
      <c r="AF4" s="269"/>
      <c r="AG4" s="269"/>
      <c r="AH4" s="269"/>
      <c r="AI4" s="269"/>
      <c r="AJ4" s="269"/>
      <c r="AK4" s="269"/>
      <c r="AL4" s="269"/>
      <c r="AM4" s="269"/>
      <c r="AN4" s="269"/>
      <c r="AO4" s="269"/>
      <c r="AP4" s="269"/>
      <c r="AQ4" s="269"/>
      <c r="AR4" s="269"/>
      <c r="AS4" s="269"/>
      <c r="AT4" s="269"/>
      <c r="AU4" s="269"/>
      <c r="AV4" s="269"/>
      <c r="AW4" s="269"/>
      <c r="AX4" s="269"/>
      <c r="AY4" s="269"/>
      <c r="AZ4" s="269"/>
      <c r="BA4" s="269"/>
      <c r="BB4" s="269"/>
    </row>
    <row r="5" spans="1:54">
      <c r="A5" t="s">
        <v>8581</v>
      </c>
      <c r="B5" s="436"/>
      <c r="C5" s="56" t="s">
        <v>448</v>
      </c>
      <c r="D5" s="64">
        <f xml:space="preserve"> SUM(D2:D3)</f>
        <v>1.7</v>
      </c>
      <c r="E5" s="64"/>
      <c r="F5" s="64">
        <f xml:space="preserve"> SUM(F2:F3)</f>
        <v>2.2000000000000002</v>
      </c>
      <c r="G5" s="64">
        <f xml:space="preserve"> SUM(G2:G3)</f>
        <v>47.400000000000006</v>
      </c>
      <c r="H5" s="64">
        <f t="shared" ref="H5:J5" si="1">SUM(H2:H3)</f>
        <v>73.3</v>
      </c>
      <c r="I5" s="64">
        <f t="shared" si="1"/>
        <v>42.6</v>
      </c>
      <c r="J5" s="64">
        <f t="shared" si="1"/>
        <v>4.8</v>
      </c>
      <c r="K5" s="64"/>
      <c r="L5" s="64"/>
      <c r="M5" s="64"/>
      <c r="N5" s="64">
        <f t="shared" ref="N5:O5" si="2">SUM(N2:N3)</f>
        <v>1.1000000000000001</v>
      </c>
      <c r="O5" s="64">
        <f t="shared" si="2"/>
        <v>173.1</v>
      </c>
      <c r="P5" s="279"/>
      <c r="Q5" s="279"/>
      <c r="R5" s="279"/>
      <c r="S5" s="279"/>
      <c r="T5" s="279"/>
      <c r="U5" s="279"/>
      <c r="V5" s="279"/>
      <c r="W5" s="279"/>
      <c r="X5" s="279"/>
      <c r="Y5" s="279"/>
      <c r="Z5" s="279"/>
      <c r="AA5" s="279"/>
      <c r="AB5" s="279"/>
      <c r="AC5" s="279"/>
      <c r="AD5" s="279"/>
      <c r="AE5" s="279"/>
      <c r="AF5" s="279"/>
      <c r="AG5" s="279"/>
      <c r="AH5" s="279"/>
      <c r="AI5" s="279"/>
      <c r="AJ5" s="279"/>
      <c r="AK5" s="279"/>
      <c r="AL5" s="279"/>
      <c r="AM5" s="279"/>
      <c r="AN5" s="279"/>
      <c r="AO5" s="279"/>
      <c r="AP5" s="279"/>
      <c r="AQ5" s="279"/>
      <c r="AR5" s="279"/>
      <c r="AS5" s="279"/>
      <c r="AT5" s="279"/>
      <c r="AU5" s="279"/>
      <c r="AV5" s="279"/>
      <c r="AW5" s="279"/>
      <c r="AX5" s="279"/>
      <c r="AY5" s="279"/>
      <c r="AZ5" s="279"/>
    </row>
    <row r="6" spans="1:54">
      <c r="A6" t="s">
        <v>8581</v>
      </c>
      <c r="B6" s="439"/>
      <c r="C6" s="439"/>
      <c r="D6" s="439"/>
      <c r="E6" s="439"/>
      <c r="F6" s="439"/>
      <c r="G6" s="439"/>
      <c r="H6" s="439"/>
      <c r="I6" s="439"/>
      <c r="J6" s="439"/>
      <c r="K6" s="439"/>
      <c r="L6" s="439"/>
      <c r="M6" s="439"/>
      <c r="N6" s="439"/>
      <c r="O6" s="439"/>
      <c r="P6" s="279"/>
      <c r="Q6" s="279"/>
      <c r="R6" s="279"/>
      <c r="S6" s="279"/>
      <c r="T6" s="279"/>
      <c r="U6" s="279"/>
      <c r="V6" s="279"/>
      <c r="W6" s="279"/>
      <c r="X6" s="279"/>
      <c r="Y6" s="279"/>
      <c r="Z6" s="279"/>
      <c r="AA6" s="279"/>
      <c r="AB6" s="279"/>
      <c r="AC6" s="279"/>
      <c r="AD6" s="279"/>
      <c r="AE6" s="279"/>
      <c r="AF6" s="279"/>
      <c r="AG6" s="279"/>
      <c r="AH6" s="279"/>
      <c r="AI6" s="279"/>
      <c r="AJ6" s="279"/>
      <c r="AK6" s="279"/>
      <c r="AL6" s="279"/>
      <c r="AM6" s="279"/>
      <c r="AN6" s="279"/>
      <c r="AO6" s="279"/>
      <c r="AP6" s="279"/>
      <c r="AQ6" s="279"/>
      <c r="AR6" s="279"/>
      <c r="AS6" s="279"/>
      <c r="AT6" s="279"/>
      <c r="AU6" s="279"/>
      <c r="AV6" s="279"/>
      <c r="AW6" s="279"/>
      <c r="AX6" s="279"/>
      <c r="AY6" s="279"/>
      <c r="AZ6" s="279"/>
    </row>
    <row r="7" spans="1:54">
      <c r="A7" t="s">
        <v>8581</v>
      </c>
      <c r="B7" s="436" t="s">
        <v>8579</v>
      </c>
      <c r="C7" s="436" t="s">
        <v>6909</v>
      </c>
      <c r="D7" s="55" t="s">
        <v>437</v>
      </c>
      <c r="E7" s="55" t="s">
        <v>217</v>
      </c>
      <c r="F7" s="55" t="s">
        <v>313</v>
      </c>
      <c r="G7" s="55" t="s">
        <v>6911</v>
      </c>
      <c r="H7" s="70" t="s">
        <v>441</v>
      </c>
      <c r="I7" s="440" t="s">
        <v>6912</v>
      </c>
      <c r="J7" s="440" t="s">
        <v>443</v>
      </c>
      <c r="K7" s="67" t="s">
        <v>444</v>
      </c>
      <c r="L7" s="67" t="s">
        <v>445</v>
      </c>
      <c r="M7" s="440" t="s">
        <v>6915</v>
      </c>
      <c r="N7" s="440" t="s">
        <v>8580</v>
      </c>
      <c r="O7" s="56" t="s">
        <v>448</v>
      </c>
      <c r="P7" s="279"/>
      <c r="Q7" s="279"/>
      <c r="R7" s="279"/>
      <c r="S7" s="279"/>
      <c r="T7" s="279"/>
      <c r="U7" s="279"/>
      <c r="V7" s="279"/>
      <c r="W7" s="279"/>
      <c r="X7" s="279"/>
      <c r="Y7" s="279"/>
      <c r="Z7" s="279"/>
      <c r="AA7" s="279"/>
      <c r="AB7" s="279"/>
      <c r="AC7" s="279"/>
      <c r="AD7" s="279"/>
      <c r="AE7" s="279"/>
      <c r="AF7" s="279"/>
      <c r="AG7" s="279"/>
      <c r="AH7" s="279"/>
      <c r="AI7" s="279"/>
      <c r="AJ7" s="279"/>
      <c r="AK7" s="279"/>
      <c r="AL7" s="279"/>
      <c r="AM7" s="279"/>
      <c r="AN7" s="279"/>
      <c r="AO7" s="279"/>
      <c r="AP7" s="279"/>
      <c r="AQ7" s="279"/>
      <c r="AR7" s="279"/>
      <c r="AS7" s="279"/>
      <c r="AT7" s="279"/>
      <c r="AU7" s="279"/>
      <c r="AV7" s="279"/>
      <c r="AW7" s="279"/>
      <c r="AX7" s="279"/>
      <c r="AY7" s="279"/>
      <c r="AZ7" s="279"/>
    </row>
    <row r="8" spans="1:54">
      <c r="A8" t="s">
        <v>8581</v>
      </c>
      <c r="B8" s="68" t="s">
        <v>8583</v>
      </c>
      <c r="C8" s="68" t="s">
        <v>467</v>
      </c>
      <c r="D8" s="60"/>
      <c r="E8" s="60"/>
      <c r="F8" s="60"/>
      <c r="G8" s="60"/>
      <c r="H8" s="438"/>
      <c r="I8" s="438"/>
      <c r="J8" s="438">
        <v>5.7</v>
      </c>
      <c r="K8" s="438"/>
      <c r="L8" s="438"/>
      <c r="M8" s="438"/>
      <c r="N8" s="438"/>
      <c r="O8" s="438">
        <f t="shared" ref="O8:O9" si="3">SUM(D8:N8)</f>
        <v>5.7</v>
      </c>
      <c r="P8" s="279"/>
      <c r="Q8" s="279"/>
      <c r="R8" s="279"/>
      <c r="S8" s="279"/>
      <c r="T8" s="279"/>
      <c r="U8" s="279"/>
      <c r="V8" s="279"/>
      <c r="W8" s="279"/>
      <c r="X8" s="279"/>
      <c r="Y8" s="279"/>
      <c r="Z8" s="279"/>
      <c r="AA8" s="279"/>
      <c r="AB8" s="279"/>
      <c r="AC8" s="279"/>
      <c r="AD8" s="279"/>
      <c r="AE8" s="279"/>
      <c r="AF8" s="279"/>
      <c r="AG8" s="279"/>
      <c r="AH8" s="279"/>
      <c r="AI8" s="279"/>
      <c r="AJ8" s="279"/>
      <c r="AK8" s="279"/>
      <c r="AL8" s="279"/>
      <c r="AM8" s="279"/>
      <c r="AN8" s="279"/>
      <c r="AO8" s="279"/>
      <c r="AP8" s="279"/>
      <c r="AQ8" s="279"/>
      <c r="AR8" s="279"/>
      <c r="AS8" s="279"/>
      <c r="AT8" s="279"/>
      <c r="AU8" s="279"/>
      <c r="AV8" s="279"/>
      <c r="AW8" s="279"/>
      <c r="AX8" s="279"/>
      <c r="AY8" s="279"/>
      <c r="AZ8" s="279"/>
    </row>
    <row r="9" spans="1:54">
      <c r="A9" t="s">
        <v>8581</v>
      </c>
      <c r="B9" s="436"/>
      <c r="C9" s="68" t="s">
        <v>482</v>
      </c>
      <c r="D9" s="60"/>
      <c r="E9" s="60"/>
      <c r="F9" s="60">
        <v>2.9</v>
      </c>
      <c r="G9" s="60">
        <f>17.5+12.8</f>
        <v>30.3</v>
      </c>
      <c r="H9" s="438">
        <v>47.6</v>
      </c>
      <c r="I9" s="438">
        <v>30.6</v>
      </c>
      <c r="J9" s="438"/>
      <c r="K9" s="438"/>
      <c r="L9" s="438"/>
      <c r="M9" s="438"/>
      <c r="N9" s="438">
        <v>7.5</v>
      </c>
      <c r="O9" s="438">
        <f t="shared" si="3"/>
        <v>118.9</v>
      </c>
      <c r="P9" s="279"/>
      <c r="Q9" s="279"/>
      <c r="R9" s="279"/>
      <c r="S9" s="279"/>
      <c r="T9" s="279"/>
      <c r="U9" s="279"/>
      <c r="V9" s="279"/>
      <c r="W9" s="279"/>
      <c r="X9" s="279"/>
      <c r="Y9" s="279"/>
      <c r="Z9" s="279"/>
      <c r="AA9" s="279"/>
      <c r="AB9" s="279"/>
      <c r="AC9" s="279"/>
      <c r="AD9" s="279"/>
      <c r="AE9" s="279"/>
      <c r="AF9" s="279"/>
      <c r="AG9" s="279"/>
      <c r="AH9" s="279"/>
      <c r="AI9" s="279"/>
      <c r="AJ9" s="279"/>
      <c r="AK9" s="279"/>
      <c r="AL9" s="279"/>
      <c r="AM9" s="279"/>
      <c r="AN9" s="279"/>
      <c r="AO9" s="279"/>
      <c r="AP9" s="279"/>
      <c r="AQ9" s="279"/>
      <c r="AR9" s="279"/>
      <c r="AS9" s="279"/>
      <c r="AT9" s="279"/>
      <c r="AU9" s="279"/>
      <c r="AV9" s="279"/>
      <c r="AW9" s="279"/>
      <c r="AX9" s="279"/>
      <c r="AY9" s="279"/>
      <c r="AZ9" s="279"/>
    </row>
    <row r="10" spans="1:54">
      <c r="A10" t="s">
        <v>8581</v>
      </c>
      <c r="B10" s="436"/>
      <c r="C10" s="69"/>
      <c r="D10" s="69"/>
      <c r="E10" s="69"/>
      <c r="F10" s="69"/>
      <c r="G10" s="69"/>
      <c r="H10" s="69"/>
      <c r="I10" s="69"/>
      <c r="J10" s="69"/>
      <c r="K10" s="69"/>
      <c r="L10" s="69"/>
      <c r="M10" s="69"/>
      <c r="N10" s="69"/>
      <c r="O10" s="69"/>
      <c r="P10" s="279"/>
      <c r="Q10" s="279"/>
      <c r="R10" s="279"/>
      <c r="S10" s="279"/>
      <c r="T10" s="279"/>
      <c r="U10" s="279"/>
      <c r="V10" s="279"/>
      <c r="W10" s="279"/>
      <c r="X10" s="279"/>
      <c r="Y10" s="279"/>
      <c r="Z10" s="279"/>
      <c r="AA10" s="279"/>
      <c r="AB10" s="279"/>
      <c r="AC10" s="279"/>
      <c r="AD10" s="279"/>
      <c r="AE10" s="279"/>
      <c r="AF10" s="279"/>
      <c r="AG10" s="279"/>
      <c r="AH10" s="279"/>
      <c r="AI10" s="279"/>
      <c r="AJ10" s="279"/>
      <c r="AK10" s="279"/>
      <c r="AL10" s="279"/>
      <c r="AM10" s="279"/>
      <c r="AN10" s="279"/>
      <c r="AO10" s="279"/>
      <c r="AP10" s="279"/>
      <c r="AQ10" s="279"/>
      <c r="AR10" s="279"/>
      <c r="AS10" s="279"/>
      <c r="AT10" s="279"/>
      <c r="AU10" s="279"/>
      <c r="AV10" s="279"/>
      <c r="AW10" s="279"/>
      <c r="AX10" s="279"/>
      <c r="AY10" s="279"/>
      <c r="AZ10" s="279"/>
    </row>
    <row r="11" spans="1:54">
      <c r="A11" t="s">
        <v>8581</v>
      </c>
      <c r="B11" s="436"/>
      <c r="C11" s="56" t="s">
        <v>448</v>
      </c>
      <c r="D11" s="60"/>
      <c r="E11" s="60"/>
      <c r="F11" s="60">
        <f t="shared" ref="F11:J11" si="4">SUM(F8:F10)</f>
        <v>2.9</v>
      </c>
      <c r="G11" s="60">
        <f t="shared" si="4"/>
        <v>30.3</v>
      </c>
      <c r="H11" s="60">
        <f t="shared" si="4"/>
        <v>47.6</v>
      </c>
      <c r="I11" s="60">
        <f t="shared" si="4"/>
        <v>30.6</v>
      </c>
      <c r="J11" s="60">
        <f t="shared" si="4"/>
        <v>5.7</v>
      </c>
      <c r="K11" s="60"/>
      <c r="L11" s="60"/>
      <c r="M11" s="60"/>
      <c r="N11" s="60">
        <f>SUM(N8:N10)</f>
        <v>7.5</v>
      </c>
      <c r="O11" s="60">
        <f>SUM(O8:O9)</f>
        <v>124.60000000000001</v>
      </c>
      <c r="P11" s="279"/>
      <c r="Q11" s="279"/>
      <c r="R11" s="279"/>
      <c r="S11" s="279"/>
      <c r="T11" s="279"/>
      <c r="U11" s="279"/>
      <c r="V11" s="279"/>
      <c r="W11" s="279"/>
      <c r="X11" s="279"/>
      <c r="Y11" s="279"/>
      <c r="Z11" s="279"/>
      <c r="AA11" s="279"/>
      <c r="AB11" s="279"/>
      <c r="AC11" s="279"/>
      <c r="AD11" s="279"/>
      <c r="AE11" s="279"/>
      <c r="AF11" s="279"/>
      <c r="AG11" s="279"/>
      <c r="AH11" s="279"/>
      <c r="AI11" s="279"/>
      <c r="AJ11" s="279"/>
      <c r="AK11" s="279"/>
      <c r="AL11" s="279"/>
      <c r="AM11" s="279"/>
      <c r="AN11" s="279"/>
      <c r="AO11" s="279"/>
      <c r="AP11" s="279"/>
      <c r="AQ11" s="279"/>
      <c r="AR11" s="279"/>
      <c r="AS11" s="279"/>
      <c r="AT11" s="279"/>
      <c r="AU11" s="279"/>
      <c r="AV11" s="279"/>
      <c r="AW11" s="279"/>
      <c r="AX11" s="279"/>
      <c r="AY11" s="279"/>
      <c r="AZ11" s="279"/>
    </row>
    <row r="12" spans="1:54">
      <c r="A12" t="s">
        <v>8581</v>
      </c>
      <c r="B12" s="441"/>
      <c r="C12" s="441"/>
      <c r="D12" s="442"/>
      <c r="E12" s="442"/>
      <c r="F12" s="442"/>
      <c r="G12" s="442"/>
      <c r="H12" s="443"/>
      <c r="I12" s="443"/>
      <c r="J12" s="443"/>
      <c r="K12" s="443"/>
      <c r="L12" s="443"/>
      <c r="M12" s="443"/>
      <c r="N12" s="443"/>
      <c r="O12" s="443"/>
      <c r="P12" s="281"/>
      <c r="Q12" s="281"/>
      <c r="R12" s="281"/>
      <c r="S12" s="281"/>
      <c r="T12" s="281"/>
      <c r="U12" s="281"/>
      <c r="V12" s="281"/>
      <c r="W12" s="281"/>
      <c r="X12" s="281"/>
      <c r="Y12" s="281"/>
      <c r="Z12" s="281"/>
      <c r="AA12" s="281"/>
      <c r="AB12" s="281"/>
      <c r="AC12" s="281"/>
      <c r="AD12" s="281"/>
      <c r="AE12" s="281"/>
      <c r="AF12" s="281"/>
      <c r="AG12" s="281"/>
      <c r="AH12" s="281"/>
      <c r="AI12" s="281"/>
      <c r="AJ12" s="281"/>
      <c r="AK12" s="281"/>
      <c r="AL12" s="281"/>
      <c r="AM12" s="281"/>
      <c r="AN12" s="281"/>
      <c r="AO12" s="281"/>
      <c r="AP12" s="281"/>
      <c r="AQ12" s="281"/>
      <c r="AR12" s="281"/>
      <c r="AS12" s="281"/>
      <c r="AT12" s="281"/>
      <c r="AU12" s="281"/>
      <c r="AV12" s="281"/>
      <c r="AW12" s="281"/>
      <c r="AX12" s="281"/>
      <c r="AY12" s="281"/>
      <c r="AZ12" s="281"/>
    </row>
    <row r="13" spans="1:54">
      <c r="A13" t="s">
        <v>8581</v>
      </c>
      <c r="B13" s="436" t="s">
        <v>8584</v>
      </c>
      <c r="C13" s="436" t="s">
        <v>6909</v>
      </c>
      <c r="D13" s="55" t="s">
        <v>437</v>
      </c>
      <c r="E13" s="55" t="s">
        <v>217</v>
      </c>
      <c r="F13" s="55" t="s">
        <v>313</v>
      </c>
      <c r="G13" s="55" t="s">
        <v>6911</v>
      </c>
      <c r="H13" s="70" t="s">
        <v>441</v>
      </c>
      <c r="I13" s="440" t="s">
        <v>6912</v>
      </c>
      <c r="J13" s="440" t="s">
        <v>443</v>
      </c>
      <c r="K13" s="67" t="s">
        <v>444</v>
      </c>
      <c r="L13" s="67" t="s">
        <v>445</v>
      </c>
      <c r="M13" s="440" t="s">
        <v>6915</v>
      </c>
      <c r="N13" s="440" t="s">
        <v>8580</v>
      </c>
      <c r="O13" s="56" t="s">
        <v>448</v>
      </c>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row>
    <row r="14" spans="1:54">
      <c r="A14" t="s">
        <v>8581</v>
      </c>
      <c r="B14" s="68" t="s">
        <v>8585</v>
      </c>
      <c r="C14" s="68" t="s">
        <v>467</v>
      </c>
      <c r="D14" s="60"/>
      <c r="E14" s="60"/>
      <c r="F14" s="60"/>
      <c r="G14" s="60">
        <f>0.8+1.4</f>
        <v>2.2000000000000002</v>
      </c>
      <c r="H14" s="438"/>
      <c r="I14" s="438"/>
      <c r="J14" s="438">
        <v>3.7</v>
      </c>
      <c r="K14" s="438"/>
      <c r="L14" s="438"/>
      <c r="M14" s="438"/>
      <c r="N14" s="438"/>
      <c r="O14" s="438">
        <f>SUM(D14:N14)</f>
        <v>5.9</v>
      </c>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row>
    <row r="15" spans="1:54">
      <c r="A15" t="s">
        <v>8581</v>
      </c>
      <c r="B15" s="68"/>
      <c r="C15" s="68" t="s">
        <v>482</v>
      </c>
      <c r="D15" s="60"/>
      <c r="E15" s="60">
        <f>4.6+1.9</f>
        <v>6.5</v>
      </c>
      <c r="F15" s="60">
        <v>0.4</v>
      </c>
      <c r="G15" s="60">
        <f>31.7+3.1+1.9</f>
        <v>36.699999999999996</v>
      </c>
      <c r="H15" s="438">
        <v>22.7</v>
      </c>
      <c r="I15" s="438">
        <v>17.600000000000001</v>
      </c>
      <c r="J15" s="438"/>
      <c r="K15" s="438"/>
      <c r="L15" s="438"/>
      <c r="M15" s="438"/>
      <c r="N15" s="438">
        <f>0.5+5.3</f>
        <v>5.8</v>
      </c>
      <c r="O15" s="438">
        <f>SUM(D15:N15)</f>
        <v>89.7</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row>
    <row r="16" spans="1:54">
      <c r="A16" t="s">
        <v>8581</v>
      </c>
      <c r="B16" s="68"/>
      <c r="C16" s="69"/>
      <c r="D16" s="69"/>
      <c r="E16" s="69"/>
      <c r="F16" s="69"/>
      <c r="G16" s="69"/>
      <c r="H16" s="69"/>
      <c r="I16" s="69"/>
      <c r="J16" s="69"/>
      <c r="K16" s="69"/>
      <c r="L16" s="69"/>
      <c r="M16" s="69"/>
      <c r="N16" s="69"/>
      <c r="O16" s="69"/>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row>
    <row r="17" spans="1:52">
      <c r="A17" t="s">
        <v>8581</v>
      </c>
      <c r="B17" s="68"/>
      <c r="C17" s="56" t="s">
        <v>448</v>
      </c>
      <c r="D17" s="60"/>
      <c r="E17" s="60">
        <f t="shared" ref="E17:J17" si="5">SUM(E14:E15)</f>
        <v>6.5</v>
      </c>
      <c r="F17" s="60">
        <f t="shared" si="5"/>
        <v>0.4</v>
      </c>
      <c r="G17" s="60">
        <f t="shared" si="5"/>
        <v>38.9</v>
      </c>
      <c r="H17" s="60">
        <f t="shared" si="5"/>
        <v>22.7</v>
      </c>
      <c r="I17" s="60">
        <f t="shared" si="5"/>
        <v>17.600000000000001</v>
      </c>
      <c r="J17" s="60">
        <f t="shared" si="5"/>
        <v>3.7</v>
      </c>
      <c r="K17" s="60"/>
      <c r="L17" s="60"/>
      <c r="M17" s="60"/>
      <c r="N17" s="60">
        <f t="shared" ref="N17:O17" si="6">SUM(N14:N15)</f>
        <v>5.8</v>
      </c>
      <c r="O17" s="60">
        <f t="shared" si="6"/>
        <v>95.600000000000009</v>
      </c>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row>
    <row r="18" spans="1:52">
      <c r="A18" t="s">
        <v>8581</v>
      </c>
      <c r="B18" s="441"/>
      <c r="C18" s="441"/>
      <c r="D18" s="442"/>
      <c r="E18" s="442"/>
      <c r="F18" s="442"/>
      <c r="G18" s="442"/>
      <c r="H18" s="443"/>
      <c r="I18" s="443"/>
      <c r="J18" s="443"/>
      <c r="K18" s="443"/>
      <c r="L18" s="443"/>
      <c r="M18" s="443"/>
      <c r="N18" s="443"/>
      <c r="O18" s="444"/>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row>
    <row r="19" spans="1:52">
      <c r="A19" t="s">
        <v>8581</v>
      </c>
      <c r="B19" s="436" t="s">
        <v>8584</v>
      </c>
      <c r="C19" s="436" t="s">
        <v>6909</v>
      </c>
      <c r="D19" s="55" t="s">
        <v>437</v>
      </c>
      <c r="E19" s="55" t="s">
        <v>217</v>
      </c>
      <c r="F19" s="55" t="s">
        <v>313</v>
      </c>
      <c r="G19" s="55" t="s">
        <v>6911</v>
      </c>
      <c r="H19" s="440" t="s">
        <v>8586</v>
      </c>
      <c r="I19" s="440" t="s">
        <v>6912</v>
      </c>
      <c r="J19" s="440" t="s">
        <v>443</v>
      </c>
      <c r="K19" s="67" t="s">
        <v>444</v>
      </c>
      <c r="L19" s="67" t="s">
        <v>445</v>
      </c>
      <c r="M19" s="440" t="s">
        <v>6915</v>
      </c>
      <c r="N19" s="440" t="s">
        <v>8580</v>
      </c>
      <c r="O19" s="56" t="s">
        <v>448</v>
      </c>
    </row>
    <row r="20" spans="1:52">
      <c r="A20" t="s">
        <v>8581</v>
      </c>
      <c r="B20" s="68" t="s">
        <v>8587</v>
      </c>
      <c r="C20" s="68" t="s">
        <v>467</v>
      </c>
      <c r="D20" s="60">
        <v>0.2</v>
      </c>
      <c r="E20" s="60"/>
      <c r="F20" s="60"/>
      <c r="G20" s="60">
        <f>1.6+0.6+1.3</f>
        <v>3.5</v>
      </c>
      <c r="H20" s="438"/>
      <c r="I20" s="438">
        <v>2.7</v>
      </c>
      <c r="J20" s="438">
        <v>5</v>
      </c>
      <c r="K20" s="438"/>
      <c r="L20" s="438"/>
      <c r="M20" s="438"/>
      <c r="N20" s="438"/>
      <c r="O20" s="438">
        <f>SUM(D20:N20)</f>
        <v>11.4</v>
      </c>
    </row>
    <row r="21" spans="1:52">
      <c r="A21" t="s">
        <v>8581</v>
      </c>
      <c r="B21" s="68"/>
      <c r="C21" s="68" t="s">
        <v>482</v>
      </c>
      <c r="D21" s="60">
        <v>7</v>
      </c>
      <c r="E21" s="60">
        <v>5.4</v>
      </c>
      <c r="F21" s="60">
        <v>0.6</v>
      </c>
      <c r="G21" s="60">
        <v>37.700000000000003</v>
      </c>
      <c r="H21" s="438">
        <f>110-86.9</f>
        <v>23.099999999999994</v>
      </c>
      <c r="I21" s="438">
        <v>16.7</v>
      </c>
      <c r="J21" s="438"/>
      <c r="K21" s="438"/>
      <c r="L21" s="438"/>
      <c r="M21" s="438"/>
      <c r="N21" s="438">
        <v>8.1</v>
      </c>
      <c r="O21" s="438">
        <f>SUM(D21:N21)</f>
        <v>98.6</v>
      </c>
    </row>
    <row r="22" spans="1:52">
      <c r="A22" t="s">
        <v>8581</v>
      </c>
      <c r="B22" s="68"/>
      <c r="C22" s="69"/>
      <c r="D22" s="69"/>
      <c r="E22" s="69"/>
      <c r="F22" s="69"/>
      <c r="G22" s="69"/>
      <c r="H22" s="69"/>
      <c r="I22" s="69"/>
      <c r="J22" s="69"/>
      <c r="K22" s="69"/>
      <c r="L22" s="69"/>
      <c r="M22" s="69"/>
      <c r="N22" s="69"/>
      <c r="O22" s="69"/>
    </row>
    <row r="23" spans="1:52">
      <c r="A23" t="s">
        <v>8581</v>
      </c>
      <c r="B23" s="68"/>
      <c r="C23" s="56" t="s">
        <v>448</v>
      </c>
      <c r="D23" s="60">
        <f t="shared" ref="D23:J23" si="7">SUM(D20:D21)</f>
        <v>7.2</v>
      </c>
      <c r="E23" s="60">
        <f t="shared" si="7"/>
        <v>5.4</v>
      </c>
      <c r="F23" s="60">
        <f t="shared" si="7"/>
        <v>0.6</v>
      </c>
      <c r="G23" s="60">
        <f t="shared" si="7"/>
        <v>41.2</v>
      </c>
      <c r="H23" s="60">
        <f t="shared" si="7"/>
        <v>23.099999999999994</v>
      </c>
      <c r="I23" s="60">
        <f t="shared" si="7"/>
        <v>19.399999999999999</v>
      </c>
      <c r="J23" s="60">
        <f t="shared" si="7"/>
        <v>5</v>
      </c>
      <c r="K23" s="60"/>
      <c r="L23" s="60"/>
      <c r="M23" s="60"/>
      <c r="N23" s="60">
        <f t="shared" ref="N23:O23" si="8">SUM(N20:N21)</f>
        <v>8.1</v>
      </c>
      <c r="O23" s="60">
        <f t="shared" si="8"/>
        <v>110</v>
      </c>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row>
    <row r="24" spans="1:52">
      <c r="A24" t="s">
        <v>8581</v>
      </c>
      <c r="B24" s="441"/>
      <c r="C24" s="441"/>
      <c r="D24" s="442"/>
      <c r="E24" s="442"/>
      <c r="F24" s="442"/>
      <c r="G24" s="442"/>
      <c r="H24" s="443"/>
      <c r="I24" s="443"/>
      <c r="J24" s="443"/>
      <c r="K24" s="443"/>
      <c r="L24" s="443"/>
      <c r="M24" s="443"/>
      <c r="N24" s="443"/>
      <c r="O24" s="443"/>
      <c r="P24" s="279"/>
      <c r="Q24" s="279"/>
      <c r="R24" s="279"/>
      <c r="S24" s="279"/>
      <c r="T24" s="279"/>
      <c r="U24" s="279"/>
      <c r="V24" s="279"/>
      <c r="W24" s="279"/>
      <c r="X24" s="279"/>
      <c r="Y24" s="279"/>
      <c r="Z24" s="279"/>
      <c r="AA24" s="279"/>
      <c r="AB24" s="279"/>
      <c r="AC24" s="279"/>
      <c r="AD24" s="279"/>
      <c r="AE24" s="279"/>
      <c r="AF24" s="279"/>
      <c r="AG24" s="279"/>
      <c r="AH24" s="279"/>
      <c r="AI24" s="279"/>
      <c r="AJ24" s="279"/>
      <c r="AK24" s="279"/>
      <c r="AL24" s="279"/>
      <c r="AM24" s="279"/>
      <c r="AN24" s="279"/>
      <c r="AO24" s="279"/>
      <c r="AP24" s="279"/>
      <c r="AQ24" s="279"/>
      <c r="AR24" s="279"/>
      <c r="AS24" s="279"/>
      <c r="AT24" s="279"/>
      <c r="AU24" s="279"/>
      <c r="AV24" s="279"/>
      <c r="AW24" s="279"/>
      <c r="AX24" s="279"/>
      <c r="AY24" s="279"/>
      <c r="AZ24" s="279"/>
    </row>
    <row r="25" spans="1:52">
      <c r="A25" t="s">
        <v>8581</v>
      </c>
      <c r="B25" s="436" t="s">
        <v>8584</v>
      </c>
      <c r="C25" s="436" t="s">
        <v>6909</v>
      </c>
      <c r="D25" s="55" t="s">
        <v>437</v>
      </c>
      <c r="E25" s="55" t="s">
        <v>217</v>
      </c>
      <c r="F25" s="55" t="s">
        <v>313</v>
      </c>
      <c r="G25" s="55" t="s">
        <v>6911</v>
      </c>
      <c r="H25" s="70" t="s">
        <v>441</v>
      </c>
      <c r="I25" s="440" t="s">
        <v>6912</v>
      </c>
      <c r="J25" s="440" t="s">
        <v>443</v>
      </c>
      <c r="K25" s="67" t="s">
        <v>444</v>
      </c>
      <c r="L25" s="67" t="s">
        <v>445</v>
      </c>
      <c r="M25" s="440" t="s">
        <v>6915</v>
      </c>
      <c r="N25" s="440" t="s">
        <v>8580</v>
      </c>
      <c r="O25" s="56" t="s">
        <v>448</v>
      </c>
      <c r="P25" s="279"/>
      <c r="Q25" s="279"/>
      <c r="R25" s="279"/>
      <c r="S25" s="279"/>
      <c r="T25" s="279"/>
      <c r="U25" s="279"/>
      <c r="V25" s="279"/>
      <c r="W25" s="279"/>
      <c r="X25" s="279"/>
      <c r="Y25" s="279"/>
      <c r="Z25" s="279"/>
      <c r="AA25" s="279"/>
      <c r="AB25" s="279"/>
      <c r="AC25" s="279"/>
      <c r="AD25" s="279"/>
      <c r="AE25" s="279"/>
      <c r="AF25" s="279"/>
      <c r="AG25" s="279"/>
      <c r="AH25" s="279"/>
      <c r="AI25" s="279"/>
      <c r="AJ25" s="279"/>
      <c r="AK25" s="279"/>
      <c r="AL25" s="279"/>
      <c r="AM25" s="279"/>
      <c r="AN25" s="279"/>
      <c r="AO25" s="279"/>
      <c r="AP25" s="279"/>
      <c r="AQ25" s="279"/>
      <c r="AR25" s="279"/>
      <c r="AS25" s="279"/>
      <c r="AT25" s="279"/>
      <c r="AU25" s="279"/>
      <c r="AV25" s="279"/>
      <c r="AW25" s="279"/>
      <c r="AX25" s="279"/>
      <c r="AY25" s="279"/>
      <c r="AZ25" s="279"/>
    </row>
    <row r="26" spans="1:52">
      <c r="A26" t="s">
        <v>8581</v>
      </c>
      <c r="B26" s="68" t="s">
        <v>8588</v>
      </c>
      <c r="C26" s="68" t="s">
        <v>467</v>
      </c>
      <c r="D26" s="60">
        <v>1.5</v>
      </c>
      <c r="E26" s="60"/>
      <c r="F26" s="60"/>
      <c r="G26" s="438">
        <v>2.6</v>
      </c>
      <c r="H26" s="438"/>
      <c r="I26" s="438">
        <v>1.8</v>
      </c>
      <c r="J26" s="438">
        <v>5.4</v>
      </c>
      <c r="K26" s="438"/>
      <c r="L26" s="438"/>
      <c r="M26" s="438"/>
      <c r="N26" s="438"/>
      <c r="O26" s="60">
        <f t="shared" ref="O26:O27" si="9">SUM(D26:N26)</f>
        <v>11.3</v>
      </c>
      <c r="P26" s="279"/>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row>
    <row r="27" spans="1:52">
      <c r="A27" t="s">
        <v>8581</v>
      </c>
      <c r="B27" s="68"/>
      <c r="C27" s="68" t="s">
        <v>482</v>
      </c>
      <c r="D27" s="60">
        <v>0.5</v>
      </c>
      <c r="E27" s="60">
        <v>5</v>
      </c>
      <c r="F27" s="60">
        <v>0.3</v>
      </c>
      <c r="G27" s="438">
        <v>37.299999999999997</v>
      </c>
      <c r="H27" s="438">
        <v>21.6</v>
      </c>
      <c r="I27" s="438">
        <v>13.4</v>
      </c>
      <c r="J27" s="438"/>
      <c r="K27" s="438"/>
      <c r="L27" s="438"/>
      <c r="M27" s="438"/>
      <c r="N27" s="438">
        <v>8.9</v>
      </c>
      <c r="O27" s="60">
        <f t="shared" si="9"/>
        <v>87</v>
      </c>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row>
    <row r="28" spans="1:52">
      <c r="A28" t="s">
        <v>8581</v>
      </c>
      <c r="B28" s="68"/>
      <c r="C28" s="69"/>
      <c r="D28" s="69"/>
      <c r="E28" s="69"/>
      <c r="F28" s="69"/>
      <c r="G28" s="69"/>
      <c r="H28" s="69"/>
      <c r="I28" s="69"/>
      <c r="J28" s="69"/>
      <c r="K28" s="69"/>
      <c r="L28" s="69"/>
      <c r="M28" s="69"/>
      <c r="N28" s="69"/>
      <c r="O28" s="69"/>
      <c r="P28" s="279"/>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row>
    <row r="29" spans="1:52">
      <c r="A29" t="s">
        <v>8581</v>
      </c>
      <c r="B29" s="68"/>
      <c r="C29" s="56" t="s">
        <v>448</v>
      </c>
      <c r="D29" s="60">
        <f t="shared" ref="D29:J29" si="10">SUM(D26:D28)</f>
        <v>2</v>
      </c>
      <c r="E29" s="60">
        <f t="shared" si="10"/>
        <v>5</v>
      </c>
      <c r="F29" s="60">
        <f t="shared" si="10"/>
        <v>0.3</v>
      </c>
      <c r="G29" s="60">
        <f t="shared" si="10"/>
        <v>39.9</v>
      </c>
      <c r="H29" s="60">
        <f t="shared" si="10"/>
        <v>21.6</v>
      </c>
      <c r="I29" s="60">
        <f t="shared" si="10"/>
        <v>15.200000000000001</v>
      </c>
      <c r="J29" s="60">
        <f t="shared" si="10"/>
        <v>5.4</v>
      </c>
      <c r="K29" s="60"/>
      <c r="L29" s="60"/>
      <c r="M29" s="60"/>
      <c r="N29" s="60">
        <f>SUM(N26:N28)</f>
        <v>8.9</v>
      </c>
      <c r="O29" s="60">
        <f>SUM(O26:O27)</f>
        <v>98.3</v>
      </c>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row>
    <row r="30" spans="1:52">
      <c r="A30" t="s">
        <v>8581</v>
      </c>
      <c r="B30" s="441"/>
      <c r="C30" s="441"/>
      <c r="D30" s="442"/>
      <c r="E30" s="442"/>
      <c r="F30" s="442"/>
      <c r="G30" s="442"/>
      <c r="H30" s="443"/>
      <c r="I30" s="443"/>
      <c r="J30" s="443"/>
      <c r="K30" s="443"/>
      <c r="L30" s="443"/>
      <c r="M30" s="443"/>
      <c r="N30" s="443"/>
      <c r="O30" s="443"/>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row>
    <row r="31" spans="1:52">
      <c r="A31" t="s">
        <v>8581</v>
      </c>
      <c r="B31" s="436" t="s">
        <v>8584</v>
      </c>
      <c r="C31" s="436" t="s">
        <v>6909</v>
      </c>
      <c r="D31" s="55" t="s">
        <v>437</v>
      </c>
      <c r="E31" s="55" t="s">
        <v>217</v>
      </c>
      <c r="F31" s="55" t="s">
        <v>313</v>
      </c>
      <c r="G31" s="55" t="s">
        <v>6911</v>
      </c>
      <c r="H31" s="70" t="s">
        <v>441</v>
      </c>
      <c r="I31" s="440" t="s">
        <v>6912</v>
      </c>
      <c r="J31" s="440" t="s">
        <v>443</v>
      </c>
      <c r="K31" s="67" t="s">
        <v>444</v>
      </c>
      <c r="L31" s="67" t="s">
        <v>445</v>
      </c>
      <c r="M31" s="440" t="s">
        <v>6915</v>
      </c>
      <c r="N31" s="440" t="s">
        <v>8580</v>
      </c>
      <c r="O31" s="56" t="s">
        <v>448</v>
      </c>
      <c r="P31" s="279"/>
      <c r="Q31" s="279"/>
      <c r="R31" s="279"/>
      <c r="S31" s="279"/>
      <c r="T31" s="279"/>
      <c r="U31" s="279"/>
      <c r="V31" s="279"/>
      <c r="W31" s="279"/>
      <c r="X31" s="279"/>
      <c r="Y31" s="279"/>
      <c r="Z31" s="279"/>
      <c r="AA31" s="279"/>
      <c r="AB31" s="279"/>
      <c r="AC31" s="279"/>
      <c r="AD31" s="279"/>
      <c r="AE31" s="279"/>
      <c r="AF31" s="279"/>
      <c r="AG31" s="279"/>
      <c r="AH31" s="279"/>
      <c r="AI31" s="279"/>
      <c r="AJ31" s="279"/>
      <c r="AK31" s="279"/>
      <c r="AL31" s="279"/>
      <c r="AM31" s="279"/>
      <c r="AN31" s="279"/>
      <c r="AO31" s="279"/>
      <c r="AP31" s="279"/>
      <c r="AQ31" s="279"/>
      <c r="AR31" s="279"/>
      <c r="AS31" s="279"/>
      <c r="AT31" s="279"/>
      <c r="AU31" s="279"/>
      <c r="AV31" s="279"/>
      <c r="AW31" s="279"/>
      <c r="AX31" s="279"/>
      <c r="AY31" s="279"/>
      <c r="AZ31" s="279"/>
    </row>
    <row r="32" spans="1:52">
      <c r="A32" t="s">
        <v>8581</v>
      </c>
      <c r="B32" s="68" t="s">
        <v>8589</v>
      </c>
      <c r="C32" s="68" t="s">
        <v>467</v>
      </c>
      <c r="D32" s="60"/>
      <c r="E32" s="60"/>
      <c r="F32" s="60"/>
      <c r="G32" s="60"/>
      <c r="H32" s="438"/>
      <c r="I32" s="438"/>
      <c r="J32" s="438">
        <v>15.2</v>
      </c>
      <c r="K32" s="438"/>
      <c r="L32" s="438"/>
      <c r="M32" s="438"/>
      <c r="N32" s="438"/>
      <c r="O32" s="438">
        <f t="shared" ref="O32:O33" si="11">SUM(D32:N32)</f>
        <v>15.2</v>
      </c>
      <c r="P32" s="279"/>
      <c r="Q32" s="279"/>
      <c r="R32" s="279"/>
      <c r="S32" s="279"/>
      <c r="T32" s="279"/>
      <c r="U32" s="279"/>
      <c r="V32" s="279"/>
      <c r="W32" s="279"/>
      <c r="X32" s="279"/>
      <c r="Y32" s="279"/>
      <c r="Z32" s="279"/>
      <c r="AA32" s="279"/>
      <c r="AB32" s="279"/>
      <c r="AC32" s="279"/>
      <c r="AD32" s="279"/>
      <c r="AE32" s="279"/>
      <c r="AF32" s="279"/>
      <c r="AG32" s="279"/>
      <c r="AH32" s="279"/>
      <c r="AI32" s="279"/>
      <c r="AJ32" s="279"/>
      <c r="AK32" s="279"/>
      <c r="AL32" s="279"/>
      <c r="AM32" s="279"/>
      <c r="AN32" s="279"/>
      <c r="AO32" s="279"/>
      <c r="AP32" s="279"/>
      <c r="AQ32" s="279"/>
      <c r="AR32" s="279"/>
      <c r="AS32" s="279"/>
      <c r="AT32" s="279"/>
      <c r="AU32" s="279"/>
      <c r="AV32" s="279"/>
      <c r="AW32" s="279"/>
      <c r="AX32" s="279"/>
      <c r="AY32" s="279"/>
      <c r="AZ32" s="279"/>
    </row>
    <row r="33" spans="1:52">
      <c r="A33" t="s">
        <v>8581</v>
      </c>
      <c r="B33" s="436"/>
      <c r="C33" s="68" t="s">
        <v>482</v>
      </c>
      <c r="D33" s="60">
        <v>27.6</v>
      </c>
      <c r="E33" s="60"/>
      <c r="F33" s="60">
        <v>0.6</v>
      </c>
      <c r="G33" s="60">
        <v>16.7</v>
      </c>
      <c r="H33" s="438">
        <v>19.600000000000001</v>
      </c>
      <c r="I33" s="438">
        <v>11.6</v>
      </c>
      <c r="J33" s="438"/>
      <c r="K33" s="438"/>
      <c r="L33" s="438"/>
      <c r="M33" s="438"/>
      <c r="N33" s="438">
        <v>8.9</v>
      </c>
      <c r="O33" s="438">
        <f t="shared" si="11"/>
        <v>85</v>
      </c>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79"/>
      <c r="AR33" s="279"/>
      <c r="AS33" s="279"/>
      <c r="AT33" s="279"/>
      <c r="AU33" s="279"/>
      <c r="AV33" s="279"/>
      <c r="AW33" s="279"/>
      <c r="AX33" s="279"/>
      <c r="AY33" s="279"/>
      <c r="AZ33" s="279"/>
    </row>
    <row r="34" spans="1:52">
      <c r="A34" t="s">
        <v>8581</v>
      </c>
      <c r="B34" s="436"/>
      <c r="C34" s="69"/>
      <c r="D34" s="69"/>
      <c r="E34" s="69"/>
      <c r="F34" s="69"/>
      <c r="G34" s="69"/>
      <c r="H34" s="69"/>
      <c r="I34" s="69"/>
      <c r="J34" s="69"/>
      <c r="K34" s="69"/>
      <c r="L34" s="69"/>
      <c r="M34" s="69"/>
      <c r="N34" s="69"/>
      <c r="O34" s="69"/>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row>
    <row r="35" spans="1:52">
      <c r="A35" t="s">
        <v>8581</v>
      </c>
      <c r="B35" s="436"/>
      <c r="C35" s="56" t="s">
        <v>448</v>
      </c>
      <c r="D35" s="60">
        <f>SUM(D32:D33)</f>
        <v>27.6</v>
      </c>
      <c r="E35" s="60"/>
      <c r="F35" s="60">
        <f t="shared" ref="F35:J35" si="12">SUM(F32:F33)</f>
        <v>0.6</v>
      </c>
      <c r="G35" s="60">
        <f t="shared" si="12"/>
        <v>16.7</v>
      </c>
      <c r="H35" s="60">
        <f t="shared" si="12"/>
        <v>19.600000000000001</v>
      </c>
      <c r="I35" s="60">
        <f t="shared" si="12"/>
        <v>11.6</v>
      </c>
      <c r="J35" s="60">
        <f t="shared" si="12"/>
        <v>15.2</v>
      </c>
      <c r="K35" s="60"/>
      <c r="L35" s="60"/>
      <c r="M35" s="60"/>
      <c r="N35" s="60">
        <f t="shared" ref="N35:O35" si="13">SUM(N32:N33)</f>
        <v>8.9</v>
      </c>
      <c r="O35" s="60">
        <f t="shared" si="13"/>
        <v>100.2</v>
      </c>
      <c r="P35" s="283"/>
      <c r="Q35" s="283"/>
      <c r="R35" s="283"/>
      <c r="S35" s="283"/>
      <c r="T35" s="283"/>
      <c r="U35" s="283"/>
      <c r="V35" s="283"/>
      <c r="W35" s="283"/>
      <c r="X35" s="283"/>
      <c r="Y35" s="283"/>
      <c r="Z35" s="283"/>
      <c r="AA35" s="283"/>
      <c r="AB35" s="283"/>
      <c r="AC35" s="283"/>
      <c r="AD35" s="283"/>
      <c r="AE35" s="283"/>
      <c r="AF35" s="283"/>
      <c r="AG35" s="283"/>
      <c r="AH35" s="283"/>
      <c r="AI35" s="283"/>
      <c r="AJ35" s="283"/>
      <c r="AK35" s="283"/>
      <c r="AL35" s="283"/>
      <c r="AM35" s="283"/>
      <c r="AN35" s="283"/>
      <c r="AO35" s="283"/>
      <c r="AP35" s="283"/>
      <c r="AQ35" s="283"/>
      <c r="AR35" s="283"/>
      <c r="AS35" s="283"/>
      <c r="AT35" s="283"/>
      <c r="AU35" s="283"/>
      <c r="AV35" s="283"/>
      <c r="AW35" s="283"/>
      <c r="AX35" s="283"/>
      <c r="AY35" s="283"/>
      <c r="AZ35" s="283"/>
    </row>
    <row r="36" spans="1:52">
      <c r="A36" t="s">
        <v>8581</v>
      </c>
      <c r="B36" s="441"/>
      <c r="C36" s="441"/>
      <c r="D36" s="442"/>
      <c r="E36" s="442"/>
      <c r="F36" s="442"/>
      <c r="G36" s="442"/>
      <c r="H36" s="443"/>
      <c r="I36" s="443"/>
      <c r="J36" s="443"/>
      <c r="K36" s="443"/>
      <c r="L36" s="443"/>
      <c r="M36" s="443"/>
      <c r="N36" s="443"/>
      <c r="O36" s="443"/>
      <c r="P36" s="283"/>
      <c r="Q36" s="283"/>
      <c r="R36" s="283"/>
      <c r="S36" s="283"/>
      <c r="T36" s="283"/>
      <c r="U36" s="283"/>
      <c r="V36" s="283"/>
      <c r="W36" s="283"/>
      <c r="X36" s="283"/>
      <c r="Y36" s="283"/>
      <c r="Z36" s="283"/>
      <c r="AA36" s="283"/>
      <c r="AB36" s="283"/>
      <c r="AC36" s="283"/>
      <c r="AD36" s="283"/>
      <c r="AE36" s="283"/>
      <c r="AF36" s="283"/>
      <c r="AG36" s="283"/>
      <c r="AH36" s="283"/>
      <c r="AI36" s="283"/>
      <c r="AJ36" s="283"/>
      <c r="AK36" s="283"/>
      <c r="AL36" s="283"/>
      <c r="AM36" s="283"/>
      <c r="AN36" s="283"/>
      <c r="AO36" s="283"/>
      <c r="AP36" s="283"/>
      <c r="AQ36" s="283"/>
      <c r="AR36" s="283"/>
      <c r="AS36" s="283"/>
      <c r="AT36" s="283"/>
      <c r="AU36" s="283"/>
      <c r="AV36" s="283"/>
      <c r="AW36" s="283"/>
      <c r="AX36" s="283"/>
      <c r="AY36" s="283"/>
      <c r="AZ36" s="283"/>
    </row>
    <row r="37" spans="1:52">
      <c r="A37" t="s">
        <v>8581</v>
      </c>
      <c r="B37" s="436" t="s">
        <v>8584</v>
      </c>
      <c r="C37" s="436" t="s">
        <v>6909</v>
      </c>
      <c r="D37" s="55" t="s">
        <v>437</v>
      </c>
      <c r="E37" s="55" t="s">
        <v>217</v>
      </c>
      <c r="F37" s="55" t="s">
        <v>313</v>
      </c>
      <c r="G37" s="55" t="s">
        <v>6911</v>
      </c>
      <c r="H37" s="70" t="s">
        <v>441</v>
      </c>
      <c r="I37" s="440" t="s">
        <v>6912</v>
      </c>
      <c r="J37" s="440" t="s">
        <v>443</v>
      </c>
      <c r="K37" s="67" t="s">
        <v>444</v>
      </c>
      <c r="L37" s="67" t="s">
        <v>445</v>
      </c>
      <c r="M37" s="440" t="s">
        <v>6915</v>
      </c>
      <c r="N37" s="440" t="s">
        <v>8580</v>
      </c>
      <c r="O37" s="56" t="s">
        <v>448</v>
      </c>
    </row>
    <row r="38" spans="1:52">
      <c r="A38" t="s">
        <v>8581</v>
      </c>
      <c r="B38" s="445" t="s">
        <v>8590</v>
      </c>
      <c r="C38" s="68" t="s">
        <v>467</v>
      </c>
      <c r="D38" s="60"/>
      <c r="E38" s="60"/>
      <c r="F38" s="60"/>
      <c r="G38" s="60"/>
      <c r="H38" s="60"/>
      <c r="I38" s="60"/>
      <c r="J38" s="60">
        <v>13.7</v>
      </c>
      <c r="K38" s="60"/>
      <c r="L38" s="60"/>
      <c r="M38" s="60"/>
      <c r="N38" s="60"/>
      <c r="O38" s="60">
        <f t="shared" ref="O38:O39" si="14">SUM(D38:N38)</f>
        <v>13.7</v>
      </c>
    </row>
    <row r="39" spans="1:52">
      <c r="A39" t="s">
        <v>8581</v>
      </c>
      <c r="B39" s="68"/>
      <c r="C39" s="68" t="s">
        <v>482</v>
      </c>
      <c r="D39" s="60">
        <v>13.1</v>
      </c>
      <c r="E39" s="60"/>
      <c r="F39" s="60">
        <v>0.7</v>
      </c>
      <c r="G39" s="60">
        <v>41.7</v>
      </c>
      <c r="H39" s="438">
        <v>23.7</v>
      </c>
      <c r="I39" s="438">
        <v>24.2</v>
      </c>
      <c r="J39" s="438"/>
      <c r="K39" s="438"/>
      <c r="L39" s="438"/>
      <c r="M39" s="438"/>
      <c r="N39" s="438">
        <v>7.6</v>
      </c>
      <c r="O39" s="60">
        <f t="shared" si="14"/>
        <v>111</v>
      </c>
    </row>
    <row r="40" spans="1:52">
      <c r="A40" t="s">
        <v>8581</v>
      </c>
      <c r="B40" s="68"/>
      <c r="C40" s="69"/>
      <c r="D40" s="69"/>
      <c r="E40" s="69"/>
      <c r="F40" s="69"/>
      <c r="G40" s="69"/>
      <c r="H40" s="69"/>
      <c r="I40" s="69"/>
      <c r="J40" s="69"/>
      <c r="K40" s="69"/>
      <c r="L40" s="69"/>
      <c r="M40" s="69"/>
      <c r="N40" s="69"/>
      <c r="O40" s="69"/>
    </row>
    <row r="41" spans="1:52">
      <c r="A41" t="s">
        <v>8581</v>
      </c>
      <c r="B41" s="68"/>
      <c r="C41" s="56" t="s">
        <v>448</v>
      </c>
      <c r="D41" s="60">
        <f>SUM(D38:D39)</f>
        <v>13.1</v>
      </c>
      <c r="E41" s="60"/>
      <c r="F41" s="60">
        <f t="shared" ref="F41:J41" si="15">SUM(F38:F39)</f>
        <v>0.7</v>
      </c>
      <c r="G41" s="60">
        <f t="shared" si="15"/>
        <v>41.7</v>
      </c>
      <c r="H41" s="60">
        <f t="shared" si="15"/>
        <v>23.7</v>
      </c>
      <c r="I41" s="60">
        <f t="shared" si="15"/>
        <v>24.2</v>
      </c>
      <c r="J41" s="60">
        <f t="shared" si="15"/>
        <v>13.7</v>
      </c>
      <c r="K41" s="60"/>
      <c r="L41" s="60"/>
      <c r="M41" s="60"/>
      <c r="N41" s="60">
        <f t="shared" ref="N41:O41" si="16">SUM(N38:N39)</f>
        <v>7.6</v>
      </c>
      <c r="O41" s="60">
        <f t="shared" si="16"/>
        <v>124.7</v>
      </c>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9"/>
      <c r="AR41" s="279"/>
      <c r="AS41" s="279"/>
      <c r="AT41" s="279"/>
      <c r="AU41" s="279"/>
      <c r="AV41" s="279"/>
      <c r="AW41" s="279"/>
      <c r="AX41" s="279"/>
      <c r="AY41" s="279"/>
      <c r="AZ41" s="279"/>
    </row>
    <row r="42" spans="1:52">
      <c r="A42" t="s">
        <v>8581</v>
      </c>
      <c r="B42" s="441"/>
      <c r="C42" s="441"/>
      <c r="D42" s="442"/>
      <c r="E42" s="442"/>
      <c r="F42" s="442"/>
      <c r="G42" s="442"/>
      <c r="H42" s="443"/>
      <c r="I42" s="443"/>
      <c r="J42" s="443"/>
      <c r="K42" s="443"/>
      <c r="L42" s="443"/>
      <c r="M42" s="443"/>
      <c r="N42" s="443"/>
      <c r="O42" s="443"/>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9"/>
      <c r="AR42" s="279"/>
      <c r="AS42" s="279"/>
      <c r="AT42" s="279"/>
      <c r="AU42" s="279"/>
      <c r="AV42" s="279"/>
      <c r="AW42" s="279"/>
      <c r="AX42" s="279"/>
      <c r="AY42" s="279"/>
      <c r="AZ42" s="279"/>
    </row>
    <row r="43" spans="1:52">
      <c r="A43" t="s">
        <v>8581</v>
      </c>
      <c r="B43" s="436" t="s">
        <v>8584</v>
      </c>
      <c r="C43" s="436" t="s">
        <v>6909</v>
      </c>
      <c r="D43" s="55" t="s">
        <v>437</v>
      </c>
      <c r="E43" s="55" t="s">
        <v>217</v>
      </c>
      <c r="F43" s="55" t="s">
        <v>313</v>
      </c>
      <c r="G43" s="55" t="s">
        <v>6911</v>
      </c>
      <c r="H43" s="70" t="s">
        <v>441</v>
      </c>
      <c r="I43" s="440" t="s">
        <v>6912</v>
      </c>
      <c r="J43" s="440" t="s">
        <v>443</v>
      </c>
      <c r="K43" s="67" t="s">
        <v>444</v>
      </c>
      <c r="L43" s="67" t="s">
        <v>445</v>
      </c>
      <c r="M43" s="440" t="s">
        <v>6915</v>
      </c>
      <c r="N43" s="440" t="s">
        <v>8580</v>
      </c>
      <c r="O43" s="56" t="s">
        <v>448</v>
      </c>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row>
    <row r="44" spans="1:52">
      <c r="A44" t="s">
        <v>8581</v>
      </c>
      <c r="B44" s="68" t="s">
        <v>8591</v>
      </c>
      <c r="C44" s="68" t="s">
        <v>467</v>
      </c>
      <c r="D44" s="60"/>
      <c r="E44" s="60"/>
      <c r="F44" s="60"/>
      <c r="G44" s="438"/>
      <c r="H44" s="438"/>
      <c r="I44" s="438"/>
      <c r="J44" s="438">
        <v>10.4</v>
      </c>
      <c r="K44" s="438"/>
      <c r="L44" s="438"/>
      <c r="M44" s="438"/>
      <c r="N44" s="438"/>
      <c r="O44" s="60">
        <f t="shared" ref="O44:O45" si="17">SUM(D44:N44)</f>
        <v>10.4</v>
      </c>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9"/>
      <c r="AR44" s="279"/>
      <c r="AS44" s="279"/>
      <c r="AT44" s="279"/>
      <c r="AU44" s="279"/>
      <c r="AV44" s="279"/>
      <c r="AW44" s="279"/>
      <c r="AX44" s="279"/>
      <c r="AY44" s="279"/>
      <c r="AZ44" s="279"/>
    </row>
    <row r="45" spans="1:52">
      <c r="A45" t="s">
        <v>8581</v>
      </c>
      <c r="B45" s="68"/>
      <c r="C45" s="68" t="s">
        <v>482</v>
      </c>
      <c r="D45" s="60">
        <v>3</v>
      </c>
      <c r="E45" s="60">
        <v>1.7</v>
      </c>
      <c r="F45" s="60">
        <v>0.3</v>
      </c>
      <c r="G45" s="438">
        <v>39.9</v>
      </c>
      <c r="H45" s="438">
        <v>20.5</v>
      </c>
      <c r="I45" s="438">
        <v>14.4</v>
      </c>
      <c r="J45" s="438"/>
      <c r="K45" s="438"/>
      <c r="L45" s="438"/>
      <c r="M45" s="438"/>
      <c r="N45" s="438">
        <v>5.2</v>
      </c>
      <c r="O45" s="60">
        <f t="shared" si="17"/>
        <v>85.000000000000014</v>
      </c>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9"/>
      <c r="AR45" s="279"/>
      <c r="AS45" s="279"/>
      <c r="AT45" s="279"/>
      <c r="AU45" s="279"/>
      <c r="AV45" s="279"/>
      <c r="AW45" s="279"/>
      <c r="AX45" s="279"/>
      <c r="AY45" s="279"/>
      <c r="AZ45" s="279"/>
    </row>
    <row r="46" spans="1:52">
      <c r="A46" t="s">
        <v>8581</v>
      </c>
      <c r="B46" s="68"/>
      <c r="C46" s="69"/>
      <c r="D46" s="69"/>
      <c r="E46" s="69"/>
      <c r="F46" s="69"/>
      <c r="G46" s="69"/>
      <c r="H46" s="69"/>
      <c r="I46" s="69"/>
      <c r="J46" s="69"/>
      <c r="K46" s="69"/>
      <c r="L46" s="69"/>
      <c r="M46" s="69"/>
      <c r="N46" s="69"/>
      <c r="O46" s="6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9"/>
      <c r="AR46" s="279"/>
      <c r="AS46" s="279"/>
      <c r="AT46" s="279"/>
      <c r="AU46" s="279"/>
      <c r="AV46" s="279"/>
      <c r="AW46" s="279"/>
      <c r="AX46" s="279"/>
      <c r="AY46" s="279"/>
      <c r="AZ46" s="279"/>
    </row>
    <row r="47" spans="1:52">
      <c r="A47" t="s">
        <v>8581</v>
      </c>
      <c r="B47" s="68"/>
      <c r="C47" s="56" t="s">
        <v>448</v>
      </c>
      <c r="D47" s="60">
        <f t="shared" ref="D47:J47" si="18">SUM(D44:D45)</f>
        <v>3</v>
      </c>
      <c r="E47" s="60">
        <f t="shared" si="18"/>
        <v>1.7</v>
      </c>
      <c r="F47" s="60">
        <f t="shared" si="18"/>
        <v>0.3</v>
      </c>
      <c r="G47" s="60">
        <f t="shared" si="18"/>
        <v>39.9</v>
      </c>
      <c r="H47" s="60">
        <f t="shared" si="18"/>
        <v>20.5</v>
      </c>
      <c r="I47" s="60">
        <f t="shared" si="18"/>
        <v>14.4</v>
      </c>
      <c r="J47" s="60">
        <f t="shared" si="18"/>
        <v>10.4</v>
      </c>
      <c r="K47" s="60"/>
      <c r="L47" s="60"/>
      <c r="M47" s="60"/>
      <c r="N47" s="60">
        <f t="shared" ref="N47:O47" si="19">SUM(N44:N45)</f>
        <v>5.2</v>
      </c>
      <c r="O47" s="60">
        <f t="shared" si="19"/>
        <v>95.40000000000002</v>
      </c>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9"/>
      <c r="AR47" s="279"/>
      <c r="AS47" s="279"/>
      <c r="AT47" s="279"/>
      <c r="AU47" s="279"/>
      <c r="AV47" s="279"/>
      <c r="AW47" s="279"/>
      <c r="AX47" s="279"/>
      <c r="AY47" s="279"/>
      <c r="AZ47" s="279"/>
    </row>
    <row r="48" spans="1:52">
      <c r="A48" t="s">
        <v>8581</v>
      </c>
      <c r="B48" s="446"/>
      <c r="C48" s="446"/>
      <c r="D48" s="447"/>
      <c r="E48" s="447"/>
      <c r="F48" s="447"/>
      <c r="G48" s="447"/>
      <c r="H48" s="447"/>
      <c r="I48" s="447"/>
      <c r="J48" s="447"/>
      <c r="K48" s="447"/>
      <c r="L48" s="447"/>
      <c r="M48" s="447"/>
      <c r="N48" s="447"/>
      <c r="O48" s="447"/>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9"/>
      <c r="AR48" s="279"/>
      <c r="AS48" s="279"/>
      <c r="AT48" s="279"/>
      <c r="AU48" s="279"/>
      <c r="AV48" s="279"/>
      <c r="AW48" s="279"/>
      <c r="AX48" s="279"/>
      <c r="AY48" s="279"/>
      <c r="AZ48" s="279"/>
    </row>
    <row r="49" spans="1:52">
      <c r="A49" t="s">
        <v>8581</v>
      </c>
      <c r="B49" s="436" t="s">
        <v>8584</v>
      </c>
      <c r="C49" s="436" t="s">
        <v>6909</v>
      </c>
      <c r="D49" s="55" t="s">
        <v>437</v>
      </c>
      <c r="E49" s="55" t="s">
        <v>217</v>
      </c>
      <c r="F49" s="55" t="s">
        <v>313</v>
      </c>
      <c r="G49" s="55" t="s">
        <v>6911</v>
      </c>
      <c r="H49" s="70" t="s">
        <v>441</v>
      </c>
      <c r="I49" s="440" t="s">
        <v>6912</v>
      </c>
      <c r="J49" s="440" t="s">
        <v>443</v>
      </c>
      <c r="K49" s="67" t="s">
        <v>444</v>
      </c>
      <c r="L49" s="67" t="s">
        <v>445</v>
      </c>
      <c r="M49" s="440" t="s">
        <v>6915</v>
      </c>
      <c r="N49" s="440" t="s">
        <v>8580</v>
      </c>
      <c r="O49" s="56" t="s">
        <v>448</v>
      </c>
      <c r="P49" s="281"/>
      <c r="Q49" s="281"/>
      <c r="R49" s="281"/>
      <c r="S49" s="281"/>
      <c r="T49" s="281"/>
      <c r="U49" s="281"/>
      <c r="V49" s="281"/>
      <c r="W49" s="281"/>
      <c r="X49" s="281"/>
      <c r="Y49" s="281"/>
      <c r="Z49" s="281"/>
      <c r="AA49" s="281"/>
      <c r="AB49" s="281"/>
      <c r="AC49" s="281"/>
      <c r="AD49" s="281"/>
      <c r="AE49" s="281"/>
      <c r="AF49" s="281"/>
      <c r="AG49" s="281"/>
      <c r="AH49" s="281"/>
      <c r="AI49" s="281"/>
      <c r="AJ49" s="281"/>
      <c r="AK49" s="281"/>
      <c r="AL49" s="281"/>
      <c r="AM49" s="281"/>
      <c r="AN49" s="281"/>
      <c r="AO49" s="281"/>
      <c r="AP49" s="281"/>
      <c r="AQ49" s="281"/>
      <c r="AR49" s="281"/>
      <c r="AS49" s="281"/>
      <c r="AT49" s="281"/>
      <c r="AU49" s="281"/>
      <c r="AV49" s="281"/>
      <c r="AW49" s="281"/>
      <c r="AX49" s="281"/>
      <c r="AY49" s="281"/>
      <c r="AZ49" s="281"/>
    </row>
    <row r="50" spans="1:52">
      <c r="A50" t="s">
        <v>8581</v>
      </c>
      <c r="B50" s="68" t="s">
        <v>8592</v>
      </c>
      <c r="C50" s="68" t="s">
        <v>467</v>
      </c>
      <c r="D50" s="60"/>
      <c r="E50" s="60"/>
      <c r="F50" s="60"/>
      <c r="G50" s="438"/>
      <c r="H50" s="60"/>
      <c r="I50" s="60"/>
      <c r="J50" s="438">
        <v>19</v>
      </c>
      <c r="K50" s="60"/>
      <c r="L50" s="60"/>
      <c r="M50" s="60"/>
      <c r="N50" s="60"/>
      <c r="O50" s="60">
        <f t="shared" ref="O50:O51" si="20">SUM(D50:N50)</f>
        <v>19</v>
      </c>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9"/>
      <c r="AR50" s="279"/>
      <c r="AS50" s="279"/>
      <c r="AT50" s="279"/>
      <c r="AU50" s="279"/>
      <c r="AV50" s="279"/>
      <c r="AW50" s="279"/>
      <c r="AX50" s="279"/>
      <c r="AY50" s="279"/>
      <c r="AZ50" s="279"/>
    </row>
    <row r="51" spans="1:52">
      <c r="A51" t="s">
        <v>8581</v>
      </c>
      <c r="B51" s="68"/>
      <c r="C51" s="68" t="s">
        <v>482</v>
      </c>
      <c r="D51" s="60"/>
      <c r="E51" s="60"/>
      <c r="F51" s="60">
        <v>3</v>
      </c>
      <c r="G51" s="438">
        <v>55.6</v>
      </c>
      <c r="H51" s="438">
        <v>21</v>
      </c>
      <c r="I51" s="438">
        <v>22.1</v>
      </c>
      <c r="J51" s="60"/>
      <c r="K51" s="60"/>
      <c r="L51" s="60"/>
      <c r="M51" s="60"/>
      <c r="N51" s="438">
        <v>6.1</v>
      </c>
      <c r="O51" s="60">
        <f t="shared" si="20"/>
        <v>107.79999999999998</v>
      </c>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9"/>
      <c r="AR51" s="279"/>
      <c r="AS51" s="279"/>
      <c r="AT51" s="279"/>
      <c r="AU51" s="279"/>
      <c r="AV51" s="279"/>
      <c r="AW51" s="279"/>
      <c r="AX51" s="279"/>
      <c r="AY51" s="279"/>
      <c r="AZ51" s="279"/>
    </row>
    <row r="52" spans="1:52">
      <c r="A52" t="s">
        <v>8581</v>
      </c>
      <c r="B52" s="68"/>
      <c r="C52" s="69"/>
      <c r="D52" s="69"/>
      <c r="E52" s="69"/>
      <c r="F52" s="69"/>
      <c r="G52" s="69"/>
      <c r="H52" s="69"/>
      <c r="I52" s="69"/>
      <c r="J52" s="69"/>
      <c r="K52" s="69"/>
      <c r="L52" s="69"/>
      <c r="M52" s="69"/>
      <c r="N52" s="69"/>
      <c r="O52" s="69"/>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83"/>
      <c r="AR52" s="283"/>
      <c r="AS52" s="283"/>
      <c r="AT52" s="283"/>
      <c r="AU52" s="283"/>
      <c r="AV52" s="283"/>
      <c r="AW52" s="283"/>
      <c r="AX52" s="283"/>
      <c r="AY52" s="283"/>
      <c r="AZ52" s="283"/>
    </row>
    <row r="53" spans="1:52">
      <c r="A53" t="s">
        <v>8581</v>
      </c>
      <c r="B53" s="68"/>
      <c r="C53" s="56" t="s">
        <v>448</v>
      </c>
      <c r="D53" s="60"/>
      <c r="E53" s="60"/>
      <c r="F53" s="60">
        <f t="shared" ref="F53:J53" si="21">SUM(F50:F51)</f>
        <v>3</v>
      </c>
      <c r="G53" s="60">
        <f t="shared" si="21"/>
        <v>55.6</v>
      </c>
      <c r="H53" s="60">
        <f t="shared" si="21"/>
        <v>21</v>
      </c>
      <c r="I53" s="60">
        <f t="shared" si="21"/>
        <v>22.1</v>
      </c>
      <c r="J53" s="60">
        <f t="shared" si="21"/>
        <v>19</v>
      </c>
      <c r="K53" s="60"/>
      <c r="L53" s="60"/>
      <c r="M53" s="60"/>
      <c r="N53" s="60">
        <f t="shared" ref="N53:O53" si="22">SUM(N50:N51)</f>
        <v>6.1</v>
      </c>
      <c r="O53" s="60">
        <f t="shared" si="22"/>
        <v>126.79999999999998</v>
      </c>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83"/>
      <c r="AR53" s="283"/>
      <c r="AS53" s="283"/>
      <c r="AT53" s="283"/>
      <c r="AU53" s="283"/>
      <c r="AV53" s="283"/>
      <c r="AW53" s="283"/>
      <c r="AX53" s="283"/>
      <c r="AY53" s="283"/>
      <c r="AZ53" s="283"/>
    </row>
    <row r="54" spans="1:52">
      <c r="A54" t="s">
        <v>8581</v>
      </c>
      <c r="B54" s="436" t="s">
        <v>8579</v>
      </c>
      <c r="C54" s="436" t="s">
        <v>436</v>
      </c>
      <c r="D54" s="436" t="s">
        <v>437</v>
      </c>
      <c r="E54" s="436" t="s">
        <v>438</v>
      </c>
      <c r="F54" s="436" t="s">
        <v>439</v>
      </c>
      <c r="G54" s="436" t="s">
        <v>440</v>
      </c>
      <c r="H54" s="70" t="s">
        <v>441</v>
      </c>
      <c r="I54" s="436" t="s">
        <v>442</v>
      </c>
      <c r="J54" s="436" t="s">
        <v>443</v>
      </c>
      <c r="K54" s="67" t="s">
        <v>444</v>
      </c>
      <c r="L54" s="67" t="s">
        <v>445</v>
      </c>
      <c r="M54" s="436" t="s">
        <v>446</v>
      </c>
      <c r="N54" s="436" t="s">
        <v>8580</v>
      </c>
      <c r="O54" s="56" t="s">
        <v>448</v>
      </c>
      <c r="P54" s="283"/>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83"/>
      <c r="AR54" s="283"/>
      <c r="AS54" s="283"/>
      <c r="AT54" s="283"/>
      <c r="AU54" s="283"/>
      <c r="AV54" s="283"/>
      <c r="AW54" s="283"/>
      <c r="AX54" s="283"/>
      <c r="AY54" s="283"/>
      <c r="AZ54" s="283"/>
    </row>
    <row r="55" spans="1:52">
      <c r="A55" t="s">
        <v>8593</v>
      </c>
      <c r="B55" s="68" t="s">
        <v>8594</v>
      </c>
      <c r="C55" s="68" t="s">
        <v>8595</v>
      </c>
      <c r="D55" s="60">
        <v>26.5</v>
      </c>
      <c r="E55" s="60"/>
      <c r="F55" s="60">
        <v>1976.5</v>
      </c>
      <c r="G55" s="60">
        <v>315.39999999999998</v>
      </c>
      <c r="H55" s="60"/>
      <c r="I55" s="60"/>
      <c r="J55" s="60"/>
      <c r="K55" s="60"/>
      <c r="L55" s="60"/>
      <c r="M55" s="60"/>
      <c r="N55" s="60"/>
      <c r="O55" s="60">
        <f t="shared" ref="O55:O57" si="23">SUM(D55:N55)</f>
        <v>2318.4</v>
      </c>
    </row>
    <row r="56" spans="1:52">
      <c r="A56" t="s">
        <v>8593</v>
      </c>
      <c r="B56" s="68"/>
      <c r="C56" s="68" t="s">
        <v>8596</v>
      </c>
      <c r="D56" s="60"/>
      <c r="E56" s="60">
        <v>133</v>
      </c>
      <c r="F56" s="60">
        <v>625.5</v>
      </c>
      <c r="G56" s="60">
        <v>178.7</v>
      </c>
      <c r="H56" s="60"/>
      <c r="I56" s="60">
        <v>84.8</v>
      </c>
      <c r="J56" s="60"/>
      <c r="K56" s="60"/>
      <c r="L56" s="60"/>
      <c r="M56" s="60"/>
      <c r="N56" s="60">
        <v>55.2</v>
      </c>
      <c r="O56" s="60">
        <f t="shared" si="23"/>
        <v>1077.2</v>
      </c>
    </row>
    <row r="57" spans="1:52">
      <c r="A57" t="s">
        <v>8593</v>
      </c>
      <c r="B57" s="68"/>
      <c r="C57" s="68" t="s">
        <v>8597</v>
      </c>
      <c r="D57" s="60"/>
      <c r="E57" s="60">
        <v>28.6</v>
      </c>
      <c r="F57" s="60">
        <v>4.9000000000000004</v>
      </c>
      <c r="G57" s="60">
        <v>55.6</v>
      </c>
      <c r="H57" s="60"/>
      <c r="I57" s="60">
        <v>952.6</v>
      </c>
      <c r="J57" s="60"/>
      <c r="K57" s="60"/>
      <c r="L57" s="60">
        <v>22.2</v>
      </c>
      <c r="M57" s="60"/>
      <c r="N57" s="60"/>
      <c r="O57" s="60">
        <f t="shared" si="23"/>
        <v>1063.9000000000001</v>
      </c>
    </row>
    <row r="58" spans="1:52">
      <c r="A58" t="s">
        <v>8593</v>
      </c>
      <c r="B58" s="68"/>
      <c r="C58" s="448"/>
      <c r="D58" s="60"/>
      <c r="E58" s="60"/>
      <c r="F58" s="60"/>
      <c r="G58" s="60"/>
      <c r="H58" s="60"/>
      <c r="I58" s="60"/>
      <c r="J58" s="60"/>
      <c r="K58" s="60"/>
      <c r="L58" s="60"/>
      <c r="M58" s="60"/>
      <c r="N58" s="60"/>
      <c r="O58" s="60"/>
    </row>
    <row r="59" spans="1:52">
      <c r="A59" t="s">
        <v>8593</v>
      </c>
      <c r="B59" s="68"/>
      <c r="C59" s="56" t="s">
        <v>448</v>
      </c>
      <c r="D59" s="60">
        <f>SUM(D55:D57)</f>
        <v>26.5</v>
      </c>
      <c r="E59" s="60">
        <f>SUM(E55:E57)</f>
        <v>161.6</v>
      </c>
      <c r="F59" s="60">
        <f>SUM(F55:F57)</f>
        <v>2606.9</v>
      </c>
      <c r="G59" s="60">
        <f>SUM(G55:G57)</f>
        <v>549.69999999999993</v>
      </c>
      <c r="H59" s="60"/>
      <c r="I59" s="60">
        <f>SUM(I55:I57)</f>
        <v>1037.4000000000001</v>
      </c>
      <c r="J59" s="60"/>
      <c r="K59" s="60"/>
      <c r="L59" s="60">
        <f t="shared" ref="L59" si="24">SUM(L55:L57)</f>
        <v>22.2</v>
      </c>
      <c r="M59" s="60"/>
      <c r="N59" s="60">
        <f>SUM(N55:N57)</f>
        <v>55.2</v>
      </c>
      <c r="O59" s="60">
        <f>SUM(D59:N59)</f>
        <v>4459.5</v>
      </c>
    </row>
    <row r="60" spans="1:52">
      <c r="A60" t="s">
        <v>8593</v>
      </c>
      <c r="B60" s="441"/>
      <c r="C60" s="441"/>
      <c r="D60" s="442"/>
      <c r="E60" s="442"/>
      <c r="F60" s="442"/>
      <c r="G60" s="442"/>
      <c r="H60" s="442"/>
      <c r="I60" s="442"/>
      <c r="J60" s="442"/>
      <c r="K60" s="442"/>
      <c r="L60" s="442"/>
      <c r="M60" s="442"/>
      <c r="N60" s="442"/>
      <c r="O60" s="442"/>
    </row>
    <row r="61" spans="1:52">
      <c r="A61" t="s">
        <v>8593</v>
      </c>
      <c r="B61" s="436" t="s">
        <v>8579</v>
      </c>
      <c r="C61" s="436" t="s">
        <v>436</v>
      </c>
      <c r="D61" s="55" t="s">
        <v>437</v>
      </c>
      <c r="E61" s="55" t="s">
        <v>438</v>
      </c>
      <c r="F61" s="55" t="s">
        <v>439</v>
      </c>
      <c r="G61" s="55" t="s">
        <v>440</v>
      </c>
      <c r="H61" s="70" t="s">
        <v>441</v>
      </c>
      <c r="I61" s="55" t="s">
        <v>442</v>
      </c>
      <c r="J61" s="55" t="s">
        <v>443</v>
      </c>
      <c r="K61" s="67" t="s">
        <v>444</v>
      </c>
      <c r="L61" s="67" t="s">
        <v>445</v>
      </c>
      <c r="M61" s="55" t="s">
        <v>446</v>
      </c>
      <c r="N61" s="55" t="s">
        <v>447</v>
      </c>
      <c r="O61" s="55" t="s">
        <v>448</v>
      </c>
    </row>
    <row r="62" spans="1:52">
      <c r="A62" t="s">
        <v>8593</v>
      </c>
      <c r="B62" s="68" t="s">
        <v>8598</v>
      </c>
      <c r="C62" s="68" t="s">
        <v>8595</v>
      </c>
      <c r="D62" s="60"/>
      <c r="E62" s="60"/>
      <c r="F62" s="60">
        <v>1890</v>
      </c>
      <c r="G62" s="60">
        <v>276.39999999999998</v>
      </c>
      <c r="H62" s="60"/>
      <c r="I62" s="60"/>
      <c r="J62" s="60"/>
      <c r="K62" s="60"/>
      <c r="L62" s="60"/>
      <c r="M62" s="60"/>
      <c r="N62" s="60"/>
      <c r="O62" s="60">
        <f t="shared" ref="O62:O64" si="25">SUM(D62:N62)</f>
        <v>2166.4</v>
      </c>
    </row>
    <row r="63" spans="1:52">
      <c r="A63" t="s">
        <v>8593</v>
      </c>
      <c r="B63" s="68"/>
      <c r="C63" s="68" t="s">
        <v>8596</v>
      </c>
      <c r="D63" s="60"/>
      <c r="E63" s="60">
        <v>18.3</v>
      </c>
      <c r="F63" s="60">
        <v>654.29999999999995</v>
      </c>
      <c r="G63" s="60">
        <v>178.4</v>
      </c>
      <c r="H63" s="60"/>
      <c r="I63" s="60">
        <v>78.2</v>
      </c>
      <c r="J63" s="60"/>
      <c r="K63" s="60"/>
      <c r="L63" s="60"/>
      <c r="M63" s="60"/>
      <c r="N63" s="60">
        <v>58.5</v>
      </c>
      <c r="O63" s="60">
        <f t="shared" si="25"/>
        <v>987.69999999999993</v>
      </c>
    </row>
    <row r="64" spans="1:52">
      <c r="A64" t="s">
        <v>8593</v>
      </c>
      <c r="B64" s="68"/>
      <c r="C64" s="68" t="s">
        <v>8597</v>
      </c>
      <c r="D64" s="60"/>
      <c r="E64" s="60">
        <v>101.7</v>
      </c>
      <c r="F64" s="60">
        <v>148.1</v>
      </c>
      <c r="G64" s="60">
        <v>46.8</v>
      </c>
      <c r="H64" s="60"/>
      <c r="I64" s="60">
        <v>532</v>
      </c>
      <c r="J64" s="60"/>
      <c r="K64" s="60"/>
      <c r="L64" s="60">
        <v>25</v>
      </c>
      <c r="M64" s="60"/>
      <c r="N64" s="60"/>
      <c r="O64" s="60">
        <f t="shared" si="25"/>
        <v>853.6</v>
      </c>
    </row>
    <row r="65" spans="1:15">
      <c r="A65" t="s">
        <v>8593</v>
      </c>
      <c r="B65" s="64"/>
      <c r="C65" s="56"/>
      <c r="D65" s="60"/>
      <c r="E65" s="60"/>
      <c r="F65" s="60"/>
      <c r="G65" s="60"/>
      <c r="H65" s="60"/>
      <c r="I65" s="60"/>
      <c r="J65" s="60"/>
      <c r="K65" s="60"/>
      <c r="L65" s="60"/>
      <c r="M65" s="60"/>
      <c r="N65" s="60"/>
      <c r="O65" s="60"/>
    </row>
    <row r="66" spans="1:15">
      <c r="A66" t="s">
        <v>8593</v>
      </c>
      <c r="B66" s="64"/>
      <c r="C66" s="56" t="s">
        <v>448</v>
      </c>
      <c r="D66" s="60"/>
      <c r="E66" s="60">
        <f>SUM(E62:E64)</f>
        <v>120</v>
      </c>
      <c r="F66" s="60">
        <f>SUM(F62:F64)</f>
        <v>2692.4</v>
      </c>
      <c r="G66" s="60">
        <f>SUM(G62:G64)</f>
        <v>501.59999999999997</v>
      </c>
      <c r="H66" s="60"/>
      <c r="I66" s="60">
        <f>SUM(I62:I64)</f>
        <v>610.20000000000005</v>
      </c>
      <c r="J66" s="60"/>
      <c r="K66" s="60"/>
      <c r="L66" s="60">
        <f t="shared" ref="L66" si="26">SUM(L62:L64)</f>
        <v>25</v>
      </c>
      <c r="M66" s="60"/>
      <c r="N66" s="60">
        <f>SUM(N62:N64)</f>
        <v>58.5</v>
      </c>
      <c r="O66" s="60">
        <f>SUM(D66:N66)</f>
        <v>4007.7</v>
      </c>
    </row>
    <row r="67" spans="1:15">
      <c r="A67" t="s">
        <v>8593</v>
      </c>
      <c r="B67" s="449"/>
      <c r="C67" s="449"/>
      <c r="D67" s="447"/>
      <c r="E67" s="447"/>
      <c r="F67" s="447"/>
      <c r="G67" s="447"/>
      <c r="H67" s="447"/>
      <c r="I67" s="447"/>
      <c r="J67" s="447"/>
      <c r="K67" s="447"/>
      <c r="L67" s="447"/>
      <c r="M67" s="447"/>
      <c r="N67" s="447"/>
      <c r="O67" s="447"/>
    </row>
    <row r="68" spans="1:15">
      <c r="A68" t="s">
        <v>8593</v>
      </c>
      <c r="B68" s="436" t="s">
        <v>8579</v>
      </c>
      <c r="C68" s="436" t="s">
        <v>436</v>
      </c>
      <c r="D68" s="55" t="s">
        <v>437</v>
      </c>
      <c r="E68" s="55" t="s">
        <v>438</v>
      </c>
      <c r="F68" s="55" t="s">
        <v>439</v>
      </c>
      <c r="G68" s="55" t="s">
        <v>440</v>
      </c>
      <c r="H68" s="70" t="s">
        <v>441</v>
      </c>
      <c r="I68" s="55" t="s">
        <v>442</v>
      </c>
      <c r="J68" s="55" t="s">
        <v>443</v>
      </c>
      <c r="K68" s="67" t="s">
        <v>444</v>
      </c>
      <c r="L68" s="67" t="s">
        <v>445</v>
      </c>
      <c r="M68" s="55" t="s">
        <v>446</v>
      </c>
      <c r="N68" s="55" t="s">
        <v>447</v>
      </c>
      <c r="O68" s="55" t="s">
        <v>448</v>
      </c>
    </row>
    <row r="69" spans="1:15">
      <c r="A69" t="s">
        <v>8593</v>
      </c>
      <c r="B69" s="68" t="s">
        <v>8599</v>
      </c>
      <c r="C69" s="68" t="s">
        <v>8595</v>
      </c>
      <c r="D69" s="60"/>
      <c r="E69" s="60"/>
      <c r="F69" s="60">
        <f>235+220</f>
        <v>455</v>
      </c>
      <c r="G69" s="60">
        <v>80</v>
      </c>
      <c r="H69" s="60"/>
      <c r="I69" s="60"/>
      <c r="J69" s="60"/>
      <c r="K69" s="60"/>
      <c r="L69" s="60"/>
      <c r="M69" s="60"/>
      <c r="N69" s="60"/>
      <c r="O69" s="60">
        <f t="shared" ref="O69:O71" si="27">SUM(D69:N69)</f>
        <v>535</v>
      </c>
    </row>
    <row r="70" spans="1:15">
      <c r="A70" t="s">
        <v>8593</v>
      </c>
      <c r="B70" s="68"/>
      <c r="C70" s="68" t="s">
        <v>8596</v>
      </c>
      <c r="D70" s="60"/>
      <c r="E70" s="60">
        <f>2.48+2.32</f>
        <v>4.8</v>
      </c>
      <c r="F70" s="60">
        <f>18.22+19.6+0.2+8.1+4+17.07</f>
        <v>67.19</v>
      </c>
      <c r="G70" s="60">
        <f>135+2.6</f>
        <v>137.6</v>
      </c>
      <c r="H70" s="60"/>
      <c r="I70" s="60">
        <f>0.8</f>
        <v>0.8</v>
      </c>
      <c r="J70" s="60"/>
      <c r="K70" s="60"/>
      <c r="L70" s="60"/>
      <c r="M70" s="60"/>
      <c r="N70" s="60">
        <f>0.1+2.1+0.7</f>
        <v>2.9000000000000004</v>
      </c>
      <c r="O70" s="60">
        <f t="shared" si="27"/>
        <v>213.29</v>
      </c>
    </row>
    <row r="71" spans="1:15">
      <c r="A71" t="s">
        <v>8593</v>
      </c>
      <c r="B71" s="68"/>
      <c r="C71" s="68" t="s">
        <v>8597</v>
      </c>
      <c r="D71" s="60"/>
      <c r="E71" s="60">
        <f>0.45+2.75+30</f>
        <v>33.200000000000003</v>
      </c>
      <c r="F71" s="60">
        <f>6.1</f>
        <v>6.1</v>
      </c>
      <c r="G71" s="60">
        <f>2.3+0.45+2.75+50</f>
        <v>55.5</v>
      </c>
      <c r="H71" s="60"/>
      <c r="I71" s="60">
        <f>75+65</f>
        <v>140</v>
      </c>
      <c r="J71" s="60"/>
      <c r="K71" s="60"/>
      <c r="L71" s="60"/>
      <c r="M71" s="60"/>
      <c r="N71" s="60"/>
      <c r="O71" s="60">
        <f t="shared" si="27"/>
        <v>234.8</v>
      </c>
    </row>
    <row r="72" spans="1:15">
      <c r="A72" t="s">
        <v>8593</v>
      </c>
      <c r="B72" s="64"/>
      <c r="C72" s="56"/>
      <c r="D72" s="60"/>
      <c r="E72" s="60"/>
      <c r="F72" s="60"/>
      <c r="G72" s="60"/>
      <c r="H72" s="60"/>
      <c r="I72" s="60"/>
      <c r="J72" s="60"/>
      <c r="K72" s="60"/>
      <c r="L72" s="60"/>
      <c r="M72" s="60"/>
      <c r="N72" s="60"/>
      <c r="O72" s="60"/>
    </row>
    <row r="73" spans="1:15">
      <c r="A73" t="s">
        <v>8593</v>
      </c>
      <c r="B73" s="64"/>
      <c r="C73" s="56" t="s">
        <v>448</v>
      </c>
      <c r="D73" s="60"/>
      <c r="E73" s="60">
        <f>SUM(E69:E71)</f>
        <v>38</v>
      </c>
      <c r="F73" s="60">
        <f>SUM(F69:F71)</f>
        <v>528.29000000000008</v>
      </c>
      <c r="G73" s="60">
        <f>SUM(G69:G71)</f>
        <v>273.10000000000002</v>
      </c>
      <c r="H73" s="60"/>
      <c r="I73" s="60">
        <f>SUM(I69:I71)</f>
        <v>140.80000000000001</v>
      </c>
      <c r="J73" s="60"/>
      <c r="K73" s="60"/>
      <c r="L73" s="60"/>
      <c r="M73" s="60"/>
      <c r="N73" s="60">
        <f>SUM(N69:N71)</f>
        <v>2.9000000000000004</v>
      </c>
      <c r="O73" s="60">
        <f>SUM(D73:N73)</f>
        <v>983.09</v>
      </c>
    </row>
    <row r="74" spans="1:15">
      <c r="A74" t="s">
        <v>8593</v>
      </c>
      <c r="B74" s="67" t="s">
        <v>8579</v>
      </c>
      <c r="C74" s="67" t="s">
        <v>436</v>
      </c>
      <c r="D74" s="67" t="s">
        <v>437</v>
      </c>
      <c r="E74" s="67" t="s">
        <v>438</v>
      </c>
      <c r="F74" s="67" t="s">
        <v>439</v>
      </c>
      <c r="G74" s="67" t="s">
        <v>440</v>
      </c>
      <c r="H74" s="70" t="s">
        <v>441</v>
      </c>
      <c r="I74" s="67" t="s">
        <v>442</v>
      </c>
      <c r="J74" s="67" t="s">
        <v>443</v>
      </c>
      <c r="K74" s="67" t="s">
        <v>444</v>
      </c>
      <c r="L74" s="67" t="s">
        <v>445</v>
      </c>
      <c r="M74" s="67" t="s">
        <v>446</v>
      </c>
      <c r="N74" s="67" t="s">
        <v>447</v>
      </c>
      <c r="O74" s="67" t="s">
        <v>448</v>
      </c>
    </row>
    <row r="75" spans="1:15">
      <c r="A75" t="s">
        <v>8600</v>
      </c>
      <c r="B75" s="450" t="s">
        <v>8601</v>
      </c>
      <c r="C75" s="450" t="s">
        <v>8602</v>
      </c>
      <c r="D75" s="60"/>
      <c r="E75" s="60"/>
      <c r="F75" s="60"/>
      <c r="G75" s="60">
        <v>2480</v>
      </c>
      <c r="H75" s="60"/>
      <c r="I75" s="60"/>
      <c r="J75" s="60"/>
      <c r="K75" s="60"/>
      <c r="L75" s="60"/>
      <c r="M75" s="60"/>
      <c r="N75" s="60"/>
      <c r="O75" s="60">
        <f t="shared" ref="O75:O85" si="28">SUM(D75:N75)</f>
        <v>2480</v>
      </c>
    </row>
    <row r="76" spans="1:15">
      <c r="A76" t="s">
        <v>8600</v>
      </c>
      <c r="B76" s="450"/>
      <c r="C76" s="450" t="s">
        <v>453</v>
      </c>
      <c r="D76" s="60"/>
      <c r="E76" s="60"/>
      <c r="F76" s="60"/>
      <c r="G76" s="60"/>
      <c r="H76" s="60"/>
      <c r="I76" s="60"/>
      <c r="J76" s="60"/>
      <c r="K76" s="60">
        <v>7749</v>
      </c>
      <c r="L76" s="60"/>
      <c r="M76" s="60"/>
      <c r="N76" s="60"/>
      <c r="O76" s="60">
        <f t="shared" si="28"/>
        <v>7749</v>
      </c>
    </row>
    <row r="77" spans="1:15">
      <c r="A77" t="s">
        <v>8600</v>
      </c>
      <c r="B77" s="450"/>
      <c r="C77" s="450" t="s">
        <v>8603</v>
      </c>
      <c r="D77" s="60">
        <v>61.128</v>
      </c>
      <c r="E77" s="60">
        <v>61.128</v>
      </c>
      <c r="F77" s="60"/>
      <c r="G77" s="60"/>
      <c r="H77" s="60"/>
      <c r="I77" s="60"/>
      <c r="J77" s="60"/>
      <c r="K77" s="60"/>
      <c r="L77" s="60"/>
      <c r="M77" s="60"/>
      <c r="N77" s="60">
        <v>30.564</v>
      </c>
      <c r="O77" s="60">
        <f t="shared" si="28"/>
        <v>152.82</v>
      </c>
    </row>
    <row r="78" spans="1:15">
      <c r="A78" t="s">
        <v>8600</v>
      </c>
      <c r="B78" s="450"/>
      <c r="C78" s="450" t="s">
        <v>8604</v>
      </c>
      <c r="D78" s="60"/>
      <c r="E78" s="60"/>
      <c r="F78" s="60">
        <v>439</v>
      </c>
      <c r="G78" s="60"/>
      <c r="H78" s="60"/>
      <c r="I78" s="60"/>
      <c r="J78" s="60"/>
      <c r="K78" s="60"/>
      <c r="L78" s="60"/>
      <c r="M78" s="60"/>
      <c r="N78" s="60"/>
      <c r="O78" s="60">
        <f t="shared" si="28"/>
        <v>439</v>
      </c>
    </row>
    <row r="79" spans="1:15">
      <c r="A79" t="s">
        <v>8600</v>
      </c>
      <c r="B79" s="450"/>
      <c r="C79" s="450" t="s">
        <v>456</v>
      </c>
      <c r="D79" s="60">
        <v>280.95999999999998</v>
      </c>
      <c r="E79" s="60"/>
      <c r="F79" s="60"/>
      <c r="G79" s="60"/>
      <c r="H79" s="60"/>
      <c r="I79" s="60"/>
      <c r="J79" s="60"/>
      <c r="K79" s="60"/>
      <c r="L79" s="60"/>
      <c r="M79" s="60"/>
      <c r="N79" s="60"/>
      <c r="O79" s="60">
        <f t="shared" si="28"/>
        <v>280.95999999999998</v>
      </c>
    </row>
    <row r="80" spans="1:15">
      <c r="A80" t="s">
        <v>8600</v>
      </c>
      <c r="B80" s="450"/>
      <c r="C80" s="450" t="s">
        <v>8605</v>
      </c>
      <c r="D80" s="60"/>
      <c r="E80" s="60"/>
      <c r="F80" s="60"/>
      <c r="G80" s="60"/>
      <c r="H80" s="60"/>
      <c r="I80" s="60">
        <v>13.86</v>
      </c>
      <c r="J80" s="60"/>
      <c r="K80" s="60"/>
      <c r="L80" s="60"/>
      <c r="M80" s="60"/>
      <c r="N80" s="60"/>
      <c r="O80" s="60">
        <f t="shared" si="28"/>
        <v>13.86</v>
      </c>
    </row>
    <row r="81" spans="1:15">
      <c r="A81" t="s">
        <v>8600</v>
      </c>
      <c r="B81" s="450"/>
      <c r="C81" s="450" t="s">
        <v>8606</v>
      </c>
      <c r="D81" s="60"/>
      <c r="E81" s="60">
        <v>37.524000000000001</v>
      </c>
      <c r="F81" s="60">
        <v>37.524000000000001</v>
      </c>
      <c r="G81" s="60">
        <v>18.762</v>
      </c>
      <c r="H81" s="60"/>
      <c r="I81" s="60"/>
      <c r="J81" s="60"/>
      <c r="K81" s="60"/>
      <c r="L81" s="60"/>
      <c r="M81" s="60"/>
      <c r="N81" s="60"/>
      <c r="O81" s="60">
        <f t="shared" si="28"/>
        <v>93.81</v>
      </c>
    </row>
    <row r="82" spans="1:15">
      <c r="A82" t="s">
        <v>8600</v>
      </c>
      <c r="B82" s="69"/>
      <c r="C82" s="450" t="s">
        <v>8607</v>
      </c>
      <c r="D82" s="60"/>
      <c r="E82" s="60">
        <v>217.8</v>
      </c>
      <c r="F82" s="60"/>
      <c r="G82" s="60">
        <v>72.599999999999994</v>
      </c>
      <c r="H82" s="60"/>
      <c r="I82" s="60"/>
      <c r="J82" s="60"/>
      <c r="K82" s="60"/>
      <c r="L82" s="60"/>
      <c r="M82" s="60"/>
      <c r="N82" s="60"/>
      <c r="O82" s="60">
        <f t="shared" si="28"/>
        <v>290.39999999999998</v>
      </c>
    </row>
    <row r="83" spans="1:15">
      <c r="A83" t="s">
        <v>8600</v>
      </c>
      <c r="B83" s="450"/>
      <c r="C83" s="450" t="s">
        <v>458</v>
      </c>
      <c r="D83" s="60"/>
      <c r="E83" s="60"/>
      <c r="F83" s="60">
        <v>105.21</v>
      </c>
      <c r="G83" s="60"/>
      <c r="H83" s="60"/>
      <c r="I83" s="60">
        <f>107.15+538.32</f>
        <v>645.47</v>
      </c>
      <c r="J83" s="60"/>
      <c r="K83" s="60"/>
      <c r="L83" s="60"/>
      <c r="M83" s="60"/>
      <c r="N83" s="60"/>
      <c r="O83" s="60">
        <f t="shared" si="28"/>
        <v>750.68000000000006</v>
      </c>
    </row>
    <row r="84" spans="1:15">
      <c r="A84" t="s">
        <v>8600</v>
      </c>
      <c r="B84" s="450"/>
      <c r="C84" s="450" t="s">
        <v>8608</v>
      </c>
      <c r="D84" s="60"/>
      <c r="E84" s="60"/>
      <c r="F84" s="60"/>
      <c r="G84" s="60">
        <v>338.37</v>
      </c>
      <c r="H84" s="60"/>
      <c r="I84" s="60"/>
      <c r="J84" s="60"/>
      <c r="K84" s="60"/>
      <c r="L84" s="60"/>
      <c r="M84" s="60"/>
      <c r="N84" s="60"/>
      <c r="O84" s="60">
        <f t="shared" si="28"/>
        <v>338.37</v>
      </c>
    </row>
    <row r="85" spans="1:15">
      <c r="A85" t="s">
        <v>8600</v>
      </c>
      <c r="B85" s="450"/>
      <c r="C85" s="450" t="s">
        <v>8609</v>
      </c>
      <c r="D85" s="60"/>
      <c r="E85" s="60">
        <v>254.69499999999999</v>
      </c>
      <c r="F85" s="60">
        <v>254.69499999999999</v>
      </c>
      <c r="G85" s="60"/>
      <c r="H85" s="60"/>
      <c r="I85" s="60"/>
      <c r="J85" s="60"/>
      <c r="K85" s="60"/>
      <c r="L85" s="60"/>
      <c r="M85" s="60"/>
      <c r="N85" s="60"/>
      <c r="O85" s="60">
        <f t="shared" si="28"/>
        <v>509.39</v>
      </c>
    </row>
    <row r="86" spans="1:15">
      <c r="A86" t="s">
        <v>8600</v>
      </c>
      <c r="B86" s="450"/>
      <c r="C86" s="450"/>
      <c r="D86" s="60"/>
      <c r="E86" s="60"/>
      <c r="F86" s="60"/>
      <c r="G86" s="60"/>
      <c r="H86" s="60"/>
      <c r="I86" s="60"/>
      <c r="J86" s="60"/>
      <c r="K86" s="60"/>
      <c r="L86" s="60"/>
      <c r="M86" s="60"/>
      <c r="N86" s="60"/>
      <c r="O86" s="60"/>
    </row>
    <row r="87" spans="1:15">
      <c r="A87" t="s">
        <v>8600</v>
      </c>
      <c r="B87" s="450"/>
      <c r="C87" s="67" t="s">
        <v>448</v>
      </c>
      <c r="D87" s="60">
        <f>SUM(D75:D85)</f>
        <v>342.08799999999997</v>
      </c>
      <c r="E87" s="60">
        <f t="shared" ref="E87:G87" si="29">SUM(E75:E85)</f>
        <v>571.14699999999993</v>
      </c>
      <c r="F87" s="60">
        <f t="shared" si="29"/>
        <v>836.42900000000009</v>
      </c>
      <c r="G87" s="60">
        <f t="shared" si="29"/>
        <v>2909.732</v>
      </c>
      <c r="H87" s="60"/>
      <c r="I87" s="60">
        <f>SUM(I75:I85)</f>
        <v>659.33</v>
      </c>
      <c r="J87" s="60"/>
      <c r="K87" s="60">
        <f>SUM(K75:K85)</f>
        <v>7749</v>
      </c>
      <c r="L87" s="60"/>
      <c r="M87" s="60"/>
      <c r="N87" s="60">
        <f>SUM(N75:N85)</f>
        <v>30.564</v>
      </c>
      <c r="O87" s="60">
        <f>SUM(D87:N87)</f>
        <v>13098.289999999999</v>
      </c>
    </row>
    <row r="88" spans="1:15">
      <c r="A88" t="s">
        <v>8600</v>
      </c>
      <c r="B88" s="451"/>
      <c r="C88" s="451"/>
      <c r="D88" s="452"/>
      <c r="E88" s="452"/>
      <c r="F88" s="452"/>
      <c r="G88" s="452"/>
      <c r="H88" s="452"/>
      <c r="I88" s="452"/>
      <c r="J88" s="452"/>
      <c r="K88" s="452"/>
      <c r="L88" s="452"/>
      <c r="M88" s="452"/>
      <c r="N88" s="452"/>
      <c r="O88" s="452"/>
    </row>
    <row r="89" spans="1:15">
      <c r="A89" t="s">
        <v>8600</v>
      </c>
      <c r="B89" s="614" t="s">
        <v>8610</v>
      </c>
      <c r="C89" s="611"/>
      <c r="D89" s="451"/>
      <c r="E89" s="451"/>
      <c r="F89" s="451"/>
      <c r="G89" s="451"/>
      <c r="H89" s="451"/>
      <c r="I89" s="451"/>
      <c r="J89" s="451"/>
      <c r="K89" s="451"/>
      <c r="L89" s="451"/>
      <c r="M89" s="451"/>
      <c r="N89" s="451"/>
      <c r="O89" s="451"/>
    </row>
    <row r="90" spans="1:15">
      <c r="A90" t="s">
        <v>8600</v>
      </c>
      <c r="B90" s="453"/>
      <c r="C90" s="451"/>
      <c r="D90" s="451"/>
      <c r="E90" s="451"/>
      <c r="F90" s="451"/>
      <c r="G90" s="451"/>
      <c r="H90" s="451"/>
      <c r="I90" s="451"/>
      <c r="J90" s="451"/>
      <c r="K90" s="451"/>
      <c r="L90" s="451"/>
      <c r="M90" s="451"/>
      <c r="N90" s="451"/>
      <c r="O90" s="451"/>
    </row>
    <row r="91" spans="1:15">
      <c r="A91" t="s">
        <v>8600</v>
      </c>
      <c r="B91" s="614" t="s">
        <v>8611</v>
      </c>
      <c r="C91" s="611"/>
      <c r="D91" s="451"/>
      <c r="E91" s="451"/>
      <c r="F91" s="451"/>
      <c r="G91" s="451"/>
      <c r="H91" s="451"/>
      <c r="I91" s="451"/>
      <c r="J91" s="451"/>
      <c r="K91" s="451"/>
      <c r="L91" s="451"/>
      <c r="M91" s="451"/>
      <c r="N91" s="451"/>
      <c r="O91" s="451"/>
    </row>
    <row r="92" spans="1:15">
      <c r="A92" t="s">
        <v>8600</v>
      </c>
      <c r="B92" s="453"/>
      <c r="C92" s="453"/>
      <c r="D92" s="453"/>
      <c r="E92" s="453"/>
      <c r="F92" s="453"/>
      <c r="G92" s="453"/>
      <c r="H92" s="453"/>
      <c r="I92" s="453"/>
      <c r="J92" s="453"/>
      <c r="K92" s="453"/>
      <c r="L92" s="453"/>
      <c r="M92" s="453"/>
      <c r="N92" s="453"/>
      <c r="O92" s="453"/>
    </row>
    <row r="93" spans="1:15">
      <c r="A93" t="s">
        <v>8600</v>
      </c>
      <c r="B93" s="67" t="s">
        <v>8579</v>
      </c>
      <c r="C93" s="67" t="s">
        <v>436</v>
      </c>
      <c r="D93" s="67" t="s">
        <v>437</v>
      </c>
      <c r="E93" s="67" t="s">
        <v>438</v>
      </c>
      <c r="F93" s="67" t="s">
        <v>439</v>
      </c>
      <c r="G93" s="67" t="s">
        <v>440</v>
      </c>
      <c r="H93" s="70" t="s">
        <v>441</v>
      </c>
      <c r="I93" s="67" t="s">
        <v>442</v>
      </c>
      <c r="J93" s="67" t="s">
        <v>443</v>
      </c>
      <c r="K93" s="67" t="s">
        <v>444</v>
      </c>
      <c r="L93" s="67" t="s">
        <v>445</v>
      </c>
      <c r="M93" s="67" t="s">
        <v>446</v>
      </c>
      <c r="N93" s="67" t="s">
        <v>447</v>
      </c>
      <c r="O93" s="67" t="s">
        <v>448</v>
      </c>
    </row>
    <row r="94" spans="1:15">
      <c r="A94" t="s">
        <v>8600</v>
      </c>
      <c r="B94" s="450" t="s">
        <v>8612</v>
      </c>
      <c r="C94" s="450" t="s">
        <v>8613</v>
      </c>
      <c r="D94" s="450" t="s">
        <v>8613</v>
      </c>
      <c r="E94" s="450" t="s">
        <v>8613</v>
      </c>
      <c r="F94" s="450" t="s">
        <v>8613</v>
      </c>
      <c r="G94" s="450" t="s">
        <v>8613</v>
      </c>
      <c r="H94" s="450" t="s">
        <v>8613</v>
      </c>
      <c r="I94" s="450" t="s">
        <v>8613</v>
      </c>
      <c r="J94" s="450" t="s">
        <v>8613</v>
      </c>
      <c r="K94" s="450" t="s">
        <v>8613</v>
      </c>
      <c r="L94" s="450" t="s">
        <v>8613</v>
      </c>
      <c r="M94" s="450" t="s">
        <v>8613</v>
      </c>
      <c r="N94" s="450" t="s">
        <v>8613</v>
      </c>
      <c r="O94" s="450" t="s">
        <v>8613</v>
      </c>
    </row>
    <row r="95" spans="1:15">
      <c r="A95" t="s">
        <v>8600</v>
      </c>
      <c r="B95" s="450"/>
      <c r="C95" s="67" t="s">
        <v>448</v>
      </c>
      <c r="D95" s="60">
        <v>270</v>
      </c>
      <c r="E95" s="60">
        <v>376.03</v>
      </c>
      <c r="F95" s="60">
        <v>5410</v>
      </c>
      <c r="G95" s="60">
        <v>3368.75</v>
      </c>
      <c r="H95" s="60"/>
      <c r="I95" s="60">
        <v>850</v>
      </c>
      <c r="J95" s="60"/>
      <c r="K95" s="60">
        <v>9760</v>
      </c>
      <c r="L95" s="60"/>
      <c r="M95" s="60">
        <v>855</v>
      </c>
      <c r="N95" s="60">
        <v>270</v>
      </c>
      <c r="O95" s="60">
        <f>SUM(D95:N95)</f>
        <v>21159.78</v>
      </c>
    </row>
    <row r="96" spans="1:15">
      <c r="A96" t="s">
        <v>8600</v>
      </c>
      <c r="B96" s="453"/>
      <c r="C96" s="451"/>
      <c r="D96" s="452"/>
      <c r="E96" s="452"/>
      <c r="F96" s="452"/>
      <c r="G96" s="452"/>
      <c r="H96" s="452"/>
      <c r="I96" s="452"/>
      <c r="J96" s="452"/>
      <c r="K96" s="452"/>
      <c r="L96" s="452"/>
      <c r="M96" s="452"/>
      <c r="N96" s="452"/>
      <c r="O96" s="452"/>
    </row>
    <row r="97" spans="1:15">
      <c r="A97" t="s">
        <v>8600</v>
      </c>
      <c r="B97" s="614" t="s">
        <v>8614</v>
      </c>
      <c r="C97" s="611"/>
      <c r="D97" s="447"/>
      <c r="E97" s="447"/>
      <c r="F97" s="447"/>
      <c r="G97" s="447"/>
      <c r="H97" s="447"/>
      <c r="I97" s="447"/>
      <c r="J97" s="447"/>
      <c r="K97" s="447"/>
      <c r="L97" s="447"/>
      <c r="M97" s="447"/>
      <c r="N97" s="447"/>
      <c r="O97" s="447"/>
    </row>
    <row r="98" spans="1:15">
      <c r="A98" t="s">
        <v>8600</v>
      </c>
      <c r="B98" s="451"/>
      <c r="C98" s="451"/>
      <c r="D98" s="447"/>
      <c r="E98" s="447"/>
      <c r="F98" s="447"/>
      <c r="G98" s="447"/>
      <c r="H98" s="447"/>
      <c r="I98" s="447"/>
      <c r="J98" s="447"/>
      <c r="K98" s="447"/>
      <c r="L98" s="447"/>
      <c r="M98" s="447"/>
      <c r="N98" s="447"/>
      <c r="O98" s="447"/>
    </row>
    <row r="99" spans="1:15">
      <c r="A99" t="s">
        <v>8600</v>
      </c>
      <c r="B99" s="67" t="s">
        <v>8579</v>
      </c>
      <c r="C99" s="67" t="s">
        <v>436</v>
      </c>
      <c r="D99" s="55" t="s">
        <v>437</v>
      </c>
      <c r="E99" s="55" t="s">
        <v>438</v>
      </c>
      <c r="F99" s="55" t="s">
        <v>439</v>
      </c>
      <c r="G99" s="55" t="s">
        <v>440</v>
      </c>
      <c r="H99" s="70" t="s">
        <v>441</v>
      </c>
      <c r="I99" s="55" t="s">
        <v>442</v>
      </c>
      <c r="J99" s="55" t="s">
        <v>443</v>
      </c>
      <c r="K99" s="55" t="s">
        <v>444</v>
      </c>
      <c r="L99" s="67" t="s">
        <v>445</v>
      </c>
      <c r="M99" s="55" t="s">
        <v>446</v>
      </c>
      <c r="N99" s="55" t="s">
        <v>447</v>
      </c>
      <c r="O99" s="55" t="s">
        <v>448</v>
      </c>
    </row>
    <row r="100" spans="1:15">
      <c r="A100" t="s">
        <v>8600</v>
      </c>
      <c r="B100" s="450" t="s">
        <v>8615</v>
      </c>
      <c r="C100" s="450" t="s">
        <v>8613</v>
      </c>
      <c r="D100" s="60" t="s">
        <v>8613</v>
      </c>
      <c r="E100" s="60" t="s">
        <v>8613</v>
      </c>
      <c r="F100" s="60" t="s">
        <v>8613</v>
      </c>
      <c r="G100" s="60" t="s">
        <v>8613</v>
      </c>
      <c r="H100" s="60" t="s">
        <v>8613</v>
      </c>
      <c r="I100" s="60" t="s">
        <v>8613</v>
      </c>
      <c r="J100" s="60" t="s">
        <v>8613</v>
      </c>
      <c r="K100" s="60" t="s">
        <v>8613</v>
      </c>
      <c r="L100" s="60" t="s">
        <v>8613</v>
      </c>
      <c r="M100" s="60" t="s">
        <v>8613</v>
      </c>
      <c r="N100" s="60" t="s">
        <v>8613</v>
      </c>
      <c r="O100" s="60" t="s">
        <v>8613</v>
      </c>
    </row>
    <row r="101" spans="1:15">
      <c r="A101" t="s">
        <v>8600</v>
      </c>
      <c r="B101" s="450"/>
      <c r="C101" s="67" t="s">
        <v>448</v>
      </c>
      <c r="D101" s="60"/>
      <c r="E101" s="60">
        <v>590.1</v>
      </c>
      <c r="F101" s="60">
        <v>742.7</v>
      </c>
      <c r="G101" s="60">
        <v>822.2</v>
      </c>
      <c r="H101" s="60"/>
      <c r="I101" s="60">
        <v>1676</v>
      </c>
      <c r="J101" s="60"/>
      <c r="K101" s="60">
        <v>7787</v>
      </c>
      <c r="L101" s="60"/>
      <c r="M101" s="60"/>
      <c r="N101" s="60">
        <v>72</v>
      </c>
      <c r="O101" s="60">
        <f>SUM(D101:N101)</f>
        <v>11690</v>
      </c>
    </row>
    <row r="102" spans="1:15">
      <c r="A102" t="s">
        <v>8600</v>
      </c>
      <c r="B102" s="451"/>
      <c r="C102" s="451"/>
      <c r="D102" s="454"/>
      <c r="E102" s="454"/>
      <c r="F102" s="454"/>
      <c r="G102" s="454"/>
      <c r="H102" s="454"/>
      <c r="I102" s="454"/>
      <c r="J102" s="454"/>
      <c r="K102" s="454"/>
      <c r="L102" s="454"/>
      <c r="M102" s="454"/>
      <c r="N102" s="454"/>
      <c r="O102" s="452"/>
    </row>
    <row r="103" spans="1:15">
      <c r="A103" t="s">
        <v>8600</v>
      </c>
      <c r="B103" s="453" t="s">
        <v>8616</v>
      </c>
      <c r="C103" s="451"/>
      <c r="D103" s="447"/>
      <c r="E103" s="447"/>
      <c r="F103" s="447"/>
      <c r="G103" s="447"/>
      <c r="H103" s="447"/>
      <c r="I103" s="447"/>
      <c r="J103" s="447"/>
      <c r="K103" s="447"/>
      <c r="L103" s="447"/>
      <c r="M103" s="447"/>
      <c r="N103" s="447"/>
      <c r="O103" s="447"/>
    </row>
    <row r="104" spans="1:15">
      <c r="A104" t="s">
        <v>8600</v>
      </c>
      <c r="B104" s="451"/>
      <c r="C104" s="451"/>
      <c r="D104" s="447"/>
      <c r="E104" s="447"/>
      <c r="F104" s="447"/>
      <c r="G104" s="447"/>
      <c r="H104" s="447"/>
      <c r="I104" s="447"/>
      <c r="J104" s="447"/>
      <c r="K104" s="447"/>
      <c r="L104" s="447"/>
      <c r="M104" s="447"/>
      <c r="N104" s="447"/>
      <c r="O104" s="447"/>
    </row>
    <row r="105" spans="1:15">
      <c r="A105" t="s">
        <v>8600</v>
      </c>
      <c r="B105" s="67" t="s">
        <v>8579</v>
      </c>
      <c r="C105" s="67" t="s">
        <v>436</v>
      </c>
      <c r="D105" s="55" t="s">
        <v>437</v>
      </c>
      <c r="E105" s="55" t="s">
        <v>438</v>
      </c>
      <c r="F105" s="55" t="s">
        <v>439</v>
      </c>
      <c r="G105" s="55" t="s">
        <v>440</v>
      </c>
      <c r="H105" s="70" t="s">
        <v>441</v>
      </c>
      <c r="I105" s="55" t="s">
        <v>442</v>
      </c>
      <c r="J105" s="55" t="s">
        <v>443</v>
      </c>
      <c r="K105" s="55" t="s">
        <v>444</v>
      </c>
      <c r="L105" s="67" t="s">
        <v>445</v>
      </c>
      <c r="M105" s="55" t="s">
        <v>446</v>
      </c>
      <c r="N105" s="55" t="s">
        <v>447</v>
      </c>
      <c r="O105" s="55" t="s">
        <v>448</v>
      </c>
    </row>
    <row r="106" spans="1:15">
      <c r="A106" t="s">
        <v>8600</v>
      </c>
      <c r="B106" s="450" t="s">
        <v>8617</v>
      </c>
      <c r="C106" s="450" t="s">
        <v>8613</v>
      </c>
      <c r="D106" s="60" t="s">
        <v>8613</v>
      </c>
      <c r="E106" s="60" t="s">
        <v>8613</v>
      </c>
      <c r="F106" s="60" t="s">
        <v>8613</v>
      </c>
      <c r="G106" s="60" t="s">
        <v>8613</v>
      </c>
      <c r="H106" s="60" t="s">
        <v>8613</v>
      </c>
      <c r="I106" s="60" t="s">
        <v>8613</v>
      </c>
      <c r="J106" s="60" t="s">
        <v>8613</v>
      </c>
      <c r="K106" s="60" t="s">
        <v>8613</v>
      </c>
      <c r="L106" s="60" t="s">
        <v>8613</v>
      </c>
      <c r="M106" s="60" t="s">
        <v>8613</v>
      </c>
      <c r="N106" s="60" t="s">
        <v>8613</v>
      </c>
      <c r="O106" s="60" t="s">
        <v>8613</v>
      </c>
    </row>
    <row r="107" spans="1:15">
      <c r="A107" t="s">
        <v>8600</v>
      </c>
      <c r="B107" s="450"/>
      <c r="C107" s="67" t="s">
        <v>448</v>
      </c>
      <c r="D107" s="60">
        <v>49</v>
      </c>
      <c r="E107" s="60">
        <v>892</v>
      </c>
      <c r="F107" s="60">
        <v>1324</v>
      </c>
      <c r="G107" s="60">
        <v>2607</v>
      </c>
      <c r="H107" s="60"/>
      <c r="I107" s="60"/>
      <c r="J107" s="60"/>
      <c r="K107" s="60">
        <v>9393</v>
      </c>
      <c r="L107" s="60"/>
      <c r="M107" s="60"/>
      <c r="N107" s="60">
        <v>385</v>
      </c>
      <c r="O107" s="60">
        <f>SUM(D107:N107)</f>
        <v>14650</v>
      </c>
    </row>
    <row r="108" spans="1:15">
      <c r="A108" t="s">
        <v>8600</v>
      </c>
      <c r="B108" s="451"/>
      <c r="C108" s="451"/>
      <c r="D108" s="452"/>
      <c r="E108" s="452"/>
      <c r="F108" s="452"/>
      <c r="G108" s="452"/>
      <c r="H108" s="452"/>
      <c r="I108" s="452"/>
      <c r="J108" s="452"/>
      <c r="K108" s="452"/>
      <c r="L108" s="452"/>
      <c r="M108" s="452"/>
      <c r="N108" s="452"/>
      <c r="O108" s="452"/>
    </row>
    <row r="109" spans="1:15">
      <c r="A109" t="s">
        <v>8600</v>
      </c>
      <c r="B109" s="453" t="s">
        <v>8618</v>
      </c>
      <c r="C109" s="451"/>
      <c r="D109" s="447"/>
      <c r="E109" s="447"/>
      <c r="F109" s="447"/>
      <c r="G109" s="447"/>
      <c r="H109" s="447"/>
      <c r="I109" s="447"/>
      <c r="J109" s="447"/>
      <c r="K109" s="447"/>
      <c r="L109" s="447"/>
      <c r="M109" s="447"/>
      <c r="N109" s="447"/>
      <c r="O109" s="447"/>
    </row>
    <row r="110" spans="1:15">
      <c r="A110" t="s">
        <v>8600</v>
      </c>
      <c r="B110" s="451"/>
      <c r="C110" s="451"/>
      <c r="D110" s="447"/>
      <c r="E110" s="447"/>
      <c r="F110" s="447"/>
      <c r="G110" s="447"/>
      <c r="H110" s="447"/>
      <c r="I110" s="447"/>
      <c r="J110" s="447"/>
      <c r="K110" s="447"/>
      <c r="L110" s="447"/>
      <c r="M110" s="447"/>
      <c r="N110" s="447"/>
      <c r="O110" s="447"/>
    </row>
    <row r="111" spans="1:15">
      <c r="A111" t="s">
        <v>8600</v>
      </c>
      <c r="B111" s="67" t="s">
        <v>8579</v>
      </c>
      <c r="C111" s="67" t="s">
        <v>436</v>
      </c>
      <c r="D111" s="55" t="s">
        <v>437</v>
      </c>
      <c r="E111" s="55" t="s">
        <v>438</v>
      </c>
      <c r="F111" s="55" t="s">
        <v>439</v>
      </c>
      <c r="G111" s="55" t="s">
        <v>440</v>
      </c>
      <c r="H111" s="70" t="s">
        <v>441</v>
      </c>
      <c r="I111" s="55" t="s">
        <v>442</v>
      </c>
      <c r="J111" s="55" t="s">
        <v>443</v>
      </c>
      <c r="K111" s="55" t="s">
        <v>444</v>
      </c>
      <c r="L111" s="67" t="s">
        <v>445</v>
      </c>
      <c r="M111" s="55" t="s">
        <v>446</v>
      </c>
      <c r="N111" s="55" t="s">
        <v>447</v>
      </c>
      <c r="O111" s="55" t="s">
        <v>448</v>
      </c>
    </row>
    <row r="112" spans="1:15">
      <c r="A112" t="s">
        <v>8600</v>
      </c>
      <c r="B112" s="450" t="s">
        <v>8619</v>
      </c>
      <c r="C112" s="450" t="s">
        <v>8613</v>
      </c>
      <c r="D112" s="60" t="s">
        <v>8613</v>
      </c>
      <c r="E112" s="60" t="s">
        <v>8613</v>
      </c>
      <c r="F112" s="60" t="s">
        <v>8613</v>
      </c>
      <c r="G112" s="60" t="s">
        <v>8613</v>
      </c>
      <c r="H112" s="60" t="s">
        <v>8613</v>
      </c>
      <c r="I112" s="60" t="s">
        <v>8613</v>
      </c>
      <c r="J112" s="60" t="s">
        <v>8613</v>
      </c>
      <c r="K112" s="60" t="s">
        <v>8613</v>
      </c>
      <c r="L112" s="60" t="s">
        <v>8613</v>
      </c>
      <c r="M112" s="60" t="s">
        <v>8613</v>
      </c>
      <c r="N112" s="60" t="s">
        <v>8613</v>
      </c>
      <c r="O112" s="60" t="s">
        <v>8613</v>
      </c>
    </row>
    <row r="113" spans="1:15">
      <c r="A113" t="s">
        <v>8600</v>
      </c>
      <c r="B113" s="450"/>
      <c r="C113" s="67" t="s">
        <v>448</v>
      </c>
      <c r="D113" s="60">
        <v>238</v>
      </c>
      <c r="E113" s="60">
        <v>839</v>
      </c>
      <c r="F113" s="60">
        <v>770</v>
      </c>
      <c r="G113" s="60">
        <v>1913</v>
      </c>
      <c r="H113" s="60"/>
      <c r="I113" s="60">
        <v>1385</v>
      </c>
      <c r="J113" s="60"/>
      <c r="K113" s="60">
        <v>8428</v>
      </c>
      <c r="L113" s="60"/>
      <c r="M113" s="60">
        <v>686</v>
      </c>
      <c r="N113" s="60">
        <f>27+366</f>
        <v>393</v>
      </c>
      <c r="O113" s="60">
        <f>SUM(D113:N113)</f>
        <v>14652</v>
      </c>
    </row>
    <row r="114" spans="1:15">
      <c r="A114" t="s">
        <v>8600</v>
      </c>
      <c r="B114" s="451"/>
      <c r="C114" s="451"/>
      <c r="D114" s="452"/>
      <c r="E114" s="452"/>
      <c r="F114" s="452"/>
      <c r="G114" s="452"/>
      <c r="H114" s="452"/>
      <c r="I114" s="452"/>
      <c r="J114" s="452"/>
      <c r="K114" s="452"/>
      <c r="L114" s="452"/>
      <c r="M114" s="452"/>
      <c r="N114" s="452"/>
      <c r="O114" s="452"/>
    </row>
    <row r="115" spans="1:15">
      <c r="A115" t="s">
        <v>8600</v>
      </c>
      <c r="B115" s="614" t="s">
        <v>8620</v>
      </c>
      <c r="C115" s="611"/>
      <c r="D115" s="611"/>
      <c r="E115" s="451"/>
      <c r="F115" s="451"/>
      <c r="G115" s="451"/>
      <c r="H115" s="451"/>
      <c r="I115" s="451"/>
      <c r="J115" s="451"/>
      <c r="K115" s="451"/>
      <c r="L115" s="451"/>
      <c r="M115" s="451"/>
      <c r="N115" s="451"/>
      <c r="O115" s="451"/>
    </row>
    <row r="116" spans="1:15">
      <c r="A116" t="s">
        <v>8600</v>
      </c>
      <c r="B116" s="453"/>
      <c r="C116" s="451"/>
      <c r="D116" s="451"/>
      <c r="E116" s="451"/>
      <c r="F116" s="451"/>
      <c r="G116" s="451"/>
      <c r="H116" s="451"/>
      <c r="I116" s="451"/>
      <c r="J116" s="451"/>
      <c r="K116" s="451"/>
      <c r="L116" s="451"/>
      <c r="M116" s="451"/>
      <c r="N116" s="451"/>
      <c r="O116" s="451"/>
    </row>
    <row r="117" spans="1:15">
      <c r="A117" t="s">
        <v>8600</v>
      </c>
      <c r="B117" s="453" t="s">
        <v>8621</v>
      </c>
      <c r="C117" s="451"/>
      <c r="D117" s="451"/>
      <c r="E117" s="451"/>
      <c r="F117" s="451"/>
      <c r="G117" s="451"/>
      <c r="H117" s="451"/>
      <c r="I117" s="451"/>
      <c r="J117" s="451"/>
      <c r="K117" s="451"/>
      <c r="L117" s="451"/>
      <c r="M117" s="451"/>
      <c r="N117" s="451"/>
      <c r="O117" s="451"/>
    </row>
    <row r="118" spans="1:15">
      <c r="A118" t="s">
        <v>8600</v>
      </c>
      <c r="B118" s="453"/>
      <c r="C118" s="453"/>
      <c r="D118" s="453"/>
      <c r="E118" s="453"/>
      <c r="F118" s="453"/>
      <c r="G118" s="453"/>
      <c r="H118" s="453"/>
      <c r="I118" s="453"/>
      <c r="J118" s="453"/>
      <c r="K118" s="453"/>
      <c r="L118" s="453"/>
      <c r="M118" s="453"/>
      <c r="N118" s="453"/>
      <c r="O118" s="453"/>
    </row>
    <row r="119" spans="1:15">
      <c r="A119" t="s">
        <v>8600</v>
      </c>
      <c r="B119" s="67" t="s">
        <v>8579</v>
      </c>
      <c r="C119" s="67" t="s">
        <v>436</v>
      </c>
      <c r="D119" s="67" t="s">
        <v>437</v>
      </c>
      <c r="E119" s="67" t="s">
        <v>438</v>
      </c>
      <c r="F119" s="67" t="s">
        <v>439</v>
      </c>
      <c r="G119" s="67" t="s">
        <v>440</v>
      </c>
      <c r="H119" s="70" t="s">
        <v>441</v>
      </c>
      <c r="I119" s="67" t="s">
        <v>442</v>
      </c>
      <c r="J119" s="67" t="s">
        <v>443</v>
      </c>
      <c r="K119" s="67" t="s">
        <v>444</v>
      </c>
      <c r="L119" s="67" t="s">
        <v>445</v>
      </c>
      <c r="M119" s="67" t="s">
        <v>446</v>
      </c>
      <c r="N119" s="67" t="s">
        <v>447</v>
      </c>
      <c r="O119" s="67" t="s">
        <v>448</v>
      </c>
    </row>
    <row r="120" spans="1:15">
      <c r="A120" t="s">
        <v>8600</v>
      </c>
      <c r="B120" s="450" t="s">
        <v>8622</v>
      </c>
      <c r="C120" s="450" t="s">
        <v>8613</v>
      </c>
      <c r="D120" s="450" t="s">
        <v>8613</v>
      </c>
      <c r="E120" s="450" t="s">
        <v>8613</v>
      </c>
      <c r="F120" s="450" t="s">
        <v>8613</v>
      </c>
      <c r="G120" s="450" t="s">
        <v>8613</v>
      </c>
      <c r="H120" s="450" t="s">
        <v>8613</v>
      </c>
      <c r="I120" s="450" t="s">
        <v>8613</v>
      </c>
      <c r="J120" s="450" t="s">
        <v>8613</v>
      </c>
      <c r="K120" s="450" t="s">
        <v>8613</v>
      </c>
      <c r="L120" s="450" t="s">
        <v>8613</v>
      </c>
      <c r="M120" s="450" t="s">
        <v>8613</v>
      </c>
      <c r="N120" s="450" t="s">
        <v>8613</v>
      </c>
      <c r="O120" s="450" t="s">
        <v>8613</v>
      </c>
    </row>
    <row r="121" spans="1:15">
      <c r="A121" t="s">
        <v>8600</v>
      </c>
      <c r="B121" s="450" t="s">
        <v>8623</v>
      </c>
      <c r="C121" s="67" t="s">
        <v>8624</v>
      </c>
      <c r="D121" s="455"/>
      <c r="E121" s="455">
        <v>0.02</v>
      </c>
      <c r="F121" s="455">
        <v>0.03</v>
      </c>
      <c r="G121" s="455">
        <v>0.2</v>
      </c>
      <c r="H121" s="455"/>
      <c r="I121" s="455">
        <v>0.12</v>
      </c>
      <c r="J121" s="455"/>
      <c r="K121" s="455">
        <v>0.62</v>
      </c>
      <c r="L121" s="455"/>
      <c r="M121" s="455">
        <v>0.01</v>
      </c>
      <c r="N121" s="455"/>
      <c r="O121" s="455"/>
    </row>
    <row r="122" spans="1:15">
      <c r="A122" t="s">
        <v>8625</v>
      </c>
      <c r="B122" s="56" t="s">
        <v>8579</v>
      </c>
      <c r="C122" s="456" t="s">
        <v>436</v>
      </c>
      <c r="D122" s="456" t="s">
        <v>437</v>
      </c>
      <c r="E122" s="456" t="s">
        <v>438</v>
      </c>
      <c r="F122" s="456" t="s">
        <v>439</v>
      </c>
      <c r="G122" s="456" t="s">
        <v>440</v>
      </c>
      <c r="H122" s="70" t="s">
        <v>441</v>
      </c>
      <c r="I122" s="456" t="s">
        <v>442</v>
      </c>
      <c r="J122" s="456" t="s">
        <v>443</v>
      </c>
      <c r="K122" s="456" t="s">
        <v>444</v>
      </c>
      <c r="L122" s="67" t="s">
        <v>445</v>
      </c>
      <c r="M122" s="456" t="s">
        <v>446</v>
      </c>
      <c r="N122" s="456" t="s">
        <v>447</v>
      </c>
      <c r="O122" s="456" t="s">
        <v>448</v>
      </c>
    </row>
    <row r="123" spans="1:15">
      <c r="A123" t="s">
        <v>8625</v>
      </c>
      <c r="B123" s="64" t="s">
        <v>8626</v>
      </c>
      <c r="C123" s="457" t="s">
        <v>8627</v>
      </c>
      <c r="D123" s="60"/>
      <c r="E123" s="60">
        <v>7</v>
      </c>
      <c r="F123" s="60">
        <v>60</v>
      </c>
      <c r="G123" s="60">
        <v>4600</v>
      </c>
      <c r="H123" s="60"/>
      <c r="I123" s="60"/>
      <c r="J123" s="60"/>
      <c r="K123" s="60"/>
      <c r="L123" s="60"/>
      <c r="M123" s="60">
        <v>673</v>
      </c>
      <c r="N123" s="60"/>
      <c r="O123" s="60">
        <f t="shared" ref="O123:O128" si="30">SUM(D123:N123)</f>
        <v>5340</v>
      </c>
    </row>
    <row r="124" spans="1:15">
      <c r="A124" t="s">
        <v>8625</v>
      </c>
      <c r="B124" s="64"/>
      <c r="C124" s="457" t="s">
        <v>453</v>
      </c>
      <c r="D124" s="60"/>
      <c r="E124" s="60">
        <v>1745</v>
      </c>
      <c r="F124" s="60">
        <v>4046</v>
      </c>
      <c r="G124" s="60">
        <v>421</v>
      </c>
      <c r="H124" s="60"/>
      <c r="I124" s="60">
        <v>28</v>
      </c>
      <c r="J124" s="60"/>
      <c r="K124" s="60">
        <f>260.4+27100</f>
        <v>27360.400000000001</v>
      </c>
      <c r="L124" s="60"/>
      <c r="M124" s="60">
        <v>93</v>
      </c>
      <c r="N124" s="60">
        <v>3</v>
      </c>
      <c r="O124" s="60">
        <f t="shared" si="30"/>
        <v>33696.400000000001</v>
      </c>
    </row>
    <row r="125" spans="1:15">
      <c r="A125" t="s">
        <v>8625</v>
      </c>
      <c r="B125" s="64"/>
      <c r="C125" s="457" t="s">
        <v>458</v>
      </c>
      <c r="D125" s="60">
        <v>321</v>
      </c>
      <c r="E125" s="60"/>
      <c r="F125" s="60">
        <v>66</v>
      </c>
      <c r="G125" s="60">
        <v>2</v>
      </c>
      <c r="H125" s="60"/>
      <c r="I125" s="60">
        <v>349</v>
      </c>
      <c r="J125" s="60"/>
      <c r="K125" s="60"/>
      <c r="L125" s="60"/>
      <c r="M125" s="60">
        <v>886.8</v>
      </c>
      <c r="N125" s="60">
        <f>87+11</f>
        <v>98</v>
      </c>
      <c r="O125" s="60">
        <f t="shared" si="30"/>
        <v>1722.8</v>
      </c>
    </row>
    <row r="126" spans="1:15">
      <c r="A126" t="s">
        <v>8625</v>
      </c>
      <c r="B126" s="64"/>
      <c r="C126" s="457" t="s">
        <v>8628</v>
      </c>
      <c r="D126" s="60"/>
      <c r="E126" s="60"/>
      <c r="F126" s="60"/>
      <c r="G126" s="60"/>
      <c r="H126" s="60"/>
      <c r="I126" s="60">
        <v>38</v>
      </c>
      <c r="J126" s="60"/>
      <c r="K126" s="60"/>
      <c r="L126" s="60"/>
      <c r="M126" s="60">
        <v>372.7</v>
      </c>
      <c r="N126" s="60">
        <v>2</v>
      </c>
      <c r="O126" s="60">
        <f t="shared" si="30"/>
        <v>412.7</v>
      </c>
    </row>
    <row r="127" spans="1:15">
      <c r="A127" t="s">
        <v>8625</v>
      </c>
      <c r="B127" s="64"/>
      <c r="C127" s="457" t="s">
        <v>8629</v>
      </c>
      <c r="D127" s="60"/>
      <c r="E127" s="60"/>
      <c r="F127" s="60">
        <v>2</v>
      </c>
      <c r="G127" s="60">
        <f>69+3</f>
        <v>72</v>
      </c>
      <c r="H127" s="60"/>
      <c r="I127" s="60">
        <v>14</v>
      </c>
      <c r="J127" s="60"/>
      <c r="K127" s="60"/>
      <c r="L127" s="60"/>
      <c r="M127" s="60">
        <f>0.2+36</f>
        <v>36.200000000000003</v>
      </c>
      <c r="N127" s="60">
        <f>17+0.2</f>
        <v>17.2</v>
      </c>
      <c r="O127" s="60">
        <f t="shared" si="30"/>
        <v>141.4</v>
      </c>
    </row>
    <row r="128" spans="1:15">
      <c r="A128" t="s">
        <v>8625</v>
      </c>
      <c r="B128" s="64"/>
      <c r="C128" s="457" t="s">
        <v>460</v>
      </c>
      <c r="D128" s="60"/>
      <c r="E128" s="60">
        <v>53</v>
      </c>
      <c r="F128" s="60">
        <v>58</v>
      </c>
      <c r="G128" s="60">
        <v>75</v>
      </c>
      <c r="H128" s="60"/>
      <c r="I128" s="60"/>
      <c r="J128" s="60"/>
      <c r="K128" s="60"/>
      <c r="L128" s="60"/>
      <c r="M128" s="60">
        <v>1</v>
      </c>
      <c r="N128" s="60">
        <v>17</v>
      </c>
      <c r="O128" s="60">
        <f t="shared" si="30"/>
        <v>204</v>
      </c>
    </row>
    <row r="129" spans="1:15">
      <c r="A129" t="s">
        <v>8625</v>
      </c>
      <c r="B129" s="64"/>
      <c r="C129" s="456"/>
      <c r="D129" s="60"/>
      <c r="E129" s="60"/>
      <c r="F129" s="60"/>
      <c r="G129" s="60"/>
      <c r="H129" s="60"/>
      <c r="I129" s="60"/>
      <c r="J129" s="60"/>
      <c r="K129" s="60"/>
      <c r="L129" s="60"/>
      <c r="M129" s="60"/>
      <c r="N129" s="60"/>
      <c r="O129" s="60"/>
    </row>
    <row r="130" spans="1:15">
      <c r="A130" t="s">
        <v>8625</v>
      </c>
      <c r="B130" s="64"/>
      <c r="C130" s="456" t="s">
        <v>448</v>
      </c>
      <c r="D130" s="60">
        <f t="shared" ref="D130:G130" si="31">SUM(D123:D128)</f>
        <v>321</v>
      </c>
      <c r="E130" s="60">
        <f t="shared" si="31"/>
        <v>1805</v>
      </c>
      <c r="F130" s="60">
        <f t="shared" si="31"/>
        <v>4232</v>
      </c>
      <c r="G130" s="60">
        <f t="shared" si="31"/>
        <v>5170</v>
      </c>
      <c r="H130" s="60"/>
      <c r="I130" s="60">
        <f>SUM(I123:I128)</f>
        <v>429</v>
      </c>
      <c r="J130" s="60"/>
      <c r="K130" s="60">
        <f t="shared" ref="K130:O130" si="32">SUM(K123:K128)</f>
        <v>27360.400000000001</v>
      </c>
      <c r="L130" s="60"/>
      <c r="M130" s="60">
        <f t="shared" si="32"/>
        <v>2062.6999999999998</v>
      </c>
      <c r="N130" s="60">
        <f t="shared" si="32"/>
        <v>137.19999999999999</v>
      </c>
      <c r="O130" s="60">
        <f t="shared" si="32"/>
        <v>41517.300000000003</v>
      </c>
    </row>
    <row r="131" spans="1:15">
      <c r="A131" t="s">
        <v>8625</v>
      </c>
      <c r="B131" s="458" t="s">
        <v>8630</v>
      </c>
      <c r="C131" s="459"/>
      <c r="D131" s="460"/>
      <c r="E131" s="460"/>
      <c r="F131" s="460"/>
      <c r="G131" s="460"/>
      <c r="H131" s="460"/>
      <c r="I131" s="460"/>
      <c r="J131" s="460"/>
      <c r="K131" s="460"/>
      <c r="L131" s="460"/>
      <c r="M131" s="460"/>
      <c r="N131" s="460"/>
      <c r="O131" s="71"/>
    </row>
    <row r="132" spans="1:15">
      <c r="A132" t="s">
        <v>8625</v>
      </c>
      <c r="B132" s="461" t="s">
        <v>8631</v>
      </c>
      <c r="C132" s="459"/>
      <c r="D132" s="71"/>
      <c r="E132" s="71"/>
      <c r="F132" s="71"/>
      <c r="G132" s="71"/>
      <c r="H132" s="71"/>
      <c r="I132" s="71"/>
      <c r="J132" s="71"/>
      <c r="K132" s="71"/>
      <c r="L132" s="71"/>
      <c r="M132" s="71"/>
      <c r="N132" s="71"/>
      <c r="O132" s="71"/>
    </row>
    <row r="133" spans="1:15">
      <c r="A133" t="s">
        <v>8625</v>
      </c>
      <c r="B133" s="461" t="s">
        <v>8632</v>
      </c>
      <c r="C133" s="459"/>
      <c r="D133" s="71"/>
      <c r="E133" s="71"/>
      <c r="F133" s="71"/>
      <c r="G133" s="71"/>
      <c r="H133" s="71"/>
      <c r="I133" s="71"/>
      <c r="J133" s="71"/>
      <c r="K133" s="71"/>
      <c r="L133" s="71"/>
      <c r="M133" s="71"/>
      <c r="N133" s="71"/>
      <c r="O133" s="71"/>
    </row>
    <row r="134" spans="1:15">
      <c r="A134" t="s">
        <v>8625</v>
      </c>
      <c r="B134" s="458"/>
      <c r="C134" s="459"/>
      <c r="D134" s="71"/>
      <c r="E134" s="71"/>
      <c r="F134" s="71"/>
      <c r="G134" s="71"/>
      <c r="H134" s="71"/>
      <c r="I134" s="71"/>
      <c r="J134" s="71"/>
      <c r="K134" s="71"/>
      <c r="L134" s="71"/>
      <c r="M134" s="71"/>
      <c r="N134" s="71"/>
      <c r="O134" s="71"/>
    </row>
    <row r="135" spans="1:15">
      <c r="A135" t="s">
        <v>8625</v>
      </c>
      <c r="B135" s="458" t="s">
        <v>8633</v>
      </c>
      <c r="C135" s="459"/>
      <c r="D135" s="71"/>
      <c r="E135" s="71"/>
      <c r="F135" s="71"/>
      <c r="G135" s="71"/>
      <c r="H135" s="71"/>
      <c r="I135" s="71"/>
      <c r="J135" s="71"/>
      <c r="K135" s="71"/>
      <c r="L135" s="71"/>
      <c r="M135" s="71"/>
      <c r="N135" s="71"/>
      <c r="O135" s="71"/>
    </row>
    <row r="136" spans="1:15">
      <c r="A136" t="s">
        <v>8625</v>
      </c>
      <c r="B136" s="458"/>
      <c r="C136" s="459"/>
      <c r="D136" s="71"/>
      <c r="E136" s="71"/>
      <c r="F136" s="71"/>
      <c r="G136" s="71"/>
      <c r="H136" s="71"/>
      <c r="I136" s="71"/>
      <c r="J136" s="71"/>
      <c r="K136" s="71"/>
      <c r="L136" s="71"/>
      <c r="M136" s="71"/>
      <c r="N136" s="71"/>
      <c r="O136" s="71"/>
    </row>
    <row r="137" spans="1:15">
      <c r="A137" t="s">
        <v>8625</v>
      </c>
      <c r="B137" s="453" t="s">
        <v>8618</v>
      </c>
      <c r="C137" s="459"/>
      <c r="D137" s="71"/>
      <c r="E137" s="71"/>
      <c r="F137" s="71"/>
      <c r="G137" s="71"/>
      <c r="H137" s="71"/>
      <c r="I137" s="71"/>
      <c r="J137" s="71"/>
      <c r="K137" s="71"/>
      <c r="L137" s="71"/>
      <c r="M137" s="71"/>
      <c r="N137" s="71"/>
      <c r="O137" s="71"/>
    </row>
    <row r="138" spans="1:15">
      <c r="A138" t="s">
        <v>8625</v>
      </c>
      <c r="B138" s="458"/>
      <c r="C138" s="462"/>
      <c r="D138" s="463"/>
      <c r="E138" s="463"/>
      <c r="F138" s="463"/>
      <c r="G138" s="463"/>
      <c r="H138" s="463"/>
      <c r="I138" s="463"/>
      <c r="J138" s="463"/>
      <c r="K138" s="463"/>
      <c r="L138" s="463"/>
      <c r="M138" s="463"/>
      <c r="N138" s="463"/>
      <c r="O138" s="463"/>
    </row>
    <row r="139" spans="1:15">
      <c r="A139" t="s">
        <v>8625</v>
      </c>
      <c r="B139" s="56" t="s">
        <v>8579</v>
      </c>
      <c r="C139" s="456" t="s">
        <v>436</v>
      </c>
      <c r="D139" s="55" t="s">
        <v>437</v>
      </c>
      <c r="E139" s="55" t="s">
        <v>438</v>
      </c>
      <c r="F139" s="55" t="s">
        <v>439</v>
      </c>
      <c r="G139" s="55" t="s">
        <v>440</v>
      </c>
      <c r="H139" s="70" t="s">
        <v>441</v>
      </c>
      <c r="I139" s="55" t="s">
        <v>442</v>
      </c>
      <c r="J139" s="55" t="s">
        <v>443</v>
      </c>
      <c r="K139" s="55" t="s">
        <v>444</v>
      </c>
      <c r="L139" s="67" t="s">
        <v>445</v>
      </c>
      <c r="M139" s="55" t="s">
        <v>446</v>
      </c>
      <c r="N139" s="55" t="s">
        <v>447</v>
      </c>
      <c r="O139" s="55" t="s">
        <v>448</v>
      </c>
    </row>
    <row r="140" spans="1:15">
      <c r="A140" t="s">
        <v>8625</v>
      </c>
      <c r="B140" s="64" t="s">
        <v>8634</v>
      </c>
      <c r="C140" s="457" t="s">
        <v>8613</v>
      </c>
      <c r="D140" s="60" t="s">
        <v>8613</v>
      </c>
      <c r="E140" s="60" t="s">
        <v>8613</v>
      </c>
      <c r="F140" s="60" t="s">
        <v>8613</v>
      </c>
      <c r="G140" s="60" t="s">
        <v>8613</v>
      </c>
      <c r="H140" s="60" t="s">
        <v>8613</v>
      </c>
      <c r="I140" s="60" t="s">
        <v>8613</v>
      </c>
      <c r="J140" s="60" t="s">
        <v>8613</v>
      </c>
      <c r="K140" s="60" t="s">
        <v>8613</v>
      </c>
      <c r="L140" s="60" t="s">
        <v>8613</v>
      </c>
      <c r="M140" s="60" t="s">
        <v>8613</v>
      </c>
      <c r="N140" s="60" t="s">
        <v>8613</v>
      </c>
      <c r="O140" s="60" t="s">
        <v>8613</v>
      </c>
    </row>
    <row r="141" spans="1:15">
      <c r="A141" t="s">
        <v>8625</v>
      </c>
      <c r="B141" s="64"/>
      <c r="C141" s="456" t="s">
        <v>448</v>
      </c>
      <c r="D141" s="450">
        <v>122</v>
      </c>
      <c r="E141" s="450">
        <v>1283</v>
      </c>
      <c r="F141" s="450"/>
      <c r="G141" s="450">
        <f>2827+1212</f>
        <v>4039</v>
      </c>
      <c r="H141" s="450"/>
      <c r="I141" s="450">
        <v>1644</v>
      </c>
      <c r="J141" s="450"/>
      <c r="K141" s="450">
        <f>11857+5928</f>
        <v>17785</v>
      </c>
      <c r="L141" s="450"/>
      <c r="M141" s="450"/>
      <c r="N141" s="450">
        <f>1765+33</f>
        <v>1798</v>
      </c>
      <c r="O141" s="450">
        <f>SUM(D141:N141)</f>
        <v>26671</v>
      </c>
    </row>
    <row r="142" spans="1:15">
      <c r="A142" t="s">
        <v>8625</v>
      </c>
      <c r="B142" s="461"/>
      <c r="C142" s="459"/>
      <c r="D142" s="464"/>
      <c r="E142" s="464"/>
      <c r="F142" s="464"/>
      <c r="G142" s="464"/>
      <c r="H142" s="464"/>
      <c r="I142" s="464"/>
      <c r="J142" s="464"/>
      <c r="K142" s="464"/>
      <c r="L142" s="464"/>
      <c r="M142" s="464"/>
      <c r="N142" s="464"/>
      <c r="O142" s="464"/>
    </row>
    <row r="143" spans="1:15">
      <c r="A143" t="s">
        <v>8625</v>
      </c>
      <c r="B143" s="458" t="s">
        <v>8635</v>
      </c>
      <c r="C143" s="462"/>
      <c r="D143" s="462"/>
      <c r="E143" s="459"/>
      <c r="F143" s="459"/>
      <c r="G143" s="459"/>
      <c r="H143" s="459"/>
      <c r="I143" s="459"/>
      <c r="J143" s="459"/>
      <c r="K143" s="459"/>
      <c r="L143" s="459"/>
      <c r="M143" s="459"/>
      <c r="N143" s="459"/>
      <c r="O143" s="459"/>
    </row>
    <row r="144" spans="1:15">
      <c r="A144" t="s">
        <v>8625</v>
      </c>
      <c r="B144" s="458"/>
      <c r="C144" s="462"/>
      <c r="D144" s="462"/>
      <c r="E144" s="459"/>
      <c r="F144" s="459"/>
      <c r="G144" s="459"/>
      <c r="H144" s="459"/>
      <c r="I144" s="459"/>
      <c r="J144" s="459"/>
      <c r="K144" s="459"/>
      <c r="L144" s="459"/>
      <c r="M144" s="459"/>
      <c r="N144" s="459"/>
      <c r="O144" s="459"/>
    </row>
    <row r="145" spans="1:15">
      <c r="A145" t="s">
        <v>8625</v>
      </c>
      <c r="B145" s="615" t="s">
        <v>8621</v>
      </c>
      <c r="C145" s="616"/>
      <c r="D145" s="616"/>
      <c r="E145" s="459"/>
      <c r="F145" s="459"/>
      <c r="G145" s="459"/>
      <c r="H145" s="459"/>
      <c r="I145" s="459"/>
      <c r="J145" s="459"/>
      <c r="K145" s="459"/>
      <c r="L145" s="459"/>
      <c r="M145" s="459"/>
      <c r="N145" s="459"/>
      <c r="O145" s="459"/>
    </row>
    <row r="146" spans="1:15">
      <c r="A146" t="s">
        <v>8625</v>
      </c>
      <c r="B146" s="461"/>
      <c r="C146" s="459"/>
      <c r="D146" s="459"/>
      <c r="E146" s="459"/>
      <c r="F146" s="459"/>
      <c r="G146" s="459"/>
      <c r="H146" s="459"/>
      <c r="I146" s="459"/>
      <c r="J146" s="459"/>
      <c r="K146" s="459"/>
      <c r="L146" s="459"/>
      <c r="M146" s="459"/>
      <c r="N146" s="459"/>
      <c r="O146" s="459"/>
    </row>
    <row r="147" spans="1:15">
      <c r="A147" t="s">
        <v>8625</v>
      </c>
      <c r="B147" s="56" t="s">
        <v>8579</v>
      </c>
      <c r="C147" s="456" t="s">
        <v>436</v>
      </c>
      <c r="D147" s="456" t="s">
        <v>437</v>
      </c>
      <c r="E147" s="456" t="s">
        <v>438</v>
      </c>
      <c r="F147" s="456" t="s">
        <v>439</v>
      </c>
      <c r="G147" s="456" t="s">
        <v>440</v>
      </c>
      <c r="H147" s="70" t="s">
        <v>441</v>
      </c>
      <c r="I147" s="456" t="s">
        <v>442</v>
      </c>
      <c r="J147" s="456" t="s">
        <v>443</v>
      </c>
      <c r="K147" s="456" t="s">
        <v>444</v>
      </c>
      <c r="L147" s="67" t="s">
        <v>445</v>
      </c>
      <c r="M147" s="456" t="s">
        <v>446</v>
      </c>
      <c r="N147" s="456" t="s">
        <v>447</v>
      </c>
      <c r="O147" s="456" t="s">
        <v>448</v>
      </c>
    </row>
    <row r="148" spans="1:15">
      <c r="A148" t="s">
        <v>8625</v>
      </c>
      <c r="B148" s="64" t="s">
        <v>8636</v>
      </c>
      <c r="C148" s="457" t="s">
        <v>8613</v>
      </c>
      <c r="D148" s="457" t="s">
        <v>8613</v>
      </c>
      <c r="E148" s="457" t="s">
        <v>8613</v>
      </c>
      <c r="F148" s="457" t="s">
        <v>8613</v>
      </c>
      <c r="G148" s="457" t="s">
        <v>8613</v>
      </c>
      <c r="H148" s="457" t="s">
        <v>8613</v>
      </c>
      <c r="I148" s="457" t="s">
        <v>8613</v>
      </c>
      <c r="J148" s="457" t="s">
        <v>8613</v>
      </c>
      <c r="K148" s="457" t="s">
        <v>8613</v>
      </c>
      <c r="L148" s="457" t="s">
        <v>8613</v>
      </c>
      <c r="M148" s="457" t="s">
        <v>8613</v>
      </c>
      <c r="N148" s="457" t="s">
        <v>8613</v>
      </c>
      <c r="O148" s="457" t="s">
        <v>8613</v>
      </c>
    </row>
    <row r="149" spans="1:15">
      <c r="A149" t="s">
        <v>8625</v>
      </c>
      <c r="B149" s="64" t="s">
        <v>8637</v>
      </c>
      <c r="C149" s="456" t="s">
        <v>8624</v>
      </c>
      <c r="D149" s="455"/>
      <c r="E149" s="455">
        <v>0.01</v>
      </c>
      <c r="F149" s="455">
        <v>0.06</v>
      </c>
      <c r="G149" s="455">
        <v>0.23</v>
      </c>
      <c r="H149" s="455"/>
      <c r="I149" s="455">
        <v>0.1</v>
      </c>
      <c r="J149" s="455"/>
      <c r="K149" s="455">
        <v>0.6</v>
      </c>
      <c r="L149" s="455"/>
      <c r="M149" s="455"/>
      <c r="N149" s="455"/>
      <c r="O149" s="455"/>
    </row>
    <row r="150" spans="1:15">
      <c r="A150" t="s">
        <v>8638</v>
      </c>
      <c r="B150" s="56" t="s">
        <v>8579</v>
      </c>
      <c r="C150" s="56" t="s">
        <v>436</v>
      </c>
      <c r="D150" s="56" t="s">
        <v>437</v>
      </c>
      <c r="E150" s="56" t="s">
        <v>438</v>
      </c>
      <c r="F150" s="56" t="s">
        <v>439</v>
      </c>
      <c r="G150" s="56" t="s">
        <v>440</v>
      </c>
      <c r="H150" s="70" t="s">
        <v>441</v>
      </c>
      <c r="I150" s="56" t="s">
        <v>442</v>
      </c>
      <c r="J150" s="56" t="s">
        <v>443</v>
      </c>
      <c r="K150" s="67" t="s">
        <v>444</v>
      </c>
      <c r="L150" s="67" t="s">
        <v>445</v>
      </c>
      <c r="M150" s="56" t="s">
        <v>6915</v>
      </c>
      <c r="N150" s="56" t="s">
        <v>447</v>
      </c>
      <c r="O150" s="56" t="s">
        <v>448</v>
      </c>
    </row>
    <row r="151" spans="1:15">
      <c r="A151" t="s">
        <v>8638</v>
      </c>
      <c r="B151" s="64" t="s">
        <v>8639</v>
      </c>
      <c r="C151" s="64" t="s">
        <v>8640</v>
      </c>
      <c r="D151" s="60"/>
      <c r="E151" s="60"/>
      <c r="F151" s="60">
        <f>1880+183.15+0.5+15.2+24.2</f>
        <v>2103.0499999999997</v>
      </c>
      <c r="G151" s="60">
        <f>255+1.85+20</f>
        <v>276.85000000000002</v>
      </c>
      <c r="H151" s="60"/>
      <c r="I151" s="60"/>
      <c r="J151" s="60"/>
      <c r="K151" s="60"/>
      <c r="L151" s="60"/>
      <c r="M151" s="60"/>
      <c r="N151" s="60">
        <v>0.9</v>
      </c>
      <c r="O151" s="60">
        <f t="shared" ref="O151:O154" si="33">SUM(D151:N151)</f>
        <v>2380.7999999999997</v>
      </c>
    </row>
    <row r="152" spans="1:15">
      <c r="A152" t="s">
        <v>8638</v>
      </c>
      <c r="B152" s="64"/>
      <c r="C152" s="64" t="s">
        <v>8641</v>
      </c>
      <c r="D152" s="60"/>
      <c r="E152" s="60">
        <v>9.56</v>
      </c>
      <c r="F152" s="60">
        <f>91+29.7+9.6+0.3+70.04</f>
        <v>200.64000000000004</v>
      </c>
      <c r="G152" s="60">
        <f>585+44+47.6+100+2.5</f>
        <v>779.1</v>
      </c>
      <c r="H152" s="60"/>
      <c r="I152" s="60">
        <v>45</v>
      </c>
      <c r="J152" s="60"/>
      <c r="K152" s="60"/>
      <c r="L152" s="60"/>
      <c r="M152" s="60"/>
      <c r="N152" s="60">
        <f>0.8</f>
        <v>0.8</v>
      </c>
      <c r="O152" s="60">
        <f t="shared" si="33"/>
        <v>1035.1000000000001</v>
      </c>
    </row>
    <row r="153" spans="1:15">
      <c r="A153" t="s">
        <v>8638</v>
      </c>
      <c r="B153" s="64"/>
      <c r="C153" s="64" t="s">
        <v>458</v>
      </c>
      <c r="D153" s="60"/>
      <c r="E153" s="60">
        <v>318</v>
      </c>
      <c r="F153" s="60">
        <v>539.9</v>
      </c>
      <c r="G153" s="60">
        <v>212</v>
      </c>
      <c r="H153" s="60"/>
      <c r="I153" s="60">
        <f>325+195</f>
        <v>520</v>
      </c>
      <c r="J153" s="60"/>
      <c r="K153" s="60"/>
      <c r="L153" s="60"/>
      <c r="M153" s="60"/>
      <c r="N153" s="60"/>
      <c r="O153" s="60">
        <f t="shared" si="33"/>
        <v>1589.9</v>
      </c>
    </row>
    <row r="154" spans="1:15">
      <c r="A154" t="s">
        <v>8638</v>
      </c>
      <c r="B154" s="64"/>
      <c r="C154" s="64" t="s">
        <v>460</v>
      </c>
      <c r="D154" s="60">
        <f>30+16.5</f>
        <v>46.5</v>
      </c>
      <c r="E154" s="60"/>
      <c r="F154" s="60"/>
      <c r="G154" s="60">
        <f>70+38.5</f>
        <v>108.5</v>
      </c>
      <c r="H154" s="60"/>
      <c r="I154" s="60"/>
      <c r="J154" s="60"/>
      <c r="K154" s="60"/>
      <c r="L154" s="60"/>
      <c r="M154" s="60"/>
      <c r="N154" s="60"/>
      <c r="O154" s="60">
        <f t="shared" si="33"/>
        <v>155</v>
      </c>
    </row>
    <row r="155" spans="1:15">
      <c r="A155" t="s">
        <v>8638</v>
      </c>
      <c r="B155" s="64"/>
      <c r="C155" s="64"/>
      <c r="D155" s="60"/>
      <c r="E155" s="60"/>
      <c r="F155" s="60"/>
      <c r="G155" s="60"/>
      <c r="H155" s="60"/>
      <c r="I155" s="60"/>
      <c r="J155" s="60"/>
      <c r="K155" s="60"/>
      <c r="L155" s="60"/>
      <c r="M155" s="60"/>
      <c r="N155" s="60"/>
      <c r="O155" s="60"/>
    </row>
    <row r="156" spans="1:15">
      <c r="A156" t="s">
        <v>8638</v>
      </c>
      <c r="B156" s="64"/>
      <c r="C156" s="56" t="s">
        <v>448</v>
      </c>
      <c r="D156" s="60">
        <f>SUM(D151:D154)</f>
        <v>46.5</v>
      </c>
      <c r="E156" s="60">
        <f>SUM(E151:E154)</f>
        <v>327.56</v>
      </c>
      <c r="F156" s="60">
        <f>SUM(F151:F154)</f>
        <v>2843.5899999999997</v>
      </c>
      <c r="G156" s="60">
        <f>SUM(G151:G154)</f>
        <v>1376.45</v>
      </c>
      <c r="H156" s="60"/>
      <c r="I156" s="60">
        <f>SUM(I151:I154)</f>
        <v>565</v>
      </c>
      <c r="J156" s="60"/>
      <c r="K156" s="60"/>
      <c r="L156" s="60"/>
      <c r="M156" s="60"/>
      <c r="N156" s="60">
        <f>SUM(N151:N154)</f>
        <v>1.7000000000000002</v>
      </c>
      <c r="O156" s="60">
        <f>SUM(D156:N156)</f>
        <v>5160.7999999999993</v>
      </c>
    </row>
    <row r="157" spans="1:15">
      <c r="A157" t="s">
        <v>8638</v>
      </c>
      <c r="B157" s="444" t="s">
        <v>8630</v>
      </c>
      <c r="C157" s="444"/>
      <c r="D157" s="444"/>
      <c r="E157" s="444"/>
      <c r="F157" s="444"/>
      <c r="G157" s="444"/>
      <c r="H157" s="444"/>
      <c r="I157" s="444"/>
      <c r="J157" s="444"/>
      <c r="K157" s="444"/>
      <c r="L157" s="444"/>
      <c r="M157" s="444"/>
      <c r="N157" s="444"/>
      <c r="O157" s="444"/>
    </row>
    <row r="158" spans="1:15">
      <c r="A158" t="s">
        <v>8638</v>
      </c>
      <c r="B158" s="449" t="s">
        <v>8642</v>
      </c>
      <c r="C158" s="444"/>
      <c r="D158" s="444"/>
      <c r="E158" s="444"/>
      <c r="F158" s="444"/>
      <c r="G158" s="444"/>
      <c r="H158" s="444"/>
      <c r="I158" s="444"/>
      <c r="J158" s="444"/>
      <c r="K158" s="444"/>
      <c r="L158" s="444"/>
      <c r="M158" s="444"/>
      <c r="N158" s="444"/>
      <c r="O158" s="444"/>
    </row>
    <row r="159" spans="1:15">
      <c r="A159" t="s">
        <v>8638</v>
      </c>
      <c r="B159" s="444"/>
      <c r="C159" s="444"/>
      <c r="D159" s="444"/>
      <c r="E159" s="444"/>
      <c r="F159" s="444"/>
      <c r="G159" s="444"/>
      <c r="H159" s="444"/>
      <c r="I159" s="444"/>
      <c r="J159" s="444"/>
      <c r="K159" s="444"/>
      <c r="L159" s="444"/>
      <c r="M159" s="444"/>
      <c r="N159" s="444"/>
      <c r="O159" s="444"/>
    </row>
    <row r="160" spans="1:15">
      <c r="A160" t="s">
        <v>8638</v>
      </c>
      <c r="B160" s="56" t="s">
        <v>8579</v>
      </c>
      <c r="C160" s="56" t="s">
        <v>436</v>
      </c>
      <c r="D160" s="56" t="s">
        <v>437</v>
      </c>
      <c r="E160" s="56" t="s">
        <v>438</v>
      </c>
      <c r="F160" s="56" t="s">
        <v>439</v>
      </c>
      <c r="G160" s="56" t="s">
        <v>440</v>
      </c>
      <c r="H160" s="70" t="s">
        <v>441</v>
      </c>
      <c r="I160" s="56" t="s">
        <v>442</v>
      </c>
      <c r="J160" s="56" t="s">
        <v>443</v>
      </c>
      <c r="K160" s="67" t="s">
        <v>444</v>
      </c>
      <c r="L160" s="67" t="s">
        <v>445</v>
      </c>
      <c r="M160" s="56" t="s">
        <v>6915</v>
      </c>
      <c r="N160" s="56" t="s">
        <v>447</v>
      </c>
      <c r="O160" s="56" t="s">
        <v>448</v>
      </c>
    </row>
    <row r="161" spans="1:15">
      <c r="A161" t="s">
        <v>8638</v>
      </c>
      <c r="B161" s="64" t="s">
        <v>8643</v>
      </c>
      <c r="C161" s="64" t="s">
        <v>8640</v>
      </c>
      <c r="D161" s="60"/>
      <c r="E161" s="60"/>
      <c r="F161" s="60">
        <v>905</v>
      </c>
      <c r="G161" s="60">
        <v>563.70000000000005</v>
      </c>
      <c r="H161" s="60"/>
      <c r="I161" s="60"/>
      <c r="J161" s="60"/>
      <c r="K161" s="60"/>
      <c r="L161" s="60"/>
      <c r="M161" s="60"/>
      <c r="N161" s="60"/>
      <c r="O161" s="60">
        <f t="shared" ref="O161:O164" si="34">SUM(D161:N161)</f>
        <v>1468.7</v>
      </c>
    </row>
    <row r="162" spans="1:15">
      <c r="A162" t="s">
        <v>8638</v>
      </c>
      <c r="B162" s="64"/>
      <c r="C162" s="64" t="s">
        <v>8641</v>
      </c>
      <c r="D162" s="60">
        <v>12.2</v>
      </c>
      <c r="E162" s="60">
        <v>19.2</v>
      </c>
      <c r="F162" s="60">
        <v>109.16</v>
      </c>
      <c r="G162" s="60">
        <v>217.9</v>
      </c>
      <c r="H162" s="60"/>
      <c r="I162" s="60">
        <v>110.6</v>
      </c>
      <c r="J162" s="60"/>
      <c r="K162" s="60"/>
      <c r="L162" s="60"/>
      <c r="M162" s="60"/>
      <c r="N162" s="60">
        <v>18</v>
      </c>
      <c r="O162" s="60">
        <f t="shared" si="34"/>
        <v>487.06000000000006</v>
      </c>
    </row>
    <row r="163" spans="1:15">
      <c r="A163" t="s">
        <v>8638</v>
      </c>
      <c r="B163" s="64"/>
      <c r="C163" s="64" t="s">
        <v>458</v>
      </c>
      <c r="D163" s="60"/>
      <c r="E163" s="60"/>
      <c r="F163" s="60"/>
      <c r="G163" s="60"/>
      <c r="H163" s="60"/>
      <c r="I163" s="60">
        <v>547.70000000000005</v>
      </c>
      <c r="J163" s="60"/>
      <c r="K163" s="60"/>
      <c r="L163" s="60"/>
      <c r="M163" s="60"/>
      <c r="N163" s="60"/>
      <c r="O163" s="60">
        <f t="shared" si="34"/>
        <v>547.70000000000005</v>
      </c>
    </row>
    <row r="164" spans="1:15">
      <c r="A164" t="s">
        <v>8638</v>
      </c>
      <c r="B164" s="64"/>
      <c r="C164" s="64" t="s">
        <v>460</v>
      </c>
      <c r="D164" s="60">
        <v>74.400000000000006</v>
      </c>
      <c r="E164" s="60">
        <v>124.1</v>
      </c>
      <c r="F164" s="60">
        <v>763.6</v>
      </c>
      <c r="G164" s="60">
        <v>109.3</v>
      </c>
      <c r="H164" s="60"/>
      <c r="I164" s="69"/>
      <c r="J164" s="60"/>
      <c r="K164" s="60"/>
      <c r="L164" s="60"/>
      <c r="M164" s="60"/>
      <c r="N164" s="60">
        <v>1.4</v>
      </c>
      <c r="O164" s="60">
        <f t="shared" si="34"/>
        <v>1072.8000000000002</v>
      </c>
    </row>
    <row r="165" spans="1:15">
      <c r="A165" t="s">
        <v>8638</v>
      </c>
      <c r="B165" s="64"/>
      <c r="C165" s="64"/>
      <c r="D165" s="60"/>
      <c r="E165" s="60"/>
      <c r="F165" s="60"/>
      <c r="G165" s="60"/>
      <c r="H165" s="60"/>
      <c r="I165" s="60"/>
      <c r="J165" s="60"/>
      <c r="K165" s="60"/>
      <c r="L165" s="60"/>
      <c r="M165" s="60"/>
      <c r="N165" s="60"/>
      <c r="O165" s="60"/>
    </row>
    <row r="166" spans="1:15">
      <c r="A166" t="s">
        <v>8638</v>
      </c>
      <c r="B166" s="64"/>
      <c r="C166" s="56" t="s">
        <v>448</v>
      </c>
      <c r="D166" s="60">
        <f>SUM(D161:D164)</f>
        <v>86.600000000000009</v>
      </c>
      <c r="E166" s="60">
        <f>SUM(E161:E164)</f>
        <v>143.29999999999998</v>
      </c>
      <c r="F166" s="60">
        <f>SUM(F161:F164)</f>
        <v>1777.76</v>
      </c>
      <c r="G166" s="60">
        <f>SUM(G161:G164)</f>
        <v>890.9</v>
      </c>
      <c r="H166" s="60"/>
      <c r="I166" s="60">
        <f>SUM(I161:I163)</f>
        <v>658.30000000000007</v>
      </c>
      <c r="J166" s="60"/>
      <c r="K166" s="60"/>
      <c r="L166" s="60"/>
      <c r="M166" s="60"/>
      <c r="N166" s="60">
        <f>SUM(N161:N164)</f>
        <v>19.399999999999999</v>
      </c>
      <c r="O166" s="60">
        <f>SUM(D166:N166)</f>
        <v>3576.26</v>
      </c>
    </row>
    <row r="167" spans="1:15">
      <c r="A167" t="s">
        <v>8638</v>
      </c>
      <c r="B167" s="444" t="s">
        <v>8630</v>
      </c>
      <c r="C167" s="449"/>
      <c r="D167" s="447"/>
      <c r="E167" s="447"/>
      <c r="F167" s="447"/>
      <c r="G167" s="447"/>
      <c r="H167" s="447"/>
      <c r="I167" s="447"/>
      <c r="J167" s="447"/>
      <c r="K167" s="447"/>
      <c r="L167" s="447"/>
      <c r="M167" s="447"/>
      <c r="N167" s="447"/>
      <c r="O167" s="447"/>
    </row>
    <row r="168" spans="1:15">
      <c r="A168" t="s">
        <v>8638</v>
      </c>
      <c r="B168" s="449" t="s">
        <v>8644</v>
      </c>
      <c r="C168" s="449"/>
      <c r="D168" s="447"/>
      <c r="E168" s="447"/>
      <c r="F168" s="447"/>
      <c r="G168" s="447"/>
      <c r="H168" s="447"/>
      <c r="I168" s="447"/>
      <c r="J168" s="447"/>
      <c r="K168" s="447"/>
      <c r="L168" s="447"/>
      <c r="M168" s="447"/>
      <c r="N168" s="447"/>
      <c r="O168" s="447"/>
    </row>
    <row r="169" spans="1:15">
      <c r="A169" t="s">
        <v>8638</v>
      </c>
      <c r="B169" s="449"/>
      <c r="C169" s="449"/>
      <c r="D169" s="447"/>
      <c r="E169" s="447"/>
      <c r="F169" s="447"/>
      <c r="G169" s="447"/>
      <c r="H169" s="447"/>
      <c r="I169" s="447"/>
      <c r="J169" s="447"/>
      <c r="K169" s="447"/>
      <c r="L169" s="447"/>
      <c r="M169" s="447"/>
      <c r="N169" s="447"/>
      <c r="O169" s="447"/>
    </row>
    <row r="170" spans="1:15">
      <c r="A170" t="s">
        <v>8638</v>
      </c>
      <c r="B170" s="56" t="s">
        <v>8579</v>
      </c>
      <c r="C170" s="56" t="s">
        <v>436</v>
      </c>
      <c r="D170" s="56" t="s">
        <v>437</v>
      </c>
      <c r="E170" s="56" t="s">
        <v>438</v>
      </c>
      <c r="F170" s="56" t="s">
        <v>439</v>
      </c>
      <c r="G170" s="56" t="s">
        <v>440</v>
      </c>
      <c r="H170" s="70" t="s">
        <v>441</v>
      </c>
      <c r="I170" s="56" t="s">
        <v>442</v>
      </c>
      <c r="J170" s="56" t="s">
        <v>443</v>
      </c>
      <c r="K170" s="67" t="s">
        <v>444</v>
      </c>
      <c r="L170" s="67" t="s">
        <v>445</v>
      </c>
      <c r="M170" s="56" t="s">
        <v>6915</v>
      </c>
      <c r="N170" s="56" t="s">
        <v>447</v>
      </c>
      <c r="O170" s="56" t="s">
        <v>448</v>
      </c>
    </row>
    <row r="171" spans="1:15">
      <c r="A171" t="s">
        <v>8638</v>
      </c>
      <c r="B171" s="64" t="s">
        <v>8645</v>
      </c>
      <c r="C171" s="64" t="s">
        <v>8640</v>
      </c>
      <c r="D171" s="60"/>
      <c r="E171" s="60"/>
      <c r="F171" s="60">
        <f>637+116+28+17.2</f>
        <v>798.2</v>
      </c>
      <c r="G171" s="60">
        <f>99+756+6</f>
        <v>861</v>
      </c>
      <c r="H171" s="60"/>
      <c r="I171" s="60"/>
      <c r="J171" s="60"/>
      <c r="K171" s="60"/>
      <c r="L171" s="60"/>
      <c r="M171" s="60"/>
      <c r="N171" s="60"/>
      <c r="O171" s="60">
        <f t="shared" ref="O171:O172" si="35">SUM(D171:N171)</f>
        <v>1659.2</v>
      </c>
    </row>
    <row r="172" spans="1:15">
      <c r="A172" t="s">
        <v>8638</v>
      </c>
      <c r="B172" s="64"/>
      <c r="C172" s="64" t="s">
        <v>8641</v>
      </c>
      <c r="D172" s="60"/>
      <c r="E172" s="60"/>
      <c r="F172" s="60">
        <f>62.8+67.3+8.7+7.1+0.7+4.8</f>
        <v>151.39999999999998</v>
      </c>
      <c r="G172" s="60">
        <f>146+13.1+1.5+2.3</f>
        <v>162.9</v>
      </c>
      <c r="H172" s="60"/>
      <c r="I172" s="60">
        <v>1.3</v>
      </c>
      <c r="J172" s="60"/>
      <c r="K172" s="60"/>
      <c r="L172" s="60"/>
      <c r="M172" s="60"/>
      <c r="N172" s="60">
        <f>2.7</f>
        <v>2.7</v>
      </c>
      <c r="O172" s="60">
        <f t="shared" si="35"/>
        <v>318.29999999999995</v>
      </c>
    </row>
    <row r="173" spans="1:15">
      <c r="A173" t="s">
        <v>8638</v>
      </c>
      <c r="B173" s="64"/>
      <c r="C173" s="64" t="s">
        <v>458</v>
      </c>
      <c r="D173" s="60"/>
      <c r="E173" s="60">
        <f>10.85</f>
        <v>10.85</v>
      </c>
      <c r="F173" s="60">
        <f>5.2</f>
        <v>5.2</v>
      </c>
      <c r="G173" s="60">
        <v>16.25</v>
      </c>
      <c r="H173" s="60"/>
      <c r="I173" s="60">
        <f>128.4+82.2</f>
        <v>210.60000000000002</v>
      </c>
      <c r="J173" s="60"/>
      <c r="K173" s="60"/>
      <c r="L173" s="60"/>
      <c r="M173" s="60"/>
      <c r="N173" s="60"/>
      <c r="O173" s="60">
        <f>SUM(D173:N173)</f>
        <v>242.90000000000003</v>
      </c>
    </row>
    <row r="174" spans="1:15">
      <c r="A174" t="s">
        <v>8638</v>
      </c>
      <c r="B174" s="64"/>
      <c r="C174" s="64" t="s">
        <v>460</v>
      </c>
      <c r="D174" s="60">
        <v>1.2</v>
      </c>
      <c r="E174" s="60">
        <v>31.5</v>
      </c>
      <c r="F174" s="60"/>
      <c r="G174" s="60">
        <f>73.5+11.1</f>
        <v>84.6</v>
      </c>
      <c r="H174" s="60"/>
      <c r="I174" s="60"/>
      <c r="J174" s="60"/>
      <c r="K174" s="60"/>
      <c r="L174" s="60"/>
      <c r="M174" s="60"/>
      <c r="N174" s="60"/>
      <c r="O174" s="60">
        <f>SUM(D174:N174)</f>
        <v>117.3</v>
      </c>
    </row>
    <row r="175" spans="1:15">
      <c r="A175" t="s">
        <v>8638</v>
      </c>
      <c r="B175" s="64"/>
      <c r="C175" s="64"/>
      <c r="D175" s="60"/>
      <c r="E175" s="60"/>
      <c r="F175" s="60"/>
      <c r="G175" s="60"/>
      <c r="H175" s="60"/>
      <c r="I175" s="60"/>
      <c r="J175" s="60"/>
      <c r="K175" s="60"/>
      <c r="L175" s="60"/>
      <c r="M175" s="60"/>
      <c r="N175" s="60"/>
      <c r="O175" s="60"/>
    </row>
    <row r="176" spans="1:15">
      <c r="A176" t="s">
        <v>8638</v>
      </c>
      <c r="B176" s="64"/>
      <c r="C176" s="56" t="s">
        <v>448</v>
      </c>
      <c r="D176" s="60">
        <f>SUM(D171:D174)</f>
        <v>1.2</v>
      </c>
      <c r="E176" s="60">
        <f>SUM(E171:E174)</f>
        <v>42.35</v>
      </c>
      <c r="F176" s="60">
        <f>SUM(F171:F174)</f>
        <v>954.80000000000007</v>
      </c>
      <c r="G176" s="60">
        <f>SUM(G171:G174)</f>
        <v>1124.75</v>
      </c>
      <c r="H176" s="60"/>
      <c r="I176" s="60">
        <f>SUM(I171:I174)</f>
        <v>211.90000000000003</v>
      </c>
      <c r="J176" s="60"/>
      <c r="K176" s="60"/>
      <c r="L176" s="60"/>
      <c r="M176" s="60"/>
      <c r="N176" s="60">
        <f>SUM(N171:N174)</f>
        <v>2.7</v>
      </c>
      <c r="O176" s="60">
        <f>SUM(D176:N176)</f>
        <v>2337.6999999999998</v>
      </c>
    </row>
    <row r="177" spans="1:15">
      <c r="A177" t="s">
        <v>8638</v>
      </c>
      <c r="B177" s="444" t="s">
        <v>8630</v>
      </c>
      <c r="C177" s="444"/>
      <c r="D177" s="449"/>
      <c r="E177" s="449"/>
      <c r="F177" s="449"/>
      <c r="G177" s="449"/>
      <c r="H177" s="449"/>
      <c r="I177" s="449"/>
      <c r="J177" s="449"/>
      <c r="K177" s="449"/>
      <c r="L177" s="449"/>
      <c r="M177" s="449"/>
      <c r="N177" s="449"/>
      <c r="O177" s="449"/>
    </row>
    <row r="178" spans="1:15">
      <c r="A178" t="s">
        <v>8638</v>
      </c>
      <c r="B178" s="449" t="s">
        <v>8646</v>
      </c>
      <c r="C178" s="444"/>
      <c r="D178" s="449"/>
      <c r="E178" s="449"/>
      <c r="F178" s="449"/>
      <c r="G178" s="449"/>
      <c r="H178" s="449"/>
      <c r="I178" s="449"/>
      <c r="J178" s="449"/>
      <c r="K178" s="449"/>
      <c r="L178" s="449"/>
      <c r="M178" s="449"/>
      <c r="N178" s="449"/>
      <c r="O178" s="449"/>
    </row>
    <row r="179" spans="1:15">
      <c r="A179" t="s">
        <v>8638</v>
      </c>
      <c r="B179" s="444"/>
      <c r="C179" s="444"/>
      <c r="D179" s="449"/>
      <c r="E179" s="449"/>
      <c r="F179" s="449"/>
      <c r="G179" s="449"/>
      <c r="H179" s="449"/>
      <c r="I179" s="449"/>
      <c r="J179" s="449"/>
      <c r="K179" s="449"/>
      <c r="L179" s="449"/>
      <c r="M179" s="449"/>
      <c r="N179" s="449"/>
      <c r="O179" s="449"/>
    </row>
    <row r="180" spans="1:15">
      <c r="A180" t="s">
        <v>8638</v>
      </c>
      <c r="B180" s="610" t="s">
        <v>8647</v>
      </c>
      <c r="C180" s="611"/>
      <c r="D180" s="449"/>
      <c r="E180" s="449"/>
      <c r="F180" s="449"/>
      <c r="G180" s="449"/>
      <c r="H180" s="449"/>
      <c r="I180" s="449"/>
      <c r="J180" s="449"/>
      <c r="K180" s="449"/>
      <c r="L180" s="449"/>
      <c r="M180" s="449"/>
      <c r="N180" s="449"/>
      <c r="O180" s="449"/>
    </row>
    <row r="181" spans="1:15">
      <c r="A181" t="s">
        <v>8638</v>
      </c>
      <c r="B181" s="444"/>
      <c r="C181" s="444"/>
      <c r="D181" s="444"/>
      <c r="E181" s="444"/>
      <c r="F181" s="444"/>
      <c r="G181" s="444"/>
      <c r="H181" s="444"/>
      <c r="I181" s="444"/>
      <c r="J181" s="444"/>
      <c r="K181" s="444"/>
      <c r="L181" s="444"/>
      <c r="M181" s="444"/>
      <c r="N181" s="444"/>
      <c r="O181" s="444"/>
    </row>
    <row r="182" spans="1:15">
      <c r="A182" t="s">
        <v>8638</v>
      </c>
      <c r="B182" s="444" t="s">
        <v>8620</v>
      </c>
      <c r="C182" s="449"/>
      <c r="D182" s="449"/>
      <c r="E182" s="449"/>
      <c r="F182" s="449"/>
      <c r="G182" s="449"/>
      <c r="H182" s="449"/>
      <c r="I182" s="449"/>
      <c r="J182" s="449"/>
      <c r="K182" s="449"/>
      <c r="L182" s="449"/>
      <c r="M182" s="449"/>
      <c r="N182" s="449"/>
      <c r="O182" s="449"/>
    </row>
    <row r="183" spans="1:15">
      <c r="A183" t="s">
        <v>8638</v>
      </c>
      <c r="B183" s="444"/>
      <c r="C183" s="444"/>
      <c r="D183" s="444"/>
      <c r="E183" s="444"/>
      <c r="F183" s="444"/>
      <c r="G183" s="444"/>
      <c r="H183" s="444"/>
      <c r="I183" s="444"/>
      <c r="J183" s="444"/>
      <c r="K183" s="444"/>
      <c r="L183" s="444"/>
      <c r="M183" s="444"/>
      <c r="N183" s="444"/>
      <c r="O183" s="444"/>
    </row>
    <row r="184" spans="1:15">
      <c r="A184" t="s">
        <v>8638</v>
      </c>
      <c r="B184" s="610" t="s">
        <v>8648</v>
      </c>
      <c r="C184" s="611"/>
      <c r="D184" s="611"/>
      <c r="E184" s="444"/>
      <c r="F184" s="444"/>
      <c r="G184" s="444"/>
      <c r="H184" s="444"/>
      <c r="I184" s="444"/>
      <c r="J184" s="444"/>
      <c r="K184" s="444"/>
      <c r="L184" s="444"/>
      <c r="M184" s="444"/>
      <c r="N184" s="444"/>
      <c r="O184" s="444"/>
    </row>
    <row r="185" spans="1:15">
      <c r="A185" t="s">
        <v>8638</v>
      </c>
      <c r="B185" s="444"/>
      <c r="C185" s="444"/>
      <c r="D185" s="444"/>
      <c r="E185" s="444"/>
      <c r="F185" s="444"/>
      <c r="G185" s="444"/>
      <c r="H185" s="444"/>
      <c r="I185" s="444"/>
      <c r="J185" s="444"/>
      <c r="K185" s="444"/>
      <c r="L185" s="444"/>
      <c r="M185" s="444"/>
      <c r="N185" s="444"/>
      <c r="O185" s="444"/>
    </row>
    <row r="186" spans="1:15">
      <c r="A186" t="s">
        <v>8638</v>
      </c>
      <c r="B186" s="56" t="s">
        <v>8584</v>
      </c>
      <c r="C186" s="56" t="s">
        <v>6909</v>
      </c>
      <c r="D186" s="56" t="s">
        <v>437</v>
      </c>
      <c r="E186" s="56" t="s">
        <v>217</v>
      </c>
      <c r="F186" s="56" t="s">
        <v>313</v>
      </c>
      <c r="G186" s="56" t="s">
        <v>6911</v>
      </c>
      <c r="H186" s="70" t="s">
        <v>441</v>
      </c>
      <c r="I186" s="56" t="s">
        <v>6912</v>
      </c>
      <c r="J186" s="56" t="s">
        <v>443</v>
      </c>
      <c r="K186" s="67" t="s">
        <v>444</v>
      </c>
      <c r="L186" s="67" t="s">
        <v>445</v>
      </c>
      <c r="M186" s="56" t="s">
        <v>6915</v>
      </c>
      <c r="N186" s="56" t="s">
        <v>8649</v>
      </c>
      <c r="O186" s="56" t="s">
        <v>448</v>
      </c>
    </row>
    <row r="187" spans="1:15">
      <c r="A187" t="s">
        <v>8638</v>
      </c>
      <c r="B187" s="64" t="s">
        <v>8650</v>
      </c>
      <c r="C187" s="64" t="s">
        <v>8613</v>
      </c>
      <c r="D187" s="64" t="s">
        <v>8613</v>
      </c>
      <c r="E187" s="64" t="s">
        <v>8613</v>
      </c>
      <c r="F187" s="64" t="s">
        <v>8613</v>
      </c>
      <c r="G187" s="64" t="s">
        <v>8613</v>
      </c>
      <c r="H187" s="64" t="s">
        <v>8613</v>
      </c>
      <c r="I187" s="64" t="s">
        <v>8613</v>
      </c>
      <c r="J187" s="64" t="s">
        <v>8613</v>
      </c>
      <c r="K187" s="64" t="s">
        <v>8613</v>
      </c>
      <c r="L187" s="64" t="s">
        <v>8613</v>
      </c>
      <c r="M187" s="64" t="s">
        <v>8613</v>
      </c>
      <c r="N187" s="64" t="s">
        <v>8613</v>
      </c>
      <c r="O187" s="64" t="s">
        <v>8613</v>
      </c>
    </row>
    <row r="188" spans="1:15">
      <c r="A188" t="s">
        <v>8638</v>
      </c>
      <c r="B188" s="64" t="s">
        <v>8651</v>
      </c>
      <c r="C188" s="56" t="s">
        <v>8624</v>
      </c>
      <c r="D188" s="64"/>
      <c r="E188" s="465">
        <v>3.5999999999999997E-2</v>
      </c>
      <c r="F188" s="465">
        <v>0.625</v>
      </c>
      <c r="G188" s="465">
        <v>0.13400000000000001</v>
      </c>
      <c r="H188" s="64"/>
      <c r="I188" s="465">
        <v>0.13500000000000001</v>
      </c>
      <c r="J188" s="64"/>
      <c r="K188" s="64"/>
      <c r="L188" s="64"/>
      <c r="M188" s="64"/>
      <c r="N188" s="466">
        <v>7.0000000000000007E-2</v>
      </c>
      <c r="O188" s="64"/>
    </row>
    <row r="189" spans="1:15">
      <c r="A189" t="s">
        <v>8638</v>
      </c>
      <c r="B189" s="449"/>
      <c r="C189" s="449"/>
      <c r="D189" s="449"/>
      <c r="E189" s="449"/>
      <c r="F189" s="449"/>
      <c r="G189" s="449"/>
      <c r="H189" s="449"/>
      <c r="I189" s="449"/>
      <c r="J189" s="449"/>
      <c r="K189" s="449"/>
      <c r="L189" s="449"/>
      <c r="M189" s="449"/>
      <c r="N189" s="449"/>
      <c r="O189" s="449"/>
    </row>
    <row r="190" spans="1:15">
      <c r="A190" t="s">
        <v>8638</v>
      </c>
      <c r="B190" s="610" t="s">
        <v>8652</v>
      </c>
      <c r="C190" s="611"/>
      <c r="D190" s="449"/>
      <c r="E190" s="449"/>
      <c r="F190" s="449"/>
      <c r="G190" s="449"/>
      <c r="H190" s="449"/>
      <c r="I190" s="449"/>
      <c r="J190" s="449"/>
      <c r="K190" s="449"/>
      <c r="L190" s="449"/>
      <c r="M190" s="449"/>
      <c r="N190" s="449"/>
      <c r="O190" s="449"/>
    </row>
    <row r="191" spans="1:15">
      <c r="A191" t="s">
        <v>8638</v>
      </c>
      <c r="B191" s="449"/>
      <c r="C191" s="449"/>
      <c r="D191" s="449"/>
      <c r="E191" s="449"/>
      <c r="F191" s="449"/>
      <c r="G191" s="449"/>
      <c r="H191" s="449"/>
      <c r="I191" s="449"/>
      <c r="J191" s="449"/>
      <c r="K191" s="449"/>
      <c r="L191" s="449"/>
      <c r="M191" s="449"/>
      <c r="N191" s="449"/>
      <c r="O191" s="449"/>
    </row>
    <row r="192" spans="1:15">
      <c r="A192" t="s">
        <v>8638</v>
      </c>
      <c r="B192" s="56" t="s">
        <v>8584</v>
      </c>
      <c r="C192" s="56" t="s">
        <v>436</v>
      </c>
      <c r="D192" s="56" t="s">
        <v>437</v>
      </c>
      <c r="E192" s="56" t="s">
        <v>217</v>
      </c>
      <c r="F192" s="56" t="s">
        <v>313</v>
      </c>
      <c r="G192" s="56" t="s">
        <v>6911</v>
      </c>
      <c r="H192" s="70" t="s">
        <v>441</v>
      </c>
      <c r="I192" s="56" t="s">
        <v>6912</v>
      </c>
      <c r="J192" s="56" t="s">
        <v>443</v>
      </c>
      <c r="K192" s="67" t="s">
        <v>444</v>
      </c>
      <c r="L192" s="67" t="s">
        <v>445</v>
      </c>
      <c r="M192" s="56" t="s">
        <v>6915</v>
      </c>
      <c r="N192" s="56" t="s">
        <v>8649</v>
      </c>
      <c r="O192" s="56" t="s">
        <v>448</v>
      </c>
    </row>
    <row r="193" spans="1:15">
      <c r="A193" t="s">
        <v>8638</v>
      </c>
      <c r="B193" s="64" t="s">
        <v>8653</v>
      </c>
      <c r="C193" s="64" t="s">
        <v>8613</v>
      </c>
      <c r="D193" s="64" t="s">
        <v>8613</v>
      </c>
      <c r="E193" s="64" t="s">
        <v>8613</v>
      </c>
      <c r="F193" s="64" t="s">
        <v>8613</v>
      </c>
      <c r="G193" s="64" t="s">
        <v>8613</v>
      </c>
      <c r="H193" s="64" t="s">
        <v>8613</v>
      </c>
      <c r="I193" s="64" t="s">
        <v>8613</v>
      </c>
      <c r="J193" s="64" t="s">
        <v>8613</v>
      </c>
      <c r="K193" s="64" t="s">
        <v>8613</v>
      </c>
      <c r="L193" s="64" t="s">
        <v>8613</v>
      </c>
      <c r="M193" s="64" t="s">
        <v>8613</v>
      </c>
      <c r="N193" s="64" t="s">
        <v>8613</v>
      </c>
      <c r="O193" s="64" t="s">
        <v>8613</v>
      </c>
    </row>
    <row r="194" spans="1:15">
      <c r="A194" t="s">
        <v>8638</v>
      </c>
      <c r="B194" s="64"/>
      <c r="C194" s="56" t="s">
        <v>8624</v>
      </c>
      <c r="D194" s="64"/>
      <c r="E194" s="64"/>
      <c r="F194" s="64"/>
      <c r="G194" s="466">
        <v>0.15</v>
      </c>
      <c r="H194" s="64"/>
      <c r="I194" s="466">
        <v>0.16</v>
      </c>
      <c r="J194" s="64"/>
      <c r="K194" s="466"/>
      <c r="L194" s="466"/>
      <c r="M194" s="466">
        <v>0.61</v>
      </c>
      <c r="N194" s="466">
        <v>0.08</v>
      </c>
      <c r="O194" s="64"/>
    </row>
    <row r="195" spans="1:15">
      <c r="A195" t="s">
        <v>8638</v>
      </c>
      <c r="B195" s="449"/>
      <c r="C195" s="449"/>
      <c r="D195" s="449"/>
      <c r="E195" s="449"/>
      <c r="F195" s="449"/>
      <c r="G195" s="449"/>
      <c r="H195" s="449"/>
      <c r="I195" s="449"/>
      <c r="J195" s="449"/>
      <c r="K195" s="449"/>
      <c r="L195" s="449"/>
      <c r="M195" s="449"/>
      <c r="N195" s="449"/>
      <c r="O195" s="449"/>
    </row>
    <row r="196" spans="1:15">
      <c r="A196" t="s">
        <v>8638</v>
      </c>
      <c r="B196" s="444" t="s">
        <v>8654</v>
      </c>
      <c r="C196" s="449"/>
      <c r="D196" s="449"/>
      <c r="E196" s="449"/>
      <c r="F196" s="449"/>
      <c r="G196" s="449"/>
      <c r="H196" s="449"/>
      <c r="I196" s="449"/>
      <c r="J196" s="449"/>
      <c r="K196" s="449"/>
      <c r="L196" s="449"/>
      <c r="M196" s="449"/>
      <c r="N196" s="449"/>
      <c r="O196" s="449"/>
    </row>
    <row r="197" spans="1:15">
      <c r="A197" t="s">
        <v>8638</v>
      </c>
      <c r="B197" s="449"/>
      <c r="C197" s="449"/>
      <c r="D197" s="449"/>
      <c r="E197" s="449"/>
      <c r="F197" s="449"/>
      <c r="G197" s="449"/>
      <c r="H197" s="449"/>
      <c r="I197" s="449"/>
      <c r="J197" s="449"/>
      <c r="K197" s="449"/>
      <c r="L197" s="449"/>
      <c r="M197" s="449"/>
      <c r="N197" s="449"/>
      <c r="O197" s="449"/>
    </row>
    <row r="198" spans="1:15">
      <c r="A198" t="s">
        <v>8638</v>
      </c>
      <c r="B198" s="56" t="s">
        <v>8584</v>
      </c>
      <c r="C198" s="56" t="s">
        <v>6909</v>
      </c>
      <c r="D198" s="56" t="s">
        <v>437</v>
      </c>
      <c r="E198" s="56" t="s">
        <v>217</v>
      </c>
      <c r="F198" s="56" t="s">
        <v>313</v>
      </c>
      <c r="G198" s="56" t="s">
        <v>6911</v>
      </c>
      <c r="H198" s="70" t="s">
        <v>441</v>
      </c>
      <c r="I198" s="56" t="s">
        <v>6912</v>
      </c>
      <c r="J198" s="56" t="s">
        <v>443</v>
      </c>
      <c r="K198" s="67" t="s">
        <v>444</v>
      </c>
      <c r="L198" s="67" t="s">
        <v>445</v>
      </c>
      <c r="M198" s="56" t="s">
        <v>6915</v>
      </c>
      <c r="N198" s="56" t="s">
        <v>8649</v>
      </c>
      <c r="O198" s="56" t="s">
        <v>448</v>
      </c>
    </row>
    <row r="199" spans="1:15">
      <c r="A199" t="s">
        <v>8638</v>
      </c>
      <c r="B199" s="64" t="s">
        <v>8653</v>
      </c>
      <c r="C199" s="64" t="s">
        <v>8613</v>
      </c>
      <c r="D199" s="64" t="s">
        <v>8613</v>
      </c>
      <c r="E199" s="64" t="s">
        <v>8613</v>
      </c>
      <c r="F199" s="64" t="s">
        <v>8613</v>
      </c>
      <c r="G199" s="64" t="s">
        <v>8613</v>
      </c>
      <c r="H199" s="64" t="s">
        <v>8613</v>
      </c>
      <c r="I199" s="64" t="s">
        <v>8613</v>
      </c>
      <c r="J199" s="64" t="s">
        <v>8613</v>
      </c>
      <c r="K199" s="64" t="s">
        <v>8613</v>
      </c>
      <c r="L199" s="64" t="s">
        <v>8613</v>
      </c>
      <c r="M199" s="64" t="s">
        <v>8613</v>
      </c>
      <c r="N199" s="64" t="s">
        <v>8613</v>
      </c>
      <c r="O199" s="64" t="s">
        <v>8613</v>
      </c>
    </row>
    <row r="200" spans="1:15">
      <c r="A200" t="s">
        <v>8638</v>
      </c>
      <c r="B200" s="64"/>
      <c r="C200" s="56" t="s">
        <v>8624</v>
      </c>
      <c r="D200" s="64"/>
      <c r="E200" s="465">
        <v>1.0999999999999999E-2</v>
      </c>
      <c r="F200" s="64"/>
      <c r="G200" s="466">
        <v>0.16</v>
      </c>
      <c r="H200" s="64"/>
      <c r="I200" s="465">
        <v>0.126</v>
      </c>
      <c r="J200" s="64"/>
      <c r="K200" s="465"/>
      <c r="L200" s="465"/>
      <c r="M200" s="465">
        <v>0.64600000000000002</v>
      </c>
      <c r="N200" s="465">
        <v>5.7000000000000002E-2</v>
      </c>
      <c r="O200" s="64"/>
    </row>
    <row r="201" spans="1:15">
      <c r="A201" t="s">
        <v>8638</v>
      </c>
      <c r="B201" s="449"/>
      <c r="C201" s="449"/>
      <c r="D201" s="449"/>
      <c r="E201" s="449"/>
      <c r="F201" s="449"/>
      <c r="G201" s="449"/>
      <c r="H201" s="449"/>
      <c r="I201" s="449"/>
      <c r="J201" s="449"/>
      <c r="K201" s="449"/>
      <c r="L201" s="449"/>
      <c r="M201" s="449"/>
      <c r="N201" s="449"/>
      <c r="O201" s="449"/>
    </row>
    <row r="202" spans="1:15">
      <c r="A202" t="s">
        <v>8638</v>
      </c>
      <c r="B202" s="56" t="s">
        <v>8584</v>
      </c>
      <c r="C202" s="56" t="s">
        <v>6909</v>
      </c>
      <c r="D202" s="56" t="s">
        <v>437</v>
      </c>
      <c r="E202" s="56" t="s">
        <v>217</v>
      </c>
      <c r="F202" s="56" t="s">
        <v>313</v>
      </c>
      <c r="G202" s="56" t="s">
        <v>6911</v>
      </c>
      <c r="H202" s="70" t="s">
        <v>441</v>
      </c>
      <c r="I202" s="56" t="s">
        <v>6912</v>
      </c>
      <c r="J202" s="56" t="s">
        <v>443</v>
      </c>
      <c r="K202" s="67" t="s">
        <v>444</v>
      </c>
      <c r="L202" s="67" t="s">
        <v>445</v>
      </c>
      <c r="M202" s="56" t="s">
        <v>6915</v>
      </c>
      <c r="N202" s="56" t="s">
        <v>8649</v>
      </c>
      <c r="O202" s="56" t="s">
        <v>448</v>
      </c>
    </row>
    <row r="203" spans="1:15">
      <c r="A203" t="s">
        <v>8638</v>
      </c>
      <c r="B203" s="64" t="s">
        <v>8653</v>
      </c>
      <c r="C203" s="64" t="s">
        <v>8613</v>
      </c>
      <c r="D203" s="64" t="s">
        <v>8613</v>
      </c>
      <c r="E203" s="64" t="s">
        <v>8613</v>
      </c>
      <c r="F203" s="64" t="s">
        <v>8613</v>
      </c>
      <c r="G203" s="64" t="s">
        <v>8613</v>
      </c>
      <c r="H203" s="64" t="s">
        <v>8613</v>
      </c>
      <c r="I203" s="64" t="s">
        <v>8613</v>
      </c>
      <c r="J203" s="64" t="s">
        <v>8613</v>
      </c>
      <c r="K203" s="64" t="s">
        <v>8613</v>
      </c>
      <c r="L203" s="64" t="s">
        <v>8613</v>
      </c>
      <c r="M203" s="64" t="s">
        <v>8613</v>
      </c>
      <c r="N203" s="64" t="s">
        <v>8613</v>
      </c>
      <c r="O203" s="64" t="s">
        <v>8613</v>
      </c>
    </row>
    <row r="204" spans="1:15">
      <c r="A204" t="s">
        <v>8638</v>
      </c>
      <c r="B204" s="64"/>
      <c r="C204" s="56" t="s">
        <v>8624</v>
      </c>
      <c r="D204" s="64"/>
      <c r="E204" s="465">
        <v>6.6000000000000003E-2</v>
      </c>
      <c r="F204" s="64"/>
      <c r="G204" s="465">
        <v>0.156</v>
      </c>
      <c r="H204" s="64"/>
      <c r="I204" s="465">
        <v>0.14399999999999999</v>
      </c>
      <c r="J204" s="64"/>
      <c r="K204" s="465"/>
      <c r="L204" s="465"/>
      <c r="M204" s="465">
        <v>0.58899999999999997</v>
      </c>
      <c r="N204" s="465">
        <v>4.4999999999999998E-2</v>
      </c>
      <c r="O204" s="64"/>
    </row>
    <row r="205" spans="1:15">
      <c r="A205" t="s">
        <v>8655</v>
      </c>
      <c r="B205" s="56" t="s">
        <v>8579</v>
      </c>
      <c r="C205" s="56" t="s">
        <v>436</v>
      </c>
      <c r="D205" s="56" t="s">
        <v>437</v>
      </c>
      <c r="E205" s="56" t="s">
        <v>438</v>
      </c>
      <c r="F205" s="56" t="s">
        <v>439</v>
      </c>
      <c r="G205" s="56" t="s">
        <v>440</v>
      </c>
      <c r="H205" s="70" t="s">
        <v>441</v>
      </c>
      <c r="I205" s="56" t="s">
        <v>442</v>
      </c>
      <c r="J205" s="56" t="s">
        <v>443</v>
      </c>
      <c r="K205" s="67" t="s">
        <v>444</v>
      </c>
      <c r="L205" s="67" t="s">
        <v>445</v>
      </c>
      <c r="M205" s="56" t="s">
        <v>6915</v>
      </c>
      <c r="N205" s="56" t="s">
        <v>447</v>
      </c>
      <c r="O205" s="56" t="s">
        <v>448</v>
      </c>
    </row>
    <row r="206" spans="1:15">
      <c r="A206" t="s">
        <v>8655</v>
      </c>
      <c r="B206" s="64" t="s">
        <v>8656</v>
      </c>
      <c r="C206" s="64" t="s">
        <v>8657</v>
      </c>
      <c r="D206" s="68"/>
      <c r="E206" s="68"/>
      <c r="F206" s="68">
        <f>1099.1+(5.8*0.59)+0.1</f>
        <v>1102.6219999999998</v>
      </c>
      <c r="G206" s="68">
        <f>5.8*0.41</f>
        <v>2.3779999999999997</v>
      </c>
      <c r="H206" s="68"/>
      <c r="I206" s="68"/>
      <c r="J206" s="68"/>
      <c r="K206" s="68"/>
      <c r="L206" s="68"/>
      <c r="M206" s="68"/>
      <c r="N206" s="68"/>
      <c r="O206" s="68">
        <f t="shared" ref="O206:O218" si="36">SUM(D206:N206)</f>
        <v>1104.9999999999998</v>
      </c>
    </row>
    <row r="207" spans="1:15">
      <c r="A207" t="s">
        <v>8655</v>
      </c>
      <c r="B207" s="64"/>
      <c r="C207" s="64" t="s">
        <v>8658</v>
      </c>
      <c r="D207" s="68"/>
      <c r="E207" s="68"/>
      <c r="F207" s="68"/>
      <c r="G207" s="68">
        <v>4535.8999999999996</v>
      </c>
      <c r="H207" s="68"/>
      <c r="I207" s="68"/>
      <c r="J207" s="68"/>
      <c r="K207" s="68"/>
      <c r="L207" s="68"/>
      <c r="M207" s="68"/>
      <c r="N207" s="68"/>
      <c r="O207" s="68">
        <f t="shared" si="36"/>
        <v>4535.8999999999996</v>
      </c>
    </row>
    <row r="208" spans="1:15">
      <c r="A208" t="s">
        <v>8655</v>
      </c>
      <c r="B208" s="64"/>
      <c r="C208" s="64" t="s">
        <v>8659</v>
      </c>
      <c r="D208" s="68"/>
      <c r="E208" s="68"/>
      <c r="F208" s="68"/>
      <c r="G208" s="68">
        <v>242.9</v>
      </c>
      <c r="H208" s="68"/>
      <c r="I208" s="68"/>
      <c r="J208" s="68"/>
      <c r="K208" s="68"/>
      <c r="L208" s="68"/>
      <c r="M208" s="68"/>
      <c r="N208" s="68"/>
      <c r="O208" s="68">
        <f t="shared" si="36"/>
        <v>242.9</v>
      </c>
    </row>
    <row r="209" spans="1:15">
      <c r="A209" t="s">
        <v>8655</v>
      </c>
      <c r="B209" s="64"/>
      <c r="C209" s="64" t="s">
        <v>8660</v>
      </c>
      <c r="D209" s="68">
        <v>255.8</v>
      </c>
      <c r="E209" s="68">
        <v>20.29</v>
      </c>
      <c r="F209" s="68">
        <v>47.3</v>
      </c>
      <c r="G209" s="68">
        <v>20.7</v>
      </c>
      <c r="H209" s="68"/>
      <c r="I209" s="68">
        <v>16.7</v>
      </c>
      <c r="J209" s="68"/>
      <c r="K209" s="68"/>
      <c r="L209" s="68"/>
      <c r="M209" s="68"/>
      <c r="N209" s="68">
        <v>23</v>
      </c>
      <c r="O209" s="68">
        <f t="shared" si="36"/>
        <v>383.79</v>
      </c>
    </row>
    <row r="210" spans="1:15">
      <c r="A210" t="s">
        <v>8655</v>
      </c>
      <c r="B210" s="64"/>
      <c r="C210" s="64" t="s">
        <v>456</v>
      </c>
      <c r="D210" s="68">
        <f>192*0.85 + (0.96*50.2)</f>
        <v>211.392</v>
      </c>
      <c r="E210" s="68">
        <f>192-163.2</f>
        <v>28.800000000000011</v>
      </c>
      <c r="F210" s="68">
        <f>39.8+1.7+7.8+(50.2*0.04)</f>
        <v>51.308</v>
      </c>
      <c r="G210" s="68"/>
      <c r="H210" s="68"/>
      <c r="I210" s="68"/>
      <c r="J210" s="68"/>
      <c r="K210" s="68"/>
      <c r="L210" s="68"/>
      <c r="M210" s="68"/>
      <c r="N210" s="68"/>
      <c r="O210" s="68">
        <f t="shared" si="36"/>
        <v>291.5</v>
      </c>
    </row>
    <row r="211" spans="1:15">
      <c r="A211" t="s">
        <v>8655</v>
      </c>
      <c r="B211" s="64"/>
      <c r="C211" s="64" t="s">
        <v>458</v>
      </c>
      <c r="D211" s="68"/>
      <c r="E211" s="68"/>
      <c r="F211" s="68">
        <f>7.6</f>
        <v>7.6</v>
      </c>
      <c r="G211" s="68"/>
      <c r="H211" s="68"/>
      <c r="I211" s="68">
        <f>522.3+3+32.2+23.4</f>
        <v>580.9</v>
      </c>
      <c r="J211" s="68"/>
      <c r="K211" s="68"/>
      <c r="L211" s="68"/>
      <c r="M211" s="68"/>
      <c r="N211" s="68"/>
      <c r="O211" s="68">
        <f t="shared" si="36"/>
        <v>588.5</v>
      </c>
    </row>
    <row r="212" spans="1:15">
      <c r="A212" t="s">
        <v>8655</v>
      </c>
      <c r="B212" s="64"/>
      <c r="C212" s="64" t="s">
        <v>8661</v>
      </c>
      <c r="D212" s="68">
        <f>0.11*93.2</f>
        <v>10.252000000000001</v>
      </c>
      <c r="E212" s="68">
        <f>0.108*93.2</f>
        <v>10.0656</v>
      </c>
      <c r="F212" s="68">
        <f>1.3+(0.164*93.2)</f>
        <v>16.584800000000001</v>
      </c>
      <c r="G212" s="68">
        <f>76.9+7.7+(0.6*93.2)</f>
        <v>140.52000000000001</v>
      </c>
      <c r="H212" s="68"/>
      <c r="I212" s="68">
        <f>0.016*93.2</f>
        <v>1.4912000000000001</v>
      </c>
      <c r="J212" s="68"/>
      <c r="K212" s="68"/>
      <c r="L212" s="68"/>
      <c r="M212" s="68"/>
      <c r="N212" s="68"/>
      <c r="O212" s="68">
        <f t="shared" si="36"/>
        <v>178.9136</v>
      </c>
    </row>
    <row r="213" spans="1:15">
      <c r="A213" t="s">
        <v>8655</v>
      </c>
      <c r="B213" s="64"/>
      <c r="C213" s="64" t="s">
        <v>8662</v>
      </c>
      <c r="D213" s="68">
        <f>0.128*99.7</f>
        <v>12.761600000000001</v>
      </c>
      <c r="E213" s="68">
        <f>0.245*99.7</f>
        <v>24.426500000000001</v>
      </c>
      <c r="F213" s="68">
        <v>0.9</v>
      </c>
      <c r="G213" s="68">
        <f>99.7*0.627</f>
        <v>62.511900000000004</v>
      </c>
      <c r="H213" s="68"/>
      <c r="I213" s="68"/>
      <c r="J213" s="68"/>
      <c r="K213" s="68"/>
      <c r="L213" s="68"/>
      <c r="M213" s="68"/>
      <c r="N213" s="68"/>
      <c r="O213" s="68">
        <f t="shared" si="36"/>
        <v>100.60000000000001</v>
      </c>
    </row>
    <row r="214" spans="1:15">
      <c r="A214" t="s">
        <v>8655</v>
      </c>
      <c r="B214" s="64"/>
      <c r="C214" s="64" t="s">
        <v>459</v>
      </c>
      <c r="D214" s="68"/>
      <c r="E214" s="68">
        <v>23.22</v>
      </c>
      <c r="F214" s="68">
        <v>446.4</v>
      </c>
      <c r="G214" s="68">
        <v>169.79</v>
      </c>
      <c r="H214" s="68"/>
      <c r="I214" s="68">
        <v>32.9</v>
      </c>
      <c r="J214" s="68"/>
      <c r="K214" s="68"/>
      <c r="L214" s="68"/>
      <c r="M214" s="68"/>
      <c r="N214" s="68"/>
      <c r="O214" s="68">
        <f t="shared" si="36"/>
        <v>672.31</v>
      </c>
    </row>
    <row r="215" spans="1:15">
      <c r="A215" t="s">
        <v>8655</v>
      </c>
      <c r="B215" s="69"/>
      <c r="C215" s="64" t="s">
        <v>8663</v>
      </c>
      <c r="D215" s="68"/>
      <c r="E215" s="68"/>
      <c r="F215" s="68">
        <v>731.2</v>
      </c>
      <c r="G215" s="68"/>
      <c r="H215" s="68"/>
      <c r="I215" s="68">
        <f>533.3</f>
        <v>533.29999999999995</v>
      </c>
      <c r="J215" s="68"/>
      <c r="K215" s="68"/>
      <c r="L215" s="68"/>
      <c r="M215" s="68"/>
      <c r="N215" s="68"/>
      <c r="O215" s="68">
        <f t="shared" si="36"/>
        <v>1264.5</v>
      </c>
    </row>
    <row r="216" spans="1:15">
      <c r="A216" t="s">
        <v>8655</v>
      </c>
      <c r="B216" s="64"/>
      <c r="C216" s="64" t="s">
        <v>8664</v>
      </c>
      <c r="D216" s="68"/>
      <c r="E216" s="68">
        <v>1.7</v>
      </c>
      <c r="F216" s="68"/>
      <c r="G216" s="68">
        <v>8.9</v>
      </c>
      <c r="H216" s="68"/>
      <c r="I216" s="68"/>
      <c r="J216" s="68"/>
      <c r="K216" s="68"/>
      <c r="L216" s="68"/>
      <c r="M216" s="68"/>
      <c r="N216" s="68"/>
      <c r="O216" s="68">
        <f t="shared" si="36"/>
        <v>10.6</v>
      </c>
    </row>
    <row r="217" spans="1:15">
      <c r="A217" t="s">
        <v>8655</v>
      </c>
      <c r="B217" s="64"/>
      <c r="C217" s="64" t="s">
        <v>8665</v>
      </c>
      <c r="D217" s="68">
        <f>0.11*93.4</f>
        <v>10.274000000000001</v>
      </c>
      <c r="E217" s="68">
        <f>0.108*93.4</f>
        <v>10.087200000000001</v>
      </c>
      <c r="F217" s="68">
        <f>3.6+(0.164*93.4)</f>
        <v>18.917600000000004</v>
      </c>
      <c r="G217" s="68">
        <f>7.9+(0.6*93.4)</f>
        <v>63.94</v>
      </c>
      <c r="H217" s="68"/>
      <c r="I217" s="68">
        <f>0.016*93.4</f>
        <v>1.4944000000000002</v>
      </c>
      <c r="J217" s="68"/>
      <c r="K217" s="68"/>
      <c r="L217" s="68"/>
      <c r="M217" s="68"/>
      <c r="N217" s="68"/>
      <c r="O217" s="68">
        <f t="shared" si="36"/>
        <v>104.7132</v>
      </c>
    </row>
    <row r="218" spans="1:15">
      <c r="A218" t="s">
        <v>8655</v>
      </c>
      <c r="B218" s="64"/>
      <c r="C218" s="64" t="s">
        <v>8666</v>
      </c>
      <c r="D218" s="68">
        <f>28.8-1.1</f>
        <v>27.7</v>
      </c>
      <c r="E218" s="68">
        <f>0.039*28.8</f>
        <v>1.1232</v>
      </c>
      <c r="F218" s="68">
        <v>1.8</v>
      </c>
      <c r="G218" s="68"/>
      <c r="H218" s="68"/>
      <c r="I218" s="68"/>
      <c r="J218" s="68"/>
      <c r="K218" s="68"/>
      <c r="L218" s="68"/>
      <c r="M218" s="68"/>
      <c r="N218" s="68"/>
      <c r="O218" s="68">
        <f t="shared" si="36"/>
        <v>30.623200000000001</v>
      </c>
    </row>
    <row r="219" spans="1:15">
      <c r="A219" t="s">
        <v>8655</v>
      </c>
      <c r="B219" s="64"/>
      <c r="C219" s="56"/>
      <c r="D219" s="68"/>
      <c r="E219" s="68"/>
      <c r="F219" s="68"/>
      <c r="G219" s="68"/>
      <c r="H219" s="68"/>
      <c r="I219" s="68"/>
      <c r="J219" s="68"/>
      <c r="K219" s="68"/>
      <c r="L219" s="68"/>
      <c r="M219" s="68"/>
      <c r="N219" s="68"/>
      <c r="O219" s="68"/>
    </row>
    <row r="220" spans="1:15">
      <c r="A220" t="s">
        <v>8655</v>
      </c>
      <c r="B220" s="64"/>
      <c r="C220" s="56" t="s">
        <v>448</v>
      </c>
      <c r="D220" s="68">
        <f>SUM(D206:D218)</f>
        <v>528.17960000000005</v>
      </c>
      <c r="E220" s="68">
        <f>SUM(E206:E218)</f>
        <v>119.71250000000001</v>
      </c>
      <c r="F220" s="68">
        <f>SUM(F206:F218)</f>
        <v>2424.6324</v>
      </c>
      <c r="G220" s="68">
        <f>SUM(G206:G218)</f>
        <v>5247.5398999999989</v>
      </c>
      <c r="H220" s="68"/>
      <c r="I220" s="68">
        <f>SUM(I206:I218)</f>
        <v>1166.7856000000002</v>
      </c>
      <c r="J220" s="68"/>
      <c r="K220" s="68"/>
      <c r="L220" s="68"/>
      <c r="M220" s="68"/>
      <c r="N220" s="68">
        <f t="shared" ref="N220" si="37">SUM(N206:N218)</f>
        <v>23</v>
      </c>
      <c r="O220" s="68">
        <f>SUM(O206:O218)</f>
        <v>9509.85</v>
      </c>
    </row>
    <row r="221" spans="1:15">
      <c r="A221" t="s">
        <v>8655</v>
      </c>
      <c r="B221" s="461"/>
      <c r="C221" s="461"/>
      <c r="D221" s="459"/>
      <c r="E221" s="459"/>
      <c r="F221" s="459"/>
      <c r="G221" s="459"/>
      <c r="H221" s="459"/>
      <c r="I221" s="459"/>
      <c r="J221" s="459"/>
      <c r="K221" s="459"/>
      <c r="L221" s="459"/>
      <c r="M221" s="459"/>
      <c r="N221" s="459"/>
      <c r="O221" s="459"/>
    </row>
    <row r="222" spans="1:15">
      <c r="A222" t="s">
        <v>8655</v>
      </c>
      <c r="B222" s="458"/>
      <c r="C222" s="461"/>
      <c r="D222" s="467"/>
      <c r="E222" s="467"/>
      <c r="F222" s="467"/>
      <c r="G222" s="467"/>
      <c r="H222" s="467"/>
      <c r="I222" s="467"/>
      <c r="J222" s="467"/>
      <c r="K222" s="467"/>
      <c r="L222" s="467"/>
      <c r="M222" s="467"/>
      <c r="N222" s="467"/>
      <c r="O222" s="467"/>
    </row>
    <row r="223" spans="1:15">
      <c r="A223" t="s">
        <v>8655</v>
      </c>
      <c r="B223" s="458" t="s">
        <v>8647</v>
      </c>
      <c r="C223" s="461"/>
      <c r="D223" s="467"/>
      <c r="E223" s="467"/>
      <c r="F223" s="467"/>
      <c r="G223" s="467"/>
      <c r="H223" s="467"/>
      <c r="I223" s="467"/>
      <c r="J223" s="467"/>
      <c r="K223" s="467"/>
      <c r="L223" s="467"/>
      <c r="M223" s="467"/>
      <c r="N223" s="467"/>
      <c r="O223" s="467"/>
    </row>
    <row r="224" spans="1:15">
      <c r="A224" t="s">
        <v>8655</v>
      </c>
      <c r="B224" s="461"/>
      <c r="C224" s="461"/>
      <c r="D224" s="461"/>
      <c r="E224" s="461"/>
      <c r="F224" s="461"/>
      <c r="G224" s="461"/>
      <c r="H224" s="461"/>
      <c r="I224" s="461"/>
      <c r="J224" s="461"/>
      <c r="K224" s="461"/>
      <c r="L224" s="461"/>
      <c r="M224" s="461"/>
      <c r="N224" s="461"/>
      <c r="O224" s="461"/>
    </row>
    <row r="225" spans="1:15">
      <c r="A225" t="s">
        <v>8655</v>
      </c>
      <c r="B225" s="468" t="s">
        <v>8667</v>
      </c>
      <c r="C225" s="461"/>
      <c r="D225" s="461"/>
      <c r="E225" s="461"/>
      <c r="F225" s="461"/>
      <c r="G225" s="461"/>
      <c r="H225" s="461"/>
      <c r="I225" s="461"/>
      <c r="J225" s="461"/>
      <c r="K225" s="461"/>
      <c r="L225" s="461"/>
      <c r="M225" s="461"/>
      <c r="N225" s="461"/>
      <c r="O225" s="461"/>
    </row>
    <row r="226" spans="1:15">
      <c r="A226" t="s">
        <v>8655</v>
      </c>
      <c r="B226" s="458"/>
      <c r="C226" s="458"/>
      <c r="D226" s="458"/>
      <c r="E226" s="458"/>
      <c r="F226" s="458"/>
      <c r="G226" s="458"/>
      <c r="H226" s="458"/>
      <c r="I226" s="458"/>
      <c r="J226" s="458"/>
      <c r="K226" s="458"/>
      <c r="L226" s="458"/>
      <c r="M226" s="458"/>
      <c r="N226" s="458"/>
      <c r="O226" s="458"/>
    </row>
    <row r="227" spans="1:15">
      <c r="A227" t="s">
        <v>8655</v>
      </c>
      <c r="B227" s="56" t="s">
        <v>8579</v>
      </c>
      <c r="C227" s="56" t="s">
        <v>436</v>
      </c>
      <c r="D227" s="56" t="s">
        <v>437</v>
      </c>
      <c r="E227" s="56" t="s">
        <v>438</v>
      </c>
      <c r="F227" s="56" t="s">
        <v>439</v>
      </c>
      <c r="G227" s="56" t="s">
        <v>440</v>
      </c>
      <c r="H227" s="70" t="s">
        <v>441</v>
      </c>
      <c r="I227" s="56" t="s">
        <v>442</v>
      </c>
      <c r="J227" s="56" t="s">
        <v>443</v>
      </c>
      <c r="K227" s="67" t="s">
        <v>444</v>
      </c>
      <c r="L227" s="67" t="s">
        <v>445</v>
      </c>
      <c r="M227" s="56" t="s">
        <v>6915</v>
      </c>
      <c r="N227" s="56" t="s">
        <v>447</v>
      </c>
      <c r="O227" s="56" t="s">
        <v>448</v>
      </c>
    </row>
    <row r="228" spans="1:15">
      <c r="A228" t="s">
        <v>8655</v>
      </c>
      <c r="B228" s="64" t="s">
        <v>8668</v>
      </c>
      <c r="C228" s="64" t="s">
        <v>8669</v>
      </c>
      <c r="D228" s="60">
        <v>433.43</v>
      </c>
      <c r="E228" s="60"/>
      <c r="F228" s="60">
        <v>286.56</v>
      </c>
      <c r="G228" s="60">
        <v>18.829999999999998</v>
      </c>
      <c r="H228" s="60"/>
      <c r="I228" s="60">
        <v>144.91</v>
      </c>
      <c r="J228" s="60"/>
      <c r="K228" s="60"/>
      <c r="L228" s="60"/>
      <c r="M228" s="60"/>
      <c r="N228" s="60"/>
      <c r="O228" s="60">
        <f t="shared" ref="O228:O233" si="38">SUM(D228:N228)</f>
        <v>883.73</v>
      </c>
    </row>
    <row r="229" spans="1:15">
      <c r="A229" t="s">
        <v>8655</v>
      </c>
      <c r="B229" s="64"/>
      <c r="C229" s="64" t="s">
        <v>8670</v>
      </c>
      <c r="D229" s="60">
        <f>340.2+57.34+7.98</f>
        <v>405.52</v>
      </c>
      <c r="E229" s="60"/>
      <c r="F229" s="60">
        <v>234.42</v>
      </c>
      <c r="G229" s="60"/>
      <c r="H229" s="60"/>
      <c r="I229" s="60">
        <v>31.14</v>
      </c>
      <c r="J229" s="60"/>
      <c r="K229" s="60"/>
      <c r="L229" s="60"/>
      <c r="M229" s="60"/>
      <c r="N229" s="60"/>
      <c r="O229" s="60">
        <f t="shared" si="38"/>
        <v>671.07999999999993</v>
      </c>
    </row>
    <row r="230" spans="1:15">
      <c r="A230" t="s">
        <v>8655</v>
      </c>
      <c r="B230" s="64"/>
      <c r="C230" s="64" t="s">
        <v>8671</v>
      </c>
      <c r="D230" s="60">
        <f>101.21+307.92</f>
        <v>409.13</v>
      </c>
      <c r="E230" s="60"/>
      <c r="F230" s="60"/>
      <c r="G230" s="60"/>
      <c r="H230" s="60"/>
      <c r="I230" s="60">
        <v>31.39</v>
      </c>
      <c r="J230" s="60"/>
      <c r="K230" s="60"/>
      <c r="L230" s="60"/>
      <c r="M230" s="60"/>
      <c r="N230" s="60"/>
      <c r="O230" s="60">
        <f t="shared" si="38"/>
        <v>440.52</v>
      </c>
    </row>
    <row r="231" spans="1:15">
      <c r="A231" t="s">
        <v>8655</v>
      </c>
      <c r="B231" s="69"/>
      <c r="C231" s="64" t="s">
        <v>458</v>
      </c>
      <c r="D231" s="60">
        <v>40</v>
      </c>
      <c r="E231" s="60"/>
      <c r="F231" s="60"/>
      <c r="G231" s="60"/>
      <c r="H231" s="60"/>
      <c r="I231" s="60">
        <v>930</v>
      </c>
      <c r="J231" s="60"/>
      <c r="K231" s="60"/>
      <c r="L231" s="60"/>
      <c r="M231" s="60"/>
      <c r="N231" s="60"/>
      <c r="O231" s="60">
        <f t="shared" si="38"/>
        <v>970</v>
      </c>
    </row>
    <row r="232" spans="1:15">
      <c r="A232" t="s">
        <v>8655</v>
      </c>
      <c r="B232" s="64"/>
      <c r="C232" s="64" t="s">
        <v>8663</v>
      </c>
      <c r="D232" s="60">
        <f>15.95+80.77+54.49</f>
        <v>151.21</v>
      </c>
      <c r="E232" s="60">
        <f>15.95+25.912+48.712+57.98</f>
        <v>148.554</v>
      </c>
      <c r="F232" s="60">
        <f>25.912+48.712+560.51</f>
        <v>635.13400000000001</v>
      </c>
      <c r="G232" s="60">
        <f>15.95+12.96+24.356+57.98</f>
        <v>111.24600000000001</v>
      </c>
      <c r="H232" s="60"/>
      <c r="I232" s="60">
        <v>79.47</v>
      </c>
      <c r="J232" s="60"/>
      <c r="K232" s="60"/>
      <c r="L232" s="60"/>
      <c r="M232" s="60"/>
      <c r="N232" s="60">
        <v>5.3159999999999998</v>
      </c>
      <c r="O232" s="60">
        <f>SUM(D232:N232)</f>
        <v>1130.93</v>
      </c>
    </row>
    <row r="233" spans="1:15">
      <c r="A233" t="s">
        <v>8655</v>
      </c>
      <c r="B233" s="64"/>
      <c r="C233" s="60" t="s">
        <v>460</v>
      </c>
      <c r="D233" s="60"/>
      <c r="E233" s="60">
        <f>90.68+90.57</f>
        <v>181.25</v>
      </c>
      <c r="F233" s="60">
        <f>2735.65+263.26+2200</f>
        <v>5198.91</v>
      </c>
      <c r="G233" s="60">
        <f>272+90.685+90.57</f>
        <v>453.255</v>
      </c>
      <c r="H233" s="60"/>
      <c r="I233" s="60">
        <v>38.909999999999997</v>
      </c>
      <c r="J233" s="60"/>
      <c r="K233" s="60"/>
      <c r="L233" s="60"/>
      <c r="M233" s="60"/>
      <c r="N233" s="60"/>
      <c r="O233" s="60">
        <f t="shared" si="38"/>
        <v>5872.3249999999998</v>
      </c>
    </row>
    <row r="234" spans="1:15">
      <c r="A234" t="s">
        <v>8655</v>
      </c>
      <c r="B234" s="64"/>
      <c r="C234" s="64"/>
      <c r="D234" s="60"/>
      <c r="E234" s="60"/>
      <c r="F234" s="60"/>
      <c r="G234" s="60"/>
      <c r="H234" s="60"/>
      <c r="I234" s="60"/>
      <c r="J234" s="60"/>
      <c r="K234" s="60"/>
      <c r="L234" s="60"/>
      <c r="M234" s="60"/>
      <c r="N234" s="60"/>
      <c r="O234" s="60"/>
    </row>
    <row r="235" spans="1:15">
      <c r="A235" t="s">
        <v>8655</v>
      </c>
      <c r="B235" s="64"/>
      <c r="C235" s="56" t="s">
        <v>448</v>
      </c>
      <c r="D235" s="60">
        <f>SUM(D228:D233)</f>
        <v>1439.29</v>
      </c>
      <c r="E235" s="60">
        <f t="shared" ref="E235:N235" si="39">SUM(E228:E233)</f>
        <v>329.80399999999997</v>
      </c>
      <c r="F235" s="60">
        <f t="shared" si="39"/>
        <v>6355.0239999999994</v>
      </c>
      <c r="G235" s="60">
        <f t="shared" si="39"/>
        <v>583.33100000000002</v>
      </c>
      <c r="H235" s="60"/>
      <c r="I235" s="60">
        <f t="shared" si="39"/>
        <v>1255.8200000000002</v>
      </c>
      <c r="J235" s="60"/>
      <c r="K235" s="60"/>
      <c r="L235" s="60"/>
      <c r="M235" s="60"/>
      <c r="N235" s="60">
        <f t="shared" si="39"/>
        <v>5.3159999999999998</v>
      </c>
      <c r="O235" s="60">
        <f>SUM(O228:O233)</f>
        <v>9968.5849999999991</v>
      </c>
    </row>
    <row r="236" spans="1:15">
      <c r="A236" t="s">
        <v>8655</v>
      </c>
      <c r="B236" s="458" t="s">
        <v>8630</v>
      </c>
      <c r="C236" s="461"/>
      <c r="D236" s="464"/>
      <c r="E236" s="464"/>
      <c r="F236" s="464"/>
      <c r="G236" s="464"/>
      <c r="H236" s="464"/>
      <c r="I236" s="464"/>
      <c r="J236" s="464"/>
      <c r="K236" s="464"/>
      <c r="L236" s="464"/>
      <c r="M236" s="464"/>
      <c r="N236" s="464"/>
      <c r="O236" s="461"/>
    </row>
    <row r="237" spans="1:15">
      <c r="A237" t="s">
        <v>8655</v>
      </c>
      <c r="B237" s="461" t="s">
        <v>8672</v>
      </c>
      <c r="C237" s="461"/>
      <c r="D237" s="461"/>
      <c r="E237" s="461"/>
      <c r="F237" s="461"/>
      <c r="G237" s="461"/>
      <c r="H237" s="461"/>
      <c r="I237" s="461"/>
      <c r="J237" s="461"/>
      <c r="K237" s="461"/>
      <c r="L237" s="461"/>
      <c r="M237" s="461"/>
      <c r="N237" s="461"/>
      <c r="O237" s="461"/>
    </row>
    <row r="238" spans="1:15">
      <c r="A238" t="s">
        <v>8655</v>
      </c>
      <c r="B238" s="461"/>
      <c r="C238" s="461"/>
      <c r="D238" s="461"/>
      <c r="E238" s="461"/>
      <c r="F238" s="461"/>
      <c r="G238" s="461"/>
      <c r="H238" s="461"/>
      <c r="I238" s="461"/>
      <c r="J238" s="461"/>
      <c r="K238" s="461"/>
      <c r="L238" s="461"/>
      <c r="M238" s="461"/>
      <c r="N238" s="461"/>
      <c r="O238" s="461"/>
    </row>
    <row r="239" spans="1:15">
      <c r="A239" t="s">
        <v>8655</v>
      </c>
      <c r="B239" s="458" t="s">
        <v>8673</v>
      </c>
      <c r="C239" s="458"/>
      <c r="D239" s="458"/>
      <c r="E239" s="458"/>
      <c r="F239" s="458"/>
      <c r="G239" s="458"/>
      <c r="H239" s="458"/>
      <c r="I239" s="458"/>
      <c r="J239" s="458"/>
      <c r="K239" s="458"/>
      <c r="L239" s="458"/>
      <c r="M239" s="458"/>
      <c r="N239" s="458"/>
      <c r="O239" s="458"/>
    </row>
    <row r="240" spans="1:15">
      <c r="A240" t="s">
        <v>8655</v>
      </c>
      <c r="B240" s="458"/>
      <c r="C240" s="458"/>
      <c r="D240" s="458"/>
      <c r="E240" s="458"/>
      <c r="F240" s="458"/>
      <c r="G240" s="458"/>
      <c r="H240" s="458"/>
      <c r="I240" s="458"/>
      <c r="J240" s="458"/>
      <c r="K240" s="458"/>
      <c r="L240" s="458"/>
      <c r="M240" s="458"/>
      <c r="N240" s="458"/>
      <c r="O240" s="458"/>
    </row>
    <row r="241" spans="1:15">
      <c r="A241" t="s">
        <v>8655</v>
      </c>
      <c r="B241" s="56" t="s">
        <v>8579</v>
      </c>
      <c r="C241" s="56" t="s">
        <v>436</v>
      </c>
      <c r="D241" s="56" t="s">
        <v>437</v>
      </c>
      <c r="E241" s="56" t="s">
        <v>438</v>
      </c>
      <c r="F241" s="56" t="s">
        <v>439</v>
      </c>
      <c r="G241" s="56" t="s">
        <v>440</v>
      </c>
      <c r="H241" s="70" t="s">
        <v>441</v>
      </c>
      <c r="I241" s="56" t="s">
        <v>442</v>
      </c>
      <c r="J241" s="56" t="s">
        <v>443</v>
      </c>
      <c r="K241" s="67" t="s">
        <v>444</v>
      </c>
      <c r="L241" s="67" t="s">
        <v>445</v>
      </c>
      <c r="M241" s="56" t="s">
        <v>446</v>
      </c>
      <c r="N241" s="56" t="s">
        <v>447</v>
      </c>
      <c r="O241" s="56" t="s">
        <v>448</v>
      </c>
    </row>
    <row r="242" spans="1:15">
      <c r="A242" t="s">
        <v>8655</v>
      </c>
      <c r="B242" s="64" t="s">
        <v>8674</v>
      </c>
      <c r="C242" s="64" t="s">
        <v>495</v>
      </c>
      <c r="D242" s="60"/>
      <c r="E242" s="60"/>
      <c r="F242" s="60">
        <f>840+330+25</f>
        <v>1195</v>
      </c>
      <c r="G242" s="60">
        <f>63</f>
        <v>63</v>
      </c>
      <c r="H242" s="60"/>
      <c r="I242" s="60"/>
      <c r="J242" s="60"/>
      <c r="K242" s="60"/>
      <c r="L242" s="60"/>
      <c r="M242" s="60"/>
      <c r="N242" s="60"/>
      <c r="O242" s="60">
        <f t="shared" ref="O242:O246" si="40">SUM(D242:N242)</f>
        <v>1258</v>
      </c>
    </row>
    <row r="243" spans="1:15">
      <c r="A243" t="s">
        <v>8655</v>
      </c>
      <c r="B243" s="64"/>
      <c r="C243" s="64" t="s">
        <v>8597</v>
      </c>
      <c r="D243" s="60">
        <f>205+(0.93*106)</f>
        <v>303.58</v>
      </c>
      <c r="E243" s="60">
        <f>18+51</f>
        <v>69</v>
      </c>
      <c r="F243" s="60">
        <f>21+267+24</f>
        <v>312</v>
      </c>
      <c r="G243" s="60"/>
      <c r="H243" s="60"/>
      <c r="I243" s="60">
        <f>7.42</f>
        <v>7.42</v>
      </c>
      <c r="J243" s="60"/>
      <c r="K243" s="60"/>
      <c r="L243" s="60"/>
      <c r="M243" s="60"/>
      <c r="N243" s="60">
        <f>62+42</f>
        <v>104</v>
      </c>
      <c r="O243" s="60">
        <f t="shared" si="40"/>
        <v>795.99999999999989</v>
      </c>
    </row>
    <row r="244" spans="1:15">
      <c r="A244" t="s">
        <v>8655</v>
      </c>
      <c r="B244" s="69"/>
      <c r="C244" s="64" t="s">
        <v>497</v>
      </c>
      <c r="D244" s="60">
        <f>37</f>
        <v>37</v>
      </c>
      <c r="E244" s="60">
        <f>21+8+1</f>
        <v>30</v>
      </c>
      <c r="F244" s="60">
        <f>33</f>
        <v>33</v>
      </c>
      <c r="G244" s="60">
        <f>2</f>
        <v>2</v>
      </c>
      <c r="H244" s="60"/>
      <c r="I244" s="60">
        <f>180+2+1+2+2+2+5+1+5+6+24+4+2+10+8+4</f>
        <v>258</v>
      </c>
      <c r="J244" s="60"/>
      <c r="K244" s="60"/>
      <c r="L244" s="60"/>
      <c r="M244" s="60">
        <f>5+15+2+2+4+3</f>
        <v>31</v>
      </c>
      <c r="N244" s="60">
        <f>6+7+10+10+3</f>
        <v>36</v>
      </c>
      <c r="O244" s="60">
        <f t="shared" si="40"/>
        <v>427</v>
      </c>
    </row>
    <row r="245" spans="1:15">
      <c r="A245" t="s">
        <v>8655</v>
      </c>
      <c r="B245" s="64"/>
      <c r="C245" s="64" t="s">
        <v>8663</v>
      </c>
      <c r="D245" s="60">
        <f>11</f>
        <v>11</v>
      </c>
      <c r="E245" s="60">
        <f>42+30+7+27+11+4+4</f>
        <v>125</v>
      </c>
      <c r="F245" s="60">
        <f>216+4</f>
        <v>220</v>
      </c>
      <c r="G245" s="60">
        <v>6</v>
      </c>
      <c r="H245" s="60"/>
      <c r="I245" s="60">
        <f>30+10+18+2+1+1+1+1+2+2+12+14+2</f>
        <v>96</v>
      </c>
      <c r="J245" s="60"/>
      <c r="K245" s="60"/>
      <c r="L245" s="60"/>
      <c r="M245" s="60"/>
      <c r="N245" s="60">
        <f>18</f>
        <v>18</v>
      </c>
      <c r="O245" s="60">
        <f t="shared" si="40"/>
        <v>476</v>
      </c>
    </row>
    <row r="246" spans="1:15">
      <c r="A246" t="s">
        <v>8655</v>
      </c>
      <c r="B246" s="64"/>
      <c r="C246" s="64" t="s">
        <v>8675</v>
      </c>
      <c r="D246" s="60"/>
      <c r="E246" s="60"/>
      <c r="F246" s="60"/>
      <c r="G246" s="60"/>
      <c r="H246" s="60"/>
      <c r="I246" s="60">
        <v>14</v>
      </c>
      <c r="J246" s="60"/>
      <c r="K246" s="60"/>
      <c r="L246" s="60"/>
      <c r="M246" s="60"/>
      <c r="N246" s="60"/>
      <c r="O246" s="60">
        <f t="shared" si="40"/>
        <v>14</v>
      </c>
    </row>
    <row r="247" spans="1:15">
      <c r="A247" t="s">
        <v>8655</v>
      </c>
      <c r="B247" s="64"/>
      <c r="C247" s="56"/>
      <c r="D247" s="60"/>
      <c r="E247" s="60"/>
      <c r="F247" s="60"/>
      <c r="G247" s="60"/>
      <c r="H247" s="60"/>
      <c r="I247" s="60"/>
      <c r="J247" s="60"/>
      <c r="K247" s="60"/>
      <c r="L247" s="60"/>
      <c r="M247" s="60"/>
      <c r="N247" s="60"/>
      <c r="O247" s="60"/>
    </row>
    <row r="248" spans="1:15">
      <c r="A248" t="s">
        <v>8655</v>
      </c>
      <c r="B248" s="64"/>
      <c r="C248" s="56" t="s">
        <v>448</v>
      </c>
      <c r="D248" s="60">
        <f>SUM(D242:D246)</f>
        <v>351.58</v>
      </c>
      <c r="E248" s="60">
        <f t="shared" ref="E248:I248" si="41">SUM(E242:E246)</f>
        <v>224</v>
      </c>
      <c r="F248" s="60">
        <f t="shared" si="41"/>
        <v>1760</v>
      </c>
      <c r="G248" s="60">
        <f t="shared" si="41"/>
        <v>71</v>
      </c>
      <c r="H248" s="60"/>
      <c r="I248" s="60">
        <f t="shared" si="41"/>
        <v>375.42</v>
      </c>
      <c r="J248" s="60"/>
      <c r="K248" s="60"/>
      <c r="L248" s="60"/>
      <c r="M248" s="60">
        <f t="shared" ref="M248:O248" si="42">SUM(M242:M246)</f>
        <v>31</v>
      </c>
      <c r="N248" s="60">
        <f t="shared" si="42"/>
        <v>158</v>
      </c>
      <c r="O248" s="60">
        <f t="shared" si="42"/>
        <v>2971</v>
      </c>
    </row>
    <row r="249" spans="1:15">
      <c r="A249" t="s">
        <v>8655</v>
      </c>
      <c r="B249" s="458"/>
      <c r="C249" s="461"/>
      <c r="D249" s="464"/>
      <c r="E249" s="464"/>
      <c r="F249" s="464"/>
      <c r="G249" s="464"/>
      <c r="H249" s="464"/>
      <c r="I249" s="464"/>
      <c r="J249" s="464"/>
      <c r="K249" s="464"/>
      <c r="L249" s="464"/>
      <c r="M249" s="464"/>
      <c r="N249" s="464"/>
      <c r="O249" s="461"/>
    </row>
    <row r="250" spans="1:15">
      <c r="A250" t="s">
        <v>8655</v>
      </c>
      <c r="B250" s="461"/>
      <c r="C250" s="461"/>
      <c r="D250" s="464"/>
      <c r="E250" s="464"/>
      <c r="F250" s="464"/>
      <c r="G250" s="464"/>
      <c r="H250" s="464"/>
      <c r="I250" s="464"/>
      <c r="J250" s="464"/>
      <c r="K250" s="464"/>
      <c r="L250" s="464"/>
      <c r="M250" s="464"/>
      <c r="N250" s="464"/>
      <c r="O250" s="461"/>
    </row>
    <row r="251" spans="1:15">
      <c r="A251" t="s">
        <v>8655</v>
      </c>
      <c r="B251" s="461"/>
      <c r="C251" s="461"/>
      <c r="D251" s="464"/>
      <c r="E251" s="464"/>
      <c r="F251" s="464"/>
      <c r="G251" s="464"/>
      <c r="H251" s="464"/>
      <c r="I251" s="464"/>
      <c r="J251" s="464"/>
      <c r="K251" s="464"/>
      <c r="L251" s="464"/>
      <c r="M251" s="464"/>
      <c r="N251" s="464"/>
      <c r="O251" s="461"/>
    </row>
    <row r="252" spans="1:15">
      <c r="A252" t="s">
        <v>8655</v>
      </c>
      <c r="B252" s="458" t="s">
        <v>8676</v>
      </c>
      <c r="C252" s="461"/>
      <c r="D252" s="464"/>
      <c r="E252" s="464"/>
      <c r="F252" s="464"/>
      <c r="G252" s="464"/>
      <c r="H252" s="464"/>
      <c r="I252" s="464"/>
      <c r="J252" s="464"/>
      <c r="K252" s="464"/>
      <c r="L252" s="464"/>
      <c r="M252" s="464"/>
      <c r="N252" s="464"/>
      <c r="O252" s="461"/>
    </row>
    <row r="253" spans="1:15">
      <c r="A253" t="s">
        <v>8655</v>
      </c>
      <c r="B253" s="461"/>
      <c r="C253" s="461"/>
      <c r="D253" s="464"/>
      <c r="E253" s="464"/>
      <c r="F253" s="464"/>
      <c r="G253" s="464"/>
      <c r="H253" s="464"/>
      <c r="I253" s="464"/>
      <c r="J253" s="464"/>
      <c r="K253" s="464"/>
      <c r="L253" s="464"/>
      <c r="M253" s="464"/>
      <c r="N253" s="464"/>
      <c r="O253" s="461"/>
    </row>
    <row r="254" spans="1:15">
      <c r="A254" t="s">
        <v>8655</v>
      </c>
      <c r="B254" s="458" t="s">
        <v>8677</v>
      </c>
      <c r="C254" s="461"/>
      <c r="D254" s="464"/>
      <c r="E254" s="464"/>
      <c r="F254" s="464"/>
      <c r="G254" s="464"/>
      <c r="H254" s="464"/>
      <c r="I254" s="464"/>
      <c r="J254" s="464"/>
      <c r="K254" s="464"/>
      <c r="L254" s="464"/>
      <c r="M254" s="464"/>
      <c r="N254" s="464"/>
      <c r="O254" s="461"/>
    </row>
    <row r="255" spans="1:15">
      <c r="A255" t="s">
        <v>8655</v>
      </c>
      <c r="B255" s="461"/>
      <c r="C255" s="461"/>
      <c r="D255" s="464"/>
      <c r="E255" s="464"/>
      <c r="F255" s="464"/>
      <c r="G255" s="464"/>
      <c r="H255" s="464"/>
      <c r="I255" s="464"/>
      <c r="J255" s="464"/>
      <c r="K255" s="464"/>
      <c r="L255" s="464"/>
      <c r="M255" s="464"/>
      <c r="N255" s="464"/>
      <c r="O255" s="461"/>
    </row>
    <row r="256" spans="1:15">
      <c r="A256" t="s">
        <v>8655</v>
      </c>
      <c r="B256" s="469" t="s">
        <v>8579</v>
      </c>
      <c r="C256" s="469" t="s">
        <v>436</v>
      </c>
      <c r="D256" s="470" t="s">
        <v>437</v>
      </c>
      <c r="E256" s="470" t="s">
        <v>438</v>
      </c>
      <c r="F256" s="470" t="s">
        <v>439</v>
      </c>
      <c r="G256" s="470" t="s">
        <v>440</v>
      </c>
      <c r="H256" s="70" t="s">
        <v>441</v>
      </c>
      <c r="I256" s="470" t="s">
        <v>442</v>
      </c>
      <c r="J256" s="470" t="s">
        <v>443</v>
      </c>
      <c r="K256" s="470" t="s">
        <v>444</v>
      </c>
      <c r="L256" s="67" t="s">
        <v>445</v>
      </c>
      <c r="M256" s="470" t="s">
        <v>446</v>
      </c>
      <c r="N256" s="470" t="s">
        <v>447</v>
      </c>
      <c r="O256" s="469" t="s">
        <v>448</v>
      </c>
    </row>
    <row r="257" spans="1:15">
      <c r="A257" t="s">
        <v>8655</v>
      </c>
      <c r="B257" s="471" t="s">
        <v>8678</v>
      </c>
      <c r="C257" s="471" t="s">
        <v>8613</v>
      </c>
      <c r="D257" s="472" t="s">
        <v>8613</v>
      </c>
      <c r="E257" s="472" t="s">
        <v>8613</v>
      </c>
      <c r="F257" s="472" t="s">
        <v>8613</v>
      </c>
      <c r="G257" s="472" t="s">
        <v>8613</v>
      </c>
      <c r="H257" s="472" t="s">
        <v>8613</v>
      </c>
      <c r="I257" s="472" t="s">
        <v>8613</v>
      </c>
      <c r="J257" s="472" t="s">
        <v>8613</v>
      </c>
      <c r="K257" s="472" t="s">
        <v>8613</v>
      </c>
      <c r="L257" s="472" t="s">
        <v>8613</v>
      </c>
      <c r="M257" s="472" t="s">
        <v>8613</v>
      </c>
      <c r="N257" s="472" t="s">
        <v>8613</v>
      </c>
      <c r="O257" s="471" t="s">
        <v>8613</v>
      </c>
    </row>
    <row r="258" spans="1:15">
      <c r="A258" t="s">
        <v>8655</v>
      </c>
      <c r="B258" s="471"/>
      <c r="C258" s="469" t="s">
        <v>448</v>
      </c>
      <c r="D258" s="473">
        <v>813</v>
      </c>
      <c r="E258" s="473">
        <v>801</v>
      </c>
      <c r="F258" s="473">
        <v>8160</v>
      </c>
      <c r="G258" s="473">
        <v>1600</v>
      </c>
      <c r="H258" s="473"/>
      <c r="I258" s="473">
        <f xml:space="preserve"> 838</f>
        <v>838</v>
      </c>
      <c r="J258" s="473"/>
      <c r="K258" s="473"/>
      <c r="L258" s="473"/>
      <c r="M258" s="473">
        <f xml:space="preserve"> 25+12+37+12+25</f>
        <v>111</v>
      </c>
      <c r="N258" s="473"/>
      <c r="O258" s="473">
        <f xml:space="preserve"> SUM(D258:N258)</f>
        <v>12323</v>
      </c>
    </row>
    <row r="259" spans="1:15">
      <c r="A259" t="s">
        <v>8655</v>
      </c>
      <c r="B259" s="458" t="s">
        <v>8679</v>
      </c>
      <c r="C259" s="461"/>
      <c r="D259" s="464"/>
      <c r="E259" s="464"/>
      <c r="F259" s="464"/>
      <c r="G259" s="464"/>
      <c r="H259" s="464"/>
      <c r="I259" s="464"/>
      <c r="J259" s="464"/>
      <c r="K259" s="464"/>
      <c r="L259" s="464"/>
      <c r="M259" s="464"/>
      <c r="N259" s="464"/>
      <c r="O259" s="461"/>
    </row>
    <row r="260" spans="1:15">
      <c r="A260" t="s">
        <v>8655</v>
      </c>
      <c r="B260" s="461" t="s">
        <v>8680</v>
      </c>
      <c r="C260" s="461"/>
      <c r="D260" s="464"/>
      <c r="E260" s="464"/>
      <c r="F260" s="464"/>
      <c r="G260" s="464"/>
      <c r="H260" s="464"/>
      <c r="I260" s="464"/>
      <c r="J260" s="464"/>
      <c r="K260" s="464"/>
      <c r="L260" s="464"/>
      <c r="M260" s="464"/>
      <c r="N260" s="464"/>
      <c r="O260" s="461"/>
    </row>
    <row r="261" spans="1:15">
      <c r="A261" t="s">
        <v>8655</v>
      </c>
      <c r="B261" s="461"/>
      <c r="C261" s="461"/>
      <c r="D261" s="464"/>
      <c r="E261" s="464"/>
      <c r="F261" s="464"/>
      <c r="G261" s="464"/>
      <c r="H261" s="464"/>
      <c r="I261" s="464"/>
      <c r="J261" s="464"/>
      <c r="K261" s="464"/>
      <c r="L261" s="464"/>
      <c r="M261" s="464"/>
      <c r="N261" s="464"/>
      <c r="O261" s="461"/>
    </row>
    <row r="262" spans="1:15">
      <c r="A262" t="s">
        <v>8655</v>
      </c>
      <c r="B262" s="458" t="s">
        <v>8620</v>
      </c>
      <c r="C262" s="461"/>
      <c r="D262" s="461"/>
      <c r="E262" s="461"/>
      <c r="F262" s="461"/>
      <c r="G262" s="461"/>
      <c r="H262" s="461"/>
      <c r="I262" s="461"/>
      <c r="J262" s="461"/>
      <c r="K262" s="461"/>
      <c r="L262" s="461"/>
      <c r="M262" s="461"/>
      <c r="N262" s="461"/>
      <c r="O262" s="461"/>
    </row>
    <row r="263" spans="1:15">
      <c r="A263" t="s">
        <v>8655</v>
      </c>
      <c r="B263" s="461"/>
      <c r="C263" s="461"/>
      <c r="D263" s="461"/>
      <c r="E263" s="461"/>
      <c r="F263" s="461"/>
      <c r="G263" s="461"/>
      <c r="H263" s="461"/>
      <c r="I263" s="461"/>
      <c r="J263" s="461"/>
      <c r="K263" s="461"/>
      <c r="L263" s="461"/>
      <c r="M263" s="461"/>
      <c r="N263" s="461"/>
      <c r="O263" s="461"/>
    </row>
    <row r="264" spans="1:15">
      <c r="A264" t="s">
        <v>8655</v>
      </c>
      <c r="B264" s="458" t="s">
        <v>8681</v>
      </c>
      <c r="C264" s="458"/>
      <c r="D264" s="458"/>
      <c r="E264" s="458"/>
      <c r="F264" s="458"/>
      <c r="G264" s="458"/>
      <c r="H264" s="458"/>
      <c r="I264" s="458"/>
      <c r="J264" s="458"/>
      <c r="K264" s="458"/>
      <c r="L264" s="458"/>
      <c r="M264" s="458"/>
      <c r="N264" s="458"/>
      <c r="O264" s="458"/>
    </row>
    <row r="265" spans="1:15">
      <c r="A265" t="s">
        <v>8655</v>
      </c>
      <c r="B265" s="458"/>
      <c r="C265" s="458"/>
      <c r="D265" s="458"/>
      <c r="E265" s="458"/>
      <c r="F265" s="458"/>
      <c r="G265" s="458"/>
      <c r="H265" s="458"/>
      <c r="I265" s="458"/>
      <c r="J265" s="458"/>
      <c r="K265" s="458"/>
      <c r="L265" s="458"/>
      <c r="M265" s="458"/>
      <c r="N265" s="458"/>
      <c r="O265" s="458"/>
    </row>
    <row r="266" spans="1:15">
      <c r="A266" t="s">
        <v>8655</v>
      </c>
      <c r="B266" s="56" t="s">
        <v>8579</v>
      </c>
      <c r="C266" s="56" t="s">
        <v>436</v>
      </c>
      <c r="D266" s="56" t="s">
        <v>437</v>
      </c>
      <c r="E266" s="56" t="s">
        <v>438</v>
      </c>
      <c r="F266" s="56" t="s">
        <v>439</v>
      </c>
      <c r="G266" s="56" t="s">
        <v>440</v>
      </c>
      <c r="H266" s="70" t="s">
        <v>441</v>
      </c>
      <c r="I266" s="56" t="s">
        <v>442</v>
      </c>
      <c r="J266" s="56" t="s">
        <v>443</v>
      </c>
      <c r="K266" s="67" t="s">
        <v>444</v>
      </c>
      <c r="L266" s="67" t="s">
        <v>445</v>
      </c>
      <c r="M266" s="56" t="s">
        <v>446</v>
      </c>
      <c r="N266" s="56" t="s">
        <v>8649</v>
      </c>
      <c r="O266" s="56" t="s">
        <v>448</v>
      </c>
    </row>
    <row r="267" spans="1:15">
      <c r="A267" t="s">
        <v>8655</v>
      </c>
      <c r="B267" s="64" t="s">
        <v>8682</v>
      </c>
      <c r="C267" s="64" t="s">
        <v>8613</v>
      </c>
      <c r="D267" s="455" t="s">
        <v>8613</v>
      </c>
      <c r="E267" s="455" t="s">
        <v>8613</v>
      </c>
      <c r="F267" s="455" t="s">
        <v>8613</v>
      </c>
      <c r="G267" s="455" t="s">
        <v>8613</v>
      </c>
      <c r="H267" s="455" t="s">
        <v>8613</v>
      </c>
      <c r="I267" s="455" t="s">
        <v>8613</v>
      </c>
      <c r="J267" s="455" t="s">
        <v>8613</v>
      </c>
      <c r="K267" s="64" t="s">
        <v>8613</v>
      </c>
      <c r="L267" s="64" t="s">
        <v>8613</v>
      </c>
      <c r="M267" s="455" t="s">
        <v>8613</v>
      </c>
      <c r="N267" s="455" t="s">
        <v>8613</v>
      </c>
      <c r="O267" s="466" t="s">
        <v>8613</v>
      </c>
    </row>
    <row r="268" spans="1:15">
      <c r="A268" t="s">
        <v>8655</v>
      </c>
      <c r="B268" s="64"/>
      <c r="C268" s="56" t="s">
        <v>8624</v>
      </c>
      <c r="D268" s="455"/>
      <c r="E268" s="455"/>
      <c r="F268" s="455">
        <v>0.40300000000000002</v>
      </c>
      <c r="G268" s="455">
        <v>2.5000000000000001E-2</v>
      </c>
      <c r="H268" s="455"/>
      <c r="I268" s="465">
        <v>0.17699999999999999</v>
      </c>
      <c r="J268" s="455"/>
      <c r="K268" s="455"/>
      <c r="L268" s="455"/>
      <c r="M268" s="455"/>
      <c r="N268" s="465">
        <v>0.39500000000000002</v>
      </c>
      <c r="O268" s="466"/>
    </row>
    <row r="269" spans="1:15">
      <c r="A269" t="s">
        <v>8655</v>
      </c>
      <c r="B269" s="461"/>
      <c r="C269" s="461"/>
      <c r="D269" s="474"/>
      <c r="E269" s="474"/>
      <c r="F269" s="474"/>
      <c r="G269" s="474"/>
      <c r="H269" s="474"/>
      <c r="I269" s="474"/>
      <c r="J269" s="474"/>
      <c r="K269" s="474"/>
      <c r="L269" s="474"/>
      <c r="M269" s="474"/>
      <c r="N269" s="474"/>
      <c r="O269" s="475"/>
    </row>
    <row r="270" spans="1:15">
      <c r="A270" t="s">
        <v>8655</v>
      </c>
      <c r="B270" s="56" t="s">
        <v>8579</v>
      </c>
      <c r="C270" s="56" t="s">
        <v>436</v>
      </c>
      <c r="D270" s="476" t="s">
        <v>437</v>
      </c>
      <c r="E270" s="476" t="s">
        <v>438</v>
      </c>
      <c r="F270" s="476" t="s">
        <v>439</v>
      </c>
      <c r="G270" s="476" t="s">
        <v>440</v>
      </c>
      <c r="H270" s="70" t="s">
        <v>441</v>
      </c>
      <c r="I270" s="476" t="s">
        <v>442</v>
      </c>
      <c r="J270" s="476" t="s">
        <v>443</v>
      </c>
      <c r="K270" s="56" t="s">
        <v>444</v>
      </c>
      <c r="L270" s="67" t="s">
        <v>445</v>
      </c>
      <c r="M270" s="476" t="s">
        <v>446</v>
      </c>
      <c r="N270" s="56" t="s">
        <v>8649</v>
      </c>
      <c r="O270" s="477" t="s">
        <v>448</v>
      </c>
    </row>
    <row r="271" spans="1:15">
      <c r="A271" t="s">
        <v>8655</v>
      </c>
      <c r="B271" s="64" t="s">
        <v>8683</v>
      </c>
      <c r="C271" s="64" t="s">
        <v>8613</v>
      </c>
      <c r="D271" s="455" t="s">
        <v>8613</v>
      </c>
      <c r="E271" s="455" t="s">
        <v>8613</v>
      </c>
      <c r="F271" s="455" t="s">
        <v>8613</v>
      </c>
      <c r="G271" s="455" t="s">
        <v>8613</v>
      </c>
      <c r="H271" s="455" t="s">
        <v>8613</v>
      </c>
      <c r="I271" s="455" t="s">
        <v>8613</v>
      </c>
      <c r="J271" s="455" t="s">
        <v>8613</v>
      </c>
      <c r="K271" s="64" t="s">
        <v>8613</v>
      </c>
      <c r="L271" s="64" t="s">
        <v>8613</v>
      </c>
      <c r="M271" s="455" t="s">
        <v>8613</v>
      </c>
      <c r="N271" s="455" t="s">
        <v>8613</v>
      </c>
      <c r="O271" s="466" t="s">
        <v>8613</v>
      </c>
    </row>
    <row r="272" spans="1:15">
      <c r="A272" t="s">
        <v>8655</v>
      </c>
      <c r="B272" s="64"/>
      <c r="C272" s="56" t="s">
        <v>8624</v>
      </c>
      <c r="D272" s="455"/>
      <c r="E272" s="455"/>
      <c r="F272" s="455">
        <v>0.40400000000000003</v>
      </c>
      <c r="G272" s="455">
        <v>2.4E-2</v>
      </c>
      <c r="H272" s="455"/>
      <c r="I272" s="455">
        <v>0.14299999999999999</v>
      </c>
      <c r="J272" s="455"/>
      <c r="K272" s="455"/>
      <c r="L272" s="455"/>
      <c r="M272" s="455"/>
      <c r="N272" s="455">
        <v>0.42899999999999999</v>
      </c>
      <c r="O272" s="466"/>
    </row>
    <row r="273" spans="1:15">
      <c r="A273" t="s">
        <v>8655</v>
      </c>
      <c r="B273" s="461"/>
      <c r="C273" s="461"/>
      <c r="D273" s="474"/>
      <c r="E273" s="474"/>
      <c r="F273" s="474"/>
      <c r="G273" s="474"/>
      <c r="H273" s="474"/>
      <c r="I273" s="474"/>
      <c r="J273" s="474"/>
      <c r="K273" s="474"/>
      <c r="L273" s="474"/>
      <c r="M273" s="474"/>
      <c r="N273" s="474"/>
      <c r="O273" s="475"/>
    </row>
    <row r="274" spans="1:15">
      <c r="A274" t="s">
        <v>8655</v>
      </c>
      <c r="B274" s="56" t="s">
        <v>8579</v>
      </c>
      <c r="C274" s="56" t="s">
        <v>436</v>
      </c>
      <c r="D274" s="476" t="s">
        <v>437</v>
      </c>
      <c r="E274" s="476" t="s">
        <v>438</v>
      </c>
      <c r="F274" s="476" t="s">
        <v>439</v>
      </c>
      <c r="G274" s="476" t="s">
        <v>440</v>
      </c>
      <c r="H274" s="70" t="s">
        <v>441</v>
      </c>
      <c r="I274" s="476" t="s">
        <v>442</v>
      </c>
      <c r="J274" s="476" t="s">
        <v>443</v>
      </c>
      <c r="K274" s="67" t="s">
        <v>444</v>
      </c>
      <c r="L274" s="67" t="s">
        <v>445</v>
      </c>
      <c r="M274" s="476" t="s">
        <v>446</v>
      </c>
      <c r="N274" s="56" t="s">
        <v>8649</v>
      </c>
      <c r="O274" s="477" t="s">
        <v>448</v>
      </c>
    </row>
    <row r="275" spans="1:15">
      <c r="A275" t="s">
        <v>8655</v>
      </c>
      <c r="B275" s="64" t="s">
        <v>8684</v>
      </c>
      <c r="C275" s="64" t="s">
        <v>8613</v>
      </c>
      <c r="D275" s="455" t="s">
        <v>8613</v>
      </c>
      <c r="E275" s="455" t="s">
        <v>8613</v>
      </c>
      <c r="F275" s="455" t="s">
        <v>8613</v>
      </c>
      <c r="G275" s="455" t="s">
        <v>8613</v>
      </c>
      <c r="H275" s="455" t="s">
        <v>8613</v>
      </c>
      <c r="I275" s="455" t="s">
        <v>8613</v>
      </c>
      <c r="J275" s="455" t="s">
        <v>8613</v>
      </c>
      <c r="K275" s="455" t="s">
        <v>8613</v>
      </c>
      <c r="L275" s="455" t="s">
        <v>8613</v>
      </c>
      <c r="M275" s="455" t="s">
        <v>8613</v>
      </c>
      <c r="N275" s="455" t="s">
        <v>8613</v>
      </c>
      <c r="O275" s="466" t="s">
        <v>8613</v>
      </c>
    </row>
    <row r="276" spans="1:15">
      <c r="A276" t="s">
        <v>8655</v>
      </c>
      <c r="B276" s="64"/>
      <c r="C276" s="56" t="s">
        <v>8624</v>
      </c>
      <c r="D276" s="455"/>
      <c r="E276" s="455"/>
      <c r="F276" s="455">
        <v>0.56699999999999995</v>
      </c>
      <c r="G276" s="455">
        <v>0.03</v>
      </c>
      <c r="H276" s="455"/>
      <c r="I276" s="455">
        <v>9.2999999999999999E-2</v>
      </c>
      <c r="J276" s="455"/>
      <c r="K276" s="455"/>
      <c r="L276" s="455"/>
      <c r="M276" s="455"/>
      <c r="N276" s="455">
        <v>0.31</v>
      </c>
      <c r="O276" s="466"/>
    </row>
    <row r="277" spans="1:15">
      <c r="A277" t="s">
        <v>8655</v>
      </c>
      <c r="B277" s="458"/>
      <c r="C277" s="458"/>
      <c r="D277" s="478"/>
      <c r="E277" s="478"/>
      <c r="F277" s="478"/>
      <c r="G277" s="478"/>
      <c r="H277" s="478"/>
      <c r="I277" s="478"/>
      <c r="J277" s="478"/>
      <c r="K277" s="478"/>
      <c r="L277" s="478"/>
      <c r="M277" s="478"/>
      <c r="N277" s="478"/>
      <c r="O277" s="479"/>
    </row>
    <row r="278" spans="1:15">
      <c r="A278" t="s">
        <v>8655</v>
      </c>
      <c r="B278" s="458" t="s">
        <v>8654</v>
      </c>
      <c r="C278" s="458"/>
      <c r="D278" s="478"/>
      <c r="E278" s="478"/>
      <c r="F278" s="478"/>
      <c r="G278" s="478"/>
      <c r="H278" s="478"/>
      <c r="I278" s="478"/>
      <c r="J278" s="478"/>
      <c r="K278" s="478"/>
      <c r="L278" s="478"/>
      <c r="M278" s="478"/>
      <c r="N278" s="478"/>
      <c r="O278" s="479"/>
    </row>
    <row r="279" spans="1:15">
      <c r="A279" t="s">
        <v>8655</v>
      </c>
      <c r="B279" s="458"/>
      <c r="C279" s="458"/>
      <c r="D279" s="478"/>
      <c r="E279" s="478"/>
      <c r="F279" s="478"/>
      <c r="G279" s="478"/>
      <c r="H279" s="478"/>
      <c r="I279" s="478"/>
      <c r="J279" s="478"/>
      <c r="K279" s="478"/>
      <c r="L279" s="478"/>
      <c r="M279" s="478"/>
      <c r="N279" s="478"/>
      <c r="O279" s="479"/>
    </row>
    <row r="280" spans="1:15">
      <c r="A280" t="s">
        <v>8655</v>
      </c>
      <c r="B280" s="56" t="s">
        <v>8579</v>
      </c>
      <c r="C280" s="56" t="s">
        <v>436</v>
      </c>
      <c r="D280" s="476" t="s">
        <v>437</v>
      </c>
      <c r="E280" s="476" t="s">
        <v>438</v>
      </c>
      <c r="F280" s="476" t="s">
        <v>439</v>
      </c>
      <c r="G280" s="476" t="s">
        <v>440</v>
      </c>
      <c r="H280" s="70" t="s">
        <v>441</v>
      </c>
      <c r="I280" s="476" t="s">
        <v>442</v>
      </c>
      <c r="J280" s="476" t="s">
        <v>443</v>
      </c>
      <c r="K280" s="67" t="s">
        <v>444</v>
      </c>
      <c r="L280" s="67" t="s">
        <v>445</v>
      </c>
      <c r="M280" s="476" t="s">
        <v>446</v>
      </c>
      <c r="N280" s="56" t="s">
        <v>8649</v>
      </c>
      <c r="O280" s="477" t="s">
        <v>448</v>
      </c>
    </row>
    <row r="281" spans="1:15">
      <c r="A281" t="s">
        <v>8655</v>
      </c>
      <c r="B281" s="64" t="s">
        <v>8685</v>
      </c>
      <c r="C281" s="64" t="s">
        <v>8613</v>
      </c>
      <c r="D281" s="455" t="s">
        <v>8613</v>
      </c>
      <c r="E281" s="455" t="s">
        <v>8613</v>
      </c>
      <c r="F281" s="455" t="s">
        <v>8613</v>
      </c>
      <c r="G281" s="455" t="s">
        <v>8613</v>
      </c>
      <c r="H281" s="455" t="s">
        <v>8613</v>
      </c>
      <c r="I281" s="455" t="s">
        <v>8613</v>
      </c>
      <c r="J281" s="455" t="s">
        <v>8613</v>
      </c>
      <c r="K281" s="64" t="s">
        <v>8613</v>
      </c>
      <c r="L281" s="64" t="s">
        <v>8613</v>
      </c>
      <c r="M281" s="455" t="s">
        <v>8613</v>
      </c>
      <c r="N281" s="455" t="s">
        <v>8613</v>
      </c>
      <c r="O281" s="466" t="s">
        <v>8613</v>
      </c>
    </row>
    <row r="282" spans="1:15">
      <c r="A282" t="s">
        <v>8655</v>
      </c>
      <c r="B282" s="64"/>
      <c r="C282" s="56" t="s">
        <v>8624</v>
      </c>
      <c r="D282" s="69"/>
      <c r="E282" s="455">
        <v>8.9999999999999993E-3</v>
      </c>
      <c r="F282" s="455">
        <v>0.49399999999999999</v>
      </c>
      <c r="G282" s="455">
        <v>2.9000000000000001E-2</v>
      </c>
      <c r="H282" s="455"/>
      <c r="I282" s="455">
        <v>0.09</v>
      </c>
      <c r="J282" s="455"/>
      <c r="K282" s="455"/>
      <c r="L282" s="455"/>
      <c r="M282" s="455"/>
      <c r="N282" s="455">
        <v>0.39800000000000002</v>
      </c>
      <c r="O282" s="466"/>
    </row>
    <row r="283" spans="1:15">
      <c r="A283" t="s">
        <v>8655</v>
      </c>
      <c r="B283" s="444"/>
      <c r="C283" s="444"/>
      <c r="D283" s="480"/>
      <c r="E283" s="480"/>
      <c r="F283" s="480"/>
      <c r="G283" s="480"/>
      <c r="H283" s="480"/>
      <c r="I283" s="480"/>
      <c r="J283" s="480"/>
      <c r="K283" s="480"/>
      <c r="L283" s="480"/>
      <c r="M283" s="480"/>
      <c r="N283" s="480"/>
      <c r="O283" s="481"/>
    </row>
    <row r="284" spans="1:15">
      <c r="A284" t="s">
        <v>8655</v>
      </c>
      <c r="B284" s="56" t="s">
        <v>8579</v>
      </c>
      <c r="C284" s="56" t="s">
        <v>436</v>
      </c>
      <c r="D284" s="476" t="s">
        <v>437</v>
      </c>
      <c r="E284" s="476" t="s">
        <v>438</v>
      </c>
      <c r="F284" s="476" t="s">
        <v>439</v>
      </c>
      <c r="G284" s="476" t="s">
        <v>440</v>
      </c>
      <c r="H284" s="70" t="s">
        <v>441</v>
      </c>
      <c r="I284" s="476" t="s">
        <v>442</v>
      </c>
      <c r="J284" s="476" t="s">
        <v>443</v>
      </c>
      <c r="K284" s="67" t="s">
        <v>444</v>
      </c>
      <c r="L284" s="67" t="s">
        <v>445</v>
      </c>
      <c r="M284" s="476" t="s">
        <v>446</v>
      </c>
      <c r="N284" s="56" t="s">
        <v>8649</v>
      </c>
      <c r="O284" s="477" t="s">
        <v>448</v>
      </c>
    </row>
    <row r="285" spans="1:15">
      <c r="A285" t="s">
        <v>8655</v>
      </c>
      <c r="B285" s="64" t="s">
        <v>8686</v>
      </c>
      <c r="C285" s="64" t="s">
        <v>8613</v>
      </c>
      <c r="D285" s="455" t="s">
        <v>8613</v>
      </c>
      <c r="E285" s="455" t="s">
        <v>8613</v>
      </c>
      <c r="F285" s="455" t="s">
        <v>8613</v>
      </c>
      <c r="G285" s="455" t="s">
        <v>8613</v>
      </c>
      <c r="H285" s="455" t="s">
        <v>8613</v>
      </c>
      <c r="I285" s="455" t="s">
        <v>8613</v>
      </c>
      <c r="J285" s="455" t="s">
        <v>8613</v>
      </c>
      <c r="K285" s="64" t="s">
        <v>8613</v>
      </c>
      <c r="L285" s="64" t="s">
        <v>8613</v>
      </c>
      <c r="M285" s="455" t="s">
        <v>8613</v>
      </c>
      <c r="N285" s="455" t="s">
        <v>8613</v>
      </c>
      <c r="O285" s="466" t="s">
        <v>8613</v>
      </c>
    </row>
    <row r="286" spans="1:15">
      <c r="A286" t="s">
        <v>8655</v>
      </c>
      <c r="B286" s="64"/>
      <c r="C286" s="56" t="s">
        <v>8624</v>
      </c>
      <c r="D286" s="455"/>
      <c r="E286" s="455">
        <v>6.0000000000000001E-3</v>
      </c>
      <c r="F286" s="455">
        <v>0.46500000000000002</v>
      </c>
      <c r="G286" s="455">
        <v>7.0999999999999994E-2</v>
      </c>
      <c r="H286" s="455"/>
      <c r="I286" s="455">
        <v>0.08</v>
      </c>
      <c r="J286" s="455"/>
      <c r="K286" s="455"/>
      <c r="L286" s="455"/>
      <c r="M286" s="455"/>
      <c r="N286" s="465">
        <v>0.378</v>
      </c>
      <c r="O286" s="466"/>
    </row>
    <row r="287" spans="1:15">
      <c r="A287" t="s">
        <v>8655</v>
      </c>
      <c r="B287" s="444"/>
      <c r="C287" s="444"/>
      <c r="D287" s="480"/>
      <c r="E287" s="480"/>
      <c r="F287" s="480"/>
      <c r="G287" s="480"/>
      <c r="H287" s="480"/>
      <c r="I287" s="480"/>
      <c r="J287" s="480"/>
      <c r="K287" s="480"/>
      <c r="L287" s="480"/>
      <c r="M287" s="480"/>
      <c r="N287" s="480"/>
      <c r="O287" s="481"/>
    </row>
    <row r="288" spans="1:15">
      <c r="A288" t="s">
        <v>8655</v>
      </c>
      <c r="B288" s="56" t="s">
        <v>8579</v>
      </c>
      <c r="C288" s="56" t="s">
        <v>436</v>
      </c>
      <c r="D288" s="476" t="s">
        <v>437</v>
      </c>
      <c r="E288" s="476" t="s">
        <v>438</v>
      </c>
      <c r="F288" s="476" t="s">
        <v>439</v>
      </c>
      <c r="G288" s="476" t="s">
        <v>440</v>
      </c>
      <c r="H288" s="70" t="s">
        <v>441</v>
      </c>
      <c r="I288" s="476" t="s">
        <v>442</v>
      </c>
      <c r="J288" s="476" t="s">
        <v>443</v>
      </c>
      <c r="K288" s="67" t="s">
        <v>444</v>
      </c>
      <c r="L288" s="67" t="s">
        <v>445</v>
      </c>
      <c r="M288" s="476" t="s">
        <v>446</v>
      </c>
      <c r="N288" s="56" t="s">
        <v>8649</v>
      </c>
      <c r="O288" s="477" t="s">
        <v>448</v>
      </c>
    </row>
    <row r="289" spans="1:15">
      <c r="A289" t="s">
        <v>8655</v>
      </c>
      <c r="B289" s="64" t="s">
        <v>8687</v>
      </c>
      <c r="C289" s="64" t="s">
        <v>8613</v>
      </c>
      <c r="D289" s="455" t="s">
        <v>8613</v>
      </c>
      <c r="E289" s="455" t="s">
        <v>8613</v>
      </c>
      <c r="F289" s="455" t="s">
        <v>8613</v>
      </c>
      <c r="G289" s="455" t="s">
        <v>8613</v>
      </c>
      <c r="H289" s="455" t="s">
        <v>8613</v>
      </c>
      <c r="I289" s="455" t="s">
        <v>8613</v>
      </c>
      <c r="J289" s="455" t="s">
        <v>8613</v>
      </c>
      <c r="K289" s="64" t="s">
        <v>8613</v>
      </c>
      <c r="L289" s="64" t="s">
        <v>8613</v>
      </c>
      <c r="M289" s="455" t="s">
        <v>8613</v>
      </c>
      <c r="N289" s="455" t="s">
        <v>8613</v>
      </c>
      <c r="O289" s="466" t="s">
        <v>8613</v>
      </c>
    </row>
    <row r="290" spans="1:15">
      <c r="A290" t="s">
        <v>8655</v>
      </c>
      <c r="B290" s="64"/>
      <c r="C290" s="56" t="s">
        <v>8624</v>
      </c>
      <c r="D290" s="69"/>
      <c r="E290" s="455">
        <v>1.7000000000000001E-2</v>
      </c>
      <c r="F290" s="455">
        <v>0.47799999999999998</v>
      </c>
      <c r="G290" s="455">
        <v>2.8000000000000001E-2</v>
      </c>
      <c r="H290" s="455"/>
      <c r="I290" s="455">
        <v>0.09</v>
      </c>
      <c r="J290" s="455"/>
      <c r="K290" s="455"/>
      <c r="L290" s="455"/>
      <c r="M290" s="455"/>
      <c r="N290" s="455">
        <v>0.38700000000000001</v>
      </c>
      <c r="O290" s="466"/>
    </row>
    <row r="291" spans="1:15">
      <c r="A291" t="s">
        <v>8688</v>
      </c>
      <c r="B291" s="56" t="s">
        <v>8579</v>
      </c>
      <c r="C291" s="56" t="s">
        <v>436</v>
      </c>
      <c r="D291" s="56" t="s">
        <v>437</v>
      </c>
      <c r="E291" s="56" t="s">
        <v>438</v>
      </c>
      <c r="F291" s="56" t="s">
        <v>439</v>
      </c>
      <c r="G291" s="56" t="s">
        <v>440</v>
      </c>
      <c r="H291" s="70" t="s">
        <v>441</v>
      </c>
      <c r="I291" s="56" t="s">
        <v>442</v>
      </c>
      <c r="J291" s="56" t="s">
        <v>443</v>
      </c>
      <c r="K291" s="67" t="s">
        <v>444</v>
      </c>
      <c r="L291" s="67" t="s">
        <v>445</v>
      </c>
      <c r="M291" s="56" t="s">
        <v>6915</v>
      </c>
      <c r="N291" s="56" t="s">
        <v>447</v>
      </c>
      <c r="O291" s="56" t="s">
        <v>448</v>
      </c>
    </row>
    <row r="292" spans="1:15">
      <c r="A292" t="s">
        <v>8688</v>
      </c>
      <c r="B292" s="64" t="s">
        <v>8689</v>
      </c>
      <c r="C292" s="64" t="s">
        <v>8640</v>
      </c>
      <c r="D292" s="60"/>
      <c r="E292" s="60"/>
      <c r="F292" s="60">
        <f>2.7+3.92</f>
        <v>6.62</v>
      </c>
      <c r="G292" s="60">
        <f>55+(270*0.99)+615</f>
        <v>937.3</v>
      </c>
      <c r="H292" s="60"/>
      <c r="I292" s="60"/>
      <c r="J292" s="60"/>
      <c r="K292" s="60"/>
      <c r="L292" s="60"/>
      <c r="M292" s="60">
        <v>1.68</v>
      </c>
      <c r="N292" s="60"/>
      <c r="O292" s="60">
        <f t="shared" ref="O292:O302" si="43">SUM(D292:N292)</f>
        <v>945.59999999999991</v>
      </c>
    </row>
    <row r="293" spans="1:15">
      <c r="A293" t="s">
        <v>8688</v>
      </c>
      <c r="B293" s="64"/>
      <c r="C293" s="64" t="s">
        <v>453</v>
      </c>
      <c r="D293" s="60"/>
      <c r="E293" s="60"/>
      <c r="F293" s="60">
        <f>835+2.7+243</f>
        <v>1080.7</v>
      </c>
      <c r="G293" s="60">
        <f>30+117+840</f>
        <v>987</v>
      </c>
      <c r="H293" s="60"/>
      <c r="I293" s="60">
        <v>30</v>
      </c>
      <c r="J293" s="60">
        <f>460</f>
        <v>460</v>
      </c>
      <c r="K293" s="60"/>
      <c r="L293" s="60">
        <v>567</v>
      </c>
      <c r="M293" s="60"/>
      <c r="N293" s="60">
        <f>7.1</f>
        <v>7.1</v>
      </c>
      <c r="O293" s="60">
        <f t="shared" si="43"/>
        <v>3131.7999999999997</v>
      </c>
    </row>
    <row r="294" spans="1:15">
      <c r="A294" t="s">
        <v>8688</v>
      </c>
      <c r="B294" s="64"/>
      <c r="C294" s="64" t="s">
        <v>8660</v>
      </c>
      <c r="D294" s="60">
        <f>4+4.09+106.7</f>
        <v>114.79</v>
      </c>
      <c r="E294" s="60">
        <f>13.62</f>
        <v>13.62</v>
      </c>
      <c r="F294" s="60">
        <f>36.81+171.5+89.4+6.7+48.02+77.77+1.9</f>
        <v>432.09999999999997</v>
      </c>
      <c r="G294" s="60">
        <f>5.5+1.3</f>
        <v>6.8</v>
      </c>
      <c r="H294" s="60"/>
      <c r="I294" s="60">
        <f>26.5</f>
        <v>26.5</v>
      </c>
      <c r="J294" s="60"/>
      <c r="K294" s="60"/>
      <c r="L294" s="60"/>
      <c r="M294" s="60">
        <f>1.63+74.52+20.58+25.55+7.77+58.2+5</f>
        <v>193.25</v>
      </c>
      <c r="N294" s="60">
        <f>1.7+17.48+1.87+15.5</f>
        <v>36.549999999999997</v>
      </c>
      <c r="O294" s="60">
        <f t="shared" si="43"/>
        <v>823.6099999999999</v>
      </c>
    </row>
    <row r="295" spans="1:15">
      <c r="A295" t="s">
        <v>8688</v>
      </c>
      <c r="B295" s="64"/>
      <c r="C295" s="64" t="s">
        <v>456</v>
      </c>
      <c r="D295" s="60">
        <f>18.65+17.5</f>
        <v>36.15</v>
      </c>
      <c r="E295" s="60">
        <f>18.8+22.38+15</f>
        <v>56.18</v>
      </c>
      <c r="F295" s="60">
        <f>2+3.4</f>
        <v>5.4</v>
      </c>
      <c r="G295" s="60"/>
      <c r="H295" s="60"/>
      <c r="I295" s="60">
        <f>14.92</f>
        <v>14.92</v>
      </c>
      <c r="J295" s="60"/>
      <c r="K295" s="60"/>
      <c r="L295" s="60"/>
      <c r="M295" s="60">
        <f>18.65+17.5</f>
        <v>36.15</v>
      </c>
      <c r="N295" s="60"/>
      <c r="O295" s="60">
        <f t="shared" si="43"/>
        <v>148.80000000000001</v>
      </c>
    </row>
    <row r="296" spans="1:15">
      <c r="A296" t="s">
        <v>8688</v>
      </c>
      <c r="B296" s="64"/>
      <c r="C296" s="64" t="s">
        <v>8597</v>
      </c>
      <c r="D296" s="60"/>
      <c r="E296" s="60"/>
      <c r="F296" s="60">
        <f>1220+210+6.6</f>
        <v>1436.6</v>
      </c>
      <c r="G296" s="60"/>
      <c r="H296" s="60"/>
      <c r="I296" s="60"/>
      <c r="J296" s="60"/>
      <c r="K296" s="60"/>
      <c r="L296" s="60"/>
      <c r="M296" s="60"/>
      <c r="N296" s="60"/>
      <c r="O296" s="60">
        <f t="shared" si="43"/>
        <v>1436.6</v>
      </c>
    </row>
    <row r="297" spans="1:15">
      <c r="A297" t="s">
        <v>8688</v>
      </c>
      <c r="B297" s="64"/>
      <c r="C297" s="64" t="s">
        <v>497</v>
      </c>
      <c r="D297" s="64"/>
      <c r="E297" s="60"/>
      <c r="F297" s="60">
        <f>2.2</f>
        <v>2.2000000000000002</v>
      </c>
      <c r="G297" s="60">
        <f>1.9</f>
        <v>1.9</v>
      </c>
      <c r="H297" s="60"/>
      <c r="I297" s="60">
        <f>340+45</f>
        <v>385</v>
      </c>
      <c r="J297" s="60"/>
      <c r="K297" s="60"/>
      <c r="L297" s="60"/>
      <c r="M297" s="60"/>
      <c r="N297" s="60"/>
      <c r="O297" s="60">
        <f t="shared" si="43"/>
        <v>389.1</v>
      </c>
    </row>
    <row r="298" spans="1:15">
      <c r="A298" t="s">
        <v>8688</v>
      </c>
      <c r="B298" s="64"/>
      <c r="C298" s="64" t="s">
        <v>459</v>
      </c>
      <c r="D298" s="60">
        <f>55.43</f>
        <v>55.43</v>
      </c>
      <c r="E298" s="60">
        <f>0.85+0.5+2.4</f>
        <v>3.75</v>
      </c>
      <c r="F298" s="60">
        <f>57.8+2.6+17.6+1.8</f>
        <v>79.8</v>
      </c>
      <c r="G298" s="60">
        <f>36.5+5.4+0.85</f>
        <v>42.75</v>
      </c>
      <c r="H298" s="60"/>
      <c r="I298" s="60">
        <v>13.9</v>
      </c>
      <c r="J298" s="60"/>
      <c r="K298" s="60"/>
      <c r="L298" s="60"/>
      <c r="M298" s="60">
        <f>2.98</f>
        <v>2.98</v>
      </c>
      <c r="N298" s="60">
        <f>0.2+1.19</f>
        <v>1.39</v>
      </c>
      <c r="O298" s="60">
        <f t="shared" si="43"/>
        <v>199.99999999999997</v>
      </c>
    </row>
    <row r="299" spans="1:15">
      <c r="A299" t="s">
        <v>8688</v>
      </c>
      <c r="B299" s="64"/>
      <c r="C299" s="64" t="s">
        <v>8665</v>
      </c>
      <c r="D299" s="60"/>
      <c r="E299" s="60">
        <v>0.45</v>
      </c>
      <c r="F299" s="60">
        <f>3.7</f>
        <v>3.7</v>
      </c>
      <c r="G299" s="60">
        <f>60.6+0.45</f>
        <v>61.050000000000004</v>
      </c>
      <c r="H299" s="60"/>
      <c r="I299" s="60"/>
      <c r="J299" s="60"/>
      <c r="K299" s="60"/>
      <c r="L299" s="60"/>
      <c r="M299" s="60"/>
      <c r="N299" s="60"/>
      <c r="O299" s="60">
        <f t="shared" si="43"/>
        <v>65.2</v>
      </c>
    </row>
    <row r="300" spans="1:15">
      <c r="A300" t="s">
        <v>8688</v>
      </c>
      <c r="B300" s="64"/>
      <c r="C300" s="64" t="s">
        <v>8666</v>
      </c>
      <c r="D300" s="60"/>
      <c r="E300" s="60"/>
      <c r="F300" s="64">
        <f>32.4</f>
        <v>32.4</v>
      </c>
      <c r="G300" s="64">
        <f>91.6</f>
        <v>91.6</v>
      </c>
      <c r="H300" s="64"/>
      <c r="I300" s="64"/>
      <c r="J300" s="60"/>
      <c r="K300" s="60"/>
      <c r="L300" s="60"/>
      <c r="M300" s="60"/>
      <c r="N300" s="60">
        <f>0.4+1.2</f>
        <v>1.6</v>
      </c>
      <c r="O300" s="60">
        <f t="shared" si="43"/>
        <v>125.6</v>
      </c>
    </row>
    <row r="301" spans="1:15">
      <c r="A301" t="s">
        <v>8688</v>
      </c>
      <c r="B301" s="64"/>
      <c r="C301" s="64" t="s">
        <v>8690</v>
      </c>
      <c r="D301" s="60">
        <f>264</f>
        <v>264</v>
      </c>
      <c r="E301" s="60"/>
      <c r="F301" s="60">
        <f>1065+8.6+5.9+66</f>
        <v>1145.5</v>
      </c>
      <c r="G301" s="60">
        <f>440</f>
        <v>440</v>
      </c>
      <c r="H301" s="60"/>
      <c r="I301" s="60"/>
      <c r="J301" s="60"/>
      <c r="K301" s="60"/>
      <c r="L301" s="60"/>
      <c r="M301" s="60"/>
      <c r="N301" s="60"/>
      <c r="O301" s="60">
        <f t="shared" si="43"/>
        <v>1849.5</v>
      </c>
    </row>
    <row r="302" spans="1:15">
      <c r="A302" t="s">
        <v>8688</v>
      </c>
      <c r="B302" s="64"/>
      <c r="C302" s="64" t="s">
        <v>460</v>
      </c>
      <c r="D302" s="60"/>
      <c r="E302" s="60">
        <f>15</f>
        <v>15</v>
      </c>
      <c r="F302" s="60">
        <f>30.3+2.3</f>
        <v>32.6</v>
      </c>
      <c r="G302" s="60">
        <f>15+23.2</f>
        <v>38.200000000000003</v>
      </c>
      <c r="H302" s="60"/>
      <c r="I302" s="60">
        <f>3.5</f>
        <v>3.5</v>
      </c>
      <c r="J302" s="60"/>
      <c r="K302" s="60"/>
      <c r="L302" s="60"/>
      <c r="M302" s="60"/>
      <c r="N302" s="60"/>
      <c r="O302" s="60">
        <f t="shared" si="43"/>
        <v>89.300000000000011</v>
      </c>
    </row>
    <row r="303" spans="1:15">
      <c r="A303" t="s">
        <v>8688</v>
      </c>
      <c r="B303" s="64"/>
      <c r="C303" s="64"/>
      <c r="D303" s="457"/>
      <c r="E303" s="457"/>
      <c r="F303" s="457"/>
      <c r="G303" s="457"/>
      <c r="H303" s="457"/>
      <c r="I303" s="457"/>
      <c r="J303" s="457"/>
      <c r="K303" s="457"/>
      <c r="L303" s="457"/>
      <c r="M303" s="457"/>
      <c r="N303" s="457"/>
      <c r="O303" s="457"/>
    </row>
    <row r="304" spans="1:15">
      <c r="A304" t="s">
        <v>8688</v>
      </c>
      <c r="B304" s="64"/>
      <c r="C304" s="56" t="s">
        <v>448</v>
      </c>
      <c r="D304" s="60">
        <f>SUM(D292:D302)</f>
        <v>470.37</v>
      </c>
      <c r="E304" s="60">
        <f>SUM(E292:E302)</f>
        <v>89</v>
      </c>
      <c r="F304" s="60">
        <f>SUM(F292:F302)</f>
        <v>4257.6200000000008</v>
      </c>
      <c r="G304" s="60">
        <f>SUM(G292:G302)</f>
        <v>2606.6</v>
      </c>
      <c r="H304" s="60"/>
      <c r="I304" s="60">
        <f>SUM(I292:I302)</f>
        <v>473.82</v>
      </c>
      <c r="J304" s="60">
        <f>SUM(J292:J302)</f>
        <v>460</v>
      </c>
      <c r="K304" s="60"/>
      <c r="L304" s="60">
        <f t="shared" ref="L304" si="44">SUM(L292:L302)</f>
        <v>567</v>
      </c>
      <c r="M304" s="60">
        <f>SUM(M292:M302)</f>
        <v>234.06</v>
      </c>
      <c r="N304" s="60">
        <f>SUM(N292:N302)</f>
        <v>46.64</v>
      </c>
      <c r="O304" s="60">
        <f>SUM(O292:O302)</f>
        <v>9205.11</v>
      </c>
    </row>
    <row r="305" spans="1:15">
      <c r="A305" t="s">
        <v>8691</v>
      </c>
      <c r="B305" s="70" t="s">
        <v>8579</v>
      </c>
      <c r="C305" s="70" t="s">
        <v>436</v>
      </c>
      <c r="D305" s="70" t="s">
        <v>437</v>
      </c>
      <c r="E305" s="70" t="s">
        <v>438</v>
      </c>
      <c r="F305" s="70" t="s">
        <v>439</v>
      </c>
      <c r="G305" s="70" t="s">
        <v>440</v>
      </c>
      <c r="H305" s="70" t="s">
        <v>441</v>
      </c>
      <c r="I305" s="70" t="s">
        <v>442</v>
      </c>
      <c r="J305" s="70" t="s">
        <v>443</v>
      </c>
      <c r="K305" s="67" t="s">
        <v>444</v>
      </c>
      <c r="L305" s="67" t="s">
        <v>445</v>
      </c>
      <c r="M305" s="70" t="s">
        <v>446</v>
      </c>
      <c r="N305" s="70" t="s">
        <v>8692</v>
      </c>
      <c r="O305" s="70" t="s">
        <v>448</v>
      </c>
    </row>
    <row r="306" spans="1:15">
      <c r="A306" t="s">
        <v>8691</v>
      </c>
      <c r="B306" s="69" t="s">
        <v>8693</v>
      </c>
      <c r="C306" s="69" t="s">
        <v>6910</v>
      </c>
      <c r="D306" s="60">
        <v>1.4</v>
      </c>
      <c r="E306" s="60">
        <v>1.3</v>
      </c>
      <c r="F306" s="60"/>
      <c r="G306" s="60">
        <v>19</v>
      </c>
      <c r="H306" s="60">
        <v>64.599999999999994</v>
      </c>
      <c r="I306" s="60">
        <v>12.9</v>
      </c>
      <c r="J306" s="60"/>
      <c r="K306" s="60"/>
      <c r="L306" s="60"/>
      <c r="M306" s="60"/>
      <c r="N306" s="60"/>
      <c r="O306" s="60">
        <f>SUM(D306:N306)</f>
        <v>99.2</v>
      </c>
    </row>
    <row r="307" spans="1:15">
      <c r="A307" t="s">
        <v>8691</v>
      </c>
      <c r="B307" s="69"/>
      <c r="C307" s="69" t="s">
        <v>8694</v>
      </c>
      <c r="D307" s="60"/>
      <c r="E307" s="60">
        <v>1.6</v>
      </c>
      <c r="F307" s="60">
        <v>6.7</v>
      </c>
      <c r="G307" s="60">
        <v>50.9</v>
      </c>
      <c r="H307" s="60"/>
      <c r="I307" s="60"/>
      <c r="J307" s="60"/>
      <c r="K307" s="60"/>
      <c r="L307" s="60"/>
      <c r="M307" s="60"/>
      <c r="N307" s="60"/>
      <c r="O307" s="60">
        <f t="shared" ref="O307:O312" si="45">SUM(D307:N307)</f>
        <v>59.2</v>
      </c>
    </row>
    <row r="308" spans="1:15">
      <c r="A308" t="s">
        <v>8691</v>
      </c>
      <c r="B308" s="69"/>
      <c r="C308" s="69" t="s">
        <v>8695</v>
      </c>
      <c r="D308" s="60"/>
      <c r="E308" s="60"/>
      <c r="F308" s="60"/>
      <c r="G308" s="60">
        <v>22.7</v>
      </c>
      <c r="H308" s="60"/>
      <c r="I308" s="60">
        <v>9.4</v>
      </c>
      <c r="J308" s="60">
        <v>2.6</v>
      </c>
      <c r="K308" s="60"/>
      <c r="L308" s="60"/>
      <c r="M308" s="60"/>
      <c r="N308" s="60">
        <f>7.7-2.6</f>
        <v>5.0999999999999996</v>
      </c>
      <c r="O308" s="60">
        <f t="shared" si="45"/>
        <v>39.800000000000004</v>
      </c>
    </row>
    <row r="309" spans="1:15">
      <c r="A309" t="s">
        <v>8691</v>
      </c>
      <c r="B309" s="69"/>
      <c r="C309" s="69" t="s">
        <v>8696</v>
      </c>
      <c r="D309" s="60"/>
      <c r="E309" s="60">
        <v>2.4</v>
      </c>
      <c r="F309" s="60">
        <v>31.4</v>
      </c>
      <c r="G309" s="60">
        <v>96.5</v>
      </c>
      <c r="H309" s="60"/>
      <c r="I309" s="60">
        <v>10</v>
      </c>
      <c r="J309" s="60"/>
      <c r="K309" s="60"/>
      <c r="L309" s="60"/>
      <c r="M309" s="60"/>
      <c r="N309" s="60">
        <v>1.7</v>
      </c>
      <c r="O309" s="60">
        <f t="shared" si="45"/>
        <v>142</v>
      </c>
    </row>
    <row r="310" spans="1:15">
      <c r="A310" t="s">
        <v>8691</v>
      </c>
      <c r="B310" s="69"/>
      <c r="C310" s="69" t="s">
        <v>482</v>
      </c>
      <c r="D310" s="60">
        <v>24.4</v>
      </c>
      <c r="E310" s="60">
        <v>16</v>
      </c>
      <c r="F310" s="60">
        <v>198.2</v>
      </c>
      <c r="G310" s="60">
        <v>46.4</v>
      </c>
      <c r="H310" s="60"/>
      <c r="I310" s="60">
        <v>50.6</v>
      </c>
      <c r="J310" s="60"/>
      <c r="K310" s="60"/>
      <c r="L310" s="60"/>
      <c r="M310" s="60"/>
      <c r="N310" s="60">
        <v>11.9</v>
      </c>
      <c r="O310" s="60">
        <f t="shared" si="45"/>
        <v>347.5</v>
      </c>
    </row>
    <row r="311" spans="1:15">
      <c r="A311" t="s">
        <v>8691</v>
      </c>
      <c r="B311" s="69"/>
      <c r="C311" s="69" t="s">
        <v>8697</v>
      </c>
      <c r="D311" s="60">
        <v>2.6</v>
      </c>
      <c r="E311" s="60">
        <v>2</v>
      </c>
      <c r="F311" s="60">
        <v>2.8</v>
      </c>
      <c r="G311" s="60">
        <v>116.8</v>
      </c>
      <c r="H311" s="60"/>
      <c r="I311" s="60">
        <v>14.4</v>
      </c>
      <c r="J311" s="60"/>
      <c r="K311" s="60"/>
      <c r="L311" s="60"/>
      <c r="M311" s="60"/>
      <c r="N311" s="60">
        <f>5.3+2.6</f>
        <v>7.9</v>
      </c>
      <c r="O311" s="60">
        <f t="shared" si="45"/>
        <v>146.5</v>
      </c>
    </row>
    <row r="312" spans="1:15">
      <c r="A312" t="s">
        <v>8691</v>
      </c>
      <c r="B312" s="69"/>
      <c r="C312" s="69" t="s">
        <v>8649</v>
      </c>
      <c r="D312" s="60">
        <v>1.1000000000000001</v>
      </c>
      <c r="E312" s="60"/>
      <c r="F312" s="60">
        <v>13</v>
      </c>
      <c r="G312" s="60"/>
      <c r="H312" s="60"/>
      <c r="I312" s="60"/>
      <c r="J312" s="60"/>
      <c r="K312" s="60"/>
      <c r="L312" s="60"/>
      <c r="M312" s="60"/>
      <c r="N312" s="60"/>
      <c r="O312" s="60">
        <f t="shared" si="45"/>
        <v>14.1</v>
      </c>
    </row>
    <row r="313" spans="1:15">
      <c r="A313" t="s">
        <v>8691</v>
      </c>
      <c r="B313" s="69"/>
      <c r="C313" s="69"/>
      <c r="D313" s="60"/>
      <c r="E313" s="60"/>
      <c r="F313" s="60"/>
      <c r="G313" s="60"/>
      <c r="H313" s="60"/>
      <c r="I313" s="60"/>
      <c r="J313" s="60"/>
      <c r="K313" s="60"/>
      <c r="L313" s="60"/>
      <c r="M313" s="60"/>
      <c r="N313" s="60"/>
      <c r="O313" s="64"/>
    </row>
    <row r="314" spans="1:15">
      <c r="A314" t="s">
        <v>8691</v>
      </c>
      <c r="B314" s="69"/>
      <c r="C314" s="70" t="s">
        <v>448</v>
      </c>
      <c r="D314" s="60">
        <f>SUM(D306:D312)</f>
        <v>29.5</v>
      </c>
      <c r="E314" s="60">
        <f t="shared" ref="E314:J314" si="46">SUM(E306:E312)</f>
        <v>23.3</v>
      </c>
      <c r="F314" s="60">
        <f t="shared" si="46"/>
        <v>252.1</v>
      </c>
      <c r="G314" s="60">
        <f t="shared" si="46"/>
        <v>352.3</v>
      </c>
      <c r="H314" s="60">
        <f t="shared" si="46"/>
        <v>64.599999999999994</v>
      </c>
      <c r="I314" s="60">
        <f t="shared" si="46"/>
        <v>97.300000000000011</v>
      </c>
      <c r="J314" s="60">
        <f t="shared" si="46"/>
        <v>2.6</v>
      </c>
      <c r="K314" s="60"/>
      <c r="L314" s="60"/>
      <c r="M314" s="60"/>
      <c r="N314" s="60">
        <f t="shared" ref="N314" si="47">SUM(N306:N312)</f>
        <v>26.6</v>
      </c>
      <c r="O314" s="60">
        <f>SUM(O306:O312)</f>
        <v>848.30000000000007</v>
      </c>
    </row>
    <row r="315" spans="1:15">
      <c r="A315" t="s">
        <v>8691</v>
      </c>
      <c r="B315" s="482" t="s">
        <v>8630</v>
      </c>
      <c r="C315" s="483"/>
      <c r="D315" s="483"/>
      <c r="E315" s="483"/>
      <c r="F315" s="483"/>
      <c r="G315" s="483"/>
      <c r="H315" s="483"/>
      <c r="I315" s="483"/>
      <c r="J315" s="483"/>
      <c r="K315" s="483"/>
      <c r="L315" s="483"/>
      <c r="M315" s="483"/>
      <c r="N315" s="483"/>
      <c r="O315" s="483"/>
    </row>
    <row r="316" spans="1:15">
      <c r="A316" t="s">
        <v>8691</v>
      </c>
      <c r="B316" s="612" t="s">
        <v>8698</v>
      </c>
      <c r="C316" s="613"/>
      <c r="D316" s="613"/>
      <c r="E316" s="613"/>
      <c r="F316" s="613"/>
      <c r="G316" s="483"/>
      <c r="H316" s="483"/>
      <c r="I316" s="483"/>
      <c r="J316" s="483"/>
      <c r="K316" s="483"/>
      <c r="L316" s="483"/>
      <c r="M316" s="483"/>
      <c r="N316" s="483"/>
      <c r="O316" s="483"/>
    </row>
    <row r="317" spans="1:15">
      <c r="A317" t="s">
        <v>8691</v>
      </c>
      <c r="B317" s="483"/>
      <c r="C317" s="483"/>
      <c r="D317" s="483"/>
      <c r="E317" s="483"/>
      <c r="F317" s="483"/>
      <c r="G317" s="483"/>
      <c r="H317" s="483"/>
      <c r="I317" s="483"/>
      <c r="J317" s="483"/>
      <c r="K317" s="483"/>
      <c r="L317" s="483"/>
      <c r="M317" s="483"/>
      <c r="N317" s="483"/>
      <c r="O317" s="483"/>
    </row>
    <row r="318" spans="1:15">
      <c r="A318" t="s">
        <v>8691</v>
      </c>
      <c r="B318" s="484" t="s">
        <v>8699</v>
      </c>
      <c r="C318" s="485"/>
      <c r="D318" s="485"/>
      <c r="E318" s="483"/>
      <c r="F318" s="483"/>
      <c r="G318" s="483"/>
      <c r="H318" s="483"/>
      <c r="I318" s="483"/>
      <c r="J318" s="483"/>
      <c r="K318" s="483"/>
      <c r="L318" s="483"/>
      <c r="M318" s="483"/>
      <c r="N318" s="483"/>
      <c r="O318" s="483"/>
    </row>
    <row r="319" spans="1:15">
      <c r="A319" t="s">
        <v>8691</v>
      </c>
      <c r="B319" s="486"/>
      <c r="C319" s="485"/>
      <c r="D319" s="485"/>
      <c r="E319" s="483"/>
      <c r="F319" s="483"/>
      <c r="G319" s="483"/>
      <c r="H319" s="483"/>
      <c r="I319" s="483"/>
      <c r="J319" s="483"/>
      <c r="K319" s="483"/>
      <c r="L319" s="483"/>
      <c r="M319" s="483"/>
      <c r="N319" s="483"/>
      <c r="O319" s="483"/>
    </row>
    <row r="320" spans="1:15">
      <c r="A320" t="s">
        <v>8691</v>
      </c>
      <c r="B320" s="614" t="s">
        <v>8700</v>
      </c>
      <c r="C320" s="611"/>
      <c r="D320" s="611"/>
      <c r="E320" s="483"/>
      <c r="F320" s="483"/>
      <c r="G320" s="483"/>
      <c r="H320" s="483"/>
      <c r="I320" s="483"/>
      <c r="J320" s="483"/>
      <c r="K320" s="483"/>
      <c r="L320" s="483"/>
      <c r="M320" s="483"/>
      <c r="N320" s="483"/>
      <c r="O320" s="483"/>
    </row>
    <row r="321" spans="1:15">
      <c r="A321" t="s">
        <v>8691</v>
      </c>
      <c r="B321" s="487"/>
      <c r="C321" s="485"/>
      <c r="D321" s="485"/>
      <c r="E321" s="483"/>
      <c r="F321" s="483"/>
      <c r="G321" s="483"/>
      <c r="H321" s="483"/>
      <c r="I321" s="483"/>
      <c r="J321" s="483"/>
      <c r="K321" s="483"/>
      <c r="L321" s="483"/>
      <c r="M321" s="483"/>
      <c r="N321" s="483"/>
      <c r="O321" s="483"/>
    </row>
    <row r="322" spans="1:15">
      <c r="A322" t="s">
        <v>8691</v>
      </c>
      <c r="B322" s="487" t="s">
        <v>8701</v>
      </c>
      <c r="C322" s="485"/>
      <c r="D322" s="485"/>
      <c r="E322" s="483"/>
      <c r="F322" s="483"/>
      <c r="G322" s="483"/>
      <c r="H322" s="483"/>
      <c r="I322" s="483"/>
      <c r="J322" s="483"/>
      <c r="K322" s="483"/>
      <c r="L322" s="483"/>
      <c r="M322" s="483"/>
      <c r="N322" s="483"/>
      <c r="O322" s="483"/>
    </row>
    <row r="323" spans="1:15">
      <c r="A323" t="s">
        <v>8691</v>
      </c>
      <c r="B323" s="485"/>
      <c r="C323" s="485"/>
      <c r="D323" s="485"/>
      <c r="E323" s="483"/>
      <c r="F323" s="483"/>
      <c r="G323" s="483"/>
      <c r="H323" s="483"/>
      <c r="I323" s="483"/>
      <c r="J323" s="483"/>
      <c r="K323" s="483"/>
      <c r="L323" s="483"/>
      <c r="M323" s="483"/>
      <c r="N323" s="483"/>
      <c r="O323" s="483"/>
    </row>
    <row r="324" spans="1:15">
      <c r="A324" t="s">
        <v>8691</v>
      </c>
      <c r="B324" s="70" t="s">
        <v>8579</v>
      </c>
      <c r="C324" s="70" t="s">
        <v>6909</v>
      </c>
      <c r="D324" s="70" t="s">
        <v>437</v>
      </c>
      <c r="E324" s="488" t="s">
        <v>438</v>
      </c>
      <c r="F324" s="70" t="s">
        <v>439</v>
      </c>
      <c r="G324" s="70" t="s">
        <v>440</v>
      </c>
      <c r="H324" s="70" t="s">
        <v>441</v>
      </c>
      <c r="I324" s="70" t="s">
        <v>442</v>
      </c>
      <c r="J324" s="70" t="s">
        <v>443</v>
      </c>
      <c r="K324" s="67" t="s">
        <v>444</v>
      </c>
      <c r="L324" s="67" t="s">
        <v>445</v>
      </c>
      <c r="M324" s="70" t="s">
        <v>446</v>
      </c>
      <c r="N324" s="70" t="s">
        <v>8649</v>
      </c>
      <c r="O324" s="70" t="s">
        <v>448</v>
      </c>
    </row>
    <row r="325" spans="1:15">
      <c r="A325" t="s">
        <v>8691</v>
      </c>
      <c r="B325" s="489" t="s">
        <v>8702</v>
      </c>
      <c r="C325" s="69"/>
      <c r="D325" s="69"/>
      <c r="E325" s="490"/>
      <c r="F325" s="69"/>
      <c r="G325" s="69"/>
      <c r="H325" s="69"/>
      <c r="I325" s="69"/>
      <c r="J325" s="69"/>
      <c r="K325" s="69"/>
      <c r="L325" s="69"/>
      <c r="M325" s="69"/>
      <c r="N325" s="69"/>
      <c r="O325" s="491"/>
    </row>
    <row r="326" spans="1:15">
      <c r="A326" t="s">
        <v>8691</v>
      </c>
      <c r="B326" s="492" t="s">
        <v>8703</v>
      </c>
      <c r="C326" s="493" t="s">
        <v>8624</v>
      </c>
      <c r="D326" s="494"/>
      <c r="E326" s="495">
        <v>2.9000000000000001E-2</v>
      </c>
      <c r="F326" s="496">
        <v>0.05</v>
      </c>
      <c r="G326" s="496">
        <v>0.31900000000000001</v>
      </c>
      <c r="H326" s="494"/>
      <c r="I326" s="496">
        <v>0.153</v>
      </c>
      <c r="J326" s="494"/>
      <c r="K326" s="494"/>
      <c r="L326" s="494"/>
      <c r="M326" s="494"/>
      <c r="N326" s="465">
        <v>0.44900000000000001</v>
      </c>
      <c r="O326" s="497"/>
    </row>
    <row r="327" spans="1:15">
      <c r="A327" t="s">
        <v>8691</v>
      </c>
      <c r="B327" s="486"/>
      <c r="C327" s="485"/>
      <c r="D327" s="449"/>
      <c r="E327" s="461"/>
      <c r="F327" s="461"/>
      <c r="G327" s="498"/>
      <c r="H327" s="461"/>
      <c r="I327" s="498"/>
      <c r="J327" s="461"/>
      <c r="K327" s="498"/>
      <c r="L327" s="498"/>
      <c r="M327" s="498"/>
      <c r="N327" s="461"/>
      <c r="O327" s="499"/>
    </row>
    <row r="328" spans="1:15">
      <c r="A328" t="s">
        <v>8691</v>
      </c>
      <c r="B328" s="500" t="s">
        <v>8704</v>
      </c>
      <c r="C328" s="500"/>
      <c r="D328" s="485"/>
      <c r="E328" s="483"/>
      <c r="F328" s="483"/>
      <c r="G328" s="501"/>
      <c r="H328" s="483"/>
      <c r="I328" s="501"/>
      <c r="J328" s="483"/>
      <c r="K328" s="501"/>
      <c r="L328" s="501"/>
      <c r="M328" s="501"/>
      <c r="N328" s="483"/>
      <c r="O328" s="499"/>
    </row>
    <row r="329" spans="1:15">
      <c r="A329" t="s">
        <v>8691</v>
      </c>
      <c r="B329" s="485"/>
      <c r="C329" s="485"/>
      <c r="D329" s="485"/>
      <c r="E329" s="483"/>
      <c r="F329" s="483"/>
      <c r="G329" s="501"/>
      <c r="H329" s="483"/>
      <c r="I329" s="501"/>
      <c r="J329" s="483"/>
      <c r="K329" s="501"/>
      <c r="L329" s="501"/>
      <c r="M329" s="501"/>
      <c r="N329" s="483"/>
      <c r="O329" s="483"/>
    </row>
    <row r="330" spans="1:15">
      <c r="A330" t="s">
        <v>8691</v>
      </c>
      <c r="B330" s="70" t="s">
        <v>8579</v>
      </c>
      <c r="C330" s="70" t="s">
        <v>6909</v>
      </c>
      <c r="D330" s="70" t="s">
        <v>437</v>
      </c>
      <c r="E330" s="70" t="s">
        <v>438</v>
      </c>
      <c r="F330" s="70" t="s">
        <v>439</v>
      </c>
      <c r="G330" s="70" t="s">
        <v>440</v>
      </c>
      <c r="H330" s="70" t="s">
        <v>441</v>
      </c>
      <c r="I330" s="70" t="s">
        <v>442</v>
      </c>
      <c r="J330" s="70" t="s">
        <v>443</v>
      </c>
      <c r="K330" s="67" t="s">
        <v>444</v>
      </c>
      <c r="L330" s="67" t="s">
        <v>445</v>
      </c>
      <c r="M330" s="70" t="s">
        <v>446</v>
      </c>
      <c r="N330" s="70" t="s">
        <v>8649</v>
      </c>
      <c r="O330" s="70" t="s">
        <v>448</v>
      </c>
    </row>
    <row r="331" spans="1:15">
      <c r="A331" t="s">
        <v>8691</v>
      </c>
      <c r="B331" s="69" t="s">
        <v>8705</v>
      </c>
      <c r="C331" s="69"/>
      <c r="D331" s="491"/>
      <c r="E331" s="491"/>
      <c r="F331" s="491"/>
      <c r="G331" s="491"/>
      <c r="H331" s="491"/>
      <c r="I331" s="491"/>
      <c r="J331" s="491"/>
      <c r="K331" s="491"/>
      <c r="L331" s="491"/>
      <c r="M331" s="491"/>
      <c r="N331" s="491"/>
      <c r="O331" s="69"/>
    </row>
    <row r="332" spans="1:15">
      <c r="A332" t="s">
        <v>8691</v>
      </c>
      <c r="B332" s="69"/>
      <c r="C332" s="493" t="s">
        <v>8624</v>
      </c>
      <c r="D332" s="455"/>
      <c r="E332" s="455"/>
      <c r="F332" s="455"/>
      <c r="G332" s="455">
        <v>0.26</v>
      </c>
      <c r="H332" s="68"/>
      <c r="I332" s="455">
        <v>0.2</v>
      </c>
      <c r="J332" s="455"/>
      <c r="K332" s="455"/>
      <c r="L332" s="455"/>
      <c r="M332" s="455">
        <v>0.04</v>
      </c>
      <c r="N332" s="466">
        <f>50%</f>
        <v>0.5</v>
      </c>
      <c r="O332" s="69"/>
    </row>
  </sheetData>
  <mergeCells count="10">
    <mergeCell ref="B184:D184"/>
    <mergeCell ref="B190:C190"/>
    <mergeCell ref="B316:F316"/>
    <mergeCell ref="B320:D320"/>
    <mergeCell ref="B89:C89"/>
    <mergeCell ref="B91:C91"/>
    <mergeCell ref="B97:C97"/>
    <mergeCell ref="B115:D115"/>
    <mergeCell ref="B145:D145"/>
    <mergeCell ref="B180:C180"/>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F899D-3D22-E943-914A-1E06D6053287}">
  <dimension ref="A1:AD149"/>
  <sheetViews>
    <sheetView zoomScale="60" zoomScaleNormal="60" workbookViewId="0">
      <selection activeCell="M9" sqref="M9"/>
    </sheetView>
  </sheetViews>
  <sheetFormatPr baseColWidth="10" defaultRowHeight="16"/>
  <cols>
    <col min="4" max="4" width="14.83203125" customWidth="1"/>
    <col min="5" max="5" width="14.6640625" customWidth="1"/>
    <col min="6" max="6" width="17.33203125" customWidth="1"/>
    <col min="7" max="7" width="15.83203125" customWidth="1"/>
    <col min="8" max="8" width="14.33203125" customWidth="1"/>
    <col min="9" max="9" width="14.1640625" customWidth="1"/>
    <col min="10" max="10" width="13.5" customWidth="1"/>
  </cols>
  <sheetData>
    <row r="1" spans="1:11">
      <c r="A1" s="7" t="s">
        <v>7934</v>
      </c>
      <c r="B1" s="7" t="s">
        <v>8803</v>
      </c>
      <c r="C1" s="7" t="s">
        <v>7814</v>
      </c>
      <c r="D1" s="435" t="s">
        <v>9294</v>
      </c>
      <c r="E1" s="435" t="s">
        <v>9295</v>
      </c>
      <c r="F1" s="435" t="s">
        <v>342</v>
      </c>
      <c r="G1" s="435" t="s">
        <v>9296</v>
      </c>
      <c r="H1" s="435" t="s">
        <v>9297</v>
      </c>
      <c r="I1" s="435" t="s">
        <v>9298</v>
      </c>
      <c r="J1" s="435" t="s">
        <v>9299</v>
      </c>
      <c r="K1" s="628" t="s">
        <v>7738</v>
      </c>
    </row>
    <row r="2" spans="1:11">
      <c r="A2" s="434" t="s">
        <v>7938</v>
      </c>
      <c r="B2" s="8" t="s">
        <v>7939</v>
      </c>
      <c r="C2" s="8" t="s">
        <v>9300</v>
      </c>
      <c r="D2" s="51"/>
      <c r="E2" s="626"/>
      <c r="F2" s="626"/>
      <c r="G2" s="626"/>
      <c r="H2" s="626"/>
      <c r="I2" s="626"/>
      <c r="J2" s="626"/>
      <c r="K2" s="8">
        <f>SUM(D2:J2)</f>
        <v>0</v>
      </c>
    </row>
    <row r="3" spans="1:11">
      <c r="A3" s="8" t="s">
        <v>7942</v>
      </c>
      <c r="B3" s="8" t="s">
        <v>7943</v>
      </c>
      <c r="C3" s="8" t="s">
        <v>9300</v>
      </c>
      <c r="D3" s="51"/>
      <c r="E3" s="626"/>
      <c r="F3" s="626"/>
      <c r="G3" s="626"/>
      <c r="H3" s="626"/>
      <c r="I3" s="626"/>
      <c r="J3" s="626"/>
      <c r="K3" s="8">
        <f t="shared" ref="K3:K66" si="0">SUM(D3:J3)</f>
        <v>0</v>
      </c>
    </row>
    <row r="4" spans="1:11">
      <c r="A4" s="8" t="s">
        <v>7945</v>
      </c>
      <c r="B4" s="8" t="s">
        <v>7946</v>
      </c>
      <c r="C4" s="8" t="s">
        <v>9300</v>
      </c>
      <c r="D4" s="51"/>
      <c r="E4" s="626"/>
      <c r="F4" s="626"/>
      <c r="G4" s="626"/>
      <c r="H4" s="626"/>
      <c r="I4" s="626"/>
      <c r="J4" s="626"/>
      <c r="K4" s="8">
        <f t="shared" si="0"/>
        <v>0</v>
      </c>
    </row>
    <row r="5" spans="1:11">
      <c r="A5" s="8" t="s">
        <v>277</v>
      </c>
      <c r="B5" s="8" t="s">
        <v>327</v>
      </c>
      <c r="C5" s="8" t="s">
        <v>9300</v>
      </c>
      <c r="D5" s="51"/>
      <c r="E5" s="626"/>
      <c r="F5" s="626"/>
      <c r="G5" s="626"/>
      <c r="H5" s="626"/>
      <c r="I5" s="626"/>
      <c r="J5" s="626"/>
      <c r="K5" s="8">
        <f t="shared" si="0"/>
        <v>0</v>
      </c>
    </row>
    <row r="6" spans="1:11">
      <c r="A6" s="8" t="s">
        <v>7947</v>
      </c>
      <c r="B6" s="8" t="s">
        <v>7948</v>
      </c>
      <c r="C6" s="8" t="s">
        <v>9300</v>
      </c>
      <c r="D6" s="51"/>
      <c r="E6" s="626"/>
      <c r="F6" s="626"/>
      <c r="G6" s="626"/>
      <c r="H6" s="626"/>
      <c r="I6" s="626"/>
      <c r="J6" s="626"/>
      <c r="K6" s="8">
        <f t="shared" si="0"/>
        <v>0</v>
      </c>
    </row>
    <row r="7" spans="1:11">
      <c r="A7" s="434" t="s">
        <v>8804</v>
      </c>
      <c r="B7" s="8" t="s">
        <v>8805</v>
      </c>
      <c r="C7" s="8" t="s">
        <v>9300</v>
      </c>
      <c r="D7" s="627">
        <v>0</v>
      </c>
      <c r="E7" s="627">
        <v>67.704999999999998</v>
      </c>
      <c r="F7" s="627">
        <v>50.615000000000002</v>
      </c>
      <c r="G7" s="627">
        <v>49.48</v>
      </c>
      <c r="H7" s="627">
        <v>0</v>
      </c>
      <c r="I7" s="627">
        <v>0</v>
      </c>
      <c r="J7" s="627">
        <v>0</v>
      </c>
      <c r="K7" s="8">
        <f t="shared" si="0"/>
        <v>167.79999999999998</v>
      </c>
    </row>
    <row r="8" spans="1:11">
      <c r="A8" s="8" t="s">
        <v>7950</v>
      </c>
      <c r="B8" s="8" t="s">
        <v>7951</v>
      </c>
      <c r="C8" s="8" t="s">
        <v>9300</v>
      </c>
      <c r="D8" s="51"/>
      <c r="E8" s="51"/>
      <c r="F8" s="51"/>
      <c r="G8" s="51"/>
      <c r="H8" s="51"/>
      <c r="I8" s="51"/>
      <c r="J8" s="51"/>
      <c r="K8" s="8">
        <f t="shared" si="0"/>
        <v>0</v>
      </c>
    </row>
    <row r="9" spans="1:11">
      <c r="A9" s="434" t="s">
        <v>280</v>
      </c>
      <c r="B9" s="8" t="s">
        <v>8806</v>
      </c>
      <c r="C9" s="8" t="s">
        <v>9300</v>
      </c>
      <c r="D9" s="627">
        <v>0</v>
      </c>
      <c r="E9" s="627">
        <v>47.618000000000002</v>
      </c>
      <c r="F9" s="627">
        <v>35.6</v>
      </c>
      <c r="G9" s="627">
        <v>34.801000000000002</v>
      </c>
      <c r="H9" s="627">
        <v>0</v>
      </c>
      <c r="I9" s="627">
        <v>0</v>
      </c>
      <c r="J9" s="627">
        <v>0</v>
      </c>
      <c r="K9" s="8">
        <f t="shared" si="0"/>
        <v>118.01900000000001</v>
      </c>
    </row>
    <row r="10" spans="1:11">
      <c r="A10" s="434" t="s">
        <v>266</v>
      </c>
      <c r="B10" s="8" t="s">
        <v>337</v>
      </c>
      <c r="C10" s="8" t="s">
        <v>9300</v>
      </c>
      <c r="D10" s="627">
        <v>0</v>
      </c>
      <c r="E10" s="627">
        <v>55.27</v>
      </c>
      <c r="F10" s="627">
        <v>44.246000000000002</v>
      </c>
      <c r="G10" s="627">
        <v>30.466000000000001</v>
      </c>
      <c r="H10" s="627">
        <v>0</v>
      </c>
      <c r="I10" s="627">
        <v>0</v>
      </c>
      <c r="J10" s="627">
        <v>0</v>
      </c>
      <c r="K10" s="8">
        <f t="shared" si="0"/>
        <v>129.982</v>
      </c>
    </row>
    <row r="11" spans="1:11">
      <c r="A11" s="434" t="s">
        <v>7955</v>
      </c>
      <c r="B11" s="8" t="s">
        <v>338</v>
      </c>
      <c r="C11" s="8" t="s">
        <v>9300</v>
      </c>
      <c r="D11" s="627">
        <v>0</v>
      </c>
      <c r="E11" s="627">
        <v>14.097</v>
      </c>
      <c r="F11" s="627">
        <v>11.285</v>
      </c>
      <c r="G11" s="627">
        <v>7.7709999999999999</v>
      </c>
      <c r="H11" s="627">
        <v>0</v>
      </c>
      <c r="I11" s="627">
        <v>0</v>
      </c>
      <c r="J11" s="627">
        <v>0</v>
      </c>
      <c r="K11" s="8">
        <f t="shared" si="0"/>
        <v>33.152999999999999</v>
      </c>
    </row>
    <row r="12" spans="1:11">
      <c r="A12" s="8" t="s">
        <v>268</v>
      </c>
      <c r="B12" s="8" t="s">
        <v>7956</v>
      </c>
      <c r="C12" s="8" t="s">
        <v>9300</v>
      </c>
      <c r="D12" s="51"/>
      <c r="E12" s="51"/>
      <c r="F12" s="51"/>
      <c r="G12" s="51"/>
      <c r="H12" s="51"/>
      <c r="I12" s="51"/>
      <c r="J12" s="51"/>
      <c r="K12" s="8">
        <f t="shared" si="0"/>
        <v>0</v>
      </c>
    </row>
    <row r="13" spans="1:11">
      <c r="A13" s="8" t="s">
        <v>269</v>
      </c>
      <c r="B13" s="8" t="s">
        <v>7957</v>
      </c>
      <c r="C13" s="8" t="s">
        <v>9300</v>
      </c>
      <c r="D13" s="51"/>
      <c r="E13" s="51"/>
      <c r="F13" s="51"/>
      <c r="G13" s="51"/>
      <c r="H13" s="51"/>
      <c r="I13" s="51"/>
      <c r="J13" s="51"/>
      <c r="K13" s="8">
        <f t="shared" si="0"/>
        <v>0</v>
      </c>
    </row>
    <row r="14" spans="1:11">
      <c r="A14" s="8" t="s">
        <v>270</v>
      </c>
      <c r="B14" s="8" t="s">
        <v>7958</v>
      </c>
      <c r="C14" s="8" t="s">
        <v>9300</v>
      </c>
      <c r="D14" s="51"/>
      <c r="E14" s="51"/>
      <c r="F14" s="51"/>
      <c r="G14" s="51"/>
      <c r="H14" s="51"/>
      <c r="I14" s="51"/>
      <c r="J14" s="51"/>
      <c r="K14" s="8">
        <f t="shared" si="0"/>
        <v>0</v>
      </c>
    </row>
    <row r="15" spans="1:11">
      <c r="A15" s="434" t="s">
        <v>7959</v>
      </c>
      <c r="B15" s="8" t="s">
        <v>346</v>
      </c>
      <c r="C15" s="8" t="s">
        <v>9300</v>
      </c>
      <c r="D15" s="627">
        <v>0</v>
      </c>
      <c r="E15" s="627">
        <v>30.327999999999999</v>
      </c>
      <c r="F15" s="627">
        <v>18.257000000000001</v>
      </c>
      <c r="G15" s="627">
        <v>37.570999999999998</v>
      </c>
      <c r="H15" s="627">
        <v>0</v>
      </c>
      <c r="I15" s="627">
        <v>0</v>
      </c>
      <c r="J15" s="627">
        <v>0</v>
      </c>
      <c r="K15" s="8">
        <f t="shared" si="0"/>
        <v>86.156000000000006</v>
      </c>
    </row>
    <row r="16" spans="1:11">
      <c r="A16" s="434" t="s">
        <v>283</v>
      </c>
      <c r="B16" s="8" t="s">
        <v>8807</v>
      </c>
      <c r="C16" s="8" t="s">
        <v>9300</v>
      </c>
      <c r="D16" s="627">
        <v>1.1819999999999999</v>
      </c>
      <c r="E16" s="627">
        <v>35.316000000000003</v>
      </c>
      <c r="F16" s="627">
        <v>2.52</v>
      </c>
      <c r="G16" s="627">
        <v>14.667999999999999</v>
      </c>
      <c r="H16" s="627">
        <v>2.1360000000000001</v>
      </c>
      <c r="I16" s="627">
        <v>1.655</v>
      </c>
      <c r="J16" s="627">
        <v>0</v>
      </c>
      <c r="K16" s="8">
        <f t="shared" si="0"/>
        <v>57.477000000000011</v>
      </c>
    </row>
    <row r="17" spans="1:11">
      <c r="A17" s="434" t="s">
        <v>285</v>
      </c>
      <c r="B17" s="8" t="s">
        <v>8808</v>
      </c>
      <c r="C17" s="8" t="s">
        <v>9300</v>
      </c>
      <c r="D17" s="627">
        <v>1.5</v>
      </c>
      <c r="E17" s="627">
        <v>62.963999999999999</v>
      </c>
      <c r="F17" s="627">
        <v>0</v>
      </c>
      <c r="G17" s="627">
        <v>22.605</v>
      </c>
      <c r="H17" s="627">
        <v>3.5990000000000002</v>
      </c>
      <c r="I17" s="627">
        <v>2.5409999999999999</v>
      </c>
      <c r="J17" s="627">
        <v>3.6579999999999999</v>
      </c>
      <c r="K17" s="8">
        <f t="shared" si="0"/>
        <v>96.867000000000004</v>
      </c>
    </row>
    <row r="18" spans="1:11">
      <c r="A18" s="434" t="s">
        <v>286</v>
      </c>
      <c r="B18" s="8" t="s">
        <v>8809</v>
      </c>
      <c r="C18" s="8" t="s">
        <v>9300</v>
      </c>
      <c r="D18" s="627">
        <v>0.23200000000000001</v>
      </c>
      <c r="E18" s="627">
        <v>9.7409999999999997</v>
      </c>
      <c r="F18" s="627">
        <v>0</v>
      </c>
      <c r="G18" s="627">
        <v>3.4969999999999999</v>
      </c>
      <c r="H18" s="627">
        <v>0.55700000000000005</v>
      </c>
      <c r="I18" s="627">
        <v>0.39300000000000002</v>
      </c>
      <c r="J18" s="627">
        <v>0.56599999999999995</v>
      </c>
      <c r="K18" s="8">
        <f t="shared" si="0"/>
        <v>14.986000000000001</v>
      </c>
    </row>
    <row r="19" spans="1:11">
      <c r="A19" s="434" t="s">
        <v>287</v>
      </c>
      <c r="B19" s="8" t="s">
        <v>8810</v>
      </c>
      <c r="C19" s="8" t="s">
        <v>9300</v>
      </c>
      <c r="D19" s="627">
        <v>0.73499999999999999</v>
      </c>
      <c r="E19" s="627">
        <v>30.824999999999999</v>
      </c>
      <c r="F19" s="627">
        <v>0</v>
      </c>
      <c r="G19" s="627">
        <v>11.067</v>
      </c>
      <c r="H19" s="627">
        <v>1.762</v>
      </c>
      <c r="I19" s="627">
        <v>1.244</v>
      </c>
      <c r="J19" s="627">
        <v>1.7909999999999999</v>
      </c>
      <c r="K19" s="8">
        <f t="shared" si="0"/>
        <v>47.423999999999992</v>
      </c>
    </row>
    <row r="20" spans="1:11">
      <c r="A20" s="434" t="s">
        <v>288</v>
      </c>
      <c r="B20" s="8" t="s">
        <v>8811</v>
      </c>
      <c r="C20" s="8" t="s">
        <v>9300</v>
      </c>
      <c r="D20" s="627">
        <v>0.35799999999999998</v>
      </c>
      <c r="E20" s="627">
        <v>14.951000000000001</v>
      </c>
      <c r="F20" s="627">
        <v>0</v>
      </c>
      <c r="G20" s="627">
        <v>5.3689999999999998</v>
      </c>
      <c r="H20" s="627">
        <v>0.85599999999999998</v>
      </c>
      <c r="I20" s="627">
        <v>0.60499999999999998</v>
      </c>
      <c r="J20" s="627">
        <v>0.87</v>
      </c>
      <c r="K20" s="8">
        <f t="shared" si="0"/>
        <v>23.009000000000004</v>
      </c>
    </row>
    <row r="21" spans="1:11">
      <c r="A21" s="434" t="s">
        <v>7968</v>
      </c>
      <c r="B21" s="8" t="s">
        <v>8812</v>
      </c>
      <c r="C21" s="8" t="s">
        <v>9300</v>
      </c>
      <c r="D21" s="627">
        <v>2.0049999999999999</v>
      </c>
      <c r="E21" s="627">
        <v>0.19900000000000001</v>
      </c>
      <c r="F21" s="627">
        <v>0</v>
      </c>
      <c r="G21" s="627">
        <v>17.774999999999999</v>
      </c>
      <c r="H21" s="627">
        <v>0</v>
      </c>
      <c r="I21" s="627">
        <v>0</v>
      </c>
      <c r="J21" s="627">
        <v>0</v>
      </c>
      <c r="K21" s="8">
        <f t="shared" si="0"/>
        <v>19.978999999999999</v>
      </c>
    </row>
    <row r="22" spans="1:11">
      <c r="A22" s="434" t="s">
        <v>295</v>
      </c>
      <c r="B22" s="8" t="s">
        <v>8813</v>
      </c>
      <c r="C22" s="8" t="s">
        <v>9300</v>
      </c>
      <c r="D22" s="627">
        <v>3.7890000000000001</v>
      </c>
      <c r="E22" s="627">
        <v>0.376</v>
      </c>
      <c r="F22" s="627">
        <v>0</v>
      </c>
      <c r="G22" s="627">
        <v>33.591000000000001</v>
      </c>
      <c r="H22" s="627">
        <v>0</v>
      </c>
      <c r="I22" s="627">
        <v>0</v>
      </c>
      <c r="J22" s="627">
        <v>0</v>
      </c>
      <c r="K22" s="8">
        <f t="shared" si="0"/>
        <v>37.756</v>
      </c>
    </row>
    <row r="23" spans="1:11">
      <c r="A23" s="434" t="s">
        <v>271</v>
      </c>
      <c r="B23" s="8" t="s">
        <v>8814</v>
      </c>
      <c r="C23" s="8" t="s">
        <v>9300</v>
      </c>
      <c r="D23" s="627">
        <v>1.361</v>
      </c>
      <c r="E23" s="627">
        <v>2.476</v>
      </c>
      <c r="F23" s="627">
        <v>0</v>
      </c>
      <c r="G23" s="627">
        <v>3.7130000000000001</v>
      </c>
      <c r="H23" s="627">
        <v>1.282</v>
      </c>
      <c r="I23" s="627">
        <v>0</v>
      </c>
      <c r="J23" s="627">
        <v>1.893</v>
      </c>
      <c r="K23" s="8">
        <f t="shared" si="0"/>
        <v>10.725000000000001</v>
      </c>
    </row>
    <row r="24" spans="1:11">
      <c r="A24" s="434" t="s">
        <v>296</v>
      </c>
      <c r="B24" s="8" t="s">
        <v>362</v>
      </c>
      <c r="C24" s="8" t="s">
        <v>9300</v>
      </c>
      <c r="D24" s="627">
        <v>7.2240000000000002</v>
      </c>
      <c r="E24" s="627">
        <v>0.71599999999999997</v>
      </c>
      <c r="F24" s="627">
        <v>0</v>
      </c>
      <c r="G24" s="627">
        <v>64.043000000000006</v>
      </c>
      <c r="H24" s="627">
        <v>0</v>
      </c>
      <c r="I24" s="627">
        <v>0</v>
      </c>
      <c r="J24" s="627">
        <v>0</v>
      </c>
      <c r="K24" s="8">
        <f t="shared" si="0"/>
        <v>71.983000000000004</v>
      </c>
    </row>
    <row r="25" spans="1:11">
      <c r="A25" s="434" t="s">
        <v>7976</v>
      </c>
      <c r="B25" s="8" t="s">
        <v>363</v>
      </c>
      <c r="C25" s="8" t="s">
        <v>9300</v>
      </c>
      <c r="D25" s="627">
        <v>2.4249999999999998</v>
      </c>
      <c r="E25" s="627">
        <v>0.24</v>
      </c>
      <c r="F25" s="627">
        <v>0</v>
      </c>
      <c r="G25" s="627">
        <v>21.498000000000001</v>
      </c>
      <c r="H25" s="627">
        <v>0</v>
      </c>
      <c r="I25" s="627">
        <v>0</v>
      </c>
      <c r="J25" s="627">
        <v>0</v>
      </c>
      <c r="K25" s="8">
        <f t="shared" si="0"/>
        <v>24.163</v>
      </c>
    </row>
    <row r="26" spans="1:11">
      <c r="A26" s="434" t="s">
        <v>297</v>
      </c>
      <c r="B26" s="8" t="s">
        <v>8815</v>
      </c>
      <c r="C26" s="8" t="s">
        <v>9300</v>
      </c>
      <c r="D26" s="627">
        <v>0.45900000000000002</v>
      </c>
      <c r="E26" s="627">
        <v>0.312</v>
      </c>
      <c r="F26" s="627">
        <v>0.13100000000000001</v>
      </c>
      <c r="G26" s="627">
        <v>1.0349999999999999</v>
      </c>
      <c r="H26" s="627">
        <v>0.24099999999999999</v>
      </c>
      <c r="I26" s="627">
        <v>0.14899999999999999</v>
      </c>
      <c r="J26" s="627">
        <v>0.182</v>
      </c>
      <c r="K26" s="8">
        <f t="shared" si="0"/>
        <v>2.5089999999999999</v>
      </c>
    </row>
    <row r="27" spans="1:11">
      <c r="A27" s="8" t="s">
        <v>281</v>
      </c>
      <c r="B27" s="8" t="s">
        <v>7979</v>
      </c>
      <c r="C27" s="8" t="s">
        <v>9300</v>
      </c>
      <c r="D27" s="51"/>
      <c r="E27" s="51"/>
      <c r="F27" s="51"/>
      <c r="G27" s="51"/>
      <c r="H27" s="51"/>
      <c r="I27" s="51"/>
      <c r="J27" s="51"/>
      <c r="K27" s="8">
        <f t="shared" si="0"/>
        <v>0</v>
      </c>
    </row>
    <row r="28" spans="1:11">
      <c r="A28" s="434" t="s">
        <v>7980</v>
      </c>
      <c r="B28" s="8" t="s">
        <v>8816</v>
      </c>
      <c r="C28" s="8" t="s">
        <v>9300</v>
      </c>
      <c r="D28" s="627">
        <v>2.754</v>
      </c>
      <c r="E28" s="627">
        <v>0.38800000000000001</v>
      </c>
      <c r="F28" s="627">
        <v>0</v>
      </c>
      <c r="G28" s="627">
        <v>9.6120000000000001</v>
      </c>
      <c r="H28" s="627">
        <v>0</v>
      </c>
      <c r="I28" s="627">
        <v>0</v>
      </c>
      <c r="J28" s="627">
        <v>0.39400000000000002</v>
      </c>
      <c r="K28" s="8">
        <f t="shared" si="0"/>
        <v>13.148</v>
      </c>
    </row>
    <row r="29" spans="1:11">
      <c r="A29" s="434" t="s">
        <v>273</v>
      </c>
      <c r="B29" s="8" t="s">
        <v>8817</v>
      </c>
      <c r="C29" s="8" t="s">
        <v>9300</v>
      </c>
      <c r="D29" s="627">
        <v>1.5289999999999999</v>
      </c>
      <c r="E29" s="627">
        <v>0.13100000000000001</v>
      </c>
      <c r="F29" s="627">
        <v>0</v>
      </c>
      <c r="G29" s="627">
        <v>5.58</v>
      </c>
      <c r="H29" s="627">
        <v>0</v>
      </c>
      <c r="I29" s="627">
        <v>0</v>
      </c>
      <c r="J29" s="627">
        <v>0.13500000000000001</v>
      </c>
      <c r="K29" s="8">
        <f t="shared" si="0"/>
        <v>7.375</v>
      </c>
    </row>
    <row r="30" spans="1:11">
      <c r="A30" s="434" t="s">
        <v>289</v>
      </c>
      <c r="B30" s="8" t="s">
        <v>8818</v>
      </c>
      <c r="C30" s="8" t="s">
        <v>9300</v>
      </c>
      <c r="D30" s="627">
        <v>0.71199999999999997</v>
      </c>
      <c r="E30" s="627">
        <v>1.41</v>
      </c>
      <c r="F30" s="627">
        <v>0</v>
      </c>
      <c r="G30" s="627">
        <v>2.3220000000000001</v>
      </c>
      <c r="H30" s="627">
        <v>0</v>
      </c>
      <c r="I30" s="627">
        <v>0</v>
      </c>
      <c r="J30" s="627">
        <v>1.0609999999999999</v>
      </c>
      <c r="K30" s="8">
        <f t="shared" si="0"/>
        <v>5.5049999999999999</v>
      </c>
    </row>
    <row r="31" spans="1:11">
      <c r="A31" s="434" t="s">
        <v>7984</v>
      </c>
      <c r="B31" s="8" t="s">
        <v>8819</v>
      </c>
      <c r="C31" s="8" t="s">
        <v>9300</v>
      </c>
      <c r="D31" s="627">
        <v>4.9000000000000002E-2</v>
      </c>
      <c r="E31" s="627">
        <v>0.69699999999999995</v>
      </c>
      <c r="F31" s="627">
        <v>0</v>
      </c>
      <c r="G31" s="627">
        <v>0.55700000000000005</v>
      </c>
      <c r="H31" s="627">
        <v>0.21199999999999999</v>
      </c>
      <c r="I31" s="627">
        <v>0</v>
      </c>
      <c r="J31" s="627">
        <v>0.45800000000000002</v>
      </c>
      <c r="K31" s="8">
        <f t="shared" si="0"/>
        <v>1.9729999999999999</v>
      </c>
    </row>
    <row r="32" spans="1:11">
      <c r="A32" s="434" t="s">
        <v>290</v>
      </c>
      <c r="B32" s="8" t="s">
        <v>8820</v>
      </c>
      <c r="C32" s="8" t="s">
        <v>9300</v>
      </c>
      <c r="D32" s="627">
        <v>1.139</v>
      </c>
      <c r="E32" s="627">
        <v>19.832999999999998</v>
      </c>
      <c r="F32" s="627">
        <v>0</v>
      </c>
      <c r="G32" s="627">
        <v>10.859</v>
      </c>
      <c r="H32" s="627">
        <v>0</v>
      </c>
      <c r="I32" s="627">
        <v>0</v>
      </c>
      <c r="J32" s="627">
        <v>2.2189999999999999</v>
      </c>
      <c r="K32" s="8">
        <f t="shared" si="0"/>
        <v>34.049999999999997</v>
      </c>
    </row>
    <row r="33" spans="1:11">
      <c r="A33" s="434" t="s">
        <v>7987</v>
      </c>
      <c r="B33" s="8" t="s">
        <v>8821</v>
      </c>
      <c r="C33" s="8" t="s">
        <v>9300</v>
      </c>
      <c r="D33" s="627">
        <v>2.2829999999999999</v>
      </c>
      <c r="E33" s="627">
        <v>1.157</v>
      </c>
      <c r="F33" s="627">
        <v>1.014</v>
      </c>
      <c r="G33" s="627">
        <v>15.528</v>
      </c>
      <c r="H33" s="627">
        <v>1.4690000000000001</v>
      </c>
      <c r="I33" s="627">
        <v>0</v>
      </c>
      <c r="J33" s="627">
        <v>2.5190000000000001</v>
      </c>
      <c r="K33" s="8">
        <f t="shared" si="0"/>
        <v>23.97</v>
      </c>
    </row>
    <row r="34" spans="1:11">
      <c r="A34" s="434" t="s">
        <v>7989</v>
      </c>
      <c r="B34" s="8" t="s">
        <v>382</v>
      </c>
      <c r="C34" s="8" t="s">
        <v>9300</v>
      </c>
      <c r="D34" s="627">
        <v>2.4889999999999999</v>
      </c>
      <c r="E34" s="627">
        <v>4.133</v>
      </c>
      <c r="F34" s="627">
        <v>0</v>
      </c>
      <c r="G34" s="627">
        <v>8.9610000000000003</v>
      </c>
      <c r="H34" s="627">
        <v>0</v>
      </c>
      <c r="I34" s="627">
        <v>0</v>
      </c>
      <c r="J34" s="627">
        <v>1.9690000000000001</v>
      </c>
      <c r="K34" s="8">
        <f t="shared" si="0"/>
        <v>17.552</v>
      </c>
    </row>
    <row r="35" spans="1:11">
      <c r="A35" s="434" t="s">
        <v>291</v>
      </c>
      <c r="B35" s="8" t="s">
        <v>384</v>
      </c>
      <c r="C35" s="8" t="s">
        <v>9300</v>
      </c>
      <c r="D35" s="627">
        <v>0</v>
      </c>
      <c r="E35" s="627">
        <v>0.55500000000000005</v>
      </c>
      <c r="F35" s="627">
        <v>0</v>
      </c>
      <c r="G35" s="627">
        <v>0.24099999999999999</v>
      </c>
      <c r="H35" s="627">
        <v>0.255</v>
      </c>
      <c r="I35" s="627">
        <v>5.2999999999999999E-2</v>
      </c>
      <c r="J35" s="627">
        <v>0.42</v>
      </c>
      <c r="K35" s="8">
        <f t="shared" si="0"/>
        <v>1.524</v>
      </c>
    </row>
    <row r="36" spans="1:11">
      <c r="A36" s="434" t="s">
        <v>7991</v>
      </c>
      <c r="B36" s="8" t="s">
        <v>8822</v>
      </c>
      <c r="C36" s="8" t="s">
        <v>9300</v>
      </c>
      <c r="D36" s="627">
        <v>6.8689999999999998</v>
      </c>
      <c r="E36" s="627">
        <v>5.5540000000000003</v>
      </c>
      <c r="F36" s="627">
        <v>2.306</v>
      </c>
      <c r="G36" s="627">
        <v>44.436999999999998</v>
      </c>
      <c r="H36" s="627">
        <v>0</v>
      </c>
      <c r="I36" s="627">
        <v>0</v>
      </c>
      <c r="J36" s="627">
        <v>4.1539999999999999</v>
      </c>
      <c r="K36" s="8">
        <f t="shared" si="0"/>
        <v>63.319999999999993</v>
      </c>
    </row>
    <row r="37" spans="1:11">
      <c r="A37" s="434" t="s">
        <v>274</v>
      </c>
      <c r="B37" s="8" t="s">
        <v>8823</v>
      </c>
      <c r="C37" s="8" t="s">
        <v>9300</v>
      </c>
      <c r="D37" s="627">
        <v>13.227</v>
      </c>
      <c r="E37" s="627">
        <v>3.9009999999999998</v>
      </c>
      <c r="F37" s="627">
        <v>3.2709999999999999</v>
      </c>
      <c r="G37" s="627">
        <v>19.951000000000001</v>
      </c>
      <c r="H37" s="627">
        <v>3.1739999999999999</v>
      </c>
      <c r="I37" s="627">
        <v>0</v>
      </c>
      <c r="J37" s="627">
        <v>10.73</v>
      </c>
      <c r="K37" s="8">
        <f t="shared" si="0"/>
        <v>54.254000000000005</v>
      </c>
    </row>
    <row r="38" spans="1:11">
      <c r="A38" s="434" t="s">
        <v>292</v>
      </c>
      <c r="B38" s="8" t="s">
        <v>8824</v>
      </c>
      <c r="C38" s="8" t="s">
        <v>9300</v>
      </c>
      <c r="D38" s="627">
        <v>0.34499999999999997</v>
      </c>
      <c r="E38" s="627">
        <v>1.288</v>
      </c>
      <c r="F38" s="627">
        <v>0.253</v>
      </c>
      <c r="G38" s="627">
        <v>2.3090000000000002</v>
      </c>
      <c r="H38" s="627">
        <v>0.17799999999999999</v>
      </c>
      <c r="I38" s="627">
        <v>5.8000000000000003E-2</v>
      </c>
      <c r="J38" s="627">
        <v>0.32300000000000001</v>
      </c>
      <c r="K38" s="8">
        <f t="shared" si="0"/>
        <v>4.7540000000000004</v>
      </c>
    </row>
    <row r="39" spans="1:11">
      <c r="A39" s="434" t="s">
        <v>7996</v>
      </c>
      <c r="B39" s="8" t="s">
        <v>8825</v>
      </c>
      <c r="C39" s="8" t="s">
        <v>9300</v>
      </c>
      <c r="D39" s="627">
        <v>0.27900000000000003</v>
      </c>
      <c r="E39" s="627">
        <v>1.0389999999999999</v>
      </c>
      <c r="F39" s="627">
        <v>0.20399999999999999</v>
      </c>
      <c r="G39" s="627">
        <v>1.8620000000000001</v>
      </c>
      <c r="H39" s="627">
        <v>0.14299999999999999</v>
      </c>
      <c r="I39" s="627">
        <v>4.7E-2</v>
      </c>
      <c r="J39" s="627">
        <v>0.26100000000000001</v>
      </c>
      <c r="K39" s="8">
        <f t="shared" si="0"/>
        <v>3.8350000000000004</v>
      </c>
    </row>
    <row r="40" spans="1:11">
      <c r="A40" s="434" t="s">
        <v>7999</v>
      </c>
      <c r="B40" s="8" t="s">
        <v>8826</v>
      </c>
      <c r="C40" s="8" t="s">
        <v>9300</v>
      </c>
      <c r="D40" s="627">
        <v>0.38200000000000001</v>
      </c>
      <c r="E40" s="627">
        <v>1.4239999999999999</v>
      </c>
      <c r="F40" s="627">
        <v>0.28000000000000003</v>
      </c>
      <c r="G40" s="627">
        <v>2.552</v>
      </c>
      <c r="H40" s="627">
        <v>0.19600000000000001</v>
      </c>
      <c r="I40" s="627">
        <v>6.4000000000000001E-2</v>
      </c>
      <c r="J40" s="627">
        <v>0.35699999999999998</v>
      </c>
      <c r="K40" s="8">
        <f t="shared" si="0"/>
        <v>5.2549999999999999</v>
      </c>
    </row>
    <row r="41" spans="1:11">
      <c r="A41" s="434" t="s">
        <v>8001</v>
      </c>
      <c r="B41" s="8" t="s">
        <v>8827</v>
      </c>
      <c r="C41" s="8" t="s">
        <v>9300</v>
      </c>
      <c r="D41" s="627">
        <v>0.105</v>
      </c>
      <c r="E41" s="627">
        <v>0.39200000000000002</v>
      </c>
      <c r="F41" s="627">
        <v>7.6999999999999999E-2</v>
      </c>
      <c r="G41" s="627">
        <v>0.70299999999999996</v>
      </c>
      <c r="H41" s="627">
        <v>5.3999999999999999E-2</v>
      </c>
      <c r="I41" s="627">
        <v>1.7999999999999999E-2</v>
      </c>
      <c r="J41" s="627">
        <v>9.8000000000000004E-2</v>
      </c>
      <c r="K41" s="8">
        <f t="shared" si="0"/>
        <v>1.4470000000000001</v>
      </c>
    </row>
    <row r="42" spans="1:11">
      <c r="A42" s="434" t="s">
        <v>275</v>
      </c>
      <c r="B42" s="8" t="s">
        <v>8828</v>
      </c>
      <c r="C42" s="8" t="s">
        <v>9300</v>
      </c>
      <c r="D42" s="627">
        <v>0.23300000000000001</v>
      </c>
      <c r="E42" s="627">
        <v>0.874</v>
      </c>
      <c r="F42" s="627">
        <v>0.17</v>
      </c>
      <c r="G42" s="627">
        <v>1.5680000000000001</v>
      </c>
      <c r="H42" s="627">
        <v>0.11899999999999999</v>
      </c>
      <c r="I42" s="627">
        <v>3.6999999999999998E-2</v>
      </c>
      <c r="J42" s="627">
        <v>0.218</v>
      </c>
      <c r="K42" s="8">
        <f t="shared" si="0"/>
        <v>3.2189999999999994</v>
      </c>
    </row>
    <row r="43" spans="1:11">
      <c r="A43" s="434" t="s">
        <v>8004</v>
      </c>
      <c r="B43" s="8" t="s">
        <v>8829</v>
      </c>
      <c r="C43" s="8" t="s">
        <v>9300</v>
      </c>
      <c r="D43" s="627">
        <v>5.9340000000000002</v>
      </c>
      <c r="E43" s="627">
        <v>22.178000000000001</v>
      </c>
      <c r="F43" s="627">
        <v>4.343</v>
      </c>
      <c r="G43" s="627">
        <v>39.771000000000001</v>
      </c>
      <c r="H43" s="627">
        <v>3.0430000000000001</v>
      </c>
      <c r="I43" s="627">
        <v>0.97599999999999998</v>
      </c>
      <c r="J43" s="627">
        <v>5.548</v>
      </c>
      <c r="K43" s="8">
        <f t="shared" si="0"/>
        <v>81.793000000000006</v>
      </c>
    </row>
    <row r="44" spans="1:11">
      <c r="A44" s="8" t="s">
        <v>8006</v>
      </c>
      <c r="B44" s="8" t="s">
        <v>8007</v>
      </c>
      <c r="C44" s="8" t="s">
        <v>9300</v>
      </c>
      <c r="D44" s="8"/>
      <c r="E44" s="8"/>
      <c r="F44" s="8"/>
      <c r="G44" s="8"/>
      <c r="H44" s="8"/>
      <c r="I44" s="8"/>
      <c r="J44" s="8"/>
      <c r="K44" s="8">
        <f t="shared" si="0"/>
        <v>0</v>
      </c>
    </row>
    <row r="45" spans="1:11">
      <c r="A45" s="8" t="s">
        <v>8008</v>
      </c>
      <c r="B45" s="8" t="s">
        <v>8009</v>
      </c>
      <c r="C45" s="8" t="s">
        <v>9300</v>
      </c>
      <c r="D45" s="8"/>
      <c r="E45" s="8"/>
      <c r="F45" s="8"/>
      <c r="G45" s="8"/>
      <c r="H45" s="8"/>
      <c r="I45" s="8"/>
      <c r="J45" s="8"/>
      <c r="K45" s="8">
        <f t="shared" si="0"/>
        <v>0</v>
      </c>
    </row>
    <row r="46" spans="1:11">
      <c r="A46" s="8" t="s">
        <v>8011</v>
      </c>
      <c r="B46" s="8" t="s">
        <v>8012</v>
      </c>
      <c r="C46" s="8" t="s">
        <v>9300</v>
      </c>
      <c r="D46" s="8"/>
      <c r="E46" s="8"/>
      <c r="F46" s="8"/>
      <c r="G46" s="8"/>
      <c r="H46" s="8"/>
      <c r="I46" s="8"/>
      <c r="J46" s="8"/>
      <c r="K46" s="8">
        <f t="shared" si="0"/>
        <v>0</v>
      </c>
    </row>
    <row r="47" spans="1:11">
      <c r="A47" s="8" t="s">
        <v>8013</v>
      </c>
      <c r="B47" s="8" t="s">
        <v>8014</v>
      </c>
      <c r="C47" s="8" t="s">
        <v>9300</v>
      </c>
      <c r="D47" s="8"/>
      <c r="E47" s="8"/>
      <c r="F47" s="8"/>
      <c r="G47" s="8"/>
      <c r="H47" s="8"/>
      <c r="I47" s="8"/>
      <c r="J47" s="8"/>
      <c r="K47" s="8">
        <f t="shared" si="0"/>
        <v>0</v>
      </c>
    </row>
    <row r="48" spans="1:11">
      <c r="A48" s="434" t="s">
        <v>293</v>
      </c>
      <c r="B48" s="8" t="s">
        <v>8016</v>
      </c>
      <c r="C48" s="8" t="s">
        <v>9300</v>
      </c>
      <c r="D48" s="627">
        <v>1.1830000000000001</v>
      </c>
      <c r="E48" s="627">
        <v>0.11700000000000001</v>
      </c>
      <c r="F48" s="627">
        <v>0</v>
      </c>
      <c r="G48" s="627">
        <v>10.49</v>
      </c>
      <c r="H48" s="627">
        <v>0</v>
      </c>
      <c r="I48" s="627">
        <v>0</v>
      </c>
      <c r="J48" s="627">
        <v>0</v>
      </c>
      <c r="K48" s="8">
        <f t="shared" si="0"/>
        <v>11.790000000000001</v>
      </c>
    </row>
    <row r="49" spans="1:30">
      <c r="A49" s="8" t="s">
        <v>8017</v>
      </c>
      <c r="B49" s="8" t="s">
        <v>8018</v>
      </c>
      <c r="C49" s="8" t="s">
        <v>9300</v>
      </c>
      <c r="D49" s="8"/>
      <c r="E49" s="8"/>
      <c r="F49" s="8"/>
      <c r="G49" s="8"/>
      <c r="H49" s="8"/>
      <c r="I49" s="8"/>
      <c r="J49" s="8"/>
      <c r="K49" s="8">
        <f t="shared" si="0"/>
        <v>0</v>
      </c>
    </row>
    <row r="50" spans="1:30">
      <c r="A50" s="8" t="s">
        <v>8019</v>
      </c>
      <c r="B50" s="8" t="s">
        <v>8020</v>
      </c>
      <c r="C50" s="8" t="s">
        <v>9300</v>
      </c>
      <c r="D50" s="8"/>
      <c r="E50" s="8"/>
      <c r="F50" s="8"/>
      <c r="G50" s="8"/>
      <c r="H50" s="8"/>
      <c r="I50" s="8"/>
      <c r="J50" s="8"/>
      <c r="K50" s="8">
        <f t="shared" si="0"/>
        <v>0</v>
      </c>
    </row>
    <row r="51" spans="1:30">
      <c r="A51" s="8" t="s">
        <v>282</v>
      </c>
      <c r="B51" s="8" t="s">
        <v>8022</v>
      </c>
      <c r="C51" s="8" t="s">
        <v>9300</v>
      </c>
      <c r="D51" s="8"/>
      <c r="E51" s="8"/>
      <c r="F51" s="8"/>
      <c r="G51" s="8"/>
      <c r="H51" s="8"/>
      <c r="I51" s="8"/>
      <c r="J51" s="8"/>
      <c r="K51" s="8">
        <f t="shared" si="0"/>
        <v>0</v>
      </c>
    </row>
    <row r="52" spans="1:30">
      <c r="A52" s="434" t="s">
        <v>8023</v>
      </c>
      <c r="B52" s="8" t="s">
        <v>8830</v>
      </c>
      <c r="C52" s="8" t="s">
        <v>9300</v>
      </c>
      <c r="D52" s="627">
        <v>0</v>
      </c>
      <c r="E52" s="627">
        <v>1.004</v>
      </c>
      <c r="F52" s="627">
        <v>3.2080000000000002</v>
      </c>
      <c r="G52" s="627">
        <v>1.8120000000000001</v>
      </c>
      <c r="H52" s="627">
        <v>2.1059999999999999</v>
      </c>
      <c r="I52" s="627">
        <v>0</v>
      </c>
      <c r="J52" s="627">
        <v>4.09</v>
      </c>
      <c r="K52" s="8">
        <f t="shared" si="0"/>
        <v>12.219999999999999</v>
      </c>
    </row>
    <row r="53" spans="1:30">
      <c r="A53" s="8" t="s">
        <v>8026</v>
      </c>
      <c r="B53" s="8" t="s">
        <v>8027</v>
      </c>
      <c r="C53" s="8" t="s">
        <v>9300</v>
      </c>
      <c r="D53" s="8"/>
      <c r="E53" s="8"/>
      <c r="F53" s="8"/>
      <c r="G53" s="8"/>
      <c r="H53" s="8"/>
      <c r="I53" s="8"/>
      <c r="J53" s="8"/>
      <c r="K53" s="8">
        <f t="shared" si="0"/>
        <v>0</v>
      </c>
    </row>
    <row r="54" spans="1:30">
      <c r="A54" s="8" t="s">
        <v>8028</v>
      </c>
      <c r="B54" s="8" t="s">
        <v>8029</v>
      </c>
      <c r="C54" s="8" t="s">
        <v>9300</v>
      </c>
      <c r="D54" s="8"/>
      <c r="E54" s="8"/>
      <c r="F54" s="8"/>
      <c r="G54" s="8"/>
      <c r="H54" s="8"/>
      <c r="I54" s="8"/>
      <c r="J54" s="8"/>
      <c r="K54" s="8">
        <f t="shared" si="0"/>
        <v>0</v>
      </c>
    </row>
    <row r="55" spans="1:30">
      <c r="A55" s="8" t="s">
        <v>8031</v>
      </c>
      <c r="B55" s="8" t="s">
        <v>8032</v>
      </c>
      <c r="C55" s="8" t="s">
        <v>9300</v>
      </c>
      <c r="D55" s="8"/>
      <c r="E55" s="8"/>
      <c r="F55" s="8"/>
      <c r="G55" s="8"/>
      <c r="H55" s="8"/>
      <c r="I55" s="8"/>
      <c r="J55" s="8"/>
      <c r="K55" s="629">
        <f t="shared" si="0"/>
        <v>0</v>
      </c>
    </row>
    <row r="56" spans="1:30">
      <c r="A56" s="434" t="s">
        <v>7938</v>
      </c>
      <c r="B56" s="8" t="s">
        <v>7939</v>
      </c>
      <c r="C56" s="8" t="s">
        <v>209</v>
      </c>
      <c r="D56" s="9" t="str">
        <f>IFERROR(D2/K2,"")</f>
        <v/>
      </c>
      <c r="E56" s="9" t="str">
        <f>IFERROR(E2/K2,"")</f>
        <v/>
      </c>
      <c r="F56" s="9" t="str">
        <f>IFERROR(F2/K2,"")</f>
        <v/>
      </c>
      <c r="G56" s="9" t="str">
        <f>IFERROR(F2/K2,"")</f>
        <v/>
      </c>
      <c r="H56" s="9" t="str">
        <f>IFERROR(H2/K2,"")</f>
        <v/>
      </c>
      <c r="I56" s="9" t="str">
        <f>IFERROR(I2/K2,"")</f>
        <v/>
      </c>
      <c r="J56" s="9" t="str">
        <f>IFERROR(J2/K2,"")</f>
        <v/>
      </c>
      <c r="K56" s="629">
        <f t="shared" si="0"/>
        <v>0</v>
      </c>
    </row>
    <row r="57" spans="1:30">
      <c r="A57" s="8" t="s">
        <v>7942</v>
      </c>
      <c r="B57" s="8" t="s">
        <v>7943</v>
      </c>
      <c r="C57" s="8" t="s">
        <v>209</v>
      </c>
      <c r="D57" s="9" t="str">
        <f t="shared" ref="D57:D109" si="1">IFERROR(D3/K3,"")</f>
        <v/>
      </c>
      <c r="E57" s="9" t="str">
        <f t="shared" ref="E57:E109" si="2">IFERROR(E3/K3,"")</f>
        <v/>
      </c>
      <c r="F57" s="9" t="str">
        <f t="shared" ref="F57:F109" si="3">IFERROR(F3/K3,"")</f>
        <v/>
      </c>
      <c r="G57" s="9" t="str">
        <f t="shared" ref="G57:G109" si="4">IFERROR(F3/K3,"")</f>
        <v/>
      </c>
      <c r="H57" s="9" t="str">
        <f t="shared" ref="H57:H109" si="5">IFERROR(H3/K3,"")</f>
        <v/>
      </c>
      <c r="I57" s="9" t="str">
        <f t="shared" ref="I57:I109" si="6">IFERROR(I3/K3,"")</f>
        <v/>
      </c>
      <c r="J57" s="9" t="str">
        <f t="shared" ref="J57:J109" si="7">IFERROR(J3/K3,"")</f>
        <v/>
      </c>
      <c r="K57" s="629">
        <f t="shared" si="0"/>
        <v>0</v>
      </c>
    </row>
    <row r="58" spans="1:30">
      <c r="A58" s="8" t="s">
        <v>7945</v>
      </c>
      <c r="B58" s="8" t="s">
        <v>7946</v>
      </c>
      <c r="C58" s="8" t="s">
        <v>209</v>
      </c>
      <c r="D58" s="9" t="str">
        <f t="shared" si="1"/>
        <v/>
      </c>
      <c r="E58" s="9" t="str">
        <f t="shared" si="2"/>
        <v/>
      </c>
      <c r="F58" s="9" t="str">
        <f t="shared" si="3"/>
        <v/>
      </c>
      <c r="G58" s="9" t="str">
        <f t="shared" si="4"/>
        <v/>
      </c>
      <c r="H58" s="9" t="str">
        <f t="shared" si="5"/>
        <v/>
      </c>
      <c r="I58" s="9" t="str">
        <f t="shared" si="6"/>
        <v/>
      </c>
      <c r="J58" s="9" t="str">
        <f t="shared" si="7"/>
        <v/>
      </c>
      <c r="K58" s="629">
        <f t="shared" si="0"/>
        <v>0</v>
      </c>
      <c r="L58" s="623"/>
      <c r="M58" s="623"/>
      <c r="N58" s="623"/>
      <c r="O58" s="623"/>
      <c r="P58" s="623"/>
      <c r="Q58" s="623"/>
      <c r="R58" s="623"/>
      <c r="S58" s="623"/>
      <c r="T58" s="623"/>
      <c r="U58" s="623"/>
      <c r="V58" s="623"/>
      <c r="W58" s="623"/>
      <c r="X58" s="623"/>
      <c r="Y58" s="623"/>
      <c r="Z58" s="623"/>
      <c r="AA58" s="623"/>
      <c r="AB58" s="623"/>
      <c r="AC58" s="623"/>
      <c r="AD58" s="623"/>
    </row>
    <row r="59" spans="1:30">
      <c r="A59" s="8" t="s">
        <v>277</v>
      </c>
      <c r="B59" s="8" t="s">
        <v>327</v>
      </c>
      <c r="C59" s="8" t="s">
        <v>209</v>
      </c>
      <c r="D59" s="9" t="str">
        <f t="shared" si="1"/>
        <v/>
      </c>
      <c r="E59" s="9" t="str">
        <f t="shared" si="2"/>
        <v/>
      </c>
      <c r="F59" s="9" t="str">
        <f t="shared" si="3"/>
        <v/>
      </c>
      <c r="G59" s="9" t="str">
        <f t="shared" si="4"/>
        <v/>
      </c>
      <c r="H59" s="9" t="str">
        <f t="shared" si="5"/>
        <v/>
      </c>
      <c r="I59" s="9" t="str">
        <f t="shared" si="6"/>
        <v/>
      </c>
      <c r="J59" s="9" t="str">
        <f t="shared" si="7"/>
        <v/>
      </c>
      <c r="K59" s="629">
        <f t="shared" si="0"/>
        <v>0</v>
      </c>
      <c r="L59" s="623"/>
      <c r="M59" s="623"/>
      <c r="N59" s="623"/>
      <c r="O59" s="623"/>
      <c r="P59" s="623"/>
      <c r="Q59" s="623"/>
      <c r="R59" s="623"/>
      <c r="S59" s="623"/>
      <c r="T59" s="623"/>
      <c r="U59" s="623"/>
      <c r="V59" s="623"/>
      <c r="W59" s="623"/>
      <c r="X59" s="623"/>
      <c r="Y59" s="623"/>
      <c r="Z59" s="623"/>
      <c r="AA59" s="623"/>
      <c r="AB59" s="623"/>
      <c r="AC59" s="623"/>
      <c r="AD59" s="623"/>
    </row>
    <row r="60" spans="1:30">
      <c r="A60" s="8" t="s">
        <v>7947</v>
      </c>
      <c r="B60" s="8" t="s">
        <v>7948</v>
      </c>
      <c r="C60" s="8" t="s">
        <v>209</v>
      </c>
      <c r="D60" s="9" t="str">
        <f t="shared" si="1"/>
        <v/>
      </c>
      <c r="E60" s="9" t="str">
        <f t="shared" si="2"/>
        <v/>
      </c>
      <c r="F60" s="9" t="str">
        <f t="shared" si="3"/>
        <v/>
      </c>
      <c r="G60" s="9" t="str">
        <f t="shared" si="4"/>
        <v/>
      </c>
      <c r="H60" s="9" t="str">
        <f t="shared" si="5"/>
        <v/>
      </c>
      <c r="I60" s="9" t="str">
        <f t="shared" si="6"/>
        <v/>
      </c>
      <c r="J60" s="9" t="str">
        <f t="shared" si="7"/>
        <v/>
      </c>
      <c r="K60" s="629">
        <f t="shared" si="0"/>
        <v>0</v>
      </c>
      <c r="L60" s="623"/>
      <c r="M60" s="623"/>
      <c r="N60" s="623"/>
      <c r="O60" s="623"/>
      <c r="P60" s="623"/>
      <c r="Q60" s="623"/>
      <c r="R60" s="623"/>
      <c r="S60" s="623"/>
      <c r="T60" s="623"/>
      <c r="U60" s="623"/>
      <c r="V60" s="623"/>
      <c r="W60" s="623"/>
      <c r="X60" s="623"/>
      <c r="Y60" s="623"/>
      <c r="Z60" s="623"/>
      <c r="AA60" s="623"/>
      <c r="AB60" s="623"/>
      <c r="AC60" s="623"/>
      <c r="AD60" s="623"/>
    </row>
    <row r="61" spans="1:30">
      <c r="A61" s="434" t="s">
        <v>8804</v>
      </c>
      <c r="B61" s="8" t="s">
        <v>8805</v>
      </c>
      <c r="C61" s="8" t="s">
        <v>209</v>
      </c>
      <c r="D61" s="630">
        <f t="shared" si="1"/>
        <v>0</v>
      </c>
      <c r="E61" s="630">
        <f t="shared" si="2"/>
        <v>0.40348629320619789</v>
      </c>
      <c r="F61" s="630">
        <f t="shared" si="3"/>
        <v>0.30163885578069133</v>
      </c>
      <c r="G61" s="630">
        <f t="shared" si="4"/>
        <v>0.30163885578069133</v>
      </c>
      <c r="H61" s="630">
        <f t="shared" si="5"/>
        <v>0</v>
      </c>
      <c r="I61" s="630">
        <f t="shared" si="6"/>
        <v>0</v>
      </c>
      <c r="J61" s="630">
        <f t="shared" si="7"/>
        <v>0</v>
      </c>
      <c r="K61" s="629">
        <f t="shared" si="0"/>
        <v>1.0067640047675805</v>
      </c>
      <c r="L61" s="624"/>
      <c r="M61" s="624"/>
      <c r="N61" s="624"/>
      <c r="O61" s="624"/>
      <c r="P61" s="624"/>
      <c r="Q61" s="624"/>
      <c r="R61" s="624"/>
      <c r="S61" s="624"/>
      <c r="T61" s="624"/>
      <c r="U61" s="624"/>
      <c r="V61" s="624"/>
      <c r="W61" s="624"/>
      <c r="X61" s="624"/>
      <c r="Y61" s="624"/>
      <c r="Z61" s="624"/>
      <c r="AA61" s="624"/>
      <c r="AB61" s="624"/>
      <c r="AC61" s="623"/>
      <c r="AD61" s="623"/>
    </row>
    <row r="62" spans="1:30">
      <c r="A62" s="8" t="s">
        <v>7950</v>
      </c>
      <c r="B62" s="8" t="s">
        <v>7951</v>
      </c>
      <c r="C62" s="8" t="s">
        <v>209</v>
      </c>
      <c r="D62" s="630" t="str">
        <f t="shared" si="1"/>
        <v/>
      </c>
      <c r="E62" s="630" t="str">
        <f t="shared" si="2"/>
        <v/>
      </c>
      <c r="F62" s="630" t="str">
        <f t="shared" si="3"/>
        <v/>
      </c>
      <c r="G62" s="630" t="str">
        <f t="shared" si="4"/>
        <v/>
      </c>
      <c r="H62" s="630" t="str">
        <f t="shared" si="5"/>
        <v/>
      </c>
      <c r="I62" s="630" t="str">
        <f t="shared" si="6"/>
        <v/>
      </c>
      <c r="J62" s="630" t="str">
        <f t="shared" si="7"/>
        <v/>
      </c>
      <c r="K62" s="629">
        <f t="shared" si="0"/>
        <v>0</v>
      </c>
      <c r="L62" s="625"/>
      <c r="M62" s="625"/>
      <c r="N62" s="625"/>
      <c r="O62" s="625"/>
      <c r="P62" s="625"/>
      <c r="Q62" s="625"/>
      <c r="R62" s="625"/>
      <c r="S62" s="625"/>
      <c r="T62" s="625"/>
      <c r="U62" s="625"/>
      <c r="V62" s="625"/>
      <c r="W62" s="625"/>
      <c r="X62" s="625"/>
      <c r="Y62" s="625"/>
      <c r="Z62" s="625"/>
      <c r="AA62" s="625"/>
      <c r="AB62" s="625"/>
      <c r="AC62" s="623"/>
      <c r="AD62" s="623"/>
    </row>
    <row r="63" spans="1:30">
      <c r="A63" s="434" t="s">
        <v>280</v>
      </c>
      <c r="B63" s="8" t="s">
        <v>8806</v>
      </c>
      <c r="C63" s="8" t="s">
        <v>209</v>
      </c>
      <c r="D63" s="630">
        <f t="shared" si="1"/>
        <v>0</v>
      </c>
      <c r="E63" s="630">
        <f t="shared" si="2"/>
        <v>0.40347740618036076</v>
      </c>
      <c r="F63" s="630">
        <f t="shared" si="3"/>
        <v>0.30164634508002947</v>
      </c>
      <c r="G63" s="630">
        <f t="shared" si="4"/>
        <v>0.30164634508002947</v>
      </c>
      <c r="H63" s="630">
        <f t="shared" si="5"/>
        <v>0</v>
      </c>
      <c r="I63" s="630">
        <f t="shared" si="6"/>
        <v>0</v>
      </c>
      <c r="J63" s="630">
        <f t="shared" si="7"/>
        <v>0</v>
      </c>
      <c r="K63" s="629">
        <f t="shared" si="0"/>
        <v>1.0067700963404198</v>
      </c>
      <c r="L63" s="625"/>
      <c r="M63" s="625"/>
      <c r="N63" s="625"/>
      <c r="O63" s="625"/>
      <c r="P63" s="625"/>
      <c r="Q63" s="625"/>
      <c r="R63" s="625"/>
      <c r="S63" s="625"/>
      <c r="T63" s="625"/>
      <c r="U63" s="625"/>
      <c r="V63" s="625"/>
      <c r="W63" s="625"/>
      <c r="X63" s="625"/>
      <c r="Y63" s="625"/>
      <c r="Z63" s="625"/>
      <c r="AA63" s="625"/>
      <c r="AB63" s="625"/>
      <c r="AC63" s="623"/>
      <c r="AD63" s="623"/>
    </row>
    <row r="64" spans="1:30">
      <c r="A64" s="434" t="s">
        <v>266</v>
      </c>
      <c r="B64" s="8" t="s">
        <v>337</v>
      </c>
      <c r="C64" s="8" t="s">
        <v>209</v>
      </c>
      <c r="D64" s="630">
        <f t="shared" si="1"/>
        <v>0</v>
      </c>
      <c r="E64" s="630">
        <f t="shared" si="2"/>
        <v>0.42521272176147468</v>
      </c>
      <c r="F64" s="630">
        <f t="shared" si="3"/>
        <v>0.34040097859703655</v>
      </c>
      <c r="G64" s="630">
        <f t="shared" si="4"/>
        <v>0.34040097859703655</v>
      </c>
      <c r="H64" s="630">
        <f t="shared" si="5"/>
        <v>0</v>
      </c>
      <c r="I64" s="630">
        <f t="shared" si="6"/>
        <v>0</v>
      </c>
      <c r="J64" s="630">
        <f t="shared" si="7"/>
        <v>0</v>
      </c>
      <c r="K64" s="629">
        <f t="shared" si="0"/>
        <v>1.1060146789555478</v>
      </c>
      <c r="L64" s="623"/>
      <c r="M64" s="623"/>
      <c r="N64" s="623"/>
      <c r="O64" s="623"/>
      <c r="P64" s="623"/>
      <c r="Q64" s="623"/>
      <c r="R64" s="623"/>
      <c r="S64" s="623"/>
      <c r="T64" s="623"/>
      <c r="U64" s="623"/>
      <c r="V64" s="623"/>
      <c r="W64" s="623"/>
      <c r="X64" s="623"/>
      <c r="Y64" s="623"/>
      <c r="Z64" s="623"/>
      <c r="AA64" s="623"/>
      <c r="AB64" s="623"/>
      <c r="AC64" s="623"/>
      <c r="AD64" s="623"/>
    </row>
    <row r="65" spans="1:30">
      <c r="A65" s="434" t="s">
        <v>7955</v>
      </c>
      <c r="B65" s="8" t="s">
        <v>338</v>
      </c>
      <c r="C65" s="8" t="s">
        <v>209</v>
      </c>
      <c r="D65" s="630">
        <f t="shared" si="1"/>
        <v>0</v>
      </c>
      <c r="E65" s="630">
        <f t="shared" si="2"/>
        <v>0.42521038820016288</v>
      </c>
      <c r="F65" s="630">
        <f t="shared" si="3"/>
        <v>0.34039151811299129</v>
      </c>
      <c r="G65" s="630">
        <f t="shared" si="4"/>
        <v>0.34039151811299129</v>
      </c>
      <c r="H65" s="630">
        <f t="shared" si="5"/>
        <v>0</v>
      </c>
      <c r="I65" s="630">
        <f t="shared" si="6"/>
        <v>0</v>
      </c>
      <c r="J65" s="630">
        <f t="shared" si="7"/>
        <v>0</v>
      </c>
      <c r="K65" s="629">
        <f t="shared" si="0"/>
        <v>1.1059934244261456</v>
      </c>
      <c r="L65" s="623"/>
      <c r="M65" s="623"/>
      <c r="N65" s="623"/>
      <c r="O65" s="623"/>
      <c r="P65" s="623"/>
      <c r="Q65" s="623"/>
      <c r="R65" s="623"/>
      <c r="S65" s="623"/>
      <c r="T65" s="623"/>
      <c r="U65" s="623"/>
      <c r="V65" s="623"/>
      <c r="W65" s="623"/>
      <c r="X65" s="623"/>
      <c r="Y65" s="623"/>
      <c r="Z65" s="623"/>
      <c r="AA65" s="623"/>
      <c r="AB65" s="623"/>
      <c r="AC65" s="623"/>
      <c r="AD65" s="623"/>
    </row>
    <row r="66" spans="1:30">
      <c r="A66" s="8" t="s">
        <v>268</v>
      </c>
      <c r="B66" s="8" t="s">
        <v>7956</v>
      </c>
      <c r="C66" s="8" t="s">
        <v>209</v>
      </c>
      <c r="D66" s="630" t="str">
        <f t="shared" si="1"/>
        <v/>
      </c>
      <c r="E66" s="630" t="str">
        <f t="shared" si="2"/>
        <v/>
      </c>
      <c r="F66" s="630" t="str">
        <f t="shared" si="3"/>
        <v/>
      </c>
      <c r="G66" s="630" t="str">
        <f t="shared" si="4"/>
        <v/>
      </c>
      <c r="H66" s="630" t="str">
        <f t="shared" si="5"/>
        <v/>
      </c>
      <c r="I66" s="630" t="str">
        <f t="shared" si="6"/>
        <v/>
      </c>
      <c r="J66" s="630" t="str">
        <f t="shared" si="7"/>
        <v/>
      </c>
      <c r="K66" s="629">
        <f t="shared" si="0"/>
        <v>0</v>
      </c>
      <c r="L66" s="623"/>
      <c r="M66" s="623"/>
      <c r="N66" s="623"/>
      <c r="O66" s="623"/>
      <c r="P66" s="623"/>
      <c r="Q66" s="623"/>
      <c r="R66" s="623"/>
      <c r="S66" s="623"/>
      <c r="T66" s="623"/>
      <c r="U66" s="623"/>
      <c r="V66" s="623"/>
      <c r="W66" s="623"/>
      <c r="X66" s="623"/>
      <c r="Y66" s="623"/>
      <c r="Z66" s="623"/>
      <c r="AA66" s="623"/>
      <c r="AB66" s="623"/>
      <c r="AC66" s="623"/>
      <c r="AD66" s="623"/>
    </row>
    <row r="67" spans="1:30">
      <c r="A67" s="8" t="s">
        <v>269</v>
      </c>
      <c r="B67" s="8" t="s">
        <v>7957</v>
      </c>
      <c r="C67" s="8" t="s">
        <v>209</v>
      </c>
      <c r="D67" s="630" t="str">
        <f t="shared" si="1"/>
        <v/>
      </c>
      <c r="E67" s="630" t="str">
        <f t="shared" si="2"/>
        <v/>
      </c>
      <c r="F67" s="630" t="str">
        <f t="shared" si="3"/>
        <v/>
      </c>
      <c r="G67" s="630" t="str">
        <f t="shared" si="4"/>
        <v/>
      </c>
      <c r="H67" s="630" t="str">
        <f t="shared" si="5"/>
        <v/>
      </c>
      <c r="I67" s="630" t="str">
        <f t="shared" si="6"/>
        <v/>
      </c>
      <c r="J67" s="630" t="str">
        <f t="shared" si="7"/>
        <v/>
      </c>
      <c r="K67" s="629">
        <f t="shared" ref="K67:K109" si="8">SUM(D67:J67)</f>
        <v>0</v>
      </c>
      <c r="L67" s="623"/>
      <c r="M67" s="623"/>
      <c r="N67" s="623"/>
      <c r="O67" s="623"/>
      <c r="P67" s="623"/>
      <c r="Q67" s="623"/>
      <c r="R67" s="623"/>
      <c r="S67" s="623"/>
      <c r="T67" s="623"/>
      <c r="U67" s="623"/>
      <c r="V67" s="623"/>
      <c r="W67" s="623"/>
      <c r="X67" s="623"/>
      <c r="Y67" s="623"/>
      <c r="Z67" s="623"/>
      <c r="AA67" s="623"/>
      <c r="AB67" s="623"/>
      <c r="AC67" s="623"/>
      <c r="AD67" s="623"/>
    </row>
    <row r="68" spans="1:30">
      <c r="A68" s="8" t="s">
        <v>270</v>
      </c>
      <c r="B68" s="8" t="s">
        <v>7958</v>
      </c>
      <c r="C68" s="8" t="s">
        <v>209</v>
      </c>
      <c r="D68" s="630" t="str">
        <f t="shared" si="1"/>
        <v/>
      </c>
      <c r="E68" s="630" t="str">
        <f t="shared" si="2"/>
        <v/>
      </c>
      <c r="F68" s="630" t="str">
        <f t="shared" si="3"/>
        <v/>
      </c>
      <c r="G68" s="630" t="str">
        <f t="shared" si="4"/>
        <v/>
      </c>
      <c r="H68" s="630" t="str">
        <f t="shared" si="5"/>
        <v/>
      </c>
      <c r="I68" s="630" t="str">
        <f t="shared" si="6"/>
        <v/>
      </c>
      <c r="J68" s="630" t="str">
        <f t="shared" si="7"/>
        <v/>
      </c>
      <c r="K68" s="629">
        <f t="shared" si="8"/>
        <v>0</v>
      </c>
      <c r="L68" s="623"/>
      <c r="M68" s="623"/>
      <c r="N68" s="623"/>
      <c r="O68" s="623"/>
      <c r="P68" s="623"/>
      <c r="Q68" s="623"/>
      <c r="R68" s="623"/>
      <c r="S68" s="623"/>
      <c r="T68" s="623"/>
      <c r="U68" s="623"/>
      <c r="V68" s="623"/>
      <c r="W68" s="623"/>
      <c r="X68" s="623"/>
      <c r="Y68" s="623"/>
      <c r="Z68" s="623"/>
      <c r="AA68" s="623"/>
      <c r="AB68" s="623"/>
      <c r="AC68" s="623"/>
      <c r="AD68" s="623"/>
    </row>
    <row r="69" spans="1:30">
      <c r="A69" s="434" t="s">
        <v>7959</v>
      </c>
      <c r="B69" s="8" t="s">
        <v>346</v>
      </c>
      <c r="C69" s="8" t="s">
        <v>209</v>
      </c>
      <c r="D69" s="630">
        <f t="shared" si="1"/>
        <v>0</v>
      </c>
      <c r="E69" s="630">
        <f t="shared" si="2"/>
        <v>0.35201262825572216</v>
      </c>
      <c r="F69" s="630">
        <f t="shared" si="3"/>
        <v>0.21190630948512001</v>
      </c>
      <c r="G69" s="630">
        <f t="shared" si="4"/>
        <v>0.21190630948512001</v>
      </c>
      <c r="H69" s="630">
        <f t="shared" si="5"/>
        <v>0</v>
      </c>
      <c r="I69" s="630">
        <f t="shared" si="6"/>
        <v>0</v>
      </c>
      <c r="J69" s="630">
        <f t="shared" si="7"/>
        <v>0</v>
      </c>
      <c r="K69" s="629">
        <f t="shared" si="8"/>
        <v>0.77582524722596224</v>
      </c>
      <c r="L69" s="623"/>
      <c r="M69" s="623"/>
      <c r="N69" s="623"/>
      <c r="O69" s="623"/>
      <c r="P69" s="623"/>
      <c r="Q69" s="623"/>
      <c r="R69" s="623"/>
      <c r="S69" s="623"/>
      <c r="T69" s="623"/>
      <c r="U69" s="623"/>
      <c r="V69" s="623"/>
      <c r="W69" s="623"/>
      <c r="X69" s="623"/>
      <c r="Y69" s="623"/>
      <c r="Z69" s="623"/>
      <c r="AA69" s="623"/>
      <c r="AB69" s="623"/>
      <c r="AC69" s="623"/>
      <c r="AD69" s="623"/>
    </row>
    <row r="70" spans="1:30">
      <c r="A70" s="434" t="s">
        <v>283</v>
      </c>
      <c r="B70" s="8" t="s">
        <v>8807</v>
      </c>
      <c r="C70" s="8" t="s">
        <v>209</v>
      </c>
      <c r="D70" s="630">
        <f t="shared" si="1"/>
        <v>2.0564747638185703E-2</v>
      </c>
      <c r="E70" s="630">
        <f t="shared" si="2"/>
        <v>0.61443707917949786</v>
      </c>
      <c r="F70" s="630">
        <f t="shared" si="3"/>
        <v>4.3843624406284247E-2</v>
      </c>
      <c r="G70" s="630">
        <f t="shared" si="4"/>
        <v>4.3843624406284247E-2</v>
      </c>
      <c r="H70" s="630">
        <f t="shared" si="5"/>
        <v>3.7162691163421885E-2</v>
      </c>
      <c r="I70" s="630">
        <f t="shared" si="6"/>
        <v>2.8794126346190645E-2</v>
      </c>
      <c r="J70" s="630">
        <f t="shared" si="7"/>
        <v>0</v>
      </c>
      <c r="K70" s="629">
        <f t="shared" si="8"/>
        <v>0.78864589313986444</v>
      </c>
      <c r="L70" s="624"/>
      <c r="M70" s="623"/>
      <c r="N70" s="623"/>
      <c r="O70" s="623"/>
      <c r="P70" s="623"/>
      <c r="Q70" s="623"/>
      <c r="R70" s="623"/>
      <c r="S70" s="623"/>
      <c r="T70" s="623"/>
      <c r="U70" s="623"/>
      <c r="V70" s="623"/>
      <c r="W70" s="623"/>
      <c r="X70" s="623"/>
      <c r="Y70" s="623"/>
      <c r="Z70" s="623"/>
      <c r="AA70" s="623"/>
      <c r="AB70" s="623"/>
      <c r="AC70" s="623"/>
      <c r="AD70" s="623"/>
    </row>
    <row r="71" spans="1:30">
      <c r="A71" s="434" t="s">
        <v>285</v>
      </c>
      <c r="B71" s="8" t="s">
        <v>8808</v>
      </c>
      <c r="C71" s="8" t="s">
        <v>209</v>
      </c>
      <c r="D71" s="630">
        <f t="shared" si="1"/>
        <v>1.5485149741397999E-2</v>
      </c>
      <c r="E71" s="630">
        <f t="shared" si="2"/>
        <v>0.65000464554492232</v>
      </c>
      <c r="F71" s="630">
        <f t="shared" si="3"/>
        <v>0</v>
      </c>
      <c r="G71" s="630">
        <f t="shared" si="4"/>
        <v>0</v>
      </c>
      <c r="H71" s="630">
        <f t="shared" si="5"/>
        <v>3.7154035946194264E-2</v>
      </c>
      <c r="I71" s="630">
        <f t="shared" si="6"/>
        <v>2.6231843661928208E-2</v>
      </c>
      <c r="J71" s="630">
        <f t="shared" si="7"/>
        <v>3.776311850268925E-2</v>
      </c>
      <c r="K71" s="629">
        <f t="shared" si="8"/>
        <v>0.76663879339713203</v>
      </c>
      <c r="L71" s="624"/>
      <c r="M71" s="623"/>
      <c r="N71" s="623"/>
      <c r="O71" s="623"/>
      <c r="P71" s="623"/>
      <c r="Q71" s="623"/>
      <c r="R71" s="623"/>
      <c r="S71" s="623"/>
      <c r="T71" s="623"/>
      <c r="U71" s="623"/>
      <c r="V71" s="623"/>
      <c r="W71" s="623"/>
      <c r="X71" s="623"/>
      <c r="Y71" s="623"/>
      <c r="Z71" s="623"/>
      <c r="AA71" s="623"/>
      <c r="AB71" s="623"/>
      <c r="AC71" s="623"/>
      <c r="AD71" s="623"/>
    </row>
    <row r="72" spans="1:30">
      <c r="A72" s="434" t="s">
        <v>286</v>
      </c>
      <c r="B72" s="8" t="s">
        <v>8809</v>
      </c>
      <c r="C72" s="8" t="s">
        <v>209</v>
      </c>
      <c r="D72" s="630">
        <f t="shared" si="1"/>
        <v>1.5481115707994129E-2</v>
      </c>
      <c r="E72" s="630">
        <f t="shared" si="2"/>
        <v>0.65000667289470171</v>
      </c>
      <c r="F72" s="630">
        <f t="shared" si="3"/>
        <v>0</v>
      </c>
      <c r="G72" s="630">
        <f t="shared" si="4"/>
        <v>0</v>
      </c>
      <c r="H72" s="630">
        <f t="shared" si="5"/>
        <v>3.7168023488589351E-2</v>
      </c>
      <c r="I72" s="630">
        <f t="shared" si="6"/>
        <v>2.6224476177765913E-2</v>
      </c>
      <c r="J72" s="630">
        <f t="shared" si="7"/>
        <v>3.7768584011744287E-2</v>
      </c>
      <c r="K72" s="629">
        <f t="shared" si="8"/>
        <v>0.76664887228079548</v>
      </c>
      <c r="L72" s="623"/>
      <c r="M72" s="623"/>
      <c r="N72" s="623"/>
      <c r="O72" s="623"/>
      <c r="P72" s="623"/>
      <c r="Q72" s="623"/>
      <c r="R72" s="623"/>
      <c r="S72" s="623"/>
      <c r="T72" s="623"/>
      <c r="U72" s="623"/>
      <c r="V72" s="623"/>
      <c r="W72" s="623"/>
      <c r="X72" s="623"/>
      <c r="Y72" s="623"/>
      <c r="Z72" s="623"/>
      <c r="AA72" s="623"/>
      <c r="AB72" s="623"/>
      <c r="AC72" s="623"/>
      <c r="AD72" s="623"/>
    </row>
    <row r="73" spans="1:30">
      <c r="A73" s="434" t="s">
        <v>287</v>
      </c>
      <c r="B73" s="8" t="s">
        <v>8810</v>
      </c>
      <c r="C73" s="8" t="s">
        <v>209</v>
      </c>
      <c r="D73" s="630">
        <f t="shared" si="1"/>
        <v>1.549848178137652E-2</v>
      </c>
      <c r="E73" s="630">
        <f t="shared" si="2"/>
        <v>0.64998734817813775</v>
      </c>
      <c r="F73" s="630">
        <f t="shared" si="3"/>
        <v>0</v>
      </c>
      <c r="G73" s="630">
        <f t="shared" si="4"/>
        <v>0</v>
      </c>
      <c r="H73" s="630">
        <f t="shared" si="5"/>
        <v>3.715418353576249E-2</v>
      </c>
      <c r="I73" s="630">
        <f t="shared" si="6"/>
        <v>2.6231443994601894E-2</v>
      </c>
      <c r="J73" s="630">
        <f t="shared" si="7"/>
        <v>3.7765688259109316E-2</v>
      </c>
      <c r="K73" s="629">
        <f t="shared" si="8"/>
        <v>0.76663714574898789</v>
      </c>
      <c r="L73" s="623"/>
      <c r="M73" s="623"/>
      <c r="N73" s="623"/>
      <c r="O73" s="623"/>
      <c r="P73" s="623"/>
      <c r="Q73" s="623"/>
      <c r="R73" s="623"/>
      <c r="S73" s="623"/>
      <c r="T73" s="623"/>
      <c r="U73" s="623"/>
      <c r="V73" s="623"/>
      <c r="W73" s="623"/>
      <c r="X73" s="623"/>
      <c r="Y73" s="623"/>
      <c r="Z73" s="623"/>
      <c r="AA73" s="623"/>
      <c r="AB73" s="623"/>
      <c r="AC73" s="623"/>
      <c r="AD73" s="623"/>
    </row>
    <row r="74" spans="1:30">
      <c r="A74" s="434" t="s">
        <v>288</v>
      </c>
      <c r="B74" s="8" t="s">
        <v>8811</v>
      </c>
      <c r="C74" s="8" t="s">
        <v>209</v>
      </c>
      <c r="D74" s="630">
        <f t="shared" si="1"/>
        <v>1.5559129036463989E-2</v>
      </c>
      <c r="E74" s="630">
        <f t="shared" si="2"/>
        <v>0.64978921291668468</v>
      </c>
      <c r="F74" s="630">
        <f t="shared" si="3"/>
        <v>0</v>
      </c>
      <c r="G74" s="630">
        <f t="shared" si="4"/>
        <v>0</v>
      </c>
      <c r="H74" s="630">
        <f t="shared" si="5"/>
        <v>3.7202833673779821E-2</v>
      </c>
      <c r="I74" s="630">
        <f t="shared" si="6"/>
        <v>2.6294058846538307E-2</v>
      </c>
      <c r="J74" s="630">
        <f t="shared" si="7"/>
        <v>3.7811291233865001E-2</v>
      </c>
      <c r="K74" s="629">
        <f t="shared" si="8"/>
        <v>0.76665652570733178</v>
      </c>
      <c r="L74" s="623"/>
      <c r="M74" s="623"/>
      <c r="N74" s="623"/>
      <c r="O74" s="623"/>
      <c r="P74" s="623"/>
      <c r="Q74" s="623"/>
      <c r="R74" s="623"/>
      <c r="S74" s="623"/>
      <c r="T74" s="623"/>
      <c r="U74" s="623"/>
      <c r="V74" s="623"/>
      <c r="W74" s="623"/>
      <c r="X74" s="623"/>
      <c r="Y74" s="623"/>
      <c r="Z74" s="623"/>
      <c r="AA74" s="623"/>
      <c r="AB74" s="623"/>
      <c r="AC74" s="623"/>
      <c r="AD74" s="623"/>
    </row>
    <row r="75" spans="1:30">
      <c r="A75" s="434" t="s">
        <v>7968</v>
      </c>
      <c r="B75" s="8" t="s">
        <v>8812</v>
      </c>
      <c r="C75" s="8" t="s">
        <v>209</v>
      </c>
      <c r="D75" s="630">
        <f t="shared" si="1"/>
        <v>0.10035537314179889</v>
      </c>
      <c r="E75" s="630">
        <f t="shared" si="2"/>
        <v>9.9604584814054764E-3</v>
      </c>
      <c r="F75" s="630">
        <f t="shared" si="3"/>
        <v>0</v>
      </c>
      <c r="G75" s="630">
        <f t="shared" si="4"/>
        <v>0</v>
      </c>
      <c r="H75" s="630">
        <f t="shared" si="5"/>
        <v>0</v>
      </c>
      <c r="I75" s="630">
        <f t="shared" si="6"/>
        <v>0</v>
      </c>
      <c r="J75" s="630">
        <f t="shared" si="7"/>
        <v>0</v>
      </c>
      <c r="K75" s="629">
        <f t="shared" si="8"/>
        <v>0.11031583162320437</v>
      </c>
      <c r="L75" s="623"/>
      <c r="M75" s="623"/>
      <c r="N75" s="623"/>
      <c r="O75" s="623"/>
      <c r="P75" s="623"/>
      <c r="Q75" s="623"/>
      <c r="R75" s="623"/>
      <c r="S75" s="623"/>
      <c r="T75" s="623"/>
      <c r="U75" s="623"/>
      <c r="V75" s="623"/>
      <c r="W75" s="623"/>
      <c r="X75" s="623"/>
      <c r="Y75" s="623"/>
      <c r="Z75" s="623"/>
      <c r="AA75" s="623"/>
      <c r="AB75" s="623"/>
      <c r="AC75" s="623"/>
      <c r="AD75" s="623"/>
    </row>
    <row r="76" spans="1:30">
      <c r="A76" s="434" t="s">
        <v>295</v>
      </c>
      <c r="B76" s="8" t="s">
        <v>8813</v>
      </c>
      <c r="C76" s="8" t="s">
        <v>209</v>
      </c>
      <c r="D76" s="630">
        <f t="shared" si="1"/>
        <v>0.10035491047780486</v>
      </c>
      <c r="E76" s="630">
        <f t="shared" si="2"/>
        <v>9.9586820637779429E-3</v>
      </c>
      <c r="F76" s="630">
        <f t="shared" si="3"/>
        <v>0</v>
      </c>
      <c r="G76" s="630">
        <f t="shared" si="4"/>
        <v>0</v>
      </c>
      <c r="H76" s="630">
        <f t="shared" si="5"/>
        <v>0</v>
      </c>
      <c r="I76" s="630">
        <f t="shared" si="6"/>
        <v>0</v>
      </c>
      <c r="J76" s="630">
        <f t="shared" si="7"/>
        <v>0</v>
      </c>
      <c r="K76" s="629">
        <f t="shared" si="8"/>
        <v>0.11031359254158279</v>
      </c>
      <c r="L76" s="623"/>
      <c r="M76" s="623"/>
      <c r="N76" s="623"/>
      <c r="O76" s="623"/>
      <c r="P76" s="623"/>
      <c r="Q76" s="623"/>
      <c r="R76" s="623"/>
      <c r="S76" s="623"/>
      <c r="T76" s="623"/>
      <c r="U76" s="623"/>
      <c r="V76" s="623"/>
      <c r="W76" s="623"/>
      <c r="X76" s="623"/>
      <c r="Y76" s="623"/>
      <c r="Z76" s="623"/>
      <c r="AA76" s="623"/>
      <c r="AB76" s="623"/>
      <c r="AC76" s="623"/>
      <c r="AD76" s="623"/>
    </row>
    <row r="77" spans="1:30">
      <c r="A77" s="434" t="s">
        <v>271</v>
      </c>
      <c r="B77" s="8" t="s">
        <v>8814</v>
      </c>
      <c r="C77" s="8" t="s">
        <v>209</v>
      </c>
      <c r="D77" s="630">
        <f t="shared" si="1"/>
        <v>0.12689976689976687</v>
      </c>
      <c r="E77" s="630">
        <f t="shared" si="2"/>
        <v>0.23086247086247083</v>
      </c>
      <c r="F77" s="630">
        <f t="shared" si="3"/>
        <v>0</v>
      </c>
      <c r="G77" s="630">
        <f t="shared" si="4"/>
        <v>0</v>
      </c>
      <c r="H77" s="630">
        <f t="shared" si="5"/>
        <v>0.11953379953379951</v>
      </c>
      <c r="I77" s="630">
        <f t="shared" si="6"/>
        <v>0</v>
      </c>
      <c r="J77" s="630">
        <f t="shared" si="7"/>
        <v>0.17650349650349648</v>
      </c>
      <c r="K77" s="629">
        <f t="shared" si="8"/>
        <v>0.65379953379953371</v>
      </c>
      <c r="L77" s="623"/>
      <c r="M77" s="623"/>
      <c r="N77" s="623"/>
      <c r="O77" s="623"/>
      <c r="P77" s="623"/>
      <c r="Q77" s="623"/>
      <c r="R77" s="623"/>
      <c r="S77" s="623"/>
      <c r="T77" s="623"/>
      <c r="U77" s="623"/>
      <c r="V77" s="623"/>
      <c r="W77" s="623"/>
      <c r="X77" s="623"/>
      <c r="Y77" s="623"/>
      <c r="Z77" s="623"/>
      <c r="AA77" s="623"/>
      <c r="AB77" s="623"/>
      <c r="AC77" s="623"/>
      <c r="AD77" s="623"/>
    </row>
    <row r="78" spans="1:30">
      <c r="A78" s="434" t="s">
        <v>296</v>
      </c>
      <c r="B78" s="8" t="s">
        <v>362</v>
      </c>
      <c r="C78" s="8" t="s">
        <v>209</v>
      </c>
      <c r="D78" s="630">
        <f t="shared" si="1"/>
        <v>0.10035702874289762</v>
      </c>
      <c r="E78" s="630">
        <f t="shared" si="2"/>
        <v>9.9467929927899625E-3</v>
      </c>
      <c r="F78" s="630">
        <f t="shared" si="3"/>
        <v>0</v>
      </c>
      <c r="G78" s="630">
        <f t="shared" si="4"/>
        <v>0</v>
      </c>
      <c r="H78" s="630">
        <f t="shared" si="5"/>
        <v>0</v>
      </c>
      <c r="I78" s="630">
        <f t="shared" si="6"/>
        <v>0</v>
      </c>
      <c r="J78" s="630">
        <f t="shared" si="7"/>
        <v>0</v>
      </c>
      <c r="K78" s="629">
        <f t="shared" si="8"/>
        <v>0.11030382173568758</v>
      </c>
      <c r="L78" s="623"/>
      <c r="M78" s="623"/>
      <c r="N78" s="623"/>
      <c r="O78" s="623"/>
      <c r="P78" s="623"/>
      <c r="Q78" s="623"/>
      <c r="R78" s="623"/>
      <c r="S78" s="623"/>
      <c r="T78" s="623"/>
      <c r="U78" s="623"/>
      <c r="V78" s="623"/>
      <c r="W78" s="623"/>
      <c r="X78" s="623"/>
      <c r="Y78" s="623"/>
      <c r="Z78" s="623"/>
      <c r="AA78" s="623"/>
      <c r="AB78" s="623"/>
      <c r="AC78" s="623"/>
      <c r="AD78" s="623"/>
    </row>
    <row r="79" spans="1:30">
      <c r="A79" s="434" t="s">
        <v>7976</v>
      </c>
      <c r="B79" s="8" t="s">
        <v>363</v>
      </c>
      <c r="C79" s="8" t="s">
        <v>209</v>
      </c>
      <c r="D79" s="630">
        <f t="shared" si="1"/>
        <v>0.10036005462897818</v>
      </c>
      <c r="E79" s="630">
        <f t="shared" si="2"/>
        <v>9.9325414890535108E-3</v>
      </c>
      <c r="F79" s="630">
        <f t="shared" si="3"/>
        <v>0</v>
      </c>
      <c r="G79" s="630">
        <f t="shared" si="4"/>
        <v>0</v>
      </c>
      <c r="H79" s="630">
        <f t="shared" si="5"/>
        <v>0</v>
      </c>
      <c r="I79" s="630">
        <f t="shared" si="6"/>
        <v>0</v>
      </c>
      <c r="J79" s="630">
        <f t="shared" si="7"/>
        <v>0</v>
      </c>
      <c r="K79" s="629">
        <f t="shared" si="8"/>
        <v>0.11029259611803169</v>
      </c>
      <c r="L79" s="623"/>
      <c r="M79" s="623"/>
      <c r="N79" s="623"/>
      <c r="O79" s="623"/>
      <c r="P79" s="623"/>
      <c r="Q79" s="623"/>
      <c r="R79" s="623"/>
      <c r="S79" s="623"/>
      <c r="T79" s="623"/>
      <c r="U79" s="623"/>
      <c r="V79" s="623"/>
      <c r="W79" s="623"/>
      <c r="X79" s="623"/>
      <c r="Y79" s="623"/>
      <c r="Z79" s="623"/>
      <c r="AA79" s="623"/>
      <c r="AB79" s="623"/>
      <c r="AC79" s="623"/>
      <c r="AD79" s="623"/>
    </row>
    <row r="80" spans="1:30">
      <c r="A80" s="434" t="s">
        <v>297</v>
      </c>
      <c r="B80" s="8" t="s">
        <v>8815</v>
      </c>
      <c r="C80" s="8" t="s">
        <v>209</v>
      </c>
      <c r="D80" s="630">
        <f t="shared" si="1"/>
        <v>0.18294141092068555</v>
      </c>
      <c r="E80" s="630">
        <f t="shared" si="2"/>
        <v>0.12435233160621763</v>
      </c>
      <c r="F80" s="630">
        <f t="shared" si="3"/>
        <v>5.2212036667995218E-2</v>
      </c>
      <c r="G80" s="630">
        <f t="shared" si="4"/>
        <v>5.2212036667995218E-2</v>
      </c>
      <c r="H80" s="630">
        <f t="shared" si="5"/>
        <v>9.6054204862495024E-2</v>
      </c>
      <c r="I80" s="630">
        <f t="shared" si="6"/>
        <v>5.9386209645277001E-2</v>
      </c>
      <c r="J80" s="630">
        <f t="shared" si="7"/>
        <v>7.2538860103626951E-2</v>
      </c>
      <c r="K80" s="629">
        <f t="shared" si="8"/>
        <v>0.63969709047429257</v>
      </c>
      <c r="L80" s="623"/>
      <c r="M80" s="623"/>
      <c r="N80" s="623"/>
      <c r="O80" s="623"/>
      <c r="P80" s="623"/>
      <c r="Q80" s="623"/>
      <c r="R80" s="623"/>
      <c r="S80" s="623"/>
      <c r="T80" s="623"/>
      <c r="U80" s="623"/>
      <c r="V80" s="623"/>
      <c r="W80" s="623"/>
      <c r="X80" s="623"/>
      <c r="Y80" s="623"/>
      <c r="Z80" s="623"/>
      <c r="AA80" s="623"/>
      <c r="AB80" s="623"/>
      <c r="AC80" s="623"/>
      <c r="AD80" s="623"/>
    </row>
    <row r="81" spans="1:30">
      <c r="A81" s="8" t="s">
        <v>281</v>
      </c>
      <c r="B81" s="8" t="s">
        <v>7979</v>
      </c>
      <c r="C81" s="8" t="s">
        <v>209</v>
      </c>
      <c r="D81" s="630" t="str">
        <f t="shared" si="1"/>
        <v/>
      </c>
      <c r="E81" s="630" t="str">
        <f t="shared" si="2"/>
        <v/>
      </c>
      <c r="F81" s="630" t="str">
        <f t="shared" si="3"/>
        <v/>
      </c>
      <c r="G81" s="630" t="str">
        <f t="shared" si="4"/>
        <v/>
      </c>
      <c r="H81" s="630" t="str">
        <f t="shared" si="5"/>
        <v/>
      </c>
      <c r="I81" s="630" t="str">
        <f t="shared" si="6"/>
        <v/>
      </c>
      <c r="J81" s="630" t="str">
        <f t="shared" si="7"/>
        <v/>
      </c>
      <c r="K81" s="629">
        <f t="shared" si="8"/>
        <v>0</v>
      </c>
      <c r="L81" s="623"/>
      <c r="M81" s="623"/>
      <c r="N81" s="623"/>
      <c r="O81" s="623"/>
      <c r="P81" s="623"/>
      <c r="Q81" s="623"/>
      <c r="R81" s="623"/>
      <c r="S81" s="623"/>
      <c r="T81" s="623"/>
      <c r="U81" s="623"/>
      <c r="V81" s="623"/>
      <c r="W81" s="623"/>
      <c r="X81" s="623"/>
      <c r="Y81" s="623"/>
      <c r="Z81" s="623"/>
      <c r="AA81" s="623"/>
      <c r="AB81" s="623"/>
      <c r="AC81" s="623"/>
      <c r="AD81" s="623"/>
    </row>
    <row r="82" spans="1:30">
      <c r="A82" s="434" t="s">
        <v>7980</v>
      </c>
      <c r="B82" s="8" t="s">
        <v>8816</v>
      </c>
      <c r="C82" s="8" t="s">
        <v>209</v>
      </c>
      <c r="D82" s="630">
        <f t="shared" si="1"/>
        <v>0.20946151505932462</v>
      </c>
      <c r="E82" s="630">
        <f t="shared" si="2"/>
        <v>2.9510191664131429E-2</v>
      </c>
      <c r="F82" s="630">
        <f t="shared" si="3"/>
        <v>0</v>
      </c>
      <c r="G82" s="630">
        <f t="shared" si="4"/>
        <v>0</v>
      </c>
      <c r="H82" s="630">
        <f t="shared" si="5"/>
        <v>0</v>
      </c>
      <c r="I82" s="630">
        <f t="shared" si="6"/>
        <v>0</v>
      </c>
      <c r="J82" s="630">
        <f t="shared" si="7"/>
        <v>2.9966534834195317E-2</v>
      </c>
      <c r="K82" s="629">
        <f t="shared" si="8"/>
        <v>0.26893824155765139</v>
      </c>
      <c r="L82" s="623"/>
      <c r="M82" s="623"/>
      <c r="N82" s="623"/>
      <c r="O82" s="623"/>
      <c r="P82" s="623"/>
      <c r="Q82" s="623"/>
      <c r="R82" s="623"/>
      <c r="S82" s="623"/>
      <c r="T82" s="623"/>
      <c r="U82" s="623"/>
      <c r="V82" s="623"/>
      <c r="W82" s="623"/>
      <c r="X82" s="623"/>
      <c r="Y82" s="623"/>
      <c r="Z82" s="623"/>
      <c r="AA82" s="623"/>
      <c r="AB82" s="623"/>
      <c r="AC82" s="623"/>
      <c r="AD82" s="623"/>
    </row>
    <row r="83" spans="1:30">
      <c r="A83" s="434" t="s">
        <v>273</v>
      </c>
      <c r="B83" s="8" t="s">
        <v>8817</v>
      </c>
      <c r="C83" s="8" t="s">
        <v>209</v>
      </c>
      <c r="D83" s="630">
        <f t="shared" si="1"/>
        <v>0.20732203389830509</v>
      </c>
      <c r="E83" s="630">
        <f t="shared" si="2"/>
        <v>1.7762711864406779E-2</v>
      </c>
      <c r="F83" s="630">
        <f t="shared" si="3"/>
        <v>0</v>
      </c>
      <c r="G83" s="630">
        <f t="shared" si="4"/>
        <v>0</v>
      </c>
      <c r="H83" s="630">
        <f t="shared" si="5"/>
        <v>0</v>
      </c>
      <c r="I83" s="630">
        <f t="shared" si="6"/>
        <v>0</v>
      </c>
      <c r="J83" s="630">
        <f t="shared" si="7"/>
        <v>1.8305084745762715E-2</v>
      </c>
      <c r="K83" s="629">
        <f t="shared" si="8"/>
        <v>0.24338983050847457</v>
      </c>
      <c r="L83" s="623"/>
      <c r="M83" s="623"/>
      <c r="N83" s="623"/>
      <c r="O83" s="623"/>
      <c r="P83" s="623"/>
      <c r="Q83" s="623"/>
      <c r="R83" s="623"/>
      <c r="S83" s="623"/>
      <c r="T83" s="623"/>
      <c r="U83" s="623"/>
      <c r="V83" s="623"/>
      <c r="W83" s="623"/>
      <c r="X83" s="623"/>
      <c r="Y83" s="623"/>
      <c r="Z83" s="623"/>
      <c r="AA83" s="623"/>
      <c r="AB83" s="623"/>
      <c r="AC83" s="623"/>
      <c r="AD83" s="623"/>
    </row>
    <row r="84" spans="1:30">
      <c r="A84" s="434" t="s">
        <v>289</v>
      </c>
      <c r="B84" s="8" t="s">
        <v>8818</v>
      </c>
      <c r="C84" s="8" t="s">
        <v>209</v>
      </c>
      <c r="D84" s="630">
        <f t="shared" si="1"/>
        <v>0.1293369663941871</v>
      </c>
      <c r="E84" s="630">
        <f t="shared" si="2"/>
        <v>0.2561307901907357</v>
      </c>
      <c r="F84" s="630">
        <f t="shared" si="3"/>
        <v>0</v>
      </c>
      <c r="G84" s="630">
        <f t="shared" si="4"/>
        <v>0</v>
      </c>
      <c r="H84" s="630">
        <f t="shared" si="5"/>
        <v>0</v>
      </c>
      <c r="I84" s="630">
        <f t="shared" si="6"/>
        <v>0</v>
      </c>
      <c r="J84" s="630">
        <f t="shared" si="7"/>
        <v>0.19273387829246139</v>
      </c>
      <c r="K84" s="629">
        <f t="shared" si="8"/>
        <v>0.57820163487738419</v>
      </c>
      <c r="L84" s="623"/>
      <c r="M84" s="623"/>
      <c r="N84" s="623"/>
      <c r="O84" s="623"/>
      <c r="P84" s="623"/>
      <c r="Q84" s="623"/>
      <c r="R84" s="623"/>
      <c r="S84" s="623"/>
      <c r="T84" s="623"/>
      <c r="U84" s="623"/>
      <c r="V84" s="623"/>
      <c r="W84" s="623"/>
      <c r="X84" s="623"/>
      <c r="Y84" s="623"/>
      <c r="Z84" s="623"/>
      <c r="AA84" s="623"/>
      <c r="AB84" s="623"/>
      <c r="AC84" s="623"/>
      <c r="AD84" s="623"/>
    </row>
    <row r="85" spans="1:30">
      <c r="A85" s="434" t="s">
        <v>7984</v>
      </c>
      <c r="B85" s="8" t="s">
        <v>8819</v>
      </c>
      <c r="C85" s="8" t="s">
        <v>209</v>
      </c>
      <c r="D85" s="630">
        <f t="shared" si="1"/>
        <v>2.4835276229092755E-2</v>
      </c>
      <c r="E85" s="630">
        <f t="shared" si="2"/>
        <v>0.35326913329954385</v>
      </c>
      <c r="F85" s="630">
        <f t="shared" si="3"/>
        <v>0</v>
      </c>
      <c r="G85" s="630">
        <f t="shared" si="4"/>
        <v>0</v>
      </c>
      <c r="H85" s="630">
        <f t="shared" si="5"/>
        <v>0.10745058286872783</v>
      </c>
      <c r="I85" s="630">
        <f t="shared" si="6"/>
        <v>0</v>
      </c>
      <c r="J85" s="630">
        <f t="shared" si="7"/>
        <v>0.23213380638621392</v>
      </c>
      <c r="K85" s="629">
        <f t="shared" si="8"/>
        <v>0.71768879878357839</v>
      </c>
      <c r="L85" s="623"/>
      <c r="M85" s="623"/>
      <c r="N85" s="623"/>
      <c r="O85" s="623"/>
      <c r="P85" s="623"/>
      <c r="Q85" s="623"/>
      <c r="R85" s="623"/>
      <c r="S85" s="623"/>
      <c r="T85" s="623"/>
      <c r="U85" s="623"/>
      <c r="V85" s="623"/>
      <c r="W85" s="623"/>
      <c r="X85" s="623"/>
      <c r="Y85" s="623"/>
      <c r="Z85" s="623"/>
      <c r="AA85" s="623"/>
      <c r="AB85" s="623"/>
      <c r="AC85" s="623"/>
      <c r="AD85" s="623"/>
    </row>
    <row r="86" spans="1:30">
      <c r="A86" s="434" t="s">
        <v>290</v>
      </c>
      <c r="B86" s="8" t="s">
        <v>8820</v>
      </c>
      <c r="C86" s="8" t="s">
        <v>209</v>
      </c>
      <c r="D86" s="630">
        <f t="shared" si="1"/>
        <v>3.3450807635829666E-2</v>
      </c>
      <c r="E86" s="630">
        <f t="shared" si="2"/>
        <v>0.58246696035242296</v>
      </c>
      <c r="F86" s="630">
        <f t="shared" si="3"/>
        <v>0</v>
      </c>
      <c r="G86" s="630">
        <f t="shared" si="4"/>
        <v>0</v>
      </c>
      <c r="H86" s="630">
        <f t="shared" si="5"/>
        <v>0</v>
      </c>
      <c r="I86" s="630">
        <f t="shared" si="6"/>
        <v>0</v>
      </c>
      <c r="J86" s="630">
        <f t="shared" si="7"/>
        <v>6.5168869309838479E-2</v>
      </c>
      <c r="K86" s="629">
        <f t="shared" si="8"/>
        <v>0.68108663729809105</v>
      </c>
      <c r="L86" s="623"/>
      <c r="M86" s="623"/>
      <c r="N86" s="623"/>
      <c r="O86" s="623"/>
      <c r="P86" s="623"/>
      <c r="Q86" s="623"/>
      <c r="R86" s="623"/>
      <c r="S86" s="623"/>
      <c r="T86" s="623"/>
      <c r="U86" s="623"/>
      <c r="V86" s="623"/>
      <c r="W86" s="623"/>
      <c r="X86" s="623"/>
      <c r="Y86" s="623"/>
      <c r="Z86" s="623"/>
      <c r="AA86" s="623"/>
      <c r="AB86" s="623"/>
      <c r="AC86" s="623"/>
      <c r="AD86" s="623"/>
    </row>
    <row r="87" spans="1:30">
      <c r="A87" s="434" t="s">
        <v>7987</v>
      </c>
      <c r="B87" s="8" t="s">
        <v>8821</v>
      </c>
      <c r="C87" s="8" t="s">
        <v>209</v>
      </c>
      <c r="D87" s="630">
        <f t="shared" si="1"/>
        <v>9.5244055068836042E-2</v>
      </c>
      <c r="E87" s="630">
        <f t="shared" si="2"/>
        <v>4.8268669169795581E-2</v>
      </c>
      <c r="F87" s="630">
        <f t="shared" si="3"/>
        <v>4.2302878598247814E-2</v>
      </c>
      <c r="G87" s="630">
        <f t="shared" si="4"/>
        <v>4.2302878598247814E-2</v>
      </c>
      <c r="H87" s="630">
        <f t="shared" si="5"/>
        <v>6.1284939507717989E-2</v>
      </c>
      <c r="I87" s="630">
        <f t="shared" si="6"/>
        <v>0</v>
      </c>
      <c r="J87" s="630">
        <f t="shared" si="7"/>
        <v>0.10508969545264915</v>
      </c>
      <c r="K87" s="629">
        <f t="shared" si="8"/>
        <v>0.39449311639549434</v>
      </c>
      <c r="L87" s="623"/>
      <c r="M87" s="623"/>
      <c r="N87" s="623"/>
      <c r="O87" s="623"/>
      <c r="P87" s="623"/>
      <c r="Q87" s="623"/>
      <c r="R87" s="623"/>
      <c r="S87" s="623"/>
      <c r="T87" s="623"/>
      <c r="U87" s="623"/>
      <c r="V87" s="623"/>
      <c r="W87" s="623"/>
      <c r="X87" s="623"/>
      <c r="Y87" s="623"/>
      <c r="Z87" s="623"/>
      <c r="AA87" s="623"/>
      <c r="AB87" s="623"/>
      <c r="AC87" s="623"/>
      <c r="AD87" s="623"/>
    </row>
    <row r="88" spans="1:30">
      <c r="A88" s="434" t="s">
        <v>7989</v>
      </c>
      <c r="B88" s="8" t="s">
        <v>382</v>
      </c>
      <c r="C88" s="8" t="s">
        <v>209</v>
      </c>
      <c r="D88" s="630">
        <f t="shared" si="1"/>
        <v>0.14180720145852324</v>
      </c>
      <c r="E88" s="630">
        <f t="shared" si="2"/>
        <v>0.23547174111212399</v>
      </c>
      <c r="F88" s="630">
        <f t="shared" si="3"/>
        <v>0</v>
      </c>
      <c r="G88" s="630">
        <f t="shared" si="4"/>
        <v>0</v>
      </c>
      <c r="H88" s="630">
        <f t="shared" si="5"/>
        <v>0</v>
      </c>
      <c r="I88" s="630">
        <f t="shared" si="6"/>
        <v>0</v>
      </c>
      <c r="J88" s="630">
        <f t="shared" si="7"/>
        <v>0.11218094804010939</v>
      </c>
      <c r="K88" s="629">
        <f t="shared" si="8"/>
        <v>0.48945989061075657</v>
      </c>
      <c r="L88" s="623"/>
      <c r="M88" s="623"/>
      <c r="N88" s="623"/>
      <c r="O88" s="623"/>
      <c r="P88" s="623"/>
      <c r="Q88" s="623"/>
      <c r="R88" s="623"/>
      <c r="S88" s="623"/>
      <c r="T88" s="623"/>
      <c r="U88" s="623"/>
      <c r="V88" s="623"/>
      <c r="W88" s="623"/>
      <c r="X88" s="623"/>
      <c r="Y88" s="623"/>
      <c r="Z88" s="623"/>
      <c r="AA88" s="623"/>
      <c r="AB88" s="623"/>
      <c r="AC88" s="623"/>
      <c r="AD88" s="623"/>
    </row>
    <row r="89" spans="1:30">
      <c r="A89" s="434" t="s">
        <v>291</v>
      </c>
      <c r="B89" s="8" t="s">
        <v>384</v>
      </c>
      <c r="C89" s="8" t="s">
        <v>209</v>
      </c>
      <c r="D89" s="630">
        <f t="shared" si="1"/>
        <v>0</v>
      </c>
      <c r="E89" s="630">
        <f t="shared" si="2"/>
        <v>0.36417322834645671</v>
      </c>
      <c r="F89" s="630">
        <f t="shared" si="3"/>
        <v>0</v>
      </c>
      <c r="G89" s="630">
        <f t="shared" si="4"/>
        <v>0</v>
      </c>
      <c r="H89" s="630">
        <f t="shared" si="5"/>
        <v>0.1673228346456693</v>
      </c>
      <c r="I89" s="630">
        <f t="shared" si="6"/>
        <v>3.4776902887139104E-2</v>
      </c>
      <c r="J89" s="630">
        <f t="shared" si="7"/>
        <v>0.27559055118110237</v>
      </c>
      <c r="K89" s="629">
        <f t="shared" si="8"/>
        <v>0.84186351706036744</v>
      </c>
      <c r="L89" s="623"/>
      <c r="M89" s="623"/>
      <c r="N89" s="623"/>
      <c r="O89" s="623"/>
      <c r="P89" s="623"/>
      <c r="Q89" s="623"/>
      <c r="R89" s="623"/>
      <c r="S89" s="623"/>
      <c r="T89" s="623"/>
      <c r="U89" s="623"/>
      <c r="V89" s="623"/>
      <c r="W89" s="623"/>
      <c r="X89" s="623"/>
      <c r="Y89" s="623"/>
      <c r="Z89" s="623"/>
      <c r="AA89" s="623"/>
      <c r="AB89" s="623"/>
      <c r="AC89" s="623"/>
      <c r="AD89" s="623"/>
    </row>
    <row r="90" spans="1:30">
      <c r="A90" s="434" t="s">
        <v>7991</v>
      </c>
      <c r="B90" s="8" t="s">
        <v>8822</v>
      </c>
      <c r="C90" s="8" t="s">
        <v>209</v>
      </c>
      <c r="D90" s="630">
        <f t="shared" si="1"/>
        <v>0.10848073278584966</v>
      </c>
      <c r="E90" s="630">
        <f t="shared" si="2"/>
        <v>8.7713202779532554E-2</v>
      </c>
      <c r="F90" s="630">
        <f t="shared" si="3"/>
        <v>3.6418193303853451E-2</v>
      </c>
      <c r="G90" s="630">
        <f t="shared" si="4"/>
        <v>3.6418193303853451E-2</v>
      </c>
      <c r="H90" s="630">
        <f t="shared" si="5"/>
        <v>0</v>
      </c>
      <c r="I90" s="630">
        <f t="shared" si="6"/>
        <v>0</v>
      </c>
      <c r="J90" s="630">
        <f t="shared" si="7"/>
        <v>6.5603284902084655E-2</v>
      </c>
      <c r="K90" s="629">
        <f t="shared" si="8"/>
        <v>0.33463360707517381</v>
      </c>
      <c r="L90" s="623"/>
      <c r="M90" s="623"/>
      <c r="N90" s="623"/>
      <c r="O90" s="623"/>
      <c r="P90" s="623"/>
      <c r="Q90" s="623"/>
      <c r="R90" s="623"/>
      <c r="S90" s="623"/>
      <c r="T90" s="623"/>
      <c r="U90" s="623"/>
      <c r="V90" s="623"/>
      <c r="W90" s="623"/>
      <c r="X90" s="623"/>
      <c r="Y90" s="623"/>
      <c r="Z90" s="623"/>
      <c r="AA90" s="623"/>
      <c r="AB90" s="623"/>
      <c r="AC90" s="623"/>
      <c r="AD90" s="623"/>
    </row>
    <row r="91" spans="1:30">
      <c r="A91" s="434" t="s">
        <v>274</v>
      </c>
      <c r="B91" s="8" t="s">
        <v>8823</v>
      </c>
      <c r="C91" s="8" t="s">
        <v>209</v>
      </c>
      <c r="D91" s="630">
        <f t="shared" si="1"/>
        <v>0.24379769233604895</v>
      </c>
      <c r="E91" s="630">
        <f t="shared" si="2"/>
        <v>7.1902532532163513E-2</v>
      </c>
      <c r="F91" s="630">
        <f t="shared" si="3"/>
        <v>6.0290485494157109E-2</v>
      </c>
      <c r="G91" s="630">
        <f t="shared" si="4"/>
        <v>6.0290485494157109E-2</v>
      </c>
      <c r="H91" s="630">
        <f t="shared" si="5"/>
        <v>5.8502598886718021E-2</v>
      </c>
      <c r="I91" s="630">
        <f t="shared" si="6"/>
        <v>0</v>
      </c>
      <c r="J91" s="630">
        <f t="shared" si="7"/>
        <v>0.19777343606001399</v>
      </c>
      <c r="K91" s="629">
        <f t="shared" si="8"/>
        <v>0.69255723080325871</v>
      </c>
      <c r="L91" s="623"/>
      <c r="M91" s="623"/>
      <c r="N91" s="623"/>
      <c r="O91" s="623"/>
      <c r="P91" s="623"/>
      <c r="Q91" s="623"/>
      <c r="R91" s="623"/>
      <c r="S91" s="623"/>
      <c r="T91" s="623"/>
      <c r="U91" s="623"/>
      <c r="V91" s="623"/>
      <c r="W91" s="623"/>
      <c r="X91" s="623"/>
      <c r="Y91" s="623"/>
      <c r="Z91" s="623"/>
      <c r="AA91" s="623"/>
      <c r="AB91" s="623"/>
      <c r="AC91" s="623"/>
      <c r="AD91" s="623"/>
    </row>
    <row r="92" spans="1:30">
      <c r="A92" s="434" t="s">
        <v>292</v>
      </c>
      <c r="B92" s="8" t="s">
        <v>8824</v>
      </c>
      <c r="C92" s="8" t="s">
        <v>209</v>
      </c>
      <c r="D92" s="630">
        <f t="shared" si="1"/>
        <v>7.2570466975178785E-2</v>
      </c>
      <c r="E92" s="630">
        <f t="shared" si="2"/>
        <v>0.27092974337400083</v>
      </c>
      <c r="F92" s="630">
        <f t="shared" si="3"/>
        <v>5.3218342448464448E-2</v>
      </c>
      <c r="G92" s="630">
        <f t="shared" si="4"/>
        <v>5.3218342448464448E-2</v>
      </c>
      <c r="H92" s="630">
        <f t="shared" si="5"/>
        <v>3.7442153975599489E-2</v>
      </c>
      <c r="I92" s="630">
        <f t="shared" si="6"/>
        <v>1.2200252419015565E-2</v>
      </c>
      <c r="J92" s="630">
        <f t="shared" si="7"/>
        <v>6.79427850231384E-2</v>
      </c>
      <c r="K92" s="629">
        <f t="shared" si="8"/>
        <v>0.56752208666386195</v>
      </c>
      <c r="L92" s="623"/>
      <c r="M92" s="623"/>
      <c r="N92" s="623"/>
      <c r="O92" s="623"/>
      <c r="P92" s="623"/>
      <c r="Q92" s="623"/>
      <c r="R92" s="623"/>
      <c r="S92" s="623"/>
      <c r="T92" s="623"/>
      <c r="U92" s="623"/>
      <c r="V92" s="623"/>
      <c r="W92" s="623"/>
      <c r="X92" s="623"/>
      <c r="Y92" s="623"/>
      <c r="Z92" s="623"/>
      <c r="AA92" s="623"/>
      <c r="AB92" s="623"/>
      <c r="AC92" s="623"/>
      <c r="AD92" s="623"/>
    </row>
    <row r="93" spans="1:30">
      <c r="A93" s="434" t="s">
        <v>7996</v>
      </c>
      <c r="B93" s="8" t="s">
        <v>8825</v>
      </c>
      <c r="C93" s="8" t="s">
        <v>209</v>
      </c>
      <c r="D93" s="630">
        <f t="shared" si="1"/>
        <v>7.2750977835723596E-2</v>
      </c>
      <c r="E93" s="630">
        <f t="shared" si="2"/>
        <v>0.27092568448500648</v>
      </c>
      <c r="F93" s="630">
        <f t="shared" si="3"/>
        <v>5.3194263363754879E-2</v>
      </c>
      <c r="G93" s="630">
        <f t="shared" si="4"/>
        <v>5.3194263363754879E-2</v>
      </c>
      <c r="H93" s="630">
        <f t="shared" si="5"/>
        <v>3.7288135593220334E-2</v>
      </c>
      <c r="I93" s="630">
        <f t="shared" si="6"/>
        <v>1.225554106910039E-2</v>
      </c>
      <c r="J93" s="630">
        <f t="shared" si="7"/>
        <v>6.8057366362451105E-2</v>
      </c>
      <c r="K93" s="629">
        <f t="shared" si="8"/>
        <v>0.5676662320730117</v>
      </c>
      <c r="L93" s="623"/>
      <c r="M93" s="623"/>
      <c r="N93" s="623"/>
      <c r="O93" s="623"/>
      <c r="P93" s="623"/>
      <c r="Q93" s="623"/>
      <c r="R93" s="623"/>
      <c r="S93" s="623"/>
      <c r="T93" s="623"/>
      <c r="U93" s="623"/>
      <c r="V93" s="623"/>
      <c r="W93" s="623"/>
      <c r="X93" s="623"/>
      <c r="Y93" s="623"/>
      <c r="Z93" s="623"/>
      <c r="AA93" s="623"/>
      <c r="AB93" s="623"/>
      <c r="AC93" s="623"/>
      <c r="AD93" s="623"/>
    </row>
    <row r="94" spans="1:30">
      <c r="A94" s="434" t="s">
        <v>7999</v>
      </c>
      <c r="B94" s="8" t="s">
        <v>8826</v>
      </c>
      <c r="C94" s="8" t="s">
        <v>209</v>
      </c>
      <c r="D94" s="630">
        <f t="shared" si="1"/>
        <v>7.2692673644148428E-2</v>
      </c>
      <c r="E94" s="630">
        <f t="shared" si="2"/>
        <v>0.2709800190294957</v>
      </c>
      <c r="F94" s="630">
        <f t="shared" si="3"/>
        <v>5.3282588011417706E-2</v>
      </c>
      <c r="G94" s="630">
        <f t="shared" si="4"/>
        <v>5.3282588011417706E-2</v>
      </c>
      <c r="H94" s="630">
        <f t="shared" si="5"/>
        <v>3.7297811607992393E-2</v>
      </c>
      <c r="I94" s="630">
        <f t="shared" si="6"/>
        <v>1.2178877259752616E-2</v>
      </c>
      <c r="J94" s="630">
        <f t="shared" si="7"/>
        <v>6.7935299714557557E-2</v>
      </c>
      <c r="K94" s="629">
        <f t="shared" si="8"/>
        <v>0.56764985727878214</v>
      </c>
      <c r="L94" s="623"/>
      <c r="M94" s="623"/>
      <c r="N94" s="623"/>
      <c r="O94" s="623"/>
      <c r="P94" s="623"/>
      <c r="Q94" s="623"/>
      <c r="R94" s="623"/>
      <c r="S94" s="623"/>
      <c r="T94" s="623"/>
      <c r="U94" s="623"/>
      <c r="V94" s="623"/>
      <c r="W94" s="623"/>
      <c r="X94" s="623"/>
      <c r="Y94" s="623"/>
      <c r="Z94" s="623"/>
      <c r="AA94" s="623"/>
      <c r="AB94" s="623"/>
      <c r="AC94" s="623"/>
      <c r="AD94" s="623"/>
    </row>
    <row r="95" spans="1:30">
      <c r="A95" s="434" t="s">
        <v>8001</v>
      </c>
      <c r="B95" s="8" t="s">
        <v>8827</v>
      </c>
      <c r="C95" s="8" t="s">
        <v>209</v>
      </c>
      <c r="D95" s="630">
        <f t="shared" si="1"/>
        <v>7.2563925362819623E-2</v>
      </c>
      <c r="E95" s="630">
        <f t="shared" si="2"/>
        <v>0.27090532135452661</v>
      </c>
      <c r="F95" s="630">
        <f t="shared" si="3"/>
        <v>5.3213545266067724E-2</v>
      </c>
      <c r="G95" s="630">
        <f t="shared" si="4"/>
        <v>5.3213545266067724E-2</v>
      </c>
      <c r="H95" s="630">
        <f t="shared" si="5"/>
        <v>3.7318590186592948E-2</v>
      </c>
      <c r="I95" s="630">
        <f t="shared" si="6"/>
        <v>1.2439530062197649E-2</v>
      </c>
      <c r="J95" s="630">
        <f t="shared" si="7"/>
        <v>6.7726330338631652E-2</v>
      </c>
      <c r="K95" s="629">
        <f t="shared" si="8"/>
        <v>0.56738078783690393</v>
      </c>
      <c r="L95" s="623"/>
      <c r="M95" s="623"/>
      <c r="N95" s="623"/>
      <c r="O95" s="623"/>
      <c r="P95" s="623"/>
      <c r="Q95" s="623"/>
      <c r="R95" s="623"/>
      <c r="S95" s="623"/>
      <c r="T95" s="623"/>
      <c r="U95" s="623"/>
      <c r="V95" s="623"/>
      <c r="W95" s="623"/>
      <c r="X95" s="623"/>
      <c r="Y95" s="623"/>
      <c r="Z95" s="623"/>
      <c r="AA95" s="623"/>
      <c r="AB95" s="623"/>
      <c r="AC95" s="623"/>
      <c r="AD95" s="623"/>
    </row>
    <row r="96" spans="1:30">
      <c r="A96" s="434" t="s">
        <v>275</v>
      </c>
      <c r="B96" s="8" t="s">
        <v>8828</v>
      </c>
      <c r="C96" s="8" t="s">
        <v>209</v>
      </c>
      <c r="D96" s="630">
        <f t="shared" si="1"/>
        <v>7.2382727555141371E-2</v>
      </c>
      <c r="E96" s="630">
        <f t="shared" si="2"/>
        <v>0.27151289220254743</v>
      </c>
      <c r="F96" s="630">
        <f t="shared" si="3"/>
        <v>5.2811432121776962E-2</v>
      </c>
      <c r="G96" s="630">
        <f t="shared" si="4"/>
        <v>5.2811432121776962E-2</v>
      </c>
      <c r="H96" s="630">
        <f t="shared" si="5"/>
        <v>3.6968002485243873E-2</v>
      </c>
      <c r="I96" s="630">
        <f t="shared" si="6"/>
        <v>1.149425287356322E-2</v>
      </c>
      <c r="J96" s="630">
        <f t="shared" si="7"/>
        <v>6.7722895309102221E-2</v>
      </c>
      <c r="K96" s="629">
        <f t="shared" si="8"/>
        <v>0.56570363466915208</v>
      </c>
      <c r="L96" s="623"/>
      <c r="M96" s="623"/>
      <c r="N96" s="623"/>
      <c r="O96" s="623"/>
      <c r="P96" s="623"/>
      <c r="Q96" s="623"/>
      <c r="R96" s="623"/>
      <c r="S96" s="623"/>
      <c r="T96" s="623"/>
      <c r="U96" s="623"/>
      <c r="V96" s="623"/>
      <c r="W96" s="623"/>
      <c r="X96" s="623"/>
      <c r="Y96" s="623"/>
      <c r="Z96" s="623"/>
      <c r="AA96" s="623"/>
      <c r="AB96" s="623"/>
      <c r="AC96" s="623"/>
      <c r="AD96" s="623"/>
    </row>
    <row r="97" spans="1:30">
      <c r="A97" s="434" t="s">
        <v>8004</v>
      </c>
      <c r="B97" s="8" t="s">
        <v>8829</v>
      </c>
      <c r="C97" s="8" t="s">
        <v>209</v>
      </c>
      <c r="D97" s="630">
        <f t="shared" si="1"/>
        <v>7.2548995635323313E-2</v>
      </c>
      <c r="E97" s="630">
        <f t="shared" si="2"/>
        <v>0.27114789774186054</v>
      </c>
      <c r="F97" s="630">
        <f t="shared" si="3"/>
        <v>5.3097453327301841E-2</v>
      </c>
      <c r="G97" s="630">
        <f t="shared" si="4"/>
        <v>5.3097453327301841E-2</v>
      </c>
      <c r="H97" s="630">
        <f t="shared" si="5"/>
        <v>3.720367268592667E-2</v>
      </c>
      <c r="I97" s="630">
        <f t="shared" si="6"/>
        <v>1.1932561466140133E-2</v>
      </c>
      <c r="J97" s="630">
        <f t="shared" si="7"/>
        <v>6.7829765383345758E-2</v>
      </c>
      <c r="K97" s="629">
        <f t="shared" si="8"/>
        <v>0.56685779956720006</v>
      </c>
      <c r="L97" s="623"/>
      <c r="M97" s="623"/>
      <c r="N97" s="623"/>
      <c r="O97" s="623"/>
      <c r="P97" s="623"/>
      <c r="Q97" s="623"/>
      <c r="R97" s="623"/>
      <c r="S97" s="623"/>
      <c r="T97" s="623"/>
      <c r="U97" s="623"/>
      <c r="V97" s="623"/>
      <c r="W97" s="623"/>
      <c r="X97" s="623"/>
      <c r="Y97" s="623"/>
      <c r="Z97" s="623"/>
      <c r="AA97" s="623"/>
      <c r="AB97" s="623"/>
      <c r="AC97" s="623"/>
      <c r="AD97" s="623"/>
    </row>
    <row r="98" spans="1:30">
      <c r="A98" s="8" t="s">
        <v>8006</v>
      </c>
      <c r="B98" s="8" t="s">
        <v>8007</v>
      </c>
      <c r="C98" s="8" t="s">
        <v>209</v>
      </c>
      <c r="D98" s="630" t="str">
        <f t="shared" si="1"/>
        <v/>
      </c>
      <c r="E98" s="630" t="str">
        <f t="shared" si="2"/>
        <v/>
      </c>
      <c r="F98" s="630" t="str">
        <f t="shared" si="3"/>
        <v/>
      </c>
      <c r="G98" s="630" t="str">
        <f t="shared" si="4"/>
        <v/>
      </c>
      <c r="H98" s="630" t="str">
        <f t="shared" si="5"/>
        <v/>
      </c>
      <c r="I98" s="630" t="str">
        <f t="shared" si="6"/>
        <v/>
      </c>
      <c r="J98" s="630" t="str">
        <f t="shared" si="7"/>
        <v/>
      </c>
      <c r="K98" s="629">
        <f t="shared" si="8"/>
        <v>0</v>
      </c>
      <c r="L98" s="623"/>
      <c r="M98" s="623"/>
      <c r="N98" s="623"/>
      <c r="O98" s="623"/>
      <c r="P98" s="623"/>
      <c r="Q98" s="623"/>
      <c r="R98" s="623"/>
      <c r="S98" s="623"/>
      <c r="T98" s="623"/>
      <c r="U98" s="623"/>
      <c r="V98" s="623"/>
      <c r="W98" s="623"/>
      <c r="X98" s="623"/>
      <c r="Y98" s="623"/>
      <c r="Z98" s="623"/>
      <c r="AA98" s="623"/>
      <c r="AB98" s="623"/>
      <c r="AC98" s="623"/>
      <c r="AD98" s="623"/>
    </row>
    <row r="99" spans="1:30">
      <c r="A99" s="8" t="s">
        <v>8008</v>
      </c>
      <c r="B99" s="8" t="s">
        <v>8009</v>
      </c>
      <c r="C99" s="8" t="s">
        <v>209</v>
      </c>
      <c r="D99" s="630" t="str">
        <f t="shared" si="1"/>
        <v/>
      </c>
      <c r="E99" s="630" t="str">
        <f t="shared" si="2"/>
        <v/>
      </c>
      <c r="F99" s="630" t="str">
        <f t="shared" si="3"/>
        <v/>
      </c>
      <c r="G99" s="630" t="str">
        <f t="shared" si="4"/>
        <v/>
      </c>
      <c r="H99" s="630" t="str">
        <f t="shared" si="5"/>
        <v/>
      </c>
      <c r="I99" s="630" t="str">
        <f t="shared" si="6"/>
        <v/>
      </c>
      <c r="J99" s="630" t="str">
        <f t="shared" si="7"/>
        <v/>
      </c>
      <c r="K99" s="629">
        <f t="shared" si="8"/>
        <v>0</v>
      </c>
      <c r="L99" s="623"/>
      <c r="M99" s="623"/>
      <c r="N99" s="623"/>
      <c r="O99" s="623"/>
      <c r="P99" s="623"/>
      <c r="Q99" s="623"/>
      <c r="R99" s="623"/>
      <c r="S99" s="623"/>
      <c r="T99" s="623"/>
      <c r="U99" s="623"/>
      <c r="V99" s="623"/>
      <c r="W99" s="623"/>
      <c r="X99" s="623"/>
      <c r="Y99" s="623"/>
      <c r="Z99" s="623"/>
      <c r="AA99" s="623"/>
      <c r="AB99" s="623"/>
      <c r="AC99" s="623"/>
      <c r="AD99" s="623"/>
    </row>
    <row r="100" spans="1:30">
      <c r="A100" s="8" t="s">
        <v>8011</v>
      </c>
      <c r="B100" s="8" t="s">
        <v>8012</v>
      </c>
      <c r="C100" s="8" t="s">
        <v>209</v>
      </c>
      <c r="D100" s="630" t="str">
        <f t="shared" si="1"/>
        <v/>
      </c>
      <c r="E100" s="630" t="str">
        <f t="shared" si="2"/>
        <v/>
      </c>
      <c r="F100" s="630" t="str">
        <f t="shared" si="3"/>
        <v/>
      </c>
      <c r="G100" s="630" t="str">
        <f t="shared" si="4"/>
        <v/>
      </c>
      <c r="H100" s="630" t="str">
        <f t="shared" si="5"/>
        <v/>
      </c>
      <c r="I100" s="630" t="str">
        <f t="shared" si="6"/>
        <v/>
      </c>
      <c r="J100" s="630" t="str">
        <f t="shared" si="7"/>
        <v/>
      </c>
      <c r="K100" s="629">
        <f t="shared" si="8"/>
        <v>0</v>
      </c>
      <c r="L100" s="623"/>
      <c r="M100" s="623"/>
      <c r="N100" s="623"/>
      <c r="O100" s="623"/>
      <c r="P100" s="623"/>
      <c r="Q100" s="623"/>
      <c r="R100" s="623"/>
      <c r="S100" s="623"/>
      <c r="T100" s="623"/>
      <c r="U100" s="623"/>
      <c r="V100" s="623"/>
      <c r="W100" s="623"/>
      <c r="X100" s="623"/>
      <c r="Y100" s="623"/>
      <c r="Z100" s="623"/>
      <c r="AA100" s="623"/>
      <c r="AB100" s="623"/>
      <c r="AC100" s="623"/>
      <c r="AD100" s="623"/>
    </row>
    <row r="101" spans="1:30">
      <c r="A101" s="8" t="s">
        <v>8013</v>
      </c>
      <c r="B101" s="8" t="s">
        <v>8014</v>
      </c>
      <c r="C101" s="8" t="s">
        <v>209</v>
      </c>
      <c r="D101" s="630" t="str">
        <f t="shared" si="1"/>
        <v/>
      </c>
      <c r="E101" s="630" t="str">
        <f t="shared" si="2"/>
        <v/>
      </c>
      <c r="F101" s="630" t="str">
        <f t="shared" si="3"/>
        <v/>
      </c>
      <c r="G101" s="630" t="str">
        <f t="shared" si="4"/>
        <v/>
      </c>
      <c r="H101" s="630" t="str">
        <f t="shared" si="5"/>
        <v/>
      </c>
      <c r="I101" s="630" t="str">
        <f t="shared" si="6"/>
        <v/>
      </c>
      <c r="J101" s="630" t="str">
        <f t="shared" si="7"/>
        <v/>
      </c>
      <c r="K101" s="629">
        <f t="shared" si="8"/>
        <v>0</v>
      </c>
      <c r="L101" s="623"/>
      <c r="M101" s="623"/>
      <c r="N101" s="623"/>
      <c r="O101" s="623"/>
      <c r="P101" s="623"/>
      <c r="Q101" s="623"/>
      <c r="R101" s="623"/>
      <c r="S101" s="623"/>
      <c r="T101" s="623"/>
      <c r="U101" s="623"/>
      <c r="V101" s="623"/>
      <c r="W101" s="623"/>
      <c r="X101" s="623"/>
      <c r="Y101" s="623"/>
      <c r="Z101" s="623"/>
      <c r="AA101" s="623"/>
      <c r="AB101" s="623"/>
      <c r="AC101" s="623"/>
      <c r="AD101" s="623"/>
    </row>
    <row r="102" spans="1:30">
      <c r="A102" s="434" t="s">
        <v>293</v>
      </c>
      <c r="B102" s="8" t="s">
        <v>8016</v>
      </c>
      <c r="C102" s="8" t="s">
        <v>209</v>
      </c>
      <c r="D102" s="630">
        <f t="shared" si="1"/>
        <v>0.1003392705682782</v>
      </c>
      <c r="E102" s="630">
        <f t="shared" si="2"/>
        <v>9.9236641221374048E-3</v>
      </c>
      <c r="F102" s="630">
        <f t="shared" si="3"/>
        <v>0</v>
      </c>
      <c r="G102" s="630">
        <f t="shared" si="4"/>
        <v>0</v>
      </c>
      <c r="H102" s="630">
        <f t="shared" si="5"/>
        <v>0</v>
      </c>
      <c r="I102" s="630">
        <f t="shared" si="6"/>
        <v>0</v>
      </c>
      <c r="J102" s="630">
        <f t="shared" si="7"/>
        <v>0</v>
      </c>
      <c r="K102" s="629">
        <f t="shared" si="8"/>
        <v>0.11026293469041561</v>
      </c>
      <c r="L102" s="623"/>
      <c r="M102" s="623"/>
      <c r="N102" s="623"/>
      <c r="O102" s="623"/>
      <c r="P102" s="623"/>
      <c r="Q102" s="623"/>
      <c r="R102" s="623"/>
      <c r="S102" s="623"/>
      <c r="T102" s="623"/>
      <c r="U102" s="623"/>
      <c r="V102" s="623"/>
      <c r="W102" s="623"/>
      <c r="X102" s="623"/>
      <c r="Y102" s="623"/>
      <c r="Z102" s="623"/>
      <c r="AA102" s="623"/>
      <c r="AB102" s="623"/>
      <c r="AC102" s="623"/>
      <c r="AD102" s="623"/>
    </row>
    <row r="103" spans="1:30">
      <c r="A103" s="8" t="s">
        <v>8017</v>
      </c>
      <c r="B103" s="8" t="s">
        <v>8018</v>
      </c>
      <c r="C103" s="8" t="s">
        <v>209</v>
      </c>
      <c r="D103" s="630" t="str">
        <f t="shared" si="1"/>
        <v/>
      </c>
      <c r="E103" s="630" t="str">
        <f t="shared" si="2"/>
        <v/>
      </c>
      <c r="F103" s="630" t="str">
        <f t="shared" si="3"/>
        <v/>
      </c>
      <c r="G103" s="630" t="str">
        <f t="shared" si="4"/>
        <v/>
      </c>
      <c r="H103" s="630" t="str">
        <f t="shared" si="5"/>
        <v/>
      </c>
      <c r="I103" s="630" t="str">
        <f t="shared" si="6"/>
        <v/>
      </c>
      <c r="J103" s="630" t="str">
        <f t="shared" si="7"/>
        <v/>
      </c>
      <c r="K103" s="629">
        <f t="shared" si="8"/>
        <v>0</v>
      </c>
      <c r="L103" s="623"/>
      <c r="M103" s="623"/>
      <c r="N103" s="623"/>
      <c r="O103" s="623"/>
      <c r="P103" s="623"/>
      <c r="Q103" s="623"/>
      <c r="R103" s="623"/>
      <c r="S103" s="623"/>
      <c r="T103" s="623"/>
      <c r="U103" s="623"/>
      <c r="V103" s="623"/>
      <c r="W103" s="623"/>
      <c r="X103" s="623"/>
      <c r="Y103" s="623"/>
      <c r="Z103" s="623"/>
      <c r="AA103" s="623"/>
      <c r="AB103" s="623"/>
      <c r="AC103" s="623"/>
      <c r="AD103" s="623"/>
    </row>
    <row r="104" spans="1:30">
      <c r="A104" s="8" t="s">
        <v>8019</v>
      </c>
      <c r="B104" s="8" t="s">
        <v>8020</v>
      </c>
      <c r="C104" s="8" t="s">
        <v>209</v>
      </c>
      <c r="D104" s="630" t="str">
        <f t="shared" si="1"/>
        <v/>
      </c>
      <c r="E104" s="630" t="str">
        <f t="shared" si="2"/>
        <v/>
      </c>
      <c r="F104" s="630" t="str">
        <f t="shared" si="3"/>
        <v/>
      </c>
      <c r="G104" s="630" t="str">
        <f t="shared" si="4"/>
        <v/>
      </c>
      <c r="H104" s="630" t="str">
        <f t="shared" si="5"/>
        <v/>
      </c>
      <c r="I104" s="630" t="str">
        <f t="shared" si="6"/>
        <v/>
      </c>
      <c r="J104" s="630" t="str">
        <f t="shared" si="7"/>
        <v/>
      </c>
      <c r="K104" s="629">
        <f t="shared" si="8"/>
        <v>0</v>
      </c>
      <c r="L104" s="623"/>
      <c r="M104" s="623"/>
      <c r="N104" s="623"/>
      <c r="O104" s="623"/>
      <c r="P104" s="623"/>
      <c r="Q104" s="623"/>
      <c r="R104" s="623"/>
      <c r="S104" s="623"/>
      <c r="T104" s="623"/>
      <c r="U104" s="623"/>
      <c r="V104" s="623"/>
      <c r="W104" s="623"/>
      <c r="X104" s="623"/>
      <c r="Y104" s="623"/>
      <c r="Z104" s="623"/>
      <c r="AA104" s="623"/>
      <c r="AB104" s="623"/>
      <c r="AC104" s="623"/>
      <c r="AD104" s="623"/>
    </row>
    <row r="105" spans="1:30">
      <c r="A105" s="8" t="s">
        <v>282</v>
      </c>
      <c r="B105" s="8" t="s">
        <v>8022</v>
      </c>
      <c r="C105" s="8" t="s">
        <v>209</v>
      </c>
      <c r="D105" s="630" t="str">
        <f t="shared" si="1"/>
        <v/>
      </c>
      <c r="E105" s="630" t="str">
        <f t="shared" si="2"/>
        <v/>
      </c>
      <c r="F105" s="630" t="str">
        <f t="shared" si="3"/>
        <v/>
      </c>
      <c r="G105" s="630" t="str">
        <f t="shared" si="4"/>
        <v/>
      </c>
      <c r="H105" s="630" t="str">
        <f t="shared" si="5"/>
        <v/>
      </c>
      <c r="I105" s="630" t="str">
        <f t="shared" si="6"/>
        <v/>
      </c>
      <c r="J105" s="630" t="str">
        <f t="shared" si="7"/>
        <v/>
      </c>
      <c r="K105" s="629">
        <f t="shared" si="8"/>
        <v>0</v>
      </c>
      <c r="L105" s="623"/>
      <c r="M105" s="623"/>
      <c r="N105" s="623"/>
      <c r="O105" s="623"/>
      <c r="P105" s="623"/>
      <c r="Q105" s="623"/>
      <c r="R105" s="623"/>
      <c r="S105" s="623"/>
      <c r="T105" s="623"/>
      <c r="U105" s="623"/>
      <c r="V105" s="623"/>
      <c r="W105" s="623"/>
      <c r="X105" s="623"/>
      <c r="Y105" s="623"/>
      <c r="Z105" s="623"/>
      <c r="AA105" s="623"/>
      <c r="AB105" s="623"/>
      <c r="AC105" s="623"/>
      <c r="AD105" s="623"/>
    </row>
    <row r="106" spans="1:30">
      <c r="A106" s="434" t="s">
        <v>8023</v>
      </c>
      <c r="B106" s="8" t="s">
        <v>8830</v>
      </c>
      <c r="C106" s="8" t="s">
        <v>209</v>
      </c>
      <c r="D106" s="630">
        <f t="shared" si="1"/>
        <v>0</v>
      </c>
      <c r="E106" s="630">
        <f t="shared" si="2"/>
        <v>8.2160392798690682E-2</v>
      </c>
      <c r="F106" s="630">
        <f t="shared" si="3"/>
        <v>0.26252045826513914</v>
      </c>
      <c r="G106" s="630">
        <f t="shared" si="4"/>
        <v>0.26252045826513914</v>
      </c>
      <c r="H106" s="630">
        <f t="shared" si="5"/>
        <v>0.17234042553191489</v>
      </c>
      <c r="I106" s="630">
        <f t="shared" si="6"/>
        <v>0</v>
      </c>
      <c r="J106" s="630">
        <f t="shared" si="7"/>
        <v>0.33469721767594107</v>
      </c>
      <c r="K106" s="629">
        <f t="shared" si="8"/>
        <v>1.1142389525368248</v>
      </c>
      <c r="L106" s="623"/>
      <c r="M106" s="623"/>
      <c r="N106" s="623"/>
      <c r="O106" s="623"/>
      <c r="P106" s="623"/>
      <c r="Q106" s="623"/>
      <c r="R106" s="623"/>
      <c r="S106" s="623"/>
      <c r="T106" s="623"/>
      <c r="U106" s="623"/>
      <c r="V106" s="623"/>
      <c r="W106" s="623"/>
      <c r="X106" s="623"/>
      <c r="Y106" s="623"/>
      <c r="Z106" s="623"/>
      <c r="AA106" s="623"/>
      <c r="AB106" s="623"/>
      <c r="AC106" s="623"/>
      <c r="AD106" s="623"/>
    </row>
    <row r="107" spans="1:30">
      <c r="A107" s="8" t="s">
        <v>8026</v>
      </c>
      <c r="B107" s="8" t="s">
        <v>8027</v>
      </c>
      <c r="C107" s="8" t="s">
        <v>209</v>
      </c>
      <c r="D107" s="630" t="str">
        <f t="shared" si="1"/>
        <v/>
      </c>
      <c r="E107" s="630" t="str">
        <f t="shared" si="2"/>
        <v/>
      </c>
      <c r="F107" s="630" t="str">
        <f t="shared" si="3"/>
        <v/>
      </c>
      <c r="G107" s="630" t="str">
        <f t="shared" si="4"/>
        <v/>
      </c>
      <c r="H107" s="630" t="str">
        <f t="shared" si="5"/>
        <v/>
      </c>
      <c r="I107" s="630" t="str">
        <f t="shared" si="6"/>
        <v/>
      </c>
      <c r="J107" s="630" t="str">
        <f t="shared" si="7"/>
        <v/>
      </c>
      <c r="K107" s="629">
        <f t="shared" si="8"/>
        <v>0</v>
      </c>
      <c r="L107" s="623"/>
      <c r="M107" s="623"/>
      <c r="N107" s="623"/>
      <c r="O107" s="623"/>
      <c r="P107" s="623"/>
      <c r="Q107" s="623"/>
      <c r="R107" s="623"/>
      <c r="S107" s="623"/>
      <c r="T107" s="623"/>
      <c r="U107" s="623"/>
      <c r="V107" s="623"/>
      <c r="W107" s="623"/>
      <c r="X107" s="623"/>
      <c r="Y107" s="623"/>
      <c r="Z107" s="623"/>
      <c r="AA107" s="623"/>
      <c r="AB107" s="623"/>
      <c r="AC107" s="623"/>
      <c r="AD107" s="623"/>
    </row>
    <row r="108" spans="1:30">
      <c r="A108" s="8" t="s">
        <v>8028</v>
      </c>
      <c r="B108" s="8" t="s">
        <v>8029</v>
      </c>
      <c r="C108" s="8" t="s">
        <v>209</v>
      </c>
      <c r="D108" s="630" t="str">
        <f t="shared" si="1"/>
        <v/>
      </c>
      <c r="E108" s="630" t="str">
        <f t="shared" si="2"/>
        <v/>
      </c>
      <c r="F108" s="630" t="str">
        <f t="shared" si="3"/>
        <v/>
      </c>
      <c r="G108" s="630" t="str">
        <f t="shared" si="4"/>
        <v/>
      </c>
      <c r="H108" s="630" t="str">
        <f t="shared" si="5"/>
        <v/>
      </c>
      <c r="I108" s="630" t="str">
        <f t="shared" si="6"/>
        <v/>
      </c>
      <c r="J108" s="630" t="str">
        <f t="shared" si="7"/>
        <v/>
      </c>
      <c r="K108" s="629">
        <f t="shared" si="8"/>
        <v>0</v>
      </c>
      <c r="L108" s="623"/>
      <c r="M108" s="623"/>
      <c r="N108" s="623"/>
      <c r="O108" s="623"/>
      <c r="P108" s="623"/>
      <c r="Q108" s="623"/>
      <c r="R108" s="623"/>
      <c r="S108" s="623"/>
      <c r="T108" s="623"/>
      <c r="U108" s="623"/>
      <c r="V108" s="623"/>
      <c r="W108" s="623"/>
      <c r="X108" s="623"/>
      <c r="Y108" s="623"/>
      <c r="Z108" s="623"/>
      <c r="AA108" s="623"/>
      <c r="AB108" s="623"/>
      <c r="AC108" s="623"/>
      <c r="AD108" s="623"/>
    </row>
    <row r="109" spans="1:30">
      <c r="A109" s="8" t="s">
        <v>8031</v>
      </c>
      <c r="B109" s="8" t="s">
        <v>8032</v>
      </c>
      <c r="C109" s="8" t="s">
        <v>209</v>
      </c>
      <c r="D109" s="630" t="str">
        <f t="shared" si="1"/>
        <v/>
      </c>
      <c r="E109" s="630" t="str">
        <f t="shared" si="2"/>
        <v/>
      </c>
      <c r="F109" s="630" t="str">
        <f t="shared" si="3"/>
        <v/>
      </c>
      <c r="G109" s="630" t="str">
        <f t="shared" si="4"/>
        <v/>
      </c>
      <c r="H109" s="630" t="str">
        <f t="shared" si="5"/>
        <v/>
      </c>
      <c r="I109" s="630" t="str">
        <f t="shared" si="6"/>
        <v/>
      </c>
      <c r="J109" s="630" t="str">
        <f t="shared" si="7"/>
        <v/>
      </c>
      <c r="K109" s="629">
        <f t="shared" si="8"/>
        <v>0</v>
      </c>
      <c r="L109" s="623"/>
      <c r="M109" s="623"/>
      <c r="N109" s="623"/>
      <c r="O109" s="623"/>
      <c r="P109" s="623"/>
      <c r="Q109" s="623"/>
      <c r="R109" s="623"/>
      <c r="S109" s="623"/>
      <c r="T109" s="623"/>
      <c r="U109" s="623"/>
      <c r="V109" s="623"/>
      <c r="W109" s="623"/>
      <c r="X109" s="623"/>
      <c r="Y109" s="623"/>
      <c r="Z109" s="623"/>
      <c r="AA109" s="623"/>
      <c r="AB109" s="623"/>
      <c r="AC109" s="623"/>
      <c r="AD109" s="623"/>
    </row>
    <row r="110" spans="1:30">
      <c r="A110" s="623"/>
      <c r="B110" s="623"/>
      <c r="C110" s="623"/>
      <c r="D110" s="623"/>
      <c r="E110" s="623"/>
      <c r="F110" s="623"/>
      <c r="G110" s="623"/>
      <c r="H110" s="623"/>
      <c r="I110" s="623"/>
      <c r="J110" s="623"/>
      <c r="K110" s="623"/>
      <c r="L110" s="623"/>
      <c r="M110" s="623"/>
      <c r="N110" s="623"/>
      <c r="O110" s="623"/>
      <c r="P110" s="623"/>
      <c r="Q110" s="623"/>
      <c r="R110" s="623"/>
      <c r="S110" s="623"/>
      <c r="T110" s="623"/>
      <c r="U110" s="623"/>
      <c r="V110" s="623"/>
      <c r="W110" s="623"/>
      <c r="X110" s="623"/>
      <c r="Y110" s="623"/>
      <c r="Z110" s="623"/>
      <c r="AA110" s="623"/>
      <c r="AB110" s="623"/>
      <c r="AC110" s="623"/>
      <c r="AD110" s="623"/>
    </row>
    <row r="111" spans="1:30">
      <c r="A111" s="623"/>
      <c r="B111" s="623"/>
      <c r="C111" s="623"/>
      <c r="D111" s="623"/>
      <c r="E111" s="623"/>
      <c r="F111" s="623"/>
      <c r="G111" s="623"/>
      <c r="H111" s="623"/>
      <c r="I111" s="623"/>
      <c r="J111" s="623"/>
      <c r="K111" s="623"/>
      <c r="L111" s="623"/>
      <c r="M111" s="623"/>
      <c r="N111" s="623"/>
      <c r="O111" s="623"/>
      <c r="P111" s="623"/>
      <c r="Q111" s="623"/>
      <c r="R111" s="623"/>
      <c r="S111" s="623"/>
      <c r="T111" s="623"/>
      <c r="U111" s="623"/>
      <c r="V111" s="623"/>
      <c r="W111" s="623"/>
      <c r="X111" s="623"/>
      <c r="Y111" s="623"/>
      <c r="Z111" s="623"/>
      <c r="AA111" s="623"/>
      <c r="AB111" s="623"/>
      <c r="AC111" s="623"/>
      <c r="AD111" s="623"/>
    </row>
    <row r="112" spans="1:30">
      <c r="A112" s="623"/>
      <c r="B112" s="623"/>
      <c r="C112" s="623"/>
      <c r="D112" s="623"/>
      <c r="E112" s="623"/>
      <c r="F112" s="623"/>
      <c r="G112" s="623"/>
      <c r="H112" s="623"/>
      <c r="I112" s="623"/>
      <c r="J112" s="623"/>
      <c r="K112" s="623"/>
      <c r="L112" s="623"/>
      <c r="M112" s="623"/>
      <c r="N112" s="623"/>
      <c r="O112" s="623"/>
      <c r="P112" s="623"/>
      <c r="Q112" s="623"/>
      <c r="R112" s="623"/>
      <c r="S112" s="623"/>
      <c r="T112" s="623"/>
      <c r="U112" s="623"/>
      <c r="V112" s="623"/>
      <c r="W112" s="623"/>
      <c r="X112" s="623"/>
      <c r="Y112" s="623"/>
      <c r="Z112" s="623"/>
      <c r="AA112" s="623"/>
      <c r="AB112" s="623"/>
      <c r="AC112" s="623"/>
      <c r="AD112" s="623"/>
    </row>
    <row r="113" spans="1:30">
      <c r="A113" s="623"/>
      <c r="B113" s="623"/>
      <c r="C113" s="623"/>
      <c r="D113" s="623"/>
      <c r="E113" s="623"/>
      <c r="F113" s="623"/>
      <c r="G113" s="623"/>
      <c r="H113" s="623"/>
      <c r="I113" s="623"/>
      <c r="J113" s="623"/>
      <c r="K113" s="623"/>
      <c r="L113" s="623"/>
      <c r="M113" s="623"/>
      <c r="N113" s="623"/>
      <c r="O113" s="623"/>
      <c r="P113" s="623"/>
      <c r="Q113" s="623"/>
      <c r="R113" s="623"/>
      <c r="S113" s="623"/>
      <c r="T113" s="623"/>
      <c r="U113" s="623"/>
      <c r="V113" s="623"/>
      <c r="W113" s="623"/>
      <c r="X113" s="623"/>
      <c r="Y113" s="623"/>
      <c r="Z113" s="623"/>
      <c r="AA113" s="623"/>
      <c r="AB113" s="623"/>
      <c r="AC113" s="623"/>
      <c r="AD113" s="623"/>
    </row>
    <row r="114" spans="1:30">
      <c r="A114" s="623"/>
      <c r="B114" s="623"/>
      <c r="C114" s="623"/>
      <c r="D114" s="623"/>
      <c r="E114" s="623"/>
      <c r="F114" s="623"/>
      <c r="G114" s="623"/>
      <c r="H114" s="623"/>
      <c r="I114" s="623"/>
      <c r="J114" s="623"/>
      <c r="K114" s="623"/>
      <c r="L114" s="623"/>
      <c r="M114" s="623"/>
      <c r="N114" s="623"/>
      <c r="O114" s="623"/>
      <c r="P114" s="623"/>
      <c r="Q114" s="623"/>
      <c r="R114" s="623"/>
      <c r="S114" s="623"/>
      <c r="T114" s="623"/>
      <c r="U114" s="623"/>
      <c r="V114" s="623"/>
      <c r="W114" s="623"/>
      <c r="X114" s="623"/>
      <c r="Y114" s="623"/>
      <c r="Z114" s="623"/>
      <c r="AA114" s="623"/>
      <c r="AB114" s="623"/>
      <c r="AC114" s="623"/>
      <c r="AD114" s="623"/>
    </row>
    <row r="115" spans="1:30">
      <c r="A115" s="623"/>
      <c r="B115" s="623"/>
      <c r="C115" s="623"/>
      <c r="D115" s="623"/>
      <c r="E115" s="623"/>
      <c r="F115" s="623"/>
      <c r="G115" s="623"/>
      <c r="H115" s="623"/>
      <c r="I115" s="623"/>
      <c r="J115" s="623"/>
      <c r="K115" s="623"/>
      <c r="L115" s="623"/>
      <c r="M115" s="623"/>
      <c r="N115" s="623"/>
      <c r="O115" s="623"/>
      <c r="P115" s="623"/>
      <c r="Q115" s="623"/>
      <c r="R115" s="623"/>
      <c r="S115" s="623"/>
      <c r="T115" s="623"/>
      <c r="U115" s="623"/>
      <c r="V115" s="623"/>
      <c r="W115" s="623"/>
      <c r="X115" s="623"/>
      <c r="Y115" s="623"/>
      <c r="Z115" s="623"/>
      <c r="AA115" s="623"/>
      <c r="AB115" s="623"/>
      <c r="AC115" s="623"/>
      <c r="AD115" s="623"/>
    </row>
    <row r="116" spans="1:30">
      <c r="A116" s="623"/>
      <c r="B116" s="623"/>
      <c r="C116" s="623"/>
      <c r="D116" s="623"/>
      <c r="E116" s="623"/>
      <c r="F116" s="623"/>
      <c r="G116" s="623"/>
      <c r="H116" s="623"/>
      <c r="I116" s="623"/>
      <c r="J116" s="623"/>
      <c r="K116" s="623"/>
      <c r="L116" s="623"/>
      <c r="M116" s="623"/>
      <c r="N116" s="623"/>
      <c r="O116" s="623"/>
      <c r="P116" s="623"/>
      <c r="Q116" s="623"/>
      <c r="R116" s="623"/>
      <c r="S116" s="623"/>
      <c r="T116" s="623"/>
      <c r="U116" s="623"/>
      <c r="V116" s="623"/>
      <c r="W116" s="623"/>
      <c r="X116" s="623"/>
      <c r="Y116" s="623"/>
      <c r="Z116" s="623"/>
      <c r="AA116" s="623"/>
      <c r="AB116" s="623"/>
      <c r="AC116" s="623"/>
      <c r="AD116" s="623"/>
    </row>
    <row r="117" spans="1:30">
      <c r="A117" s="623"/>
      <c r="B117" s="623"/>
      <c r="C117" s="623"/>
      <c r="D117" s="623"/>
      <c r="E117" s="623"/>
      <c r="F117" s="623"/>
      <c r="G117" s="623"/>
      <c r="H117" s="623"/>
      <c r="I117" s="623"/>
      <c r="J117" s="623"/>
      <c r="K117" s="623"/>
      <c r="L117" s="623"/>
      <c r="M117" s="623"/>
      <c r="N117" s="623"/>
      <c r="O117" s="623"/>
      <c r="P117" s="623"/>
      <c r="Q117" s="623"/>
      <c r="R117" s="623"/>
      <c r="S117" s="623"/>
      <c r="T117" s="623"/>
      <c r="U117" s="623"/>
      <c r="V117" s="623"/>
      <c r="W117" s="623"/>
      <c r="X117" s="623"/>
      <c r="Y117" s="623"/>
      <c r="Z117" s="623"/>
      <c r="AA117" s="623"/>
      <c r="AB117" s="623"/>
      <c r="AC117" s="623"/>
      <c r="AD117" s="623"/>
    </row>
    <row r="118" spans="1:30">
      <c r="A118" s="623"/>
      <c r="B118" s="623"/>
      <c r="C118" s="623"/>
      <c r="D118" s="623"/>
      <c r="E118" s="623"/>
      <c r="F118" s="623"/>
      <c r="G118" s="623"/>
      <c r="H118" s="623"/>
      <c r="I118" s="623"/>
      <c r="J118" s="623"/>
      <c r="K118" s="623"/>
      <c r="L118" s="623"/>
      <c r="M118" s="623"/>
      <c r="N118" s="623"/>
      <c r="O118" s="623"/>
      <c r="P118" s="623"/>
      <c r="Q118" s="623"/>
      <c r="R118" s="623"/>
      <c r="S118" s="623"/>
      <c r="T118" s="623"/>
      <c r="U118" s="623"/>
      <c r="V118" s="623"/>
      <c r="W118" s="623"/>
      <c r="X118" s="623"/>
      <c r="Y118" s="623"/>
      <c r="Z118" s="623"/>
      <c r="AA118" s="623"/>
      <c r="AB118" s="623"/>
      <c r="AC118" s="623"/>
      <c r="AD118" s="623"/>
    </row>
    <row r="119" spans="1:30">
      <c r="A119" s="623"/>
      <c r="B119" s="623"/>
      <c r="C119" s="623"/>
      <c r="D119" s="623"/>
      <c r="E119" s="623"/>
      <c r="F119" s="623"/>
      <c r="G119" s="623"/>
      <c r="H119" s="623"/>
      <c r="I119" s="623"/>
      <c r="J119" s="623"/>
      <c r="K119" s="623"/>
      <c r="L119" s="623"/>
      <c r="M119" s="623"/>
      <c r="N119" s="623"/>
      <c r="O119" s="623"/>
      <c r="P119" s="623"/>
      <c r="Q119" s="623"/>
      <c r="R119" s="623"/>
      <c r="S119" s="623"/>
      <c r="T119" s="623"/>
      <c r="U119" s="623"/>
      <c r="V119" s="623"/>
      <c r="W119" s="623"/>
      <c r="X119" s="623"/>
      <c r="Y119" s="623"/>
      <c r="Z119" s="623"/>
      <c r="AA119" s="623"/>
      <c r="AB119" s="623"/>
      <c r="AC119" s="623"/>
      <c r="AD119" s="623"/>
    </row>
    <row r="120" spans="1:30">
      <c r="A120" s="623"/>
      <c r="B120" s="623"/>
      <c r="C120" s="623"/>
      <c r="D120" s="623"/>
      <c r="E120" s="623"/>
      <c r="F120" s="623"/>
      <c r="G120" s="623"/>
      <c r="H120" s="623"/>
      <c r="I120" s="623"/>
      <c r="J120" s="623"/>
      <c r="K120" s="623"/>
      <c r="L120" s="623"/>
      <c r="M120" s="623"/>
      <c r="N120" s="623"/>
      <c r="O120" s="623"/>
      <c r="P120" s="623"/>
      <c r="Q120" s="623"/>
      <c r="R120" s="623"/>
      <c r="S120" s="623"/>
      <c r="T120" s="623"/>
      <c r="U120" s="623"/>
      <c r="V120" s="623"/>
      <c r="W120" s="623"/>
      <c r="X120" s="623"/>
      <c r="Y120" s="623"/>
      <c r="Z120" s="623"/>
      <c r="AA120" s="623"/>
      <c r="AB120" s="623"/>
      <c r="AC120" s="623"/>
      <c r="AD120" s="623"/>
    </row>
    <row r="121" spans="1:30">
      <c r="A121" s="623"/>
      <c r="B121" s="623"/>
      <c r="C121" s="623"/>
      <c r="D121" s="623"/>
      <c r="E121" s="623"/>
      <c r="F121" s="623"/>
      <c r="G121" s="623"/>
      <c r="H121" s="623"/>
      <c r="I121" s="623"/>
      <c r="J121" s="623"/>
      <c r="K121" s="623"/>
      <c r="L121" s="623"/>
      <c r="M121" s="623"/>
      <c r="N121" s="623"/>
      <c r="O121" s="623"/>
      <c r="P121" s="623"/>
      <c r="Q121" s="623"/>
      <c r="R121" s="623"/>
      <c r="S121" s="623"/>
      <c r="T121" s="623"/>
      <c r="U121" s="623"/>
      <c r="V121" s="623"/>
      <c r="W121" s="623"/>
      <c r="X121" s="623"/>
      <c r="Y121" s="623"/>
      <c r="Z121" s="623"/>
      <c r="AA121" s="623"/>
      <c r="AB121" s="623"/>
      <c r="AC121" s="623"/>
      <c r="AD121" s="623"/>
    </row>
    <row r="122" spans="1:30">
      <c r="A122" s="623"/>
      <c r="B122" s="623"/>
      <c r="C122" s="623"/>
      <c r="D122" s="623"/>
      <c r="E122" s="623"/>
      <c r="F122" s="623"/>
      <c r="G122" s="623"/>
      <c r="H122" s="623"/>
      <c r="I122" s="623"/>
      <c r="J122" s="623"/>
      <c r="K122" s="623"/>
      <c r="L122" s="623"/>
      <c r="M122" s="623"/>
      <c r="N122" s="623"/>
      <c r="O122" s="623"/>
      <c r="P122" s="623"/>
      <c r="Q122" s="623"/>
      <c r="R122" s="623"/>
      <c r="S122" s="623"/>
      <c r="T122" s="623"/>
      <c r="U122" s="623"/>
      <c r="V122" s="623"/>
      <c r="W122" s="623"/>
      <c r="X122" s="623"/>
      <c r="Y122" s="623"/>
      <c r="Z122" s="623"/>
      <c r="AA122" s="623"/>
      <c r="AB122" s="623"/>
      <c r="AC122" s="623"/>
      <c r="AD122" s="623"/>
    </row>
    <row r="123" spans="1:30">
      <c r="A123" s="623"/>
      <c r="B123" s="623"/>
      <c r="C123" s="623"/>
      <c r="D123" s="623"/>
      <c r="E123" s="623"/>
      <c r="F123" s="623"/>
      <c r="G123" s="623"/>
      <c r="H123" s="623"/>
      <c r="I123" s="623"/>
      <c r="J123" s="623"/>
      <c r="K123" s="623"/>
      <c r="L123" s="623"/>
      <c r="M123" s="623"/>
      <c r="N123" s="623"/>
      <c r="O123" s="623"/>
      <c r="P123" s="623"/>
      <c r="Q123" s="623"/>
      <c r="R123" s="623"/>
      <c r="S123" s="623"/>
      <c r="T123" s="623"/>
      <c r="U123" s="623"/>
      <c r="V123" s="623"/>
      <c r="W123" s="623"/>
      <c r="X123" s="623"/>
      <c r="Y123" s="623"/>
      <c r="Z123" s="623"/>
      <c r="AA123" s="623"/>
      <c r="AB123" s="623"/>
      <c r="AC123" s="623"/>
      <c r="AD123" s="623"/>
    </row>
    <row r="124" spans="1:30">
      <c r="A124" s="623"/>
      <c r="B124" s="623"/>
      <c r="C124" s="623"/>
      <c r="D124" s="623"/>
      <c r="E124" s="623"/>
      <c r="F124" s="623"/>
      <c r="G124" s="623"/>
      <c r="H124" s="623"/>
      <c r="I124" s="623"/>
      <c r="J124" s="623"/>
      <c r="K124" s="623"/>
      <c r="L124" s="623"/>
      <c r="M124" s="623"/>
      <c r="N124" s="623"/>
      <c r="O124" s="623"/>
      <c r="P124" s="623"/>
      <c r="Q124" s="623"/>
      <c r="R124" s="623"/>
      <c r="S124" s="623"/>
      <c r="T124" s="623"/>
      <c r="U124" s="623"/>
      <c r="V124" s="623"/>
      <c r="W124" s="623"/>
      <c r="X124" s="623"/>
      <c r="Y124" s="623"/>
      <c r="Z124" s="623"/>
      <c r="AA124" s="623"/>
      <c r="AB124" s="623"/>
      <c r="AC124" s="623"/>
      <c r="AD124" s="623"/>
    </row>
    <row r="125" spans="1:30">
      <c r="A125" s="623"/>
      <c r="B125" s="623"/>
      <c r="C125" s="623"/>
      <c r="D125" s="623"/>
      <c r="E125" s="623"/>
      <c r="F125" s="623"/>
      <c r="G125" s="623"/>
      <c r="H125" s="623"/>
      <c r="I125" s="623"/>
      <c r="J125" s="623"/>
      <c r="K125" s="623"/>
      <c r="L125" s="623"/>
      <c r="M125" s="623"/>
      <c r="N125" s="623"/>
      <c r="O125" s="623"/>
      <c r="P125" s="623"/>
      <c r="Q125" s="623"/>
      <c r="R125" s="623"/>
      <c r="S125" s="623"/>
      <c r="T125" s="623"/>
      <c r="U125" s="623"/>
      <c r="V125" s="623"/>
      <c r="W125" s="623"/>
      <c r="X125" s="623"/>
      <c r="Y125" s="623"/>
      <c r="Z125" s="623"/>
      <c r="AA125" s="623"/>
      <c r="AB125" s="623"/>
      <c r="AC125" s="623"/>
      <c r="AD125" s="623"/>
    </row>
    <row r="126" spans="1:30">
      <c r="A126" s="623"/>
      <c r="B126" s="623"/>
      <c r="C126" s="623"/>
      <c r="D126" s="623"/>
      <c r="E126" s="623"/>
      <c r="F126" s="623"/>
      <c r="G126" s="623"/>
      <c r="H126" s="623"/>
      <c r="I126" s="623"/>
      <c r="J126" s="623"/>
      <c r="K126" s="623"/>
      <c r="L126" s="623"/>
      <c r="M126" s="623"/>
      <c r="N126" s="623"/>
      <c r="O126" s="623"/>
      <c r="P126" s="623"/>
      <c r="Q126" s="623"/>
      <c r="R126" s="623"/>
      <c r="S126" s="623"/>
      <c r="T126" s="623"/>
      <c r="U126" s="623"/>
      <c r="V126" s="623"/>
      <c r="W126" s="623"/>
      <c r="X126" s="623"/>
      <c r="Y126" s="623"/>
      <c r="Z126" s="623"/>
      <c r="AA126" s="623"/>
      <c r="AB126" s="623"/>
      <c r="AC126" s="623"/>
      <c r="AD126" s="623"/>
    </row>
    <row r="127" spans="1:30">
      <c r="A127" s="623"/>
      <c r="B127" s="623"/>
      <c r="C127" s="623"/>
      <c r="D127" s="623"/>
      <c r="E127" s="623"/>
      <c r="F127" s="623"/>
      <c r="G127" s="623"/>
      <c r="H127" s="623"/>
      <c r="I127" s="623"/>
      <c r="J127" s="623"/>
      <c r="K127" s="623"/>
      <c r="L127" s="623"/>
      <c r="M127" s="623"/>
      <c r="N127" s="623"/>
      <c r="O127" s="623"/>
      <c r="P127" s="623"/>
      <c r="Q127" s="623"/>
      <c r="R127" s="623"/>
      <c r="S127" s="623"/>
      <c r="T127" s="623"/>
      <c r="U127" s="623"/>
      <c r="V127" s="623"/>
      <c r="W127" s="623"/>
      <c r="X127" s="623"/>
      <c r="Y127" s="623"/>
      <c r="Z127" s="623"/>
      <c r="AA127" s="623"/>
      <c r="AB127" s="623"/>
      <c r="AC127" s="623"/>
      <c r="AD127" s="623"/>
    </row>
    <row r="128" spans="1:30">
      <c r="A128" s="623"/>
      <c r="B128" s="623"/>
      <c r="C128" s="623"/>
      <c r="D128" s="623"/>
      <c r="E128" s="623"/>
      <c r="F128" s="623"/>
      <c r="G128" s="623"/>
      <c r="H128" s="623"/>
      <c r="I128" s="623"/>
      <c r="J128" s="623"/>
      <c r="K128" s="623"/>
      <c r="L128" s="623"/>
      <c r="M128" s="623"/>
      <c r="N128" s="623"/>
      <c r="O128" s="623"/>
      <c r="P128" s="623"/>
      <c r="Q128" s="623"/>
      <c r="R128" s="623"/>
      <c r="S128" s="623"/>
      <c r="T128" s="623"/>
      <c r="U128" s="623"/>
      <c r="V128" s="623"/>
      <c r="W128" s="623"/>
      <c r="X128" s="623"/>
      <c r="Y128" s="623"/>
      <c r="Z128" s="623"/>
      <c r="AA128" s="623"/>
      <c r="AB128" s="623"/>
      <c r="AC128" s="623"/>
      <c r="AD128" s="623"/>
    </row>
    <row r="129" spans="1:30">
      <c r="A129" s="623"/>
      <c r="B129" s="623"/>
      <c r="C129" s="623"/>
      <c r="D129" s="623"/>
      <c r="E129" s="623"/>
      <c r="F129" s="623"/>
      <c r="G129" s="623"/>
      <c r="H129" s="623"/>
      <c r="I129" s="623"/>
      <c r="J129" s="623"/>
      <c r="K129" s="623"/>
      <c r="L129" s="623"/>
      <c r="M129" s="623"/>
      <c r="N129" s="623"/>
      <c r="O129" s="623"/>
      <c r="P129" s="623"/>
      <c r="Q129" s="623"/>
      <c r="R129" s="623"/>
      <c r="S129" s="623"/>
      <c r="T129" s="623"/>
      <c r="U129" s="623"/>
      <c r="V129" s="623"/>
      <c r="W129" s="623"/>
      <c r="X129" s="623"/>
      <c r="Y129" s="623"/>
      <c r="Z129" s="623"/>
      <c r="AA129" s="623"/>
      <c r="AB129" s="623"/>
      <c r="AC129" s="623"/>
      <c r="AD129" s="623"/>
    </row>
    <row r="130" spans="1:30">
      <c r="A130" s="623"/>
      <c r="B130" s="623"/>
      <c r="C130" s="623"/>
      <c r="D130" s="623"/>
      <c r="E130" s="623"/>
      <c r="F130" s="623"/>
      <c r="G130" s="623"/>
      <c r="H130" s="623"/>
      <c r="I130" s="623"/>
      <c r="J130" s="623"/>
      <c r="K130" s="623"/>
      <c r="L130" s="623"/>
      <c r="M130" s="623"/>
      <c r="N130" s="623"/>
      <c r="O130" s="623"/>
      <c r="P130" s="623"/>
      <c r="Q130" s="623"/>
      <c r="R130" s="623"/>
      <c r="S130" s="623"/>
      <c r="T130" s="623"/>
      <c r="U130" s="623"/>
      <c r="V130" s="623"/>
      <c r="W130" s="623"/>
      <c r="X130" s="623"/>
      <c r="Y130" s="623"/>
      <c r="Z130" s="623"/>
      <c r="AA130" s="623"/>
      <c r="AB130" s="623"/>
      <c r="AC130" s="623"/>
      <c r="AD130" s="623"/>
    </row>
    <row r="131" spans="1:30">
      <c r="A131" s="623"/>
      <c r="B131" s="623"/>
      <c r="C131" s="623"/>
      <c r="D131" s="623"/>
      <c r="E131" s="623"/>
      <c r="F131" s="623"/>
      <c r="G131" s="623"/>
      <c r="H131" s="623"/>
      <c r="I131" s="623"/>
      <c r="J131" s="623"/>
      <c r="K131" s="623"/>
      <c r="L131" s="623"/>
      <c r="M131" s="623"/>
      <c r="N131" s="623"/>
      <c r="O131" s="623"/>
      <c r="P131" s="623"/>
      <c r="Q131" s="623"/>
      <c r="R131" s="623"/>
      <c r="S131" s="623"/>
      <c r="T131" s="623"/>
      <c r="U131" s="623"/>
      <c r="V131" s="623"/>
      <c r="W131" s="623"/>
      <c r="X131" s="623"/>
      <c r="Y131" s="623"/>
      <c r="Z131" s="623"/>
      <c r="AA131" s="623"/>
      <c r="AB131" s="623"/>
      <c r="AC131" s="623"/>
      <c r="AD131" s="623"/>
    </row>
    <row r="132" spans="1:30">
      <c r="A132" s="623"/>
      <c r="B132" s="623"/>
      <c r="C132" s="623"/>
      <c r="D132" s="623"/>
      <c r="E132" s="623"/>
      <c r="F132" s="623"/>
      <c r="G132" s="623"/>
      <c r="H132" s="623"/>
      <c r="I132" s="623"/>
      <c r="J132" s="623"/>
      <c r="K132" s="623"/>
      <c r="L132" s="623"/>
      <c r="M132" s="623"/>
      <c r="N132" s="623"/>
      <c r="O132" s="623"/>
      <c r="P132" s="623"/>
      <c r="Q132" s="623"/>
      <c r="R132" s="623"/>
      <c r="S132" s="623"/>
      <c r="T132" s="623"/>
      <c r="U132" s="623"/>
      <c r="V132" s="623"/>
      <c r="W132" s="623"/>
      <c r="X132" s="623"/>
      <c r="Y132" s="623"/>
      <c r="Z132" s="623"/>
      <c r="AA132" s="623"/>
      <c r="AB132" s="623"/>
      <c r="AC132" s="623"/>
      <c r="AD132" s="623"/>
    </row>
    <row r="133" spans="1:30">
      <c r="A133" s="623"/>
      <c r="B133" s="623"/>
      <c r="C133" s="623"/>
      <c r="D133" s="623"/>
      <c r="E133" s="623"/>
      <c r="F133" s="623"/>
      <c r="G133" s="623"/>
      <c r="H133" s="623"/>
      <c r="I133" s="623"/>
      <c r="J133" s="623"/>
      <c r="K133" s="623"/>
      <c r="L133" s="623"/>
      <c r="M133" s="623"/>
      <c r="N133" s="623"/>
      <c r="O133" s="623"/>
      <c r="P133" s="623"/>
      <c r="Q133" s="623"/>
      <c r="R133" s="623"/>
      <c r="S133" s="623"/>
      <c r="T133" s="623"/>
      <c r="U133" s="623"/>
      <c r="V133" s="623"/>
      <c r="W133" s="623"/>
      <c r="X133" s="623"/>
      <c r="Y133" s="623"/>
      <c r="Z133" s="623"/>
      <c r="AA133" s="623"/>
      <c r="AB133" s="623"/>
      <c r="AC133" s="623"/>
      <c r="AD133" s="623"/>
    </row>
    <row r="134" spans="1:30">
      <c r="A134" s="623"/>
      <c r="B134" s="623"/>
      <c r="C134" s="623"/>
      <c r="D134" s="623"/>
      <c r="E134" s="623"/>
      <c r="F134" s="623"/>
      <c r="G134" s="623"/>
      <c r="H134" s="623"/>
      <c r="I134" s="623"/>
      <c r="J134" s="623"/>
      <c r="K134" s="623"/>
      <c r="L134" s="623"/>
      <c r="M134" s="623"/>
      <c r="N134" s="623"/>
      <c r="O134" s="623"/>
      <c r="P134" s="623"/>
      <c r="Q134" s="623"/>
      <c r="R134" s="623"/>
      <c r="S134" s="623"/>
      <c r="T134" s="623"/>
      <c r="U134" s="623"/>
      <c r="V134" s="623"/>
      <c r="W134" s="623"/>
      <c r="X134" s="623"/>
      <c r="Y134" s="623"/>
      <c r="Z134" s="623"/>
      <c r="AA134" s="623"/>
      <c r="AB134" s="623"/>
      <c r="AC134" s="623"/>
      <c r="AD134" s="623"/>
    </row>
    <row r="135" spans="1:30">
      <c r="A135" s="623"/>
      <c r="B135" s="623"/>
      <c r="C135" s="623"/>
      <c r="D135" s="623"/>
      <c r="E135" s="623"/>
      <c r="F135" s="623"/>
      <c r="G135" s="623"/>
      <c r="H135" s="623"/>
      <c r="I135" s="623"/>
      <c r="J135" s="623"/>
      <c r="K135" s="623"/>
      <c r="L135" s="623"/>
      <c r="M135" s="623"/>
      <c r="N135" s="623"/>
      <c r="O135" s="623"/>
      <c r="P135" s="623"/>
      <c r="Q135" s="623"/>
      <c r="R135" s="623"/>
      <c r="S135" s="623"/>
      <c r="T135" s="623"/>
      <c r="U135" s="623"/>
      <c r="V135" s="623"/>
      <c r="W135" s="623"/>
      <c r="X135" s="623"/>
      <c r="Y135" s="623"/>
      <c r="Z135" s="623"/>
      <c r="AA135" s="623"/>
      <c r="AB135" s="623"/>
      <c r="AC135" s="623"/>
      <c r="AD135" s="623"/>
    </row>
    <row r="136" spans="1:30">
      <c r="A136" s="623"/>
      <c r="B136" s="623"/>
      <c r="C136" s="623"/>
      <c r="D136" s="623"/>
      <c r="E136" s="623"/>
      <c r="F136" s="623"/>
      <c r="G136" s="623"/>
      <c r="H136" s="623"/>
      <c r="I136" s="623"/>
      <c r="J136" s="623"/>
      <c r="K136" s="623"/>
      <c r="L136" s="623"/>
      <c r="M136" s="623"/>
      <c r="N136" s="623"/>
      <c r="O136" s="623"/>
      <c r="P136" s="623"/>
      <c r="Q136" s="623"/>
      <c r="R136" s="623"/>
      <c r="S136" s="623"/>
      <c r="T136" s="623"/>
      <c r="U136" s="623"/>
      <c r="V136" s="623"/>
      <c r="W136" s="623"/>
      <c r="X136" s="623"/>
      <c r="Y136" s="623"/>
      <c r="Z136" s="623"/>
      <c r="AA136" s="623"/>
      <c r="AB136" s="623"/>
      <c r="AC136" s="623"/>
      <c r="AD136" s="623"/>
    </row>
    <row r="137" spans="1:30">
      <c r="A137" s="623"/>
      <c r="B137" s="623"/>
      <c r="C137" s="623"/>
      <c r="D137" s="623"/>
      <c r="E137" s="623"/>
      <c r="F137" s="623"/>
      <c r="G137" s="623"/>
      <c r="H137" s="623"/>
      <c r="I137" s="623"/>
      <c r="J137" s="623"/>
      <c r="K137" s="623"/>
      <c r="L137" s="623"/>
      <c r="M137" s="623"/>
      <c r="N137" s="623"/>
      <c r="O137" s="623"/>
      <c r="P137" s="623"/>
      <c r="Q137" s="623"/>
      <c r="R137" s="623"/>
      <c r="S137" s="623"/>
      <c r="T137" s="623"/>
      <c r="U137" s="623"/>
      <c r="V137" s="623"/>
      <c r="W137" s="623"/>
      <c r="X137" s="623"/>
      <c r="Y137" s="623"/>
      <c r="Z137" s="623"/>
      <c r="AA137" s="623"/>
      <c r="AB137" s="623"/>
      <c r="AC137" s="623"/>
      <c r="AD137" s="623"/>
    </row>
    <row r="138" spans="1:30">
      <c r="A138" s="623"/>
      <c r="B138" s="623"/>
      <c r="C138" s="623"/>
      <c r="D138" s="623"/>
      <c r="E138" s="623"/>
      <c r="F138" s="623"/>
      <c r="G138" s="623"/>
      <c r="H138" s="623"/>
      <c r="I138" s="623"/>
      <c r="J138" s="623"/>
      <c r="K138" s="623"/>
      <c r="L138" s="623"/>
      <c r="M138" s="623"/>
      <c r="N138" s="623"/>
      <c r="O138" s="623"/>
      <c r="P138" s="623"/>
      <c r="Q138" s="623"/>
      <c r="R138" s="623"/>
      <c r="S138" s="623"/>
      <c r="T138" s="623"/>
      <c r="U138" s="623"/>
      <c r="V138" s="623"/>
      <c r="W138" s="623"/>
      <c r="X138" s="623"/>
      <c r="Y138" s="623"/>
      <c r="Z138" s="623"/>
      <c r="AA138" s="623"/>
      <c r="AB138" s="623"/>
      <c r="AC138" s="623"/>
      <c r="AD138" s="623"/>
    </row>
    <row r="139" spans="1:30">
      <c r="A139" s="623"/>
      <c r="B139" s="623"/>
      <c r="C139" s="623"/>
      <c r="D139" s="623"/>
      <c r="E139" s="623"/>
      <c r="F139" s="623"/>
      <c r="G139" s="623"/>
      <c r="H139" s="623"/>
      <c r="I139" s="623"/>
      <c r="J139" s="623"/>
      <c r="K139" s="623"/>
      <c r="L139" s="623"/>
      <c r="M139" s="623"/>
      <c r="N139" s="623"/>
      <c r="O139" s="623"/>
      <c r="P139" s="623"/>
      <c r="Q139" s="623"/>
      <c r="R139" s="623"/>
      <c r="S139" s="623"/>
      <c r="T139" s="623"/>
      <c r="U139" s="623"/>
      <c r="V139" s="623"/>
      <c r="W139" s="623"/>
      <c r="X139" s="623"/>
      <c r="Y139" s="623"/>
      <c r="Z139" s="623"/>
      <c r="AA139" s="623"/>
      <c r="AB139" s="623"/>
      <c r="AC139" s="623"/>
      <c r="AD139" s="623"/>
    </row>
    <row r="140" spans="1:30">
      <c r="A140" s="623"/>
      <c r="B140" s="623"/>
      <c r="C140" s="623"/>
      <c r="D140" s="623"/>
      <c r="E140" s="623"/>
      <c r="F140" s="623"/>
      <c r="G140" s="623"/>
      <c r="H140" s="623"/>
      <c r="I140" s="623"/>
      <c r="J140" s="623"/>
      <c r="K140" s="623"/>
      <c r="L140" s="623"/>
      <c r="M140" s="623"/>
      <c r="N140" s="623"/>
      <c r="O140" s="623"/>
      <c r="P140" s="623"/>
      <c r="Q140" s="623"/>
      <c r="R140" s="623"/>
      <c r="S140" s="623"/>
      <c r="T140" s="623"/>
      <c r="U140" s="623"/>
      <c r="V140" s="623"/>
      <c r="W140" s="623"/>
      <c r="X140" s="623"/>
      <c r="Y140" s="623"/>
      <c r="Z140" s="623"/>
      <c r="AA140" s="623"/>
      <c r="AB140" s="623"/>
      <c r="AC140" s="623"/>
      <c r="AD140" s="623"/>
    </row>
    <row r="141" spans="1:30">
      <c r="A141" s="623"/>
      <c r="B141" s="623"/>
      <c r="C141" s="623"/>
      <c r="D141" s="623"/>
      <c r="E141" s="623"/>
      <c r="F141" s="623"/>
      <c r="G141" s="623"/>
      <c r="H141" s="623"/>
      <c r="I141" s="623"/>
      <c r="J141" s="623"/>
      <c r="K141" s="623"/>
      <c r="L141" s="623"/>
      <c r="M141" s="623"/>
      <c r="N141" s="623"/>
      <c r="O141" s="623"/>
      <c r="P141" s="623"/>
      <c r="Q141" s="623"/>
      <c r="R141" s="623"/>
      <c r="S141" s="623"/>
      <c r="T141" s="623"/>
      <c r="U141" s="623"/>
      <c r="V141" s="623"/>
      <c r="W141" s="623"/>
      <c r="X141" s="623"/>
      <c r="Y141" s="623"/>
      <c r="Z141" s="623"/>
      <c r="AA141" s="623"/>
      <c r="AB141" s="623"/>
      <c r="AC141" s="623"/>
      <c r="AD141" s="623"/>
    </row>
    <row r="142" spans="1:30">
      <c r="A142" s="623"/>
      <c r="B142" s="623"/>
      <c r="C142" s="623"/>
      <c r="D142" s="623"/>
      <c r="E142" s="623"/>
      <c r="F142" s="623"/>
      <c r="G142" s="623"/>
      <c r="H142" s="623"/>
      <c r="I142" s="623"/>
      <c r="J142" s="623"/>
      <c r="K142" s="623"/>
      <c r="L142" s="623"/>
      <c r="M142" s="623"/>
      <c r="N142" s="623"/>
      <c r="O142" s="623"/>
      <c r="P142" s="623"/>
      <c r="Q142" s="623"/>
      <c r="R142" s="623"/>
      <c r="S142" s="623"/>
      <c r="T142" s="623"/>
      <c r="U142" s="623"/>
      <c r="V142" s="623"/>
      <c r="W142" s="623"/>
      <c r="X142" s="623"/>
      <c r="Y142" s="623"/>
      <c r="Z142" s="623"/>
      <c r="AA142" s="623"/>
      <c r="AB142" s="623"/>
      <c r="AC142" s="623"/>
      <c r="AD142" s="623"/>
    </row>
    <row r="143" spans="1:30">
      <c r="A143" s="623"/>
      <c r="B143" s="623"/>
      <c r="C143" s="623"/>
      <c r="D143" s="623"/>
      <c r="E143" s="623"/>
      <c r="F143" s="623"/>
      <c r="G143" s="623"/>
      <c r="H143" s="623"/>
      <c r="I143" s="623"/>
      <c r="J143" s="623"/>
      <c r="K143" s="623"/>
      <c r="L143" s="623"/>
      <c r="M143" s="623"/>
      <c r="N143" s="623"/>
      <c r="O143" s="623"/>
      <c r="P143" s="623"/>
      <c r="Q143" s="623"/>
      <c r="R143" s="623"/>
      <c r="S143" s="623"/>
      <c r="T143" s="623"/>
      <c r="U143" s="623"/>
      <c r="V143" s="623"/>
      <c r="W143" s="623"/>
      <c r="X143" s="623"/>
      <c r="Y143" s="623"/>
      <c r="Z143" s="623"/>
      <c r="AA143" s="623"/>
      <c r="AB143" s="623"/>
      <c r="AC143" s="623"/>
      <c r="AD143" s="623"/>
    </row>
    <row r="144" spans="1:30">
      <c r="A144" s="623"/>
      <c r="B144" s="623"/>
      <c r="C144" s="623"/>
      <c r="D144" s="623"/>
      <c r="E144" s="623"/>
      <c r="F144" s="623"/>
      <c r="G144" s="623"/>
      <c r="H144" s="623"/>
      <c r="I144" s="623"/>
      <c r="J144" s="623"/>
      <c r="K144" s="623"/>
      <c r="L144" s="623"/>
      <c r="M144" s="623"/>
      <c r="N144" s="623"/>
      <c r="O144" s="623"/>
      <c r="P144" s="623"/>
      <c r="Q144" s="623"/>
      <c r="R144" s="623"/>
      <c r="S144" s="623"/>
      <c r="T144" s="623"/>
      <c r="U144" s="623"/>
      <c r="V144" s="623"/>
      <c r="W144" s="623"/>
      <c r="X144" s="623"/>
      <c r="Y144" s="623"/>
      <c r="Z144" s="623"/>
      <c r="AA144" s="623"/>
      <c r="AB144" s="623"/>
      <c r="AC144" s="623"/>
      <c r="AD144" s="623"/>
    </row>
    <row r="145" spans="1:30">
      <c r="A145" s="623"/>
      <c r="B145" s="623"/>
      <c r="C145" s="623"/>
      <c r="D145" s="623"/>
      <c r="E145" s="623"/>
      <c r="F145" s="623"/>
      <c r="G145" s="623"/>
      <c r="H145" s="623"/>
      <c r="I145" s="623"/>
      <c r="J145" s="623"/>
      <c r="K145" s="623"/>
      <c r="L145" s="623"/>
      <c r="M145" s="623"/>
      <c r="N145" s="623"/>
      <c r="O145" s="623"/>
      <c r="P145" s="623"/>
      <c r="Q145" s="623"/>
      <c r="R145" s="623"/>
      <c r="S145" s="623"/>
      <c r="T145" s="623"/>
      <c r="U145" s="623"/>
      <c r="V145" s="623"/>
      <c r="W145" s="623"/>
      <c r="X145" s="623"/>
      <c r="Y145" s="623"/>
      <c r="Z145" s="623"/>
      <c r="AA145" s="623"/>
      <c r="AB145" s="623"/>
      <c r="AC145" s="623"/>
      <c r="AD145" s="623"/>
    </row>
    <row r="146" spans="1:30">
      <c r="A146" s="623"/>
      <c r="B146" s="623"/>
      <c r="C146" s="623"/>
      <c r="D146" s="623"/>
      <c r="E146" s="623"/>
      <c r="F146" s="623"/>
      <c r="G146" s="623"/>
      <c r="H146" s="623"/>
      <c r="I146" s="623"/>
      <c r="J146" s="623"/>
      <c r="K146" s="623"/>
      <c r="L146" s="623"/>
      <c r="M146" s="623"/>
      <c r="N146" s="623"/>
      <c r="O146" s="623"/>
      <c r="P146" s="623"/>
      <c r="Q146" s="623"/>
      <c r="R146" s="623"/>
      <c r="S146" s="623"/>
      <c r="T146" s="623"/>
      <c r="U146" s="623"/>
      <c r="V146" s="623"/>
      <c r="W146" s="623"/>
      <c r="X146" s="623"/>
      <c r="Y146" s="623"/>
      <c r="Z146" s="623"/>
      <c r="AA146" s="623"/>
      <c r="AB146" s="623"/>
      <c r="AC146" s="623"/>
      <c r="AD146" s="623"/>
    </row>
    <row r="147" spans="1:30">
      <c r="A147" s="623"/>
      <c r="B147" s="623"/>
      <c r="C147" s="623"/>
      <c r="D147" s="623"/>
      <c r="E147" s="623"/>
      <c r="F147" s="623"/>
      <c r="G147" s="623"/>
      <c r="H147" s="623"/>
      <c r="I147" s="623"/>
      <c r="J147" s="623"/>
      <c r="K147" s="623"/>
      <c r="L147" s="623"/>
      <c r="M147" s="623"/>
      <c r="N147" s="623"/>
      <c r="O147" s="623"/>
      <c r="P147" s="623"/>
      <c r="Q147" s="623"/>
      <c r="R147" s="623"/>
      <c r="S147" s="623"/>
      <c r="T147" s="623"/>
      <c r="U147" s="623"/>
      <c r="V147" s="623"/>
      <c r="W147" s="623"/>
      <c r="X147" s="623"/>
      <c r="Y147" s="623"/>
      <c r="Z147" s="623"/>
      <c r="AA147" s="623"/>
      <c r="AB147" s="623"/>
      <c r="AC147" s="623"/>
      <c r="AD147" s="623"/>
    </row>
    <row r="148" spans="1:30">
      <c r="A148" s="623"/>
      <c r="B148" s="623"/>
      <c r="C148" s="623"/>
      <c r="D148" s="623"/>
      <c r="E148" s="623"/>
      <c r="F148" s="623"/>
      <c r="G148" s="623"/>
      <c r="H148" s="623"/>
      <c r="I148" s="623"/>
      <c r="J148" s="623"/>
      <c r="K148" s="623"/>
      <c r="L148" s="623"/>
      <c r="M148" s="623"/>
      <c r="N148" s="623"/>
      <c r="O148" s="623"/>
      <c r="P148" s="623"/>
      <c r="Q148" s="623"/>
      <c r="R148" s="623"/>
      <c r="S148" s="623"/>
      <c r="T148" s="623"/>
      <c r="U148" s="623"/>
      <c r="V148" s="623"/>
      <c r="W148" s="623"/>
      <c r="X148" s="623"/>
      <c r="Y148" s="623"/>
      <c r="Z148" s="623"/>
      <c r="AA148" s="623"/>
      <c r="AB148" s="623"/>
      <c r="AC148" s="623"/>
      <c r="AD148" s="623"/>
    </row>
    <row r="149" spans="1:30">
      <c r="A149" s="623"/>
      <c r="B149" s="623"/>
      <c r="C149" s="623"/>
      <c r="D149" s="623"/>
      <c r="E149" s="623"/>
      <c r="F149" s="623"/>
      <c r="G149" s="623"/>
      <c r="H149" s="623"/>
      <c r="I149" s="623"/>
      <c r="J149" s="623"/>
      <c r="K149" s="623"/>
      <c r="L149" s="623"/>
      <c r="M149" s="623"/>
      <c r="N149" s="623"/>
      <c r="O149" s="623"/>
      <c r="P149" s="623"/>
      <c r="Q149" s="623"/>
      <c r="R149" s="623"/>
      <c r="S149" s="623"/>
      <c r="T149" s="623"/>
      <c r="U149" s="623"/>
      <c r="V149" s="623"/>
      <c r="W149" s="623"/>
      <c r="X149" s="623"/>
      <c r="Y149" s="623"/>
      <c r="Z149" s="623"/>
      <c r="AA149" s="623"/>
      <c r="AB149" s="623"/>
      <c r="AC149" s="623"/>
      <c r="AD149" s="623"/>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651C9-28F0-4645-B320-0550FF3A056B}">
  <dimension ref="A3:AA35"/>
  <sheetViews>
    <sheetView workbookViewId="0">
      <selection activeCell="D16" sqref="D16"/>
    </sheetView>
  </sheetViews>
  <sheetFormatPr baseColWidth="10" defaultRowHeight="16"/>
  <cols>
    <col min="1" max="1" width="13.33203125" customWidth="1"/>
  </cols>
  <sheetData>
    <row r="3" spans="1:27">
      <c r="A3" s="7"/>
      <c r="B3" s="8"/>
      <c r="C3" s="8"/>
      <c r="D3" s="8"/>
      <c r="E3" s="8"/>
      <c r="F3" s="8"/>
      <c r="G3" s="8"/>
      <c r="H3" s="8"/>
      <c r="I3" s="8"/>
      <c r="J3" s="8"/>
      <c r="K3" s="8"/>
      <c r="L3" s="8"/>
      <c r="M3" s="8"/>
      <c r="N3" s="8"/>
      <c r="O3" s="8"/>
      <c r="P3" s="8"/>
      <c r="Q3" s="8"/>
      <c r="R3" s="8"/>
      <c r="S3" s="8"/>
      <c r="T3" s="8"/>
      <c r="U3" s="8"/>
      <c r="V3" s="8"/>
      <c r="W3" s="8"/>
      <c r="X3" s="8"/>
      <c r="Y3" s="8"/>
      <c r="Z3" s="8"/>
      <c r="AA3" s="8"/>
    </row>
    <row r="4" spans="1:27">
      <c r="A4" s="7" t="s">
        <v>6905</v>
      </c>
      <c r="B4" s="51">
        <f>$G$18</f>
        <v>0.37935770619708442</v>
      </c>
      <c r="C4" s="51">
        <f t="shared" ref="C4:AA4" si="0">$G$18</f>
        <v>0.37935770619708442</v>
      </c>
      <c r="D4" s="51">
        <f t="shared" si="0"/>
        <v>0.37935770619708442</v>
      </c>
      <c r="E4" s="51">
        <f t="shared" si="0"/>
        <v>0.37935770619708442</v>
      </c>
      <c r="F4" s="51">
        <f t="shared" si="0"/>
        <v>0.37935770619708442</v>
      </c>
      <c r="G4" s="51">
        <f t="shared" si="0"/>
        <v>0.37935770619708442</v>
      </c>
      <c r="H4" s="51">
        <f t="shared" si="0"/>
        <v>0.37935770619708442</v>
      </c>
      <c r="I4" s="51">
        <f t="shared" si="0"/>
        <v>0.37935770619708442</v>
      </c>
      <c r="J4" s="51">
        <f t="shared" si="0"/>
        <v>0.37935770619708442</v>
      </c>
      <c r="K4" s="51">
        <f t="shared" si="0"/>
        <v>0.37935770619708442</v>
      </c>
      <c r="L4" s="51">
        <f t="shared" si="0"/>
        <v>0.37935770619708442</v>
      </c>
      <c r="M4" s="51">
        <f t="shared" si="0"/>
        <v>0.37935770619708442</v>
      </c>
      <c r="N4" s="51">
        <f t="shared" si="0"/>
        <v>0.37935770619708442</v>
      </c>
      <c r="O4" s="51">
        <f t="shared" si="0"/>
        <v>0.37935770619708442</v>
      </c>
      <c r="P4" s="51">
        <f t="shared" si="0"/>
        <v>0.37935770619708442</v>
      </c>
      <c r="Q4" s="51">
        <f t="shared" si="0"/>
        <v>0.37935770619708442</v>
      </c>
      <c r="R4" s="51">
        <f t="shared" si="0"/>
        <v>0.37935770619708442</v>
      </c>
      <c r="S4" s="51">
        <f t="shared" si="0"/>
        <v>0.37935770619708442</v>
      </c>
      <c r="T4" s="51">
        <f t="shared" si="0"/>
        <v>0.37935770619708442</v>
      </c>
      <c r="U4" s="51">
        <f t="shared" si="0"/>
        <v>0.37935770619708442</v>
      </c>
      <c r="V4" s="51">
        <f t="shared" si="0"/>
        <v>0.37935770619708442</v>
      </c>
      <c r="W4" s="51">
        <f t="shared" si="0"/>
        <v>0.37935770619708442</v>
      </c>
      <c r="X4" s="51">
        <f t="shared" si="0"/>
        <v>0.37935770619708442</v>
      </c>
      <c r="Y4" s="51">
        <f t="shared" si="0"/>
        <v>0.37935770619708442</v>
      </c>
      <c r="Z4" s="51">
        <f t="shared" si="0"/>
        <v>0.37935770619708442</v>
      </c>
      <c r="AA4" s="51">
        <f t="shared" si="0"/>
        <v>0.37935770619708442</v>
      </c>
    </row>
    <row r="5" spans="1:27">
      <c r="A5" s="7" t="s">
        <v>6907</v>
      </c>
      <c r="B5" s="91">
        <f>$E$18*$E$32</f>
        <v>8.5517723591631331E-2</v>
      </c>
      <c r="C5" s="91">
        <f t="shared" ref="C5:AA5" si="1">$E$18*$E$32</f>
        <v>8.5517723591631331E-2</v>
      </c>
      <c r="D5" s="91">
        <f t="shared" si="1"/>
        <v>8.5517723591631331E-2</v>
      </c>
      <c r="E5" s="91">
        <f t="shared" si="1"/>
        <v>8.5517723591631331E-2</v>
      </c>
      <c r="F5" s="91">
        <f t="shared" si="1"/>
        <v>8.5517723591631331E-2</v>
      </c>
      <c r="G5" s="91">
        <f t="shared" si="1"/>
        <v>8.5517723591631331E-2</v>
      </c>
      <c r="H5" s="91">
        <f t="shared" si="1"/>
        <v>8.5517723591631331E-2</v>
      </c>
      <c r="I5" s="91">
        <f t="shared" si="1"/>
        <v>8.5517723591631331E-2</v>
      </c>
      <c r="J5" s="91">
        <f t="shared" si="1"/>
        <v>8.5517723591631331E-2</v>
      </c>
      <c r="K5" s="91">
        <f t="shared" si="1"/>
        <v>8.5517723591631331E-2</v>
      </c>
      <c r="L5" s="91">
        <f t="shared" si="1"/>
        <v>8.5517723591631331E-2</v>
      </c>
      <c r="M5" s="91">
        <f t="shared" si="1"/>
        <v>8.5517723591631331E-2</v>
      </c>
      <c r="N5" s="91">
        <f t="shared" si="1"/>
        <v>8.5517723591631331E-2</v>
      </c>
      <c r="O5" s="91">
        <f t="shared" si="1"/>
        <v>8.5517723591631331E-2</v>
      </c>
      <c r="P5" s="91">
        <f t="shared" si="1"/>
        <v>8.5517723591631331E-2</v>
      </c>
      <c r="Q5" s="91">
        <f t="shared" si="1"/>
        <v>8.5517723591631331E-2</v>
      </c>
      <c r="R5" s="91">
        <f t="shared" si="1"/>
        <v>8.5517723591631331E-2</v>
      </c>
      <c r="S5" s="91">
        <f t="shared" si="1"/>
        <v>8.5517723591631331E-2</v>
      </c>
      <c r="T5" s="91">
        <f t="shared" si="1"/>
        <v>8.5517723591631331E-2</v>
      </c>
      <c r="U5" s="91">
        <f t="shared" si="1"/>
        <v>8.5517723591631331E-2</v>
      </c>
      <c r="V5" s="91">
        <f t="shared" si="1"/>
        <v>8.5517723591631331E-2</v>
      </c>
      <c r="W5" s="91">
        <f t="shared" si="1"/>
        <v>8.5517723591631331E-2</v>
      </c>
      <c r="X5" s="91">
        <f t="shared" si="1"/>
        <v>8.5517723591631331E-2</v>
      </c>
      <c r="Y5" s="91">
        <f t="shared" si="1"/>
        <v>8.5517723591631331E-2</v>
      </c>
      <c r="Z5" s="91">
        <f t="shared" si="1"/>
        <v>8.5517723591631331E-2</v>
      </c>
      <c r="AA5" s="91">
        <f t="shared" si="1"/>
        <v>8.5517723591631331E-2</v>
      </c>
    </row>
    <row r="6" spans="1:27">
      <c r="A6" s="7" t="s">
        <v>6908</v>
      </c>
      <c r="B6" s="91">
        <f>$E$18*$E$30</f>
        <v>1.3829915831921127E-2</v>
      </c>
      <c r="C6" s="91">
        <f t="shared" ref="C6:AA6" si="2">$E$18*$E$30</f>
        <v>1.3829915831921127E-2</v>
      </c>
      <c r="D6" s="91">
        <f t="shared" si="2"/>
        <v>1.3829915831921127E-2</v>
      </c>
      <c r="E6" s="91">
        <f t="shared" si="2"/>
        <v>1.3829915831921127E-2</v>
      </c>
      <c r="F6" s="91">
        <f t="shared" si="2"/>
        <v>1.3829915831921127E-2</v>
      </c>
      <c r="G6" s="91">
        <f t="shared" si="2"/>
        <v>1.3829915831921127E-2</v>
      </c>
      <c r="H6" s="91">
        <f t="shared" si="2"/>
        <v>1.3829915831921127E-2</v>
      </c>
      <c r="I6" s="91">
        <f t="shared" si="2"/>
        <v>1.3829915831921127E-2</v>
      </c>
      <c r="J6" s="91">
        <f t="shared" si="2"/>
        <v>1.3829915831921127E-2</v>
      </c>
      <c r="K6" s="91">
        <f t="shared" si="2"/>
        <v>1.3829915831921127E-2</v>
      </c>
      <c r="L6" s="91">
        <f t="shared" si="2"/>
        <v>1.3829915831921127E-2</v>
      </c>
      <c r="M6" s="91">
        <f t="shared" si="2"/>
        <v>1.3829915831921127E-2</v>
      </c>
      <c r="N6" s="91">
        <f t="shared" si="2"/>
        <v>1.3829915831921127E-2</v>
      </c>
      <c r="O6" s="91">
        <f t="shared" si="2"/>
        <v>1.3829915831921127E-2</v>
      </c>
      <c r="P6" s="91">
        <f t="shared" si="2"/>
        <v>1.3829915831921127E-2</v>
      </c>
      <c r="Q6" s="91">
        <f t="shared" si="2"/>
        <v>1.3829915831921127E-2</v>
      </c>
      <c r="R6" s="91">
        <f t="shared" si="2"/>
        <v>1.3829915831921127E-2</v>
      </c>
      <c r="S6" s="91">
        <f t="shared" si="2"/>
        <v>1.3829915831921127E-2</v>
      </c>
      <c r="T6" s="91">
        <f t="shared" si="2"/>
        <v>1.3829915831921127E-2</v>
      </c>
      <c r="U6" s="91">
        <f t="shared" si="2"/>
        <v>1.3829915831921127E-2</v>
      </c>
      <c r="V6" s="91">
        <f t="shared" si="2"/>
        <v>1.3829915831921127E-2</v>
      </c>
      <c r="W6" s="91">
        <f t="shared" si="2"/>
        <v>1.3829915831921127E-2</v>
      </c>
      <c r="X6" s="91">
        <f t="shared" si="2"/>
        <v>1.3829915831921127E-2</v>
      </c>
      <c r="Y6" s="91">
        <f t="shared" si="2"/>
        <v>1.3829915831921127E-2</v>
      </c>
      <c r="Z6" s="91">
        <f t="shared" si="2"/>
        <v>1.3829915831921127E-2</v>
      </c>
      <c r="AA6" s="91">
        <f t="shared" si="2"/>
        <v>1.3829915831921127E-2</v>
      </c>
    </row>
    <row r="11" spans="1:27" ht="17" thickBot="1"/>
    <row r="12" spans="1:27">
      <c r="C12" s="413" t="s">
        <v>7900</v>
      </c>
      <c r="D12" s="414" t="s">
        <v>7901</v>
      </c>
      <c r="E12" s="414" t="s">
        <v>7902</v>
      </c>
      <c r="F12" s="414" t="s">
        <v>7903</v>
      </c>
      <c r="G12" s="414" t="s">
        <v>7904</v>
      </c>
      <c r="H12" s="414" t="s">
        <v>7905</v>
      </c>
      <c r="I12" s="414" t="s">
        <v>7906</v>
      </c>
      <c r="J12" s="415" t="s">
        <v>7907</v>
      </c>
    </row>
    <row r="13" spans="1:27">
      <c r="C13" s="204" t="s">
        <v>7908</v>
      </c>
      <c r="D13">
        <v>1.361</v>
      </c>
      <c r="E13">
        <v>2.476</v>
      </c>
      <c r="F13">
        <v>0</v>
      </c>
      <c r="G13">
        <v>3.7130000000000001</v>
      </c>
      <c r="H13">
        <v>1.282</v>
      </c>
      <c r="I13">
        <v>0</v>
      </c>
      <c r="J13" s="416">
        <v>1.893</v>
      </c>
      <c r="K13" s="46">
        <f>SUM(D13:J13)</f>
        <v>10.725000000000001</v>
      </c>
    </row>
    <row r="14" spans="1:27">
      <c r="C14" s="204" t="s">
        <v>7909</v>
      </c>
      <c r="D14">
        <v>0.45900000000000002</v>
      </c>
      <c r="E14">
        <v>0.312</v>
      </c>
      <c r="F14">
        <v>0.13100000000000001</v>
      </c>
      <c r="G14">
        <v>1.0349999999999999</v>
      </c>
      <c r="H14">
        <v>0.24099999999999999</v>
      </c>
      <c r="I14">
        <v>0.14899999999999999</v>
      </c>
      <c r="J14" s="416">
        <v>0.182</v>
      </c>
      <c r="K14" s="46">
        <f>SUM(D14:J14)</f>
        <v>2.5089999999999999</v>
      </c>
    </row>
    <row r="15" spans="1:27">
      <c r="C15" s="204"/>
      <c r="J15" s="416"/>
    </row>
    <row r="16" spans="1:27">
      <c r="C16" s="204" t="s">
        <v>7908</v>
      </c>
      <c r="D16" s="340">
        <f>D13/$K$13</f>
        <v>0.12689976689976687</v>
      </c>
      <c r="E16" s="340">
        <f t="shared" ref="E16:J16" si="3">E13/$K$13</f>
        <v>0.23086247086247083</v>
      </c>
      <c r="F16" s="340">
        <f t="shared" si="3"/>
        <v>0</v>
      </c>
      <c r="G16" s="340">
        <f t="shared" si="3"/>
        <v>0.34620046620046618</v>
      </c>
      <c r="H16" s="340">
        <f t="shared" si="3"/>
        <v>0.11953379953379951</v>
      </c>
      <c r="I16" s="340">
        <f t="shared" si="3"/>
        <v>0</v>
      </c>
      <c r="J16" s="417">
        <f t="shared" si="3"/>
        <v>0.17650349650349648</v>
      </c>
    </row>
    <row r="17" spans="2:10">
      <c r="C17" s="204" t="s">
        <v>7909</v>
      </c>
      <c r="D17" s="340">
        <f>D14/$K$14</f>
        <v>0.18294141092068555</v>
      </c>
      <c r="E17" s="340">
        <f t="shared" ref="E17:J17" si="4">E14/$K$14</f>
        <v>0.12435233160621763</v>
      </c>
      <c r="F17" s="340">
        <f t="shared" si="4"/>
        <v>5.2212036667995218E-2</v>
      </c>
      <c r="G17" s="340">
        <f t="shared" si="4"/>
        <v>0.41251494619370266</v>
      </c>
      <c r="H17" s="340">
        <f t="shared" si="4"/>
        <v>9.6054204862495024E-2</v>
      </c>
      <c r="I17" s="340">
        <f t="shared" si="4"/>
        <v>5.9386209645277001E-2</v>
      </c>
      <c r="J17" s="417">
        <f t="shared" si="4"/>
        <v>7.2538860103626951E-2</v>
      </c>
    </row>
    <row r="18" spans="2:10" ht="17" thickBot="1">
      <c r="C18" s="170"/>
      <c r="D18" s="418">
        <f>AVERAGE(D16:D17)</f>
        <v>0.1549205889102262</v>
      </c>
      <c r="E18" s="418">
        <f t="shared" ref="E18:J18" si="5">AVERAGE(E16:E17)</f>
        <v>0.17760740123434424</v>
      </c>
      <c r="F18" s="418">
        <f t="shared" si="5"/>
        <v>2.6106018333997609E-2</v>
      </c>
      <c r="G18" s="418">
        <f t="shared" si="5"/>
        <v>0.37935770619708442</v>
      </c>
      <c r="H18" s="418">
        <f t="shared" si="5"/>
        <v>0.10779400219814728</v>
      </c>
      <c r="I18" s="418">
        <f t="shared" si="5"/>
        <v>2.96931048226385E-2</v>
      </c>
      <c r="J18" s="419">
        <f t="shared" si="5"/>
        <v>0.12452117830356171</v>
      </c>
    </row>
    <row r="27" spans="2:10">
      <c r="B27" t="s">
        <v>7916</v>
      </c>
    </row>
    <row r="29" spans="2:10">
      <c r="C29" s="8"/>
      <c r="D29" s="420" t="s">
        <v>7912</v>
      </c>
      <c r="E29" s="8"/>
    </row>
    <row r="30" spans="2:10">
      <c r="C30" s="421" t="s">
        <v>312</v>
      </c>
      <c r="D30" s="422">
        <v>2016</v>
      </c>
      <c r="E30" s="9">
        <f>D30/D35</f>
        <v>7.7867902665121669E-2</v>
      </c>
    </row>
    <row r="31" spans="2:10">
      <c r="C31" s="423" t="s">
        <v>7913</v>
      </c>
      <c r="D31" s="424">
        <v>7.8E-2</v>
      </c>
      <c r="E31" s="8"/>
    </row>
    <row r="32" spans="2:10">
      <c r="C32" s="421" t="s">
        <v>7914</v>
      </c>
      <c r="D32" s="422">
        <v>12342</v>
      </c>
      <c r="E32" s="9">
        <f>SUM(D32+D34)/D35</f>
        <v>0.48149864812668985</v>
      </c>
    </row>
    <row r="33" spans="3:5">
      <c r="C33" s="425" t="s">
        <v>7913</v>
      </c>
      <c r="D33" s="424">
        <v>0.47699999999999998</v>
      </c>
      <c r="E33" s="8"/>
    </row>
    <row r="34" spans="3:5">
      <c r="C34" s="426" t="s">
        <v>7915</v>
      </c>
      <c r="D34" s="422">
        <v>124</v>
      </c>
      <c r="E34" s="8"/>
    </row>
    <row r="35" spans="3:5">
      <c r="C35" s="8"/>
      <c r="D35" s="427">
        <v>25890</v>
      </c>
      <c r="E35" s="8"/>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4E509-3FE9-1A4D-AE05-54C6B3FF3EF2}">
  <dimension ref="A1:AH166"/>
  <sheetViews>
    <sheetView workbookViewId="0">
      <selection activeCell="C17" sqref="C17"/>
    </sheetView>
  </sheetViews>
  <sheetFormatPr baseColWidth="10" defaultColWidth="7.83203125" defaultRowHeight="14"/>
  <cols>
    <col min="1" max="1" width="25.83203125" style="538" customWidth="1"/>
    <col min="2" max="2" width="15.5" style="503" customWidth="1"/>
    <col min="3" max="3" width="116.33203125" style="503" customWidth="1"/>
    <col min="4" max="34" width="11.5" style="503" customWidth="1"/>
    <col min="35" max="16384" width="7.83203125" style="503"/>
  </cols>
  <sheetData>
    <row r="1" spans="1:34" ht="30.5" customHeight="1">
      <c r="A1" s="502" t="s">
        <v>8831</v>
      </c>
      <c r="C1" s="504"/>
      <c r="AG1" s="504"/>
    </row>
    <row r="2" spans="1:34" ht="16">
      <c r="A2" s="505" t="s">
        <v>8832</v>
      </c>
      <c r="C2" s="504"/>
      <c r="AG2" s="504"/>
    </row>
    <row r="3" spans="1:34" ht="16">
      <c r="A3" s="506" t="s">
        <v>8833</v>
      </c>
      <c r="C3" s="504"/>
      <c r="AG3" s="504"/>
    </row>
    <row r="4" spans="1:34" ht="16">
      <c r="A4" s="507" t="s">
        <v>8834</v>
      </c>
      <c r="B4" s="504"/>
      <c r="C4" s="504"/>
      <c r="D4" s="504"/>
      <c r="E4" s="504"/>
      <c r="F4" s="504"/>
      <c r="G4" s="504"/>
      <c r="H4" s="504"/>
      <c r="I4" s="504"/>
      <c r="J4" s="504"/>
      <c r="K4" s="504"/>
      <c r="L4" s="504"/>
      <c r="M4" s="504"/>
      <c r="N4" s="504"/>
      <c r="O4" s="504"/>
      <c r="P4" s="504"/>
      <c r="Q4" s="504"/>
      <c r="R4" s="504"/>
      <c r="S4" s="504"/>
      <c r="T4" s="504"/>
      <c r="U4" s="504"/>
      <c r="V4" s="504"/>
      <c r="W4" s="504"/>
      <c r="X4" s="504"/>
      <c r="Y4" s="504"/>
      <c r="Z4" s="504"/>
      <c r="AA4" s="504"/>
      <c r="AB4" s="504"/>
      <c r="AC4" s="504"/>
      <c r="AD4" s="504"/>
      <c r="AE4" s="504"/>
      <c r="AF4" s="504"/>
      <c r="AG4" s="508"/>
    </row>
    <row r="5" spans="1:34" s="514" customFormat="1" ht="15" customHeight="1">
      <c r="A5" s="509" t="s">
        <v>8835</v>
      </c>
      <c r="B5" s="510" t="s">
        <v>8836</v>
      </c>
      <c r="C5" s="510" t="s">
        <v>8837</v>
      </c>
      <c r="D5" s="511" t="s">
        <v>8838</v>
      </c>
      <c r="E5" s="511" t="s">
        <v>8839</v>
      </c>
      <c r="F5" s="511" t="s">
        <v>8840</v>
      </c>
      <c r="G5" s="511" t="s">
        <v>8841</v>
      </c>
      <c r="H5" s="511" t="s">
        <v>8842</v>
      </c>
      <c r="I5" s="511" t="s">
        <v>8707</v>
      </c>
      <c r="J5" s="511" t="s">
        <v>8843</v>
      </c>
      <c r="K5" s="511" t="s">
        <v>8844</v>
      </c>
      <c r="L5" s="511" t="s">
        <v>8845</v>
      </c>
      <c r="M5" s="511" t="s">
        <v>8846</v>
      </c>
      <c r="N5" s="511" t="s">
        <v>8708</v>
      </c>
      <c r="O5" s="511" t="s">
        <v>8847</v>
      </c>
      <c r="P5" s="511" t="s">
        <v>8848</v>
      </c>
      <c r="Q5" s="511" t="s">
        <v>8849</v>
      </c>
      <c r="R5" s="511" t="s">
        <v>8850</v>
      </c>
      <c r="S5" s="511" t="s">
        <v>8709</v>
      </c>
      <c r="T5" s="511" t="s">
        <v>8851</v>
      </c>
      <c r="U5" s="511" t="s">
        <v>8852</v>
      </c>
      <c r="V5" s="511" t="s">
        <v>7766</v>
      </c>
      <c r="W5" s="511" t="s">
        <v>7767</v>
      </c>
      <c r="X5" s="511" t="s">
        <v>7768</v>
      </c>
      <c r="Y5" s="511" t="s">
        <v>7769</v>
      </c>
      <c r="Z5" s="511" t="s">
        <v>7770</v>
      </c>
      <c r="AA5" s="511" t="s">
        <v>7771</v>
      </c>
      <c r="AB5" s="511" t="s">
        <v>7772</v>
      </c>
      <c r="AC5" s="511" t="s">
        <v>7773</v>
      </c>
      <c r="AD5" s="511" t="s">
        <v>7774</v>
      </c>
      <c r="AE5" s="511" t="s">
        <v>7775</v>
      </c>
      <c r="AF5" s="512" t="s">
        <v>7776</v>
      </c>
      <c r="AG5" s="511" t="s">
        <v>7777</v>
      </c>
      <c r="AH5" s="513" t="s">
        <v>7778</v>
      </c>
    </row>
    <row r="6" spans="1:34" s="514" customFormat="1" ht="15" customHeight="1">
      <c r="A6" s="515" t="s">
        <v>8853</v>
      </c>
      <c r="B6" s="516" t="s">
        <v>8854</v>
      </c>
      <c r="C6" s="517" t="s">
        <v>8855</v>
      </c>
      <c r="D6" s="134">
        <v>55133.776454018</v>
      </c>
      <c r="E6" s="134">
        <v>54840.8153689807</v>
      </c>
      <c r="F6" s="134">
        <v>54400.101608226003</v>
      </c>
      <c r="G6" s="134">
        <v>53589.527680087798</v>
      </c>
      <c r="H6" s="134">
        <v>54772.876014372399</v>
      </c>
      <c r="I6" s="134">
        <v>54606.3404728815</v>
      </c>
      <c r="J6" s="134">
        <v>55464.456018158897</v>
      </c>
      <c r="K6" s="134">
        <v>54527.172167423298</v>
      </c>
      <c r="L6" s="134">
        <v>54429.047510296703</v>
      </c>
      <c r="M6" s="134">
        <v>54358.819526888801</v>
      </c>
      <c r="N6" s="134">
        <v>51878.210537069303</v>
      </c>
      <c r="O6" s="134">
        <v>49677.267153147899</v>
      </c>
      <c r="P6" s="134">
        <v>49347.068203863797</v>
      </c>
      <c r="Q6" s="134">
        <v>50218.916460476998</v>
      </c>
      <c r="R6" s="134">
        <v>50273.600725381497</v>
      </c>
      <c r="S6" s="134">
        <v>49991.655625049199</v>
      </c>
      <c r="T6" s="134">
        <v>48633.202444396302</v>
      </c>
      <c r="U6" s="134">
        <v>47922.781159898601</v>
      </c>
      <c r="V6" s="134">
        <v>46639.398062177803</v>
      </c>
      <c r="W6" s="134">
        <v>46250.451550197497</v>
      </c>
      <c r="X6" s="134">
        <v>46619.679923927397</v>
      </c>
      <c r="Y6" s="134">
        <v>46552.443820580404</v>
      </c>
      <c r="Z6" s="134">
        <v>46219.697090931499</v>
      </c>
      <c r="AA6" s="134">
        <v>45897.709152537798</v>
      </c>
      <c r="AB6" s="134">
        <v>47558.033171049603</v>
      </c>
      <c r="AC6" s="134">
        <v>47221.417889378601</v>
      </c>
      <c r="AD6" s="134">
        <v>47280.723503211499</v>
      </c>
      <c r="AE6" s="134">
        <v>47731.002142322002</v>
      </c>
      <c r="AF6" s="134">
        <v>47175.494497194901</v>
      </c>
      <c r="AG6" s="518">
        <v>47351.781828613901</v>
      </c>
      <c r="AH6" s="519">
        <v>45641.970309983699</v>
      </c>
    </row>
    <row r="7" spans="1:34" s="514" customFormat="1" ht="15" customHeight="1">
      <c r="A7" s="515" t="s">
        <v>8856</v>
      </c>
      <c r="B7" s="516" t="s">
        <v>8857</v>
      </c>
      <c r="C7" s="517" t="s">
        <v>8858</v>
      </c>
      <c r="D7" s="134">
        <v>48689.317795446899</v>
      </c>
      <c r="E7" s="134">
        <v>48702.773175872499</v>
      </c>
      <c r="F7" s="134">
        <v>49326.858776428999</v>
      </c>
      <c r="G7" s="134">
        <v>49138.426853329402</v>
      </c>
      <c r="H7" s="134">
        <v>43784.573946436503</v>
      </c>
      <c r="I7" s="134">
        <v>45507.499127505602</v>
      </c>
      <c r="J7" s="134">
        <v>45804.493476413401</v>
      </c>
      <c r="K7" s="134">
        <v>44965.175639599001</v>
      </c>
      <c r="L7" s="134">
        <v>43780.639803749204</v>
      </c>
      <c r="M7" s="134">
        <v>40133.340684954601</v>
      </c>
      <c r="N7" s="134">
        <v>38093.4564255968</v>
      </c>
      <c r="O7" s="134">
        <v>38057.791415781103</v>
      </c>
      <c r="P7" s="134">
        <v>36518.073622697797</v>
      </c>
      <c r="Q7" s="134">
        <v>33913.091113013303</v>
      </c>
      <c r="R7" s="134">
        <v>32722.1189585795</v>
      </c>
      <c r="S7" s="134">
        <v>30684.0838643077</v>
      </c>
      <c r="T7" s="134">
        <v>28226.862119898498</v>
      </c>
      <c r="U7" s="134">
        <v>27680.015235232</v>
      </c>
      <c r="V7" s="134">
        <v>26935.618025960201</v>
      </c>
      <c r="W7" s="134">
        <v>26821.072379052799</v>
      </c>
      <c r="X7" s="134">
        <v>26243.725710462299</v>
      </c>
      <c r="Y7" s="134">
        <v>23647.995151695301</v>
      </c>
      <c r="Z7" s="134">
        <v>21904.120086860799</v>
      </c>
      <c r="AA7" s="134">
        <v>20606.576947269899</v>
      </c>
      <c r="AB7" s="134">
        <v>20520.153693927001</v>
      </c>
      <c r="AC7" s="134">
        <v>21856.399825692999</v>
      </c>
      <c r="AD7" s="134">
        <v>20805.865947156399</v>
      </c>
      <c r="AE7" s="134">
        <v>20786.772999908</v>
      </c>
      <c r="AF7" s="134">
        <v>20561.550160824099</v>
      </c>
      <c r="AG7" s="134">
        <v>20296.324928347</v>
      </c>
      <c r="AH7" s="519">
        <v>18458.097864116</v>
      </c>
    </row>
    <row r="8" spans="1:34" s="514" customFormat="1" ht="15" customHeight="1">
      <c r="A8" s="515" t="s">
        <v>8859</v>
      </c>
      <c r="B8" s="516" t="s">
        <v>8860</v>
      </c>
      <c r="C8" s="517" t="s">
        <v>8861</v>
      </c>
      <c r="D8" s="134">
        <v>178672.352776327</v>
      </c>
      <c r="E8" s="134">
        <v>179720.74659233799</v>
      </c>
      <c r="F8" s="134">
        <v>172442.99128405901</v>
      </c>
      <c r="G8" s="134">
        <v>166800.95392142801</v>
      </c>
      <c r="H8" s="134">
        <v>168028.06707757499</v>
      </c>
      <c r="I8" s="134">
        <v>165681.70512977999</v>
      </c>
      <c r="J8" s="134">
        <v>167002.58009598</v>
      </c>
      <c r="K8" s="134">
        <v>166540.067129687</v>
      </c>
      <c r="L8" s="134">
        <v>157321.21068460599</v>
      </c>
      <c r="M8" s="134">
        <v>141364.33668530101</v>
      </c>
      <c r="N8" s="134">
        <v>136621.08816293901</v>
      </c>
      <c r="O8" s="134">
        <v>130319.325533913</v>
      </c>
      <c r="P8" s="134">
        <v>121644.452367868</v>
      </c>
      <c r="Q8" s="134">
        <v>124030.16844899399</v>
      </c>
      <c r="R8" s="134">
        <v>122273.736975737</v>
      </c>
      <c r="S8" s="134">
        <v>122709.377439804</v>
      </c>
      <c r="T8" s="134">
        <v>117943.36625942</v>
      </c>
      <c r="U8" s="134">
        <v>117657.832342964</v>
      </c>
      <c r="V8" s="134">
        <v>108995.80846592601</v>
      </c>
      <c r="W8" s="134">
        <v>91062.919540305695</v>
      </c>
      <c r="X8" s="134">
        <v>93798.678554360304</v>
      </c>
      <c r="Y8" s="134">
        <v>89162.475921075995</v>
      </c>
      <c r="Z8" s="134">
        <v>85910.110091004797</v>
      </c>
      <c r="AA8" s="134">
        <v>88098.397519827296</v>
      </c>
      <c r="AB8" s="134">
        <v>86064.255437135507</v>
      </c>
      <c r="AC8" s="134">
        <v>82462.668982928706</v>
      </c>
      <c r="AD8" s="134">
        <v>77366.834842747397</v>
      </c>
      <c r="AE8" s="134">
        <v>77068.235822402901</v>
      </c>
      <c r="AF8" s="134">
        <v>74913.300395724596</v>
      </c>
      <c r="AG8" s="134">
        <v>73002.322511658494</v>
      </c>
      <c r="AH8" s="519">
        <v>69220.220044953297</v>
      </c>
    </row>
    <row r="9" spans="1:34" s="514" customFormat="1" ht="15" customHeight="1">
      <c r="A9" s="515" t="s">
        <v>8862</v>
      </c>
      <c r="B9" s="516" t="s">
        <v>8863</v>
      </c>
      <c r="C9" s="517" t="s">
        <v>8864</v>
      </c>
      <c r="D9" s="134">
        <v>216121.52435328299</v>
      </c>
      <c r="E9" s="134">
        <v>212781.66153621199</v>
      </c>
      <c r="F9" s="134">
        <v>200752.05474715299</v>
      </c>
      <c r="G9" s="134">
        <v>183109.510789302</v>
      </c>
      <c r="H9" s="134">
        <v>178578.083659339</v>
      </c>
      <c r="I9" s="134">
        <v>175977.06416061099</v>
      </c>
      <c r="J9" s="134">
        <v>175724.74381055299</v>
      </c>
      <c r="K9" s="134">
        <v>162193.11549740701</v>
      </c>
      <c r="L9" s="134">
        <v>167906.42555637201</v>
      </c>
      <c r="M9" s="134">
        <v>159872.56420793</v>
      </c>
      <c r="N9" s="134">
        <v>172180.17129693599</v>
      </c>
      <c r="O9" s="134">
        <v>182643.861498546</v>
      </c>
      <c r="P9" s="134">
        <v>177635.81760205299</v>
      </c>
      <c r="Q9" s="134">
        <v>186226.38221213501</v>
      </c>
      <c r="R9" s="134">
        <v>185514.02506377801</v>
      </c>
      <c r="S9" s="134">
        <v>184807.163924736</v>
      </c>
      <c r="T9" s="134">
        <v>192759.98774543399</v>
      </c>
      <c r="U9" s="134">
        <v>187959.024270895</v>
      </c>
      <c r="V9" s="134">
        <v>182568.25133809401</v>
      </c>
      <c r="W9" s="134">
        <v>160395.068689359</v>
      </c>
      <c r="X9" s="134">
        <v>167026.32435991199</v>
      </c>
      <c r="Y9" s="134">
        <v>153622.60682786399</v>
      </c>
      <c r="Z9" s="134">
        <v>167165.543521844</v>
      </c>
      <c r="AA9" s="134">
        <v>155922.810216282</v>
      </c>
      <c r="AB9" s="134">
        <v>132444.56412601299</v>
      </c>
      <c r="AC9" s="134">
        <v>112212.083352332</v>
      </c>
      <c r="AD9" s="134">
        <v>90039.103126556904</v>
      </c>
      <c r="AE9" s="134">
        <v>79755.229611575807</v>
      </c>
      <c r="AF9" s="134">
        <v>73205.156587075195</v>
      </c>
      <c r="AG9" s="134">
        <v>65322.198814087104</v>
      </c>
      <c r="AH9" s="519">
        <v>56390.502529425103</v>
      </c>
    </row>
    <row r="10" spans="1:34" s="514" customFormat="1" ht="15" customHeight="1">
      <c r="A10" s="515" t="s">
        <v>8865</v>
      </c>
      <c r="B10" s="516" t="s">
        <v>8866</v>
      </c>
      <c r="C10" s="517" t="s">
        <v>8867</v>
      </c>
      <c r="D10" s="134">
        <v>66695.833132892294</v>
      </c>
      <c r="E10" s="134">
        <v>68142.344526545596</v>
      </c>
      <c r="F10" s="134">
        <v>68459.205493437898</v>
      </c>
      <c r="G10" s="134">
        <v>68875.265236443607</v>
      </c>
      <c r="H10" s="134">
        <v>69243.627564334296</v>
      </c>
      <c r="I10" s="134">
        <v>70208.289417506894</v>
      </c>
      <c r="J10" s="134">
        <v>70778.017428073596</v>
      </c>
      <c r="K10" s="134">
        <v>69980.797822587003</v>
      </c>
      <c r="L10" s="134">
        <v>71001.156320870199</v>
      </c>
      <c r="M10" s="134">
        <v>66617.853095429804</v>
      </c>
      <c r="N10" s="134">
        <v>64481.695316118799</v>
      </c>
      <c r="O10" s="134">
        <v>62431.0573247922</v>
      </c>
      <c r="P10" s="134">
        <v>60968.882160000903</v>
      </c>
      <c r="Q10" s="134">
        <v>57184.785988759897</v>
      </c>
      <c r="R10" s="134">
        <v>53067.579650338703</v>
      </c>
      <c r="S10" s="134">
        <v>51048.466830109697</v>
      </c>
      <c r="T10" s="134">
        <v>47951.044248520899</v>
      </c>
      <c r="U10" s="134">
        <v>44922.758749392502</v>
      </c>
      <c r="V10" s="134">
        <v>39999.8263289389</v>
      </c>
      <c r="W10" s="134">
        <v>36183.722363605899</v>
      </c>
      <c r="X10" s="134">
        <v>31931.021156986099</v>
      </c>
      <c r="Y10" s="134">
        <v>30041.050520660701</v>
      </c>
      <c r="Z10" s="134">
        <v>28851.323928265901</v>
      </c>
      <c r="AA10" s="134">
        <v>26296.581354891201</v>
      </c>
      <c r="AB10" s="134">
        <v>24484.226254385099</v>
      </c>
      <c r="AC10" s="134">
        <v>24099.346064416401</v>
      </c>
      <c r="AD10" s="134">
        <v>23841.147707714099</v>
      </c>
      <c r="AE10" s="134">
        <v>24555.951065200701</v>
      </c>
      <c r="AF10" s="134">
        <v>24621.199330526098</v>
      </c>
      <c r="AG10" s="134">
        <v>24384.882666870999</v>
      </c>
      <c r="AH10" s="519">
        <v>23185.4338640516</v>
      </c>
    </row>
    <row r="11" spans="1:34" s="514" customFormat="1" ht="15" customHeight="1">
      <c r="A11" s="515" t="s">
        <v>8868</v>
      </c>
      <c r="B11" s="516" t="s">
        <v>8869</v>
      </c>
      <c r="C11" s="517" t="s">
        <v>8870</v>
      </c>
      <c r="D11" s="134">
        <v>9428.4363143002793</v>
      </c>
      <c r="E11" s="134">
        <v>9396.4723716232002</v>
      </c>
      <c r="F11" s="134">
        <v>9491.6525779760595</v>
      </c>
      <c r="G11" s="134">
        <v>9609.3434412039605</v>
      </c>
      <c r="H11" s="134">
        <v>10030.997960918001</v>
      </c>
      <c r="I11" s="134">
        <v>10138.1215537962</v>
      </c>
      <c r="J11" s="134">
        <v>10408.475340777601</v>
      </c>
      <c r="K11" s="134">
        <v>10643.501193341501</v>
      </c>
      <c r="L11" s="134">
        <v>10880.220230036301</v>
      </c>
      <c r="M11" s="134">
        <v>11131.039132509401</v>
      </c>
      <c r="N11" s="134">
        <v>11325.662696552899</v>
      </c>
      <c r="O11" s="134">
        <v>11666.5530080673</v>
      </c>
      <c r="P11" s="134">
        <v>11741.205755163999</v>
      </c>
      <c r="Q11" s="134">
        <v>11982.5628304728</v>
      </c>
      <c r="R11" s="134">
        <v>12554.4433555055</v>
      </c>
      <c r="S11" s="134">
        <v>12609.002675371399</v>
      </c>
      <c r="T11" s="134">
        <v>12828.6944921575</v>
      </c>
      <c r="U11" s="134">
        <v>13174.340505849301</v>
      </c>
      <c r="V11" s="134">
        <v>13270.2120309689</v>
      </c>
      <c r="W11" s="134">
        <v>11656.909094868301</v>
      </c>
      <c r="X11" s="134">
        <v>11725.033520208401</v>
      </c>
      <c r="Y11" s="134">
        <v>11102.0004349312</v>
      </c>
      <c r="Z11" s="134">
        <v>11771.1914637516</v>
      </c>
      <c r="AA11" s="134">
        <v>10934.867010346399</v>
      </c>
      <c r="AB11" s="134">
        <v>11309.693171078799</v>
      </c>
      <c r="AC11" s="134">
        <v>12285.496021995301</v>
      </c>
      <c r="AD11" s="134">
        <v>12692.946760872899</v>
      </c>
      <c r="AE11" s="134">
        <v>13103.350981646299</v>
      </c>
      <c r="AF11" s="134">
        <v>13176.273667724399</v>
      </c>
      <c r="AG11" s="134">
        <v>12438.8426873849</v>
      </c>
      <c r="AH11" s="519">
        <v>10949.526400733601</v>
      </c>
    </row>
    <row r="12" spans="1:34" s="514" customFormat="1" ht="15" customHeight="1">
      <c r="A12" s="515" t="s">
        <v>8871</v>
      </c>
      <c r="B12" s="516" t="s">
        <v>8872</v>
      </c>
      <c r="C12" s="517" t="s">
        <v>8873</v>
      </c>
      <c r="D12" s="134">
        <v>11629.700816296599</v>
      </c>
      <c r="E12" s="134">
        <v>12016.067524464501</v>
      </c>
      <c r="F12" s="134">
        <v>11828.7214294608</v>
      </c>
      <c r="G12" s="134">
        <v>12074.117781183</v>
      </c>
      <c r="H12" s="134">
        <v>12441.456809872299</v>
      </c>
      <c r="I12" s="134">
        <v>12624.4842744379</v>
      </c>
      <c r="J12" s="134">
        <v>12931.3373394465</v>
      </c>
      <c r="K12" s="134">
        <v>12760.3809226623</v>
      </c>
      <c r="L12" s="134">
        <v>13130.477618655301</v>
      </c>
      <c r="M12" s="134">
        <v>13668.194013296899</v>
      </c>
      <c r="N12" s="134">
        <v>13962.015916788199</v>
      </c>
      <c r="O12" s="134">
        <v>13889.1861801906</v>
      </c>
      <c r="P12" s="134">
        <v>13622.331874039101</v>
      </c>
      <c r="Q12" s="134">
        <v>14185.0288407792</v>
      </c>
      <c r="R12" s="134">
        <v>14437.3125609657</v>
      </c>
      <c r="S12" s="134">
        <v>14713.8663888721</v>
      </c>
      <c r="T12" s="134">
        <v>14935.5889388469</v>
      </c>
      <c r="U12" s="134">
        <v>15534.149111147301</v>
      </c>
      <c r="V12" s="134">
        <v>16052.0611930049</v>
      </c>
      <c r="W12" s="134">
        <v>16169.0571885848</v>
      </c>
      <c r="X12" s="134">
        <v>16668.710536507399</v>
      </c>
      <c r="Y12" s="134">
        <v>16419.557215621098</v>
      </c>
      <c r="Z12" s="134">
        <v>16828.1649888707</v>
      </c>
      <c r="AA12" s="134">
        <v>16465.212979896802</v>
      </c>
      <c r="AB12" s="134">
        <v>16243.7447175376</v>
      </c>
      <c r="AC12" s="134">
        <v>16459.891742288299</v>
      </c>
      <c r="AD12" s="134">
        <v>16699.5585202974</v>
      </c>
      <c r="AE12" s="134">
        <v>16262.9839476092</v>
      </c>
      <c r="AF12" s="134">
        <v>15629.0375271824</v>
      </c>
      <c r="AG12" s="134">
        <v>15077.617909595299</v>
      </c>
      <c r="AH12" s="519">
        <v>13226.062939706901</v>
      </c>
    </row>
    <row r="13" spans="1:34" s="514" customFormat="1" ht="15" customHeight="1">
      <c r="A13" s="515" t="s">
        <v>8874</v>
      </c>
      <c r="B13" s="516" t="s">
        <v>8875</v>
      </c>
      <c r="C13" s="517" t="s">
        <v>8876</v>
      </c>
      <c r="D13" s="134">
        <v>30907.800807032301</v>
      </c>
      <c r="E13" s="134">
        <v>30815.462123271202</v>
      </c>
      <c r="F13" s="134">
        <v>30967.486632566699</v>
      </c>
      <c r="G13" s="134">
        <v>30900.470360486401</v>
      </c>
      <c r="H13" s="134">
        <v>32298.297519387699</v>
      </c>
      <c r="I13" s="134">
        <v>33347.1159511804</v>
      </c>
      <c r="J13" s="134">
        <v>33664.205744610801</v>
      </c>
      <c r="K13" s="134">
        <v>33650.767929549998</v>
      </c>
      <c r="L13" s="134">
        <v>33959.718579467197</v>
      </c>
      <c r="M13" s="134">
        <v>34235.625158854302</v>
      </c>
      <c r="N13" s="134">
        <v>33601.326684779197</v>
      </c>
      <c r="O13" s="134">
        <v>33160.075122816597</v>
      </c>
      <c r="P13" s="134">
        <v>33383.362963311301</v>
      </c>
      <c r="Q13" s="134">
        <v>33229.5746440363</v>
      </c>
      <c r="R13" s="134">
        <v>33518.7513129418</v>
      </c>
      <c r="S13" s="134">
        <v>33965.797610962501</v>
      </c>
      <c r="T13" s="134">
        <v>33790.012213488597</v>
      </c>
      <c r="U13" s="134">
        <v>34194.6603520918</v>
      </c>
      <c r="V13" s="134">
        <v>32308.97516898</v>
      </c>
      <c r="W13" s="134">
        <v>29745.280493964601</v>
      </c>
      <c r="X13" s="134">
        <v>29946.177668717199</v>
      </c>
      <c r="Y13" s="134">
        <v>29041.105235288</v>
      </c>
      <c r="Z13" s="134">
        <v>28563.924860137799</v>
      </c>
      <c r="AA13" s="134">
        <v>28338.4215587121</v>
      </c>
      <c r="AB13" s="134">
        <v>28693.0403562871</v>
      </c>
      <c r="AC13" s="134">
        <v>28832.381194691399</v>
      </c>
      <c r="AD13" s="134">
        <v>29239.952076674399</v>
      </c>
      <c r="AE13" s="134">
        <v>29381.909979718199</v>
      </c>
      <c r="AF13" s="134">
        <v>28909.291021633398</v>
      </c>
      <c r="AG13" s="134">
        <v>28310.4274041387</v>
      </c>
      <c r="AH13" s="519">
        <v>24601.941767846802</v>
      </c>
    </row>
    <row r="14" spans="1:34" s="514" customFormat="1" ht="15" customHeight="1">
      <c r="A14" s="515" t="s">
        <v>8877</v>
      </c>
      <c r="B14" s="516" t="s">
        <v>8878</v>
      </c>
      <c r="C14" s="517" t="s">
        <v>8879</v>
      </c>
      <c r="D14" s="134">
        <v>2967.2820703699699</v>
      </c>
      <c r="E14" s="134">
        <v>3400.4232264583802</v>
      </c>
      <c r="F14" s="134">
        <v>3123.09194299007</v>
      </c>
      <c r="G14" s="134">
        <v>3328.3200954262402</v>
      </c>
      <c r="H14" s="134">
        <v>3315.7939915954698</v>
      </c>
      <c r="I14" s="134">
        <v>3420.2121145843298</v>
      </c>
      <c r="J14" s="134">
        <v>3605.4255184283502</v>
      </c>
      <c r="K14" s="134">
        <v>3217.7214049805398</v>
      </c>
      <c r="L14" s="134">
        <v>3454.4672541354898</v>
      </c>
      <c r="M14" s="134">
        <v>3632.3608570772999</v>
      </c>
      <c r="N14" s="134">
        <v>3707.2645859090298</v>
      </c>
      <c r="O14" s="134">
        <v>3742.3455858317702</v>
      </c>
      <c r="P14" s="134">
        <v>3228.97677206658</v>
      </c>
      <c r="Q14" s="134">
        <v>3465.5869121394198</v>
      </c>
      <c r="R14" s="134">
        <v>3406.8185658255502</v>
      </c>
      <c r="S14" s="134">
        <v>3452.6403722074601</v>
      </c>
      <c r="T14" s="134">
        <v>3241.1097545668999</v>
      </c>
      <c r="U14" s="134">
        <v>3191.1375253434298</v>
      </c>
      <c r="V14" s="134">
        <v>3917.0630292924998</v>
      </c>
      <c r="W14" s="134">
        <v>3261.9290860170399</v>
      </c>
      <c r="X14" s="134">
        <v>3507.0014435910098</v>
      </c>
      <c r="Y14" s="134">
        <v>3185.7582034323</v>
      </c>
      <c r="Z14" s="134">
        <v>3577.1611425866499</v>
      </c>
      <c r="AA14" s="134">
        <v>3660.56400184411</v>
      </c>
      <c r="AB14" s="134">
        <v>3253.5748547436601</v>
      </c>
      <c r="AC14" s="134">
        <v>3597.0145590777402</v>
      </c>
      <c r="AD14" s="134">
        <v>3678.45754438823</v>
      </c>
      <c r="AE14" s="134">
        <v>3649.1810936669299</v>
      </c>
      <c r="AF14" s="134">
        <v>3594.5751539261501</v>
      </c>
      <c r="AG14" s="134">
        <v>3631.0590370397399</v>
      </c>
      <c r="AH14" s="519">
        <v>3142.7827197449701</v>
      </c>
    </row>
    <row r="15" spans="1:34" s="514" customFormat="1" ht="15" customHeight="1">
      <c r="A15" s="515" t="s">
        <v>8880</v>
      </c>
      <c r="B15" s="516" t="s">
        <v>8881</v>
      </c>
      <c r="C15" s="517" t="s">
        <v>8882</v>
      </c>
      <c r="D15" s="134">
        <v>1100.3837011140499</v>
      </c>
      <c r="E15" s="134">
        <v>1178.16457579648</v>
      </c>
      <c r="F15" s="134">
        <v>1146.2431240803601</v>
      </c>
      <c r="G15" s="134">
        <v>1196.3709956376599</v>
      </c>
      <c r="H15" s="134">
        <v>1236.6912885746201</v>
      </c>
      <c r="I15" s="134">
        <v>1274.45920221399</v>
      </c>
      <c r="J15" s="134">
        <v>1283.10195120601</v>
      </c>
      <c r="K15" s="134">
        <v>1218.8766439885401</v>
      </c>
      <c r="L15" s="134">
        <v>1245.19562432367</v>
      </c>
      <c r="M15" s="134">
        <v>1298.5467564162</v>
      </c>
      <c r="N15" s="134">
        <v>1304.4867488534501</v>
      </c>
      <c r="O15" s="134">
        <v>1251.3301545142399</v>
      </c>
      <c r="P15" s="134">
        <v>1135.67856370714</v>
      </c>
      <c r="Q15" s="134">
        <v>1152.1840781041899</v>
      </c>
      <c r="R15" s="134">
        <v>1115.34578788563</v>
      </c>
      <c r="S15" s="134">
        <v>1111.53144906848</v>
      </c>
      <c r="T15" s="134">
        <v>1052.9689920553501</v>
      </c>
      <c r="U15" s="134">
        <v>1045.54455713162</v>
      </c>
      <c r="V15" s="134">
        <v>1124.30324086102</v>
      </c>
      <c r="W15" s="134">
        <v>960.623045033062</v>
      </c>
      <c r="X15" s="134">
        <v>985.72293166417603</v>
      </c>
      <c r="Y15" s="134">
        <v>936.07402764775395</v>
      </c>
      <c r="Z15" s="134">
        <v>958.838604878095</v>
      </c>
      <c r="AA15" s="134">
        <v>913.05771875082598</v>
      </c>
      <c r="AB15" s="134">
        <v>865.87672569951906</v>
      </c>
      <c r="AC15" s="134">
        <v>876.39669992829602</v>
      </c>
      <c r="AD15" s="134">
        <v>895.47415395703501</v>
      </c>
      <c r="AE15" s="134">
        <v>853.74641697371703</v>
      </c>
      <c r="AF15" s="134">
        <v>803.80365368162802</v>
      </c>
      <c r="AG15" s="134">
        <v>798.65661304405603</v>
      </c>
      <c r="AH15" s="519">
        <v>686.34743083572403</v>
      </c>
    </row>
    <row r="16" spans="1:34" s="514" customFormat="1" ht="15" customHeight="1">
      <c r="A16" s="515" t="s">
        <v>8883</v>
      </c>
      <c r="B16" s="516" t="s">
        <v>8884</v>
      </c>
      <c r="C16" s="517" t="s">
        <v>8885</v>
      </c>
      <c r="D16" s="134">
        <v>332.475369896362</v>
      </c>
      <c r="E16" s="134">
        <v>364.385275650788</v>
      </c>
      <c r="F16" s="134">
        <v>339.81335509361202</v>
      </c>
      <c r="G16" s="134">
        <v>356.44070311120299</v>
      </c>
      <c r="H16" s="134">
        <v>353.17334694370902</v>
      </c>
      <c r="I16" s="134">
        <v>359.280634155862</v>
      </c>
      <c r="J16" s="134">
        <v>363.52817336152702</v>
      </c>
      <c r="K16" s="134">
        <v>324.069266586813</v>
      </c>
      <c r="L16" s="134">
        <v>332.34832046963902</v>
      </c>
      <c r="M16" s="134">
        <v>346.26057501692497</v>
      </c>
      <c r="N16" s="134">
        <v>345.85490990834103</v>
      </c>
      <c r="O16" s="134">
        <v>343.98134437154999</v>
      </c>
      <c r="P16" s="134">
        <v>302.16698210673599</v>
      </c>
      <c r="Q16" s="134">
        <v>317.78242462151201</v>
      </c>
      <c r="R16" s="134">
        <v>309.05302500435801</v>
      </c>
      <c r="S16" s="134">
        <v>303.50387417182498</v>
      </c>
      <c r="T16" s="134">
        <v>287.86390337448103</v>
      </c>
      <c r="U16" s="134">
        <v>289.28478954776398</v>
      </c>
      <c r="V16" s="134">
        <v>327.59711077670801</v>
      </c>
      <c r="W16" s="134">
        <v>278.084294567077</v>
      </c>
      <c r="X16" s="134">
        <v>290.539220976693</v>
      </c>
      <c r="Y16" s="134">
        <v>275.81880459418102</v>
      </c>
      <c r="Z16" s="134">
        <v>295.147983652552</v>
      </c>
      <c r="AA16" s="134">
        <v>290.02130755535001</v>
      </c>
      <c r="AB16" s="134">
        <v>266.72367030115203</v>
      </c>
      <c r="AC16" s="134">
        <v>270.14499796804199</v>
      </c>
      <c r="AD16" s="134">
        <v>274.21843330029202</v>
      </c>
      <c r="AE16" s="134">
        <v>263.35746617062199</v>
      </c>
      <c r="AF16" s="134">
        <v>252.486703266056</v>
      </c>
      <c r="AG16" s="134">
        <v>254.16694614257301</v>
      </c>
      <c r="AH16" s="519">
        <v>228.136147958903</v>
      </c>
    </row>
    <row r="17" spans="1:34" s="514" customFormat="1" ht="15" customHeight="1">
      <c r="A17" s="515" t="s">
        <v>8886</v>
      </c>
      <c r="B17" s="516" t="s">
        <v>8887</v>
      </c>
      <c r="C17" s="517" t="s">
        <v>8888</v>
      </c>
      <c r="D17" s="134">
        <v>638.60891308242799</v>
      </c>
      <c r="E17" s="134">
        <v>715.56976531264002</v>
      </c>
      <c r="F17" s="134">
        <v>686.60483838733296</v>
      </c>
      <c r="G17" s="134">
        <v>725.63399572835499</v>
      </c>
      <c r="H17" s="134">
        <v>744.38019000722795</v>
      </c>
      <c r="I17" s="134">
        <v>774.97335130264401</v>
      </c>
      <c r="J17" s="134">
        <v>807.019446074504</v>
      </c>
      <c r="K17" s="134">
        <v>755.282797553911</v>
      </c>
      <c r="L17" s="134">
        <v>803.06250935650496</v>
      </c>
      <c r="M17" s="134">
        <v>858.72089541292405</v>
      </c>
      <c r="N17" s="134">
        <v>882.12739565364302</v>
      </c>
      <c r="O17" s="134">
        <v>879.77515538535897</v>
      </c>
      <c r="P17" s="134">
        <v>795.12135368544295</v>
      </c>
      <c r="Q17" s="134">
        <v>854.92773857184295</v>
      </c>
      <c r="R17" s="134">
        <v>854.70622121152599</v>
      </c>
      <c r="S17" s="134">
        <v>874.15140978406305</v>
      </c>
      <c r="T17" s="134">
        <v>847.97265997914997</v>
      </c>
      <c r="U17" s="134">
        <v>850.00235032576597</v>
      </c>
      <c r="V17" s="134">
        <v>1024.5578750983</v>
      </c>
      <c r="W17" s="134">
        <v>873.11134078178304</v>
      </c>
      <c r="X17" s="134">
        <v>941.11792146379196</v>
      </c>
      <c r="Y17" s="134">
        <v>870.59310997059504</v>
      </c>
      <c r="Z17" s="134">
        <v>973.27107645847002</v>
      </c>
      <c r="AA17" s="134">
        <v>987.406971510007</v>
      </c>
      <c r="AB17" s="134">
        <v>891.07588542891699</v>
      </c>
      <c r="AC17" s="134">
        <v>946.53681816346796</v>
      </c>
      <c r="AD17" s="134">
        <v>974.69374440997694</v>
      </c>
      <c r="AE17" s="134">
        <v>955.32284896340002</v>
      </c>
      <c r="AF17" s="134">
        <v>934.24798797790402</v>
      </c>
      <c r="AG17" s="134">
        <v>948.10743181503096</v>
      </c>
      <c r="AH17" s="519">
        <v>877.62640040489396</v>
      </c>
    </row>
    <row r="18" spans="1:34" s="514" customFormat="1" ht="15" customHeight="1">
      <c r="A18" s="515" t="s">
        <v>8889</v>
      </c>
      <c r="B18" s="516" t="s">
        <v>8890</v>
      </c>
      <c r="C18" s="517" t="s">
        <v>8891</v>
      </c>
      <c r="D18" s="134">
        <v>2493.9265568350302</v>
      </c>
      <c r="E18" s="134">
        <v>2701.7876884940301</v>
      </c>
      <c r="F18" s="134">
        <v>2607.36883260081</v>
      </c>
      <c r="G18" s="134">
        <v>2505.22579014857</v>
      </c>
      <c r="H18" s="134">
        <v>2559.84244551861</v>
      </c>
      <c r="I18" s="134">
        <v>2638.5291612185201</v>
      </c>
      <c r="J18" s="134">
        <v>2661.9318496791602</v>
      </c>
      <c r="K18" s="134">
        <v>2478.7026458851701</v>
      </c>
      <c r="L18" s="134">
        <v>2547.1799525715701</v>
      </c>
      <c r="M18" s="134">
        <v>2668.8619971129401</v>
      </c>
      <c r="N18" s="134">
        <v>2683.3293176596198</v>
      </c>
      <c r="O18" s="134">
        <v>2571.5176081703098</v>
      </c>
      <c r="P18" s="134">
        <v>2282.5104990961399</v>
      </c>
      <c r="Q18" s="134">
        <v>2333.2787844538102</v>
      </c>
      <c r="R18" s="134">
        <v>2256.2112076647099</v>
      </c>
      <c r="S18" s="134">
        <v>2228.5779752002099</v>
      </c>
      <c r="T18" s="134">
        <v>2115.0636039916299</v>
      </c>
      <c r="U18" s="134">
        <v>2095.86654125205</v>
      </c>
      <c r="V18" s="134">
        <v>2360.6524179554199</v>
      </c>
      <c r="W18" s="134">
        <v>1962.41199104876</v>
      </c>
      <c r="X18" s="134">
        <v>2046.96526042029</v>
      </c>
      <c r="Y18" s="134">
        <v>1915.0950935476401</v>
      </c>
      <c r="Z18" s="134">
        <v>2044.4848997322999</v>
      </c>
      <c r="AA18" s="134">
        <v>1986.78486174969</v>
      </c>
      <c r="AB18" s="134">
        <v>1838.95663324926</v>
      </c>
      <c r="AC18" s="134">
        <v>1903.65369854196</v>
      </c>
      <c r="AD18" s="134">
        <v>1949.53881755733</v>
      </c>
      <c r="AE18" s="134">
        <v>1871.2140147699499</v>
      </c>
      <c r="AF18" s="134">
        <v>1788.7802003368899</v>
      </c>
      <c r="AG18" s="134">
        <v>1793.7676398481201</v>
      </c>
      <c r="AH18" s="519">
        <v>1521.94803385664</v>
      </c>
    </row>
    <row r="19" spans="1:34" s="514" customFormat="1" ht="15" customHeight="1">
      <c r="A19" s="515" t="s">
        <v>8892</v>
      </c>
      <c r="B19" s="516" t="s">
        <v>8893</v>
      </c>
      <c r="C19" s="517" t="s">
        <v>8894</v>
      </c>
      <c r="D19" s="134">
        <v>2674.4528779329598</v>
      </c>
      <c r="E19" s="134">
        <v>2817.0433402293702</v>
      </c>
      <c r="F19" s="134">
        <v>2773.6995582985201</v>
      </c>
      <c r="G19" s="134">
        <v>2865.3640522283599</v>
      </c>
      <c r="H19" s="134">
        <v>2956.67500481148</v>
      </c>
      <c r="I19" s="134">
        <v>3012.79157033104</v>
      </c>
      <c r="J19" s="134">
        <v>3078.7450392310202</v>
      </c>
      <c r="K19" s="134">
        <v>2999.0637239232601</v>
      </c>
      <c r="L19" s="134">
        <v>3059.2876886703598</v>
      </c>
      <c r="M19" s="134">
        <v>3141.64493593305</v>
      </c>
      <c r="N19" s="134">
        <v>3164.7459378399899</v>
      </c>
      <c r="O19" s="134">
        <v>3119.9855711590599</v>
      </c>
      <c r="P19" s="134">
        <v>2959.10681762168</v>
      </c>
      <c r="Q19" s="134">
        <v>3053.7629494855701</v>
      </c>
      <c r="R19" s="134">
        <v>3049.8983973832901</v>
      </c>
      <c r="S19" s="134">
        <v>3164.0247782478</v>
      </c>
      <c r="T19" s="134">
        <v>3161.44734478501</v>
      </c>
      <c r="U19" s="134">
        <v>3202.8918084774</v>
      </c>
      <c r="V19" s="134">
        <v>3327.97473496771</v>
      </c>
      <c r="W19" s="134">
        <v>2949.97017138005</v>
      </c>
      <c r="X19" s="134">
        <v>3041.0290088335701</v>
      </c>
      <c r="Y19" s="134">
        <v>2950.6728631665801</v>
      </c>
      <c r="Z19" s="134">
        <v>3076.8322380250502</v>
      </c>
      <c r="AA19" s="134">
        <v>3037.2953325590302</v>
      </c>
      <c r="AB19" s="134">
        <v>2986.4064113722602</v>
      </c>
      <c r="AC19" s="134">
        <v>3104.1320733985099</v>
      </c>
      <c r="AD19" s="134">
        <v>3228.4786001993998</v>
      </c>
      <c r="AE19" s="134">
        <v>3192.4689141263898</v>
      </c>
      <c r="AF19" s="134">
        <v>3119.2174765624</v>
      </c>
      <c r="AG19" s="134">
        <v>3085.2646877719899</v>
      </c>
      <c r="AH19" s="519">
        <v>2719.7229784083502</v>
      </c>
    </row>
    <row r="20" spans="1:34" s="514" customFormat="1" ht="15" customHeight="1">
      <c r="A20" s="515" t="s">
        <v>8895</v>
      </c>
      <c r="B20" s="516" t="s">
        <v>8896</v>
      </c>
      <c r="C20" s="517" t="s">
        <v>8897</v>
      </c>
      <c r="D20" s="134">
        <v>10846.4854838874</v>
      </c>
      <c r="E20" s="134">
        <v>10166.4263750356</v>
      </c>
      <c r="F20" s="134">
        <v>10294.3928403604</v>
      </c>
      <c r="G20" s="134">
        <v>10503.0751049051</v>
      </c>
      <c r="H20" s="134">
        <v>9869.2797511016597</v>
      </c>
      <c r="I20" s="134">
        <v>9983.5864016444993</v>
      </c>
      <c r="J20" s="134">
        <v>9853.6387010729704</v>
      </c>
      <c r="K20" s="134">
        <v>9452.1723243866509</v>
      </c>
      <c r="L20" s="134">
        <v>9075.8963527442793</v>
      </c>
      <c r="M20" s="134">
        <v>9242.0228972350196</v>
      </c>
      <c r="N20" s="134">
        <v>9104.4633398780406</v>
      </c>
      <c r="O20" s="134">
        <v>9071.8063060924196</v>
      </c>
      <c r="P20" s="134">
        <v>8728.5512622515598</v>
      </c>
      <c r="Q20" s="134">
        <v>9078.3754384480708</v>
      </c>
      <c r="R20" s="134">
        <v>9231.8417480115095</v>
      </c>
      <c r="S20" s="134">
        <v>7920.6882106229396</v>
      </c>
      <c r="T20" s="134">
        <v>8095.7984211986904</v>
      </c>
      <c r="U20" s="134">
        <v>8086.0540897118499</v>
      </c>
      <c r="V20" s="134">
        <v>7535.6185877599601</v>
      </c>
      <c r="W20" s="134">
        <v>6814.0460655820698</v>
      </c>
      <c r="X20" s="134">
        <v>6784.3467165290804</v>
      </c>
      <c r="Y20" s="134">
        <v>6206.3664098141699</v>
      </c>
      <c r="Z20" s="134">
        <v>6145.5058803894099</v>
      </c>
      <c r="AA20" s="134">
        <v>5595.2013972929399</v>
      </c>
      <c r="AB20" s="134">
        <v>4968.51946590855</v>
      </c>
      <c r="AC20" s="134">
        <v>4623.3935610435001</v>
      </c>
      <c r="AD20" s="134">
        <v>4513.2164477763599</v>
      </c>
      <c r="AE20" s="134">
        <v>4494.0803366888003</v>
      </c>
      <c r="AF20" s="134">
        <v>4513.4858547014801</v>
      </c>
      <c r="AG20" s="134">
        <v>4544.4526101832098</v>
      </c>
      <c r="AH20" s="519">
        <v>3916.1407709677701</v>
      </c>
    </row>
    <row r="21" spans="1:34" s="514" customFormat="1" ht="15" customHeight="1">
      <c r="A21" s="515" t="s">
        <v>8898</v>
      </c>
      <c r="B21" s="516" t="s">
        <v>8899</v>
      </c>
      <c r="C21" s="517" t="s">
        <v>8900</v>
      </c>
      <c r="D21" s="134">
        <v>5480.0277010136697</v>
      </c>
      <c r="E21" s="134">
        <v>5808.4642388278598</v>
      </c>
      <c r="F21" s="134">
        <v>5920.44102917296</v>
      </c>
      <c r="G21" s="134">
        <v>5030.1581723013696</v>
      </c>
      <c r="H21" s="134">
        <v>4503.0146583498799</v>
      </c>
      <c r="I21" s="134">
        <v>4204.6079182678504</v>
      </c>
      <c r="J21" s="134">
        <v>5352.9234847814596</v>
      </c>
      <c r="K21" s="134">
        <v>5975.8470217610802</v>
      </c>
      <c r="L21" s="134">
        <v>5231.6235941473597</v>
      </c>
      <c r="M21" s="134">
        <v>4925.13411064302</v>
      </c>
      <c r="N21" s="134">
        <v>4590.2376432350202</v>
      </c>
      <c r="O21" s="134">
        <v>4256.4421555848403</v>
      </c>
      <c r="P21" s="134">
        <v>3659.4870537685601</v>
      </c>
      <c r="Q21" s="134">
        <v>3698.2232298891599</v>
      </c>
      <c r="R21" s="134">
        <v>3689.9530954259799</v>
      </c>
      <c r="S21" s="134">
        <v>3647.73476944292</v>
      </c>
      <c r="T21" s="134">
        <v>3877.8131813478499</v>
      </c>
      <c r="U21" s="134">
        <v>3544.8518932986599</v>
      </c>
      <c r="V21" s="134">
        <v>3360.4349770394601</v>
      </c>
      <c r="W21" s="134">
        <v>3158.1834825533101</v>
      </c>
      <c r="X21" s="134">
        <v>3381.2195561523799</v>
      </c>
      <c r="Y21" s="134">
        <v>2785.2206685767201</v>
      </c>
      <c r="Z21" s="134">
        <v>3090.5856530072801</v>
      </c>
      <c r="AA21" s="134">
        <v>3019.5157878105201</v>
      </c>
      <c r="AB21" s="134">
        <v>2616.4301918676101</v>
      </c>
      <c r="AC21" s="134">
        <v>2833.3809843665399</v>
      </c>
      <c r="AD21" s="134">
        <v>2772.0010335616198</v>
      </c>
      <c r="AE21" s="134">
        <v>2826.85819618298</v>
      </c>
      <c r="AF21" s="134">
        <v>2668.9472699416301</v>
      </c>
      <c r="AG21" s="134">
        <v>2552.5568061439999</v>
      </c>
      <c r="AH21" s="519">
        <v>2348.9149824205401</v>
      </c>
    </row>
    <row r="22" spans="1:34" s="514" customFormat="1" ht="15" customHeight="1">
      <c r="A22" s="515" t="s">
        <v>8901</v>
      </c>
      <c r="B22" s="516" t="s">
        <v>8902</v>
      </c>
      <c r="C22" s="517" t="s">
        <v>8903</v>
      </c>
      <c r="D22" s="134">
        <v>5742.5253892029104</v>
      </c>
      <c r="E22" s="134">
        <v>6066.9778220973603</v>
      </c>
      <c r="F22" s="134">
        <v>6414.42176023703</v>
      </c>
      <c r="G22" s="134">
        <v>6098.4011132323403</v>
      </c>
      <c r="H22" s="134">
        <v>6173.1006413366104</v>
      </c>
      <c r="I22" s="134">
        <v>6089.0205320190998</v>
      </c>
      <c r="J22" s="134">
        <v>6618.7271874503404</v>
      </c>
      <c r="K22" s="134">
        <v>5803.7591129592502</v>
      </c>
      <c r="L22" s="134">
        <v>5908.2294735242103</v>
      </c>
      <c r="M22" s="134">
        <v>5462.5414628262497</v>
      </c>
      <c r="N22" s="134">
        <v>4866.6104701621398</v>
      </c>
      <c r="O22" s="134">
        <v>5202.2507965187897</v>
      </c>
      <c r="P22" s="134">
        <v>4212.2762653221998</v>
      </c>
      <c r="Q22" s="134">
        <v>3843.1409145972002</v>
      </c>
      <c r="R22" s="134">
        <v>4466.1560798918699</v>
      </c>
      <c r="S22" s="134">
        <v>5484.83987908175</v>
      </c>
      <c r="T22" s="134">
        <v>4623.9918017640703</v>
      </c>
      <c r="U22" s="134">
        <v>4629.1017456793597</v>
      </c>
      <c r="V22" s="134">
        <v>5136.5931329566001</v>
      </c>
      <c r="W22" s="134">
        <v>5083.6672944004704</v>
      </c>
      <c r="X22" s="134">
        <v>5426.4994276745601</v>
      </c>
      <c r="Y22" s="134">
        <v>4911.4510669136598</v>
      </c>
      <c r="Z22" s="134">
        <v>5483.2010868485304</v>
      </c>
      <c r="AA22" s="134">
        <v>5969.2166519807297</v>
      </c>
      <c r="AB22" s="134">
        <v>5352.0339353188101</v>
      </c>
      <c r="AC22" s="134">
        <v>5295.72731641265</v>
      </c>
      <c r="AD22" s="134">
        <v>5489.4109391183802</v>
      </c>
      <c r="AE22" s="134">
        <v>5276.2543953881896</v>
      </c>
      <c r="AF22" s="134">
        <v>5452.3712986180899</v>
      </c>
      <c r="AG22" s="134">
        <v>5162.6048823582596</v>
      </c>
      <c r="AH22" s="519">
        <v>4844.2230605343602</v>
      </c>
    </row>
    <row r="23" spans="1:34" s="514" customFormat="1" ht="15" customHeight="1">
      <c r="A23" s="515" t="s">
        <v>8904</v>
      </c>
      <c r="B23" s="516" t="s">
        <v>8905</v>
      </c>
      <c r="C23" s="517" t="s">
        <v>8906</v>
      </c>
      <c r="D23" s="134">
        <v>1640.17605727</v>
      </c>
      <c r="E23" s="134">
        <v>1759.099999394</v>
      </c>
      <c r="F23" s="134">
        <v>1597.8848206165701</v>
      </c>
      <c r="G23" s="134">
        <v>1680.87864268351</v>
      </c>
      <c r="H23" s="134">
        <v>1644.5863786540899</v>
      </c>
      <c r="I23" s="134">
        <v>1631.59940879194</v>
      </c>
      <c r="J23" s="134">
        <v>1689.5023457940099</v>
      </c>
      <c r="K23" s="134">
        <v>1526.6382213345601</v>
      </c>
      <c r="L23" s="134">
        <v>1570.0018691426301</v>
      </c>
      <c r="M23" s="134">
        <v>1542.7029853259</v>
      </c>
      <c r="N23" s="134">
        <v>1552.8879209090801</v>
      </c>
      <c r="O23" s="134">
        <v>1591.8734435700901</v>
      </c>
      <c r="P23" s="134">
        <v>1357.7113101439099</v>
      </c>
      <c r="Q23" s="134">
        <v>1382.6439702294999</v>
      </c>
      <c r="R23" s="134">
        <v>1346.03169485644</v>
      </c>
      <c r="S23" s="134">
        <v>1417.6763730013899</v>
      </c>
      <c r="T23" s="134">
        <v>1172.99582401823</v>
      </c>
      <c r="U23" s="134">
        <v>1112.8824523819601</v>
      </c>
      <c r="V23" s="134">
        <v>1235.7118343142699</v>
      </c>
      <c r="W23" s="134">
        <v>1063.2923714757801</v>
      </c>
      <c r="X23" s="134">
        <v>1065.13499900536</v>
      </c>
      <c r="Y23" s="134">
        <v>972.09985519468796</v>
      </c>
      <c r="Z23" s="134">
        <v>1034.3878198550301</v>
      </c>
      <c r="AA23" s="134">
        <v>1029.3079549249501</v>
      </c>
      <c r="AB23" s="134">
        <v>948.606446202999</v>
      </c>
      <c r="AC23" s="134">
        <v>982.48140728118904</v>
      </c>
      <c r="AD23" s="134">
        <v>1004.34122414253</v>
      </c>
      <c r="AE23" s="134">
        <v>993.24600054633004</v>
      </c>
      <c r="AF23" s="134">
        <v>975.50136321664297</v>
      </c>
      <c r="AG23" s="134">
        <v>978.58116680299599</v>
      </c>
      <c r="AH23" s="519">
        <v>864.36143332081394</v>
      </c>
    </row>
    <row r="24" spans="1:34" s="514" customFormat="1" ht="15" customHeight="1">
      <c r="A24" s="515" t="s">
        <v>8907</v>
      </c>
      <c r="B24" s="516" t="s">
        <v>8908</v>
      </c>
      <c r="C24" s="517" t="s">
        <v>8909</v>
      </c>
      <c r="D24" s="134">
        <v>1118.0312701954299</v>
      </c>
      <c r="E24" s="134">
        <v>1217.2073452429099</v>
      </c>
      <c r="F24" s="134">
        <v>1157.6718859288201</v>
      </c>
      <c r="G24" s="134">
        <v>1214.38606721988</v>
      </c>
      <c r="H24" s="134">
        <v>1214.7359340866799</v>
      </c>
      <c r="I24" s="134">
        <v>1240.31602660315</v>
      </c>
      <c r="J24" s="134">
        <v>1291.88554622779</v>
      </c>
      <c r="K24" s="134">
        <v>1185.6545168391201</v>
      </c>
      <c r="L24" s="134">
        <v>1232.8261422890901</v>
      </c>
      <c r="M24" s="134">
        <v>1255.6160008685399</v>
      </c>
      <c r="N24" s="134">
        <v>1277.8284524006001</v>
      </c>
      <c r="O24" s="134">
        <v>1245.9371502066599</v>
      </c>
      <c r="P24" s="134">
        <v>1099.81615596238</v>
      </c>
      <c r="Q24" s="134">
        <v>1137.3702623609399</v>
      </c>
      <c r="R24" s="134">
        <v>1100.77249115731</v>
      </c>
      <c r="S24" s="134">
        <v>1130.9588797098299</v>
      </c>
      <c r="T24" s="134">
        <v>1071.4550405616701</v>
      </c>
      <c r="U24" s="134">
        <v>986.82775062172095</v>
      </c>
      <c r="V24" s="134">
        <v>1147.2797656760699</v>
      </c>
      <c r="W24" s="134">
        <v>972.54926092980895</v>
      </c>
      <c r="X24" s="134">
        <v>979.06258986440298</v>
      </c>
      <c r="Y24" s="134">
        <v>896.41946226383004</v>
      </c>
      <c r="Z24" s="134">
        <v>963.79077248628505</v>
      </c>
      <c r="AA24" s="134">
        <v>971.18818198495796</v>
      </c>
      <c r="AB24" s="134">
        <v>887.70370503803599</v>
      </c>
      <c r="AC24" s="134">
        <v>951.51805338188501</v>
      </c>
      <c r="AD24" s="134">
        <v>972.63533698269703</v>
      </c>
      <c r="AE24" s="134">
        <v>957.59563900847297</v>
      </c>
      <c r="AF24" s="134">
        <v>943.10567753648104</v>
      </c>
      <c r="AG24" s="134">
        <v>942.56256786259598</v>
      </c>
      <c r="AH24" s="519">
        <v>831.92368019877404</v>
      </c>
    </row>
    <row r="25" spans="1:34" s="514" customFormat="1" ht="15" customHeight="1">
      <c r="A25" s="515" t="s">
        <v>8910</v>
      </c>
      <c r="B25" s="516" t="s">
        <v>8911</v>
      </c>
      <c r="C25" s="517" t="s">
        <v>8912</v>
      </c>
      <c r="D25" s="134">
        <v>45.1512624675944</v>
      </c>
      <c r="E25" s="134">
        <v>45.462396618951303</v>
      </c>
      <c r="F25" s="134">
        <v>46.493971834646203</v>
      </c>
      <c r="G25" s="134">
        <v>47.519859199400798</v>
      </c>
      <c r="H25" s="134">
        <v>50.091917885197297</v>
      </c>
      <c r="I25" s="134">
        <v>51.667909966309097</v>
      </c>
      <c r="J25" s="134">
        <v>50.3544633567777</v>
      </c>
      <c r="K25" s="134">
        <v>50.843237909646199</v>
      </c>
      <c r="L25" s="134">
        <v>48.7141766919651</v>
      </c>
      <c r="M25" s="134">
        <v>50.202296831220401</v>
      </c>
      <c r="N25" s="134">
        <v>60.252233721455603</v>
      </c>
      <c r="O25" s="134">
        <v>53.967546593226899</v>
      </c>
      <c r="P25" s="134">
        <v>43.321243931972901</v>
      </c>
      <c r="Q25" s="134">
        <v>35.944028060981999</v>
      </c>
      <c r="R25" s="134">
        <v>37.598393665970697</v>
      </c>
      <c r="S25" s="134">
        <v>43.351369018046398</v>
      </c>
      <c r="T25" s="134">
        <v>38.667810743527099</v>
      </c>
      <c r="U25" s="134">
        <v>32.847198503726297</v>
      </c>
      <c r="V25" s="134">
        <v>31.826834427200499</v>
      </c>
      <c r="W25" s="134">
        <v>25.209717011071099</v>
      </c>
      <c r="X25" s="134">
        <v>33.066402849877598</v>
      </c>
      <c r="Y25" s="134">
        <v>32.874616075723402</v>
      </c>
      <c r="Z25" s="134">
        <v>31.935213574391099</v>
      </c>
      <c r="AA25" s="134">
        <v>28.742860259507001</v>
      </c>
      <c r="AB25" s="134">
        <v>31.789290209252599</v>
      </c>
      <c r="AC25" s="134">
        <v>28.672270243305299</v>
      </c>
      <c r="AD25" s="134">
        <v>35.087864215208299</v>
      </c>
      <c r="AE25" s="134">
        <v>30.7282902327137</v>
      </c>
      <c r="AF25" s="134">
        <v>30.624452790258299</v>
      </c>
      <c r="AG25" s="134">
        <v>33.229940411716598</v>
      </c>
      <c r="AH25" s="519">
        <v>22.816502371249801</v>
      </c>
    </row>
    <row r="26" spans="1:34" s="514" customFormat="1" ht="15" customHeight="1">
      <c r="A26" s="515" t="s">
        <v>8613</v>
      </c>
      <c r="B26" s="516" t="s">
        <v>8913</v>
      </c>
      <c r="C26" s="517" t="s">
        <v>8914</v>
      </c>
      <c r="D26" s="134">
        <v>140788.25206446601</v>
      </c>
      <c r="E26" s="134">
        <v>149315.36260820701</v>
      </c>
      <c r="F26" s="134">
        <v>147499.43694547701</v>
      </c>
      <c r="G26" s="134">
        <v>152255.13372350601</v>
      </c>
      <c r="H26" s="134">
        <v>147214.42869880999</v>
      </c>
      <c r="I26" s="134">
        <v>141908.739412353</v>
      </c>
      <c r="J26" s="134">
        <v>157018.77616769299</v>
      </c>
      <c r="K26" s="134">
        <v>151040.62226136599</v>
      </c>
      <c r="L26" s="134">
        <v>153007.738934391</v>
      </c>
      <c r="M26" s="134">
        <v>154183.906768032</v>
      </c>
      <c r="N26" s="134">
        <v>154334.45155430699</v>
      </c>
      <c r="O26" s="134">
        <v>158047.39582297101</v>
      </c>
      <c r="P26" s="134">
        <v>157070.32915706901</v>
      </c>
      <c r="Q26" s="134">
        <v>157016.00291746799</v>
      </c>
      <c r="R26" s="134">
        <v>159652.22550007401</v>
      </c>
      <c r="S26" s="134">
        <v>155656.78168536699</v>
      </c>
      <c r="T26" s="134">
        <v>153003.70189232199</v>
      </c>
      <c r="U26" s="134">
        <v>149605.57110460801</v>
      </c>
      <c r="V26" s="134">
        <v>149581.853015036</v>
      </c>
      <c r="W26" s="134">
        <v>145051.63409037</v>
      </c>
      <c r="X26" s="134">
        <v>152626.30606887801</v>
      </c>
      <c r="Y26" s="134">
        <v>134387.64427479601</v>
      </c>
      <c r="Z26" s="134">
        <v>141289.73896774801</v>
      </c>
      <c r="AA26" s="134">
        <v>142529.23675274799</v>
      </c>
      <c r="AB26" s="134">
        <v>130242.499107282</v>
      </c>
      <c r="AC26" s="134">
        <v>133995.58939387801</v>
      </c>
      <c r="AD26" s="134">
        <v>136133.172342515</v>
      </c>
      <c r="AE26" s="134">
        <v>134661.858665815</v>
      </c>
      <c r="AF26" s="134">
        <v>136552.781209765</v>
      </c>
      <c r="AG26" s="134">
        <v>132947.70054888399</v>
      </c>
      <c r="AH26" s="519">
        <v>118175.572328379</v>
      </c>
    </row>
    <row r="27" spans="1:34" s="514" customFormat="1" ht="15" customHeight="1" thickBot="1">
      <c r="A27" s="515" t="s">
        <v>8613</v>
      </c>
      <c r="B27" s="515" t="s">
        <v>8613</v>
      </c>
      <c r="C27" s="517" t="s">
        <v>8915</v>
      </c>
      <c r="D27" s="519">
        <v>13111.789121908099</v>
      </c>
      <c r="E27" s="519">
        <v>12599.5434462308</v>
      </c>
      <c r="F27" s="519">
        <v>11761.757840444399</v>
      </c>
      <c r="G27" s="519">
        <v>11166.4375448017</v>
      </c>
      <c r="H27" s="519">
        <v>10743.104573472099</v>
      </c>
      <c r="I27" s="519">
        <v>10756.2998330761</v>
      </c>
      <c r="J27" s="519">
        <v>9731.8195240001096</v>
      </c>
      <c r="K27" s="519">
        <v>9176.2339308017908</v>
      </c>
      <c r="L27" s="519">
        <v>8371.4019280993998</v>
      </c>
      <c r="M27" s="519">
        <v>8485.6245106060906</v>
      </c>
      <c r="N27" s="519">
        <v>8217.7956878655095</v>
      </c>
      <c r="O27" s="519">
        <v>7572.6657180608699</v>
      </c>
      <c r="P27" s="519">
        <v>6750.4755703967803</v>
      </c>
      <c r="Q27" s="519">
        <v>6604.4317626261</v>
      </c>
      <c r="R27" s="519">
        <v>5742.5646606993296</v>
      </c>
      <c r="S27" s="519">
        <v>5368.2307048088396</v>
      </c>
      <c r="T27" s="519">
        <v>4957.44753210619</v>
      </c>
      <c r="U27" s="519">
        <v>4346.8979962181602</v>
      </c>
      <c r="V27" s="519">
        <v>3645.24571796688</v>
      </c>
      <c r="W27" s="519">
        <v>3565.2872322069702</v>
      </c>
      <c r="X27" s="519">
        <v>3509.0356733909298</v>
      </c>
      <c r="Y27" s="519">
        <v>2913.82952772099</v>
      </c>
      <c r="Z27" s="519">
        <v>3098.9002185456902</v>
      </c>
      <c r="AA27" s="519">
        <v>3044.1060754938699</v>
      </c>
      <c r="AB27" s="519">
        <v>2767.4779573276201</v>
      </c>
      <c r="AC27" s="519">
        <v>3072.8384844484999</v>
      </c>
      <c r="AD27" s="519">
        <v>3176.0288536549801</v>
      </c>
      <c r="AE27" s="519">
        <v>2974.6589279208001</v>
      </c>
      <c r="AF27" s="519">
        <v>3642.00385876058</v>
      </c>
      <c r="AG27" s="520">
        <v>4020.3266378906001</v>
      </c>
      <c r="AH27" s="521">
        <v>3659.2972824802</v>
      </c>
    </row>
    <row r="28" spans="1:34" s="514" customFormat="1" ht="17.5" customHeight="1">
      <c r="A28" s="522"/>
      <c r="B28" s="523"/>
      <c r="C28" s="524" t="s">
        <v>8916</v>
      </c>
      <c r="D28" s="525">
        <v>806258.31028923905</v>
      </c>
      <c r="E28" s="525">
        <v>814572.26132290403</v>
      </c>
      <c r="F28" s="525">
        <v>793038.39529483102</v>
      </c>
      <c r="G28" s="525">
        <v>773070.961923594</v>
      </c>
      <c r="H28" s="525">
        <v>761756.87937338301</v>
      </c>
      <c r="I28" s="525">
        <v>755436.70356422698</v>
      </c>
      <c r="J28" s="525">
        <v>775185.68865237106</v>
      </c>
      <c r="K28" s="525">
        <v>750466.46541253303</v>
      </c>
      <c r="L28" s="525">
        <v>748296.87012461096</v>
      </c>
      <c r="M28" s="525">
        <v>718475.919554502</v>
      </c>
      <c r="N28" s="525">
        <v>718235.96323508304</v>
      </c>
      <c r="O28" s="525">
        <v>720796.391596284</v>
      </c>
      <c r="P28" s="525">
        <v>698486.72355612705</v>
      </c>
      <c r="Q28" s="525">
        <v>704944.16594972403</v>
      </c>
      <c r="R28" s="525">
        <v>700620.74547198496</v>
      </c>
      <c r="S28" s="525">
        <v>692334.10608894599</v>
      </c>
      <c r="T28" s="525">
        <v>684617.05622497597</v>
      </c>
      <c r="U28" s="525">
        <v>672065.32353057305</v>
      </c>
      <c r="V28" s="525">
        <v>650526.86288817902</v>
      </c>
      <c r="W28" s="525">
        <v>594304.48074329598</v>
      </c>
      <c r="X28" s="525">
        <v>608576.39865237498</v>
      </c>
      <c r="Y28" s="525">
        <v>562829.15311143198</v>
      </c>
      <c r="Z28" s="525">
        <v>579277.85758945404</v>
      </c>
      <c r="AA28" s="525">
        <v>565622.22259622801</v>
      </c>
      <c r="AB28" s="525">
        <v>525235.38520736306</v>
      </c>
      <c r="AC28" s="525">
        <v>507911.16539185698</v>
      </c>
      <c r="AD28" s="525">
        <v>483062.88782101002</v>
      </c>
      <c r="AE28" s="525">
        <v>471646.00775683799</v>
      </c>
      <c r="AF28" s="525">
        <v>463463.23534896597</v>
      </c>
      <c r="AG28" s="525">
        <v>447877.43626689602</v>
      </c>
      <c r="AH28" s="526">
        <v>405513.56947270001</v>
      </c>
    </row>
    <row r="29" spans="1:34" ht="15" customHeight="1">
      <c r="A29" s="527"/>
      <c r="B29" s="504"/>
      <c r="C29" s="528"/>
      <c r="D29" s="529"/>
      <c r="E29" s="529"/>
      <c r="F29" s="529"/>
      <c r="G29" s="529"/>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G29" s="504"/>
    </row>
    <row r="30" spans="1:34" ht="15" customHeight="1">
      <c r="A30" s="527"/>
      <c r="B30" s="504"/>
      <c r="C30" s="530"/>
      <c r="D30" s="531"/>
      <c r="E30" s="531"/>
      <c r="F30" s="531"/>
      <c r="G30" s="531"/>
      <c r="H30" s="531"/>
      <c r="I30" s="531"/>
      <c r="J30" s="531"/>
      <c r="K30" s="531"/>
      <c r="L30" s="531"/>
      <c r="M30" s="531"/>
      <c r="N30" s="531"/>
      <c r="O30" s="531"/>
      <c r="P30" s="531"/>
      <c r="Q30" s="531"/>
      <c r="R30" s="531"/>
      <c r="S30" s="531"/>
      <c r="T30" s="531"/>
      <c r="U30" s="531"/>
      <c r="V30" s="531"/>
      <c r="W30" s="531"/>
      <c r="X30" s="531"/>
      <c r="Y30" s="531"/>
      <c r="Z30" s="531"/>
      <c r="AA30" s="531"/>
      <c r="AB30" s="531"/>
      <c r="AC30" s="531"/>
      <c r="AD30" s="531"/>
      <c r="AE30" s="531"/>
      <c r="AF30" s="531"/>
      <c r="AG30" s="504"/>
    </row>
    <row r="31" spans="1:34" s="534" customFormat="1" ht="15" customHeight="1">
      <c r="A31" s="532" t="s">
        <v>8836</v>
      </c>
      <c r="B31" s="532" t="s">
        <v>8835</v>
      </c>
      <c r="C31" s="532" t="s">
        <v>8917</v>
      </c>
      <c r="D31" s="533" t="s">
        <v>8838</v>
      </c>
      <c r="E31" s="533" t="s">
        <v>8839</v>
      </c>
      <c r="F31" s="533" t="s">
        <v>8840</v>
      </c>
      <c r="G31" s="533" t="s">
        <v>8841</v>
      </c>
      <c r="H31" s="533" t="s">
        <v>8842</v>
      </c>
      <c r="I31" s="533" t="s">
        <v>8707</v>
      </c>
      <c r="J31" s="533" t="s">
        <v>8843</v>
      </c>
      <c r="K31" s="533" t="s">
        <v>8844</v>
      </c>
      <c r="L31" s="533" t="s">
        <v>8845</v>
      </c>
      <c r="M31" s="533" t="s">
        <v>8846</v>
      </c>
      <c r="N31" s="533" t="s">
        <v>8708</v>
      </c>
      <c r="O31" s="533" t="s">
        <v>8847</v>
      </c>
      <c r="P31" s="533" t="s">
        <v>8848</v>
      </c>
      <c r="Q31" s="533" t="s">
        <v>8849</v>
      </c>
      <c r="R31" s="533" t="s">
        <v>8850</v>
      </c>
      <c r="S31" s="533" t="s">
        <v>8709</v>
      </c>
      <c r="T31" s="533" t="s">
        <v>8851</v>
      </c>
      <c r="U31" s="533" t="s">
        <v>8852</v>
      </c>
      <c r="V31" s="533" t="s">
        <v>7766</v>
      </c>
      <c r="W31" s="533" t="s">
        <v>7767</v>
      </c>
      <c r="X31" s="533" t="s">
        <v>7768</v>
      </c>
      <c r="Y31" s="533" t="s">
        <v>7769</v>
      </c>
      <c r="Z31" s="533" t="s">
        <v>7770</v>
      </c>
      <c r="AA31" s="533" t="s">
        <v>7771</v>
      </c>
      <c r="AB31" s="533" t="s">
        <v>7772</v>
      </c>
      <c r="AC31" s="533" t="s">
        <v>7773</v>
      </c>
      <c r="AD31" s="533" t="s">
        <v>7774</v>
      </c>
      <c r="AE31" s="533" t="s">
        <v>7775</v>
      </c>
      <c r="AF31" s="533" t="s">
        <v>7776</v>
      </c>
      <c r="AG31" s="533" t="s">
        <v>7777</v>
      </c>
      <c r="AH31" s="533" t="s">
        <v>7778</v>
      </c>
    </row>
    <row r="32" spans="1:34" s="514" customFormat="1" ht="15" customHeight="1">
      <c r="A32" s="535">
        <v>1</v>
      </c>
      <c r="B32" s="515" t="s">
        <v>8853</v>
      </c>
      <c r="C32" s="517" t="s">
        <v>8918</v>
      </c>
      <c r="D32" s="134">
        <v>54203.704458777698</v>
      </c>
      <c r="E32" s="134">
        <v>53932.774424670497</v>
      </c>
      <c r="F32" s="134">
        <v>53461.214915617398</v>
      </c>
      <c r="G32" s="134">
        <v>52593.185912562702</v>
      </c>
      <c r="H32" s="134">
        <v>53767.813231338398</v>
      </c>
      <c r="I32" s="134">
        <v>53560.684548314501</v>
      </c>
      <c r="J32" s="134">
        <v>54521.131774973102</v>
      </c>
      <c r="K32" s="134">
        <v>53660.052539653298</v>
      </c>
      <c r="L32" s="134">
        <v>53601.975384598401</v>
      </c>
      <c r="M32" s="134">
        <v>53596.881616261002</v>
      </c>
      <c r="N32" s="134">
        <v>51158.692369650496</v>
      </c>
      <c r="O32" s="134">
        <v>48957.147843403502</v>
      </c>
      <c r="P32" s="134">
        <v>48619.062420748502</v>
      </c>
      <c r="Q32" s="134">
        <v>49468.553836617102</v>
      </c>
      <c r="R32" s="134">
        <v>49494.854063780498</v>
      </c>
      <c r="S32" s="134">
        <v>49201.380992637598</v>
      </c>
      <c r="T32" s="134">
        <v>47912.154952534504</v>
      </c>
      <c r="U32" s="134">
        <v>47171.583848477203</v>
      </c>
      <c r="V32" s="134">
        <v>45916.706013010698</v>
      </c>
      <c r="W32" s="134">
        <v>45581.893675396801</v>
      </c>
      <c r="X32" s="134">
        <v>45924.002072445903</v>
      </c>
      <c r="Y32" s="134">
        <v>45917.304711131299</v>
      </c>
      <c r="Z32" s="134">
        <v>45552.217651358602</v>
      </c>
      <c r="AA32" s="134">
        <v>45259.721460642999</v>
      </c>
      <c r="AB32" s="134">
        <v>46839.693552798999</v>
      </c>
      <c r="AC32" s="134">
        <v>46572.780821380598</v>
      </c>
      <c r="AD32" s="134">
        <v>46579.560117157598</v>
      </c>
      <c r="AE32" s="134">
        <v>47050.989062818902</v>
      </c>
      <c r="AF32" s="134">
        <v>46510.188565680597</v>
      </c>
      <c r="AG32" s="518">
        <v>46733.760607069598</v>
      </c>
      <c r="AH32" s="519">
        <v>45066.854658602002</v>
      </c>
    </row>
    <row r="33" spans="1:34" s="514" customFormat="1" ht="15" customHeight="1">
      <c r="A33" s="535">
        <v>2</v>
      </c>
      <c r="B33" s="515" t="s">
        <v>8853</v>
      </c>
      <c r="C33" s="517" t="s">
        <v>8919</v>
      </c>
      <c r="D33" s="134">
        <v>46.744316062543199</v>
      </c>
      <c r="E33" s="134">
        <v>46.941640409991599</v>
      </c>
      <c r="F33" s="134">
        <v>47.685892873077897</v>
      </c>
      <c r="G33" s="134">
        <v>53.671834262675397</v>
      </c>
      <c r="H33" s="134">
        <v>60.858059914089402</v>
      </c>
      <c r="I33" s="134">
        <v>52.405841312093003</v>
      </c>
      <c r="J33" s="134">
        <v>49.382137666865901</v>
      </c>
      <c r="K33" s="134">
        <v>55.302743821683698</v>
      </c>
      <c r="L33" s="134">
        <v>53.357794942786597</v>
      </c>
      <c r="M33" s="134">
        <v>53.916507521663902</v>
      </c>
      <c r="N33" s="134">
        <v>53.054273930783701</v>
      </c>
      <c r="O33" s="134">
        <v>50.936198758568601</v>
      </c>
      <c r="P33" s="134">
        <v>49.612590214430703</v>
      </c>
      <c r="Q33" s="134">
        <v>48.745006388816797</v>
      </c>
      <c r="R33" s="134">
        <v>45.444962633079697</v>
      </c>
      <c r="S33" s="134">
        <v>55.551123739476402</v>
      </c>
      <c r="T33" s="134">
        <v>51.9499292904462</v>
      </c>
      <c r="U33" s="134">
        <v>62.788453208073904</v>
      </c>
      <c r="V33" s="134">
        <v>46.113649567797097</v>
      </c>
      <c r="W33" s="134">
        <v>44.591906530820303</v>
      </c>
      <c r="X33" s="134">
        <v>43.257038522821802</v>
      </c>
      <c r="Y33" s="134">
        <v>44.669063825674499</v>
      </c>
      <c r="Z33" s="134">
        <v>50.912366653806998</v>
      </c>
      <c r="AA33" s="134">
        <v>53.178616094319402</v>
      </c>
      <c r="AB33" s="134">
        <v>63.831457916250599</v>
      </c>
      <c r="AC33" s="134">
        <v>72.729164948327707</v>
      </c>
      <c r="AD33" s="134">
        <v>87.555166891535094</v>
      </c>
      <c r="AE33" s="134">
        <v>87.693368471967005</v>
      </c>
      <c r="AF33" s="134">
        <v>87.458859517802694</v>
      </c>
      <c r="AG33" s="134">
        <v>92.124227806683905</v>
      </c>
      <c r="AH33" s="519">
        <v>88.889698927721</v>
      </c>
    </row>
    <row r="34" spans="1:34" s="514" customFormat="1" ht="15" customHeight="1">
      <c r="A34" s="535">
        <v>3</v>
      </c>
      <c r="B34" s="515" t="s">
        <v>8853</v>
      </c>
      <c r="C34" s="517" t="s">
        <v>8920</v>
      </c>
      <c r="D34" s="134">
        <v>883.32767917768604</v>
      </c>
      <c r="E34" s="134">
        <v>861.099303900172</v>
      </c>
      <c r="F34" s="134">
        <v>891.20079973553402</v>
      </c>
      <c r="G34" s="134">
        <v>942.66993326244699</v>
      </c>
      <c r="H34" s="134">
        <v>944.20472311997503</v>
      </c>
      <c r="I34" s="134">
        <v>993.250083254929</v>
      </c>
      <c r="J34" s="134">
        <v>893.94210551891604</v>
      </c>
      <c r="K34" s="134">
        <v>811.81688394829598</v>
      </c>
      <c r="L34" s="134">
        <v>773.71433075556399</v>
      </c>
      <c r="M34" s="134">
        <v>708.021403106089</v>
      </c>
      <c r="N34" s="134">
        <v>666.46389348800005</v>
      </c>
      <c r="O34" s="134">
        <v>669.18311098585798</v>
      </c>
      <c r="P34" s="134">
        <v>678.39319290088304</v>
      </c>
      <c r="Q34" s="134">
        <v>701.61761747099604</v>
      </c>
      <c r="R34" s="134">
        <v>733.30169896788402</v>
      </c>
      <c r="S34" s="134">
        <v>734.72350867216005</v>
      </c>
      <c r="T34" s="134">
        <v>669.09756257130596</v>
      </c>
      <c r="U34" s="134">
        <v>688.40885821334598</v>
      </c>
      <c r="V34" s="134">
        <v>676.57839959930698</v>
      </c>
      <c r="W34" s="134">
        <v>623.96596826987604</v>
      </c>
      <c r="X34" s="134">
        <v>652.42081295868002</v>
      </c>
      <c r="Y34" s="134">
        <v>590.47004562337895</v>
      </c>
      <c r="Z34" s="134">
        <v>616.56707291917496</v>
      </c>
      <c r="AA34" s="134">
        <v>584.80907580051405</v>
      </c>
      <c r="AB34" s="134">
        <v>654.50816033433296</v>
      </c>
      <c r="AC34" s="134">
        <v>575.90790304965401</v>
      </c>
      <c r="AD34" s="134">
        <v>613.60821916233897</v>
      </c>
      <c r="AE34" s="134">
        <v>592.319711031118</v>
      </c>
      <c r="AF34" s="134">
        <v>577.84707199648903</v>
      </c>
      <c r="AG34" s="134">
        <v>525.89699373761096</v>
      </c>
      <c r="AH34" s="519">
        <v>486.22595245399401</v>
      </c>
    </row>
    <row r="35" spans="1:34" s="514" customFormat="1" ht="15" customHeight="1">
      <c r="A35" s="535">
        <v>5</v>
      </c>
      <c r="B35" s="515" t="s">
        <v>8856</v>
      </c>
      <c r="C35" s="517" t="s">
        <v>8921</v>
      </c>
      <c r="D35" s="134">
        <v>23137.919464679198</v>
      </c>
      <c r="E35" s="134">
        <v>23672.4781366145</v>
      </c>
      <c r="F35" s="134">
        <v>23449.113596793301</v>
      </c>
      <c r="G35" s="134">
        <v>21713.7904153048</v>
      </c>
      <c r="H35" s="134">
        <v>14669.8648893871</v>
      </c>
      <c r="I35" s="134">
        <v>15890.1050902224</v>
      </c>
      <c r="J35" s="134">
        <v>14716.628580987701</v>
      </c>
      <c r="K35" s="134">
        <v>14123.270361848499</v>
      </c>
      <c r="L35" s="134">
        <v>12034.278628714999</v>
      </c>
      <c r="M35" s="134">
        <v>10067.332894945999</v>
      </c>
      <c r="N35" s="134">
        <v>8752.9800625625503</v>
      </c>
      <c r="O35" s="134">
        <v>7878.2897062232796</v>
      </c>
      <c r="P35" s="134">
        <v>7707.8347440728903</v>
      </c>
      <c r="Q35" s="134">
        <v>6471.4631433662698</v>
      </c>
      <c r="R35" s="134">
        <v>5866.3051764429802</v>
      </c>
      <c r="S35" s="134">
        <v>4428.3332175714004</v>
      </c>
      <c r="T35" s="134">
        <v>4040.1783628347698</v>
      </c>
      <c r="U35" s="134">
        <v>3389.7930767132002</v>
      </c>
      <c r="V35" s="134">
        <v>3393.1345989423598</v>
      </c>
      <c r="W35" s="134">
        <v>3198.82635431684</v>
      </c>
      <c r="X35" s="134">
        <v>3001.2156551773901</v>
      </c>
      <c r="Y35" s="134">
        <v>2826.8214409432098</v>
      </c>
      <c r="Z35" s="134">
        <v>2808.3785707162101</v>
      </c>
      <c r="AA35" s="134">
        <v>1985.16982438781</v>
      </c>
      <c r="AB35" s="134">
        <v>1975.25919069573</v>
      </c>
      <c r="AC35" s="134">
        <v>1672.40648254443</v>
      </c>
      <c r="AD35" s="134">
        <v>799.86620145457096</v>
      </c>
      <c r="AE35" s="134">
        <v>783.94609954676798</v>
      </c>
      <c r="AF35" s="134">
        <v>750.51770239680695</v>
      </c>
      <c r="AG35" s="134">
        <v>688.02599890286206</v>
      </c>
      <c r="AH35" s="519">
        <v>642.94945717120095</v>
      </c>
    </row>
    <row r="36" spans="1:34" s="514" customFormat="1" ht="15" customHeight="1">
      <c r="A36" s="535">
        <v>6</v>
      </c>
      <c r="B36" s="515" t="s">
        <v>8856</v>
      </c>
      <c r="C36" s="517" t="s">
        <v>8922</v>
      </c>
      <c r="D36" s="134">
        <v>22761.422373241199</v>
      </c>
      <c r="E36" s="134">
        <v>22322.823582339399</v>
      </c>
      <c r="F36" s="134">
        <v>23264.001509810099</v>
      </c>
      <c r="G36" s="134">
        <v>25013.787867796698</v>
      </c>
      <c r="H36" s="134">
        <v>26687.800199994501</v>
      </c>
      <c r="I36" s="134">
        <v>27170.3893579338</v>
      </c>
      <c r="J36" s="134">
        <v>28600.442267052</v>
      </c>
      <c r="K36" s="134">
        <v>28451.425140544001</v>
      </c>
      <c r="L36" s="134">
        <v>29397.255386312499</v>
      </c>
      <c r="M36" s="134">
        <v>28366.139365005001</v>
      </c>
      <c r="N36" s="134">
        <v>27317.057661210602</v>
      </c>
      <c r="O36" s="134">
        <v>28275.1223368889</v>
      </c>
      <c r="P36" s="134">
        <v>27271.987470720502</v>
      </c>
      <c r="Q36" s="134">
        <v>25959.602535661699</v>
      </c>
      <c r="R36" s="134">
        <v>25474.0372526721</v>
      </c>
      <c r="S36" s="134">
        <v>24798.363439326</v>
      </c>
      <c r="T36" s="134">
        <v>22988.181218814701</v>
      </c>
      <c r="U36" s="134">
        <v>22971.825984299001</v>
      </c>
      <c r="V36" s="134">
        <v>21843.148435681502</v>
      </c>
      <c r="W36" s="134">
        <v>21884.7636651336</v>
      </c>
      <c r="X36" s="134">
        <v>21577.3721920524</v>
      </c>
      <c r="Y36" s="134">
        <v>19750.633388652601</v>
      </c>
      <c r="Z36" s="134">
        <v>18156.597378786599</v>
      </c>
      <c r="AA36" s="134">
        <v>17804.292822511299</v>
      </c>
      <c r="AB36" s="134">
        <v>17428.443161261301</v>
      </c>
      <c r="AC36" s="134">
        <v>19174.945061654998</v>
      </c>
      <c r="AD36" s="134">
        <v>18750.110169758402</v>
      </c>
      <c r="AE36" s="134">
        <v>18756.7544113355</v>
      </c>
      <c r="AF36" s="134">
        <v>18731.866123486601</v>
      </c>
      <c r="AG36" s="134">
        <v>18802.641445769601</v>
      </c>
      <c r="AH36" s="519">
        <v>17156.160456928599</v>
      </c>
    </row>
    <row r="37" spans="1:34" s="514" customFormat="1" ht="15" customHeight="1">
      <c r="A37" s="535">
        <v>7</v>
      </c>
      <c r="B37" s="515" t="s">
        <v>8856</v>
      </c>
      <c r="C37" s="517" t="s">
        <v>8923</v>
      </c>
      <c r="D37" s="134">
        <v>24.974138938938601</v>
      </c>
      <c r="E37" s="134">
        <v>23.6540722037055</v>
      </c>
      <c r="F37" s="134">
        <v>23.678395191216602</v>
      </c>
      <c r="G37" s="134">
        <v>24.022550844119898</v>
      </c>
      <c r="H37" s="134">
        <v>25.048423637785501</v>
      </c>
      <c r="I37" s="134">
        <v>25.638833278273999</v>
      </c>
      <c r="J37" s="134">
        <v>16.869226362016601</v>
      </c>
      <c r="K37" s="134">
        <v>15.4751693826446</v>
      </c>
      <c r="L37" s="134">
        <v>14.8260188999347</v>
      </c>
      <c r="M37" s="134">
        <v>14.4170395806138</v>
      </c>
      <c r="N37" s="134">
        <v>14.140126968391799</v>
      </c>
      <c r="O37" s="134">
        <v>13.6075371315826</v>
      </c>
      <c r="P37" s="134">
        <v>12.878321204763299</v>
      </c>
      <c r="Q37" s="134">
        <v>12.3501867384823</v>
      </c>
      <c r="R37" s="134">
        <v>12.4849302750691</v>
      </c>
      <c r="S37" s="134">
        <v>11.2872820110058</v>
      </c>
      <c r="T37" s="134">
        <v>10.737832077180199</v>
      </c>
      <c r="U37" s="134">
        <v>10.7051460180702</v>
      </c>
      <c r="V37" s="134">
        <v>9.3684945605777497</v>
      </c>
      <c r="W37" s="134">
        <v>6.8620505771129698</v>
      </c>
      <c r="X37" s="134">
        <v>6.0909387753511997</v>
      </c>
      <c r="Y37" s="134">
        <v>4.83727450555656</v>
      </c>
      <c r="Z37" s="134">
        <v>5.3679676615466203</v>
      </c>
      <c r="AA37" s="134">
        <v>4.0350757257354104</v>
      </c>
      <c r="AB37" s="134">
        <v>3.9752100762920799</v>
      </c>
      <c r="AC37" s="134">
        <v>4.1415481384557697</v>
      </c>
      <c r="AD37" s="134">
        <v>3.7967673742309098</v>
      </c>
      <c r="AE37" s="134">
        <v>4.0347318737583597</v>
      </c>
      <c r="AF37" s="134">
        <v>3.8257339697239998</v>
      </c>
      <c r="AG37" s="134">
        <v>3.1342651701233901</v>
      </c>
      <c r="AH37" s="519">
        <v>2.62241916699602</v>
      </c>
    </row>
    <row r="38" spans="1:34" s="514" customFormat="1" ht="15" customHeight="1">
      <c r="A38" s="535">
        <v>8</v>
      </c>
      <c r="B38" s="515" t="s">
        <v>8856</v>
      </c>
      <c r="C38" s="517" t="s">
        <v>8924</v>
      </c>
      <c r="D38" s="134">
        <v>1985.0232704078901</v>
      </c>
      <c r="E38" s="134">
        <v>1942.1317707231501</v>
      </c>
      <c r="F38" s="134">
        <v>1911.9276756894001</v>
      </c>
      <c r="G38" s="134">
        <v>1757.18949648136</v>
      </c>
      <c r="H38" s="134">
        <v>1709.74549706024</v>
      </c>
      <c r="I38" s="134">
        <v>1635.75958541095</v>
      </c>
      <c r="J38" s="134">
        <v>1638.3897003192501</v>
      </c>
      <c r="K38" s="134">
        <v>1551.9235785779999</v>
      </c>
      <c r="L38" s="134">
        <v>1483.5309981151199</v>
      </c>
      <c r="M38" s="134">
        <v>1397.02141885888</v>
      </c>
      <c r="N38" s="134">
        <v>1821.7192227386299</v>
      </c>
      <c r="O38" s="134">
        <v>1739.55748013891</v>
      </c>
      <c r="P38" s="134">
        <v>1323.54723270206</v>
      </c>
      <c r="Q38" s="134">
        <v>1279.5478721254301</v>
      </c>
      <c r="R38" s="134">
        <v>1186.35892293079</v>
      </c>
      <c r="S38" s="134">
        <v>1277.7273543415899</v>
      </c>
      <c r="T38" s="134">
        <v>1072.7163897026301</v>
      </c>
      <c r="U38" s="134">
        <v>1192.3708922375499</v>
      </c>
      <c r="V38" s="134">
        <v>1592.9096246290701</v>
      </c>
      <c r="W38" s="134">
        <v>1498.1625484687199</v>
      </c>
      <c r="X38" s="134">
        <v>1536.5543302025001</v>
      </c>
      <c r="Y38" s="134">
        <v>953.13243726432495</v>
      </c>
      <c r="Z38" s="134">
        <v>732.90227528869195</v>
      </c>
      <c r="AA38" s="134">
        <v>608.54782196946405</v>
      </c>
      <c r="AB38" s="134">
        <v>786.64623772420998</v>
      </c>
      <c r="AC38" s="134">
        <v>837.21933131007097</v>
      </c>
      <c r="AD38" s="134">
        <v>943.77895805084302</v>
      </c>
      <c r="AE38" s="134">
        <v>1138.32758581758</v>
      </c>
      <c r="AF38" s="134">
        <v>968.24316150110099</v>
      </c>
      <c r="AG38" s="134">
        <v>678.85589160238499</v>
      </c>
      <c r="AH38" s="519">
        <v>629.00454124179305</v>
      </c>
    </row>
    <row r="39" spans="1:34" s="514" customFormat="1" ht="15" customHeight="1">
      <c r="A39" s="535">
        <v>9</v>
      </c>
      <c r="B39" s="515" t="s">
        <v>8856</v>
      </c>
      <c r="C39" s="517" t="s">
        <v>8925</v>
      </c>
      <c r="D39" s="134">
        <v>779.97854817964696</v>
      </c>
      <c r="E39" s="134">
        <v>741.68561399176497</v>
      </c>
      <c r="F39" s="134">
        <v>678.13759894501902</v>
      </c>
      <c r="G39" s="134">
        <v>629.63652290247103</v>
      </c>
      <c r="H39" s="134">
        <v>692.11493635692398</v>
      </c>
      <c r="I39" s="134">
        <v>785.60626066008797</v>
      </c>
      <c r="J39" s="134">
        <v>832.16370169246602</v>
      </c>
      <c r="K39" s="134">
        <v>823.08138924584102</v>
      </c>
      <c r="L39" s="134">
        <v>850.74877170660795</v>
      </c>
      <c r="M39" s="134">
        <v>288.42996656413999</v>
      </c>
      <c r="N39" s="134">
        <v>187.55935211666599</v>
      </c>
      <c r="O39" s="134">
        <v>151.21435539843699</v>
      </c>
      <c r="P39" s="134">
        <v>201.825853997547</v>
      </c>
      <c r="Q39" s="134">
        <v>190.12737512138401</v>
      </c>
      <c r="R39" s="134">
        <v>182.932676258551</v>
      </c>
      <c r="S39" s="134">
        <v>168.37257105768899</v>
      </c>
      <c r="T39" s="134">
        <v>115.048316469173</v>
      </c>
      <c r="U39" s="134">
        <v>115.32013596418101</v>
      </c>
      <c r="V39" s="134">
        <v>97.056872146651301</v>
      </c>
      <c r="W39" s="134">
        <v>232.457760556457</v>
      </c>
      <c r="X39" s="134">
        <v>122.492594254658</v>
      </c>
      <c r="Y39" s="134">
        <v>112.570610329617</v>
      </c>
      <c r="Z39" s="134">
        <v>200.87389440775399</v>
      </c>
      <c r="AA39" s="134">
        <v>204.53140267563299</v>
      </c>
      <c r="AB39" s="134">
        <v>325.82989416947902</v>
      </c>
      <c r="AC39" s="134">
        <v>167.687402045043</v>
      </c>
      <c r="AD39" s="134">
        <v>308.313850518317</v>
      </c>
      <c r="AE39" s="134">
        <v>103.710171334401</v>
      </c>
      <c r="AF39" s="134">
        <v>107.097439469878</v>
      </c>
      <c r="AG39" s="134">
        <v>123.66732690207201</v>
      </c>
      <c r="AH39" s="519">
        <v>27.360989607412002</v>
      </c>
    </row>
    <row r="40" spans="1:34" s="514" customFormat="1" ht="15" customHeight="1">
      <c r="A40" s="535">
        <v>10.1</v>
      </c>
      <c r="B40" s="515" t="s">
        <v>8859</v>
      </c>
      <c r="C40" s="517" t="s">
        <v>6949</v>
      </c>
      <c r="D40" s="134">
        <v>971.87298531184797</v>
      </c>
      <c r="E40" s="134">
        <v>1078.70869776619</v>
      </c>
      <c r="F40" s="134">
        <v>1116.6620716775899</v>
      </c>
      <c r="G40" s="134">
        <v>1133.81809289323</v>
      </c>
      <c r="H40" s="134">
        <v>1215.2210816464401</v>
      </c>
      <c r="I40" s="134">
        <v>1347.5394025329099</v>
      </c>
      <c r="J40" s="134">
        <v>1325.9765251629001</v>
      </c>
      <c r="K40" s="134">
        <v>1304.5417313196001</v>
      </c>
      <c r="L40" s="134">
        <v>1311.2482439845801</v>
      </c>
      <c r="M40" s="134">
        <v>1036.6471212245001</v>
      </c>
      <c r="N40" s="134">
        <v>1288.1974104328001</v>
      </c>
      <c r="O40" s="134">
        <v>1173.0104854144199</v>
      </c>
      <c r="P40" s="134">
        <v>1071.42476057464</v>
      </c>
      <c r="Q40" s="134">
        <v>1355.2369145909099</v>
      </c>
      <c r="R40" s="134">
        <v>1159.3394731887599</v>
      </c>
      <c r="S40" s="134">
        <v>1142.52371693949</v>
      </c>
      <c r="T40" s="134">
        <v>1094.8978648935499</v>
      </c>
      <c r="U40" s="134">
        <v>1095.74486536925</v>
      </c>
      <c r="V40" s="134">
        <v>993.23370747046897</v>
      </c>
      <c r="W40" s="134">
        <v>939.15999438474603</v>
      </c>
      <c r="X40" s="134">
        <v>981.48012679217197</v>
      </c>
      <c r="Y40" s="134">
        <v>969.82450827537696</v>
      </c>
      <c r="Z40" s="134">
        <v>922.39068899601796</v>
      </c>
      <c r="AA40" s="134">
        <v>912.33020111303404</v>
      </c>
      <c r="AB40" s="134">
        <v>958.16945947232</v>
      </c>
      <c r="AC40" s="134">
        <v>932.73470965007596</v>
      </c>
      <c r="AD40" s="134">
        <v>890.26011962838197</v>
      </c>
      <c r="AE40" s="134">
        <v>895.430730562451</v>
      </c>
      <c r="AF40" s="134">
        <v>902.57188603627299</v>
      </c>
      <c r="AG40" s="134">
        <v>897.84707404220205</v>
      </c>
      <c r="AH40" s="519">
        <v>915.742115026889</v>
      </c>
    </row>
    <row r="41" spans="1:34" s="514" customFormat="1" ht="15" customHeight="1">
      <c r="A41" s="515" t="s">
        <v>8926</v>
      </c>
      <c r="B41" s="515" t="s">
        <v>8859</v>
      </c>
      <c r="C41" s="517" t="s">
        <v>8927</v>
      </c>
      <c r="D41" s="134">
        <v>746.20137210648295</v>
      </c>
      <c r="E41" s="134">
        <v>714.68306809951696</v>
      </c>
      <c r="F41" s="134">
        <v>721.85352744786803</v>
      </c>
      <c r="G41" s="134">
        <v>658.42770853844695</v>
      </c>
      <c r="H41" s="134">
        <v>630.06184794481896</v>
      </c>
      <c r="I41" s="134">
        <v>671.60680491852304</v>
      </c>
      <c r="J41" s="134">
        <v>682.46549144357198</v>
      </c>
      <c r="K41" s="134">
        <v>674.73171937829602</v>
      </c>
      <c r="L41" s="134">
        <v>693.961007284017</v>
      </c>
      <c r="M41" s="134">
        <v>569.85906490995501</v>
      </c>
      <c r="N41" s="134">
        <v>637.86749541178006</v>
      </c>
      <c r="O41" s="134">
        <v>702.91168517765004</v>
      </c>
      <c r="P41" s="134">
        <v>796.06258765244399</v>
      </c>
      <c r="Q41" s="134">
        <v>912.25905291860204</v>
      </c>
      <c r="R41" s="134">
        <v>758.57046178986604</v>
      </c>
      <c r="S41" s="134">
        <v>945.91443253150806</v>
      </c>
      <c r="T41" s="134">
        <v>932.22606575236296</v>
      </c>
      <c r="U41" s="134">
        <v>936.82432096319496</v>
      </c>
      <c r="V41" s="134">
        <v>884.96892407062899</v>
      </c>
      <c r="W41" s="134">
        <v>842.44168760063803</v>
      </c>
      <c r="X41" s="134">
        <v>885.56788460253495</v>
      </c>
      <c r="Y41" s="134">
        <v>885.97575666260002</v>
      </c>
      <c r="Z41" s="134">
        <v>858.67579075293702</v>
      </c>
      <c r="AA41" s="134">
        <v>857.78034147786798</v>
      </c>
      <c r="AB41" s="134">
        <v>884.59339485708199</v>
      </c>
      <c r="AC41" s="134">
        <v>856.73751010661294</v>
      </c>
      <c r="AD41" s="134">
        <v>854.27353422863803</v>
      </c>
      <c r="AE41" s="134">
        <v>866.91247057161604</v>
      </c>
      <c r="AF41" s="134">
        <v>876.29388891794804</v>
      </c>
      <c r="AG41" s="134">
        <v>874.00053605554501</v>
      </c>
      <c r="AH41" s="519">
        <v>877.49283526515603</v>
      </c>
    </row>
    <row r="42" spans="1:34" s="514" customFormat="1" ht="15" customHeight="1">
      <c r="A42" s="535">
        <v>10.4</v>
      </c>
      <c r="B42" s="515" t="s">
        <v>8859</v>
      </c>
      <c r="C42" s="517" t="s">
        <v>6970</v>
      </c>
      <c r="D42" s="134">
        <v>627.49210086294204</v>
      </c>
      <c r="E42" s="134">
        <v>718.043277161535</v>
      </c>
      <c r="F42" s="134">
        <v>813.40320413468498</v>
      </c>
      <c r="G42" s="134">
        <v>845.51039935225504</v>
      </c>
      <c r="H42" s="134">
        <v>828.71893836454103</v>
      </c>
      <c r="I42" s="134">
        <v>674.88045076508604</v>
      </c>
      <c r="J42" s="134">
        <v>479.85476603651102</v>
      </c>
      <c r="K42" s="134">
        <v>424.22637589441098</v>
      </c>
      <c r="L42" s="134">
        <v>347.83924575128901</v>
      </c>
      <c r="M42" s="134">
        <v>615.94098208971695</v>
      </c>
      <c r="N42" s="134">
        <v>248.63218370809</v>
      </c>
      <c r="O42" s="134">
        <v>373.29925216410999</v>
      </c>
      <c r="P42" s="134">
        <v>483.52304895088099</v>
      </c>
      <c r="Q42" s="134">
        <v>151.14062522642499</v>
      </c>
      <c r="R42" s="134">
        <v>134.27819366250401</v>
      </c>
      <c r="S42" s="134">
        <v>106.089911438931</v>
      </c>
      <c r="T42" s="134">
        <v>86.697635732263905</v>
      </c>
      <c r="U42" s="134">
        <v>84.142309797722504</v>
      </c>
      <c r="V42" s="134">
        <v>73.323839639730593</v>
      </c>
      <c r="W42" s="134">
        <v>68.183306343216302</v>
      </c>
      <c r="X42" s="134">
        <v>70.561113380714801</v>
      </c>
      <c r="Y42" s="134">
        <v>70.094372521519801</v>
      </c>
      <c r="Z42" s="134">
        <v>69.592810883840698</v>
      </c>
      <c r="AA42" s="134">
        <v>71.238719692311193</v>
      </c>
      <c r="AB42" s="134">
        <v>70.353238315987497</v>
      </c>
      <c r="AC42" s="134">
        <v>65.681834080409303</v>
      </c>
      <c r="AD42" s="134">
        <v>67.789145119101903</v>
      </c>
      <c r="AE42" s="134">
        <v>69.516301310800401</v>
      </c>
      <c r="AF42" s="134">
        <v>70.140732458892401</v>
      </c>
      <c r="AG42" s="134">
        <v>71.317670405652905</v>
      </c>
      <c r="AH42" s="519">
        <v>70.981935284541507</v>
      </c>
    </row>
    <row r="43" spans="1:34" s="514" customFormat="1" ht="15" customHeight="1">
      <c r="A43" s="535">
        <v>10.5</v>
      </c>
      <c r="B43" s="515" t="s">
        <v>8859</v>
      </c>
      <c r="C43" s="517" t="s">
        <v>8928</v>
      </c>
      <c r="D43" s="134">
        <v>1212.3630619641499</v>
      </c>
      <c r="E43" s="134">
        <v>1134.68080711419</v>
      </c>
      <c r="F43" s="134">
        <v>1099.1131197299501</v>
      </c>
      <c r="G43" s="134">
        <v>1037.8395403044799</v>
      </c>
      <c r="H43" s="134">
        <v>904.23124506720899</v>
      </c>
      <c r="I43" s="134">
        <v>925.24136463244804</v>
      </c>
      <c r="J43" s="134">
        <v>945.51655688677704</v>
      </c>
      <c r="K43" s="134">
        <v>870.06944257389296</v>
      </c>
      <c r="L43" s="134">
        <v>812.96440905112104</v>
      </c>
      <c r="M43" s="134">
        <v>788.358314541955</v>
      </c>
      <c r="N43" s="134">
        <v>752.31802785439697</v>
      </c>
      <c r="O43" s="134">
        <v>749.68502815020804</v>
      </c>
      <c r="P43" s="134">
        <v>848.49617530481601</v>
      </c>
      <c r="Q43" s="134">
        <v>832.43390564782601</v>
      </c>
      <c r="R43" s="134">
        <v>732.31157719111104</v>
      </c>
      <c r="S43" s="134">
        <v>756.09780238213796</v>
      </c>
      <c r="T43" s="134">
        <v>873.26092989082997</v>
      </c>
      <c r="U43" s="134">
        <v>881.07465401945603</v>
      </c>
      <c r="V43" s="134">
        <v>817.52772064621399</v>
      </c>
      <c r="W43" s="134">
        <v>762.07882204424504</v>
      </c>
      <c r="X43" s="134">
        <v>801.49578095170705</v>
      </c>
      <c r="Y43" s="134">
        <v>787.640664879714</v>
      </c>
      <c r="Z43" s="134">
        <v>779.30304066921701</v>
      </c>
      <c r="AA43" s="134">
        <v>803.43916060522497</v>
      </c>
      <c r="AB43" s="134">
        <v>803.11597483234095</v>
      </c>
      <c r="AC43" s="134">
        <v>762.62163377262902</v>
      </c>
      <c r="AD43" s="134">
        <v>746.32516627624898</v>
      </c>
      <c r="AE43" s="134">
        <v>763.39354579821497</v>
      </c>
      <c r="AF43" s="134">
        <v>769.28196909395001</v>
      </c>
      <c r="AG43" s="134">
        <v>768.01066995063104</v>
      </c>
      <c r="AH43" s="519">
        <v>732.51447219801901</v>
      </c>
    </row>
    <row r="44" spans="1:34" s="514" customFormat="1" ht="15" customHeight="1">
      <c r="A44" s="535">
        <v>10.6</v>
      </c>
      <c r="B44" s="515" t="s">
        <v>8859</v>
      </c>
      <c r="C44" s="517" t="s">
        <v>6983</v>
      </c>
      <c r="D44" s="134">
        <v>562.61280778588298</v>
      </c>
      <c r="E44" s="134">
        <v>527.07785067357599</v>
      </c>
      <c r="F44" s="134">
        <v>493.71868578574401</v>
      </c>
      <c r="G44" s="134">
        <v>501.11530748316102</v>
      </c>
      <c r="H44" s="134">
        <v>545.37045874351304</v>
      </c>
      <c r="I44" s="134">
        <v>620.66115848170205</v>
      </c>
      <c r="J44" s="134">
        <v>671.372993563195</v>
      </c>
      <c r="K44" s="134">
        <v>631.05219465353696</v>
      </c>
      <c r="L44" s="134">
        <v>643.92586703378799</v>
      </c>
      <c r="M44" s="134">
        <v>657.74021612206195</v>
      </c>
      <c r="N44" s="134">
        <v>686.89414438256495</v>
      </c>
      <c r="O44" s="134">
        <v>971.52373727048598</v>
      </c>
      <c r="P44" s="134">
        <v>784.30051488720403</v>
      </c>
      <c r="Q44" s="134">
        <v>465.32928160605599</v>
      </c>
      <c r="R44" s="134">
        <v>775.50942251319896</v>
      </c>
      <c r="S44" s="134">
        <v>354.85907727996101</v>
      </c>
      <c r="T44" s="134">
        <v>637.493373059889</v>
      </c>
      <c r="U44" s="134">
        <v>631.06165753799996</v>
      </c>
      <c r="V44" s="134">
        <v>593.70660232828595</v>
      </c>
      <c r="W44" s="134">
        <v>554.71265071359903</v>
      </c>
      <c r="X44" s="134">
        <v>586.84574284566202</v>
      </c>
      <c r="Y44" s="134">
        <v>582.06444623348295</v>
      </c>
      <c r="Z44" s="134">
        <v>576.78596524459101</v>
      </c>
      <c r="AA44" s="134">
        <v>580.63845566987504</v>
      </c>
      <c r="AB44" s="134">
        <v>571.29264656848704</v>
      </c>
      <c r="AC44" s="134">
        <v>533.72866701332805</v>
      </c>
      <c r="AD44" s="134">
        <v>548.51832329056197</v>
      </c>
      <c r="AE44" s="134">
        <v>560.58828543926904</v>
      </c>
      <c r="AF44" s="134">
        <v>565.72005000536501</v>
      </c>
      <c r="AG44" s="134">
        <v>577.86137023608001</v>
      </c>
      <c r="AH44" s="519">
        <v>569.01475497949002</v>
      </c>
    </row>
    <row r="45" spans="1:34" s="514" customFormat="1" ht="15" customHeight="1">
      <c r="A45" s="535">
        <v>10.7</v>
      </c>
      <c r="B45" s="515" t="s">
        <v>8859</v>
      </c>
      <c r="C45" s="517" t="s">
        <v>6990</v>
      </c>
      <c r="D45" s="134">
        <v>1139.2702933967601</v>
      </c>
      <c r="E45" s="134">
        <v>1101.02731004103</v>
      </c>
      <c r="F45" s="134">
        <v>1112.7891826658099</v>
      </c>
      <c r="G45" s="134">
        <v>1006.88460976723</v>
      </c>
      <c r="H45" s="134">
        <v>1026.3471732661501</v>
      </c>
      <c r="I45" s="134">
        <v>1104.3888296954101</v>
      </c>
      <c r="J45" s="134">
        <v>1176.5866849619399</v>
      </c>
      <c r="K45" s="134">
        <v>1121.59429366313</v>
      </c>
      <c r="L45" s="134">
        <v>1171.2105089455899</v>
      </c>
      <c r="M45" s="134">
        <v>1444.3785677130099</v>
      </c>
      <c r="N45" s="134">
        <v>1061.8946228315899</v>
      </c>
      <c r="O45" s="134">
        <v>1369.1199281720001</v>
      </c>
      <c r="P45" s="134">
        <v>1365.83337521165</v>
      </c>
      <c r="Q45" s="134">
        <v>1384.5254539602199</v>
      </c>
      <c r="R45" s="134">
        <v>1256.5327360430001</v>
      </c>
      <c r="S45" s="134">
        <v>1142.3569834534301</v>
      </c>
      <c r="T45" s="134">
        <v>1342.0757246569799</v>
      </c>
      <c r="U45" s="134">
        <v>1330.6206485554301</v>
      </c>
      <c r="V45" s="134">
        <v>1204.0073495947099</v>
      </c>
      <c r="W45" s="134">
        <v>1106.9721048229101</v>
      </c>
      <c r="X45" s="134">
        <v>1156.8119937250999</v>
      </c>
      <c r="Y45" s="134">
        <v>1142.1617028308001</v>
      </c>
      <c r="Z45" s="134">
        <v>1111.9681010853501</v>
      </c>
      <c r="AA45" s="134">
        <v>1105.42840827538</v>
      </c>
      <c r="AB45" s="134">
        <v>1121.1909403417601</v>
      </c>
      <c r="AC45" s="134">
        <v>1088.4235549724599</v>
      </c>
      <c r="AD45" s="134">
        <v>1125.03934185351</v>
      </c>
      <c r="AE45" s="134">
        <v>1141.8076144665999</v>
      </c>
      <c r="AF45" s="134">
        <v>1154.9955656623299</v>
      </c>
      <c r="AG45" s="134">
        <v>1159.0704310885401</v>
      </c>
      <c r="AH45" s="519">
        <v>1155.21124242321</v>
      </c>
    </row>
    <row r="46" spans="1:34" s="514" customFormat="1" ht="15" customHeight="1">
      <c r="A46" s="535">
        <v>10.8</v>
      </c>
      <c r="B46" s="515" t="s">
        <v>8859</v>
      </c>
      <c r="C46" s="517" t="s">
        <v>8929</v>
      </c>
      <c r="D46" s="134">
        <v>1869.8112418643</v>
      </c>
      <c r="E46" s="134">
        <v>1930.8192780567399</v>
      </c>
      <c r="F46" s="134">
        <v>2043.08112913183</v>
      </c>
      <c r="G46" s="134">
        <v>1853.3180966028899</v>
      </c>
      <c r="H46" s="134">
        <v>1774.16614551416</v>
      </c>
      <c r="I46" s="134">
        <v>1757.6517639528599</v>
      </c>
      <c r="J46" s="134">
        <v>1820.13283967136</v>
      </c>
      <c r="K46" s="134">
        <v>1996.51111049005</v>
      </c>
      <c r="L46" s="134">
        <v>2041.6093136673301</v>
      </c>
      <c r="M46" s="134">
        <v>2663.48039674443</v>
      </c>
      <c r="N46" s="134">
        <v>3109.5353262869498</v>
      </c>
      <c r="O46" s="134">
        <v>2357.22393795875</v>
      </c>
      <c r="P46" s="134">
        <v>1350.9597295281401</v>
      </c>
      <c r="Q46" s="134">
        <v>1654.30292560305</v>
      </c>
      <c r="R46" s="134">
        <v>2154.1028077205601</v>
      </c>
      <c r="S46" s="134">
        <v>2327.9009604715502</v>
      </c>
      <c r="T46" s="134">
        <v>1353.80385751976</v>
      </c>
      <c r="U46" s="134">
        <v>1370.65433742143</v>
      </c>
      <c r="V46" s="134">
        <v>1301.0039586176199</v>
      </c>
      <c r="W46" s="134">
        <v>1245.1212560656199</v>
      </c>
      <c r="X46" s="134">
        <v>1312.96688205848</v>
      </c>
      <c r="Y46" s="134">
        <v>1312.8131385660899</v>
      </c>
      <c r="Z46" s="134">
        <v>1301.2736527981899</v>
      </c>
      <c r="AA46" s="134">
        <v>1337.39934609441</v>
      </c>
      <c r="AB46" s="134">
        <v>1337.5775723054601</v>
      </c>
      <c r="AC46" s="134">
        <v>1234.1957383645799</v>
      </c>
      <c r="AD46" s="134">
        <v>1218.6693835040501</v>
      </c>
      <c r="AE46" s="134">
        <v>1250.1137356895999</v>
      </c>
      <c r="AF46" s="134">
        <v>1261.3317173394501</v>
      </c>
      <c r="AG46" s="134">
        <v>1252.81648967508</v>
      </c>
      <c r="AH46" s="519">
        <v>1212.03220823673</v>
      </c>
    </row>
    <row r="47" spans="1:34" s="514" customFormat="1" ht="15" customHeight="1">
      <c r="A47" s="535">
        <v>10.9</v>
      </c>
      <c r="B47" s="515" t="s">
        <v>8859</v>
      </c>
      <c r="C47" s="517" t="s">
        <v>7017</v>
      </c>
      <c r="D47" s="134">
        <v>549.50954381621398</v>
      </c>
      <c r="E47" s="134">
        <v>643.27374224025505</v>
      </c>
      <c r="F47" s="134">
        <v>697.20516015454598</v>
      </c>
      <c r="G47" s="134">
        <v>713.32243250470901</v>
      </c>
      <c r="H47" s="134">
        <v>745.77559418489102</v>
      </c>
      <c r="I47" s="134">
        <v>666.23281287414602</v>
      </c>
      <c r="J47" s="134">
        <v>805.60613060937101</v>
      </c>
      <c r="K47" s="134">
        <v>693.03079618912705</v>
      </c>
      <c r="L47" s="134">
        <v>632.33017400254903</v>
      </c>
      <c r="M47" s="134">
        <v>609.403382313973</v>
      </c>
      <c r="N47" s="134">
        <v>563.34670146721999</v>
      </c>
      <c r="O47" s="134">
        <v>587.38679764569702</v>
      </c>
      <c r="P47" s="134">
        <v>735.51534063159204</v>
      </c>
      <c r="Q47" s="134">
        <v>514.24392948479101</v>
      </c>
      <c r="R47" s="134">
        <v>543.33861597003397</v>
      </c>
      <c r="S47" s="134">
        <v>381.79266724672198</v>
      </c>
      <c r="T47" s="134">
        <v>425.13434314229602</v>
      </c>
      <c r="U47" s="134">
        <v>439.24623147120502</v>
      </c>
      <c r="V47" s="134">
        <v>394.54644453110399</v>
      </c>
      <c r="W47" s="134">
        <v>360.68173779676499</v>
      </c>
      <c r="X47" s="134">
        <v>383.82555641205499</v>
      </c>
      <c r="Y47" s="134">
        <v>380.18102421726599</v>
      </c>
      <c r="Z47" s="134">
        <v>373.55136174579201</v>
      </c>
      <c r="AA47" s="134">
        <v>381.00399589807699</v>
      </c>
      <c r="AB47" s="134">
        <v>389.77262753594198</v>
      </c>
      <c r="AC47" s="134">
        <v>377.44916341544501</v>
      </c>
      <c r="AD47" s="134">
        <v>357.78621954553199</v>
      </c>
      <c r="AE47" s="134">
        <v>361.268649019907</v>
      </c>
      <c r="AF47" s="134">
        <v>360.24491865543501</v>
      </c>
      <c r="AG47" s="134">
        <v>354.77805211252797</v>
      </c>
      <c r="AH47" s="519">
        <v>358.93174571098501</v>
      </c>
    </row>
    <row r="48" spans="1:34" s="514" customFormat="1" ht="15" customHeight="1">
      <c r="A48" s="515" t="s">
        <v>8930</v>
      </c>
      <c r="B48" s="515" t="s">
        <v>8859</v>
      </c>
      <c r="C48" s="517" t="s">
        <v>8931</v>
      </c>
      <c r="D48" s="134">
        <v>1920.7850252742901</v>
      </c>
      <c r="E48" s="134">
        <v>1939.39812391122</v>
      </c>
      <c r="F48" s="134">
        <v>1883.91658147408</v>
      </c>
      <c r="G48" s="134">
        <v>1816.6038951676701</v>
      </c>
      <c r="H48" s="134">
        <v>1853.1861126423901</v>
      </c>
      <c r="I48" s="134">
        <v>1799.80316205807</v>
      </c>
      <c r="J48" s="134">
        <v>1690.84122774405</v>
      </c>
      <c r="K48" s="134">
        <v>1507.4858684214</v>
      </c>
      <c r="L48" s="134">
        <v>1266.85257662869</v>
      </c>
      <c r="M48" s="134">
        <v>1208.02137252958</v>
      </c>
      <c r="N48" s="134">
        <v>1170.2748826164</v>
      </c>
      <c r="O48" s="134">
        <v>1303.5706226177001</v>
      </c>
      <c r="P48" s="134">
        <v>1599.0540068400501</v>
      </c>
      <c r="Q48" s="134">
        <v>1797.02265044245</v>
      </c>
      <c r="R48" s="134">
        <v>1420.9742271612399</v>
      </c>
      <c r="S48" s="134">
        <v>1387.1438344293599</v>
      </c>
      <c r="T48" s="134">
        <v>1440.7425891221401</v>
      </c>
      <c r="U48" s="134">
        <v>1446.2127492947</v>
      </c>
      <c r="V48" s="134">
        <v>1386.9478680382099</v>
      </c>
      <c r="W48" s="134">
        <v>1100.7480308668</v>
      </c>
      <c r="X48" s="134">
        <v>1161.1955154008001</v>
      </c>
      <c r="Y48" s="134">
        <v>1151.0767827141101</v>
      </c>
      <c r="Z48" s="134">
        <v>1140.8893121949</v>
      </c>
      <c r="AA48" s="134">
        <v>1155.5309306643801</v>
      </c>
      <c r="AB48" s="134">
        <v>1154.32809746975</v>
      </c>
      <c r="AC48" s="134">
        <v>1074.1918329107</v>
      </c>
      <c r="AD48" s="134">
        <v>1061.3441943447999</v>
      </c>
      <c r="AE48" s="134">
        <v>1089.34011101178</v>
      </c>
      <c r="AF48" s="134">
        <v>1103.8450025950599</v>
      </c>
      <c r="AG48" s="134">
        <v>1105.51928895176</v>
      </c>
      <c r="AH48" s="519">
        <v>1078.5048418132901</v>
      </c>
    </row>
    <row r="49" spans="1:34" s="514" customFormat="1" ht="15" customHeight="1">
      <c r="A49" s="535">
        <v>11.07</v>
      </c>
      <c r="B49" s="515" t="s">
        <v>8859</v>
      </c>
      <c r="C49" s="517" t="s">
        <v>8932</v>
      </c>
      <c r="D49" s="134">
        <v>243.63792321871199</v>
      </c>
      <c r="E49" s="134">
        <v>226.25457737782</v>
      </c>
      <c r="F49" s="134">
        <v>221.932801053524</v>
      </c>
      <c r="G49" s="134">
        <v>207.39631924022899</v>
      </c>
      <c r="H49" s="134">
        <v>204.97850770611399</v>
      </c>
      <c r="I49" s="134">
        <v>207.22518431071401</v>
      </c>
      <c r="J49" s="134">
        <v>187.70402747320199</v>
      </c>
      <c r="K49" s="134">
        <v>168.26002156940501</v>
      </c>
      <c r="L49" s="134">
        <v>166.10660067499899</v>
      </c>
      <c r="M49" s="134">
        <v>165.08590163942401</v>
      </c>
      <c r="N49" s="134">
        <v>188.04785013363099</v>
      </c>
      <c r="O49" s="134">
        <v>199.91405414651899</v>
      </c>
      <c r="P49" s="134">
        <v>182.096255978725</v>
      </c>
      <c r="Q49" s="134">
        <v>163.54666147355201</v>
      </c>
      <c r="R49" s="134">
        <v>167.51203724166601</v>
      </c>
      <c r="S49" s="134">
        <v>180.33406676194701</v>
      </c>
      <c r="T49" s="134">
        <v>189.136504176492</v>
      </c>
      <c r="U49" s="134">
        <v>185.160852360462</v>
      </c>
      <c r="V49" s="134">
        <v>165.84618766860601</v>
      </c>
      <c r="W49" s="134">
        <v>133.94104633663599</v>
      </c>
      <c r="X49" s="134">
        <v>133.595243822529</v>
      </c>
      <c r="Y49" s="134">
        <v>130.82247986340499</v>
      </c>
      <c r="Z49" s="134">
        <v>125.418458351214</v>
      </c>
      <c r="AA49" s="134">
        <v>122.14193480017499</v>
      </c>
      <c r="AB49" s="134">
        <v>123.610763817706</v>
      </c>
      <c r="AC49" s="134">
        <v>118.52573298017499</v>
      </c>
      <c r="AD49" s="134">
        <v>118.061397260047</v>
      </c>
      <c r="AE49" s="134">
        <v>120.54733417976099</v>
      </c>
      <c r="AF49" s="134">
        <v>120.39781066620201</v>
      </c>
      <c r="AG49" s="134">
        <v>120.84066776502</v>
      </c>
      <c r="AH49" s="519">
        <v>118.400234225764</v>
      </c>
    </row>
    <row r="50" spans="1:34" s="514" customFormat="1" ht="15" customHeight="1">
      <c r="A50" s="535">
        <v>12</v>
      </c>
      <c r="B50" s="515" t="s">
        <v>8859</v>
      </c>
      <c r="C50" s="517" t="s">
        <v>8933</v>
      </c>
      <c r="D50" s="134">
        <v>71.239403661236693</v>
      </c>
      <c r="E50" s="134">
        <v>83.327235268364802</v>
      </c>
      <c r="F50" s="134">
        <v>88.345056104055203</v>
      </c>
      <c r="G50" s="134">
        <v>82.268965451328697</v>
      </c>
      <c r="H50" s="134">
        <v>94.519938320842996</v>
      </c>
      <c r="I50" s="134">
        <v>88.335029744115701</v>
      </c>
      <c r="J50" s="134">
        <v>103.086026772385</v>
      </c>
      <c r="K50" s="134">
        <v>90.471852663736101</v>
      </c>
      <c r="L50" s="134">
        <v>73.431463981917901</v>
      </c>
      <c r="M50" s="134">
        <v>73.716036342713906</v>
      </c>
      <c r="N50" s="134">
        <v>121.734320145423</v>
      </c>
      <c r="O50" s="134">
        <v>38.137808896461998</v>
      </c>
      <c r="P50" s="134">
        <v>66.138359345617204</v>
      </c>
      <c r="Q50" s="134">
        <v>26.818325677771401</v>
      </c>
      <c r="R50" s="134">
        <v>39.708969860334101</v>
      </c>
      <c r="S50" s="134">
        <v>30.1846942873199</v>
      </c>
      <c r="T50" s="134">
        <v>29.513111638359401</v>
      </c>
      <c r="U50" s="134">
        <v>29.1420426623501</v>
      </c>
      <c r="V50" s="134">
        <v>26.631259418288799</v>
      </c>
      <c r="W50" s="134">
        <v>25.092486623313299</v>
      </c>
      <c r="X50" s="134">
        <v>24.5478716105568</v>
      </c>
      <c r="Y50" s="134">
        <v>24.683218020448301</v>
      </c>
      <c r="Z50" s="134">
        <v>23.056186258731099</v>
      </c>
      <c r="AA50" s="134">
        <v>22.0718584640017</v>
      </c>
      <c r="AB50" s="134">
        <v>23.067501003353399</v>
      </c>
      <c r="AC50" s="134">
        <v>22.388816834672902</v>
      </c>
      <c r="AD50" s="134">
        <v>21.839916224305298</v>
      </c>
      <c r="AE50" s="134">
        <v>22.241891376853498</v>
      </c>
      <c r="AF50" s="134">
        <v>22.482251889289</v>
      </c>
      <c r="AG50" s="134">
        <v>22.939822477976399</v>
      </c>
      <c r="AH50" s="519">
        <v>23.0760358699062</v>
      </c>
    </row>
    <row r="51" spans="1:34" s="514" customFormat="1" ht="15" customHeight="1">
      <c r="A51" s="535">
        <v>13</v>
      </c>
      <c r="B51" s="515" t="s">
        <v>8859</v>
      </c>
      <c r="C51" s="517" t="s">
        <v>100</v>
      </c>
      <c r="D51" s="134">
        <v>2259.2294522398602</v>
      </c>
      <c r="E51" s="134">
        <v>2627.0368512038799</v>
      </c>
      <c r="F51" s="134">
        <v>2565.9673655516999</v>
      </c>
      <c r="G51" s="134">
        <v>2228.0223588671502</v>
      </c>
      <c r="H51" s="134">
        <v>1777.54121386571</v>
      </c>
      <c r="I51" s="134">
        <v>1734.93870318629</v>
      </c>
      <c r="J51" s="134">
        <v>1556.80089409215</v>
      </c>
      <c r="K51" s="134">
        <v>1571.1285640818401</v>
      </c>
      <c r="L51" s="134">
        <v>1746.2506199336899</v>
      </c>
      <c r="M51" s="134">
        <v>1842.4974352787599</v>
      </c>
      <c r="N51" s="134">
        <v>1987.0882151553801</v>
      </c>
      <c r="O51" s="134">
        <v>2020.2817813526799</v>
      </c>
      <c r="P51" s="134">
        <v>1915.9588866596</v>
      </c>
      <c r="Q51" s="134">
        <v>1943.6428820608</v>
      </c>
      <c r="R51" s="134">
        <v>1887.8297147165299</v>
      </c>
      <c r="S51" s="134">
        <v>1965.5639919108601</v>
      </c>
      <c r="T51" s="134">
        <v>1820.0043956817599</v>
      </c>
      <c r="U51" s="134">
        <v>1612.9349517737201</v>
      </c>
      <c r="V51" s="134">
        <v>1645.4363628608601</v>
      </c>
      <c r="W51" s="134">
        <v>1262.12861064757</v>
      </c>
      <c r="X51" s="134">
        <v>1176.8315254279501</v>
      </c>
      <c r="Y51" s="134">
        <v>1211.4531458556701</v>
      </c>
      <c r="Z51" s="134">
        <v>1123.1447517894801</v>
      </c>
      <c r="AA51" s="134">
        <v>1110.9228648097101</v>
      </c>
      <c r="AB51" s="134">
        <v>1115.6827493199801</v>
      </c>
      <c r="AC51" s="134">
        <v>938.67466414795604</v>
      </c>
      <c r="AD51" s="134">
        <v>934.82653575899201</v>
      </c>
      <c r="AE51" s="134">
        <v>909.954022303089</v>
      </c>
      <c r="AF51" s="134">
        <v>897.60267684236396</v>
      </c>
      <c r="AG51" s="134">
        <v>863.32536300198694</v>
      </c>
      <c r="AH51" s="519">
        <v>829.55339165827195</v>
      </c>
    </row>
    <row r="52" spans="1:34" s="514" customFormat="1" ht="15" customHeight="1">
      <c r="A52" s="535">
        <v>14</v>
      </c>
      <c r="B52" s="515" t="s">
        <v>8859</v>
      </c>
      <c r="C52" s="517" t="s">
        <v>8934</v>
      </c>
      <c r="D52" s="134">
        <v>725.72513597315697</v>
      </c>
      <c r="E52" s="134">
        <v>915.30105992153699</v>
      </c>
      <c r="F52" s="134">
        <v>862.42769789066597</v>
      </c>
      <c r="G52" s="134">
        <v>722.56432507089403</v>
      </c>
      <c r="H52" s="134">
        <v>617.74488244963902</v>
      </c>
      <c r="I52" s="134">
        <v>484.197292833478</v>
      </c>
      <c r="J52" s="134">
        <v>478.992522781893</v>
      </c>
      <c r="K52" s="134">
        <v>361.56135310563502</v>
      </c>
      <c r="L52" s="134">
        <v>357.48171760619198</v>
      </c>
      <c r="M52" s="134">
        <v>259.41568544222298</v>
      </c>
      <c r="N52" s="134">
        <v>346.63203400347697</v>
      </c>
      <c r="O52" s="134">
        <v>335.19117637762099</v>
      </c>
      <c r="P52" s="134">
        <v>264.28405524569001</v>
      </c>
      <c r="Q52" s="134">
        <v>272.19192638433901</v>
      </c>
      <c r="R52" s="134">
        <v>201.93106614873901</v>
      </c>
      <c r="S52" s="134">
        <v>226.42727473495299</v>
      </c>
      <c r="T52" s="134">
        <v>292.39138191798997</v>
      </c>
      <c r="U52" s="134">
        <v>273.08298491794602</v>
      </c>
      <c r="V52" s="134">
        <v>255.823033984369</v>
      </c>
      <c r="W52" s="134">
        <v>438.311847975783</v>
      </c>
      <c r="X52" s="134">
        <v>403.59015451545099</v>
      </c>
      <c r="Y52" s="134">
        <v>414.31875327892902</v>
      </c>
      <c r="Z52" s="134">
        <v>375.62818904578802</v>
      </c>
      <c r="AA52" s="134">
        <v>376.83609163463302</v>
      </c>
      <c r="AB52" s="134">
        <v>367.09448220652502</v>
      </c>
      <c r="AC52" s="134">
        <v>274.03576992743001</v>
      </c>
      <c r="AD52" s="134">
        <v>271.57915029247499</v>
      </c>
      <c r="AE52" s="134">
        <v>262.73074015063497</v>
      </c>
      <c r="AF52" s="134">
        <v>259.57570986869001</v>
      </c>
      <c r="AG52" s="134">
        <v>249.48826575673601</v>
      </c>
      <c r="AH52" s="519">
        <v>234.73982476791201</v>
      </c>
    </row>
    <row r="53" spans="1:34" s="514" customFormat="1" ht="15" customHeight="1">
      <c r="A53" s="535">
        <v>15</v>
      </c>
      <c r="B53" s="515" t="s">
        <v>8859</v>
      </c>
      <c r="C53" s="517" t="s">
        <v>8935</v>
      </c>
      <c r="D53" s="134">
        <v>174.941222075647</v>
      </c>
      <c r="E53" s="134">
        <v>177.659681696494</v>
      </c>
      <c r="F53" s="134">
        <v>164.03254042288901</v>
      </c>
      <c r="G53" s="134">
        <v>136.95183622748701</v>
      </c>
      <c r="H53" s="134">
        <v>103.347096797776</v>
      </c>
      <c r="I53" s="134">
        <v>113.878599753399</v>
      </c>
      <c r="J53" s="134">
        <v>102.353499653754</v>
      </c>
      <c r="K53" s="134">
        <v>84.070992928591195</v>
      </c>
      <c r="L53" s="134">
        <v>70.481156211600293</v>
      </c>
      <c r="M53" s="134">
        <v>77.247987336498198</v>
      </c>
      <c r="N53" s="134">
        <v>113.879766977893</v>
      </c>
      <c r="O53" s="134">
        <v>91.8520004751024</v>
      </c>
      <c r="P53" s="134">
        <v>96.6810521548162</v>
      </c>
      <c r="Q53" s="134">
        <v>85.218936889015595</v>
      </c>
      <c r="R53" s="134">
        <v>57.4111543593935</v>
      </c>
      <c r="S53" s="134">
        <v>47.652177336992899</v>
      </c>
      <c r="T53" s="134">
        <v>67.024836831462096</v>
      </c>
      <c r="U53" s="134">
        <v>59.2832780275318</v>
      </c>
      <c r="V53" s="134">
        <v>57.224570300647201</v>
      </c>
      <c r="W53" s="134">
        <v>52.095809486795503</v>
      </c>
      <c r="X53" s="134">
        <v>47.557508801719202</v>
      </c>
      <c r="Y53" s="134">
        <v>49.1526763129648</v>
      </c>
      <c r="Z53" s="134">
        <v>42.266809388071501</v>
      </c>
      <c r="AA53" s="134">
        <v>41.630939863213499</v>
      </c>
      <c r="AB53" s="134">
        <v>42.690012918450897</v>
      </c>
      <c r="AC53" s="134">
        <v>33.060791256626302</v>
      </c>
      <c r="AD53" s="134">
        <v>32.081167569095697</v>
      </c>
      <c r="AE53" s="134">
        <v>31.820370605542401</v>
      </c>
      <c r="AF53" s="134">
        <v>32.3345701016598</v>
      </c>
      <c r="AG53" s="134">
        <v>31.4240656684428</v>
      </c>
      <c r="AH53" s="519">
        <v>32.217788530950202</v>
      </c>
    </row>
    <row r="54" spans="1:34" s="514" customFormat="1" ht="15" customHeight="1">
      <c r="A54" s="535">
        <v>16</v>
      </c>
      <c r="B54" s="515" t="s">
        <v>8859</v>
      </c>
      <c r="C54" s="517" t="s">
        <v>8936</v>
      </c>
      <c r="D54" s="134">
        <v>931.23113808611095</v>
      </c>
      <c r="E54" s="134">
        <v>1020.60675924321</v>
      </c>
      <c r="F54" s="134">
        <v>839.52606395132</v>
      </c>
      <c r="G54" s="134">
        <v>843.05267742894398</v>
      </c>
      <c r="H54" s="134">
        <v>998.11240028000395</v>
      </c>
      <c r="I54" s="134">
        <v>1008.45569922656</v>
      </c>
      <c r="J54" s="134">
        <v>1024.3204169408</v>
      </c>
      <c r="K54" s="134">
        <v>1143.52519398289</v>
      </c>
      <c r="L54" s="134">
        <v>1040.5055022621</v>
      </c>
      <c r="M54" s="134">
        <v>1802.7245860129001</v>
      </c>
      <c r="N54" s="134">
        <v>2718.24910505873</v>
      </c>
      <c r="O54" s="134">
        <v>1668.1368835559199</v>
      </c>
      <c r="P54" s="134">
        <v>1206.3654981177999</v>
      </c>
      <c r="Q54" s="134">
        <v>1293.9167235080699</v>
      </c>
      <c r="R54" s="134">
        <v>1340.63679592993</v>
      </c>
      <c r="S54" s="134">
        <v>1578.54879102569</v>
      </c>
      <c r="T54" s="134">
        <v>1587.84188435851</v>
      </c>
      <c r="U54" s="134">
        <v>1364.6023193649901</v>
      </c>
      <c r="V54" s="134">
        <v>797.87366887584699</v>
      </c>
      <c r="W54" s="134">
        <v>712.14314591208995</v>
      </c>
      <c r="X54" s="134">
        <v>868.90751355990903</v>
      </c>
      <c r="Y54" s="134">
        <v>784.97263956482004</v>
      </c>
      <c r="Z54" s="134">
        <v>728.39617436244203</v>
      </c>
      <c r="AA54" s="134">
        <v>696.40861508037301</v>
      </c>
      <c r="AB54" s="134">
        <v>717.72480799210996</v>
      </c>
      <c r="AC54" s="134">
        <v>737.87351026258796</v>
      </c>
      <c r="AD54" s="134">
        <v>772.32554007625401</v>
      </c>
      <c r="AE54" s="134">
        <v>779.54673039512602</v>
      </c>
      <c r="AF54" s="134">
        <v>794.04797529480595</v>
      </c>
      <c r="AG54" s="134">
        <v>760.44937771783202</v>
      </c>
      <c r="AH54" s="519">
        <v>729.758152291339</v>
      </c>
    </row>
    <row r="55" spans="1:34" s="514" customFormat="1" ht="15" customHeight="1">
      <c r="A55" s="535">
        <v>17</v>
      </c>
      <c r="B55" s="515" t="s">
        <v>8859</v>
      </c>
      <c r="C55" s="517" t="s">
        <v>8937</v>
      </c>
      <c r="D55" s="134">
        <v>4581.29021538695</v>
      </c>
      <c r="E55" s="134">
        <v>5150.2889449833501</v>
      </c>
      <c r="F55" s="134">
        <v>5494.00252245302</v>
      </c>
      <c r="G55" s="134">
        <v>5343.6669589064104</v>
      </c>
      <c r="H55" s="134">
        <v>5308.9454200983</v>
      </c>
      <c r="I55" s="134">
        <v>4850.1843307320496</v>
      </c>
      <c r="J55" s="134">
        <v>4413.0237985478298</v>
      </c>
      <c r="K55" s="134">
        <v>4152.8316652920703</v>
      </c>
      <c r="L55" s="134">
        <v>4093.3159877399198</v>
      </c>
      <c r="M55" s="134">
        <v>4125.5126874306397</v>
      </c>
      <c r="N55" s="134">
        <v>5236.6123153382996</v>
      </c>
      <c r="O55" s="134">
        <v>3847.76557246223</v>
      </c>
      <c r="P55" s="134">
        <v>3603.0382879454701</v>
      </c>
      <c r="Q55" s="134">
        <v>3437.84520854938</v>
      </c>
      <c r="R55" s="134">
        <v>4743.1236057495198</v>
      </c>
      <c r="S55" s="134">
        <v>4983.4834938485301</v>
      </c>
      <c r="T55" s="134">
        <v>5279.08375945638</v>
      </c>
      <c r="U55" s="134">
        <v>5144.1190047441496</v>
      </c>
      <c r="V55" s="134">
        <v>4367.2614467080202</v>
      </c>
      <c r="W55" s="134">
        <v>3724.6979190042898</v>
      </c>
      <c r="X55" s="134">
        <v>3312.98956389162</v>
      </c>
      <c r="Y55" s="134">
        <v>3213.17272165742</v>
      </c>
      <c r="Z55" s="134">
        <v>3220.1695485873802</v>
      </c>
      <c r="AA55" s="134">
        <v>3186.4448459272799</v>
      </c>
      <c r="AB55" s="134">
        <v>3073.10179416967</v>
      </c>
      <c r="AC55" s="134">
        <v>2086.7335973627401</v>
      </c>
      <c r="AD55" s="134">
        <v>2112.3948506974298</v>
      </c>
      <c r="AE55" s="134">
        <v>2049.8475590201801</v>
      </c>
      <c r="AF55" s="134">
        <v>1925.16883164304</v>
      </c>
      <c r="AG55" s="134">
        <v>1987.1520086867899</v>
      </c>
      <c r="AH55" s="519">
        <v>1976.8419018341001</v>
      </c>
    </row>
    <row r="56" spans="1:34" s="514" customFormat="1" ht="15" customHeight="1">
      <c r="A56" s="535">
        <v>18</v>
      </c>
      <c r="B56" s="515" t="s">
        <v>8859</v>
      </c>
      <c r="C56" s="517" t="s">
        <v>8938</v>
      </c>
      <c r="D56" s="134">
        <v>752.12012962111498</v>
      </c>
      <c r="E56" s="134">
        <v>753.59666892465304</v>
      </c>
      <c r="F56" s="134">
        <v>722.44753843080798</v>
      </c>
      <c r="G56" s="134">
        <v>736.75176332603201</v>
      </c>
      <c r="H56" s="134">
        <v>857.10585773531295</v>
      </c>
      <c r="I56" s="134">
        <v>1017.54851276415</v>
      </c>
      <c r="J56" s="134">
        <v>981.00591991480701</v>
      </c>
      <c r="K56" s="134">
        <v>888.864579052615</v>
      </c>
      <c r="L56" s="134">
        <v>658.46660211953701</v>
      </c>
      <c r="M56" s="134">
        <v>1132.8168665129499</v>
      </c>
      <c r="N56" s="134">
        <v>1066.54327925555</v>
      </c>
      <c r="O56" s="134">
        <v>2215.0102669991102</v>
      </c>
      <c r="P56" s="134">
        <v>2201.6774611548299</v>
      </c>
      <c r="Q56" s="134">
        <v>2778.46167532655</v>
      </c>
      <c r="R56" s="134">
        <v>1189.12323945102</v>
      </c>
      <c r="S56" s="134">
        <v>1594.2902455759599</v>
      </c>
      <c r="T56" s="134">
        <v>929.27944918569699</v>
      </c>
      <c r="U56" s="134">
        <v>920.09213068150405</v>
      </c>
      <c r="V56" s="134">
        <v>747.47351693882001</v>
      </c>
      <c r="W56" s="134">
        <v>640.03518897531603</v>
      </c>
      <c r="X56" s="134">
        <v>599.83198795459703</v>
      </c>
      <c r="Y56" s="134">
        <v>580.09828263214604</v>
      </c>
      <c r="Z56" s="134">
        <v>573.60336101737596</v>
      </c>
      <c r="AA56" s="134">
        <v>552.63744380293701</v>
      </c>
      <c r="AB56" s="134">
        <v>535.69643061825502</v>
      </c>
      <c r="AC56" s="134">
        <v>377.587622974689</v>
      </c>
      <c r="AD56" s="134">
        <v>380.86411044052198</v>
      </c>
      <c r="AE56" s="134">
        <v>380.53741695651502</v>
      </c>
      <c r="AF56" s="134">
        <v>359.99488126865998</v>
      </c>
      <c r="AG56" s="134">
        <v>371.92794507639701</v>
      </c>
      <c r="AH56" s="519">
        <v>363.82139543169802</v>
      </c>
    </row>
    <row r="57" spans="1:34" s="514" customFormat="1" ht="15" customHeight="1">
      <c r="A57" s="535">
        <v>19.100000000000001</v>
      </c>
      <c r="B57" s="515" t="s">
        <v>8859</v>
      </c>
      <c r="C57" s="517" t="s">
        <v>8939</v>
      </c>
      <c r="D57" s="134">
        <v>3334.5674047561201</v>
      </c>
      <c r="E57" s="134">
        <v>2865.62500529507</v>
      </c>
      <c r="F57" s="134">
        <v>2555.6220132138801</v>
      </c>
      <c r="G57" s="134">
        <v>2365.62694579238</v>
      </c>
      <c r="H57" s="134">
        <v>2281.7758502024899</v>
      </c>
      <c r="I57" s="134">
        <v>2192.9482138998501</v>
      </c>
      <c r="J57" s="134">
        <v>2241.2664362687801</v>
      </c>
      <c r="K57" s="134">
        <v>2352.4118044433499</v>
      </c>
      <c r="L57" s="134">
        <v>2095.7524907376301</v>
      </c>
      <c r="M57" s="134">
        <v>2070.4221090075798</v>
      </c>
      <c r="N57" s="134">
        <v>2064.83528713852</v>
      </c>
      <c r="O57" s="134">
        <v>1582.05587699393</v>
      </c>
      <c r="P57" s="134">
        <v>1288.9215312598999</v>
      </c>
      <c r="Q57" s="134">
        <v>1177.13842554081</v>
      </c>
      <c r="R57" s="134">
        <v>1029.2486827246</v>
      </c>
      <c r="S57" s="134">
        <v>997.90997502740902</v>
      </c>
      <c r="T57" s="134">
        <v>1284.2044042678699</v>
      </c>
      <c r="U57" s="134">
        <v>1501.40507568667</v>
      </c>
      <c r="V57" s="134">
        <v>1543.6063646369801</v>
      </c>
      <c r="W57" s="134">
        <v>1369.67916750261</v>
      </c>
      <c r="X57" s="134">
        <v>1496.7937536101399</v>
      </c>
      <c r="Y57" s="134">
        <v>1422.09139915947</v>
      </c>
      <c r="Z57" s="134">
        <v>1310.1663453654401</v>
      </c>
      <c r="AA57" s="134">
        <v>1443.2092459037699</v>
      </c>
      <c r="AB57" s="134">
        <v>1513.0751724061699</v>
      </c>
      <c r="AC57" s="134">
        <v>1377.91764945061</v>
      </c>
      <c r="AD57" s="134">
        <v>1127.46450964003</v>
      </c>
      <c r="AE57" s="134">
        <v>1062.17333413961</v>
      </c>
      <c r="AF57" s="134">
        <v>1068.80109099636</v>
      </c>
      <c r="AG57" s="134">
        <v>914.35120445638904</v>
      </c>
      <c r="AH57" s="519">
        <v>864.72758614855502</v>
      </c>
    </row>
    <row r="58" spans="1:34" s="514" customFormat="1" ht="15" customHeight="1">
      <c r="A58" s="535">
        <v>19.2</v>
      </c>
      <c r="B58" s="515" t="s">
        <v>8859</v>
      </c>
      <c r="C58" s="517" t="s">
        <v>7159</v>
      </c>
      <c r="D58" s="134">
        <v>18115.7786564532</v>
      </c>
      <c r="E58" s="134">
        <v>18887.306328912098</v>
      </c>
      <c r="F58" s="134">
        <v>19300.6785405097</v>
      </c>
      <c r="G58" s="134">
        <v>20210.360755540099</v>
      </c>
      <c r="H58" s="134">
        <v>19745.859996112002</v>
      </c>
      <c r="I58" s="134">
        <v>20480.900825114899</v>
      </c>
      <c r="J58" s="134">
        <v>20913.448976932901</v>
      </c>
      <c r="K58" s="134">
        <v>20772.248961680001</v>
      </c>
      <c r="L58" s="134">
        <v>20300.5655298313</v>
      </c>
      <c r="M58" s="134">
        <v>18378.8640982213</v>
      </c>
      <c r="N58" s="134">
        <v>17589.526768735901</v>
      </c>
      <c r="O58" s="134">
        <v>17384.347201351498</v>
      </c>
      <c r="P58" s="134">
        <v>19504.029403709999</v>
      </c>
      <c r="Q58" s="134">
        <v>18922.849958911698</v>
      </c>
      <c r="R58" s="134">
        <v>18609.8871937123</v>
      </c>
      <c r="S58" s="134">
        <v>20151.185779875199</v>
      </c>
      <c r="T58" s="134">
        <v>18266.790910546599</v>
      </c>
      <c r="U58" s="134">
        <v>18078.9818019581</v>
      </c>
      <c r="V58" s="134">
        <v>17534.491625025999</v>
      </c>
      <c r="W58" s="134">
        <v>16485.063515018799</v>
      </c>
      <c r="X58" s="134">
        <v>17229.3520314622</v>
      </c>
      <c r="Y58" s="134">
        <v>17617.278257697399</v>
      </c>
      <c r="Z58" s="134">
        <v>16011.956198768199</v>
      </c>
      <c r="AA58" s="134">
        <v>14895.084823412801</v>
      </c>
      <c r="AB58" s="134">
        <v>13711.533871809001</v>
      </c>
      <c r="AC58" s="134">
        <v>13733.6410618109</v>
      </c>
      <c r="AD58" s="134">
        <v>13827.296821799</v>
      </c>
      <c r="AE58" s="134">
        <v>13780.776597652601</v>
      </c>
      <c r="AF58" s="134">
        <v>13265.309735491899</v>
      </c>
      <c r="AG58" s="134">
        <v>12836.0962919623</v>
      </c>
      <c r="AH58" s="519">
        <v>11278.378834892799</v>
      </c>
    </row>
    <row r="59" spans="1:34" s="514" customFormat="1" ht="15" customHeight="1">
      <c r="A59" s="515" t="s">
        <v>8940</v>
      </c>
      <c r="B59" s="515" t="s">
        <v>8859</v>
      </c>
      <c r="C59" s="517" t="s">
        <v>8941</v>
      </c>
      <c r="D59" s="134">
        <v>2176.0978287963599</v>
      </c>
      <c r="E59" s="134">
        <v>2084.4083385931199</v>
      </c>
      <c r="F59" s="134">
        <v>2408.5210830741298</v>
      </c>
      <c r="G59" s="134">
        <v>2902.1704645925702</v>
      </c>
      <c r="H59" s="134">
        <v>3408.9570372921598</v>
      </c>
      <c r="I59" s="134">
        <v>3553.8914386146998</v>
      </c>
      <c r="J59" s="134">
        <v>2998.3636743033298</v>
      </c>
      <c r="K59" s="134">
        <v>2946.3049814504302</v>
      </c>
      <c r="L59" s="134">
        <v>2509.5259083841302</v>
      </c>
      <c r="M59" s="134">
        <v>1903.50356272616</v>
      </c>
      <c r="N59" s="134">
        <v>3600.1490889287802</v>
      </c>
      <c r="O59" s="134">
        <v>2866.0480823560001</v>
      </c>
      <c r="P59" s="134">
        <v>2310.5540906088199</v>
      </c>
      <c r="Q59" s="134">
        <v>2649.9913992270099</v>
      </c>
      <c r="R59" s="134">
        <v>2370.5009181846399</v>
      </c>
      <c r="S59" s="134">
        <v>3063.37420343029</v>
      </c>
      <c r="T59" s="134">
        <v>3020.6823359488599</v>
      </c>
      <c r="U59" s="134">
        <v>3061.4822508778602</v>
      </c>
      <c r="V59" s="134">
        <v>3138.0757093687298</v>
      </c>
      <c r="W59" s="134">
        <v>2592.7600157898601</v>
      </c>
      <c r="X59" s="134">
        <v>2684.92778564837</v>
      </c>
      <c r="Y59" s="134">
        <v>2499.6728530437999</v>
      </c>
      <c r="Z59" s="134">
        <v>2306.7613519552401</v>
      </c>
      <c r="AA59" s="134">
        <v>2281.7277864057401</v>
      </c>
      <c r="AB59" s="134">
        <v>1964.99026771527</v>
      </c>
      <c r="AC59" s="134">
        <v>1853.6891737896899</v>
      </c>
      <c r="AD59" s="134">
        <v>1934.93587458152</v>
      </c>
      <c r="AE59" s="134">
        <v>2028.38049254769</v>
      </c>
      <c r="AF59" s="134">
        <v>1978.2799603388301</v>
      </c>
      <c r="AG59" s="134">
        <v>1961.84949972137</v>
      </c>
      <c r="AH59" s="519">
        <v>1836.3131031928101</v>
      </c>
    </row>
    <row r="60" spans="1:34" s="514" customFormat="1" ht="15" customHeight="1">
      <c r="A60" s="515" t="s">
        <v>8942</v>
      </c>
      <c r="B60" s="515" t="s">
        <v>8859</v>
      </c>
      <c r="C60" s="517" t="s">
        <v>8943</v>
      </c>
      <c r="D60" s="134">
        <v>595.91006373173502</v>
      </c>
      <c r="E60" s="134">
        <v>601.96262815418197</v>
      </c>
      <c r="F60" s="134">
        <v>615.511042998741</v>
      </c>
      <c r="G60" s="134">
        <v>620.57750560078898</v>
      </c>
      <c r="H60" s="134">
        <v>617.83887001711298</v>
      </c>
      <c r="I60" s="134">
        <v>692.95949141458505</v>
      </c>
      <c r="J60" s="134">
        <v>695.45367076799403</v>
      </c>
      <c r="K60" s="134">
        <v>525.06095178297801</v>
      </c>
      <c r="L60" s="134">
        <v>614.53619556137596</v>
      </c>
      <c r="M60" s="134">
        <v>691.64844889808296</v>
      </c>
      <c r="N60" s="134">
        <v>747.51763937911699</v>
      </c>
      <c r="O60" s="134">
        <v>777.84208906094705</v>
      </c>
      <c r="P60" s="134">
        <v>812.05978110061199</v>
      </c>
      <c r="Q60" s="134">
        <v>770.92977057104804</v>
      </c>
      <c r="R60" s="134">
        <v>652.45955804315895</v>
      </c>
      <c r="S60" s="134">
        <v>719.44628576790706</v>
      </c>
      <c r="T60" s="134">
        <v>553.67917873188105</v>
      </c>
      <c r="U60" s="134">
        <v>744.32471568245398</v>
      </c>
      <c r="V60" s="134">
        <v>753.94224853699995</v>
      </c>
      <c r="W60" s="134">
        <v>562.33161371172298</v>
      </c>
      <c r="X60" s="134">
        <v>639.88985044005005</v>
      </c>
      <c r="Y60" s="134">
        <v>536.12636967777701</v>
      </c>
      <c r="Z60" s="134">
        <v>739.254977764567</v>
      </c>
      <c r="AA60" s="134">
        <v>637.60971392047099</v>
      </c>
      <c r="AB60" s="134">
        <v>634.96886257203005</v>
      </c>
      <c r="AC60" s="134">
        <v>667.39092367380999</v>
      </c>
      <c r="AD60" s="134">
        <v>612.57280024567694</v>
      </c>
      <c r="AE60" s="134">
        <v>739.84756755214698</v>
      </c>
      <c r="AF60" s="134">
        <v>578.01510634302804</v>
      </c>
      <c r="AG60" s="134">
        <v>650.12690289443105</v>
      </c>
      <c r="AH60" s="519">
        <v>703.03156513293504</v>
      </c>
    </row>
    <row r="61" spans="1:34" s="514" customFormat="1" ht="15" customHeight="1">
      <c r="A61" s="515" t="s">
        <v>8944</v>
      </c>
      <c r="B61" s="515" t="s">
        <v>8859</v>
      </c>
      <c r="C61" s="517" t="s">
        <v>8945</v>
      </c>
      <c r="D61" s="134">
        <v>5252.1217148033902</v>
      </c>
      <c r="E61" s="134">
        <v>5297.2399276322003</v>
      </c>
      <c r="F61" s="134">
        <v>5491.5023233787497</v>
      </c>
      <c r="G61" s="134">
        <v>5516.4796967537604</v>
      </c>
      <c r="H61" s="134">
        <v>4293.1360767909</v>
      </c>
      <c r="I61" s="134">
        <v>4373.4034748824797</v>
      </c>
      <c r="J61" s="134">
        <v>4414.12255400293</v>
      </c>
      <c r="K61" s="134">
        <v>3855.8163165040501</v>
      </c>
      <c r="L61" s="134">
        <v>4753.0309885480201</v>
      </c>
      <c r="M61" s="134">
        <v>6357.6545802107303</v>
      </c>
      <c r="N61" s="134">
        <v>5519.8856212110604</v>
      </c>
      <c r="O61" s="134">
        <v>5288.9049982060096</v>
      </c>
      <c r="P61" s="134">
        <v>4349.5657280748001</v>
      </c>
      <c r="Q61" s="134">
        <v>4262.8984687431202</v>
      </c>
      <c r="R61" s="134">
        <v>4422.3506453259097</v>
      </c>
      <c r="S61" s="134">
        <v>3815.3089881573501</v>
      </c>
      <c r="T61" s="134">
        <v>2894.0573490468</v>
      </c>
      <c r="U61" s="134">
        <v>3123.9696097543101</v>
      </c>
      <c r="V61" s="134">
        <v>2723.9686741248402</v>
      </c>
      <c r="W61" s="134">
        <v>2113.7102632115698</v>
      </c>
      <c r="X61" s="134">
        <v>2450.2368092832098</v>
      </c>
      <c r="Y61" s="134">
        <v>1103.2624597909901</v>
      </c>
      <c r="Z61" s="134">
        <v>1159.45593145829</v>
      </c>
      <c r="AA61" s="134">
        <v>1018.92619369854</v>
      </c>
      <c r="AB61" s="134">
        <v>1007.1373501214</v>
      </c>
      <c r="AC61" s="134">
        <v>1027.46153420628</v>
      </c>
      <c r="AD61" s="134">
        <v>992.60598938118903</v>
      </c>
      <c r="AE61" s="134">
        <v>1188.88882961114</v>
      </c>
      <c r="AF61" s="134">
        <v>911.23692749363101</v>
      </c>
      <c r="AG61" s="134">
        <v>1003.65522400255</v>
      </c>
      <c r="AH61" s="519">
        <v>1166.24573946344</v>
      </c>
    </row>
    <row r="62" spans="1:34" s="514" customFormat="1" ht="15" customHeight="1">
      <c r="A62" s="515" t="s">
        <v>8946</v>
      </c>
      <c r="B62" s="515" t="s">
        <v>8859</v>
      </c>
      <c r="C62" s="517" t="s">
        <v>8947</v>
      </c>
      <c r="D62" s="134">
        <v>46679.352228275398</v>
      </c>
      <c r="E62" s="134">
        <v>47858.694850499902</v>
      </c>
      <c r="F62" s="134">
        <v>43911.283301761803</v>
      </c>
      <c r="G62" s="134">
        <v>41400.475251245902</v>
      </c>
      <c r="H62" s="134">
        <v>43443.729420565498</v>
      </c>
      <c r="I62" s="134">
        <v>42323.421571804101</v>
      </c>
      <c r="J62" s="134">
        <v>43186.311259089598</v>
      </c>
      <c r="K62" s="134">
        <v>44672.995469271496</v>
      </c>
      <c r="L62" s="134">
        <v>39173.630282222199</v>
      </c>
      <c r="M62" s="134">
        <v>20111.1751616293</v>
      </c>
      <c r="N62" s="134">
        <v>16873.810128265599</v>
      </c>
      <c r="O62" s="134">
        <v>14140.028382500501</v>
      </c>
      <c r="P62" s="134">
        <v>13472.384531138399</v>
      </c>
      <c r="Q62" s="134">
        <v>12937.810834255701</v>
      </c>
      <c r="R62" s="134">
        <v>12283.561159569699</v>
      </c>
      <c r="S62" s="134">
        <v>10074.107377638</v>
      </c>
      <c r="T62" s="134">
        <v>9950.1507489754895</v>
      </c>
      <c r="U62" s="134">
        <v>10137.9835793292</v>
      </c>
      <c r="V62" s="134">
        <v>9428.9174177381901</v>
      </c>
      <c r="W62" s="134">
        <v>7968.21276525544</v>
      </c>
      <c r="X62" s="134">
        <v>7971.7078961573197</v>
      </c>
      <c r="Y62" s="134">
        <v>7782.8150469160501</v>
      </c>
      <c r="Z62" s="134">
        <v>7302.11965978035</v>
      </c>
      <c r="AA62" s="134">
        <v>6904.83200608275</v>
      </c>
      <c r="AB62" s="134">
        <v>5886.7680340144398</v>
      </c>
      <c r="AC62" s="134">
        <v>5988.8605367078098</v>
      </c>
      <c r="AD62" s="134">
        <v>6132.97785536838</v>
      </c>
      <c r="AE62" s="134">
        <v>6406.1185787700397</v>
      </c>
      <c r="AF62" s="134">
        <v>6054.8306644791101</v>
      </c>
      <c r="AG62" s="134">
        <v>5626.7315008470396</v>
      </c>
      <c r="AH62" s="519">
        <v>5769.4491503939498</v>
      </c>
    </row>
    <row r="63" spans="1:34" s="514" customFormat="1" ht="15" customHeight="1">
      <c r="A63" s="515" t="s">
        <v>8948</v>
      </c>
      <c r="B63" s="515" t="s">
        <v>8859</v>
      </c>
      <c r="C63" s="517" t="s">
        <v>8949</v>
      </c>
      <c r="D63" s="134">
        <v>1645.0602147627601</v>
      </c>
      <c r="E63" s="134">
        <v>1490.67998878142</v>
      </c>
      <c r="F63" s="134">
        <v>1693.3720020170299</v>
      </c>
      <c r="G63" s="134">
        <v>1944.54648845868</v>
      </c>
      <c r="H63" s="134">
        <v>1931.43108302875</v>
      </c>
      <c r="I63" s="134">
        <v>1820.6697155388099</v>
      </c>
      <c r="J63" s="134">
        <v>1571.61335565852</v>
      </c>
      <c r="K63" s="134">
        <v>1738.3760101289299</v>
      </c>
      <c r="L63" s="134">
        <v>2047.41270625428</v>
      </c>
      <c r="M63" s="134">
        <v>1274.31063295372</v>
      </c>
      <c r="N63" s="134">
        <v>1821.9697316618699</v>
      </c>
      <c r="O63" s="134">
        <v>2447.5443170591702</v>
      </c>
      <c r="P63" s="134">
        <v>2035.2830078258401</v>
      </c>
      <c r="Q63" s="134">
        <v>1735.19357121813</v>
      </c>
      <c r="R63" s="134">
        <v>1690.2022141247101</v>
      </c>
      <c r="S63" s="134">
        <v>1830.84758352473</v>
      </c>
      <c r="T63" s="134">
        <v>1587.18206398242</v>
      </c>
      <c r="U63" s="134">
        <v>1568.7315037293399</v>
      </c>
      <c r="V63" s="134">
        <v>1433.16077691647</v>
      </c>
      <c r="W63" s="134">
        <v>1079.99101825615</v>
      </c>
      <c r="X63" s="134">
        <v>1064.0577115446199</v>
      </c>
      <c r="Y63" s="134">
        <v>953.49786097156903</v>
      </c>
      <c r="Z63" s="134">
        <v>941.75735864542401</v>
      </c>
      <c r="AA63" s="134">
        <v>985.50752401910495</v>
      </c>
      <c r="AB63" s="134">
        <v>923.35482049092002</v>
      </c>
      <c r="AC63" s="134">
        <v>926.03920437664704</v>
      </c>
      <c r="AD63" s="134">
        <v>938.52667473032704</v>
      </c>
      <c r="AE63" s="134">
        <v>986.31709865575795</v>
      </c>
      <c r="AF63" s="134">
        <v>974.16099973320104</v>
      </c>
      <c r="AG63" s="134">
        <v>931.351665527862</v>
      </c>
      <c r="AH63" s="519">
        <v>934.22158560006096</v>
      </c>
    </row>
    <row r="64" spans="1:34" s="514" customFormat="1" ht="15" customHeight="1">
      <c r="A64" s="535">
        <v>20.3</v>
      </c>
      <c r="B64" s="515" t="s">
        <v>8859</v>
      </c>
      <c r="C64" s="517" t="s">
        <v>8950</v>
      </c>
      <c r="D64" s="134">
        <v>367.09609340239899</v>
      </c>
      <c r="E64" s="134">
        <v>338.58508288008198</v>
      </c>
      <c r="F64" s="134">
        <v>374.67630514601501</v>
      </c>
      <c r="G64" s="134">
        <v>468.57576301430498</v>
      </c>
      <c r="H64" s="134">
        <v>495.12802370512497</v>
      </c>
      <c r="I64" s="134">
        <v>406.666806591343</v>
      </c>
      <c r="J64" s="134">
        <v>304.000876074519</v>
      </c>
      <c r="K64" s="134">
        <v>223.24799796001</v>
      </c>
      <c r="L64" s="134">
        <v>221.56422287413599</v>
      </c>
      <c r="M64" s="134">
        <v>218.793446957708</v>
      </c>
      <c r="N64" s="134">
        <v>150.80187871613001</v>
      </c>
      <c r="O64" s="134">
        <v>397.62408863242501</v>
      </c>
      <c r="P64" s="134">
        <v>268.22064990382597</v>
      </c>
      <c r="Q64" s="134">
        <v>252.13238266145899</v>
      </c>
      <c r="R64" s="134">
        <v>266.77985526400897</v>
      </c>
      <c r="S64" s="134">
        <v>220.12093027860999</v>
      </c>
      <c r="T64" s="134">
        <v>244.65675551298801</v>
      </c>
      <c r="U64" s="134">
        <v>240.667876391715</v>
      </c>
      <c r="V64" s="134">
        <v>236.24953187532799</v>
      </c>
      <c r="W64" s="134">
        <v>205.166995001982</v>
      </c>
      <c r="X64" s="134">
        <v>219.39674391750799</v>
      </c>
      <c r="Y64" s="134">
        <v>192.276165589117</v>
      </c>
      <c r="Z64" s="134">
        <v>175.74905697972699</v>
      </c>
      <c r="AA64" s="134">
        <v>178.970604599593</v>
      </c>
      <c r="AB64" s="134">
        <v>166.55920669165499</v>
      </c>
      <c r="AC64" s="134">
        <v>160.10009495761199</v>
      </c>
      <c r="AD64" s="134">
        <v>171.34995515862701</v>
      </c>
      <c r="AE64" s="134">
        <v>173.04241584297401</v>
      </c>
      <c r="AF64" s="134">
        <v>172.156587359848</v>
      </c>
      <c r="AG64" s="134">
        <v>162.37845423043001</v>
      </c>
      <c r="AH64" s="519">
        <v>162.13776324821001</v>
      </c>
    </row>
    <row r="65" spans="1:34" s="514" customFormat="1" ht="15" customHeight="1">
      <c r="A65" s="535">
        <v>20.399999999999999</v>
      </c>
      <c r="B65" s="515" t="s">
        <v>8859</v>
      </c>
      <c r="C65" s="517" t="s">
        <v>8951</v>
      </c>
      <c r="D65" s="134">
        <v>590.76325803294003</v>
      </c>
      <c r="E65" s="134">
        <v>419.15058280122901</v>
      </c>
      <c r="F65" s="134">
        <v>382.916187109124</v>
      </c>
      <c r="G65" s="134">
        <v>457.80693976878302</v>
      </c>
      <c r="H65" s="134">
        <v>447.34158347289099</v>
      </c>
      <c r="I65" s="134">
        <v>393.29673283310802</v>
      </c>
      <c r="J65" s="134">
        <v>351.50540025411101</v>
      </c>
      <c r="K65" s="134">
        <v>340.41182795179799</v>
      </c>
      <c r="L65" s="134">
        <v>337.80549425773302</v>
      </c>
      <c r="M65" s="134">
        <v>329.633538445738</v>
      </c>
      <c r="N65" s="134">
        <v>457.15182503164198</v>
      </c>
      <c r="O65" s="134">
        <v>344.02117849366402</v>
      </c>
      <c r="P65" s="134">
        <v>341.57947530810497</v>
      </c>
      <c r="Q65" s="134">
        <v>974.20676425341105</v>
      </c>
      <c r="R65" s="134">
        <v>797.21061112914299</v>
      </c>
      <c r="S65" s="134">
        <v>1043.0051951042799</v>
      </c>
      <c r="T65" s="134">
        <v>1041.64505555198</v>
      </c>
      <c r="U65" s="134">
        <v>896.66414281175798</v>
      </c>
      <c r="V65" s="134">
        <v>681.95259520952402</v>
      </c>
      <c r="W65" s="134">
        <v>357.10320189687502</v>
      </c>
      <c r="X65" s="134">
        <v>365.18427191236998</v>
      </c>
      <c r="Y65" s="134">
        <v>327.10840265934098</v>
      </c>
      <c r="Z65" s="134">
        <v>316.67962587474801</v>
      </c>
      <c r="AA65" s="134">
        <v>323.72679020867099</v>
      </c>
      <c r="AB65" s="134">
        <v>303.55423630287203</v>
      </c>
      <c r="AC65" s="134">
        <v>300.39184553285702</v>
      </c>
      <c r="AD65" s="134">
        <v>302.832319950223</v>
      </c>
      <c r="AE65" s="134">
        <v>316.64169763420398</v>
      </c>
      <c r="AF65" s="134">
        <v>311.37136911895601</v>
      </c>
      <c r="AG65" s="134">
        <v>301.54007899940802</v>
      </c>
      <c r="AH65" s="519">
        <v>307.90540000958703</v>
      </c>
    </row>
    <row r="66" spans="1:34" s="514" customFormat="1" ht="15" customHeight="1">
      <c r="A66" s="535">
        <v>20.5</v>
      </c>
      <c r="B66" s="515" t="s">
        <v>8859</v>
      </c>
      <c r="C66" s="517" t="s">
        <v>8952</v>
      </c>
      <c r="D66" s="134">
        <v>877.39525589449602</v>
      </c>
      <c r="E66" s="134">
        <v>860.40823341124803</v>
      </c>
      <c r="F66" s="134">
        <v>946.757018557572</v>
      </c>
      <c r="G66" s="134">
        <v>1246.9642212727899</v>
      </c>
      <c r="H66" s="134">
        <v>1306.41666069959</v>
      </c>
      <c r="I66" s="134">
        <v>1280.3071765168099</v>
      </c>
      <c r="J66" s="134">
        <v>1114.8629637041099</v>
      </c>
      <c r="K66" s="134">
        <v>1191.86591244892</v>
      </c>
      <c r="L66" s="134">
        <v>939.80365136185503</v>
      </c>
      <c r="M66" s="134">
        <v>1025.4765773864599</v>
      </c>
      <c r="N66" s="134">
        <v>707.91985255973304</v>
      </c>
      <c r="O66" s="134">
        <v>1097.09321957768</v>
      </c>
      <c r="P66" s="134">
        <v>685.21905711232705</v>
      </c>
      <c r="Q66" s="134">
        <v>761.58796489574604</v>
      </c>
      <c r="R66" s="134">
        <v>576.52776037965202</v>
      </c>
      <c r="S66" s="134">
        <v>757.98212155966098</v>
      </c>
      <c r="T66" s="134">
        <v>699.86488568369498</v>
      </c>
      <c r="U66" s="134">
        <v>670.53305306304401</v>
      </c>
      <c r="V66" s="134">
        <v>667.25118015830799</v>
      </c>
      <c r="W66" s="134">
        <v>601.97994188928897</v>
      </c>
      <c r="X66" s="134">
        <v>609.55710502944703</v>
      </c>
      <c r="Y66" s="134">
        <v>543.77039482440898</v>
      </c>
      <c r="Z66" s="134">
        <v>544.10903607780699</v>
      </c>
      <c r="AA66" s="134">
        <v>563.45655977229001</v>
      </c>
      <c r="AB66" s="134">
        <v>509.11212868909001</v>
      </c>
      <c r="AC66" s="134">
        <v>492.805763478269</v>
      </c>
      <c r="AD66" s="134">
        <v>540.28900530337603</v>
      </c>
      <c r="AE66" s="134">
        <v>547.59378934371</v>
      </c>
      <c r="AF66" s="134">
        <v>544.37644172995294</v>
      </c>
      <c r="AG66" s="134">
        <v>524.217267942489</v>
      </c>
      <c r="AH66" s="519">
        <v>550.12494305131895</v>
      </c>
    </row>
    <row r="67" spans="1:34" s="514" customFormat="1" ht="15" customHeight="1">
      <c r="A67" s="535">
        <v>21</v>
      </c>
      <c r="B67" s="515" t="s">
        <v>8859</v>
      </c>
      <c r="C67" s="517" t="s">
        <v>8953</v>
      </c>
      <c r="D67" s="134">
        <v>1091.11211501103</v>
      </c>
      <c r="E67" s="134">
        <v>1002.92752387322</v>
      </c>
      <c r="F67" s="134">
        <v>1029.74277797015</v>
      </c>
      <c r="G67" s="134">
        <v>1260.1383724863099</v>
      </c>
      <c r="H67" s="134">
        <v>1289.4705838360501</v>
      </c>
      <c r="I67" s="134">
        <v>1345.0426157019101</v>
      </c>
      <c r="J67" s="134">
        <v>1163.2995915398601</v>
      </c>
      <c r="K67" s="134">
        <v>1167.4593750955801</v>
      </c>
      <c r="L67" s="134">
        <v>1255.2164042735401</v>
      </c>
      <c r="M67" s="134">
        <v>1390.74416297211</v>
      </c>
      <c r="N67" s="134">
        <v>1014.53294356999</v>
      </c>
      <c r="O67" s="134">
        <v>2155.8520386345399</v>
      </c>
      <c r="P67" s="134">
        <v>1785.40105010447</v>
      </c>
      <c r="Q67" s="134">
        <v>1867.36698109384</v>
      </c>
      <c r="R67" s="134">
        <v>1890.94913719696</v>
      </c>
      <c r="S67" s="134">
        <v>1504.6235899318999</v>
      </c>
      <c r="T67" s="134">
        <v>1234.6065532682501</v>
      </c>
      <c r="U67" s="134">
        <v>1212.4848463896701</v>
      </c>
      <c r="V67" s="134">
        <v>1234.4368893353901</v>
      </c>
      <c r="W67" s="134">
        <v>892.23273738331602</v>
      </c>
      <c r="X67" s="134">
        <v>905.490804444898</v>
      </c>
      <c r="Y67" s="134">
        <v>834.92155679027496</v>
      </c>
      <c r="Z67" s="134">
        <v>773.15077873973905</v>
      </c>
      <c r="AA67" s="134">
        <v>781.13429121706702</v>
      </c>
      <c r="AB67" s="134">
        <v>682.38760233707205</v>
      </c>
      <c r="AC67" s="134">
        <v>631.51713474235498</v>
      </c>
      <c r="AD67" s="134">
        <v>650.69380705753599</v>
      </c>
      <c r="AE67" s="134">
        <v>676.23506533927696</v>
      </c>
      <c r="AF67" s="134">
        <v>658.230689702012</v>
      </c>
      <c r="AG67" s="134">
        <v>647.16424069469804</v>
      </c>
      <c r="AH67" s="519">
        <v>644.07452300024499</v>
      </c>
    </row>
    <row r="68" spans="1:34" s="514" customFormat="1" ht="15" customHeight="1">
      <c r="A68" s="535">
        <v>22.1</v>
      </c>
      <c r="B68" s="515" t="s">
        <v>8859</v>
      </c>
      <c r="C68" s="517" t="s">
        <v>8954</v>
      </c>
      <c r="D68" s="134">
        <v>1207.6271704835401</v>
      </c>
      <c r="E68" s="134">
        <v>1325.5806255477301</v>
      </c>
      <c r="F68" s="134">
        <v>1082.14468420456</v>
      </c>
      <c r="G68" s="134">
        <v>864.63816691521401</v>
      </c>
      <c r="H68" s="134">
        <v>951.53880791054803</v>
      </c>
      <c r="I68" s="134">
        <v>953.15370159215502</v>
      </c>
      <c r="J68" s="134">
        <v>783.13780490815702</v>
      </c>
      <c r="K68" s="134">
        <v>1015.12538949775</v>
      </c>
      <c r="L68" s="134">
        <v>821.64349207172597</v>
      </c>
      <c r="M68" s="134">
        <v>1161.9205864882099</v>
      </c>
      <c r="N68" s="134">
        <v>1435.5961391738599</v>
      </c>
      <c r="O68" s="134">
        <v>1352.3712153204499</v>
      </c>
      <c r="P68" s="134">
        <v>1007.5850369769</v>
      </c>
      <c r="Q68" s="134">
        <v>619.92928403292206</v>
      </c>
      <c r="R68" s="134">
        <v>750.08845415085204</v>
      </c>
      <c r="S68" s="134">
        <v>1304.57453882858</v>
      </c>
      <c r="T68" s="134">
        <v>816.05973444291703</v>
      </c>
      <c r="U68" s="134">
        <v>708.11391418866503</v>
      </c>
      <c r="V68" s="134">
        <v>352.08816877369702</v>
      </c>
      <c r="W68" s="134">
        <v>322.47535073498898</v>
      </c>
      <c r="X68" s="134">
        <v>438.87570409571401</v>
      </c>
      <c r="Y68" s="134">
        <v>383.29617607054399</v>
      </c>
      <c r="Z68" s="134">
        <v>360.79595137254898</v>
      </c>
      <c r="AA68" s="134">
        <v>354.83018412410303</v>
      </c>
      <c r="AB68" s="134">
        <v>350.77969939013002</v>
      </c>
      <c r="AC68" s="134">
        <v>351.33306911985699</v>
      </c>
      <c r="AD68" s="134">
        <v>382.70518409436102</v>
      </c>
      <c r="AE68" s="134">
        <v>389.595010917823</v>
      </c>
      <c r="AF68" s="134">
        <v>400.09388262682302</v>
      </c>
      <c r="AG68" s="134">
        <v>383.37667769330898</v>
      </c>
      <c r="AH68" s="519">
        <v>356.32145964718802</v>
      </c>
    </row>
    <row r="69" spans="1:34" s="514" customFormat="1" ht="15" customHeight="1">
      <c r="A69" s="535">
        <v>22.2</v>
      </c>
      <c r="B69" s="515" t="s">
        <v>8859</v>
      </c>
      <c r="C69" s="517" t="s">
        <v>8955</v>
      </c>
      <c r="D69" s="134">
        <v>4495.8954641424698</v>
      </c>
      <c r="E69" s="134">
        <v>5000.2313821466696</v>
      </c>
      <c r="F69" s="134">
        <v>4795.9207590427704</v>
      </c>
      <c r="G69" s="134">
        <v>3302.2561712308302</v>
      </c>
      <c r="H69" s="134">
        <v>3515.76287548443</v>
      </c>
      <c r="I69" s="134">
        <v>3528.9675428877099</v>
      </c>
      <c r="J69" s="134">
        <v>3124.5719751646602</v>
      </c>
      <c r="K69" s="134">
        <v>3243.1751572845101</v>
      </c>
      <c r="L69" s="134">
        <v>2405.0657619365702</v>
      </c>
      <c r="M69" s="134">
        <v>2191.6759361470399</v>
      </c>
      <c r="N69" s="134">
        <v>2438.3735731174302</v>
      </c>
      <c r="O69" s="134">
        <v>2633.789401991</v>
      </c>
      <c r="P69" s="134">
        <v>2070.9058913027402</v>
      </c>
      <c r="Q69" s="134">
        <v>2778.4103717282301</v>
      </c>
      <c r="R69" s="134">
        <v>2667.6652112204001</v>
      </c>
      <c r="S69" s="134">
        <v>3327.9769271059799</v>
      </c>
      <c r="T69" s="134">
        <v>3091.9172246671401</v>
      </c>
      <c r="U69" s="134">
        <v>2720.54797427734</v>
      </c>
      <c r="V69" s="134">
        <v>2303.3574050327102</v>
      </c>
      <c r="W69" s="134">
        <v>2190.1615957255499</v>
      </c>
      <c r="X69" s="134">
        <v>3105.24431479641</v>
      </c>
      <c r="Y69" s="134">
        <v>2699.21031129222</v>
      </c>
      <c r="Z69" s="134">
        <v>2463.1460880946802</v>
      </c>
      <c r="AA69" s="134">
        <v>3112.4416168832499</v>
      </c>
      <c r="AB69" s="134">
        <v>3468.9050290621599</v>
      </c>
      <c r="AC69" s="134">
        <v>3176.4629712992601</v>
      </c>
      <c r="AD69" s="134">
        <v>3354.8122156849199</v>
      </c>
      <c r="AE69" s="134">
        <v>3209.1927241301601</v>
      </c>
      <c r="AF69" s="134">
        <v>3179.3909148269199</v>
      </c>
      <c r="AG69" s="134">
        <v>2732.5365342395198</v>
      </c>
      <c r="AH69" s="519">
        <v>2572.2487008715898</v>
      </c>
    </row>
    <row r="70" spans="1:34" s="514" customFormat="1" ht="15" customHeight="1">
      <c r="A70" s="515" t="s">
        <v>8956</v>
      </c>
      <c r="B70" s="515" t="s">
        <v>8859</v>
      </c>
      <c r="C70" s="517" t="s">
        <v>8957</v>
      </c>
      <c r="D70" s="134">
        <v>6263.8782701752498</v>
      </c>
      <c r="E70" s="134">
        <v>6371.88304127423</v>
      </c>
      <c r="F70" s="134">
        <v>5892.0252425670496</v>
      </c>
      <c r="G70" s="134">
        <v>5012.6459664643298</v>
      </c>
      <c r="H70" s="134">
        <v>5027.4317603259897</v>
      </c>
      <c r="I70" s="134">
        <v>4648.1792088626698</v>
      </c>
      <c r="J70" s="134">
        <v>4317.4405077081601</v>
      </c>
      <c r="K70" s="134">
        <v>4135.7335649069501</v>
      </c>
      <c r="L70" s="134">
        <v>4090.7286366186299</v>
      </c>
      <c r="M70" s="134">
        <v>4007.5786714051601</v>
      </c>
      <c r="N70" s="134">
        <v>4163.5873295104302</v>
      </c>
      <c r="O70" s="134">
        <v>3963.0972446717801</v>
      </c>
      <c r="P70" s="134">
        <v>3658.61450213533</v>
      </c>
      <c r="Q70" s="134">
        <v>3682.7497271750399</v>
      </c>
      <c r="R70" s="134">
        <v>3684.5808105772198</v>
      </c>
      <c r="S70" s="134">
        <v>3562.4440709824298</v>
      </c>
      <c r="T70" s="134">
        <v>3416.2953611882699</v>
      </c>
      <c r="U70" s="134">
        <v>3867.10471674986</v>
      </c>
      <c r="V70" s="134">
        <v>4338.81478697485</v>
      </c>
      <c r="W70" s="134">
        <v>3618.7842324237099</v>
      </c>
      <c r="X70" s="134">
        <v>3082.8976868310001</v>
      </c>
      <c r="Y70" s="134">
        <v>2839.13928995989</v>
      </c>
      <c r="Z70" s="134">
        <v>2377.3711740773401</v>
      </c>
      <c r="AA70" s="134">
        <v>2477.6049730985701</v>
      </c>
      <c r="AB70" s="134">
        <v>2503.9520033134399</v>
      </c>
      <c r="AC70" s="134">
        <v>2798.46593945922</v>
      </c>
      <c r="AD70" s="134">
        <v>2880.5641267953301</v>
      </c>
      <c r="AE70" s="134">
        <v>2927.0120613724398</v>
      </c>
      <c r="AF70" s="134">
        <v>2817.6204351312999</v>
      </c>
      <c r="AG70" s="134">
        <v>2715.99866727266</v>
      </c>
      <c r="AH70" s="519">
        <v>2508.7304668340498</v>
      </c>
    </row>
    <row r="71" spans="1:34" s="514" customFormat="1" ht="15" customHeight="1">
      <c r="A71" s="535">
        <v>23.51</v>
      </c>
      <c r="B71" s="515" t="s">
        <v>8859</v>
      </c>
      <c r="C71" s="517" t="s">
        <v>8958</v>
      </c>
      <c r="D71" s="134">
        <v>13437.654188521101</v>
      </c>
      <c r="E71" s="134">
        <v>10979.9245144335</v>
      </c>
      <c r="F71" s="134">
        <v>9922.1866459427692</v>
      </c>
      <c r="G71" s="134">
        <v>9960.4574045938498</v>
      </c>
      <c r="H71" s="134">
        <v>11365.8406115088</v>
      </c>
      <c r="I71" s="134">
        <v>11077.2499858301</v>
      </c>
      <c r="J71" s="134">
        <v>11224.7792563121</v>
      </c>
      <c r="K71" s="134">
        <v>11758.4213472461</v>
      </c>
      <c r="L71" s="134">
        <v>11915.892276275101</v>
      </c>
      <c r="M71" s="134">
        <v>11353.966802635399</v>
      </c>
      <c r="N71" s="134">
        <v>10913.638842066001</v>
      </c>
      <c r="O71" s="134">
        <v>10494.2017163979</v>
      </c>
      <c r="P71" s="134">
        <v>10743.729087887599</v>
      </c>
      <c r="Q71" s="134">
        <v>10246.6961102187</v>
      </c>
      <c r="R71" s="134">
        <v>10417.318476225601</v>
      </c>
      <c r="S71" s="134">
        <v>10121.8553477481</v>
      </c>
      <c r="T71" s="134">
        <v>10102.721714674801</v>
      </c>
      <c r="U71" s="134">
        <v>10369.8296046538</v>
      </c>
      <c r="V71" s="134">
        <v>8672.8331385001893</v>
      </c>
      <c r="W71" s="134">
        <v>6032.3521192016797</v>
      </c>
      <c r="X71" s="134">
        <v>6144.1665306570403</v>
      </c>
      <c r="Y71" s="134">
        <v>6463.7609071494599</v>
      </c>
      <c r="Z71" s="134">
        <v>5890.5217258431603</v>
      </c>
      <c r="AA71" s="134">
        <v>6298.7097705423603</v>
      </c>
      <c r="AB71" s="134">
        <v>6513.9579987384504</v>
      </c>
      <c r="AC71" s="134">
        <v>6879.2727823576497</v>
      </c>
      <c r="AD71" s="134">
        <v>7190.5053185674496</v>
      </c>
      <c r="AE71" s="134">
        <v>6932.8495364441296</v>
      </c>
      <c r="AF71" s="134">
        <v>6882.9454763835402</v>
      </c>
      <c r="AG71" s="134">
        <v>6983.0366678311002</v>
      </c>
      <c r="AH71" s="519">
        <v>6185.6158421305799</v>
      </c>
    </row>
    <row r="72" spans="1:34" s="514" customFormat="1" ht="15" customHeight="1">
      <c r="A72" s="515" t="s">
        <v>8959</v>
      </c>
      <c r="B72" s="515" t="s">
        <v>8859</v>
      </c>
      <c r="C72" s="517" t="s">
        <v>8960</v>
      </c>
      <c r="D72" s="134">
        <v>2065.8256190924299</v>
      </c>
      <c r="E72" s="134">
        <v>1844.3818307469601</v>
      </c>
      <c r="F72" s="134">
        <v>1634.91443362067</v>
      </c>
      <c r="G72" s="134">
        <v>1640.4355625591099</v>
      </c>
      <c r="H72" s="134">
        <v>1705.60090744955</v>
      </c>
      <c r="I72" s="134">
        <v>1873.66308167944</v>
      </c>
      <c r="J72" s="134">
        <v>2084.1031902784298</v>
      </c>
      <c r="K72" s="134">
        <v>2135.62271350536</v>
      </c>
      <c r="L72" s="134">
        <v>2263.75889827831</v>
      </c>
      <c r="M72" s="134">
        <v>1952.3389814324901</v>
      </c>
      <c r="N72" s="134">
        <v>1985.7534535275699</v>
      </c>
      <c r="O72" s="134">
        <v>1979.5502068088799</v>
      </c>
      <c r="P72" s="134">
        <v>1825.06196626109</v>
      </c>
      <c r="Q72" s="134">
        <v>1962.17891180075</v>
      </c>
      <c r="R72" s="134">
        <v>2075.41540920948</v>
      </c>
      <c r="S72" s="134">
        <v>2078.9592215450698</v>
      </c>
      <c r="T72" s="134">
        <v>2081.1223451777901</v>
      </c>
      <c r="U72" s="134">
        <v>2211.11477675469</v>
      </c>
      <c r="V72" s="134">
        <v>2005.65772747149</v>
      </c>
      <c r="W72" s="134">
        <v>1440.55874228734</v>
      </c>
      <c r="X72" s="134">
        <v>1660.30371380726</v>
      </c>
      <c r="Y72" s="134">
        <v>1703.6212056003201</v>
      </c>
      <c r="Z72" s="134">
        <v>1660.61409278057</v>
      </c>
      <c r="AA72" s="134">
        <v>1755.2850762005301</v>
      </c>
      <c r="AB72" s="134">
        <v>1827.01201838162</v>
      </c>
      <c r="AC72" s="134">
        <v>1721.02645456913</v>
      </c>
      <c r="AD72" s="134">
        <v>1397.64390507809</v>
      </c>
      <c r="AE72" s="134">
        <v>1483.3171181147</v>
      </c>
      <c r="AF72" s="134">
        <v>1527.4287058741099</v>
      </c>
      <c r="AG72" s="134">
        <v>1492.2036005213899</v>
      </c>
      <c r="AH72" s="519">
        <v>1406.08188138222</v>
      </c>
    </row>
    <row r="73" spans="1:34" s="514" customFormat="1" ht="15" customHeight="1">
      <c r="A73" s="515" t="s">
        <v>8961</v>
      </c>
      <c r="B73" s="515" t="s">
        <v>8859</v>
      </c>
      <c r="C73" s="517" t="s">
        <v>8962</v>
      </c>
      <c r="D73" s="134">
        <v>72.507996338003394</v>
      </c>
      <c r="E73" s="134">
        <v>57.318327000260403</v>
      </c>
      <c r="F73" s="134">
        <v>44.814468591175299</v>
      </c>
      <c r="G73" s="134">
        <v>39.1618671919177</v>
      </c>
      <c r="H73" s="134">
        <v>31.130134419528499</v>
      </c>
      <c r="I73" s="134">
        <v>24.716994900137799</v>
      </c>
      <c r="J73" s="134">
        <v>24.782369086459699</v>
      </c>
      <c r="K73" s="134">
        <v>32.791701710089797</v>
      </c>
      <c r="L73" s="134">
        <v>11.932489402676699</v>
      </c>
      <c r="M73" s="134">
        <v>15.201735855275899</v>
      </c>
      <c r="N73" s="134">
        <v>16.356965424671099</v>
      </c>
      <c r="O73" s="134">
        <v>20.539007160771099</v>
      </c>
      <c r="P73" s="134">
        <v>19.787098423139199</v>
      </c>
      <c r="Q73" s="134">
        <v>18.5697963773749</v>
      </c>
      <c r="R73" s="134">
        <v>19.631704991762899</v>
      </c>
      <c r="S73" s="134">
        <v>20.5569084425107</v>
      </c>
      <c r="T73" s="134">
        <v>13.3651257830024</v>
      </c>
      <c r="U73" s="134">
        <v>12.8538544495705</v>
      </c>
      <c r="V73" s="134">
        <v>12.8012085180894</v>
      </c>
      <c r="W73" s="134">
        <v>12.647979681040299</v>
      </c>
      <c r="X73" s="134">
        <v>12.949781858872401</v>
      </c>
      <c r="Y73" s="134">
        <v>11.5235541364595</v>
      </c>
      <c r="Z73" s="134">
        <v>11.723429959133099</v>
      </c>
      <c r="AA73" s="134">
        <v>12.066261029047</v>
      </c>
      <c r="AB73" s="134">
        <v>11.2444250579154</v>
      </c>
      <c r="AC73" s="134">
        <v>11.2640698600439</v>
      </c>
      <c r="AD73" s="134">
        <v>13.3903730860692</v>
      </c>
      <c r="AE73" s="134">
        <v>13.166119557918501</v>
      </c>
      <c r="AF73" s="134">
        <v>13.385288047638699</v>
      </c>
      <c r="AG73" s="134">
        <v>12.405061351967699</v>
      </c>
      <c r="AH73" s="519">
        <v>13.8759913723763</v>
      </c>
    </row>
    <row r="74" spans="1:34" s="514" customFormat="1" ht="15" customHeight="1">
      <c r="A74" s="535">
        <v>23.6</v>
      </c>
      <c r="B74" s="515" t="s">
        <v>8859</v>
      </c>
      <c r="C74" s="517" t="s">
        <v>7265</v>
      </c>
      <c r="D74" s="134">
        <v>551.23481287479603</v>
      </c>
      <c r="E74" s="134">
        <v>531.96673585315</v>
      </c>
      <c r="F74" s="134">
        <v>519.153559964794</v>
      </c>
      <c r="G74" s="134">
        <v>470.309938977336</v>
      </c>
      <c r="H74" s="134">
        <v>501.01432787277901</v>
      </c>
      <c r="I74" s="134">
        <v>464.43126617831501</v>
      </c>
      <c r="J74" s="134">
        <v>460.40774466614499</v>
      </c>
      <c r="K74" s="134">
        <v>471.600229947488</v>
      </c>
      <c r="L74" s="134">
        <v>521.89519511696005</v>
      </c>
      <c r="M74" s="134">
        <v>593.90604504328905</v>
      </c>
      <c r="N74" s="134">
        <v>650.96538571321901</v>
      </c>
      <c r="O74" s="134">
        <v>649.87603516970796</v>
      </c>
      <c r="P74" s="134">
        <v>590.55880692329697</v>
      </c>
      <c r="Q74" s="134">
        <v>615.89097973153901</v>
      </c>
      <c r="R74" s="134">
        <v>647.20154293399696</v>
      </c>
      <c r="S74" s="134">
        <v>715.50816963470095</v>
      </c>
      <c r="T74" s="134">
        <v>788.80042956524096</v>
      </c>
      <c r="U74" s="134">
        <v>917.45365232910297</v>
      </c>
      <c r="V74" s="134">
        <v>1194.76892676444</v>
      </c>
      <c r="W74" s="134">
        <v>1377.9717876612201</v>
      </c>
      <c r="X74" s="134">
        <v>1267.4874281565101</v>
      </c>
      <c r="Y74" s="134">
        <v>1216.0883447595199</v>
      </c>
      <c r="Z74" s="134">
        <v>1664.3243755895901</v>
      </c>
      <c r="AA74" s="134">
        <v>2176.0509411037901</v>
      </c>
      <c r="AB74" s="134">
        <v>1722.7825035747201</v>
      </c>
      <c r="AC74" s="134">
        <v>1394.2463376077001</v>
      </c>
      <c r="AD74" s="134">
        <v>1035.6656328496299</v>
      </c>
      <c r="AE74" s="134">
        <v>814.01441279502603</v>
      </c>
      <c r="AF74" s="134">
        <v>761.56358567057998</v>
      </c>
      <c r="AG74" s="134">
        <v>686.53056479139298</v>
      </c>
      <c r="AH74" s="519">
        <v>641.34372201886003</v>
      </c>
    </row>
    <row r="75" spans="1:34" s="514" customFormat="1" ht="15" customHeight="1">
      <c r="A75" s="515" t="s">
        <v>8963</v>
      </c>
      <c r="B75" s="515" t="s">
        <v>8859</v>
      </c>
      <c r="C75" s="517" t="s">
        <v>8964</v>
      </c>
      <c r="D75" s="134">
        <v>24651.420701625801</v>
      </c>
      <c r="E75" s="134">
        <v>23692.133836393201</v>
      </c>
      <c r="F75" s="134">
        <v>22907.381477017199</v>
      </c>
      <c r="G75" s="134">
        <v>23210.180103689101</v>
      </c>
      <c r="H75" s="134">
        <v>23820.1670482628</v>
      </c>
      <c r="I75" s="134">
        <v>24131.2758157813</v>
      </c>
      <c r="J75" s="134">
        <v>24698.685094240602</v>
      </c>
      <c r="K75" s="134">
        <v>25248.9856468906</v>
      </c>
      <c r="L75" s="134">
        <v>23556.7917309718</v>
      </c>
      <c r="M75" s="134">
        <v>25181.328900821001</v>
      </c>
      <c r="N75" s="134">
        <v>22490.419086893799</v>
      </c>
      <c r="O75" s="134">
        <v>20453.064672212</v>
      </c>
      <c r="P75" s="134">
        <v>17497.561198327599</v>
      </c>
      <c r="Q75" s="134">
        <v>19944.468096931902</v>
      </c>
      <c r="R75" s="134">
        <v>20485.399593550701</v>
      </c>
      <c r="S75" s="134">
        <v>20569.4000145635</v>
      </c>
      <c r="T75" s="134">
        <v>21313.9487911172</v>
      </c>
      <c r="U75" s="134">
        <v>21821.844842832801</v>
      </c>
      <c r="V75" s="134">
        <v>20937.131697602301</v>
      </c>
      <c r="W75" s="134">
        <v>15384.9380069622</v>
      </c>
      <c r="X75" s="134">
        <v>14064.5014896058</v>
      </c>
      <c r="Y75" s="134">
        <v>12783.751762427801</v>
      </c>
      <c r="Z75" s="134">
        <v>13992.008367943001</v>
      </c>
      <c r="AA75" s="134">
        <v>18322.0451997776</v>
      </c>
      <c r="AB75" s="134">
        <v>18484.922611335001</v>
      </c>
      <c r="AC75" s="134">
        <v>16692.813713265699</v>
      </c>
      <c r="AD75" s="134">
        <v>11526.464574425299</v>
      </c>
      <c r="AE75" s="134">
        <v>11070.337458382401</v>
      </c>
      <c r="AF75" s="134">
        <v>10391.969653399699</v>
      </c>
      <c r="AG75" s="134">
        <v>10770.1307817938</v>
      </c>
      <c r="AH75" s="519">
        <v>10881.6965908071</v>
      </c>
    </row>
    <row r="76" spans="1:34" s="514" customFormat="1" ht="15" customHeight="1">
      <c r="A76" s="515" t="s">
        <v>8965</v>
      </c>
      <c r="B76" s="515" t="s">
        <v>8859</v>
      </c>
      <c r="C76" s="517" t="s">
        <v>8966</v>
      </c>
      <c r="D76" s="134">
        <v>3189.4537359403498</v>
      </c>
      <c r="E76" s="134">
        <v>3328.1931875370101</v>
      </c>
      <c r="F76" s="134">
        <v>3605.57275147872</v>
      </c>
      <c r="G76" s="134">
        <v>3612.98636861972</v>
      </c>
      <c r="H76" s="134">
        <v>3941.9554271885299</v>
      </c>
      <c r="I76" s="134">
        <v>3928.56783758765</v>
      </c>
      <c r="J76" s="134">
        <v>4510.0438808156796</v>
      </c>
      <c r="K76" s="134">
        <v>3328.61014825134</v>
      </c>
      <c r="L76" s="134">
        <v>2887.78218439686</v>
      </c>
      <c r="M76" s="134">
        <v>3215.6656308484098</v>
      </c>
      <c r="N76" s="134">
        <v>3131.6243283048102</v>
      </c>
      <c r="O76" s="134">
        <v>2817.1798258219301</v>
      </c>
      <c r="P76" s="134">
        <v>2793.9443329056398</v>
      </c>
      <c r="Q76" s="134">
        <v>2140.6663502206402</v>
      </c>
      <c r="R76" s="134">
        <v>2136.8199864457001</v>
      </c>
      <c r="S76" s="134">
        <v>1247.87066479645</v>
      </c>
      <c r="T76" s="134">
        <v>1281.4774046259899</v>
      </c>
      <c r="U76" s="134">
        <v>1033.51195966571</v>
      </c>
      <c r="V76" s="134">
        <v>1015.42226401343</v>
      </c>
      <c r="W76" s="134">
        <v>774.58909461973099</v>
      </c>
      <c r="X76" s="134">
        <v>1269.4032835385401</v>
      </c>
      <c r="Y76" s="134">
        <v>884.78536451095101</v>
      </c>
      <c r="Z76" s="134">
        <v>1012.61728107558</v>
      </c>
      <c r="AA76" s="134">
        <v>1064.23266265147</v>
      </c>
      <c r="AB76" s="134">
        <v>1144.9036366210701</v>
      </c>
      <c r="AC76" s="134">
        <v>773.22400620361202</v>
      </c>
      <c r="AD76" s="134">
        <v>711.84838258623097</v>
      </c>
      <c r="AE76" s="134">
        <v>727.18572570348704</v>
      </c>
      <c r="AF76" s="134">
        <v>818.01789780851504</v>
      </c>
      <c r="AG76" s="134">
        <v>708.06040693514205</v>
      </c>
      <c r="AH76" s="519">
        <v>619.48647685098399</v>
      </c>
    </row>
    <row r="77" spans="1:34" s="514" customFormat="1" ht="15" customHeight="1">
      <c r="A77" s="535">
        <v>24.42</v>
      </c>
      <c r="B77" s="515" t="s">
        <v>8859</v>
      </c>
      <c r="C77" s="517" t="s">
        <v>8967</v>
      </c>
      <c r="D77" s="134">
        <v>4347.2792017560696</v>
      </c>
      <c r="E77" s="134">
        <v>4220.3093597764801</v>
      </c>
      <c r="F77" s="134">
        <v>3509.3594579077699</v>
      </c>
      <c r="G77" s="134">
        <v>4159.79785562915</v>
      </c>
      <c r="H77" s="134">
        <v>3809.7451828468302</v>
      </c>
      <c r="I77" s="134">
        <v>3550.9939973669202</v>
      </c>
      <c r="J77" s="134">
        <v>3979.0106198239901</v>
      </c>
      <c r="K77" s="134">
        <v>3770.1687287100399</v>
      </c>
      <c r="L77" s="134">
        <v>4018.63679325258</v>
      </c>
      <c r="M77" s="134">
        <v>4112.8388145778799</v>
      </c>
      <c r="N77" s="134">
        <v>3996.6946570847999</v>
      </c>
      <c r="O77" s="134">
        <v>4117.0371242039901</v>
      </c>
      <c r="P77" s="134">
        <v>4021.9679188914401</v>
      </c>
      <c r="Q77" s="134">
        <v>4171.29126539349</v>
      </c>
      <c r="R77" s="134">
        <v>4175.7878179360496</v>
      </c>
      <c r="S77" s="134">
        <v>3978.00121418659</v>
      </c>
      <c r="T77" s="134">
        <v>4014.0019604307899</v>
      </c>
      <c r="U77" s="134">
        <v>3992.5891712995899</v>
      </c>
      <c r="V77" s="134">
        <v>3983.5079687454499</v>
      </c>
      <c r="W77" s="134">
        <v>3593.3010156536702</v>
      </c>
      <c r="X77" s="134">
        <v>3778.0700940715901</v>
      </c>
      <c r="Y77" s="134">
        <v>3602.6823759047802</v>
      </c>
      <c r="Z77" s="134">
        <v>2938.0515955043802</v>
      </c>
      <c r="AA77" s="134">
        <v>575.20522844578204</v>
      </c>
      <c r="AB77" s="134">
        <v>647.58748727664999</v>
      </c>
      <c r="AC77" s="134">
        <v>535.59745201452802</v>
      </c>
      <c r="AD77" s="134">
        <v>515.34354887578695</v>
      </c>
      <c r="AE77" s="134">
        <v>509.04039357942901</v>
      </c>
      <c r="AF77" s="134">
        <v>511.00535457694502</v>
      </c>
      <c r="AG77" s="134">
        <v>483.98339033824197</v>
      </c>
      <c r="AH77" s="519">
        <v>447.41896349785799</v>
      </c>
    </row>
    <row r="78" spans="1:34" s="514" customFormat="1" ht="15" customHeight="1">
      <c r="A78" s="535">
        <v>24.46</v>
      </c>
      <c r="B78" s="515" t="s">
        <v>8859</v>
      </c>
      <c r="C78" s="517" t="s">
        <v>8968</v>
      </c>
      <c r="D78" s="134">
        <v>102.915467794523</v>
      </c>
      <c r="E78" s="134">
        <v>121.940855470795</v>
      </c>
      <c r="F78" s="134">
        <v>124.65029075579599</v>
      </c>
      <c r="G78" s="134">
        <v>138.50225527165799</v>
      </c>
      <c r="H78" s="134">
        <v>133.97574751396999</v>
      </c>
      <c r="I78" s="134">
        <v>119.08745575254299</v>
      </c>
      <c r="J78" s="134">
        <v>208.18147514101801</v>
      </c>
      <c r="K78" s="134">
        <v>215.181104996432</v>
      </c>
      <c r="L78" s="134">
        <v>52.498240731612199</v>
      </c>
      <c r="M78" s="134">
        <v>65.632542539012405</v>
      </c>
      <c r="N78" s="134">
        <v>71.028567368633006</v>
      </c>
      <c r="O78" s="134">
        <v>73.747751549360004</v>
      </c>
      <c r="P78" s="134">
        <v>76.277476867603497</v>
      </c>
      <c r="Q78" s="134">
        <v>82.253339741496106</v>
      </c>
      <c r="R78" s="134">
        <v>65.058801958674707</v>
      </c>
      <c r="S78" s="134">
        <v>69.6092744977217</v>
      </c>
      <c r="T78" s="134">
        <v>64.219012963854198</v>
      </c>
      <c r="U78" s="134">
        <v>66.432012141936596</v>
      </c>
      <c r="V78" s="134">
        <v>33.388141859664302</v>
      </c>
      <c r="W78" s="134">
        <v>61.961638283628602</v>
      </c>
      <c r="X78" s="134">
        <v>74.321393992187197</v>
      </c>
      <c r="Y78" s="134">
        <v>63.229527510184603</v>
      </c>
      <c r="Z78" s="134">
        <v>71.588823477363803</v>
      </c>
      <c r="AA78" s="134">
        <v>73.550921281295501</v>
      </c>
      <c r="AB78" s="134">
        <v>64.120306366229201</v>
      </c>
      <c r="AC78" s="134">
        <v>44.955779541178998</v>
      </c>
      <c r="AD78" s="134">
        <v>43.319752805380702</v>
      </c>
      <c r="AE78" s="134">
        <v>41.641271750413097</v>
      </c>
      <c r="AF78" s="134">
        <v>41.8249370122968</v>
      </c>
      <c r="AG78" s="134">
        <v>41.121646888734098</v>
      </c>
      <c r="AH78" s="519">
        <v>39.424026398951099</v>
      </c>
    </row>
    <row r="79" spans="1:34" s="514" customFormat="1" ht="15" customHeight="1">
      <c r="A79" s="515" t="s">
        <v>8969</v>
      </c>
      <c r="B79" s="515" t="s">
        <v>8859</v>
      </c>
      <c r="C79" s="517" t="s">
        <v>8970</v>
      </c>
      <c r="D79" s="134">
        <v>4706.2144312536902</v>
      </c>
      <c r="E79" s="134">
        <v>4602.6106175629502</v>
      </c>
      <c r="F79" s="134">
        <v>4521.7188212569599</v>
      </c>
      <c r="G79" s="134">
        <v>4352.6611766461501</v>
      </c>
      <c r="H79" s="134">
        <v>4289.9187765572697</v>
      </c>
      <c r="I79" s="134">
        <v>4076.4198793831401</v>
      </c>
      <c r="J79" s="134">
        <v>4250.2402945059002</v>
      </c>
      <c r="K79" s="134">
        <v>4275.9221880669202</v>
      </c>
      <c r="L79" s="134">
        <v>4023.0413396577501</v>
      </c>
      <c r="M79" s="134">
        <v>4561.1366415999</v>
      </c>
      <c r="N79" s="134">
        <v>3260.5796007218801</v>
      </c>
      <c r="O79" s="134">
        <v>3054.5418145264498</v>
      </c>
      <c r="P79" s="134">
        <v>2873.32090020853</v>
      </c>
      <c r="Q79" s="134">
        <v>3091.3830257546301</v>
      </c>
      <c r="R79" s="134">
        <v>3007.21282938075</v>
      </c>
      <c r="S79" s="134">
        <v>3024.8270465124001</v>
      </c>
      <c r="T79" s="134">
        <v>3041.2923731167498</v>
      </c>
      <c r="U79" s="134">
        <v>2955.1750064686698</v>
      </c>
      <c r="V79" s="134">
        <v>2715.2755502946702</v>
      </c>
      <c r="W79" s="134">
        <v>2297.35119311881</v>
      </c>
      <c r="X79" s="134">
        <v>2503.49028613579</v>
      </c>
      <c r="Y79" s="134">
        <v>2437.7324551793199</v>
      </c>
      <c r="Z79" s="134">
        <v>2327.4561444604501</v>
      </c>
      <c r="AA79" s="134">
        <v>2318.0048558306198</v>
      </c>
      <c r="AB79" s="134">
        <v>2332.7777035203198</v>
      </c>
      <c r="AC79" s="134">
        <v>2849.57549284693</v>
      </c>
      <c r="AD79" s="134">
        <v>2747.00205524988</v>
      </c>
      <c r="AE79" s="134">
        <v>2734.30414717551</v>
      </c>
      <c r="AF79" s="134">
        <v>2806.2370843219101</v>
      </c>
      <c r="AG79" s="134">
        <v>2641.62538495028</v>
      </c>
      <c r="AH79" s="519">
        <v>2220.6513172221598</v>
      </c>
    </row>
    <row r="80" spans="1:34" s="514" customFormat="1" ht="15" customHeight="1">
      <c r="A80" s="535">
        <v>25.4</v>
      </c>
      <c r="B80" s="515" t="s">
        <v>8859</v>
      </c>
      <c r="C80" s="517" t="s">
        <v>8971</v>
      </c>
      <c r="D80" s="134">
        <v>180.99288205406</v>
      </c>
      <c r="E80" s="134">
        <v>163.76925255299901</v>
      </c>
      <c r="F80" s="134">
        <v>130.47582050620801</v>
      </c>
      <c r="G80" s="134">
        <v>81.739316825331997</v>
      </c>
      <c r="H80" s="134">
        <v>56.927108503626101</v>
      </c>
      <c r="I80" s="134">
        <v>62.265946393710003</v>
      </c>
      <c r="J80" s="134">
        <v>185.77911314795</v>
      </c>
      <c r="K80" s="134">
        <v>155.080597905594</v>
      </c>
      <c r="L80" s="134">
        <v>160.92111026958301</v>
      </c>
      <c r="M80" s="134">
        <v>132.436040418793</v>
      </c>
      <c r="N80" s="134">
        <v>146.67480847232201</v>
      </c>
      <c r="O80" s="134">
        <v>105.24511463123901</v>
      </c>
      <c r="P80" s="134">
        <v>146.164521080008</v>
      </c>
      <c r="Q80" s="134">
        <v>119.024527564141</v>
      </c>
      <c r="R80" s="134">
        <v>116.12174465621401</v>
      </c>
      <c r="S80" s="134">
        <v>102.93462976171701</v>
      </c>
      <c r="T80" s="134">
        <v>94.757227870463396</v>
      </c>
      <c r="U80" s="134">
        <v>84.892874262980598</v>
      </c>
      <c r="V80" s="134">
        <v>70.3463033498454</v>
      </c>
      <c r="W80" s="134">
        <v>59.025100363042</v>
      </c>
      <c r="X80" s="134">
        <v>67.388940878880106</v>
      </c>
      <c r="Y80" s="134">
        <v>70.5513997912077</v>
      </c>
      <c r="Z80" s="134">
        <v>64.131654738606002</v>
      </c>
      <c r="AA80" s="134">
        <v>59.250337480737102</v>
      </c>
      <c r="AB80" s="134">
        <v>61.8196601889262</v>
      </c>
      <c r="AC80" s="134">
        <v>104.448257963505</v>
      </c>
      <c r="AD80" s="134">
        <v>102.15632625361999</v>
      </c>
      <c r="AE80" s="134">
        <v>103.893507068212</v>
      </c>
      <c r="AF80" s="134">
        <v>110.00478690968799</v>
      </c>
      <c r="AG80" s="134">
        <v>102.92369912511001</v>
      </c>
      <c r="AH80" s="519">
        <v>82.707128293148401</v>
      </c>
    </row>
    <row r="81" spans="1:34" s="514" customFormat="1" ht="15" customHeight="1">
      <c r="A81" s="535">
        <v>26</v>
      </c>
      <c r="B81" s="515" t="s">
        <v>8859</v>
      </c>
      <c r="C81" s="517" t="s">
        <v>8972</v>
      </c>
      <c r="D81" s="134">
        <v>1255.85281039954</v>
      </c>
      <c r="E81" s="134">
        <v>1489.66338225763</v>
      </c>
      <c r="F81" s="134">
        <v>1446.18044290221</v>
      </c>
      <c r="G81" s="134">
        <v>1215.4002800153801</v>
      </c>
      <c r="H81" s="134">
        <v>1016.37857731082</v>
      </c>
      <c r="I81" s="134">
        <v>935.08068674684102</v>
      </c>
      <c r="J81" s="134">
        <v>1000.18085126645</v>
      </c>
      <c r="K81" s="134">
        <v>923.35620699121205</v>
      </c>
      <c r="L81" s="134">
        <v>1025.4310885697801</v>
      </c>
      <c r="M81" s="134">
        <v>937.20700211740598</v>
      </c>
      <c r="N81" s="134">
        <v>1133.14978996884</v>
      </c>
      <c r="O81" s="134">
        <v>1064.2894624860101</v>
      </c>
      <c r="P81" s="134">
        <v>923.31434485390901</v>
      </c>
      <c r="Q81" s="134">
        <v>940.13886112513205</v>
      </c>
      <c r="R81" s="134">
        <v>1025.6547862381401</v>
      </c>
      <c r="S81" s="134">
        <v>1150.3185982556099</v>
      </c>
      <c r="T81" s="134">
        <v>967.77441660579802</v>
      </c>
      <c r="U81" s="134">
        <v>848.05517925835397</v>
      </c>
      <c r="V81" s="134">
        <v>761.79169302711205</v>
      </c>
      <c r="W81" s="134">
        <v>662.53861271714095</v>
      </c>
      <c r="X81" s="134">
        <v>625.63946960324904</v>
      </c>
      <c r="Y81" s="134">
        <v>599.15813537040697</v>
      </c>
      <c r="Z81" s="134">
        <v>580.72123355495103</v>
      </c>
      <c r="AA81" s="134">
        <v>572.18273495958704</v>
      </c>
      <c r="AB81" s="134">
        <v>571.67487666147804</v>
      </c>
      <c r="AC81" s="134">
        <v>593.23334773466399</v>
      </c>
      <c r="AD81" s="134">
        <v>600.76459466254198</v>
      </c>
      <c r="AE81" s="134">
        <v>594.65191488032201</v>
      </c>
      <c r="AF81" s="134">
        <v>583.70615715004806</v>
      </c>
      <c r="AG81" s="134">
        <v>572.88709801690095</v>
      </c>
      <c r="AH81" s="519">
        <v>527.87379694538504</v>
      </c>
    </row>
    <row r="82" spans="1:34" s="514" customFormat="1" ht="15" customHeight="1">
      <c r="A82" s="535">
        <v>27</v>
      </c>
      <c r="B82" s="515" t="s">
        <v>8859</v>
      </c>
      <c r="C82" s="517" t="s">
        <v>8973</v>
      </c>
      <c r="D82" s="134">
        <v>1555.4175313319099</v>
      </c>
      <c r="E82" s="134">
        <v>1769.75548018581</v>
      </c>
      <c r="F82" s="134">
        <v>1704.76847518252</v>
      </c>
      <c r="G82" s="134">
        <v>1407.25012647779</v>
      </c>
      <c r="H82" s="134">
        <v>1103.04624204688</v>
      </c>
      <c r="I82" s="134">
        <v>975.23166003408699</v>
      </c>
      <c r="J82" s="134">
        <v>1074.41336730225</v>
      </c>
      <c r="K82" s="134">
        <v>932.85265704069798</v>
      </c>
      <c r="L82" s="134">
        <v>922.67247704537203</v>
      </c>
      <c r="M82" s="134">
        <v>975.31041814131095</v>
      </c>
      <c r="N82" s="134">
        <v>990.57357969715395</v>
      </c>
      <c r="O82" s="134">
        <v>999.40740935834901</v>
      </c>
      <c r="P82" s="134">
        <v>947.68795925019401</v>
      </c>
      <c r="Q82" s="134">
        <v>898.18622487211496</v>
      </c>
      <c r="R82" s="134">
        <v>890.97433630561898</v>
      </c>
      <c r="S82" s="134">
        <v>938.38679248942799</v>
      </c>
      <c r="T82" s="134">
        <v>905.52349615236596</v>
      </c>
      <c r="U82" s="134">
        <v>846.59114099548799</v>
      </c>
      <c r="V82" s="134">
        <v>719.34134707740895</v>
      </c>
      <c r="W82" s="134">
        <v>620.17654900805496</v>
      </c>
      <c r="X82" s="134">
        <v>622.49992431550402</v>
      </c>
      <c r="Y82" s="134">
        <v>610.75416806318503</v>
      </c>
      <c r="Z82" s="134">
        <v>578.04516805890898</v>
      </c>
      <c r="AA82" s="134">
        <v>563.51430628683897</v>
      </c>
      <c r="AB82" s="134">
        <v>579.55584332232604</v>
      </c>
      <c r="AC82" s="134">
        <v>629.478334166217</v>
      </c>
      <c r="AD82" s="134">
        <v>642.04015237768101</v>
      </c>
      <c r="AE82" s="134">
        <v>642.52815815066594</v>
      </c>
      <c r="AF82" s="134">
        <v>653.23781340079495</v>
      </c>
      <c r="AG82" s="134">
        <v>648.15166253885002</v>
      </c>
      <c r="AH82" s="519">
        <v>602.72034345802501</v>
      </c>
    </row>
    <row r="83" spans="1:34" s="514" customFormat="1" ht="15" customHeight="1">
      <c r="A83" s="535">
        <v>28</v>
      </c>
      <c r="B83" s="515" t="s">
        <v>8859</v>
      </c>
      <c r="C83" s="517" t="s">
        <v>8974</v>
      </c>
      <c r="D83" s="134">
        <v>2710.17541687317</v>
      </c>
      <c r="E83" s="134">
        <v>2948.3187247369101</v>
      </c>
      <c r="F83" s="134">
        <v>2813.26250122278</v>
      </c>
      <c r="G83" s="134">
        <v>2457.48833807757</v>
      </c>
      <c r="H83" s="134">
        <v>2114.11371394865</v>
      </c>
      <c r="I83" s="134">
        <v>1934.8577416875401</v>
      </c>
      <c r="J83" s="134">
        <v>2077.8980940728102</v>
      </c>
      <c r="K83" s="134">
        <v>2031.0135940059999</v>
      </c>
      <c r="L83" s="134">
        <v>2260.51040906447</v>
      </c>
      <c r="M83" s="134">
        <v>2048.9116760809502</v>
      </c>
      <c r="N83" s="134">
        <v>2144.45481143289</v>
      </c>
      <c r="O83" s="134">
        <v>1995.2197581758101</v>
      </c>
      <c r="P83" s="134">
        <v>1847.23756255488</v>
      </c>
      <c r="Q83" s="134">
        <v>1802.7988542447899</v>
      </c>
      <c r="R83" s="134">
        <v>1754.2709093932999</v>
      </c>
      <c r="S83" s="134">
        <v>1756.3150147152101</v>
      </c>
      <c r="T83" s="134">
        <v>1737.8502764334701</v>
      </c>
      <c r="U83" s="134">
        <v>1623.9715471547299</v>
      </c>
      <c r="V83" s="134">
        <v>1436.1924903215199</v>
      </c>
      <c r="W83" s="134">
        <v>1238.2589336987301</v>
      </c>
      <c r="X83" s="134">
        <v>1316.48797605405</v>
      </c>
      <c r="Y83" s="134">
        <v>1311.4367765535501</v>
      </c>
      <c r="Z83" s="134">
        <v>1271.4060268206099</v>
      </c>
      <c r="AA83" s="134">
        <v>1231.2682746468399</v>
      </c>
      <c r="AB83" s="134">
        <v>1238.9168316148</v>
      </c>
      <c r="AC83" s="134">
        <v>1610.54990149112</v>
      </c>
      <c r="AD83" s="134">
        <v>1648.9807648695701</v>
      </c>
      <c r="AE83" s="134">
        <v>1652.6590268001301</v>
      </c>
      <c r="AF83" s="134">
        <v>1687.4956020004799</v>
      </c>
      <c r="AG83" s="134">
        <v>1591.3476115486701</v>
      </c>
      <c r="AH83" s="519">
        <v>1353.9022896766</v>
      </c>
    </row>
    <row r="84" spans="1:34" s="514" customFormat="1" ht="15" customHeight="1">
      <c r="A84" s="535">
        <v>29</v>
      </c>
      <c r="B84" s="515" t="s">
        <v>8859</v>
      </c>
      <c r="C84" s="517" t="s">
        <v>8975</v>
      </c>
      <c r="D84" s="134">
        <v>1986.9453506822599</v>
      </c>
      <c r="E84" s="134">
        <v>2157.43978349193</v>
      </c>
      <c r="F84" s="134">
        <v>2300.2360691089498</v>
      </c>
      <c r="G84" s="134">
        <v>1786.33286247413</v>
      </c>
      <c r="H84" s="134">
        <v>1672.40023587461</v>
      </c>
      <c r="I84" s="134">
        <v>1653.96439031564</v>
      </c>
      <c r="J84" s="134">
        <v>1557.0315000722101</v>
      </c>
      <c r="K84" s="134">
        <v>1538.94225313118</v>
      </c>
      <c r="L84" s="134">
        <v>1352.40059958131</v>
      </c>
      <c r="M84" s="134">
        <v>1822.2475027427099</v>
      </c>
      <c r="N84" s="134">
        <v>2163.00492284345</v>
      </c>
      <c r="O84" s="134">
        <v>2214.8356204432298</v>
      </c>
      <c r="P84" s="134">
        <v>1901.4057357284901</v>
      </c>
      <c r="Q84" s="134">
        <v>1928.51652032673</v>
      </c>
      <c r="R84" s="134">
        <v>1662.8918126897199</v>
      </c>
      <c r="S84" s="134">
        <v>1751.53734881739</v>
      </c>
      <c r="T84" s="134">
        <v>1798.6004176779099</v>
      </c>
      <c r="U84" s="134">
        <v>1554.02765125935</v>
      </c>
      <c r="V84" s="134">
        <v>988.48409283015701</v>
      </c>
      <c r="W84" s="134">
        <v>906.98230623529798</v>
      </c>
      <c r="X84" s="134">
        <v>1505.07029040006</v>
      </c>
      <c r="Y84" s="134">
        <v>1543.6757776050899</v>
      </c>
      <c r="Z84" s="134">
        <v>1458.1869496904999</v>
      </c>
      <c r="AA84" s="134">
        <v>1544.3183488535001</v>
      </c>
      <c r="AB84" s="134">
        <v>1591.9867243449601</v>
      </c>
      <c r="AC84" s="134">
        <v>1329.1757510861601</v>
      </c>
      <c r="AD84" s="134">
        <v>1331.8576186912201</v>
      </c>
      <c r="AE84" s="134">
        <v>1245.8087458258001</v>
      </c>
      <c r="AF84" s="134">
        <v>1279.7931273089901</v>
      </c>
      <c r="AG84" s="134">
        <v>1149.3848634058199</v>
      </c>
      <c r="AH84" s="519">
        <v>970.69824853072998</v>
      </c>
    </row>
    <row r="85" spans="1:34" s="514" customFormat="1" ht="15" customHeight="1">
      <c r="A85" s="535">
        <v>30.1</v>
      </c>
      <c r="B85" s="515" t="s">
        <v>8859</v>
      </c>
      <c r="C85" s="517" t="s">
        <v>8976</v>
      </c>
      <c r="D85" s="134">
        <v>235.44201478207</v>
      </c>
      <c r="E85" s="134">
        <v>238.62075146800601</v>
      </c>
      <c r="F85" s="134">
        <v>212.97088931123801</v>
      </c>
      <c r="G85" s="134">
        <v>165.846403695026</v>
      </c>
      <c r="H85" s="134">
        <v>162.60638458837801</v>
      </c>
      <c r="I85" s="134">
        <v>162.14660566852601</v>
      </c>
      <c r="J85" s="134">
        <v>189.88253357371599</v>
      </c>
      <c r="K85" s="134">
        <v>168.47399137556999</v>
      </c>
      <c r="L85" s="134">
        <v>189.60137850690001</v>
      </c>
      <c r="M85" s="134">
        <v>189.624049728816</v>
      </c>
      <c r="N85" s="134">
        <v>298.32972705803502</v>
      </c>
      <c r="O85" s="134">
        <v>169.27352826268799</v>
      </c>
      <c r="P85" s="134">
        <v>163.950292297191</v>
      </c>
      <c r="Q85" s="134">
        <v>142.870090119162</v>
      </c>
      <c r="R85" s="134">
        <v>204.035453305001</v>
      </c>
      <c r="S85" s="134">
        <v>263.69426067085698</v>
      </c>
      <c r="T85" s="134">
        <v>226.169441142972</v>
      </c>
      <c r="U85" s="134">
        <v>217.85789909399799</v>
      </c>
      <c r="V85" s="134">
        <v>186.778642018212</v>
      </c>
      <c r="W85" s="134">
        <v>197.87749244564699</v>
      </c>
      <c r="X85" s="134">
        <v>282.12584136002999</v>
      </c>
      <c r="Y85" s="134">
        <v>228.07410312005999</v>
      </c>
      <c r="Z85" s="134">
        <v>174.05592368015601</v>
      </c>
      <c r="AA85" s="134">
        <v>167.34512144031299</v>
      </c>
      <c r="AB85" s="134">
        <v>225.318016005364</v>
      </c>
      <c r="AC85" s="134">
        <v>215.21416118843001</v>
      </c>
      <c r="AD85" s="134">
        <v>230.24376451975201</v>
      </c>
      <c r="AE85" s="134">
        <v>251.83549953757199</v>
      </c>
      <c r="AF85" s="134">
        <v>213.414853470911</v>
      </c>
      <c r="AG85" s="134">
        <v>175.34156338801699</v>
      </c>
      <c r="AH85" s="519">
        <v>202.57634930762899</v>
      </c>
    </row>
    <row r="86" spans="1:34" s="514" customFormat="1" ht="15" customHeight="1">
      <c r="A86" s="535">
        <v>30.3</v>
      </c>
      <c r="B86" s="515" t="s">
        <v>8859</v>
      </c>
      <c r="C86" s="517" t="s">
        <v>7504</v>
      </c>
      <c r="D86" s="134">
        <v>1114.8511366103301</v>
      </c>
      <c r="E86" s="134">
        <v>1440.7195486624601</v>
      </c>
      <c r="F86" s="134">
        <v>1494.9650895704301</v>
      </c>
      <c r="G86" s="134">
        <v>1013.70410375414</v>
      </c>
      <c r="H86" s="134">
        <v>715.74602349465101</v>
      </c>
      <c r="I86" s="134">
        <v>723.27826416159405</v>
      </c>
      <c r="J86" s="134">
        <v>575.757570650925</v>
      </c>
      <c r="K86" s="134">
        <v>695.17322688695697</v>
      </c>
      <c r="L86" s="134">
        <v>951.05769330332998</v>
      </c>
      <c r="M86" s="134">
        <v>769.511920767481</v>
      </c>
      <c r="N86" s="134">
        <v>725.52437487781106</v>
      </c>
      <c r="O86" s="134">
        <v>601.45896758037202</v>
      </c>
      <c r="P86" s="134">
        <v>734.73600723931099</v>
      </c>
      <c r="Q86" s="134">
        <v>660.81775186773098</v>
      </c>
      <c r="R86" s="134">
        <v>653.45241671627798</v>
      </c>
      <c r="S86" s="134">
        <v>706.98183350071599</v>
      </c>
      <c r="T86" s="134">
        <v>526.99564704241698</v>
      </c>
      <c r="U86" s="134">
        <v>483.01668161108</v>
      </c>
      <c r="V86" s="134">
        <v>343.456818086331</v>
      </c>
      <c r="W86" s="134">
        <v>345.53087875665398</v>
      </c>
      <c r="X86" s="134">
        <v>557.86341239692797</v>
      </c>
      <c r="Y86" s="134">
        <v>485.184911453886</v>
      </c>
      <c r="Z86" s="134">
        <v>418.18092566780302</v>
      </c>
      <c r="AA86" s="134">
        <v>442.40687076107503</v>
      </c>
      <c r="AB86" s="134">
        <v>496.63453941192603</v>
      </c>
      <c r="AC86" s="134">
        <v>422.860382343536</v>
      </c>
      <c r="AD86" s="134">
        <v>463.31683126333502</v>
      </c>
      <c r="AE86" s="134">
        <v>474.18017141168298</v>
      </c>
      <c r="AF86" s="134">
        <v>437.16998299297597</v>
      </c>
      <c r="AG86" s="134">
        <v>370.71487906145501</v>
      </c>
      <c r="AH86" s="519">
        <v>368.03316078293199</v>
      </c>
    </row>
    <row r="87" spans="1:34" s="514" customFormat="1" ht="15" customHeight="1">
      <c r="A87" s="515" t="s">
        <v>8977</v>
      </c>
      <c r="B87" s="515" t="s">
        <v>8859</v>
      </c>
      <c r="C87" s="517" t="s">
        <v>8978</v>
      </c>
      <c r="D87" s="134">
        <v>236.38650484665499</v>
      </c>
      <c r="E87" s="134">
        <v>234.57238647920099</v>
      </c>
      <c r="F87" s="134">
        <v>216.57578319049</v>
      </c>
      <c r="G87" s="134">
        <v>160.61697305208199</v>
      </c>
      <c r="H87" s="134">
        <v>113.834880679553</v>
      </c>
      <c r="I87" s="134">
        <v>124.137614910256</v>
      </c>
      <c r="J87" s="134">
        <v>183.37966351524</v>
      </c>
      <c r="K87" s="134">
        <v>177.29654568673499</v>
      </c>
      <c r="L87" s="134">
        <v>166.04692769024001</v>
      </c>
      <c r="M87" s="134">
        <v>142.06466905963299</v>
      </c>
      <c r="N87" s="134">
        <v>152.58833760747601</v>
      </c>
      <c r="O87" s="134">
        <v>124.49898810574599</v>
      </c>
      <c r="P87" s="134">
        <v>121.518595642048</v>
      </c>
      <c r="Q87" s="134">
        <v>204.88875365851999</v>
      </c>
      <c r="R87" s="134">
        <v>204.65451582483399</v>
      </c>
      <c r="S87" s="134">
        <v>144.98167188016799</v>
      </c>
      <c r="T87" s="134">
        <v>129.427133561977</v>
      </c>
      <c r="U87" s="134">
        <v>113.01081944520899</v>
      </c>
      <c r="V87" s="134">
        <v>79.611775498525802</v>
      </c>
      <c r="W87" s="134">
        <v>81.833647078971296</v>
      </c>
      <c r="X87" s="134">
        <v>116.400458119034</v>
      </c>
      <c r="Y87" s="134">
        <v>110.843465989286</v>
      </c>
      <c r="Z87" s="134">
        <v>103.392605416432</v>
      </c>
      <c r="AA87" s="134">
        <v>107.786108606442</v>
      </c>
      <c r="AB87" s="134">
        <v>114.063354738321</v>
      </c>
      <c r="AC87" s="134">
        <v>100.911572389028</v>
      </c>
      <c r="AD87" s="134">
        <v>109.85575175152999</v>
      </c>
      <c r="AE87" s="134">
        <v>108.951660745072</v>
      </c>
      <c r="AF87" s="134">
        <v>107.893389715737</v>
      </c>
      <c r="AG87" s="134">
        <v>97.612962038248398</v>
      </c>
      <c r="AH87" s="519">
        <v>92.268689990769204</v>
      </c>
    </row>
    <row r="88" spans="1:34" s="514" customFormat="1" ht="15" customHeight="1">
      <c r="A88" s="535">
        <v>31</v>
      </c>
      <c r="B88" s="515" t="s">
        <v>8859</v>
      </c>
      <c r="C88" s="517" t="s">
        <v>160</v>
      </c>
      <c r="D88" s="134">
        <v>2942.01688480039</v>
      </c>
      <c r="E88" s="134">
        <v>3154.5755129680801</v>
      </c>
      <c r="F88" s="134">
        <v>2651.7626347262999</v>
      </c>
      <c r="G88" s="134">
        <v>2394.4824843210699</v>
      </c>
      <c r="H88" s="134">
        <v>2145.0609349584902</v>
      </c>
      <c r="I88" s="134">
        <v>1773.2848042061701</v>
      </c>
      <c r="J88" s="134">
        <v>1984.6217994926001</v>
      </c>
      <c r="K88" s="134">
        <v>1788.71662059955</v>
      </c>
      <c r="L88" s="134">
        <v>1247.7905113116799</v>
      </c>
      <c r="M88" s="134">
        <v>1894.5598046457301</v>
      </c>
      <c r="N88" s="134">
        <v>1327.24749243622</v>
      </c>
      <c r="O88" s="134">
        <v>1664.1321814417299</v>
      </c>
      <c r="P88" s="134">
        <v>1221.60427101445</v>
      </c>
      <c r="Q88" s="134">
        <v>1172.20182198667</v>
      </c>
      <c r="R88" s="134">
        <v>1212.9582120406801</v>
      </c>
      <c r="S88" s="134">
        <v>1361.7043526574701</v>
      </c>
      <c r="T88" s="134">
        <v>1272.37787123832</v>
      </c>
      <c r="U88" s="134">
        <v>1150.09711065479</v>
      </c>
      <c r="V88" s="134">
        <v>888.42242557439499</v>
      </c>
      <c r="W88" s="134">
        <v>790.00740050917602</v>
      </c>
      <c r="X88" s="134">
        <v>837.84633705665794</v>
      </c>
      <c r="Y88" s="134">
        <v>765.28888554914101</v>
      </c>
      <c r="Z88" s="134">
        <v>730.99107277146697</v>
      </c>
      <c r="AA88" s="134">
        <v>720.67596690812195</v>
      </c>
      <c r="AB88" s="134">
        <v>713.12894376717702</v>
      </c>
      <c r="AC88" s="134">
        <v>728.00684847565606</v>
      </c>
      <c r="AD88" s="134">
        <v>804.32494934291003</v>
      </c>
      <c r="AE88" s="134">
        <v>795.91651422400105</v>
      </c>
      <c r="AF88" s="134">
        <v>807.37840827792002</v>
      </c>
      <c r="AG88" s="134">
        <v>759.99788387822696</v>
      </c>
      <c r="AH88" s="519">
        <v>799.34319581625596</v>
      </c>
    </row>
    <row r="89" spans="1:34" s="514" customFormat="1" ht="15" customHeight="1">
      <c r="A89" s="535">
        <v>32</v>
      </c>
      <c r="B89" s="515" t="s">
        <v>8859</v>
      </c>
      <c r="C89" s="517" t="s">
        <v>8979</v>
      </c>
      <c r="D89" s="134">
        <v>883.374833112445</v>
      </c>
      <c r="E89" s="134">
        <v>1162.53388430375</v>
      </c>
      <c r="F89" s="134">
        <v>838.31426046251602</v>
      </c>
      <c r="G89" s="134">
        <v>655.64122360335296</v>
      </c>
      <c r="H89" s="134">
        <v>640.69498900641997</v>
      </c>
      <c r="I89" s="134">
        <v>572.70450773661696</v>
      </c>
      <c r="J89" s="134">
        <v>642.35919360582</v>
      </c>
      <c r="K89" s="134">
        <v>581.59248956770296</v>
      </c>
      <c r="L89" s="134">
        <v>643.662851304078</v>
      </c>
      <c r="M89" s="134">
        <v>752.48396825378995</v>
      </c>
      <c r="N89" s="134">
        <v>680.05699693557301</v>
      </c>
      <c r="O89" s="134">
        <v>837.33611291447596</v>
      </c>
      <c r="P89" s="134">
        <v>611.91057191511004</v>
      </c>
      <c r="Q89" s="134">
        <v>999.11947942930897</v>
      </c>
      <c r="R89" s="134">
        <v>849.097451137696</v>
      </c>
      <c r="S89" s="134">
        <v>780.541498003009</v>
      </c>
      <c r="T89" s="134">
        <v>716.93706536837203</v>
      </c>
      <c r="U89" s="134">
        <v>647.89603184521695</v>
      </c>
      <c r="V89" s="134">
        <v>491.672854974958</v>
      </c>
      <c r="W89" s="134">
        <v>496.68299553346998</v>
      </c>
      <c r="X89" s="134">
        <v>578.87305637274096</v>
      </c>
      <c r="Y89" s="134">
        <v>525.69454365850299</v>
      </c>
      <c r="Z89" s="134">
        <v>503.022231414842</v>
      </c>
      <c r="AA89" s="134">
        <v>497.19498736765001</v>
      </c>
      <c r="AB89" s="134">
        <v>492.23394343425599</v>
      </c>
      <c r="AC89" s="134">
        <v>499.94073214538599</v>
      </c>
      <c r="AD89" s="134">
        <v>552.70798884099599</v>
      </c>
      <c r="AE89" s="134">
        <v>553.07842606064298</v>
      </c>
      <c r="AF89" s="134">
        <v>564.03377987639703</v>
      </c>
      <c r="AG89" s="134">
        <v>535.3887268579</v>
      </c>
      <c r="AH89" s="519">
        <v>545.15745791184497</v>
      </c>
    </row>
    <row r="90" spans="1:34" s="514" customFormat="1" ht="15" customHeight="1">
      <c r="A90" s="535">
        <v>33.15</v>
      </c>
      <c r="B90" s="515" t="s">
        <v>8859</v>
      </c>
      <c r="C90" s="517" t="s">
        <v>8980</v>
      </c>
      <c r="D90" s="134">
        <v>13.691002829197901</v>
      </c>
      <c r="E90" s="134">
        <v>14.261868002517</v>
      </c>
      <c r="F90" s="134">
        <v>13.833447802698601</v>
      </c>
      <c r="G90" s="134">
        <v>14.2934781083595</v>
      </c>
      <c r="H90" s="134">
        <v>14.6075116412852</v>
      </c>
      <c r="I90" s="134">
        <v>14.832111487921701</v>
      </c>
      <c r="J90" s="134">
        <v>15.2652119776404</v>
      </c>
      <c r="K90" s="134">
        <v>14.6353063928939</v>
      </c>
      <c r="L90" s="134">
        <v>14.89496784122</v>
      </c>
      <c r="M90" s="134">
        <v>15.121816476689199</v>
      </c>
      <c r="N90" s="134">
        <v>15.016468153421</v>
      </c>
      <c r="O90" s="134">
        <v>14.6869480636289</v>
      </c>
      <c r="P90" s="134">
        <v>13.7559149338657</v>
      </c>
      <c r="Q90" s="134">
        <v>13.893958512528201</v>
      </c>
      <c r="R90" s="134">
        <v>13.737712764489499</v>
      </c>
      <c r="S90" s="134">
        <v>13.2398457869132</v>
      </c>
      <c r="T90" s="134">
        <v>12.790978348607901</v>
      </c>
      <c r="U90" s="134">
        <v>12.5140099012053</v>
      </c>
      <c r="V90" s="134">
        <v>12.549974223168901</v>
      </c>
      <c r="W90" s="134">
        <v>11.7133262901063</v>
      </c>
      <c r="X90" s="134">
        <v>11.2280489585117</v>
      </c>
      <c r="Y90" s="134">
        <v>10.467776128471</v>
      </c>
      <c r="Z90" s="134">
        <v>11.454842006477101</v>
      </c>
      <c r="AA90" s="134">
        <v>10.4837663894012</v>
      </c>
      <c r="AB90" s="134">
        <v>10.5011260021399</v>
      </c>
      <c r="AC90" s="134">
        <v>11.091546216017599</v>
      </c>
      <c r="AD90" s="134">
        <v>11.4299408790864</v>
      </c>
      <c r="AE90" s="134">
        <v>11.6198355554603</v>
      </c>
      <c r="AF90" s="134">
        <v>11.6115077439787</v>
      </c>
      <c r="AG90" s="134">
        <v>11.157561461762899</v>
      </c>
      <c r="AH90" s="519">
        <v>9.68701304243762</v>
      </c>
    </row>
    <row r="91" spans="1:34" s="514" customFormat="1" ht="15" customHeight="1">
      <c r="A91" s="535">
        <v>33.159999999999997</v>
      </c>
      <c r="B91" s="515" t="s">
        <v>8859</v>
      </c>
      <c r="C91" s="517" t="s">
        <v>8981</v>
      </c>
      <c r="D91" s="134">
        <v>35.599589159723202</v>
      </c>
      <c r="E91" s="134">
        <v>41.407697153957997</v>
      </c>
      <c r="F91" s="134">
        <v>38.926783974548599</v>
      </c>
      <c r="G91" s="134">
        <v>41.500331704551101</v>
      </c>
      <c r="H91" s="134">
        <v>41.912381890235501</v>
      </c>
      <c r="I91" s="134">
        <v>43.645355895945201</v>
      </c>
      <c r="J91" s="134">
        <v>46.490809282873897</v>
      </c>
      <c r="K91" s="134">
        <v>42.333636401531898</v>
      </c>
      <c r="L91" s="134">
        <v>45.477772123263101</v>
      </c>
      <c r="M91" s="134">
        <v>48.200781601021497</v>
      </c>
      <c r="N91" s="134">
        <v>48.808514527310301</v>
      </c>
      <c r="O91" s="134">
        <v>48.416793952580797</v>
      </c>
      <c r="P91" s="134">
        <v>42.459537380707197</v>
      </c>
      <c r="Q91" s="134">
        <v>44.875277695657303</v>
      </c>
      <c r="R91" s="134">
        <v>43.598406135993997</v>
      </c>
      <c r="S91" s="134">
        <v>42.733321053131597</v>
      </c>
      <c r="T91" s="134">
        <v>39.805788859151498</v>
      </c>
      <c r="U91" s="134">
        <v>38.700801904413098</v>
      </c>
      <c r="V91" s="134">
        <v>45.505155010129997</v>
      </c>
      <c r="W91" s="134">
        <v>38.071503273838402</v>
      </c>
      <c r="X91" s="134">
        <v>39.864673657421299</v>
      </c>
      <c r="Y91" s="134">
        <v>36.170820974750299</v>
      </c>
      <c r="Z91" s="134">
        <v>40.111205595106597</v>
      </c>
      <c r="AA91" s="134">
        <v>39.728034364850302</v>
      </c>
      <c r="AB91" s="134">
        <v>36.130771733063597</v>
      </c>
      <c r="AC91" s="134">
        <v>38.267585347777398</v>
      </c>
      <c r="AD91" s="134">
        <v>39.538260443256704</v>
      </c>
      <c r="AE91" s="134">
        <v>38.824397436111902</v>
      </c>
      <c r="AF91" s="134">
        <v>38.033584053472801</v>
      </c>
      <c r="AG91" s="134">
        <v>38.397219915670703</v>
      </c>
      <c r="AH91" s="519">
        <v>33.502743490365802</v>
      </c>
    </row>
    <row r="92" spans="1:34" s="514" customFormat="1" ht="15" customHeight="1">
      <c r="A92" s="515" t="s">
        <v>8982</v>
      </c>
      <c r="B92" s="515" t="s">
        <v>8859</v>
      </c>
      <c r="C92" s="517" t="s">
        <v>8983</v>
      </c>
      <c r="D92" s="134">
        <v>365.11187228196002</v>
      </c>
      <c r="E92" s="134">
        <v>379.86158181471899</v>
      </c>
      <c r="F92" s="134">
        <v>369.86964995128801</v>
      </c>
      <c r="G92" s="134">
        <v>381.387469872167</v>
      </c>
      <c r="H92" s="134">
        <v>390.19738594025199</v>
      </c>
      <c r="I92" s="134">
        <v>393.29150735883798</v>
      </c>
      <c r="J92" s="134">
        <v>404.24709451521699</v>
      </c>
      <c r="K92" s="134">
        <v>389.10471870970002</v>
      </c>
      <c r="L92" s="134">
        <v>394.250988099567</v>
      </c>
      <c r="M92" s="134">
        <v>398.39282227941902</v>
      </c>
      <c r="N92" s="134">
        <v>395.19196376239398</v>
      </c>
      <c r="O92" s="134">
        <v>386.14614095943699</v>
      </c>
      <c r="P92" s="134">
        <v>364.76513453573</v>
      </c>
      <c r="Q92" s="134">
        <v>368.10546776304199</v>
      </c>
      <c r="R92" s="134">
        <v>358.19674559545302</v>
      </c>
      <c r="S92" s="134">
        <v>345.34872141783802</v>
      </c>
      <c r="T92" s="134">
        <v>331.007072830597</v>
      </c>
      <c r="U92" s="134">
        <v>319.40131512843499</v>
      </c>
      <c r="V92" s="134">
        <v>317.71843476357498</v>
      </c>
      <c r="W92" s="134">
        <v>310.35115752406898</v>
      </c>
      <c r="X92" s="134">
        <v>290.48168843674802</v>
      </c>
      <c r="Y92" s="134">
        <v>273.026801110012</v>
      </c>
      <c r="Z92" s="134">
        <v>278.91667683021302</v>
      </c>
      <c r="AA92" s="134">
        <v>274.145277679804</v>
      </c>
      <c r="AB92" s="134">
        <v>266.841336377917</v>
      </c>
      <c r="AC92" s="134">
        <v>276.79242147644101</v>
      </c>
      <c r="AD92" s="134">
        <v>284.82911942764798</v>
      </c>
      <c r="AE92" s="134">
        <v>281.01900883680901</v>
      </c>
      <c r="AF92" s="134">
        <v>275.244176016702</v>
      </c>
      <c r="AG92" s="134">
        <v>269.77596586620001</v>
      </c>
      <c r="AH92" s="519">
        <v>243.40911899114701</v>
      </c>
    </row>
    <row r="93" spans="1:34" s="514" customFormat="1" ht="15" customHeight="1">
      <c r="A93" s="515" t="s">
        <v>8984</v>
      </c>
      <c r="B93" s="515" t="s">
        <v>8862</v>
      </c>
      <c r="C93" s="517" t="s">
        <v>8985</v>
      </c>
      <c r="D93" s="134">
        <v>2189.6416913100502</v>
      </c>
      <c r="E93" s="134">
        <v>2311.4391241222002</v>
      </c>
      <c r="F93" s="134">
        <v>2836.4359783976502</v>
      </c>
      <c r="G93" s="134">
        <v>14908.0347251529</v>
      </c>
      <c r="H93" s="134">
        <v>21122.977643746501</v>
      </c>
      <c r="I93" s="134">
        <v>26195.551803436701</v>
      </c>
      <c r="J93" s="134">
        <v>34380.441505510898</v>
      </c>
      <c r="K93" s="134">
        <v>43056.373318090999</v>
      </c>
      <c r="L93" s="134">
        <v>44963.729237956402</v>
      </c>
      <c r="M93" s="134">
        <v>53654.978408464704</v>
      </c>
      <c r="N93" s="134">
        <v>53442.762108466297</v>
      </c>
      <c r="O93" s="134">
        <v>52075.927491597598</v>
      </c>
      <c r="P93" s="134">
        <v>54702.7310628376</v>
      </c>
      <c r="Q93" s="134">
        <v>53448.167826805497</v>
      </c>
      <c r="R93" s="134">
        <v>57155.564984612</v>
      </c>
      <c r="S93" s="134">
        <v>55398.403171744198</v>
      </c>
      <c r="T93" s="134">
        <v>52036.705018500099</v>
      </c>
      <c r="U93" s="134">
        <v>59030.9827648215</v>
      </c>
      <c r="V93" s="134">
        <v>63644.472390706498</v>
      </c>
      <c r="W93" s="134">
        <v>60529.282991547101</v>
      </c>
      <c r="X93" s="134">
        <v>63544.971480343796</v>
      </c>
      <c r="Y93" s="134">
        <v>50979.944262580502</v>
      </c>
      <c r="Z93" s="134">
        <v>33993.720392672898</v>
      </c>
      <c r="AA93" s="134">
        <v>32348.597971280298</v>
      </c>
      <c r="AB93" s="134">
        <v>35012.2852001664</v>
      </c>
      <c r="AC93" s="134">
        <v>34334.499205546497</v>
      </c>
      <c r="AD93" s="134">
        <v>50083.4277673775</v>
      </c>
      <c r="AE93" s="134">
        <v>47662.555736275601</v>
      </c>
      <c r="AF93" s="134">
        <v>45587.596089288003</v>
      </c>
      <c r="AG93" s="134">
        <v>45351.979108625797</v>
      </c>
      <c r="AH93" s="519">
        <v>38136.210821431399</v>
      </c>
    </row>
    <row r="94" spans="1:34" s="514" customFormat="1" ht="15" customHeight="1">
      <c r="A94" s="515" t="s">
        <v>8986</v>
      </c>
      <c r="B94" s="515" t="s">
        <v>8862</v>
      </c>
      <c r="C94" s="517" t="s">
        <v>8987</v>
      </c>
      <c r="D94" s="134">
        <v>188876.840808151</v>
      </c>
      <c r="E94" s="134">
        <v>189583.86094862799</v>
      </c>
      <c r="F94" s="134">
        <v>177312.11917226299</v>
      </c>
      <c r="G94" s="134">
        <v>147575.02005860201</v>
      </c>
      <c r="H94" s="134">
        <v>139407.411719614</v>
      </c>
      <c r="I94" s="134">
        <v>131748.97389886799</v>
      </c>
      <c r="J94" s="134">
        <v>124028.594895431</v>
      </c>
      <c r="K94" s="134">
        <v>106568.91470140401</v>
      </c>
      <c r="L94" s="134">
        <v>110005.922732545</v>
      </c>
      <c r="M94" s="134">
        <v>92934.469488400602</v>
      </c>
      <c r="N94" s="134">
        <v>104571.80346968801</v>
      </c>
      <c r="O94" s="134">
        <v>116355.7710147</v>
      </c>
      <c r="P94" s="134">
        <v>109734.427658727</v>
      </c>
      <c r="Q94" s="134">
        <v>120123.96523996499</v>
      </c>
      <c r="R94" s="134">
        <v>116319.320491188</v>
      </c>
      <c r="S94" s="134">
        <v>116820.962836672</v>
      </c>
      <c r="T94" s="134">
        <v>128968.407386544</v>
      </c>
      <c r="U94" s="134">
        <v>118222.19506227699</v>
      </c>
      <c r="V94" s="134">
        <v>107914.13497784401</v>
      </c>
      <c r="W94" s="134">
        <v>89489.690502816302</v>
      </c>
      <c r="X94" s="134">
        <v>93050.576554709405</v>
      </c>
      <c r="Y94" s="134">
        <v>92885.509558885795</v>
      </c>
      <c r="Z94" s="134">
        <v>123626.69841912801</v>
      </c>
      <c r="AA94" s="134">
        <v>114238.88199376799</v>
      </c>
      <c r="AB94" s="134">
        <v>87538.879666980007</v>
      </c>
      <c r="AC94" s="134">
        <v>67180.169558219393</v>
      </c>
      <c r="AD94" s="134">
        <v>28419.4191496694</v>
      </c>
      <c r="AE94" s="134">
        <v>20602.834001457701</v>
      </c>
      <c r="AF94" s="134">
        <v>15663.872019614901</v>
      </c>
      <c r="AG94" s="134">
        <v>7201.9672948284897</v>
      </c>
      <c r="AH94" s="519">
        <v>5866.0924179065896</v>
      </c>
    </row>
    <row r="95" spans="1:34" s="514" customFormat="1" ht="15" customHeight="1">
      <c r="A95" s="515" t="s">
        <v>8988</v>
      </c>
      <c r="B95" s="515" t="s">
        <v>8862</v>
      </c>
      <c r="C95" s="517" t="s">
        <v>8989</v>
      </c>
      <c r="D95" s="134">
        <v>48.724631590171199</v>
      </c>
      <c r="E95" s="134">
        <v>50.160360127647301</v>
      </c>
      <c r="F95" s="134">
        <v>47.201739350684001</v>
      </c>
      <c r="G95" s="134">
        <v>51.8427420491699</v>
      </c>
      <c r="H95" s="134">
        <v>54.029515122980598</v>
      </c>
      <c r="I95" s="134">
        <v>47.720133058548697</v>
      </c>
      <c r="J95" s="134">
        <v>51.710688492008998</v>
      </c>
      <c r="K95" s="134">
        <v>75.580817971968798</v>
      </c>
      <c r="L95" s="134">
        <v>71.180002047159803</v>
      </c>
      <c r="M95" s="134">
        <v>81.163206786891905</v>
      </c>
      <c r="N95" s="134">
        <v>76.361150332776901</v>
      </c>
      <c r="O95" s="134">
        <v>75.963784326444198</v>
      </c>
      <c r="P95" s="134">
        <v>75.622199850925597</v>
      </c>
      <c r="Q95" s="134">
        <v>76.954121635625697</v>
      </c>
      <c r="R95" s="134">
        <v>88.703051709675293</v>
      </c>
      <c r="S95" s="134">
        <v>84.909189819947201</v>
      </c>
      <c r="T95" s="134">
        <v>98.464145473267706</v>
      </c>
      <c r="U95" s="134">
        <v>90.915956530304001</v>
      </c>
      <c r="V95" s="134">
        <v>99.4672011129596</v>
      </c>
      <c r="W95" s="134">
        <v>83.3772587966033</v>
      </c>
      <c r="X95" s="134">
        <v>86.702910077096107</v>
      </c>
      <c r="Y95" s="134">
        <v>75.476329245459198</v>
      </c>
      <c r="Z95" s="134">
        <v>79.664695367588607</v>
      </c>
      <c r="AA95" s="134">
        <v>78.998785741131599</v>
      </c>
      <c r="AB95" s="134">
        <v>101.612026051577</v>
      </c>
      <c r="AC95" s="134">
        <v>91.814120604559903</v>
      </c>
      <c r="AD95" s="134">
        <v>89.534221771139698</v>
      </c>
      <c r="AE95" s="134">
        <v>86.262942880653497</v>
      </c>
      <c r="AF95" s="134">
        <v>84.850958891823296</v>
      </c>
      <c r="AG95" s="134">
        <v>93.546659647776593</v>
      </c>
      <c r="AH95" s="519">
        <v>82.079033289485494</v>
      </c>
    </row>
    <row r="96" spans="1:34" s="514" customFormat="1" ht="15" customHeight="1">
      <c r="A96" s="515" t="s">
        <v>8990</v>
      </c>
      <c r="B96" s="515" t="s">
        <v>8862</v>
      </c>
      <c r="C96" s="517" t="s">
        <v>8991</v>
      </c>
      <c r="D96" s="134">
        <v>13320.770129562899</v>
      </c>
      <c r="E96" s="134">
        <v>9113.8792919297593</v>
      </c>
      <c r="F96" s="134">
        <v>8779.4731482474508</v>
      </c>
      <c r="G96" s="134">
        <v>8898.5111364752102</v>
      </c>
      <c r="H96" s="134">
        <v>6557.4727879865304</v>
      </c>
      <c r="I96" s="134">
        <v>6024.3450119458203</v>
      </c>
      <c r="J96" s="134">
        <v>5265.0828192506797</v>
      </c>
      <c r="K96" s="134">
        <v>1280.0700646621401</v>
      </c>
      <c r="L96" s="134">
        <v>718.27345015214303</v>
      </c>
      <c r="M96" s="134">
        <v>1074.4284350595201</v>
      </c>
      <c r="N96" s="134">
        <v>1026.6490424820099</v>
      </c>
      <c r="O96" s="134">
        <v>1353.1385493095299</v>
      </c>
      <c r="P96" s="134">
        <v>866.097377690087</v>
      </c>
      <c r="Q96" s="134">
        <v>817.98998547156702</v>
      </c>
      <c r="R96" s="134">
        <v>628.29317719378503</v>
      </c>
      <c r="S96" s="134">
        <v>1108.71890252865</v>
      </c>
      <c r="T96" s="134">
        <v>1101.0105730407799</v>
      </c>
      <c r="U96" s="134">
        <v>606.43731569804697</v>
      </c>
      <c r="V96" s="134">
        <v>1106.59519093524</v>
      </c>
      <c r="W96" s="134">
        <v>581.85804429431403</v>
      </c>
      <c r="X96" s="134">
        <v>270.67166716055402</v>
      </c>
      <c r="Y96" s="134">
        <v>156.453080795076</v>
      </c>
      <c r="Z96" s="134">
        <v>167.34657159505699</v>
      </c>
      <c r="AA96" s="134">
        <v>143.676566227254</v>
      </c>
      <c r="AB96" s="134">
        <v>154.144708514554</v>
      </c>
      <c r="AC96" s="134">
        <v>135.214824128272</v>
      </c>
      <c r="AD96" s="134">
        <v>137.305094733744</v>
      </c>
      <c r="AE96" s="134">
        <v>128.28568757562201</v>
      </c>
      <c r="AF96" s="134">
        <v>121.987301472986</v>
      </c>
      <c r="AG96" s="134">
        <v>124.750315257556</v>
      </c>
      <c r="AH96" s="519">
        <v>138.28068280221899</v>
      </c>
    </row>
    <row r="97" spans="1:34" s="514" customFormat="1" ht="15" customHeight="1">
      <c r="A97" s="515" t="s">
        <v>8992</v>
      </c>
      <c r="B97" s="515" t="s">
        <v>8862</v>
      </c>
      <c r="C97" s="517" t="s">
        <v>8993</v>
      </c>
      <c r="D97" s="134">
        <v>270.93515010566199</v>
      </c>
      <c r="E97" s="134">
        <v>242.99172800801901</v>
      </c>
      <c r="F97" s="134">
        <v>265.45986888049998</v>
      </c>
      <c r="G97" s="134">
        <v>323.91040654255499</v>
      </c>
      <c r="H97" s="134">
        <v>516.15215577386004</v>
      </c>
      <c r="I97" s="134">
        <v>588.79976353049199</v>
      </c>
      <c r="J97" s="134">
        <v>579.34624255826498</v>
      </c>
      <c r="K97" s="134">
        <v>783.97954960546201</v>
      </c>
      <c r="L97" s="134">
        <v>1081.23931760909</v>
      </c>
      <c r="M97" s="134">
        <v>979.71002728530902</v>
      </c>
      <c r="N97" s="134">
        <v>949.93052395994096</v>
      </c>
      <c r="O97" s="134">
        <v>962.123557465668</v>
      </c>
      <c r="P97" s="134">
        <v>1005.8656674986401</v>
      </c>
      <c r="Q97" s="134">
        <v>894.22347206926997</v>
      </c>
      <c r="R97" s="134">
        <v>861.77965129607799</v>
      </c>
      <c r="S97" s="134">
        <v>841.15090772981898</v>
      </c>
      <c r="T97" s="134">
        <v>935.78164496248098</v>
      </c>
      <c r="U97" s="134">
        <v>914.13131305313198</v>
      </c>
      <c r="V97" s="134">
        <v>904.93817178373195</v>
      </c>
      <c r="W97" s="134">
        <v>1173.0859916055099</v>
      </c>
      <c r="X97" s="134">
        <v>1300.13928584685</v>
      </c>
      <c r="Y97" s="134">
        <v>1343.3200297870101</v>
      </c>
      <c r="Z97" s="134">
        <v>1772.4849406626199</v>
      </c>
      <c r="AA97" s="134">
        <v>1720.4668304791601</v>
      </c>
      <c r="AB97" s="134">
        <v>2370.0840314595798</v>
      </c>
      <c r="AC97" s="134">
        <v>3283.8920195904798</v>
      </c>
      <c r="AD97" s="134">
        <v>4119.9197018996301</v>
      </c>
      <c r="AE97" s="134">
        <v>4317.8985665316004</v>
      </c>
      <c r="AF97" s="134">
        <v>5033.2764411113303</v>
      </c>
      <c r="AG97" s="134">
        <v>5689.5603285799698</v>
      </c>
      <c r="AH97" s="519">
        <v>5844.5621924765401</v>
      </c>
    </row>
    <row r="98" spans="1:34" s="514" customFormat="1" ht="15" customHeight="1">
      <c r="A98" s="515" t="s">
        <v>8994</v>
      </c>
      <c r="B98" s="515" t="s">
        <v>8862</v>
      </c>
      <c r="C98" s="517" t="s">
        <v>8995</v>
      </c>
      <c r="D98" s="134">
        <v>11414.611942563601</v>
      </c>
      <c r="E98" s="134">
        <v>11479.3300833964</v>
      </c>
      <c r="F98" s="134">
        <v>11511.364840013901</v>
      </c>
      <c r="G98" s="134">
        <v>11352.191720479799</v>
      </c>
      <c r="H98" s="134">
        <v>10920.039837095301</v>
      </c>
      <c r="I98" s="134">
        <v>11371.6735497713</v>
      </c>
      <c r="J98" s="134">
        <v>11419.5676593102</v>
      </c>
      <c r="K98" s="134">
        <v>10428.197045672399</v>
      </c>
      <c r="L98" s="134">
        <v>11066.0808160623</v>
      </c>
      <c r="M98" s="134">
        <v>11147.814641933301</v>
      </c>
      <c r="N98" s="134">
        <v>12112.665002006999</v>
      </c>
      <c r="O98" s="134">
        <v>11820.937101146599</v>
      </c>
      <c r="P98" s="134">
        <v>11251.0736354482</v>
      </c>
      <c r="Q98" s="134">
        <v>10865.081566188201</v>
      </c>
      <c r="R98" s="134">
        <v>10460.363707778301</v>
      </c>
      <c r="S98" s="134">
        <v>10553.018916241601</v>
      </c>
      <c r="T98" s="134">
        <v>9619.6189769128796</v>
      </c>
      <c r="U98" s="134">
        <v>9094.3618585155891</v>
      </c>
      <c r="V98" s="134">
        <v>8898.6434057117604</v>
      </c>
      <c r="W98" s="134">
        <v>8537.7739002992294</v>
      </c>
      <c r="X98" s="134">
        <v>8773.2624617740894</v>
      </c>
      <c r="Y98" s="134">
        <v>8181.9035665703204</v>
      </c>
      <c r="Z98" s="134">
        <v>7525.6285024169802</v>
      </c>
      <c r="AA98" s="134">
        <v>7392.1880687866396</v>
      </c>
      <c r="AB98" s="134">
        <v>7267.5584928411299</v>
      </c>
      <c r="AC98" s="134">
        <v>7186.4936242424501</v>
      </c>
      <c r="AD98" s="134">
        <v>7189.4971911053799</v>
      </c>
      <c r="AE98" s="134">
        <v>6957.3926768546198</v>
      </c>
      <c r="AF98" s="134">
        <v>6713.5737766960901</v>
      </c>
      <c r="AG98" s="134">
        <v>6860.3951071475203</v>
      </c>
      <c r="AH98" s="519">
        <v>6323.2773815189303</v>
      </c>
    </row>
    <row r="99" spans="1:34" s="514" customFormat="1" ht="15" customHeight="1">
      <c r="A99" s="535">
        <v>36</v>
      </c>
      <c r="B99" s="515" t="s">
        <v>8865</v>
      </c>
      <c r="C99" s="517" t="s">
        <v>8996</v>
      </c>
      <c r="D99" s="134">
        <v>386.17021124726602</v>
      </c>
      <c r="E99" s="134">
        <v>497.226959905645</v>
      </c>
      <c r="F99" s="134">
        <v>453.17770753905597</v>
      </c>
      <c r="G99" s="134">
        <v>428.84319989002802</v>
      </c>
      <c r="H99" s="134">
        <v>434.38665877232899</v>
      </c>
      <c r="I99" s="134">
        <v>423.17166617524902</v>
      </c>
      <c r="J99" s="134">
        <v>614.48700627377104</v>
      </c>
      <c r="K99" s="134">
        <v>471.922645914334</v>
      </c>
      <c r="L99" s="134">
        <v>876.85937759024398</v>
      </c>
      <c r="M99" s="134">
        <v>841.51302047722402</v>
      </c>
      <c r="N99" s="134">
        <v>1094.33277767752</v>
      </c>
      <c r="O99" s="134">
        <v>1383.6569881502901</v>
      </c>
      <c r="P99" s="134">
        <v>885.64328107773201</v>
      </c>
      <c r="Q99" s="134">
        <v>728.26402045031796</v>
      </c>
      <c r="R99" s="134">
        <v>983.46907467758001</v>
      </c>
      <c r="S99" s="134">
        <v>1066.5206632582899</v>
      </c>
      <c r="T99" s="134">
        <v>1015.05019274548</v>
      </c>
      <c r="U99" s="134">
        <v>941.34998918690496</v>
      </c>
      <c r="V99" s="134">
        <v>786.19575856012102</v>
      </c>
      <c r="W99" s="134">
        <v>787.86881775853101</v>
      </c>
      <c r="X99" s="134">
        <v>853.14895093507198</v>
      </c>
      <c r="Y99" s="134">
        <v>771.87446280128097</v>
      </c>
      <c r="Z99" s="134">
        <v>770.95132709490497</v>
      </c>
      <c r="AA99" s="134">
        <v>783.08649167774695</v>
      </c>
      <c r="AB99" s="134">
        <v>752.40930570816602</v>
      </c>
      <c r="AC99" s="134">
        <v>761.42747378376896</v>
      </c>
      <c r="AD99" s="134">
        <v>875.18042116160098</v>
      </c>
      <c r="AE99" s="134">
        <v>866.50893094681703</v>
      </c>
      <c r="AF99" s="134">
        <v>877.77811212550898</v>
      </c>
      <c r="AG99" s="134">
        <v>820.50534575046299</v>
      </c>
      <c r="AH99" s="519">
        <v>878.60521064866498</v>
      </c>
    </row>
    <row r="100" spans="1:34" s="514" customFormat="1" ht="15" customHeight="1">
      <c r="A100" s="535">
        <v>37</v>
      </c>
      <c r="B100" s="515" t="s">
        <v>8865</v>
      </c>
      <c r="C100" s="517" t="s">
        <v>8997</v>
      </c>
      <c r="D100" s="134">
        <v>3184.4546735501299</v>
      </c>
      <c r="E100" s="134">
        <v>3167.7421195761699</v>
      </c>
      <c r="F100" s="134">
        <v>3276.5542241604599</v>
      </c>
      <c r="G100" s="134">
        <v>3281.30997222424</v>
      </c>
      <c r="H100" s="134">
        <v>3258.1803914162201</v>
      </c>
      <c r="I100" s="134">
        <v>3148.0754555653398</v>
      </c>
      <c r="J100" s="134">
        <v>3181.54060137549</v>
      </c>
      <c r="K100" s="134">
        <v>3373.29599193282</v>
      </c>
      <c r="L100" s="134">
        <v>3323.0117944081599</v>
      </c>
      <c r="M100" s="134">
        <v>3321.8126997927902</v>
      </c>
      <c r="N100" s="134">
        <v>3277.2516480192799</v>
      </c>
      <c r="O100" s="134">
        <v>2359.6036711925599</v>
      </c>
      <c r="P100" s="134">
        <v>2432.8002636025399</v>
      </c>
      <c r="Q100" s="134">
        <v>2545.1208147511002</v>
      </c>
      <c r="R100" s="134">
        <v>2558.5579564732702</v>
      </c>
      <c r="S100" s="134">
        <v>2583.6846408808501</v>
      </c>
      <c r="T100" s="134">
        <v>2872.9002424814398</v>
      </c>
      <c r="U100" s="134">
        <v>2930.9000515917301</v>
      </c>
      <c r="V100" s="134">
        <v>2786.8875565561598</v>
      </c>
      <c r="W100" s="134">
        <v>2726.1667995242201</v>
      </c>
      <c r="X100" s="134">
        <v>2704.04185227992</v>
      </c>
      <c r="Y100" s="134">
        <v>2712.29053364621</v>
      </c>
      <c r="Z100" s="134">
        <v>2643.2310201750802</v>
      </c>
      <c r="AA100" s="134">
        <v>2610.8786072327998</v>
      </c>
      <c r="AB100" s="134">
        <v>2694.6622352954801</v>
      </c>
      <c r="AC100" s="134">
        <v>2621.1512661970701</v>
      </c>
      <c r="AD100" s="134">
        <v>2502.6222926116702</v>
      </c>
      <c r="AE100" s="134">
        <v>2667.9542444722201</v>
      </c>
      <c r="AF100" s="134">
        <v>2570.5137037756299</v>
      </c>
      <c r="AG100" s="134">
        <v>2610.5431815828201</v>
      </c>
      <c r="AH100" s="519">
        <v>2573.9114279638002</v>
      </c>
    </row>
    <row r="101" spans="1:34" s="514" customFormat="1" ht="15" customHeight="1">
      <c r="A101" s="535">
        <v>38</v>
      </c>
      <c r="B101" s="515" t="s">
        <v>8865</v>
      </c>
      <c r="C101" s="517" t="s">
        <v>8998</v>
      </c>
      <c r="D101" s="134">
        <v>63121.959425894602</v>
      </c>
      <c r="E101" s="134">
        <v>64474.165405476298</v>
      </c>
      <c r="F101" s="134">
        <v>64726.234290031098</v>
      </c>
      <c r="G101" s="134">
        <v>65161.698095163098</v>
      </c>
      <c r="H101" s="134">
        <v>65547.527444318301</v>
      </c>
      <c r="I101" s="134">
        <v>66633.392119509706</v>
      </c>
      <c r="J101" s="134">
        <v>66978.235312091594</v>
      </c>
      <c r="K101" s="134">
        <v>66131.850700751107</v>
      </c>
      <c r="L101" s="134">
        <v>66797.457689220304</v>
      </c>
      <c r="M101" s="134">
        <v>62450.5008675012</v>
      </c>
      <c r="N101" s="134">
        <v>60105.909469807899</v>
      </c>
      <c r="O101" s="134">
        <v>58683.4661157667</v>
      </c>
      <c r="P101" s="134">
        <v>57646.118106292597</v>
      </c>
      <c r="Q101" s="134">
        <v>53906.831150167804</v>
      </c>
      <c r="R101" s="134">
        <v>49520.634726899298</v>
      </c>
      <c r="S101" s="134">
        <v>47393.166743440503</v>
      </c>
      <c r="T101" s="134">
        <v>44057.793459768603</v>
      </c>
      <c r="U101" s="134">
        <v>41044.863815619297</v>
      </c>
      <c r="V101" s="134">
        <v>36420.6969484781</v>
      </c>
      <c r="W101" s="134">
        <v>32664.505259732799</v>
      </c>
      <c r="X101" s="134">
        <v>28368.369202885999</v>
      </c>
      <c r="Y101" s="134">
        <v>26551.6404915563</v>
      </c>
      <c r="Z101" s="134">
        <v>25431.198605326201</v>
      </c>
      <c r="AA101" s="134">
        <v>22897.398254263298</v>
      </c>
      <c r="AB101" s="134">
        <v>21031.880075248599</v>
      </c>
      <c r="AC101" s="134">
        <v>20711.191623589501</v>
      </c>
      <c r="AD101" s="134">
        <v>20457.729229084602</v>
      </c>
      <c r="AE101" s="134">
        <v>21015.719064755602</v>
      </c>
      <c r="AF101" s="134">
        <v>21167.6088586408</v>
      </c>
      <c r="AG101" s="134">
        <v>20948.788781331801</v>
      </c>
      <c r="AH101" s="519">
        <v>19727.873457895199</v>
      </c>
    </row>
    <row r="102" spans="1:34" s="514" customFormat="1" ht="15" customHeight="1">
      <c r="A102" s="535">
        <v>39</v>
      </c>
      <c r="B102" s="515" t="s">
        <v>8865</v>
      </c>
      <c r="C102" s="517" t="s">
        <v>8999</v>
      </c>
      <c r="D102" s="134">
        <v>3.2488222003365399</v>
      </c>
      <c r="E102" s="134">
        <v>3.21004158746962</v>
      </c>
      <c r="F102" s="134">
        <v>3.23927170728106</v>
      </c>
      <c r="G102" s="134">
        <v>3.4139691662533198</v>
      </c>
      <c r="H102" s="134">
        <v>3.5330698274487</v>
      </c>
      <c r="I102" s="134">
        <v>3.6501762566682499</v>
      </c>
      <c r="J102" s="134">
        <v>3.7545083326661302</v>
      </c>
      <c r="K102" s="134">
        <v>3.72848398879069</v>
      </c>
      <c r="L102" s="134">
        <v>3.8274596515304098</v>
      </c>
      <c r="M102" s="134">
        <v>4.0265076585285096</v>
      </c>
      <c r="N102" s="134">
        <v>4.2014206140165502</v>
      </c>
      <c r="O102" s="134">
        <v>4.3305496826668302</v>
      </c>
      <c r="P102" s="134">
        <v>4.3205090280664598</v>
      </c>
      <c r="Q102" s="134">
        <v>4.5700033907235298</v>
      </c>
      <c r="R102" s="134">
        <v>4.9178922884627099</v>
      </c>
      <c r="S102" s="134">
        <v>5.0947825300893497</v>
      </c>
      <c r="T102" s="134">
        <v>5.30035352541283</v>
      </c>
      <c r="U102" s="134">
        <v>5.6448929945862201</v>
      </c>
      <c r="V102" s="134">
        <v>6.0460653445614003</v>
      </c>
      <c r="W102" s="134">
        <v>5.1814865903538196</v>
      </c>
      <c r="X102" s="134">
        <v>5.4611508851360604</v>
      </c>
      <c r="Y102" s="134">
        <v>5.2450326569749199</v>
      </c>
      <c r="Z102" s="134">
        <v>5.9429756697262803</v>
      </c>
      <c r="AA102" s="134">
        <v>5.2180017174311901</v>
      </c>
      <c r="AB102" s="134">
        <v>5.2746381327979002</v>
      </c>
      <c r="AC102" s="134">
        <v>5.5757008460457298</v>
      </c>
      <c r="AD102" s="134">
        <v>5.6157648562990499</v>
      </c>
      <c r="AE102" s="134">
        <v>5.7688250261083702</v>
      </c>
      <c r="AF102" s="134">
        <v>5.2986559840910896</v>
      </c>
      <c r="AG102" s="134">
        <v>5.04535820593075</v>
      </c>
      <c r="AH102" s="519">
        <v>5.0437675438853899</v>
      </c>
    </row>
    <row r="103" spans="1:34" s="514" customFormat="1" ht="15" customHeight="1">
      <c r="A103" s="535">
        <v>41</v>
      </c>
      <c r="B103" s="515" t="s">
        <v>8868</v>
      </c>
      <c r="C103" s="517" t="s">
        <v>9000</v>
      </c>
      <c r="D103" s="134">
        <v>1927.4464127561</v>
      </c>
      <c r="E103" s="134">
        <v>1944.35792094161</v>
      </c>
      <c r="F103" s="134">
        <v>1957.5169812838401</v>
      </c>
      <c r="G103" s="134">
        <v>2000.2627902576601</v>
      </c>
      <c r="H103" s="134">
        <v>2084.0157817669701</v>
      </c>
      <c r="I103" s="134">
        <v>2126.9023258584398</v>
      </c>
      <c r="J103" s="134">
        <v>2195.75009083451</v>
      </c>
      <c r="K103" s="134">
        <v>2227.8051371278598</v>
      </c>
      <c r="L103" s="134">
        <v>2269.2235720168501</v>
      </c>
      <c r="M103" s="134">
        <v>2339.7672507170601</v>
      </c>
      <c r="N103" s="134">
        <v>2379.0284568185102</v>
      </c>
      <c r="O103" s="134">
        <v>2411.6078195341502</v>
      </c>
      <c r="P103" s="134">
        <v>2411.6424391709302</v>
      </c>
      <c r="Q103" s="134">
        <v>2499.6907820616502</v>
      </c>
      <c r="R103" s="134">
        <v>2596.2335186884802</v>
      </c>
      <c r="S103" s="134">
        <v>2592.4710391990302</v>
      </c>
      <c r="T103" s="134">
        <v>2584.6029945894902</v>
      </c>
      <c r="U103" s="134">
        <v>2633.4933291705001</v>
      </c>
      <c r="V103" s="134">
        <v>2571.5259746286401</v>
      </c>
      <c r="W103" s="134">
        <v>2237.6512077857901</v>
      </c>
      <c r="X103" s="134">
        <v>2277.4856089146501</v>
      </c>
      <c r="Y103" s="134">
        <v>2117.04521392886</v>
      </c>
      <c r="Z103" s="134">
        <v>2252.1556809508002</v>
      </c>
      <c r="AA103" s="134">
        <v>2087.7583167090502</v>
      </c>
      <c r="AB103" s="134">
        <v>2108.2795996603199</v>
      </c>
      <c r="AC103" s="134">
        <v>2238.1338038284198</v>
      </c>
      <c r="AD103" s="134">
        <v>2297.7070130883699</v>
      </c>
      <c r="AE103" s="134">
        <v>2353.6975286493098</v>
      </c>
      <c r="AF103" s="134">
        <v>2350.6279789549098</v>
      </c>
      <c r="AG103" s="134">
        <v>2225.0061332182499</v>
      </c>
      <c r="AH103" s="519">
        <v>1876.1869485405</v>
      </c>
    </row>
    <row r="104" spans="1:34" s="514" customFormat="1" ht="15" customHeight="1">
      <c r="A104" s="535">
        <v>42</v>
      </c>
      <c r="B104" s="515" t="s">
        <v>8868</v>
      </c>
      <c r="C104" s="517" t="s">
        <v>9001</v>
      </c>
      <c r="D104" s="134">
        <v>4959.1587892963698</v>
      </c>
      <c r="E104" s="134">
        <v>4858.5691568789698</v>
      </c>
      <c r="F104" s="134">
        <v>4892.5551333591002</v>
      </c>
      <c r="G104" s="134">
        <v>4911.6591292601597</v>
      </c>
      <c r="H104" s="134">
        <v>5111.38200214885</v>
      </c>
      <c r="I104" s="134">
        <v>5103.46453169283</v>
      </c>
      <c r="J104" s="134">
        <v>5155.3167490394899</v>
      </c>
      <c r="K104" s="134">
        <v>5235.8662546017404</v>
      </c>
      <c r="L104" s="134">
        <v>5326.2147767081997</v>
      </c>
      <c r="M104" s="134">
        <v>5324.9219098541998</v>
      </c>
      <c r="N104" s="134">
        <v>5376.86947672726</v>
      </c>
      <c r="O104" s="134">
        <v>5572.8133265707202</v>
      </c>
      <c r="P104" s="134">
        <v>5631.87087706682</v>
      </c>
      <c r="Q104" s="134">
        <v>5620.1204358227897</v>
      </c>
      <c r="R104" s="134">
        <v>5881.4405703716102</v>
      </c>
      <c r="S104" s="134">
        <v>5784.4619405945105</v>
      </c>
      <c r="T104" s="134">
        <v>5900.2078706769698</v>
      </c>
      <c r="U104" s="134">
        <v>5965.2282751283601</v>
      </c>
      <c r="V104" s="134">
        <v>6201.3769950182896</v>
      </c>
      <c r="W104" s="134">
        <v>5215.3200077444899</v>
      </c>
      <c r="X104" s="134">
        <v>5078.1863458866101</v>
      </c>
      <c r="Y104" s="134">
        <v>4689.0659058456704</v>
      </c>
      <c r="Z104" s="134">
        <v>5114.65245377472</v>
      </c>
      <c r="AA104" s="134">
        <v>4499.85563412597</v>
      </c>
      <c r="AB104" s="134">
        <v>4738.4389190161701</v>
      </c>
      <c r="AC104" s="134">
        <v>5388.5627645049999</v>
      </c>
      <c r="AD104" s="134">
        <v>5453.0996594361204</v>
      </c>
      <c r="AE104" s="134">
        <v>5776.9935240077102</v>
      </c>
      <c r="AF104" s="134">
        <v>5909.1910989916196</v>
      </c>
      <c r="AG104" s="134">
        <v>5464.8239676235598</v>
      </c>
      <c r="AH104" s="519">
        <v>4850.5646935654304</v>
      </c>
    </row>
    <row r="105" spans="1:34" s="514" customFormat="1" ht="15" customHeight="1">
      <c r="A105" s="535">
        <v>43</v>
      </c>
      <c r="B105" s="515" t="s">
        <v>8868</v>
      </c>
      <c r="C105" s="517" t="s">
        <v>9002</v>
      </c>
      <c r="D105" s="134">
        <v>2541.8311122478199</v>
      </c>
      <c r="E105" s="134">
        <v>2593.5452938026201</v>
      </c>
      <c r="F105" s="134">
        <v>2641.58046333313</v>
      </c>
      <c r="G105" s="134">
        <v>2697.4215216861398</v>
      </c>
      <c r="H105" s="134">
        <v>2835.6001770022099</v>
      </c>
      <c r="I105" s="134">
        <v>2907.7546962449201</v>
      </c>
      <c r="J105" s="134">
        <v>3057.4085009036098</v>
      </c>
      <c r="K105" s="134">
        <v>3179.8298016119202</v>
      </c>
      <c r="L105" s="134">
        <v>3284.7818813112799</v>
      </c>
      <c r="M105" s="134">
        <v>3466.3499719381002</v>
      </c>
      <c r="N105" s="134">
        <v>3569.7647630070801</v>
      </c>
      <c r="O105" s="134">
        <v>3682.1318619624399</v>
      </c>
      <c r="P105" s="134">
        <v>3697.6924389262299</v>
      </c>
      <c r="Q105" s="134">
        <v>3862.7516125883199</v>
      </c>
      <c r="R105" s="134">
        <v>4076.7692664454398</v>
      </c>
      <c r="S105" s="134">
        <v>4232.0696955778203</v>
      </c>
      <c r="T105" s="134">
        <v>4343.88362689106</v>
      </c>
      <c r="U105" s="134">
        <v>4575.6189015504697</v>
      </c>
      <c r="V105" s="134">
        <v>4497.3090613219201</v>
      </c>
      <c r="W105" s="134">
        <v>4203.9378793380001</v>
      </c>
      <c r="X105" s="134">
        <v>4369.36156540709</v>
      </c>
      <c r="Y105" s="134">
        <v>4295.8893151566199</v>
      </c>
      <c r="Z105" s="134">
        <v>4404.38332902611</v>
      </c>
      <c r="AA105" s="134">
        <v>4347.2530595114004</v>
      </c>
      <c r="AB105" s="134">
        <v>4462.9746524023403</v>
      </c>
      <c r="AC105" s="134">
        <v>4658.7994536618398</v>
      </c>
      <c r="AD105" s="134">
        <v>4942.1400883484002</v>
      </c>
      <c r="AE105" s="134">
        <v>4972.6599289893102</v>
      </c>
      <c r="AF105" s="134">
        <v>4916.4545897778999</v>
      </c>
      <c r="AG105" s="134">
        <v>4749.01258654307</v>
      </c>
      <c r="AH105" s="519">
        <v>4222.77475862763</v>
      </c>
    </row>
    <row r="106" spans="1:34" s="514" customFormat="1" ht="15" customHeight="1">
      <c r="A106" s="535">
        <v>45</v>
      </c>
      <c r="B106" s="515" t="s">
        <v>8871</v>
      </c>
      <c r="C106" s="517" t="s">
        <v>9003</v>
      </c>
      <c r="D106" s="134">
        <v>2100.29244244235</v>
      </c>
      <c r="E106" s="134">
        <v>2190.17863919</v>
      </c>
      <c r="F106" s="134">
        <v>2141.7163632756701</v>
      </c>
      <c r="G106" s="134">
        <v>2173.9760178472602</v>
      </c>
      <c r="H106" s="134">
        <v>2221.4557290410899</v>
      </c>
      <c r="I106" s="134">
        <v>2240.7000475341802</v>
      </c>
      <c r="J106" s="134">
        <v>2256.1640091620602</v>
      </c>
      <c r="K106" s="134">
        <v>2193.34392660408</v>
      </c>
      <c r="L106" s="134">
        <v>2202.8959397451799</v>
      </c>
      <c r="M106" s="134">
        <v>2267.9369535902201</v>
      </c>
      <c r="N106" s="134">
        <v>2284.5491983369502</v>
      </c>
      <c r="O106" s="134">
        <v>2218.6928914578698</v>
      </c>
      <c r="P106" s="134">
        <v>2112.13113510518</v>
      </c>
      <c r="Q106" s="134">
        <v>2164.5007316199699</v>
      </c>
      <c r="R106" s="134">
        <v>2151.0711882814899</v>
      </c>
      <c r="S106" s="134">
        <v>2178.3263025086399</v>
      </c>
      <c r="T106" s="134">
        <v>2157.6135277741801</v>
      </c>
      <c r="U106" s="134">
        <v>2276.5724991234501</v>
      </c>
      <c r="V106" s="134">
        <v>2257.69881635512</v>
      </c>
      <c r="W106" s="134">
        <v>2058.90434906162</v>
      </c>
      <c r="X106" s="134">
        <v>2084.4873151065299</v>
      </c>
      <c r="Y106" s="134">
        <v>2021.92097766657</v>
      </c>
      <c r="Z106" s="134">
        <v>2042.1506227580001</v>
      </c>
      <c r="AA106" s="134">
        <v>1979.1222140867201</v>
      </c>
      <c r="AB106" s="134">
        <v>1964.82787324531</v>
      </c>
      <c r="AC106" s="134">
        <v>2006.7448079145199</v>
      </c>
      <c r="AD106" s="134">
        <v>2083.8561809777798</v>
      </c>
      <c r="AE106" s="134">
        <v>2022.72062103955</v>
      </c>
      <c r="AF106" s="134">
        <v>1935.2863974588799</v>
      </c>
      <c r="AG106" s="134">
        <v>1896.7585064242201</v>
      </c>
      <c r="AH106" s="519">
        <v>1560.78967857627</v>
      </c>
    </row>
    <row r="107" spans="1:34" s="514" customFormat="1" ht="15" customHeight="1">
      <c r="A107" s="535">
        <v>46</v>
      </c>
      <c r="B107" s="515" t="s">
        <v>8871</v>
      </c>
      <c r="C107" s="517" t="s">
        <v>9004</v>
      </c>
      <c r="D107" s="134">
        <v>6091.0914446526103</v>
      </c>
      <c r="E107" s="134">
        <v>6210.1313137669804</v>
      </c>
      <c r="F107" s="134">
        <v>6140.5638001547204</v>
      </c>
      <c r="G107" s="134">
        <v>6208.0704778352101</v>
      </c>
      <c r="H107" s="134">
        <v>6403.8300881921296</v>
      </c>
      <c r="I107" s="134">
        <v>6474.46203347153</v>
      </c>
      <c r="J107" s="134">
        <v>6549.6829870231804</v>
      </c>
      <c r="K107" s="134">
        <v>6437.1054316010104</v>
      </c>
      <c r="L107" s="134">
        <v>6514.9837157687698</v>
      </c>
      <c r="M107" s="134">
        <v>6670.4883331272304</v>
      </c>
      <c r="N107" s="134">
        <v>6706.5916985168396</v>
      </c>
      <c r="O107" s="134">
        <v>6529.6111510721403</v>
      </c>
      <c r="P107" s="134">
        <v>6338.3601981504899</v>
      </c>
      <c r="Q107" s="134">
        <v>6466.9946805685304</v>
      </c>
      <c r="R107" s="134">
        <v>6482.73928833833</v>
      </c>
      <c r="S107" s="134">
        <v>6524.6150743613898</v>
      </c>
      <c r="T107" s="134">
        <v>6584.7309601992602</v>
      </c>
      <c r="U107" s="134">
        <v>6833.8174276324598</v>
      </c>
      <c r="V107" s="134">
        <v>6982.8153380909398</v>
      </c>
      <c r="W107" s="134">
        <v>7240.7241808258696</v>
      </c>
      <c r="X107" s="134">
        <v>7587.8696294153397</v>
      </c>
      <c r="Y107" s="134">
        <v>7321.2284047705198</v>
      </c>
      <c r="Z107" s="134">
        <v>7389.2961703850297</v>
      </c>
      <c r="AA107" s="134">
        <v>7112.7569800860101</v>
      </c>
      <c r="AB107" s="134">
        <v>7111.20282204044</v>
      </c>
      <c r="AC107" s="134">
        <v>7272.7003006640698</v>
      </c>
      <c r="AD107" s="134">
        <v>7509.7531511221696</v>
      </c>
      <c r="AE107" s="134">
        <v>7456.53347592919</v>
      </c>
      <c r="AF107" s="134">
        <v>7254.5328988261899</v>
      </c>
      <c r="AG107" s="134">
        <v>6903.4949725654697</v>
      </c>
      <c r="AH107" s="519">
        <v>5981.24529650352</v>
      </c>
    </row>
    <row r="108" spans="1:34" s="514" customFormat="1" ht="15" customHeight="1">
      <c r="A108" s="535">
        <v>47</v>
      </c>
      <c r="B108" s="515" t="s">
        <v>8871</v>
      </c>
      <c r="C108" s="517" t="s">
        <v>9005</v>
      </c>
      <c r="D108" s="134">
        <v>3438.3169292016701</v>
      </c>
      <c r="E108" s="134">
        <v>3615.75757150757</v>
      </c>
      <c r="F108" s="134">
        <v>3546.4412660303601</v>
      </c>
      <c r="G108" s="134">
        <v>3692.0712855004999</v>
      </c>
      <c r="H108" s="134">
        <v>3816.1709926390999</v>
      </c>
      <c r="I108" s="134">
        <v>3909.32219343219</v>
      </c>
      <c r="J108" s="134">
        <v>4125.49034326125</v>
      </c>
      <c r="K108" s="134">
        <v>4129.9315644572298</v>
      </c>
      <c r="L108" s="134">
        <v>4412.5979631413702</v>
      </c>
      <c r="M108" s="134">
        <v>4729.7687265794102</v>
      </c>
      <c r="N108" s="134">
        <v>4970.8750199344204</v>
      </c>
      <c r="O108" s="134">
        <v>5140.8821376606102</v>
      </c>
      <c r="P108" s="134">
        <v>5171.8405407834698</v>
      </c>
      <c r="Q108" s="134">
        <v>5553.5334285907102</v>
      </c>
      <c r="R108" s="134">
        <v>5803.5020843458997</v>
      </c>
      <c r="S108" s="134">
        <v>6010.9250120020897</v>
      </c>
      <c r="T108" s="134">
        <v>6193.2444508734397</v>
      </c>
      <c r="U108" s="134">
        <v>6423.7591843913597</v>
      </c>
      <c r="V108" s="134">
        <v>6811.5470385588496</v>
      </c>
      <c r="W108" s="134">
        <v>6869.4286586973303</v>
      </c>
      <c r="X108" s="134">
        <v>6996.3535919855303</v>
      </c>
      <c r="Y108" s="134">
        <v>7076.4078331840301</v>
      </c>
      <c r="Z108" s="134">
        <v>7396.7181957276998</v>
      </c>
      <c r="AA108" s="134">
        <v>7373.3337857240303</v>
      </c>
      <c r="AB108" s="134">
        <v>7167.7140222518601</v>
      </c>
      <c r="AC108" s="134">
        <v>7180.4466337097301</v>
      </c>
      <c r="AD108" s="134">
        <v>7105.94918819744</v>
      </c>
      <c r="AE108" s="134">
        <v>6783.7298506404204</v>
      </c>
      <c r="AF108" s="134">
        <v>6439.2182308973197</v>
      </c>
      <c r="AG108" s="134">
        <v>6277.3644306056503</v>
      </c>
      <c r="AH108" s="519">
        <v>5684.0279646271301</v>
      </c>
    </row>
    <row r="109" spans="1:34" s="514" customFormat="1" ht="15" customHeight="1">
      <c r="A109" s="515" t="s">
        <v>9006</v>
      </c>
      <c r="B109" s="515" t="s">
        <v>8874</v>
      </c>
      <c r="C109" s="517" t="s">
        <v>9007</v>
      </c>
      <c r="D109" s="134">
        <v>1773.9491242904501</v>
      </c>
      <c r="E109" s="134">
        <v>1814.15342078515</v>
      </c>
      <c r="F109" s="134">
        <v>1834.5244837725099</v>
      </c>
      <c r="G109" s="134">
        <v>1785.8811318948799</v>
      </c>
      <c r="H109" s="134">
        <v>1739.0313773334501</v>
      </c>
      <c r="I109" s="134">
        <v>1828.2400097579</v>
      </c>
      <c r="J109" s="134">
        <v>1928.84156316138</v>
      </c>
      <c r="K109" s="134">
        <v>2003.07253858437</v>
      </c>
      <c r="L109" s="134">
        <v>2118.7858399237398</v>
      </c>
      <c r="M109" s="134">
        <v>2062.48999373073</v>
      </c>
      <c r="N109" s="134">
        <v>2085.3584938274298</v>
      </c>
      <c r="O109" s="134">
        <v>2157.4069849490202</v>
      </c>
      <c r="P109" s="134">
        <v>2133.76899308866</v>
      </c>
      <c r="Q109" s="134">
        <v>2170.1545351221898</v>
      </c>
      <c r="R109" s="134">
        <v>2264.8390709548598</v>
      </c>
      <c r="S109" s="134">
        <v>2291.9252776523199</v>
      </c>
      <c r="T109" s="134">
        <v>2333.4344176439899</v>
      </c>
      <c r="U109" s="134">
        <v>2436.5099581719001</v>
      </c>
      <c r="V109" s="134">
        <v>2405.1658525783901</v>
      </c>
      <c r="W109" s="134">
        <v>2343.8772460489799</v>
      </c>
      <c r="X109" s="134">
        <v>2372.18419356805</v>
      </c>
      <c r="Y109" s="134">
        <v>2272.41806028976</v>
      </c>
      <c r="Z109" s="134">
        <v>2333.7465514382002</v>
      </c>
      <c r="AA109" s="134">
        <v>2335.5185281731901</v>
      </c>
      <c r="AB109" s="134">
        <v>2378.1230579366902</v>
      </c>
      <c r="AC109" s="134">
        <v>2335.2396046389099</v>
      </c>
      <c r="AD109" s="134">
        <v>2323.7133179799298</v>
      </c>
      <c r="AE109" s="134">
        <v>2302.0571056374301</v>
      </c>
      <c r="AF109" s="134">
        <v>2196.3725839921199</v>
      </c>
      <c r="AG109" s="134">
        <v>2254.04887667605</v>
      </c>
      <c r="AH109" s="519">
        <v>1804.3112632474299</v>
      </c>
    </row>
    <row r="110" spans="1:34" s="514" customFormat="1" ht="15" customHeight="1">
      <c r="A110" s="515" t="s">
        <v>9008</v>
      </c>
      <c r="B110" s="515" t="s">
        <v>8874</v>
      </c>
      <c r="C110" s="517" t="s">
        <v>9009</v>
      </c>
      <c r="D110" s="134">
        <v>5748.5433712356098</v>
      </c>
      <c r="E110" s="134">
        <v>5882.8747187127501</v>
      </c>
      <c r="F110" s="134">
        <v>5837.9922120598603</v>
      </c>
      <c r="G110" s="134">
        <v>5863.7130959391397</v>
      </c>
      <c r="H110" s="134">
        <v>5991.8643069884702</v>
      </c>
      <c r="I110" s="134">
        <v>6108.6831933793701</v>
      </c>
      <c r="J110" s="134">
        <v>6210.6420277841398</v>
      </c>
      <c r="K110" s="134">
        <v>6236.5693508604299</v>
      </c>
      <c r="L110" s="134">
        <v>6107.5278985423502</v>
      </c>
      <c r="M110" s="134">
        <v>5958.8959282974301</v>
      </c>
      <c r="N110" s="134">
        <v>5647.7781322236096</v>
      </c>
      <c r="O110" s="134">
        <v>5596.1810906188402</v>
      </c>
      <c r="P110" s="134">
        <v>5579.2901565401198</v>
      </c>
      <c r="Q110" s="134">
        <v>5717.0283569246903</v>
      </c>
      <c r="R110" s="134">
        <v>5513.1388609731202</v>
      </c>
      <c r="S110" s="134">
        <v>5512.05056142781</v>
      </c>
      <c r="T110" s="134">
        <v>5592.3096078463304</v>
      </c>
      <c r="U110" s="134">
        <v>5681.51104805267</v>
      </c>
      <c r="V110" s="134">
        <v>5100.9512062049898</v>
      </c>
      <c r="W110" s="134">
        <v>5022.60107025049</v>
      </c>
      <c r="X110" s="134">
        <v>5156.9724749857996</v>
      </c>
      <c r="Y110" s="134">
        <v>4802.3370795359597</v>
      </c>
      <c r="Z110" s="134">
        <v>4627.6894517946503</v>
      </c>
      <c r="AA110" s="134">
        <v>4670.7955830996398</v>
      </c>
      <c r="AB110" s="134">
        <v>4648.4547462035798</v>
      </c>
      <c r="AC110" s="134">
        <v>4531.9560673808601</v>
      </c>
      <c r="AD110" s="134">
        <v>4352.6964968079801</v>
      </c>
      <c r="AE110" s="134">
        <v>4166.75872437407</v>
      </c>
      <c r="AF110" s="134">
        <v>4006.0022699762699</v>
      </c>
      <c r="AG110" s="134">
        <v>3775.2413139725099</v>
      </c>
      <c r="AH110" s="519">
        <v>2721.8163841854098</v>
      </c>
    </row>
    <row r="111" spans="1:34" s="514" customFormat="1" ht="15" customHeight="1">
      <c r="A111" s="515" t="s">
        <v>9010</v>
      </c>
      <c r="B111" s="515" t="s">
        <v>8874</v>
      </c>
      <c r="C111" s="517" t="s">
        <v>9011</v>
      </c>
      <c r="D111" s="134">
        <v>479.53263053656701</v>
      </c>
      <c r="E111" s="134">
        <v>461.74829550734199</v>
      </c>
      <c r="F111" s="134">
        <v>472.64043467775201</v>
      </c>
      <c r="G111" s="134">
        <v>484.42205965776799</v>
      </c>
      <c r="H111" s="134">
        <v>512.02590116861404</v>
      </c>
      <c r="I111" s="134">
        <v>529.15493393552595</v>
      </c>
      <c r="J111" s="134">
        <v>563.44205825085396</v>
      </c>
      <c r="K111" s="134">
        <v>542.17427376031401</v>
      </c>
      <c r="L111" s="134">
        <v>554.32088001196996</v>
      </c>
      <c r="M111" s="134">
        <v>548.62221840836696</v>
      </c>
      <c r="N111" s="134">
        <v>479.23169491150099</v>
      </c>
      <c r="O111" s="134">
        <v>483.49863884176301</v>
      </c>
      <c r="P111" s="134">
        <v>386.75439449175701</v>
      </c>
      <c r="Q111" s="134">
        <v>45.013970220555301</v>
      </c>
      <c r="R111" s="134">
        <v>31.909766622563701</v>
      </c>
      <c r="S111" s="134">
        <v>25.2053292266767</v>
      </c>
      <c r="T111" s="134">
        <v>22.079380159934999</v>
      </c>
      <c r="U111" s="134">
        <v>21.329369262105299</v>
      </c>
      <c r="V111" s="134">
        <v>19.709351838554198</v>
      </c>
      <c r="W111" s="134">
        <v>16.435551491446599</v>
      </c>
      <c r="X111" s="134">
        <v>16.5620141079593</v>
      </c>
      <c r="Y111" s="134">
        <v>14.5834437890272</v>
      </c>
      <c r="Z111" s="134">
        <v>15.537283102780799</v>
      </c>
      <c r="AA111" s="134">
        <v>13.0834692112629</v>
      </c>
      <c r="AB111" s="134">
        <v>13.2484521333401</v>
      </c>
      <c r="AC111" s="134">
        <v>12.934993497389</v>
      </c>
      <c r="AD111" s="134">
        <v>13.6345017791229</v>
      </c>
      <c r="AE111" s="134">
        <v>13.408202691243501</v>
      </c>
      <c r="AF111" s="134">
        <v>13.244081869292501</v>
      </c>
      <c r="AG111" s="134">
        <v>12.346333701778001</v>
      </c>
      <c r="AH111" s="519">
        <v>10.239522137164</v>
      </c>
    </row>
    <row r="112" spans="1:34" s="514" customFormat="1" ht="15" customHeight="1">
      <c r="A112" s="535">
        <v>49.32</v>
      </c>
      <c r="B112" s="515" t="s">
        <v>8874</v>
      </c>
      <c r="C112" s="517" t="s">
        <v>9012</v>
      </c>
      <c r="D112" s="134">
        <v>1553.88559284095</v>
      </c>
      <c r="E112" s="134">
        <v>1669.24330581042</v>
      </c>
      <c r="F112" s="134">
        <v>1777.6335019197099</v>
      </c>
      <c r="G112" s="134">
        <v>1815.8110950191999</v>
      </c>
      <c r="H112" s="134">
        <v>1868.5239835438999</v>
      </c>
      <c r="I112" s="134">
        <v>1885.0354319865501</v>
      </c>
      <c r="J112" s="134">
        <v>1961.7298153501999</v>
      </c>
      <c r="K112" s="134">
        <v>2032.5676837687399</v>
      </c>
      <c r="L112" s="134">
        <v>2096.8828169193098</v>
      </c>
      <c r="M112" s="134">
        <v>2150.5157954541701</v>
      </c>
      <c r="N112" s="134">
        <v>2211.49456131225</v>
      </c>
      <c r="O112" s="134">
        <v>2249.6958271984499</v>
      </c>
      <c r="P112" s="134">
        <v>2298.5555352886699</v>
      </c>
      <c r="Q112" s="134">
        <v>2327.0942723459998</v>
      </c>
      <c r="R112" s="134">
        <v>2357.9137756057498</v>
      </c>
      <c r="S112" s="134">
        <v>2417.0403652282098</v>
      </c>
      <c r="T112" s="134">
        <v>2486.9219328363001</v>
      </c>
      <c r="U112" s="134">
        <v>2580.6506001174298</v>
      </c>
      <c r="V112" s="134">
        <v>2668.26687811892</v>
      </c>
      <c r="W112" s="134">
        <v>2745.7743032712001</v>
      </c>
      <c r="X112" s="134">
        <v>2790.9177188767999</v>
      </c>
      <c r="Y112" s="134">
        <v>2802.6026234781598</v>
      </c>
      <c r="Z112" s="134">
        <v>2776.2716033269498</v>
      </c>
      <c r="AA112" s="134">
        <v>2742.4876386108399</v>
      </c>
      <c r="AB112" s="134">
        <v>2853.4243315869599</v>
      </c>
      <c r="AC112" s="134">
        <v>2969.51315305462</v>
      </c>
      <c r="AD112" s="134">
        <v>3186.65856931197</v>
      </c>
      <c r="AE112" s="134">
        <v>3401.6623058776499</v>
      </c>
      <c r="AF112" s="134">
        <v>3467.2818236755002</v>
      </c>
      <c r="AG112" s="134">
        <v>3535.6764494284998</v>
      </c>
      <c r="AH112" s="519">
        <v>3577.7134032346598</v>
      </c>
    </row>
    <row r="113" spans="1:34" s="514" customFormat="1" ht="15" customHeight="1">
      <c r="A113" s="535">
        <v>49.4</v>
      </c>
      <c r="B113" s="515" t="s">
        <v>8874</v>
      </c>
      <c r="C113" s="517" t="s">
        <v>9013</v>
      </c>
      <c r="D113" s="134">
        <v>13205.8974281554</v>
      </c>
      <c r="E113" s="134">
        <v>12719.572875439</v>
      </c>
      <c r="F113" s="134">
        <v>12684.829272237501</v>
      </c>
      <c r="G113" s="134">
        <v>13135.201688999699</v>
      </c>
      <c r="H113" s="134">
        <v>13651.3408096727</v>
      </c>
      <c r="I113" s="134">
        <v>13561.3970315151</v>
      </c>
      <c r="J113" s="134">
        <v>13995.2479587256</v>
      </c>
      <c r="K113" s="134">
        <v>14140.487588079999</v>
      </c>
      <c r="L113" s="134">
        <v>13986.816160841499</v>
      </c>
      <c r="M113" s="134">
        <v>13803.384253267801</v>
      </c>
      <c r="N113" s="134">
        <v>13611.5545874443</v>
      </c>
      <c r="O113" s="134">
        <v>13506.152479755399</v>
      </c>
      <c r="P113" s="134">
        <v>13757.767204834099</v>
      </c>
      <c r="Q113" s="134">
        <v>13822.549495945599</v>
      </c>
      <c r="R113" s="134">
        <v>14080.9415080976</v>
      </c>
      <c r="S113" s="134">
        <v>14028.3256549835</v>
      </c>
      <c r="T113" s="134">
        <v>13981.2370828151</v>
      </c>
      <c r="U113" s="134">
        <v>14093.4365713674</v>
      </c>
      <c r="V113" s="134">
        <v>12799.6685818068</v>
      </c>
      <c r="W113" s="134">
        <v>10960.9818475139</v>
      </c>
      <c r="X113" s="134">
        <v>11169.5965419721</v>
      </c>
      <c r="Y113" s="134">
        <v>10896.720058738299</v>
      </c>
      <c r="Z113" s="134">
        <v>10871.5107398607</v>
      </c>
      <c r="AA113" s="134">
        <v>10818.0084424629</v>
      </c>
      <c r="AB113" s="134">
        <v>11015.237263003901</v>
      </c>
      <c r="AC113" s="134">
        <v>11486.1795055411</v>
      </c>
      <c r="AD113" s="134">
        <v>11842.9095501376</v>
      </c>
      <c r="AE113" s="134">
        <v>11927.505860793</v>
      </c>
      <c r="AF113" s="134">
        <v>11852.2544770966</v>
      </c>
      <c r="AG113" s="134">
        <v>11478.776392792</v>
      </c>
      <c r="AH113" s="519">
        <v>10828.216334902199</v>
      </c>
    </row>
    <row r="114" spans="1:34" s="514" customFormat="1" ht="15" customHeight="1">
      <c r="A114" s="535">
        <v>49.5</v>
      </c>
      <c r="B114" s="515" t="s">
        <v>8874</v>
      </c>
      <c r="C114" s="517" t="s">
        <v>9014</v>
      </c>
      <c r="D114" s="134">
        <v>236.914257051146</v>
      </c>
      <c r="E114" s="134">
        <v>236.83517545521801</v>
      </c>
      <c r="F114" s="134">
        <v>236.78041592896699</v>
      </c>
      <c r="G114" s="134">
        <v>236.98245420906599</v>
      </c>
      <c r="H114" s="134">
        <v>237.308659507805</v>
      </c>
      <c r="I114" s="134">
        <v>237.371825985844</v>
      </c>
      <c r="J114" s="134">
        <v>237.30699631709399</v>
      </c>
      <c r="K114" s="134">
        <v>217.59252289341799</v>
      </c>
      <c r="L114" s="134">
        <v>217.46201205376701</v>
      </c>
      <c r="M114" s="134">
        <v>217.54761357605199</v>
      </c>
      <c r="N114" s="134">
        <v>218.77667639078001</v>
      </c>
      <c r="O114" s="134">
        <v>214.91729246684201</v>
      </c>
      <c r="P114" s="134">
        <v>217.32208660331</v>
      </c>
      <c r="Q114" s="134">
        <v>217.36865112311699</v>
      </c>
      <c r="R114" s="134">
        <v>217.91389939929999</v>
      </c>
      <c r="S114" s="134">
        <v>210.37041412182199</v>
      </c>
      <c r="T114" s="134">
        <v>202.809221240559</v>
      </c>
      <c r="U114" s="134">
        <v>195.57892375095699</v>
      </c>
      <c r="V114" s="134">
        <v>187.91763724099101</v>
      </c>
      <c r="W114" s="134">
        <v>179.43846791364101</v>
      </c>
      <c r="X114" s="134">
        <v>172.164111197208</v>
      </c>
      <c r="Y114" s="134">
        <v>164.70592721582599</v>
      </c>
      <c r="Z114" s="134">
        <v>98.681489565730004</v>
      </c>
      <c r="AA114" s="134">
        <v>96.093958854393605</v>
      </c>
      <c r="AB114" s="134">
        <v>87.483664438512605</v>
      </c>
      <c r="AC114" s="134">
        <v>89.388443367414595</v>
      </c>
      <c r="AD114" s="134">
        <v>106.69661786345399</v>
      </c>
      <c r="AE114" s="134">
        <v>113.59553211554</v>
      </c>
      <c r="AF114" s="134">
        <v>92.633586720158206</v>
      </c>
      <c r="AG114" s="134">
        <v>85.534597131828605</v>
      </c>
      <c r="AH114" s="519">
        <v>82.657364207106895</v>
      </c>
    </row>
    <row r="115" spans="1:34" s="514" customFormat="1" ht="15" customHeight="1">
      <c r="A115" s="535">
        <v>50</v>
      </c>
      <c r="B115" s="515" t="s">
        <v>8874</v>
      </c>
      <c r="C115" s="517" t="s">
        <v>9015</v>
      </c>
      <c r="D115" s="134">
        <v>3699.02012736286</v>
      </c>
      <c r="E115" s="134">
        <v>3742.32646939201</v>
      </c>
      <c r="F115" s="134">
        <v>3906.2070918976301</v>
      </c>
      <c r="G115" s="134">
        <v>3318.51678033691</v>
      </c>
      <c r="H115" s="134">
        <v>4123.1912495423203</v>
      </c>
      <c r="I115" s="134">
        <v>4925.05896258742</v>
      </c>
      <c r="J115" s="134">
        <v>4308.6136307373099</v>
      </c>
      <c r="K115" s="134">
        <v>4079.5512812586499</v>
      </c>
      <c r="L115" s="134">
        <v>4340.7219380910001</v>
      </c>
      <c r="M115" s="134">
        <v>4669.82752690693</v>
      </c>
      <c r="N115" s="134">
        <v>4332.4842208133005</v>
      </c>
      <c r="O115" s="134">
        <v>3966.7447275324798</v>
      </c>
      <c r="P115" s="134">
        <v>4101.8384125491903</v>
      </c>
      <c r="Q115" s="134">
        <v>3901.9301514260501</v>
      </c>
      <c r="R115" s="134">
        <v>3846.6575778778601</v>
      </c>
      <c r="S115" s="134">
        <v>3839.5288300869702</v>
      </c>
      <c r="T115" s="134">
        <v>3591.1627234746902</v>
      </c>
      <c r="U115" s="134">
        <v>3641.8849301799301</v>
      </c>
      <c r="V115" s="134">
        <v>3473.54038032477</v>
      </c>
      <c r="W115" s="134">
        <v>3316.48644070821</v>
      </c>
      <c r="X115" s="134">
        <v>3076.06766397201</v>
      </c>
      <c r="Y115" s="134">
        <v>2934.2948423733501</v>
      </c>
      <c r="Z115" s="134">
        <v>2695.55980650321</v>
      </c>
      <c r="AA115" s="134">
        <v>2497.38867957708</v>
      </c>
      <c r="AB115" s="134">
        <v>2580.35883165112</v>
      </c>
      <c r="AC115" s="134">
        <v>2198.6293694686901</v>
      </c>
      <c r="AD115" s="134">
        <v>2162.0514293342499</v>
      </c>
      <c r="AE115" s="134">
        <v>2111.5394374736402</v>
      </c>
      <c r="AF115" s="134">
        <v>2107.5889246749798</v>
      </c>
      <c r="AG115" s="134">
        <v>2141.5971516099899</v>
      </c>
      <c r="AH115" s="519">
        <v>1798.8156168745099</v>
      </c>
    </row>
    <row r="116" spans="1:34" s="514" customFormat="1" ht="15" customHeight="1">
      <c r="A116" s="535">
        <v>51</v>
      </c>
      <c r="B116" s="515" t="s">
        <v>8874</v>
      </c>
      <c r="C116" s="517" t="s">
        <v>9016</v>
      </c>
      <c r="D116" s="134">
        <v>1678.5772240839999</v>
      </c>
      <c r="E116" s="134">
        <v>1706.7345428436299</v>
      </c>
      <c r="F116" s="134">
        <v>1713.82444261919</v>
      </c>
      <c r="G116" s="134">
        <v>1687.8906292291399</v>
      </c>
      <c r="H116" s="134">
        <v>1600.3452489589999</v>
      </c>
      <c r="I116" s="134">
        <v>1694.38513738642</v>
      </c>
      <c r="J116" s="134">
        <v>1859.9467801875601</v>
      </c>
      <c r="K116" s="134">
        <v>1904.5428920301499</v>
      </c>
      <c r="L116" s="134">
        <v>2033.0264755041301</v>
      </c>
      <c r="M116" s="134">
        <v>2266.4796481972198</v>
      </c>
      <c r="N116" s="134">
        <v>2415.1373007114398</v>
      </c>
      <c r="O116" s="134">
        <v>2482.28554991077</v>
      </c>
      <c r="P116" s="134">
        <v>2464.8501719395899</v>
      </c>
      <c r="Q116" s="134">
        <v>2514.1432394015001</v>
      </c>
      <c r="R116" s="134">
        <v>2622.99648094853</v>
      </c>
      <c r="S116" s="134">
        <v>2867.6056674398601</v>
      </c>
      <c r="T116" s="134">
        <v>2760.4912570568499</v>
      </c>
      <c r="U116" s="134">
        <v>2658.8244952794098</v>
      </c>
      <c r="V116" s="134">
        <v>2562.35765461868</v>
      </c>
      <c r="W116" s="134">
        <v>2269.1645647056398</v>
      </c>
      <c r="X116" s="134">
        <v>2136.7286031881899</v>
      </c>
      <c r="Y116" s="134">
        <v>2075.3062389602201</v>
      </c>
      <c r="Z116" s="134">
        <v>1995.2637988354199</v>
      </c>
      <c r="AA116" s="134">
        <v>1991.3556426033699</v>
      </c>
      <c r="AB116" s="134">
        <v>1873.5621705946101</v>
      </c>
      <c r="AC116" s="134">
        <v>1893.9622186951999</v>
      </c>
      <c r="AD116" s="134">
        <v>1805.06144864873</v>
      </c>
      <c r="AE116" s="134">
        <v>1873.2964803146899</v>
      </c>
      <c r="AF116" s="134">
        <v>1740.2117774031899</v>
      </c>
      <c r="AG116" s="134">
        <v>1676.34711453353</v>
      </c>
      <c r="AH116" s="519">
        <v>714.17109028198604</v>
      </c>
    </row>
    <row r="117" spans="1:34" s="514" customFormat="1" ht="15" customHeight="1">
      <c r="A117" s="535">
        <v>52</v>
      </c>
      <c r="B117" s="515" t="s">
        <v>8874</v>
      </c>
      <c r="C117" s="517" t="s">
        <v>9017</v>
      </c>
      <c r="D117" s="134">
        <v>1394.22655506563</v>
      </c>
      <c r="E117" s="134">
        <v>1417.4408772648901</v>
      </c>
      <c r="F117" s="134">
        <v>1341.06102450915</v>
      </c>
      <c r="G117" s="134">
        <v>1386.1325672785499</v>
      </c>
      <c r="H117" s="134">
        <v>1346.5917660852199</v>
      </c>
      <c r="I117" s="134">
        <v>1344.3460392803499</v>
      </c>
      <c r="J117" s="134">
        <v>1338.4276480194401</v>
      </c>
      <c r="K117" s="134">
        <v>1235.0393973985299</v>
      </c>
      <c r="L117" s="134">
        <v>1234.07798209157</v>
      </c>
      <c r="M117" s="134">
        <v>1277.90228048941</v>
      </c>
      <c r="N117" s="134">
        <v>1326.1658942271499</v>
      </c>
      <c r="O117" s="134">
        <v>1255.3280770701499</v>
      </c>
      <c r="P117" s="134">
        <v>1217.1441507202301</v>
      </c>
      <c r="Q117" s="134">
        <v>1266.8284802558301</v>
      </c>
      <c r="R117" s="134">
        <v>1335.89853905876</v>
      </c>
      <c r="S117" s="134">
        <v>1431.7522730523001</v>
      </c>
      <c r="T117" s="134">
        <v>1560.68893728183</v>
      </c>
      <c r="U117" s="134">
        <v>1599.6488332721499</v>
      </c>
      <c r="V117" s="134">
        <v>1654.51096043554</v>
      </c>
      <c r="W117" s="134">
        <v>1529.49617279377</v>
      </c>
      <c r="X117" s="134">
        <v>1522.06010902815</v>
      </c>
      <c r="Y117" s="134">
        <v>1587.3098413093301</v>
      </c>
      <c r="Z117" s="134">
        <v>1644.56122930319</v>
      </c>
      <c r="AA117" s="134">
        <v>1669.4917096439999</v>
      </c>
      <c r="AB117" s="134">
        <v>1722.7966571873999</v>
      </c>
      <c r="AC117" s="134">
        <v>1726.97428426637</v>
      </c>
      <c r="AD117" s="134">
        <v>1789.1896305742</v>
      </c>
      <c r="AE117" s="134">
        <v>1808.29931361125</v>
      </c>
      <c r="AF117" s="134">
        <v>1785.28291793628</v>
      </c>
      <c r="AG117" s="134">
        <v>1744.8634268645301</v>
      </c>
      <c r="AH117" s="519">
        <v>1596.05205022519</v>
      </c>
    </row>
    <row r="118" spans="1:34" s="514" customFormat="1" ht="15" customHeight="1">
      <c r="A118" s="535">
        <v>53</v>
      </c>
      <c r="B118" s="515" t="s">
        <v>8874</v>
      </c>
      <c r="C118" s="517" t="s">
        <v>9018</v>
      </c>
      <c r="D118" s="134">
        <v>1137.2544964096501</v>
      </c>
      <c r="E118" s="134">
        <v>1164.5324420608299</v>
      </c>
      <c r="F118" s="134">
        <v>1161.9937529444401</v>
      </c>
      <c r="G118" s="134">
        <v>1185.9188579220499</v>
      </c>
      <c r="H118" s="134">
        <v>1228.07421658621</v>
      </c>
      <c r="I118" s="134">
        <v>1233.44338536593</v>
      </c>
      <c r="J118" s="134">
        <v>1260.00726607717</v>
      </c>
      <c r="K118" s="134">
        <v>1259.1704009154</v>
      </c>
      <c r="L118" s="134">
        <v>1270.0965754878</v>
      </c>
      <c r="M118" s="134">
        <v>1279.95990052615</v>
      </c>
      <c r="N118" s="134">
        <v>1273.34512291738</v>
      </c>
      <c r="O118" s="134">
        <v>1247.86445447291</v>
      </c>
      <c r="P118" s="134">
        <v>1226.07185725563</v>
      </c>
      <c r="Q118" s="134">
        <v>1247.46349127086</v>
      </c>
      <c r="R118" s="134">
        <v>1246.54183340342</v>
      </c>
      <c r="S118" s="134">
        <v>1341.99323774308</v>
      </c>
      <c r="T118" s="134">
        <v>1258.87765313303</v>
      </c>
      <c r="U118" s="134">
        <v>1285.2856226378201</v>
      </c>
      <c r="V118" s="134">
        <v>1436.88666581234</v>
      </c>
      <c r="W118" s="134">
        <v>1361.0248292673</v>
      </c>
      <c r="X118" s="134">
        <v>1532.9242378209301</v>
      </c>
      <c r="Y118" s="134">
        <v>1490.8271195981199</v>
      </c>
      <c r="Z118" s="134">
        <v>1505.1029064069801</v>
      </c>
      <c r="AA118" s="134">
        <v>1504.19790647544</v>
      </c>
      <c r="AB118" s="134">
        <v>1520.3511815509601</v>
      </c>
      <c r="AC118" s="134">
        <v>1587.6035547807901</v>
      </c>
      <c r="AD118" s="134">
        <v>1657.3405142372101</v>
      </c>
      <c r="AE118" s="134">
        <v>1663.7870168296599</v>
      </c>
      <c r="AF118" s="134">
        <v>1648.41857828907</v>
      </c>
      <c r="AG118" s="134">
        <v>1605.9957474279799</v>
      </c>
      <c r="AH118" s="519">
        <v>1467.94873855113</v>
      </c>
    </row>
    <row r="119" spans="1:34" s="514" customFormat="1" ht="15" customHeight="1">
      <c r="A119" s="535">
        <v>55</v>
      </c>
      <c r="B119" s="515" t="s">
        <v>8877</v>
      </c>
      <c r="C119" s="517" t="s">
        <v>9019</v>
      </c>
      <c r="D119" s="134">
        <v>892.760705147267</v>
      </c>
      <c r="E119" s="134">
        <v>1037.7176708893601</v>
      </c>
      <c r="F119" s="134">
        <v>955.36458661176698</v>
      </c>
      <c r="G119" s="134">
        <v>1021.54933792756</v>
      </c>
      <c r="H119" s="134">
        <v>1014.4855109563</v>
      </c>
      <c r="I119" s="134">
        <v>1048.5959911765999</v>
      </c>
      <c r="J119" s="134">
        <v>1110.5975319241099</v>
      </c>
      <c r="K119" s="134">
        <v>985.370446744074</v>
      </c>
      <c r="L119" s="134">
        <v>1058.76004359071</v>
      </c>
      <c r="M119" s="134">
        <v>1114.40706718469</v>
      </c>
      <c r="N119" s="134">
        <v>1130.07077781831</v>
      </c>
      <c r="O119" s="134">
        <v>1131.86845017276</v>
      </c>
      <c r="P119" s="134">
        <v>965.93805136514197</v>
      </c>
      <c r="Q119" s="134">
        <v>1028.16137648017</v>
      </c>
      <c r="R119" s="134">
        <v>996.05536143646702</v>
      </c>
      <c r="S119" s="134">
        <v>985.91914177167803</v>
      </c>
      <c r="T119" s="134">
        <v>908.15719098636998</v>
      </c>
      <c r="U119" s="134">
        <v>871.89449044965204</v>
      </c>
      <c r="V119" s="134">
        <v>1064.6935019033599</v>
      </c>
      <c r="W119" s="134">
        <v>862.71472153800403</v>
      </c>
      <c r="X119" s="134">
        <v>923.35270658697402</v>
      </c>
      <c r="Y119" s="134">
        <v>821.959092196695</v>
      </c>
      <c r="Z119" s="134">
        <v>927.79888997153103</v>
      </c>
      <c r="AA119" s="134">
        <v>948.84469896391499</v>
      </c>
      <c r="AB119" s="134">
        <v>828.40137488703499</v>
      </c>
      <c r="AC119" s="134">
        <v>908.93888966773295</v>
      </c>
      <c r="AD119" s="134">
        <v>930.40422750409004</v>
      </c>
      <c r="AE119" s="134">
        <v>921.71713109546101</v>
      </c>
      <c r="AF119" s="134">
        <v>911.15943150468297</v>
      </c>
      <c r="AG119" s="134">
        <v>927.98419745165302</v>
      </c>
      <c r="AH119" s="519">
        <v>742.11755748315102</v>
      </c>
    </row>
    <row r="120" spans="1:34" s="514" customFormat="1" ht="15" customHeight="1">
      <c r="A120" s="535">
        <v>56</v>
      </c>
      <c r="B120" s="515" t="s">
        <v>8877</v>
      </c>
      <c r="C120" s="517" t="s">
        <v>9020</v>
      </c>
      <c r="D120" s="134">
        <v>2074.5213652226998</v>
      </c>
      <c r="E120" s="134">
        <v>2362.7055555690199</v>
      </c>
      <c r="F120" s="134">
        <v>2167.7273563783101</v>
      </c>
      <c r="G120" s="134">
        <v>2306.7707574986798</v>
      </c>
      <c r="H120" s="134">
        <v>2301.3084806391698</v>
      </c>
      <c r="I120" s="134">
        <v>2371.6161234077299</v>
      </c>
      <c r="J120" s="134">
        <v>2494.82798650425</v>
      </c>
      <c r="K120" s="134">
        <v>2232.35095823647</v>
      </c>
      <c r="L120" s="134">
        <v>2395.7072105447801</v>
      </c>
      <c r="M120" s="134">
        <v>2517.9537898926101</v>
      </c>
      <c r="N120" s="134">
        <v>2577.1938080907198</v>
      </c>
      <c r="O120" s="134">
        <v>2610.4771356590099</v>
      </c>
      <c r="P120" s="134">
        <v>2263.0387207014301</v>
      </c>
      <c r="Q120" s="134">
        <v>2437.4255356592498</v>
      </c>
      <c r="R120" s="134">
        <v>2410.7632043890799</v>
      </c>
      <c r="S120" s="134">
        <v>2466.7212304357799</v>
      </c>
      <c r="T120" s="134">
        <v>2332.9525635805298</v>
      </c>
      <c r="U120" s="134">
        <v>2319.2430348937801</v>
      </c>
      <c r="V120" s="134">
        <v>2852.3695273891399</v>
      </c>
      <c r="W120" s="134">
        <v>2399.2143644790399</v>
      </c>
      <c r="X120" s="134">
        <v>2583.64873700404</v>
      </c>
      <c r="Y120" s="134">
        <v>2363.7991112356099</v>
      </c>
      <c r="Z120" s="134">
        <v>2649.3622526151098</v>
      </c>
      <c r="AA120" s="134">
        <v>2711.7193028801998</v>
      </c>
      <c r="AB120" s="134">
        <v>2425.1734798566199</v>
      </c>
      <c r="AC120" s="134">
        <v>2688.07566941</v>
      </c>
      <c r="AD120" s="134">
        <v>2748.0533168841398</v>
      </c>
      <c r="AE120" s="134">
        <v>2727.4639625714699</v>
      </c>
      <c r="AF120" s="134">
        <v>2683.41572242147</v>
      </c>
      <c r="AG120" s="134">
        <v>2703.0748395880801</v>
      </c>
      <c r="AH120" s="519">
        <v>2400.6651622618201</v>
      </c>
    </row>
    <row r="121" spans="1:34" s="514" customFormat="1" ht="15" customHeight="1">
      <c r="A121" s="535">
        <v>58</v>
      </c>
      <c r="B121" s="515" t="s">
        <v>8880</v>
      </c>
      <c r="C121" s="517" t="s">
        <v>9021</v>
      </c>
      <c r="D121" s="134">
        <v>161.305639086996</v>
      </c>
      <c r="E121" s="134">
        <v>184.272406976578</v>
      </c>
      <c r="F121" s="134">
        <v>169.513802715612</v>
      </c>
      <c r="G121" s="134">
        <v>177.689678160092</v>
      </c>
      <c r="H121" s="134">
        <v>175.00642051302401</v>
      </c>
      <c r="I121" s="134">
        <v>177.56146772581201</v>
      </c>
      <c r="J121" s="134">
        <v>185.554837839188</v>
      </c>
      <c r="K121" s="134">
        <v>163.668211792189</v>
      </c>
      <c r="L121" s="134">
        <v>170.60696461925701</v>
      </c>
      <c r="M121" s="134">
        <v>174.31390605905401</v>
      </c>
      <c r="N121" s="134">
        <v>169.709363171051</v>
      </c>
      <c r="O121" s="134">
        <v>164.05005279086799</v>
      </c>
      <c r="P121" s="134">
        <v>136.98764886228599</v>
      </c>
      <c r="Q121" s="134">
        <v>138.26945633575701</v>
      </c>
      <c r="R121" s="134">
        <v>127.424511773082</v>
      </c>
      <c r="S121" s="134">
        <v>118.736584405268</v>
      </c>
      <c r="T121" s="134">
        <v>104.89134490573601</v>
      </c>
      <c r="U121" s="134">
        <v>95.2015530066558</v>
      </c>
      <c r="V121" s="134">
        <v>102.14903395731901</v>
      </c>
      <c r="W121" s="134">
        <v>81.128909103528599</v>
      </c>
      <c r="X121" s="134">
        <v>79.821023972219706</v>
      </c>
      <c r="Y121" s="134">
        <v>68.936147836188397</v>
      </c>
      <c r="Z121" s="134">
        <v>71.841355247726199</v>
      </c>
      <c r="AA121" s="134">
        <v>67.871136823640697</v>
      </c>
      <c r="AB121" s="134">
        <v>60.039856382280703</v>
      </c>
      <c r="AC121" s="134">
        <v>60.6974975344393</v>
      </c>
      <c r="AD121" s="134">
        <v>60.131724931797002</v>
      </c>
      <c r="AE121" s="134">
        <v>57.296774692635204</v>
      </c>
      <c r="AF121" s="134">
        <v>55.214423654241898</v>
      </c>
      <c r="AG121" s="134">
        <v>54.566050592303299</v>
      </c>
      <c r="AH121" s="519">
        <v>45.504703674753202</v>
      </c>
    </row>
    <row r="122" spans="1:34" s="514" customFormat="1" ht="15" customHeight="1">
      <c r="A122" s="535">
        <v>59</v>
      </c>
      <c r="B122" s="515" t="s">
        <v>8880</v>
      </c>
      <c r="C122" s="517" t="s">
        <v>9022</v>
      </c>
      <c r="D122" s="134">
        <v>101.747726650055</v>
      </c>
      <c r="E122" s="134">
        <v>116.996571853025</v>
      </c>
      <c r="F122" s="134">
        <v>111.056606200563</v>
      </c>
      <c r="G122" s="134">
        <v>119.366839307056</v>
      </c>
      <c r="H122" s="134">
        <v>121.75609792714</v>
      </c>
      <c r="I122" s="134">
        <v>128.12406053184</v>
      </c>
      <c r="J122" s="134">
        <v>136.76343931945499</v>
      </c>
      <c r="K122" s="134">
        <v>126.030378514425</v>
      </c>
      <c r="L122" s="134">
        <v>135.92629890245101</v>
      </c>
      <c r="M122" s="134">
        <v>147.21109614662299</v>
      </c>
      <c r="N122" s="134">
        <v>152.35630651255099</v>
      </c>
      <c r="O122" s="134">
        <v>154.654369326384</v>
      </c>
      <c r="P122" s="134">
        <v>138.475554884996</v>
      </c>
      <c r="Q122" s="134">
        <v>149.071153407742</v>
      </c>
      <c r="R122" s="134">
        <v>148.02457382653401</v>
      </c>
      <c r="S122" s="134">
        <v>149.47538036568301</v>
      </c>
      <c r="T122" s="134">
        <v>142.32366060024199</v>
      </c>
      <c r="U122" s="134">
        <v>142.42194944120499</v>
      </c>
      <c r="V122" s="134">
        <v>167.31004409435201</v>
      </c>
      <c r="W122" s="134">
        <v>139.96213421546901</v>
      </c>
      <c r="X122" s="134">
        <v>148.09796172745899</v>
      </c>
      <c r="Y122" s="134">
        <v>138.98077703628601</v>
      </c>
      <c r="Z122" s="134">
        <v>149.66589210808499</v>
      </c>
      <c r="AA122" s="134">
        <v>145.29612998258699</v>
      </c>
      <c r="AB122" s="134">
        <v>133.75341389101101</v>
      </c>
      <c r="AC122" s="134">
        <v>138.23283062691701</v>
      </c>
      <c r="AD122" s="134">
        <v>141.52099288418</v>
      </c>
      <c r="AE122" s="134">
        <v>134.698958128898</v>
      </c>
      <c r="AF122" s="134">
        <v>127.22222563426701</v>
      </c>
      <c r="AG122" s="134">
        <v>128.20454725103701</v>
      </c>
      <c r="AH122" s="519">
        <v>124.18044550507901</v>
      </c>
    </row>
    <row r="123" spans="1:34" s="514" customFormat="1" ht="15" customHeight="1">
      <c r="A123" s="535">
        <v>60</v>
      </c>
      <c r="B123" s="515" t="s">
        <v>8880</v>
      </c>
      <c r="C123" s="517" t="s">
        <v>9023</v>
      </c>
      <c r="D123" s="134">
        <v>22.0328384470067</v>
      </c>
      <c r="E123" s="134">
        <v>24.938252682171601</v>
      </c>
      <c r="F123" s="134">
        <v>23.651130845129298</v>
      </c>
      <c r="G123" s="134">
        <v>25.268759098651699</v>
      </c>
      <c r="H123" s="134">
        <v>25.679316232020401</v>
      </c>
      <c r="I123" s="134">
        <v>26.772013856987201</v>
      </c>
      <c r="J123" s="134">
        <v>28.053951487627501</v>
      </c>
      <c r="K123" s="134">
        <v>25.580584607868399</v>
      </c>
      <c r="L123" s="134">
        <v>26.999734650629399</v>
      </c>
      <c r="M123" s="134">
        <v>28.682232388033199</v>
      </c>
      <c r="N123" s="134">
        <v>28.931414174860102</v>
      </c>
      <c r="O123" s="134">
        <v>28.6896573608024</v>
      </c>
      <c r="P123" s="134">
        <v>24.8667801965506</v>
      </c>
      <c r="Q123" s="134">
        <v>25.633181409916901</v>
      </c>
      <c r="R123" s="134">
        <v>24.368195092084601</v>
      </c>
      <c r="S123" s="134">
        <v>23.259239401817801</v>
      </c>
      <c r="T123" s="134">
        <v>20.939358246188799</v>
      </c>
      <c r="U123" s="134">
        <v>19.680290891718201</v>
      </c>
      <c r="V123" s="134">
        <v>21.433682783706001</v>
      </c>
      <c r="W123" s="134">
        <v>16.5697289558968</v>
      </c>
      <c r="X123" s="134">
        <v>16.699622289134702</v>
      </c>
      <c r="Y123" s="134">
        <v>14.836715430425601</v>
      </c>
      <c r="Z123" s="134">
        <v>16.1478381904864</v>
      </c>
      <c r="AA123" s="134">
        <v>15.3980656536458</v>
      </c>
      <c r="AB123" s="134">
        <v>13.680757068573</v>
      </c>
      <c r="AC123" s="134">
        <v>13.6156605927944</v>
      </c>
      <c r="AD123" s="134">
        <v>13.890142610497399</v>
      </c>
      <c r="AE123" s="134">
        <v>12.876429746829301</v>
      </c>
      <c r="AF123" s="134">
        <v>12.3939369173019</v>
      </c>
      <c r="AG123" s="134">
        <v>12.0989339495233</v>
      </c>
      <c r="AH123" s="519">
        <v>11.0482990347701</v>
      </c>
    </row>
    <row r="124" spans="1:34" s="514" customFormat="1" ht="15" customHeight="1">
      <c r="A124" s="535">
        <v>61</v>
      </c>
      <c r="B124" s="515" t="s">
        <v>8880</v>
      </c>
      <c r="C124" s="517" t="s">
        <v>9024</v>
      </c>
      <c r="D124" s="134">
        <v>521.78494944597901</v>
      </c>
      <c r="E124" s="134">
        <v>537.22212403042795</v>
      </c>
      <c r="F124" s="134">
        <v>528.23577998481301</v>
      </c>
      <c r="G124" s="134">
        <v>539.85651690148302</v>
      </c>
      <c r="H124" s="134">
        <v>560.02697111471002</v>
      </c>
      <c r="I124" s="134">
        <v>569.88099368578298</v>
      </c>
      <c r="J124" s="134">
        <v>553.55463870255403</v>
      </c>
      <c r="K124" s="134">
        <v>532.9313492215</v>
      </c>
      <c r="L124" s="134">
        <v>525.40609843000698</v>
      </c>
      <c r="M124" s="134">
        <v>537.13036367900497</v>
      </c>
      <c r="N124" s="134">
        <v>529.31586581476802</v>
      </c>
      <c r="O124" s="134">
        <v>486.87792389491801</v>
      </c>
      <c r="P124" s="134">
        <v>447.29835937871502</v>
      </c>
      <c r="Q124" s="134">
        <v>437.49661451505199</v>
      </c>
      <c r="R124" s="134">
        <v>416.722377387991</v>
      </c>
      <c r="S124" s="134">
        <v>416.306860915556</v>
      </c>
      <c r="T124" s="134">
        <v>390.90202219530801</v>
      </c>
      <c r="U124" s="134">
        <v>390.18918434005201</v>
      </c>
      <c r="V124" s="134">
        <v>407.97954485445098</v>
      </c>
      <c r="W124" s="134">
        <v>358.51886861951499</v>
      </c>
      <c r="X124" s="134">
        <v>368.47715072659599</v>
      </c>
      <c r="Y124" s="134">
        <v>355.18724306904602</v>
      </c>
      <c r="Z124" s="134">
        <v>354.45337877540999</v>
      </c>
      <c r="AA124" s="134">
        <v>332.64181583980599</v>
      </c>
      <c r="AB124" s="134">
        <v>321.727000681866</v>
      </c>
      <c r="AC124" s="134">
        <v>324.327985390192</v>
      </c>
      <c r="AD124" s="134">
        <v>330.92390464170199</v>
      </c>
      <c r="AE124" s="134">
        <v>312.81677516479601</v>
      </c>
      <c r="AF124" s="134">
        <v>291.64581413765001</v>
      </c>
      <c r="AG124" s="134">
        <v>288.18088103218702</v>
      </c>
      <c r="AH124" s="519">
        <v>230.04549427529801</v>
      </c>
    </row>
    <row r="125" spans="1:34" s="514" customFormat="1" ht="15" customHeight="1">
      <c r="A125" s="535">
        <v>62</v>
      </c>
      <c r="B125" s="515" t="s">
        <v>8880</v>
      </c>
      <c r="C125" s="517" t="s">
        <v>9025</v>
      </c>
      <c r="D125" s="134">
        <v>267.78752034212602</v>
      </c>
      <c r="E125" s="134">
        <v>286.78661301619297</v>
      </c>
      <c r="F125" s="134">
        <v>286.444333388247</v>
      </c>
      <c r="G125" s="134">
        <v>304.372032684087</v>
      </c>
      <c r="H125" s="134">
        <v>324.72535131505998</v>
      </c>
      <c r="I125" s="134">
        <v>342.26985422054503</v>
      </c>
      <c r="J125" s="134">
        <v>347.50080070827897</v>
      </c>
      <c r="K125" s="134">
        <v>341.53538478682998</v>
      </c>
      <c r="L125" s="134">
        <v>355.36508234747203</v>
      </c>
      <c r="M125" s="134">
        <v>378.651383115957</v>
      </c>
      <c r="N125" s="134">
        <v>390.60895999874401</v>
      </c>
      <c r="O125" s="134">
        <v>382.77534290326599</v>
      </c>
      <c r="P125" s="134">
        <v>357.73322951965901</v>
      </c>
      <c r="Q125" s="134">
        <v>369.39346828253298</v>
      </c>
      <c r="R125" s="134">
        <v>366.539377706864</v>
      </c>
      <c r="S125" s="134">
        <v>370.75171018862898</v>
      </c>
      <c r="T125" s="134">
        <v>361.623011853305</v>
      </c>
      <c r="U125" s="134">
        <v>365.79624349219398</v>
      </c>
      <c r="V125" s="134">
        <v>387.81119895079399</v>
      </c>
      <c r="W125" s="134">
        <v>333.29460047093397</v>
      </c>
      <c r="X125" s="134">
        <v>339.523322230514</v>
      </c>
      <c r="Y125" s="134">
        <v>327.69251185285401</v>
      </c>
      <c r="Z125" s="134">
        <v>333.39033966394499</v>
      </c>
      <c r="AA125" s="134">
        <v>318.77054943805302</v>
      </c>
      <c r="AB125" s="134">
        <v>306.24546782871403</v>
      </c>
      <c r="AC125" s="134">
        <v>307.75186374645102</v>
      </c>
      <c r="AD125" s="134">
        <v>317.54749535672602</v>
      </c>
      <c r="AE125" s="134">
        <v>305.22511563213499</v>
      </c>
      <c r="AF125" s="134">
        <v>287.307697579234</v>
      </c>
      <c r="AG125" s="134">
        <v>285.61247903358799</v>
      </c>
      <c r="AH125" s="519">
        <v>248.89692860477899</v>
      </c>
    </row>
    <row r="126" spans="1:34" s="514" customFormat="1" ht="15" customHeight="1">
      <c r="A126" s="535">
        <v>63</v>
      </c>
      <c r="B126" s="515" t="s">
        <v>8880</v>
      </c>
      <c r="C126" s="517" t="s">
        <v>9026</v>
      </c>
      <c r="D126" s="134">
        <v>25.725027141890202</v>
      </c>
      <c r="E126" s="134">
        <v>27.948607238089402</v>
      </c>
      <c r="F126" s="134">
        <v>27.341470945995699</v>
      </c>
      <c r="G126" s="134">
        <v>29.817169486288599</v>
      </c>
      <c r="H126" s="134">
        <v>29.497131472667899</v>
      </c>
      <c r="I126" s="134">
        <v>29.8508121930188</v>
      </c>
      <c r="J126" s="134">
        <v>31.674283148902401</v>
      </c>
      <c r="K126" s="134">
        <v>29.1307350657281</v>
      </c>
      <c r="L126" s="134">
        <v>30.891445373854701</v>
      </c>
      <c r="M126" s="134">
        <v>32.557775027529303</v>
      </c>
      <c r="N126" s="134">
        <v>33.564839181470496</v>
      </c>
      <c r="O126" s="134">
        <v>34.282808238000001</v>
      </c>
      <c r="P126" s="134">
        <v>30.316990864932201</v>
      </c>
      <c r="Q126" s="134">
        <v>32.320204153184903</v>
      </c>
      <c r="R126" s="134">
        <v>32.266752099079397</v>
      </c>
      <c r="S126" s="134">
        <v>33.001673791525398</v>
      </c>
      <c r="T126" s="134">
        <v>32.289594254566701</v>
      </c>
      <c r="U126" s="134">
        <v>32.255335959797698</v>
      </c>
      <c r="V126" s="134">
        <v>37.6197362204014</v>
      </c>
      <c r="W126" s="134">
        <v>31.148803667717601</v>
      </c>
      <c r="X126" s="134">
        <v>33.1038507182515</v>
      </c>
      <c r="Y126" s="134">
        <v>30.440632422954302</v>
      </c>
      <c r="Z126" s="134">
        <v>33.339800892443101</v>
      </c>
      <c r="AA126" s="134">
        <v>33.080021013093599</v>
      </c>
      <c r="AB126" s="134">
        <v>30.4302298470746</v>
      </c>
      <c r="AC126" s="134">
        <v>31.7708620375025</v>
      </c>
      <c r="AD126" s="134">
        <v>31.4598935321327</v>
      </c>
      <c r="AE126" s="134">
        <v>30.832363608424</v>
      </c>
      <c r="AF126" s="134">
        <v>30.019555758933901</v>
      </c>
      <c r="AG126" s="134">
        <v>29.993721185417598</v>
      </c>
      <c r="AH126" s="519">
        <v>26.671559741044799</v>
      </c>
    </row>
    <row r="127" spans="1:34" s="514" customFormat="1" ht="15" customHeight="1">
      <c r="A127" s="535">
        <v>64</v>
      </c>
      <c r="B127" s="515" t="s">
        <v>8883</v>
      </c>
      <c r="C127" s="517" t="s">
        <v>9027</v>
      </c>
      <c r="D127" s="134">
        <v>144.49873207591401</v>
      </c>
      <c r="E127" s="134">
        <v>152.884441567767</v>
      </c>
      <c r="F127" s="134">
        <v>136.571465000004</v>
      </c>
      <c r="G127" s="134">
        <v>142.242511452624</v>
      </c>
      <c r="H127" s="134">
        <v>133.07066002402499</v>
      </c>
      <c r="I127" s="134">
        <v>129.85760922865001</v>
      </c>
      <c r="J127" s="134">
        <v>126.87331768256701</v>
      </c>
      <c r="K127" s="134">
        <v>103.486908230512</v>
      </c>
      <c r="L127" s="134">
        <v>101.507976961512</v>
      </c>
      <c r="M127" s="134">
        <v>101.862649945589</v>
      </c>
      <c r="N127" s="134">
        <v>97.793092050756201</v>
      </c>
      <c r="O127" s="134">
        <v>102.942684507884</v>
      </c>
      <c r="P127" s="134">
        <v>86.153201762026995</v>
      </c>
      <c r="Q127" s="134">
        <v>91.733749316365405</v>
      </c>
      <c r="R127" s="134">
        <v>89.946880714921505</v>
      </c>
      <c r="S127" s="134">
        <v>91.000173732274405</v>
      </c>
      <c r="T127" s="134">
        <v>87.917880185000399</v>
      </c>
      <c r="U127" s="134">
        <v>88.243807840448596</v>
      </c>
      <c r="V127" s="134">
        <v>99.623335117927596</v>
      </c>
      <c r="W127" s="134">
        <v>85.333548973084902</v>
      </c>
      <c r="X127" s="134">
        <v>87.858974151714605</v>
      </c>
      <c r="Y127" s="134">
        <v>84.434545270776496</v>
      </c>
      <c r="Z127" s="134">
        <v>88.386998662562902</v>
      </c>
      <c r="AA127" s="134">
        <v>88.4443500905832</v>
      </c>
      <c r="AB127" s="134">
        <v>81.667672618535704</v>
      </c>
      <c r="AC127" s="134">
        <v>80.006948446307007</v>
      </c>
      <c r="AD127" s="134">
        <v>78.608628166887399</v>
      </c>
      <c r="AE127" s="134">
        <v>75.244701552156599</v>
      </c>
      <c r="AF127" s="134">
        <v>72.441459449067807</v>
      </c>
      <c r="AG127" s="134">
        <v>71.486530460640793</v>
      </c>
      <c r="AH127" s="519">
        <v>62.783008704926601</v>
      </c>
    </row>
    <row r="128" spans="1:34" s="514" customFormat="1" ht="15" customHeight="1">
      <c r="A128" s="515" t="s">
        <v>9028</v>
      </c>
      <c r="B128" s="515" t="s">
        <v>8883</v>
      </c>
      <c r="C128" s="517" t="s">
        <v>9029</v>
      </c>
      <c r="D128" s="134">
        <v>26.556294343504302</v>
      </c>
      <c r="E128" s="134">
        <v>30.444362246034</v>
      </c>
      <c r="F128" s="134">
        <v>28.9943838553502</v>
      </c>
      <c r="G128" s="134">
        <v>30.740964708672099</v>
      </c>
      <c r="H128" s="134">
        <v>31.3905038308801</v>
      </c>
      <c r="I128" s="134">
        <v>32.774211336832302</v>
      </c>
      <c r="J128" s="134">
        <v>34.179580279544702</v>
      </c>
      <c r="K128" s="134">
        <v>31.552057891770001</v>
      </c>
      <c r="L128" s="134">
        <v>33.511317090841501</v>
      </c>
      <c r="M128" s="134">
        <v>35.708196420548703</v>
      </c>
      <c r="N128" s="134">
        <v>36.533498087058803</v>
      </c>
      <c r="O128" s="134">
        <v>36.363748452415997</v>
      </c>
      <c r="P128" s="134">
        <v>33.168098816372698</v>
      </c>
      <c r="Q128" s="134">
        <v>35.672297711628403</v>
      </c>
      <c r="R128" s="134">
        <v>34.654625542511802</v>
      </c>
      <c r="S128" s="134">
        <v>34.006603104925503</v>
      </c>
      <c r="T128" s="134">
        <v>32.636348566359203</v>
      </c>
      <c r="U128" s="134">
        <v>32.391870560934102</v>
      </c>
      <c r="V128" s="134">
        <v>36.550344128121701</v>
      </c>
      <c r="W128" s="134">
        <v>30.1720182998932</v>
      </c>
      <c r="X128" s="134">
        <v>32.290246409982203</v>
      </c>
      <c r="Y128" s="134">
        <v>30.106223800145699</v>
      </c>
      <c r="Z128" s="134">
        <v>32.464261892107899</v>
      </c>
      <c r="AA128" s="134">
        <v>32.2138210181094</v>
      </c>
      <c r="AB128" s="134">
        <v>29.038025363999701</v>
      </c>
      <c r="AC128" s="134">
        <v>30.0019536914936</v>
      </c>
      <c r="AD128" s="134">
        <v>30.691647226512199</v>
      </c>
      <c r="AE128" s="134">
        <v>29.194310544691898</v>
      </c>
      <c r="AF128" s="134">
        <v>29.3626109405627</v>
      </c>
      <c r="AG128" s="134">
        <v>29.5357314589778</v>
      </c>
      <c r="AH128" s="519">
        <v>27.751050411840701</v>
      </c>
    </row>
    <row r="129" spans="1:34" s="514" customFormat="1" ht="15" customHeight="1">
      <c r="A129" s="535">
        <v>65.3</v>
      </c>
      <c r="B129" s="515" t="s">
        <v>8883</v>
      </c>
      <c r="C129" s="517" t="s">
        <v>9030</v>
      </c>
      <c r="D129" s="134">
        <v>0.31693817581677403</v>
      </c>
      <c r="E129" s="134">
        <v>0.36005409647756598</v>
      </c>
      <c r="F129" s="134">
        <v>0.35336407106662698</v>
      </c>
      <c r="G129" s="134">
        <v>0.38455759118162902</v>
      </c>
      <c r="H129" s="134">
        <v>0.61715416720160299</v>
      </c>
      <c r="I129" s="134">
        <v>0.86545903675172298</v>
      </c>
      <c r="J129" s="134">
        <v>1.1907064894393</v>
      </c>
      <c r="K129" s="134">
        <v>1.4070010854485699</v>
      </c>
      <c r="L129" s="134">
        <v>1.0080381794080699</v>
      </c>
      <c r="M129" s="134">
        <v>0.79031470012820204</v>
      </c>
      <c r="N129" s="134">
        <v>0.80840444563079805</v>
      </c>
      <c r="O129" s="134">
        <v>0.82101265330343198</v>
      </c>
      <c r="P129" s="134">
        <v>0.76365256410737103</v>
      </c>
      <c r="Q129" s="134">
        <v>0.84348529150703999</v>
      </c>
      <c r="R129" s="134">
        <v>0.83647018948206397</v>
      </c>
      <c r="S129" s="134">
        <v>0.82195108129163197</v>
      </c>
      <c r="T129" s="134">
        <v>0.80114182668600198</v>
      </c>
      <c r="U129" s="134">
        <v>0.81262069624602096</v>
      </c>
      <c r="V129" s="134">
        <v>0.93626926952662304</v>
      </c>
      <c r="W129" s="134">
        <v>0.80104958605599597</v>
      </c>
      <c r="X129" s="134">
        <v>0.84307292515374799</v>
      </c>
      <c r="Y129" s="134">
        <v>0.80782724683568796</v>
      </c>
      <c r="Z129" s="134">
        <v>0.864643270664185</v>
      </c>
      <c r="AA129" s="134">
        <v>0.86789944003897201</v>
      </c>
      <c r="AB129" s="134">
        <v>0.79431327641719196</v>
      </c>
      <c r="AC129" s="134">
        <v>0.79231806868856602</v>
      </c>
      <c r="AD129" s="134">
        <v>0.78508317797882698</v>
      </c>
      <c r="AE129" s="134">
        <v>0.75390694398776203</v>
      </c>
      <c r="AF129" s="134">
        <v>0.72639464370465301</v>
      </c>
      <c r="AG129" s="134">
        <v>0.71991325477076296</v>
      </c>
      <c r="AH129" s="519">
        <v>0.64268964697999298</v>
      </c>
    </row>
    <row r="130" spans="1:34" s="514" customFormat="1" ht="15" customHeight="1">
      <c r="A130" s="535">
        <v>66</v>
      </c>
      <c r="B130" s="515" t="s">
        <v>8883</v>
      </c>
      <c r="C130" s="517" t="s">
        <v>9031</v>
      </c>
      <c r="D130" s="134">
        <v>161.103405301126</v>
      </c>
      <c r="E130" s="134">
        <v>180.69641774050999</v>
      </c>
      <c r="F130" s="134">
        <v>173.894142167192</v>
      </c>
      <c r="G130" s="134">
        <v>183.07266935872599</v>
      </c>
      <c r="H130" s="134">
        <v>188.09502892160299</v>
      </c>
      <c r="I130" s="134">
        <v>195.78335455362799</v>
      </c>
      <c r="J130" s="134">
        <v>201.284568909976</v>
      </c>
      <c r="K130" s="134">
        <v>187.623299379082</v>
      </c>
      <c r="L130" s="134">
        <v>196.320988237878</v>
      </c>
      <c r="M130" s="134">
        <v>207.89941395065901</v>
      </c>
      <c r="N130" s="134">
        <v>210.719915324895</v>
      </c>
      <c r="O130" s="134">
        <v>203.85389875794701</v>
      </c>
      <c r="P130" s="134">
        <v>182.08202896422799</v>
      </c>
      <c r="Q130" s="134">
        <v>189.53289230201099</v>
      </c>
      <c r="R130" s="134">
        <v>183.615048557443</v>
      </c>
      <c r="S130" s="134">
        <v>177.67514625333399</v>
      </c>
      <c r="T130" s="134">
        <v>166.50853279643599</v>
      </c>
      <c r="U130" s="134">
        <v>167.83649045013499</v>
      </c>
      <c r="V130" s="134">
        <v>190.487162261132</v>
      </c>
      <c r="W130" s="134">
        <v>161.777677708043</v>
      </c>
      <c r="X130" s="134">
        <v>169.546927489843</v>
      </c>
      <c r="Y130" s="134">
        <v>160.47020827642299</v>
      </c>
      <c r="Z130" s="134">
        <v>173.432079827217</v>
      </c>
      <c r="AA130" s="134">
        <v>168.49523700661899</v>
      </c>
      <c r="AB130" s="134">
        <v>155.22365904220001</v>
      </c>
      <c r="AC130" s="134">
        <v>159.34377776155199</v>
      </c>
      <c r="AD130" s="134">
        <v>164.13307472891299</v>
      </c>
      <c r="AE130" s="134">
        <v>158.164547129786</v>
      </c>
      <c r="AF130" s="134">
        <v>149.95623823272101</v>
      </c>
      <c r="AG130" s="134">
        <v>152.424770968183</v>
      </c>
      <c r="AH130" s="519">
        <v>136.95939919515499</v>
      </c>
    </row>
    <row r="131" spans="1:34" s="514" customFormat="1" ht="15" customHeight="1">
      <c r="A131" s="515" t="s">
        <v>9032</v>
      </c>
      <c r="B131" s="515" t="s">
        <v>8886</v>
      </c>
      <c r="C131" s="517" t="s">
        <v>9033</v>
      </c>
      <c r="D131" s="134">
        <v>422.84234721128001</v>
      </c>
      <c r="E131" s="134">
        <v>489.86902070003202</v>
      </c>
      <c r="F131" s="134">
        <v>465.18876844218897</v>
      </c>
      <c r="G131" s="134">
        <v>497.08057118411199</v>
      </c>
      <c r="H131" s="134">
        <v>508.025172118228</v>
      </c>
      <c r="I131" s="134">
        <v>532.575774688558</v>
      </c>
      <c r="J131" s="134">
        <v>566.23727041822099</v>
      </c>
      <c r="K131" s="134">
        <v>523.13854112596198</v>
      </c>
      <c r="L131" s="134">
        <v>567.73771523512096</v>
      </c>
      <c r="M131" s="134">
        <v>611.18981681341597</v>
      </c>
      <c r="N131" s="134">
        <v>629.52791430179502</v>
      </c>
      <c r="O131" s="134">
        <v>635.22778390782696</v>
      </c>
      <c r="P131" s="134">
        <v>567.85742668394698</v>
      </c>
      <c r="Q131" s="134">
        <v>616.94304882934398</v>
      </c>
      <c r="R131" s="134">
        <v>614.97175666845101</v>
      </c>
      <c r="S131" s="134">
        <v>625.51726465357297</v>
      </c>
      <c r="T131" s="134">
        <v>600.92221545123596</v>
      </c>
      <c r="U131" s="134">
        <v>594.36597985914602</v>
      </c>
      <c r="V131" s="134">
        <v>728.57527434815597</v>
      </c>
      <c r="W131" s="134">
        <v>614.55017800432199</v>
      </c>
      <c r="X131" s="134">
        <v>663.28650927998603</v>
      </c>
      <c r="Y131" s="134">
        <v>605.80988976289802</v>
      </c>
      <c r="Z131" s="134">
        <v>681.36200218035106</v>
      </c>
      <c r="AA131" s="134">
        <v>696.65150660718302</v>
      </c>
      <c r="AB131" s="134">
        <v>620.70911332580204</v>
      </c>
      <c r="AC131" s="134">
        <v>660.90379861970496</v>
      </c>
      <c r="AD131" s="134">
        <v>679.72605955728102</v>
      </c>
      <c r="AE131" s="134">
        <v>666.81626280541798</v>
      </c>
      <c r="AF131" s="134">
        <v>653.48367389305497</v>
      </c>
      <c r="AG131" s="134">
        <v>663.33361599996397</v>
      </c>
      <c r="AH131" s="519">
        <v>637.05031322271395</v>
      </c>
    </row>
    <row r="132" spans="1:34" s="514" customFormat="1" ht="15" customHeight="1">
      <c r="A132" s="535">
        <v>68.3</v>
      </c>
      <c r="B132" s="515" t="s">
        <v>8886</v>
      </c>
      <c r="C132" s="517" t="s">
        <v>9034</v>
      </c>
      <c r="D132" s="134">
        <v>215.766565871148</v>
      </c>
      <c r="E132" s="134">
        <v>225.70074461260799</v>
      </c>
      <c r="F132" s="134">
        <v>221.41606994514399</v>
      </c>
      <c r="G132" s="134">
        <v>228.553424544243</v>
      </c>
      <c r="H132" s="134">
        <v>236.35501788900001</v>
      </c>
      <c r="I132" s="134">
        <v>242.39757661408601</v>
      </c>
      <c r="J132" s="134">
        <v>240.78217565628299</v>
      </c>
      <c r="K132" s="134">
        <v>232.14425642794899</v>
      </c>
      <c r="L132" s="134">
        <v>235.324794121384</v>
      </c>
      <c r="M132" s="134">
        <v>247.53107859950799</v>
      </c>
      <c r="N132" s="134">
        <v>252.59948135184899</v>
      </c>
      <c r="O132" s="134">
        <v>244.54737147753201</v>
      </c>
      <c r="P132" s="134">
        <v>227.263927001497</v>
      </c>
      <c r="Q132" s="134">
        <v>237.984689742499</v>
      </c>
      <c r="R132" s="134">
        <v>239.73446454307401</v>
      </c>
      <c r="S132" s="134">
        <v>248.63414513049</v>
      </c>
      <c r="T132" s="134">
        <v>247.05044452791299</v>
      </c>
      <c r="U132" s="134">
        <v>255.63637046662001</v>
      </c>
      <c r="V132" s="134">
        <v>295.982600750149</v>
      </c>
      <c r="W132" s="134">
        <v>258.56116277746099</v>
      </c>
      <c r="X132" s="134">
        <v>277.83141218380598</v>
      </c>
      <c r="Y132" s="134">
        <v>264.78322020769798</v>
      </c>
      <c r="Z132" s="134">
        <v>291.90907427811902</v>
      </c>
      <c r="AA132" s="134">
        <v>290.75546490282397</v>
      </c>
      <c r="AB132" s="134">
        <v>270.36677210311501</v>
      </c>
      <c r="AC132" s="134">
        <v>285.633019543763</v>
      </c>
      <c r="AD132" s="134">
        <v>294.96768485269598</v>
      </c>
      <c r="AE132" s="134">
        <v>288.50658615798199</v>
      </c>
      <c r="AF132" s="134">
        <v>280.76431408484899</v>
      </c>
      <c r="AG132" s="134">
        <v>284.77381581506597</v>
      </c>
      <c r="AH132" s="519">
        <v>240.57608718218</v>
      </c>
    </row>
    <row r="133" spans="1:34" s="514" customFormat="1" ht="15" customHeight="1">
      <c r="A133" s="535">
        <v>69.099999999999994</v>
      </c>
      <c r="B133" s="515" t="s">
        <v>8889</v>
      </c>
      <c r="C133" s="517" t="s">
        <v>9035</v>
      </c>
      <c r="D133" s="134">
        <v>279.89714483353498</v>
      </c>
      <c r="E133" s="134">
        <v>300.653599086908</v>
      </c>
      <c r="F133" s="134">
        <v>288.25637257746502</v>
      </c>
      <c r="G133" s="134">
        <v>300.16508091486998</v>
      </c>
      <c r="H133" s="134">
        <v>305.05241139183801</v>
      </c>
      <c r="I133" s="134">
        <v>311.75060628035197</v>
      </c>
      <c r="J133" s="134">
        <v>307.47436307924698</v>
      </c>
      <c r="K133" s="134">
        <v>283.13977445005702</v>
      </c>
      <c r="L133" s="134">
        <v>284.762311317593</v>
      </c>
      <c r="M133" s="134">
        <v>294.052021480669</v>
      </c>
      <c r="N133" s="134">
        <v>290.72449557567501</v>
      </c>
      <c r="O133" s="134">
        <v>273.54180915850799</v>
      </c>
      <c r="P133" s="134">
        <v>236.74551504546</v>
      </c>
      <c r="Q133" s="134">
        <v>236.449701775905</v>
      </c>
      <c r="R133" s="134">
        <v>222.43914979532701</v>
      </c>
      <c r="S133" s="134">
        <v>215.195751427994</v>
      </c>
      <c r="T133" s="134">
        <v>198.26545572331901</v>
      </c>
      <c r="U133" s="134">
        <v>191.393491820653</v>
      </c>
      <c r="V133" s="134">
        <v>209.537801699998</v>
      </c>
      <c r="W133" s="134">
        <v>169.984274775111</v>
      </c>
      <c r="X133" s="134">
        <v>174.60906961137499</v>
      </c>
      <c r="Y133" s="134">
        <v>160.83790873551601</v>
      </c>
      <c r="Z133" s="134">
        <v>168.57966647903601</v>
      </c>
      <c r="AA133" s="134">
        <v>164.16491722082</v>
      </c>
      <c r="AB133" s="134">
        <v>147.26197364905201</v>
      </c>
      <c r="AC133" s="134">
        <v>150.40964279242701</v>
      </c>
      <c r="AD133" s="134">
        <v>153.69040670289499</v>
      </c>
      <c r="AE133" s="134">
        <v>147.367069312148</v>
      </c>
      <c r="AF133" s="134">
        <v>141.410965200004</v>
      </c>
      <c r="AG133" s="134">
        <v>142.5804461809</v>
      </c>
      <c r="AH133" s="519">
        <v>135.78543347386</v>
      </c>
    </row>
    <row r="134" spans="1:34" s="514" customFormat="1" ht="15" customHeight="1">
      <c r="A134" s="535">
        <v>69.2</v>
      </c>
      <c r="B134" s="515" t="s">
        <v>8889</v>
      </c>
      <c r="C134" s="517" t="s">
        <v>9036</v>
      </c>
      <c r="D134" s="134">
        <v>260.19381009189601</v>
      </c>
      <c r="E134" s="134">
        <v>283.03750639724001</v>
      </c>
      <c r="F134" s="134">
        <v>270.96808213179497</v>
      </c>
      <c r="G134" s="134">
        <v>283.22569921940402</v>
      </c>
      <c r="H134" s="134">
        <v>286.64468764896702</v>
      </c>
      <c r="I134" s="134">
        <v>292.93482999569397</v>
      </c>
      <c r="J134" s="134">
        <v>294.17719591664098</v>
      </c>
      <c r="K134" s="134">
        <v>269.63948132326999</v>
      </c>
      <c r="L134" s="134">
        <v>275.71092075319001</v>
      </c>
      <c r="M134" s="134">
        <v>286.17906049784602</v>
      </c>
      <c r="N134" s="134">
        <v>283.54754653874897</v>
      </c>
      <c r="O134" s="134">
        <v>266.64411007409598</v>
      </c>
      <c r="P134" s="134">
        <v>229.684131326841</v>
      </c>
      <c r="Q134" s="134">
        <v>229.200015074368</v>
      </c>
      <c r="R134" s="134">
        <v>214.05868049660199</v>
      </c>
      <c r="S134" s="134">
        <v>204.85152740512299</v>
      </c>
      <c r="T134" s="134">
        <v>185.61108611102699</v>
      </c>
      <c r="U134" s="134">
        <v>176.451067870798</v>
      </c>
      <c r="V134" s="134">
        <v>190.85508287084301</v>
      </c>
      <c r="W134" s="134">
        <v>154.17254412675501</v>
      </c>
      <c r="X134" s="134">
        <v>154.16610038462801</v>
      </c>
      <c r="Y134" s="134">
        <v>141.82257552441499</v>
      </c>
      <c r="Z134" s="134">
        <v>146.27915439262199</v>
      </c>
      <c r="AA134" s="134">
        <v>141.37130139145299</v>
      </c>
      <c r="AB134" s="134">
        <v>126.71719960568799</v>
      </c>
      <c r="AC134" s="134">
        <v>131.449597032751</v>
      </c>
      <c r="AD134" s="134">
        <v>130.411911316264</v>
      </c>
      <c r="AE134" s="134">
        <v>125.81382794378</v>
      </c>
      <c r="AF134" s="134">
        <v>120.204358714213</v>
      </c>
      <c r="AG134" s="134">
        <v>119.298813050983</v>
      </c>
      <c r="AH134" s="519">
        <v>114.783459831984</v>
      </c>
    </row>
    <row r="135" spans="1:34" s="514" customFormat="1" ht="15" customHeight="1">
      <c r="A135" s="535">
        <v>70</v>
      </c>
      <c r="B135" s="515" t="s">
        <v>8889</v>
      </c>
      <c r="C135" s="517" t="s">
        <v>9037</v>
      </c>
      <c r="D135" s="134">
        <v>597.177547920856</v>
      </c>
      <c r="E135" s="134">
        <v>662.88598291279402</v>
      </c>
      <c r="F135" s="134">
        <v>634.822921233226</v>
      </c>
      <c r="G135" s="134">
        <v>667.591379447902</v>
      </c>
      <c r="H135" s="134">
        <v>682.59559754907605</v>
      </c>
      <c r="I135" s="134">
        <v>706.41613825052696</v>
      </c>
      <c r="J135" s="134">
        <v>718.02546286592406</v>
      </c>
      <c r="K135" s="134">
        <v>667.17567339120103</v>
      </c>
      <c r="L135" s="134">
        <v>693.63269675120603</v>
      </c>
      <c r="M135" s="134">
        <v>732.30465890811195</v>
      </c>
      <c r="N135" s="134">
        <v>741.24744307952199</v>
      </c>
      <c r="O135" s="134">
        <v>714.77342227957195</v>
      </c>
      <c r="P135" s="134">
        <v>636.49773440536899</v>
      </c>
      <c r="Q135" s="134">
        <v>661.97581664104598</v>
      </c>
      <c r="R135" s="134">
        <v>649.072875406717</v>
      </c>
      <c r="S135" s="134">
        <v>655.67311223994898</v>
      </c>
      <c r="T135" s="134">
        <v>631.92668845538503</v>
      </c>
      <c r="U135" s="134">
        <v>637.57122045953599</v>
      </c>
      <c r="V135" s="134">
        <v>753.26611188263598</v>
      </c>
      <c r="W135" s="134">
        <v>636.94084567586594</v>
      </c>
      <c r="X135" s="134">
        <v>680.92119557938997</v>
      </c>
      <c r="Y135" s="134">
        <v>640.47226766377003</v>
      </c>
      <c r="Z135" s="134">
        <v>698.46298136782798</v>
      </c>
      <c r="AA135" s="134">
        <v>692.41793090689998</v>
      </c>
      <c r="AB135" s="134">
        <v>637.40530266977305</v>
      </c>
      <c r="AC135" s="134">
        <v>661.55335578223503</v>
      </c>
      <c r="AD135" s="134">
        <v>678.79819843319103</v>
      </c>
      <c r="AE135" s="134">
        <v>650.88985746097296</v>
      </c>
      <c r="AF135" s="134">
        <v>618.97392581502402</v>
      </c>
      <c r="AG135" s="134">
        <v>622.96795827985602</v>
      </c>
      <c r="AH135" s="519">
        <v>530.97464390718699</v>
      </c>
    </row>
    <row r="136" spans="1:34" s="514" customFormat="1" ht="15" customHeight="1">
      <c r="A136" s="535">
        <v>71</v>
      </c>
      <c r="B136" s="515" t="s">
        <v>8889</v>
      </c>
      <c r="C136" s="517" t="s">
        <v>9038</v>
      </c>
      <c r="D136" s="134">
        <v>534.21309859971996</v>
      </c>
      <c r="E136" s="134">
        <v>567.96037805105004</v>
      </c>
      <c r="F136" s="134">
        <v>551.93493615695604</v>
      </c>
      <c r="G136" s="134">
        <v>573.78417342803596</v>
      </c>
      <c r="H136" s="134">
        <v>587.01269946924504</v>
      </c>
      <c r="I136" s="134">
        <v>602.05286303069397</v>
      </c>
      <c r="J136" s="134">
        <v>599.32560265061795</v>
      </c>
      <c r="K136" s="134">
        <v>565.89570702927801</v>
      </c>
      <c r="L136" s="134">
        <v>573.836945317031</v>
      </c>
      <c r="M136" s="134">
        <v>600.63207990833405</v>
      </c>
      <c r="N136" s="134">
        <v>605.58564076559901</v>
      </c>
      <c r="O136" s="134">
        <v>577.49601416470398</v>
      </c>
      <c r="P136" s="134">
        <v>522.68010816523702</v>
      </c>
      <c r="Q136" s="134">
        <v>529.55000467904904</v>
      </c>
      <c r="R136" s="134">
        <v>516.612721084903</v>
      </c>
      <c r="S136" s="134">
        <v>510.16252998828497</v>
      </c>
      <c r="T136" s="134">
        <v>493.29559640895798</v>
      </c>
      <c r="U136" s="134">
        <v>493.50940454271102</v>
      </c>
      <c r="V136" s="134">
        <v>537.38569042960501</v>
      </c>
      <c r="W136" s="134">
        <v>442.56186967424702</v>
      </c>
      <c r="X136" s="134">
        <v>453.931996253401</v>
      </c>
      <c r="Y136" s="134">
        <v>425.48250455060901</v>
      </c>
      <c r="Z136" s="134">
        <v>447.78134751723701</v>
      </c>
      <c r="AA136" s="134">
        <v>417.109077850387</v>
      </c>
      <c r="AB136" s="134">
        <v>397.35328132170901</v>
      </c>
      <c r="AC136" s="134">
        <v>407.889979770031</v>
      </c>
      <c r="AD136" s="134">
        <v>414.65558182019498</v>
      </c>
      <c r="AE136" s="134">
        <v>393.83885364210801</v>
      </c>
      <c r="AF136" s="134">
        <v>374.99917079653602</v>
      </c>
      <c r="AG136" s="134">
        <v>370.690237211659</v>
      </c>
      <c r="AH136" s="519">
        <v>293.820376441642</v>
      </c>
    </row>
    <row r="137" spans="1:34" s="514" customFormat="1" ht="15" customHeight="1">
      <c r="A137" s="535">
        <v>72</v>
      </c>
      <c r="B137" s="515" t="s">
        <v>8889</v>
      </c>
      <c r="C137" s="517" t="s">
        <v>9039</v>
      </c>
      <c r="D137" s="134">
        <v>471.53804447226503</v>
      </c>
      <c r="E137" s="134">
        <v>509.73215221232101</v>
      </c>
      <c r="F137" s="134">
        <v>492.41600174677302</v>
      </c>
      <c r="G137" s="134">
        <v>293.49700332573599</v>
      </c>
      <c r="H137" s="134">
        <v>293.68181380630801</v>
      </c>
      <c r="I137" s="134">
        <v>302.059739493302</v>
      </c>
      <c r="J137" s="134">
        <v>317.57559234296002</v>
      </c>
      <c r="K137" s="134">
        <v>287.30139322706202</v>
      </c>
      <c r="L137" s="134">
        <v>303.77615559782799</v>
      </c>
      <c r="M137" s="134">
        <v>317.809793459437</v>
      </c>
      <c r="N137" s="134">
        <v>317.708142154374</v>
      </c>
      <c r="O137" s="134">
        <v>311.54428360610501</v>
      </c>
      <c r="P137" s="134">
        <v>269.85829553957001</v>
      </c>
      <c r="Q137" s="134">
        <v>280.73945085443899</v>
      </c>
      <c r="R137" s="134">
        <v>269.157012924843</v>
      </c>
      <c r="S137" s="134">
        <v>257.52209724639403</v>
      </c>
      <c r="T137" s="134">
        <v>236.167833420791</v>
      </c>
      <c r="U137" s="134">
        <v>226.555577888535</v>
      </c>
      <c r="V137" s="134">
        <v>265.87123399522699</v>
      </c>
      <c r="W137" s="134">
        <v>218.58596152637301</v>
      </c>
      <c r="X137" s="134">
        <v>233.27371251962501</v>
      </c>
      <c r="Y137" s="134">
        <v>208.73027891346601</v>
      </c>
      <c r="Z137" s="134">
        <v>232.54119524765301</v>
      </c>
      <c r="AA137" s="134">
        <v>238.678026624826</v>
      </c>
      <c r="AB137" s="134">
        <v>213.46344656663101</v>
      </c>
      <c r="AC137" s="134">
        <v>230.81332552941501</v>
      </c>
      <c r="AD137" s="134">
        <v>239.49527599039101</v>
      </c>
      <c r="AE137" s="134">
        <v>240.432834347625</v>
      </c>
      <c r="AF137" s="134">
        <v>239.58922677459501</v>
      </c>
      <c r="AG137" s="134">
        <v>244.779955928563</v>
      </c>
      <c r="AH137" s="519">
        <v>224.093935143295</v>
      </c>
    </row>
    <row r="138" spans="1:34" s="514" customFormat="1" ht="15" customHeight="1">
      <c r="A138" s="535">
        <v>73</v>
      </c>
      <c r="B138" s="515" t="s">
        <v>8889</v>
      </c>
      <c r="C138" s="517" t="s">
        <v>9040</v>
      </c>
      <c r="D138" s="134">
        <v>133.152835121338</v>
      </c>
      <c r="E138" s="134">
        <v>140.813109980474</v>
      </c>
      <c r="F138" s="134">
        <v>138.68731140716301</v>
      </c>
      <c r="G138" s="134">
        <v>144.78366642392601</v>
      </c>
      <c r="H138" s="134">
        <v>151.93490396607999</v>
      </c>
      <c r="I138" s="134">
        <v>157.98609710127201</v>
      </c>
      <c r="J138" s="134">
        <v>156.26773785141</v>
      </c>
      <c r="K138" s="134">
        <v>149.70781478056</v>
      </c>
      <c r="L138" s="134">
        <v>150.91096689589401</v>
      </c>
      <c r="M138" s="134">
        <v>158.212465891834</v>
      </c>
      <c r="N138" s="134">
        <v>160.08730791461801</v>
      </c>
      <c r="O138" s="134">
        <v>151.136705219101</v>
      </c>
      <c r="P138" s="134">
        <v>136.51762018613499</v>
      </c>
      <c r="Q138" s="134">
        <v>136.22751649940301</v>
      </c>
      <c r="R138" s="134">
        <v>131.129132774223</v>
      </c>
      <c r="S138" s="134">
        <v>129.55568843809399</v>
      </c>
      <c r="T138" s="134">
        <v>123.560200980163</v>
      </c>
      <c r="U138" s="134">
        <v>123.706929703442</v>
      </c>
      <c r="V138" s="134">
        <v>130.12025907636399</v>
      </c>
      <c r="W138" s="134">
        <v>109.677423486271</v>
      </c>
      <c r="X138" s="134">
        <v>111.632077301019</v>
      </c>
      <c r="Y138" s="134">
        <v>109.28215407037899</v>
      </c>
      <c r="Z138" s="134">
        <v>111.533292635648</v>
      </c>
      <c r="AA138" s="134">
        <v>103.473208598808</v>
      </c>
      <c r="AB138" s="134">
        <v>99.209160669411403</v>
      </c>
      <c r="AC138" s="134">
        <v>100.19613279172199</v>
      </c>
      <c r="AD138" s="134">
        <v>102.66432313970699</v>
      </c>
      <c r="AE138" s="134">
        <v>95.138613934770504</v>
      </c>
      <c r="AF138" s="134">
        <v>86.583595648457703</v>
      </c>
      <c r="AG138" s="134">
        <v>86.994367986420102</v>
      </c>
      <c r="AH138" s="519">
        <v>54.573177280528597</v>
      </c>
    </row>
    <row r="139" spans="1:34" s="514" customFormat="1" ht="15" customHeight="1">
      <c r="A139" s="535">
        <v>74</v>
      </c>
      <c r="B139" s="515" t="s">
        <v>8889</v>
      </c>
      <c r="C139" s="517" t="s">
        <v>9041</v>
      </c>
      <c r="D139" s="134">
        <v>158.78080838370599</v>
      </c>
      <c r="E139" s="134">
        <v>173.675318390136</v>
      </c>
      <c r="F139" s="134">
        <v>168.79451193531099</v>
      </c>
      <c r="G139" s="134">
        <v>178.191975194902</v>
      </c>
      <c r="H139" s="134">
        <v>187.02718537661099</v>
      </c>
      <c r="I139" s="134">
        <v>196.75887827886999</v>
      </c>
      <c r="J139" s="134">
        <v>199.82916041920501</v>
      </c>
      <c r="K139" s="134">
        <v>189.40730527153801</v>
      </c>
      <c r="L139" s="134">
        <v>195.61419022101001</v>
      </c>
      <c r="M139" s="134">
        <v>208.15386022062901</v>
      </c>
      <c r="N139" s="134">
        <v>212.803009842905</v>
      </c>
      <c r="O139" s="134">
        <v>207.33485740237199</v>
      </c>
      <c r="P139" s="134">
        <v>187.05990749901699</v>
      </c>
      <c r="Q139" s="134">
        <v>193.78821019098899</v>
      </c>
      <c r="R139" s="134">
        <v>189.45375490915299</v>
      </c>
      <c r="S139" s="134">
        <v>189.735283325719</v>
      </c>
      <c r="T139" s="134">
        <v>183.07970398862</v>
      </c>
      <c r="U139" s="134">
        <v>182.05088663126</v>
      </c>
      <c r="V139" s="134">
        <v>205.81757049307899</v>
      </c>
      <c r="W139" s="134">
        <v>169.58205016779101</v>
      </c>
      <c r="X139" s="134">
        <v>175.28302964225099</v>
      </c>
      <c r="Y139" s="134">
        <v>167.263446671792</v>
      </c>
      <c r="Z139" s="134">
        <v>174.734802816632</v>
      </c>
      <c r="AA139" s="134">
        <v>165.08320836810799</v>
      </c>
      <c r="AB139" s="134">
        <v>155.279571010636</v>
      </c>
      <c r="AC139" s="134">
        <v>155.824167440004</v>
      </c>
      <c r="AD139" s="134">
        <v>161.899411462057</v>
      </c>
      <c r="AE139" s="134">
        <v>149.368864069615</v>
      </c>
      <c r="AF139" s="134">
        <v>139.66077033853401</v>
      </c>
      <c r="AG139" s="134">
        <v>139.061575920682</v>
      </c>
      <c r="AH139" s="519">
        <v>108.08416346935699</v>
      </c>
    </row>
    <row r="140" spans="1:34" s="514" customFormat="1" ht="15" customHeight="1">
      <c r="A140" s="535">
        <v>75</v>
      </c>
      <c r="B140" s="515" t="s">
        <v>8889</v>
      </c>
      <c r="C140" s="517" t="s">
        <v>9042</v>
      </c>
      <c r="D140" s="134">
        <v>58.973267411716002</v>
      </c>
      <c r="E140" s="134">
        <v>63.029641463108199</v>
      </c>
      <c r="F140" s="134">
        <v>61.488695412119</v>
      </c>
      <c r="G140" s="134">
        <v>63.986812193796602</v>
      </c>
      <c r="H140" s="134">
        <v>65.893146310481697</v>
      </c>
      <c r="I140" s="134">
        <v>68.570008787811204</v>
      </c>
      <c r="J140" s="134">
        <v>69.256734553150906</v>
      </c>
      <c r="K140" s="134">
        <v>66.435496412202994</v>
      </c>
      <c r="L140" s="134">
        <v>68.935765717820999</v>
      </c>
      <c r="M140" s="134">
        <v>71.518056746077804</v>
      </c>
      <c r="N140" s="134">
        <v>71.625731788175401</v>
      </c>
      <c r="O140" s="134">
        <v>69.046406265850294</v>
      </c>
      <c r="P140" s="134">
        <v>63.467186928509598</v>
      </c>
      <c r="Q140" s="134">
        <v>65.348068738608603</v>
      </c>
      <c r="R140" s="134">
        <v>64.287880272937798</v>
      </c>
      <c r="S140" s="134">
        <v>65.881985128648495</v>
      </c>
      <c r="T140" s="134">
        <v>63.157038903369397</v>
      </c>
      <c r="U140" s="134">
        <v>64.627962335115001</v>
      </c>
      <c r="V140" s="134">
        <v>67.798667507668</v>
      </c>
      <c r="W140" s="134">
        <v>60.907021616347102</v>
      </c>
      <c r="X140" s="134">
        <v>63.148079128606597</v>
      </c>
      <c r="Y140" s="134">
        <v>61.203957417693601</v>
      </c>
      <c r="Z140" s="134">
        <v>64.5724592756481</v>
      </c>
      <c r="AA140" s="134">
        <v>64.4871907883863</v>
      </c>
      <c r="AB140" s="134">
        <v>62.266697756357999</v>
      </c>
      <c r="AC140" s="134">
        <v>65.517497403373994</v>
      </c>
      <c r="AD140" s="134">
        <v>67.9237086926301</v>
      </c>
      <c r="AE140" s="134">
        <v>68.364094058928103</v>
      </c>
      <c r="AF140" s="134">
        <v>67.358187049528794</v>
      </c>
      <c r="AG140" s="134">
        <v>67.394285289059994</v>
      </c>
      <c r="AH140" s="519">
        <v>59.832844308786001</v>
      </c>
    </row>
    <row r="141" spans="1:34" s="514" customFormat="1" ht="15" customHeight="1">
      <c r="A141" s="535">
        <v>77</v>
      </c>
      <c r="B141" s="515" t="s">
        <v>8892</v>
      </c>
      <c r="C141" s="517" t="s">
        <v>9043</v>
      </c>
      <c r="D141" s="134">
        <v>1008.0728759456</v>
      </c>
      <c r="E141" s="134">
        <v>1028.4900436380201</v>
      </c>
      <c r="F141" s="134">
        <v>1030.3390650900001</v>
      </c>
      <c r="G141" s="134">
        <v>1045.4935969578901</v>
      </c>
      <c r="H141" s="134">
        <v>1085.48663748028</v>
      </c>
      <c r="I141" s="134">
        <v>1093.8516347290399</v>
      </c>
      <c r="J141" s="134">
        <v>1114.2471735306499</v>
      </c>
      <c r="K141" s="134">
        <v>1119.1162466640201</v>
      </c>
      <c r="L141" s="134">
        <v>1128.5496558690199</v>
      </c>
      <c r="M141" s="134">
        <v>1141.0307766041301</v>
      </c>
      <c r="N141" s="134">
        <v>1142.1592470918299</v>
      </c>
      <c r="O141" s="134">
        <v>1120.05481316602</v>
      </c>
      <c r="P141" s="134">
        <v>1099.25398855354</v>
      </c>
      <c r="Q141" s="134">
        <v>1117.16959449568</v>
      </c>
      <c r="R141" s="134">
        <v>1119.1276726490701</v>
      </c>
      <c r="S141" s="134">
        <v>1203.7581120479001</v>
      </c>
      <c r="T141" s="134">
        <v>1227.99695230512</v>
      </c>
      <c r="U141" s="134">
        <v>1242.9969607631799</v>
      </c>
      <c r="V141" s="134">
        <v>1170.9084624131399</v>
      </c>
      <c r="W141" s="134">
        <v>1051.76109474331</v>
      </c>
      <c r="X141" s="134">
        <v>1040.3982217800001</v>
      </c>
      <c r="Y141" s="134">
        <v>1012.34220123699</v>
      </c>
      <c r="Z141" s="134">
        <v>1026.62032140818</v>
      </c>
      <c r="AA141" s="134">
        <v>1003.81248380724</v>
      </c>
      <c r="AB141" s="134">
        <v>1017.78869582123</v>
      </c>
      <c r="AC141" s="134">
        <v>1059.1447343853399</v>
      </c>
      <c r="AD141" s="134">
        <v>1104.8233882393899</v>
      </c>
      <c r="AE141" s="134">
        <v>1101.60797179058</v>
      </c>
      <c r="AF141" s="134">
        <v>1083.3543986304701</v>
      </c>
      <c r="AG141" s="134">
        <v>1049.50020722609</v>
      </c>
      <c r="AH141" s="519">
        <v>925.89745899334503</v>
      </c>
    </row>
    <row r="142" spans="1:34" s="514" customFormat="1" ht="15" customHeight="1">
      <c r="A142" s="535">
        <v>78</v>
      </c>
      <c r="B142" s="515" t="s">
        <v>8892</v>
      </c>
      <c r="C142" s="517" t="s">
        <v>9044</v>
      </c>
      <c r="D142" s="134">
        <v>302.24187095020801</v>
      </c>
      <c r="E142" s="134">
        <v>313.73107374709701</v>
      </c>
      <c r="F142" s="134">
        <v>302.70824299389801</v>
      </c>
      <c r="G142" s="134">
        <v>313.01463261577697</v>
      </c>
      <c r="H142" s="134">
        <v>324.31563805792399</v>
      </c>
      <c r="I142" s="134">
        <v>330.52715118410799</v>
      </c>
      <c r="J142" s="134">
        <v>326.117380559521</v>
      </c>
      <c r="K142" s="134">
        <v>304.731594494543</v>
      </c>
      <c r="L142" s="134">
        <v>298.32289673332002</v>
      </c>
      <c r="M142" s="134">
        <v>299.43967902895599</v>
      </c>
      <c r="N142" s="134">
        <v>291.92537199494501</v>
      </c>
      <c r="O142" s="134">
        <v>277.15079566111399</v>
      </c>
      <c r="P142" s="134">
        <v>242.49969166696599</v>
      </c>
      <c r="Q142" s="134">
        <v>239.87111387143401</v>
      </c>
      <c r="R142" s="134">
        <v>230.22895003321401</v>
      </c>
      <c r="S142" s="134">
        <v>227.43652470681999</v>
      </c>
      <c r="T142" s="134">
        <v>215.60670783479799</v>
      </c>
      <c r="U142" s="134">
        <v>213.70155455581201</v>
      </c>
      <c r="V142" s="134">
        <v>229.12789063313201</v>
      </c>
      <c r="W142" s="134">
        <v>194.10527331575801</v>
      </c>
      <c r="X142" s="134">
        <v>199.606666888619</v>
      </c>
      <c r="Y142" s="134">
        <v>192.04504105774001</v>
      </c>
      <c r="Z142" s="134">
        <v>203.650461276306</v>
      </c>
      <c r="AA142" s="134">
        <v>200.54087660190899</v>
      </c>
      <c r="AB142" s="134">
        <v>192.93250678419699</v>
      </c>
      <c r="AC142" s="134">
        <v>195.35931472457199</v>
      </c>
      <c r="AD142" s="134">
        <v>199.36076347045901</v>
      </c>
      <c r="AE142" s="134">
        <v>198.669554519646</v>
      </c>
      <c r="AF142" s="134">
        <v>188.39454249334199</v>
      </c>
      <c r="AG142" s="134">
        <v>184.85953899119701</v>
      </c>
      <c r="AH142" s="519">
        <v>165.48229257805301</v>
      </c>
    </row>
    <row r="143" spans="1:34" s="514" customFormat="1" ht="15" customHeight="1">
      <c r="A143" s="535">
        <v>79</v>
      </c>
      <c r="B143" s="515" t="s">
        <v>8892</v>
      </c>
      <c r="C143" s="517" t="s">
        <v>9045</v>
      </c>
      <c r="D143" s="134">
        <v>124.130604927078</v>
      </c>
      <c r="E143" s="134">
        <v>130.66858749503001</v>
      </c>
      <c r="F143" s="134">
        <v>126.296529976521</v>
      </c>
      <c r="G143" s="134">
        <v>130.00536524443001</v>
      </c>
      <c r="H143" s="134">
        <v>133.21094294788901</v>
      </c>
      <c r="I143" s="134">
        <v>135.380021676513</v>
      </c>
      <c r="J143" s="134">
        <v>135.478962329175</v>
      </c>
      <c r="K143" s="134">
        <v>129.19508864732401</v>
      </c>
      <c r="L143" s="134">
        <v>130.555975267348</v>
      </c>
      <c r="M143" s="134">
        <v>134.40339165863699</v>
      </c>
      <c r="N143" s="134">
        <v>135.14545681227301</v>
      </c>
      <c r="O143" s="134">
        <v>130.92532930330501</v>
      </c>
      <c r="P143" s="134">
        <v>121.577379921885</v>
      </c>
      <c r="Q143" s="134">
        <v>125.192171053221</v>
      </c>
      <c r="R143" s="134">
        <v>125.046275435875</v>
      </c>
      <c r="S143" s="134">
        <v>127.96692227328801</v>
      </c>
      <c r="T143" s="134">
        <v>127.634829258053</v>
      </c>
      <c r="U143" s="134">
        <v>133.48525143526399</v>
      </c>
      <c r="V143" s="134">
        <v>142.95674832241301</v>
      </c>
      <c r="W143" s="134">
        <v>128.99988208259899</v>
      </c>
      <c r="X143" s="134">
        <v>135.097691375464</v>
      </c>
      <c r="Y143" s="134">
        <v>136.67728233861999</v>
      </c>
      <c r="Z143" s="134">
        <v>142.11510960799299</v>
      </c>
      <c r="AA143" s="134">
        <v>134.954939322488</v>
      </c>
      <c r="AB143" s="134">
        <v>134.80861532851301</v>
      </c>
      <c r="AC143" s="134">
        <v>137.99751932662599</v>
      </c>
      <c r="AD143" s="134">
        <v>145.77739201140301</v>
      </c>
      <c r="AE143" s="134">
        <v>139.73795028560801</v>
      </c>
      <c r="AF143" s="134">
        <v>132.692298224388</v>
      </c>
      <c r="AG143" s="134">
        <v>134.885986749956</v>
      </c>
      <c r="AH143" s="519">
        <v>89.361461385104704</v>
      </c>
    </row>
    <row r="144" spans="1:34" s="514" customFormat="1" ht="15" customHeight="1">
      <c r="A144" s="535">
        <v>80</v>
      </c>
      <c r="B144" s="515" t="s">
        <v>8892</v>
      </c>
      <c r="C144" s="517" t="s">
        <v>9046</v>
      </c>
      <c r="D144" s="134">
        <v>168.52581949278601</v>
      </c>
      <c r="E144" s="134">
        <v>180.59379816165301</v>
      </c>
      <c r="F144" s="134">
        <v>179.63095376273</v>
      </c>
      <c r="G144" s="134">
        <v>188.382294458133</v>
      </c>
      <c r="H144" s="134">
        <v>195.71121157271199</v>
      </c>
      <c r="I144" s="134">
        <v>200.782414750627</v>
      </c>
      <c r="J144" s="134">
        <v>206.54768689889499</v>
      </c>
      <c r="K144" s="134">
        <v>202.44470219550399</v>
      </c>
      <c r="L144" s="134">
        <v>207.440536245651</v>
      </c>
      <c r="M144" s="134">
        <v>214.23247225984699</v>
      </c>
      <c r="N144" s="134">
        <v>216.144145848481</v>
      </c>
      <c r="O144" s="134">
        <v>212.57249081401301</v>
      </c>
      <c r="P144" s="134">
        <v>201.30346949491201</v>
      </c>
      <c r="Q144" s="134">
        <v>206.27565635003</v>
      </c>
      <c r="R144" s="134">
        <v>203.453263364962</v>
      </c>
      <c r="S144" s="134">
        <v>202.24114085436199</v>
      </c>
      <c r="T144" s="134">
        <v>197.09339674560999</v>
      </c>
      <c r="U144" s="134">
        <v>194.30882607498299</v>
      </c>
      <c r="V144" s="134">
        <v>198.767035266482</v>
      </c>
      <c r="W144" s="134">
        <v>171.13517134363599</v>
      </c>
      <c r="X144" s="134">
        <v>172.81571502553001</v>
      </c>
      <c r="Y144" s="134">
        <v>164.54554219566899</v>
      </c>
      <c r="Z144" s="134">
        <v>164.91929076424699</v>
      </c>
      <c r="AA144" s="134">
        <v>158.29560502267901</v>
      </c>
      <c r="AB144" s="134">
        <v>152.80910212814999</v>
      </c>
      <c r="AC144" s="134">
        <v>154.59119125956499</v>
      </c>
      <c r="AD144" s="134">
        <v>159.220838752677</v>
      </c>
      <c r="AE144" s="134">
        <v>153.91401277876199</v>
      </c>
      <c r="AF144" s="134">
        <v>148.82635767553799</v>
      </c>
      <c r="AG144" s="134">
        <v>145.81424191028199</v>
      </c>
      <c r="AH144" s="519">
        <v>124.307243634827</v>
      </c>
    </row>
    <row r="145" spans="1:34" s="514" customFormat="1" ht="15" customHeight="1">
      <c r="A145" s="535">
        <v>81</v>
      </c>
      <c r="B145" s="515" t="s">
        <v>8892</v>
      </c>
      <c r="C145" s="517" t="s">
        <v>9047</v>
      </c>
      <c r="D145" s="134">
        <v>703.275727782692</v>
      </c>
      <c r="E145" s="134">
        <v>764.38382109403597</v>
      </c>
      <c r="F145" s="134">
        <v>740.46896180055603</v>
      </c>
      <c r="G145" s="134">
        <v>774.50875515330802</v>
      </c>
      <c r="H145" s="134">
        <v>780.90744883171499</v>
      </c>
      <c r="I145" s="134">
        <v>795.57148059201097</v>
      </c>
      <c r="J145" s="134">
        <v>821.88321305136401</v>
      </c>
      <c r="K145" s="134">
        <v>777.10911508844902</v>
      </c>
      <c r="L145" s="134">
        <v>805.95805907705596</v>
      </c>
      <c r="M145" s="134">
        <v>835.27674589020501</v>
      </c>
      <c r="N145" s="134">
        <v>844.40924625262096</v>
      </c>
      <c r="O145" s="134">
        <v>839.08653729990897</v>
      </c>
      <c r="P145" s="134">
        <v>779.04793209616105</v>
      </c>
      <c r="Q145" s="134">
        <v>813.753764324504</v>
      </c>
      <c r="R145" s="134">
        <v>809.22496924026802</v>
      </c>
      <c r="S145" s="134">
        <v>818.32371460617503</v>
      </c>
      <c r="T145" s="134">
        <v>807.90220418678905</v>
      </c>
      <c r="U145" s="134">
        <v>815.96562054749097</v>
      </c>
      <c r="V145" s="134">
        <v>905.15367440846296</v>
      </c>
      <c r="W145" s="134">
        <v>810.28132386270704</v>
      </c>
      <c r="X145" s="134">
        <v>856.12498919379402</v>
      </c>
      <c r="Y145" s="134">
        <v>830.27308102364805</v>
      </c>
      <c r="Z145" s="134">
        <v>879.11599399110003</v>
      </c>
      <c r="AA145" s="134">
        <v>876.863448790902</v>
      </c>
      <c r="AB145" s="134">
        <v>851.13711420890797</v>
      </c>
      <c r="AC145" s="134">
        <v>884.21267777048604</v>
      </c>
      <c r="AD145" s="134">
        <v>914.74971921277699</v>
      </c>
      <c r="AE145" s="134">
        <v>901.78538035724205</v>
      </c>
      <c r="AF145" s="134">
        <v>885.05690630686399</v>
      </c>
      <c r="AG145" s="134">
        <v>882.06791259817601</v>
      </c>
      <c r="AH145" s="519">
        <v>811.54213648434097</v>
      </c>
    </row>
    <row r="146" spans="1:34" s="514" customFormat="1" ht="15" customHeight="1">
      <c r="A146" s="535">
        <v>82</v>
      </c>
      <c r="B146" s="515" t="s">
        <v>8892</v>
      </c>
      <c r="C146" s="517" t="s">
        <v>9048</v>
      </c>
      <c r="D146" s="134">
        <v>368.20597883460198</v>
      </c>
      <c r="E146" s="134">
        <v>399.17601609353102</v>
      </c>
      <c r="F146" s="134">
        <v>394.255804674822</v>
      </c>
      <c r="G146" s="134">
        <v>413.95940779881801</v>
      </c>
      <c r="H146" s="134">
        <v>437.043125920965</v>
      </c>
      <c r="I146" s="134">
        <v>456.67886739873398</v>
      </c>
      <c r="J146" s="134">
        <v>474.47062286140903</v>
      </c>
      <c r="K146" s="134">
        <v>466.46697683342097</v>
      </c>
      <c r="L146" s="134">
        <v>488.46056547797201</v>
      </c>
      <c r="M146" s="134">
        <v>517.26187049128305</v>
      </c>
      <c r="N146" s="134">
        <v>534.96246983984304</v>
      </c>
      <c r="O146" s="134">
        <v>540.19560491469701</v>
      </c>
      <c r="P146" s="134">
        <v>515.424355888219</v>
      </c>
      <c r="Q146" s="134">
        <v>551.50064939070103</v>
      </c>
      <c r="R146" s="134">
        <v>562.81726665989504</v>
      </c>
      <c r="S146" s="134">
        <v>584.29836375925697</v>
      </c>
      <c r="T146" s="134">
        <v>585.21325445464004</v>
      </c>
      <c r="U146" s="134">
        <v>602.43359510066796</v>
      </c>
      <c r="V146" s="134">
        <v>681.060923924083</v>
      </c>
      <c r="W146" s="134">
        <v>593.68742603203998</v>
      </c>
      <c r="X146" s="134">
        <v>636.98572457016496</v>
      </c>
      <c r="Y146" s="134">
        <v>614.789715313908</v>
      </c>
      <c r="Z146" s="134">
        <v>660.411060977224</v>
      </c>
      <c r="AA146" s="134">
        <v>662.82797901381605</v>
      </c>
      <c r="AB146" s="134">
        <v>636.930377101261</v>
      </c>
      <c r="AC146" s="134">
        <v>672.82663593191899</v>
      </c>
      <c r="AD146" s="134">
        <v>704.54649851269801</v>
      </c>
      <c r="AE146" s="134">
        <v>696.75404439454803</v>
      </c>
      <c r="AF146" s="134">
        <v>680.89297323179301</v>
      </c>
      <c r="AG146" s="134">
        <v>688.13680029628802</v>
      </c>
      <c r="AH146" s="519">
        <v>603.13238533268304</v>
      </c>
    </row>
    <row r="147" spans="1:34" s="514" customFormat="1" ht="15" customHeight="1">
      <c r="A147" s="515" t="s">
        <v>9049</v>
      </c>
      <c r="B147" s="515" t="s">
        <v>8895</v>
      </c>
      <c r="C147" s="517" t="s">
        <v>9050</v>
      </c>
      <c r="D147" s="134">
        <v>4831.3441276718104</v>
      </c>
      <c r="E147" s="134">
        <v>5099.7175200449201</v>
      </c>
      <c r="F147" s="134">
        <v>5391.75521436909</v>
      </c>
      <c r="G147" s="134">
        <v>5554.6728329695197</v>
      </c>
      <c r="H147" s="134">
        <v>5106.6251777778798</v>
      </c>
      <c r="I147" s="134">
        <v>5234.2243287997198</v>
      </c>
      <c r="J147" s="134">
        <v>5235.3621670209404</v>
      </c>
      <c r="K147" s="134">
        <v>4966.3905680096696</v>
      </c>
      <c r="L147" s="134">
        <v>5175.2623607709702</v>
      </c>
      <c r="M147" s="134">
        <v>5413.4979546384302</v>
      </c>
      <c r="N147" s="134">
        <v>5373.2770617905198</v>
      </c>
      <c r="O147" s="134">
        <v>5562.0112846534703</v>
      </c>
      <c r="P147" s="134">
        <v>5168.5826857022103</v>
      </c>
      <c r="Q147" s="134">
        <v>5421.5953790217</v>
      </c>
      <c r="R147" s="134">
        <v>5717.0667381462799</v>
      </c>
      <c r="S147" s="134">
        <v>4700.5606360142001</v>
      </c>
      <c r="T147" s="134">
        <v>4299.6569251635901</v>
      </c>
      <c r="U147" s="134">
        <v>4022.85577444823</v>
      </c>
      <c r="V147" s="134">
        <v>3961.42393420898</v>
      </c>
      <c r="W147" s="134">
        <v>3582.9930932586799</v>
      </c>
      <c r="X147" s="134">
        <v>3614.9968052426898</v>
      </c>
      <c r="Y147" s="134">
        <v>3222.7588268581599</v>
      </c>
      <c r="Z147" s="134">
        <v>3399.5273483211799</v>
      </c>
      <c r="AA147" s="134">
        <v>3102.7362256598499</v>
      </c>
      <c r="AB147" s="134">
        <v>2779.1372694513798</v>
      </c>
      <c r="AC147" s="134">
        <v>2804.74967159376</v>
      </c>
      <c r="AD147" s="134">
        <v>2809.3384129862202</v>
      </c>
      <c r="AE147" s="134">
        <v>2749.5963276080201</v>
      </c>
      <c r="AF147" s="134">
        <v>2747.0154438485001</v>
      </c>
      <c r="AG147" s="134">
        <v>2664.5557192886599</v>
      </c>
      <c r="AH147" s="519">
        <v>2380.7220142127098</v>
      </c>
    </row>
    <row r="148" spans="1:34" s="514" customFormat="1" ht="15" customHeight="1">
      <c r="A148" s="535">
        <v>84.22</v>
      </c>
      <c r="B148" s="515" t="s">
        <v>8895</v>
      </c>
      <c r="C148" s="517" t="s">
        <v>9051</v>
      </c>
      <c r="D148" s="134">
        <v>6015.1413562156004</v>
      </c>
      <c r="E148" s="134">
        <v>5066.7088549906402</v>
      </c>
      <c r="F148" s="134">
        <v>4902.6376259913304</v>
      </c>
      <c r="G148" s="134">
        <v>4948.4022719356199</v>
      </c>
      <c r="H148" s="134">
        <v>4762.6545733237799</v>
      </c>
      <c r="I148" s="134">
        <v>4749.3620728447804</v>
      </c>
      <c r="J148" s="134">
        <v>4618.27653405203</v>
      </c>
      <c r="K148" s="134">
        <v>4485.7817563769804</v>
      </c>
      <c r="L148" s="134">
        <v>3900.63399197331</v>
      </c>
      <c r="M148" s="134">
        <v>3828.5249425965899</v>
      </c>
      <c r="N148" s="134">
        <v>3731.1862780875199</v>
      </c>
      <c r="O148" s="134">
        <v>3509.7950214389498</v>
      </c>
      <c r="P148" s="134">
        <v>3559.96857654935</v>
      </c>
      <c r="Q148" s="134">
        <v>3656.7800594263799</v>
      </c>
      <c r="R148" s="134">
        <v>3514.77500986523</v>
      </c>
      <c r="S148" s="134">
        <v>3220.1275746087399</v>
      </c>
      <c r="T148" s="134">
        <v>3796.1414960350999</v>
      </c>
      <c r="U148" s="134">
        <v>4063.1983152636199</v>
      </c>
      <c r="V148" s="134">
        <v>3574.1946535509801</v>
      </c>
      <c r="W148" s="134">
        <v>3231.0529723233999</v>
      </c>
      <c r="X148" s="134">
        <v>3169.3499112863901</v>
      </c>
      <c r="Y148" s="134">
        <v>2983.607582956</v>
      </c>
      <c r="Z148" s="134">
        <v>2745.9785320682299</v>
      </c>
      <c r="AA148" s="134">
        <v>2492.46517163309</v>
      </c>
      <c r="AB148" s="134">
        <v>2189.3821964571698</v>
      </c>
      <c r="AC148" s="134">
        <v>1818.6438894497401</v>
      </c>
      <c r="AD148" s="134">
        <v>1703.87803479013</v>
      </c>
      <c r="AE148" s="134">
        <v>1744.48400908078</v>
      </c>
      <c r="AF148" s="134">
        <v>1766.47041085298</v>
      </c>
      <c r="AG148" s="134">
        <v>1879.8968908945501</v>
      </c>
      <c r="AH148" s="519">
        <v>1535.41875675507</v>
      </c>
    </row>
    <row r="149" spans="1:34" s="514" customFormat="1" ht="15" customHeight="1">
      <c r="A149" s="535">
        <v>85</v>
      </c>
      <c r="B149" s="515" t="s">
        <v>8898</v>
      </c>
      <c r="C149" s="517" t="s">
        <v>9052</v>
      </c>
      <c r="D149" s="134">
        <v>5480.0277010136697</v>
      </c>
      <c r="E149" s="134">
        <v>5808.4642388278598</v>
      </c>
      <c r="F149" s="134">
        <v>5920.44102917296</v>
      </c>
      <c r="G149" s="134">
        <v>5030.1581723013696</v>
      </c>
      <c r="H149" s="134">
        <v>4503.0146583498799</v>
      </c>
      <c r="I149" s="134">
        <v>4204.6079182678504</v>
      </c>
      <c r="J149" s="134">
        <v>5352.9234847814596</v>
      </c>
      <c r="K149" s="134">
        <v>5975.8470217610802</v>
      </c>
      <c r="L149" s="134">
        <v>5231.6235941473597</v>
      </c>
      <c r="M149" s="134">
        <v>4925.13411064302</v>
      </c>
      <c r="N149" s="134">
        <v>4590.2376432350202</v>
      </c>
      <c r="O149" s="134">
        <v>4256.4421555848403</v>
      </c>
      <c r="P149" s="134">
        <v>3659.4870537685601</v>
      </c>
      <c r="Q149" s="134">
        <v>3698.2232298891599</v>
      </c>
      <c r="R149" s="134">
        <v>3689.9530954259799</v>
      </c>
      <c r="S149" s="134">
        <v>3647.73476944292</v>
      </c>
      <c r="T149" s="134">
        <v>3877.8131813478499</v>
      </c>
      <c r="U149" s="134">
        <v>3544.8518932986599</v>
      </c>
      <c r="V149" s="134">
        <v>3360.4349770394601</v>
      </c>
      <c r="W149" s="134">
        <v>3158.1834825533101</v>
      </c>
      <c r="X149" s="134">
        <v>3381.2195561523799</v>
      </c>
      <c r="Y149" s="134">
        <v>2785.2206685767201</v>
      </c>
      <c r="Z149" s="134">
        <v>3090.5856530072801</v>
      </c>
      <c r="AA149" s="134">
        <v>3019.5157878105201</v>
      </c>
      <c r="AB149" s="134">
        <v>2616.4301918676101</v>
      </c>
      <c r="AC149" s="134">
        <v>2833.3809843665399</v>
      </c>
      <c r="AD149" s="134">
        <v>2772.0010335616198</v>
      </c>
      <c r="AE149" s="134">
        <v>2826.85819618298</v>
      </c>
      <c r="AF149" s="134">
        <v>2668.9472699416301</v>
      </c>
      <c r="AG149" s="134">
        <v>2552.5568061439999</v>
      </c>
      <c r="AH149" s="519">
        <v>2348.9149824205401</v>
      </c>
    </row>
    <row r="150" spans="1:34" s="514" customFormat="1" ht="15" customHeight="1">
      <c r="A150" s="535">
        <v>86</v>
      </c>
      <c r="B150" s="515" t="s">
        <v>8901</v>
      </c>
      <c r="C150" s="517" t="s">
        <v>9053</v>
      </c>
      <c r="D150" s="134">
        <v>4346.1205218305804</v>
      </c>
      <c r="E150" s="134">
        <v>4551.8816145986802</v>
      </c>
      <c r="F150" s="134">
        <v>4750.3617259944604</v>
      </c>
      <c r="G150" s="134">
        <v>4636.9592863157504</v>
      </c>
      <c r="H150" s="134">
        <v>4730.3254965482802</v>
      </c>
      <c r="I150" s="134">
        <v>4722.4424717410702</v>
      </c>
      <c r="J150" s="134">
        <v>5010.3259028004304</v>
      </c>
      <c r="K150" s="134">
        <v>3842.4957321720999</v>
      </c>
      <c r="L150" s="134">
        <v>4066.37543153771</v>
      </c>
      <c r="M150" s="134">
        <v>3813.6941982237099</v>
      </c>
      <c r="N150" s="134">
        <v>3498.5739635554801</v>
      </c>
      <c r="O150" s="134">
        <v>3728.43841196823</v>
      </c>
      <c r="P150" s="134">
        <v>3229.6745360779601</v>
      </c>
      <c r="Q150" s="134">
        <v>3059.9852458089399</v>
      </c>
      <c r="R150" s="134">
        <v>3614.0808135735901</v>
      </c>
      <c r="S150" s="134">
        <v>4281.9833714446504</v>
      </c>
      <c r="T150" s="134">
        <v>3477.75769328141</v>
      </c>
      <c r="U150" s="134">
        <v>3511.1076457445402</v>
      </c>
      <c r="V150" s="134">
        <v>4010.8637432750202</v>
      </c>
      <c r="W150" s="134">
        <v>4035.1744160273001</v>
      </c>
      <c r="X150" s="134">
        <v>4345.3853981606699</v>
      </c>
      <c r="Y150" s="134">
        <v>3925.77469742833</v>
      </c>
      <c r="Z150" s="134">
        <v>4230.9143175373001</v>
      </c>
      <c r="AA150" s="134">
        <v>4630.0099875527403</v>
      </c>
      <c r="AB150" s="134">
        <v>4197.3960988930703</v>
      </c>
      <c r="AC150" s="134">
        <v>3962.57975646757</v>
      </c>
      <c r="AD150" s="134">
        <v>4088.4826598514501</v>
      </c>
      <c r="AE150" s="134">
        <v>3837.25692860959</v>
      </c>
      <c r="AF150" s="134">
        <v>3887.1539175397502</v>
      </c>
      <c r="AG150" s="134">
        <v>3837.70303817886</v>
      </c>
      <c r="AH150" s="519">
        <v>3628.61243540747</v>
      </c>
    </row>
    <row r="151" spans="1:34" s="514" customFormat="1" ht="15" customHeight="1">
      <c r="A151" s="535">
        <v>87</v>
      </c>
      <c r="B151" s="515" t="s">
        <v>8901</v>
      </c>
      <c r="C151" s="517" t="s">
        <v>9054</v>
      </c>
      <c r="D151" s="134">
        <v>893.33088215079499</v>
      </c>
      <c r="E151" s="134">
        <v>958.39523642487302</v>
      </c>
      <c r="F151" s="134">
        <v>1061.33337572541</v>
      </c>
      <c r="G151" s="134">
        <v>974.56947414837498</v>
      </c>
      <c r="H151" s="134">
        <v>955.95040178644797</v>
      </c>
      <c r="I151" s="134">
        <v>868.54844401138803</v>
      </c>
      <c r="J151" s="134">
        <v>996.69650108943802</v>
      </c>
      <c r="K151" s="134">
        <v>1098.2931137271601</v>
      </c>
      <c r="L151" s="134">
        <v>1034.51475223528</v>
      </c>
      <c r="M151" s="134">
        <v>913.34814137777005</v>
      </c>
      <c r="N151" s="134">
        <v>747.05261850633099</v>
      </c>
      <c r="O151" s="134">
        <v>791.38520923143301</v>
      </c>
      <c r="P151" s="134">
        <v>493.88532689219397</v>
      </c>
      <c r="Q151" s="134">
        <v>384.722207947767</v>
      </c>
      <c r="R151" s="134">
        <v>408.20930503528803</v>
      </c>
      <c r="S151" s="134">
        <v>574.87411534533896</v>
      </c>
      <c r="T151" s="134">
        <v>533.42649934754104</v>
      </c>
      <c r="U151" s="134">
        <v>527.64795781386999</v>
      </c>
      <c r="V151" s="134">
        <v>536.74929754410402</v>
      </c>
      <c r="W151" s="134">
        <v>474.43381818160702</v>
      </c>
      <c r="X151" s="134">
        <v>503.25785260543103</v>
      </c>
      <c r="Y151" s="134">
        <v>468.34400818804801</v>
      </c>
      <c r="Z151" s="134">
        <v>584.66123624059503</v>
      </c>
      <c r="AA151" s="134">
        <v>620.11142038241996</v>
      </c>
      <c r="AB151" s="134">
        <v>539.21777546464398</v>
      </c>
      <c r="AC151" s="134">
        <v>616.08819747829102</v>
      </c>
      <c r="AD151" s="134">
        <v>647.37700900752805</v>
      </c>
      <c r="AE151" s="134">
        <v>664.57225278958401</v>
      </c>
      <c r="AF151" s="134">
        <v>722.85697590089103</v>
      </c>
      <c r="AG151" s="134">
        <v>611.59727906365401</v>
      </c>
      <c r="AH151" s="519">
        <v>561.46373521194801</v>
      </c>
    </row>
    <row r="152" spans="1:34" s="514" customFormat="1" ht="15" customHeight="1">
      <c r="A152" s="535">
        <v>88</v>
      </c>
      <c r="B152" s="515" t="s">
        <v>8901</v>
      </c>
      <c r="C152" s="517" t="s">
        <v>9055</v>
      </c>
      <c r="D152" s="134">
        <v>503.07398522152698</v>
      </c>
      <c r="E152" s="134">
        <v>556.70097107380695</v>
      </c>
      <c r="F152" s="134">
        <v>602.72665851715999</v>
      </c>
      <c r="G152" s="134">
        <v>486.87235276820599</v>
      </c>
      <c r="H152" s="134">
        <v>486.82474300187602</v>
      </c>
      <c r="I152" s="134">
        <v>498.02961626664103</v>
      </c>
      <c r="J152" s="134">
        <v>611.70478356046897</v>
      </c>
      <c r="K152" s="134">
        <v>862.97026705998996</v>
      </c>
      <c r="L152" s="134">
        <v>807.33928975122797</v>
      </c>
      <c r="M152" s="134">
        <v>735.49912322477496</v>
      </c>
      <c r="N152" s="134">
        <v>620.98388810033202</v>
      </c>
      <c r="O152" s="134">
        <v>682.42717531912797</v>
      </c>
      <c r="P152" s="134">
        <v>488.71640235204302</v>
      </c>
      <c r="Q152" s="134">
        <v>398.43346084049801</v>
      </c>
      <c r="R152" s="134">
        <v>443.86596128299402</v>
      </c>
      <c r="S152" s="134">
        <v>627.98239229175294</v>
      </c>
      <c r="T152" s="134">
        <v>612.80760913511904</v>
      </c>
      <c r="U152" s="134">
        <v>590.34614212094903</v>
      </c>
      <c r="V152" s="134">
        <v>588.98009213747901</v>
      </c>
      <c r="W152" s="134">
        <v>574.05906019156805</v>
      </c>
      <c r="X152" s="134">
        <v>577.85617690846004</v>
      </c>
      <c r="Y152" s="134">
        <v>517.332361297278</v>
      </c>
      <c r="Z152" s="134">
        <v>667.62553307064104</v>
      </c>
      <c r="AA152" s="134">
        <v>719.09524404556896</v>
      </c>
      <c r="AB152" s="134">
        <v>615.42006096109503</v>
      </c>
      <c r="AC152" s="134">
        <v>717.05936246679005</v>
      </c>
      <c r="AD152" s="134">
        <v>753.55127025939601</v>
      </c>
      <c r="AE152" s="134">
        <v>774.42521398901897</v>
      </c>
      <c r="AF152" s="134">
        <v>842.36040517744902</v>
      </c>
      <c r="AG152" s="134">
        <v>713.30456511575301</v>
      </c>
      <c r="AH152" s="519">
        <v>654.14688991494597</v>
      </c>
    </row>
    <row r="153" spans="1:34" s="514" customFormat="1" ht="15" customHeight="1">
      <c r="A153" s="535">
        <v>90</v>
      </c>
      <c r="B153" s="515" t="s">
        <v>8904</v>
      </c>
      <c r="C153" s="517" t="s">
        <v>9056</v>
      </c>
      <c r="D153" s="134">
        <v>250.40111516203299</v>
      </c>
      <c r="E153" s="134">
        <v>264.47989169025698</v>
      </c>
      <c r="F153" s="134">
        <v>235.26974844974399</v>
      </c>
      <c r="G153" s="134">
        <v>256.286680589176</v>
      </c>
      <c r="H153" s="134">
        <v>261.85319509288502</v>
      </c>
      <c r="I153" s="134">
        <v>259.77323464533703</v>
      </c>
      <c r="J153" s="134">
        <v>270.49647362958802</v>
      </c>
      <c r="K153" s="134">
        <v>237.75764241156099</v>
      </c>
      <c r="L153" s="134">
        <v>250.524787419885</v>
      </c>
      <c r="M153" s="134">
        <v>229.88393709638601</v>
      </c>
      <c r="N153" s="134">
        <v>225.21639696400601</v>
      </c>
      <c r="O153" s="134">
        <v>290.57727336192698</v>
      </c>
      <c r="P153" s="134">
        <v>228.223100571879</v>
      </c>
      <c r="Q153" s="134">
        <v>223.31597186916699</v>
      </c>
      <c r="R153" s="134">
        <v>219.292875299889</v>
      </c>
      <c r="S153" s="134">
        <v>227.75025601020999</v>
      </c>
      <c r="T153" s="134">
        <v>165.05161366631401</v>
      </c>
      <c r="U153" s="134">
        <v>152.79599222837999</v>
      </c>
      <c r="V153" s="134">
        <v>168.440265018205</v>
      </c>
      <c r="W153" s="134">
        <v>152.83096448371899</v>
      </c>
      <c r="X153" s="134">
        <v>137.81773325154799</v>
      </c>
      <c r="Y153" s="134">
        <v>127.161554463337</v>
      </c>
      <c r="Z153" s="134">
        <v>129.01566356928799</v>
      </c>
      <c r="AA153" s="134">
        <v>124.24781612589</v>
      </c>
      <c r="AB153" s="134">
        <v>116.076666709064</v>
      </c>
      <c r="AC153" s="134">
        <v>111.25228268523399</v>
      </c>
      <c r="AD153" s="134">
        <v>113.58578287823499</v>
      </c>
      <c r="AE153" s="134">
        <v>108.372401056162</v>
      </c>
      <c r="AF153" s="134">
        <v>103.544292207583</v>
      </c>
      <c r="AG153" s="134">
        <v>103.85404095473601</v>
      </c>
      <c r="AH153" s="519">
        <v>75.017829287991304</v>
      </c>
    </row>
    <row r="154" spans="1:34" s="514" customFormat="1" ht="15" customHeight="1">
      <c r="A154" s="535">
        <v>91</v>
      </c>
      <c r="B154" s="515" t="s">
        <v>8904</v>
      </c>
      <c r="C154" s="517" t="s">
        <v>9057</v>
      </c>
      <c r="D154" s="134">
        <v>166.29173616384099</v>
      </c>
      <c r="E154" s="134">
        <v>172.32541242696499</v>
      </c>
      <c r="F154" s="134">
        <v>150.996994565573</v>
      </c>
      <c r="G154" s="134">
        <v>155.511159676175</v>
      </c>
      <c r="H154" s="134">
        <v>144.35916169342701</v>
      </c>
      <c r="I154" s="134">
        <v>137.508014580854</v>
      </c>
      <c r="J154" s="134">
        <v>137.11993376896001</v>
      </c>
      <c r="K154" s="134">
        <v>121.520918277558</v>
      </c>
      <c r="L154" s="134">
        <v>115.300653066593</v>
      </c>
      <c r="M154" s="134">
        <v>103.998078919756</v>
      </c>
      <c r="N154" s="134">
        <v>101.757586214291</v>
      </c>
      <c r="O154" s="134">
        <v>97.436896399801597</v>
      </c>
      <c r="P154" s="134">
        <v>79.996633501906999</v>
      </c>
      <c r="Q154" s="134">
        <v>78.587444319161705</v>
      </c>
      <c r="R154" s="134">
        <v>75.473183156934496</v>
      </c>
      <c r="S154" s="134">
        <v>87.731182970931499</v>
      </c>
      <c r="T154" s="134">
        <v>61.679208643990599</v>
      </c>
      <c r="U154" s="134">
        <v>56.239563772218503</v>
      </c>
      <c r="V154" s="134">
        <v>59.876760130215501</v>
      </c>
      <c r="W154" s="134">
        <v>49.957042057969304</v>
      </c>
      <c r="X154" s="134">
        <v>49.454324264386798</v>
      </c>
      <c r="Y154" s="134">
        <v>43.705566155790002</v>
      </c>
      <c r="Z154" s="134">
        <v>45.9153147924821</v>
      </c>
      <c r="AA154" s="134">
        <v>45.122511544070001</v>
      </c>
      <c r="AB154" s="134">
        <v>41.503203688316503</v>
      </c>
      <c r="AC154" s="134">
        <v>39.838510535435702</v>
      </c>
      <c r="AD154" s="134">
        <v>41.031002361627898</v>
      </c>
      <c r="AE154" s="134">
        <v>40.010646622049798</v>
      </c>
      <c r="AF154" s="134">
        <v>39.619283299103998</v>
      </c>
      <c r="AG154" s="134">
        <v>39.720330286437097</v>
      </c>
      <c r="AH154" s="519">
        <v>32.530229009400003</v>
      </c>
    </row>
    <row r="155" spans="1:34" s="514" customFormat="1" ht="15" customHeight="1">
      <c r="A155" s="535">
        <v>92</v>
      </c>
      <c r="B155" s="515" t="s">
        <v>8904</v>
      </c>
      <c r="C155" s="517" t="s">
        <v>9058</v>
      </c>
      <c r="D155" s="134">
        <v>247.394230691834</v>
      </c>
      <c r="E155" s="134">
        <v>265.35609987688201</v>
      </c>
      <c r="F155" s="134">
        <v>240.142249701407</v>
      </c>
      <c r="G155" s="134">
        <v>249.65010780329499</v>
      </c>
      <c r="H155" s="134">
        <v>237.80906364473699</v>
      </c>
      <c r="I155" s="134">
        <v>231.87735396841899</v>
      </c>
      <c r="J155" s="134">
        <v>234.69134797931099</v>
      </c>
      <c r="K155" s="134">
        <v>211.52372798587399</v>
      </c>
      <c r="L155" s="134">
        <v>214.514021437834</v>
      </c>
      <c r="M155" s="134">
        <v>209.98256988204199</v>
      </c>
      <c r="N155" s="134">
        <v>210.69835025964599</v>
      </c>
      <c r="O155" s="134">
        <v>200.53772863865899</v>
      </c>
      <c r="P155" s="134">
        <v>165.79102189698699</v>
      </c>
      <c r="Q155" s="134">
        <v>164.99939641008999</v>
      </c>
      <c r="R155" s="134">
        <v>154.22481033546299</v>
      </c>
      <c r="S155" s="134">
        <v>159.77000944339301</v>
      </c>
      <c r="T155" s="134">
        <v>125.431723113</v>
      </c>
      <c r="U155" s="134">
        <v>114.973147970227</v>
      </c>
      <c r="V155" s="134">
        <v>122.81740009384799</v>
      </c>
      <c r="W155" s="134">
        <v>97.573133610855095</v>
      </c>
      <c r="X155" s="134">
        <v>96.955633971802101</v>
      </c>
      <c r="Y155" s="134">
        <v>85.228859688237407</v>
      </c>
      <c r="Z155" s="134">
        <v>88.565299808517594</v>
      </c>
      <c r="AA155" s="134">
        <v>86.063343406985993</v>
      </c>
      <c r="AB155" s="134">
        <v>76.755214857904093</v>
      </c>
      <c r="AC155" s="134">
        <v>75.732922722516406</v>
      </c>
      <c r="AD155" s="134">
        <v>76.638542425037997</v>
      </c>
      <c r="AE155" s="134">
        <v>74.273694532578205</v>
      </c>
      <c r="AF155" s="134">
        <v>71.867028286385505</v>
      </c>
      <c r="AG155" s="134">
        <v>71.521728222633101</v>
      </c>
      <c r="AH155" s="519">
        <v>62.139400926768602</v>
      </c>
    </row>
    <row r="156" spans="1:34" s="514" customFormat="1" ht="15" customHeight="1">
      <c r="A156" s="535">
        <v>93</v>
      </c>
      <c r="B156" s="515" t="s">
        <v>8904</v>
      </c>
      <c r="C156" s="517" t="s">
        <v>9059</v>
      </c>
      <c r="D156" s="134">
        <v>976.08897525228701</v>
      </c>
      <c r="E156" s="134">
        <v>1056.9385953998899</v>
      </c>
      <c r="F156" s="134">
        <v>971.47582789984301</v>
      </c>
      <c r="G156" s="134">
        <v>1019.43069461486</v>
      </c>
      <c r="H156" s="134">
        <v>1000.56495822304</v>
      </c>
      <c r="I156" s="134">
        <v>1002.44080559733</v>
      </c>
      <c r="J156" s="134">
        <v>1047.19459041615</v>
      </c>
      <c r="K156" s="134">
        <v>955.83593265956097</v>
      </c>
      <c r="L156" s="134">
        <v>989.66240721831298</v>
      </c>
      <c r="M156" s="134">
        <v>998.83839942771704</v>
      </c>
      <c r="N156" s="134">
        <v>1015.21558747113</v>
      </c>
      <c r="O156" s="134">
        <v>1003.3215451697</v>
      </c>
      <c r="P156" s="134">
        <v>883.70055417313904</v>
      </c>
      <c r="Q156" s="134">
        <v>915.74115763108102</v>
      </c>
      <c r="R156" s="134">
        <v>897.040826064155</v>
      </c>
      <c r="S156" s="134">
        <v>942.42492457686001</v>
      </c>
      <c r="T156" s="134">
        <v>820.83327859492294</v>
      </c>
      <c r="U156" s="134">
        <v>788.87374841113694</v>
      </c>
      <c r="V156" s="134">
        <v>884.577409071999</v>
      </c>
      <c r="W156" s="134">
        <v>762.93123132324104</v>
      </c>
      <c r="X156" s="134">
        <v>780.90730751761896</v>
      </c>
      <c r="Y156" s="134">
        <v>716.00387488732304</v>
      </c>
      <c r="Z156" s="134">
        <v>770.89154168474101</v>
      </c>
      <c r="AA156" s="134">
        <v>773.87428384799898</v>
      </c>
      <c r="AB156" s="134">
        <v>714.27136094771402</v>
      </c>
      <c r="AC156" s="134">
        <v>755.657691338002</v>
      </c>
      <c r="AD156" s="134">
        <v>773.08589647763301</v>
      </c>
      <c r="AE156" s="134">
        <v>770.58925833553997</v>
      </c>
      <c r="AF156" s="134">
        <v>760.47075942357105</v>
      </c>
      <c r="AG156" s="134">
        <v>763.48506733918998</v>
      </c>
      <c r="AH156" s="519">
        <v>694.67397409665398</v>
      </c>
    </row>
    <row r="157" spans="1:34" s="514" customFormat="1" ht="15" customHeight="1">
      <c r="A157" s="535">
        <v>94</v>
      </c>
      <c r="B157" s="515" t="s">
        <v>8907</v>
      </c>
      <c r="C157" s="517" t="s">
        <v>9060</v>
      </c>
      <c r="D157" s="134">
        <v>464.76349355026701</v>
      </c>
      <c r="E157" s="134">
        <v>511.854951861627</v>
      </c>
      <c r="F157" s="134">
        <v>477.76977614081397</v>
      </c>
      <c r="G157" s="134">
        <v>509.145165534684</v>
      </c>
      <c r="H157" s="134">
        <v>493.29336866917401</v>
      </c>
      <c r="I157" s="134">
        <v>501.03684992699198</v>
      </c>
      <c r="J157" s="134">
        <v>527.08296165096499</v>
      </c>
      <c r="K157" s="134">
        <v>465.09892805473902</v>
      </c>
      <c r="L157" s="134">
        <v>484.59109469998901</v>
      </c>
      <c r="M157" s="134">
        <v>477.86726019637302</v>
      </c>
      <c r="N157" s="134">
        <v>493.80467141509598</v>
      </c>
      <c r="O157" s="134">
        <v>470.82472280637302</v>
      </c>
      <c r="P157" s="134">
        <v>389.43835108438401</v>
      </c>
      <c r="Q157" s="134">
        <v>395.50936185080599</v>
      </c>
      <c r="R157" s="134">
        <v>371.55702506792801</v>
      </c>
      <c r="S157" s="134">
        <v>390.77531153028798</v>
      </c>
      <c r="T157" s="134">
        <v>312.95873124477498</v>
      </c>
      <c r="U157" s="134">
        <v>292.85062406118902</v>
      </c>
      <c r="V157" s="134">
        <v>345.63444943342802</v>
      </c>
      <c r="W157" s="134">
        <v>278.30734357384</v>
      </c>
      <c r="X157" s="134">
        <v>291.73872977819502</v>
      </c>
      <c r="Y157" s="134">
        <v>256.72636351088403</v>
      </c>
      <c r="Z157" s="134">
        <v>283.591345529671</v>
      </c>
      <c r="AA157" s="134">
        <v>288.85116950015902</v>
      </c>
      <c r="AB157" s="134">
        <v>251.839470075375</v>
      </c>
      <c r="AC157" s="134">
        <v>284.21657975837599</v>
      </c>
      <c r="AD157" s="134">
        <v>282.63084536247402</v>
      </c>
      <c r="AE157" s="134">
        <v>278.90832288666201</v>
      </c>
      <c r="AF157" s="134">
        <v>280.51610484707697</v>
      </c>
      <c r="AG157" s="134">
        <v>278.13720623256597</v>
      </c>
      <c r="AH157" s="519">
        <v>271.99222350297498</v>
      </c>
    </row>
    <row r="158" spans="1:34" s="514" customFormat="1" ht="15" customHeight="1">
      <c r="A158" s="535">
        <v>95</v>
      </c>
      <c r="B158" s="515" t="s">
        <v>8907</v>
      </c>
      <c r="C158" s="517" t="s">
        <v>9061</v>
      </c>
      <c r="D158" s="134">
        <v>90.551026765849002</v>
      </c>
      <c r="E158" s="134">
        <v>91.629918136878601</v>
      </c>
      <c r="F158" s="134">
        <v>89.412060066431295</v>
      </c>
      <c r="G158" s="134">
        <v>91.508188978107697</v>
      </c>
      <c r="H158" s="134">
        <v>94.860566933424593</v>
      </c>
      <c r="I158" s="134">
        <v>96.114908601321005</v>
      </c>
      <c r="J158" s="134">
        <v>96.607961422778502</v>
      </c>
      <c r="K158" s="134">
        <v>94.032002020022702</v>
      </c>
      <c r="L158" s="134">
        <v>93.100733863849499</v>
      </c>
      <c r="M158" s="134">
        <v>94.387778096444507</v>
      </c>
      <c r="N158" s="134">
        <v>93.601584436503302</v>
      </c>
      <c r="O158" s="134">
        <v>89.190865213513007</v>
      </c>
      <c r="P158" s="134">
        <v>84.350224638059998</v>
      </c>
      <c r="Q158" s="134">
        <v>83.386735528821603</v>
      </c>
      <c r="R158" s="134">
        <v>80.814660617575797</v>
      </c>
      <c r="S158" s="134">
        <v>77.885723349119502</v>
      </c>
      <c r="T158" s="134">
        <v>74.789538271149198</v>
      </c>
      <c r="U158" s="134">
        <v>72.066717601670703</v>
      </c>
      <c r="V158" s="134">
        <v>70.453240637316895</v>
      </c>
      <c r="W158" s="134">
        <v>71.768159978552106</v>
      </c>
      <c r="X158" s="134">
        <v>65.882383765762597</v>
      </c>
      <c r="Y158" s="134">
        <v>63.093222891123503</v>
      </c>
      <c r="Z158" s="134">
        <v>63.055591808052696</v>
      </c>
      <c r="AA158" s="134">
        <v>61.883807929143401</v>
      </c>
      <c r="AB158" s="134">
        <v>61.078201445794498</v>
      </c>
      <c r="AC158" s="134">
        <v>63.502000025984898</v>
      </c>
      <c r="AD158" s="134">
        <v>66.273876397459503</v>
      </c>
      <c r="AE158" s="134">
        <v>64.884009400177106</v>
      </c>
      <c r="AF158" s="134">
        <v>64.747497165524706</v>
      </c>
      <c r="AG158" s="134">
        <v>64.629673925543599</v>
      </c>
      <c r="AH158" s="519">
        <v>50.378072203718801</v>
      </c>
    </row>
    <row r="159" spans="1:34" s="514" customFormat="1" ht="15" customHeight="1">
      <c r="A159" s="535">
        <v>96</v>
      </c>
      <c r="B159" s="515" t="s">
        <v>8907</v>
      </c>
      <c r="C159" s="517" t="s">
        <v>9062</v>
      </c>
      <c r="D159" s="134">
        <v>562.71674987931397</v>
      </c>
      <c r="E159" s="134">
        <v>613.72247524440195</v>
      </c>
      <c r="F159" s="134">
        <v>590.49004972157798</v>
      </c>
      <c r="G159" s="134">
        <v>613.73271270708904</v>
      </c>
      <c r="H159" s="134">
        <v>626.58199848408594</v>
      </c>
      <c r="I159" s="134">
        <v>643.16426807483901</v>
      </c>
      <c r="J159" s="134">
        <v>668.19462315404201</v>
      </c>
      <c r="K159" s="134">
        <v>626.52358676436302</v>
      </c>
      <c r="L159" s="134">
        <v>655.13431372525599</v>
      </c>
      <c r="M159" s="134">
        <v>683.36096257572603</v>
      </c>
      <c r="N159" s="134">
        <v>690.422196548996</v>
      </c>
      <c r="O159" s="134">
        <v>685.92156218677303</v>
      </c>
      <c r="P159" s="134">
        <v>626.02758023993999</v>
      </c>
      <c r="Q159" s="134">
        <v>658.47416498130895</v>
      </c>
      <c r="R159" s="134">
        <v>648.40080547180298</v>
      </c>
      <c r="S159" s="134">
        <v>662.29784483041999</v>
      </c>
      <c r="T159" s="134">
        <v>683.70677104574702</v>
      </c>
      <c r="U159" s="134">
        <v>621.91040895886101</v>
      </c>
      <c r="V159" s="134">
        <v>731.19207560532197</v>
      </c>
      <c r="W159" s="134">
        <v>622.47375737741697</v>
      </c>
      <c r="X159" s="134">
        <v>621.44147632044599</v>
      </c>
      <c r="Y159" s="134">
        <v>576.59987586182297</v>
      </c>
      <c r="Z159" s="134">
        <v>617.14383514856104</v>
      </c>
      <c r="AA159" s="134">
        <v>620.45320455565604</v>
      </c>
      <c r="AB159" s="134">
        <v>574.78603351686695</v>
      </c>
      <c r="AC159" s="134">
        <v>603.79947359752396</v>
      </c>
      <c r="AD159" s="134">
        <v>623.73061522276396</v>
      </c>
      <c r="AE159" s="134">
        <v>613.80330672163404</v>
      </c>
      <c r="AF159" s="134">
        <v>597.84207552387898</v>
      </c>
      <c r="AG159" s="134">
        <v>599.795687704486</v>
      </c>
      <c r="AH159" s="519">
        <v>509.55338449208</v>
      </c>
    </row>
    <row r="160" spans="1:34" s="514" customFormat="1" ht="15" customHeight="1">
      <c r="A160" s="535">
        <v>97</v>
      </c>
      <c r="B160" s="515" t="s">
        <v>8910</v>
      </c>
      <c r="C160" s="517" t="s">
        <v>9063</v>
      </c>
      <c r="D160" s="134">
        <v>45.1512624675944</v>
      </c>
      <c r="E160" s="134">
        <v>45.462396618951303</v>
      </c>
      <c r="F160" s="134">
        <v>46.493971834646203</v>
      </c>
      <c r="G160" s="134">
        <v>47.519859199400798</v>
      </c>
      <c r="H160" s="134">
        <v>50.091917885197297</v>
      </c>
      <c r="I160" s="134">
        <v>51.667909966309097</v>
      </c>
      <c r="J160" s="134">
        <v>50.3544633567777</v>
      </c>
      <c r="K160" s="134">
        <v>50.843237909646199</v>
      </c>
      <c r="L160" s="134">
        <v>48.7141766919651</v>
      </c>
      <c r="M160" s="134">
        <v>50.202296831220401</v>
      </c>
      <c r="N160" s="134">
        <v>60.252233721455603</v>
      </c>
      <c r="O160" s="134">
        <v>53.967546593226899</v>
      </c>
      <c r="P160" s="134">
        <v>43.321243931972901</v>
      </c>
      <c r="Q160" s="134">
        <v>35.944028060981999</v>
      </c>
      <c r="R160" s="134">
        <v>37.598393665970697</v>
      </c>
      <c r="S160" s="134">
        <v>43.351369018046398</v>
      </c>
      <c r="T160" s="134">
        <v>38.667810743527099</v>
      </c>
      <c r="U160" s="134">
        <v>32.847198503726297</v>
      </c>
      <c r="V160" s="134">
        <v>31.826834427200499</v>
      </c>
      <c r="W160" s="134">
        <v>25.209717011071099</v>
      </c>
      <c r="X160" s="134">
        <v>33.066402849877598</v>
      </c>
      <c r="Y160" s="134">
        <v>32.874616075723402</v>
      </c>
      <c r="Z160" s="134">
        <v>31.935213574391099</v>
      </c>
      <c r="AA160" s="134">
        <v>28.742860259507001</v>
      </c>
      <c r="AB160" s="134">
        <v>31.789290209252599</v>
      </c>
      <c r="AC160" s="134">
        <v>28.672270243305299</v>
      </c>
      <c r="AD160" s="134">
        <v>35.087864215208299</v>
      </c>
      <c r="AE160" s="134">
        <v>30.7282902327137</v>
      </c>
      <c r="AF160" s="134">
        <v>30.624452790258299</v>
      </c>
      <c r="AG160" s="134">
        <v>33.229940411716598</v>
      </c>
      <c r="AH160" s="519">
        <v>22.816502371249801</v>
      </c>
    </row>
    <row r="161" spans="1:34" s="514" customFormat="1" ht="15" customHeight="1">
      <c r="A161" s="535">
        <v>100</v>
      </c>
      <c r="B161" s="515" t="s">
        <v>8613</v>
      </c>
      <c r="C161" s="517" t="s">
        <v>9064</v>
      </c>
      <c r="D161" s="134">
        <v>80617.924418530107</v>
      </c>
      <c r="E161" s="134">
        <v>89519.517514836902</v>
      </c>
      <c r="F161" s="134">
        <v>86729.923425688394</v>
      </c>
      <c r="G161" s="134">
        <v>91042.604124751902</v>
      </c>
      <c r="H161" s="134">
        <v>86840.296140084698</v>
      </c>
      <c r="I161" s="134">
        <v>82389.987913053294</v>
      </c>
      <c r="J161" s="134">
        <v>93987.580968189402</v>
      </c>
      <c r="K161" s="134">
        <v>87073.326627430695</v>
      </c>
      <c r="L161" s="134">
        <v>89374.894580813707</v>
      </c>
      <c r="M161" s="134">
        <v>89513.637266082704</v>
      </c>
      <c r="N161" s="134">
        <v>89898.266364800103</v>
      </c>
      <c r="O161" s="134">
        <v>92351.111938656002</v>
      </c>
      <c r="P161" s="134">
        <v>89038.629727352003</v>
      </c>
      <c r="Q161" s="134">
        <v>89640.529092623401</v>
      </c>
      <c r="R161" s="134">
        <v>91207.832635025494</v>
      </c>
      <c r="S161" s="134">
        <v>86822.341704251798</v>
      </c>
      <c r="T161" s="134">
        <v>84239.907156832604</v>
      </c>
      <c r="U161" s="134">
        <v>80611.856285041198</v>
      </c>
      <c r="V161" s="134">
        <v>82384.246688912099</v>
      </c>
      <c r="W161" s="134">
        <v>79018.463169745693</v>
      </c>
      <c r="X161" s="134">
        <v>88497.060212994693</v>
      </c>
      <c r="Y161" s="134">
        <v>71005.443778142901</v>
      </c>
      <c r="Z161" s="134">
        <v>77455.145542921993</v>
      </c>
      <c r="AA161" s="134">
        <v>78305.130291560898</v>
      </c>
      <c r="AB161" s="134">
        <v>65647.870841465599</v>
      </c>
      <c r="AC161" s="134">
        <v>68214.378787583904</v>
      </c>
      <c r="AD161" s="134">
        <v>69454.142939170793</v>
      </c>
      <c r="AE161" s="134">
        <v>67185.010052190002</v>
      </c>
      <c r="AF161" s="134">
        <v>69342.942003624295</v>
      </c>
      <c r="AG161" s="134">
        <v>66586.716834991006</v>
      </c>
      <c r="AH161" s="519">
        <v>67148.459602745206</v>
      </c>
    </row>
    <row r="162" spans="1:34" s="514" customFormat="1" ht="15" customHeight="1">
      <c r="A162" s="535">
        <v>101</v>
      </c>
      <c r="B162" s="515" t="s">
        <v>8613</v>
      </c>
      <c r="C162" s="517" t="s">
        <v>9065</v>
      </c>
      <c r="D162" s="134">
        <v>60170.327645935999</v>
      </c>
      <c r="E162" s="134">
        <v>59795.845093369797</v>
      </c>
      <c r="F162" s="134">
        <v>60769.513519788903</v>
      </c>
      <c r="G162" s="134">
        <v>61212.529598754401</v>
      </c>
      <c r="H162" s="134">
        <v>60374.132558724901</v>
      </c>
      <c r="I162" s="134">
        <v>59518.7514992996</v>
      </c>
      <c r="J162" s="134">
        <v>63031.195199503403</v>
      </c>
      <c r="K162" s="134">
        <v>63967.295633935202</v>
      </c>
      <c r="L162" s="134">
        <v>63632.844353576998</v>
      </c>
      <c r="M162" s="134">
        <v>64670.269501948897</v>
      </c>
      <c r="N162" s="134">
        <v>64436.185189507203</v>
      </c>
      <c r="O162" s="134">
        <v>65696.283884314602</v>
      </c>
      <c r="P162" s="134">
        <v>68031.699429716798</v>
      </c>
      <c r="Q162" s="134">
        <v>67375.473824844797</v>
      </c>
      <c r="R162" s="134">
        <v>68444.392865048096</v>
      </c>
      <c r="S162" s="134">
        <v>68834.439981115196</v>
      </c>
      <c r="T162" s="134">
        <v>68763.794735489006</v>
      </c>
      <c r="U162" s="134">
        <v>68993.714819567307</v>
      </c>
      <c r="V162" s="134">
        <v>67197.606326124005</v>
      </c>
      <c r="W162" s="134">
        <v>66033.1709206245</v>
      </c>
      <c r="X162" s="134">
        <v>64129.245855883302</v>
      </c>
      <c r="Y162" s="134">
        <v>63382.200496652797</v>
      </c>
      <c r="Z162" s="134">
        <v>63834.593424825798</v>
      </c>
      <c r="AA162" s="134">
        <v>64224.106461186901</v>
      </c>
      <c r="AB162" s="134">
        <v>64594.628265815998</v>
      </c>
      <c r="AC162" s="134">
        <v>65781.210606293695</v>
      </c>
      <c r="AD162" s="134">
        <v>66679.029403344</v>
      </c>
      <c r="AE162" s="134">
        <v>67476.848613625101</v>
      </c>
      <c r="AF162" s="134">
        <v>67209.839206140707</v>
      </c>
      <c r="AG162" s="134">
        <v>66360.983713893394</v>
      </c>
      <c r="AH162" s="519">
        <v>51027.112725634302</v>
      </c>
    </row>
    <row r="163" spans="1:34" s="514" customFormat="1" ht="15" customHeight="1" thickBot="1">
      <c r="A163" s="515" t="s">
        <v>8613</v>
      </c>
      <c r="B163" s="515" t="s">
        <v>8613</v>
      </c>
      <c r="C163" s="517" t="s">
        <v>8915</v>
      </c>
      <c r="D163" s="519">
        <v>13111.789121908099</v>
      </c>
      <c r="E163" s="519">
        <v>12599.5434462308</v>
      </c>
      <c r="F163" s="519">
        <v>11761.757840444399</v>
      </c>
      <c r="G163" s="519">
        <v>11166.4375448017</v>
      </c>
      <c r="H163" s="519">
        <v>10743.104573472099</v>
      </c>
      <c r="I163" s="519">
        <v>10756.2998330761</v>
      </c>
      <c r="J163" s="519">
        <v>9731.8195240001096</v>
      </c>
      <c r="K163" s="519">
        <v>9176.2339308017908</v>
      </c>
      <c r="L163" s="519">
        <v>8371.4019280993998</v>
      </c>
      <c r="M163" s="519">
        <v>8485.6245106060906</v>
      </c>
      <c r="N163" s="519">
        <v>8217.7956878655095</v>
      </c>
      <c r="O163" s="519">
        <v>7572.6657180608699</v>
      </c>
      <c r="P163" s="519">
        <v>6750.4755703967803</v>
      </c>
      <c r="Q163" s="519">
        <v>6604.4317626261</v>
      </c>
      <c r="R163" s="519">
        <v>5742.5646606993296</v>
      </c>
      <c r="S163" s="519">
        <v>5368.2307048088396</v>
      </c>
      <c r="T163" s="519">
        <v>4957.44753210619</v>
      </c>
      <c r="U163" s="519">
        <v>4346.8979962181602</v>
      </c>
      <c r="V163" s="519">
        <v>3645.24571796688</v>
      </c>
      <c r="W163" s="519">
        <v>3565.2872322069702</v>
      </c>
      <c r="X163" s="519">
        <v>3509.0356733909298</v>
      </c>
      <c r="Y163" s="519">
        <v>2913.82952772099</v>
      </c>
      <c r="Z163" s="519">
        <v>3098.9002185456902</v>
      </c>
      <c r="AA163" s="519">
        <v>3044.1060754938699</v>
      </c>
      <c r="AB163" s="519">
        <v>2767.4779573276201</v>
      </c>
      <c r="AC163" s="519">
        <v>3072.8384844484999</v>
      </c>
      <c r="AD163" s="519">
        <v>3176.0288536549801</v>
      </c>
      <c r="AE163" s="519">
        <v>2974.6589279208001</v>
      </c>
      <c r="AF163" s="519">
        <v>3642.00385876058</v>
      </c>
      <c r="AG163" s="520">
        <v>4020.3266378906001</v>
      </c>
      <c r="AH163" s="521">
        <v>3659.2972824802</v>
      </c>
    </row>
    <row r="164" spans="1:34" s="537" customFormat="1" ht="17.5" customHeight="1">
      <c r="A164" s="524"/>
      <c r="B164" s="524"/>
      <c r="C164" s="536" t="s">
        <v>8916</v>
      </c>
      <c r="D164" s="525">
        <v>806258.31028923905</v>
      </c>
      <c r="E164" s="525">
        <v>814572.26132290403</v>
      </c>
      <c r="F164" s="525">
        <v>793038.39529483102</v>
      </c>
      <c r="G164" s="525">
        <v>773070.961923594</v>
      </c>
      <c r="H164" s="525">
        <v>761756.87937338301</v>
      </c>
      <c r="I164" s="525">
        <v>755436.70356422698</v>
      </c>
      <c r="J164" s="525">
        <v>775185.68865237106</v>
      </c>
      <c r="K164" s="525">
        <v>750466.46541253303</v>
      </c>
      <c r="L164" s="525">
        <v>748296.87012461096</v>
      </c>
      <c r="M164" s="525">
        <v>718475.919554502</v>
      </c>
      <c r="N164" s="525">
        <v>718235.96323508304</v>
      </c>
      <c r="O164" s="525">
        <v>720796.391596284</v>
      </c>
      <c r="P164" s="525">
        <v>698486.72355612705</v>
      </c>
      <c r="Q164" s="525">
        <v>704944.16594972403</v>
      </c>
      <c r="R164" s="525">
        <v>700620.74547198496</v>
      </c>
      <c r="S164" s="525">
        <v>692334.10608894599</v>
      </c>
      <c r="T164" s="525">
        <v>684617.05622497597</v>
      </c>
      <c r="U164" s="525">
        <v>672065.32353057305</v>
      </c>
      <c r="V164" s="525">
        <v>650526.86288817902</v>
      </c>
      <c r="W164" s="525">
        <v>594304.48074329598</v>
      </c>
      <c r="X164" s="525">
        <v>608576.39865237498</v>
      </c>
      <c r="Y164" s="525">
        <v>562829.15311143198</v>
      </c>
      <c r="Z164" s="525">
        <v>579277.85758945404</v>
      </c>
      <c r="AA164" s="525">
        <v>565622.22259622801</v>
      </c>
      <c r="AB164" s="525">
        <v>525235.38520736306</v>
      </c>
      <c r="AC164" s="525">
        <v>507911.16539185698</v>
      </c>
      <c r="AD164" s="525">
        <v>483062.88782101002</v>
      </c>
      <c r="AE164" s="525">
        <v>471646.00775683799</v>
      </c>
      <c r="AF164" s="525">
        <v>463463.23534896597</v>
      </c>
      <c r="AG164" s="525">
        <v>447877.43626689602</v>
      </c>
      <c r="AH164" s="526">
        <v>405513.56947270001</v>
      </c>
    </row>
    <row r="165" spans="1:34" ht="12.75" customHeight="1">
      <c r="C165" s="539"/>
      <c r="D165" s="540"/>
      <c r="E165" s="540"/>
      <c r="F165" s="540"/>
      <c r="G165" s="540"/>
      <c r="H165" s="540"/>
      <c r="I165" s="540"/>
      <c r="J165" s="540"/>
      <c r="K165" s="540"/>
      <c r="L165" s="540"/>
      <c r="M165" s="540"/>
      <c r="N165" s="540"/>
      <c r="O165" s="540"/>
      <c r="P165" s="540"/>
      <c r="Q165" s="540"/>
      <c r="R165" s="540"/>
      <c r="S165" s="540"/>
      <c r="T165" s="540"/>
      <c r="U165" s="540"/>
      <c r="V165" s="540"/>
      <c r="W165" s="540"/>
      <c r="X165" s="540"/>
      <c r="Y165" s="540"/>
      <c r="Z165" s="540"/>
      <c r="AA165" s="540"/>
      <c r="AB165" s="540"/>
      <c r="AC165" s="540"/>
      <c r="AD165" s="540"/>
      <c r="AE165" s="540"/>
      <c r="AF165" s="540"/>
      <c r="AG165" s="540"/>
    </row>
    <row r="166" spans="1:34" ht="12.75" customHeight="1">
      <c r="A166" s="541"/>
      <c r="B166" s="541"/>
      <c r="C166" s="542"/>
      <c r="D166" s="543"/>
      <c r="E166" s="542"/>
    </row>
  </sheetData>
  <pageMargins left="0.7" right="0.7" top="0.75" bottom="0.75" header="0.3" footer="0.3"/>
  <tableParts count="2">
    <tablePart r:id="rId1"/>
    <tablePart r:id="rId2"/>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E328-FAAA-314C-9C89-E7627D71D722}">
  <dimension ref="A1:W69"/>
  <sheetViews>
    <sheetView topLeftCell="A24" zoomScale="60" zoomScaleNormal="60" workbookViewId="0">
      <selection activeCell="X22" sqref="X22"/>
    </sheetView>
  </sheetViews>
  <sheetFormatPr baseColWidth="10" defaultRowHeight="16"/>
  <cols>
    <col min="5" max="6" width="11.33203125" customWidth="1"/>
    <col min="17" max="17" width="18.1640625" bestFit="1" customWidth="1"/>
    <col min="23" max="23" width="16.33203125" bestFit="1" customWidth="1"/>
  </cols>
  <sheetData>
    <row r="1" spans="1:23">
      <c r="A1" s="218"/>
      <c r="B1" s="221"/>
      <c r="C1" s="179" t="s">
        <v>7709</v>
      </c>
      <c r="D1" s="220"/>
      <c r="E1" s="220"/>
      <c r="F1" s="220"/>
      <c r="G1" s="220"/>
      <c r="H1" s="220"/>
      <c r="I1" s="220"/>
      <c r="J1" s="179" t="s">
        <v>7711</v>
      </c>
      <c r="K1" s="220"/>
      <c r="L1" s="220"/>
      <c r="M1" s="220"/>
      <c r="N1" s="220"/>
      <c r="O1" s="221"/>
      <c r="P1" s="179" t="s">
        <v>7710</v>
      </c>
      <c r="Q1" s="220"/>
      <c r="R1" s="220"/>
      <c r="S1" s="220"/>
      <c r="T1" s="220"/>
      <c r="U1" s="221"/>
    </row>
    <row r="2" spans="1:23" ht="68">
      <c r="A2" s="218"/>
      <c r="B2" s="223" t="s">
        <v>7706</v>
      </c>
      <c r="C2" s="222" t="s">
        <v>7701</v>
      </c>
      <c r="D2" s="214" t="s">
        <v>7702</v>
      </c>
      <c r="E2" s="214" t="s">
        <v>480</v>
      </c>
      <c r="F2" s="214" t="s">
        <v>91</v>
      </c>
      <c r="G2" s="214" t="s">
        <v>7703</v>
      </c>
      <c r="H2" s="214" t="s">
        <v>7704</v>
      </c>
      <c r="I2" s="214" t="s">
        <v>7705</v>
      </c>
      <c r="J2" s="222" t="s">
        <v>7701</v>
      </c>
      <c r="K2" s="214" t="s">
        <v>7702</v>
      </c>
      <c r="L2" s="214" t="s">
        <v>7703</v>
      </c>
      <c r="M2" s="214" t="s">
        <v>7704</v>
      </c>
      <c r="N2" s="214" t="s">
        <v>7705</v>
      </c>
      <c r="O2" s="223" t="s">
        <v>7706</v>
      </c>
      <c r="P2" s="222" t="s">
        <v>7701</v>
      </c>
      <c r="Q2" s="214" t="s">
        <v>7702</v>
      </c>
      <c r="R2" s="214" t="s">
        <v>7703</v>
      </c>
      <c r="S2" s="214" t="s">
        <v>7704</v>
      </c>
      <c r="T2" s="214" t="s">
        <v>7705</v>
      </c>
      <c r="U2" s="223" t="s">
        <v>7706</v>
      </c>
    </row>
    <row r="3" spans="1:23">
      <c r="A3" s="219" t="s">
        <v>7708</v>
      </c>
      <c r="B3" s="261"/>
      <c r="C3" s="262">
        <v>2013</v>
      </c>
      <c r="D3" s="263">
        <v>2013</v>
      </c>
      <c r="E3" s="263"/>
      <c r="F3" s="263"/>
      <c r="G3" s="263">
        <v>2018</v>
      </c>
      <c r="H3" s="263">
        <v>2010</v>
      </c>
      <c r="I3" s="263">
        <v>2010</v>
      </c>
      <c r="J3" s="262">
        <v>2013</v>
      </c>
      <c r="K3" s="263">
        <v>2013</v>
      </c>
      <c r="L3" s="263">
        <v>2018</v>
      </c>
      <c r="M3" s="263">
        <v>2010</v>
      </c>
      <c r="N3" s="263">
        <v>2010</v>
      </c>
      <c r="O3" s="261"/>
      <c r="P3" s="262">
        <v>2013</v>
      </c>
      <c r="Q3" s="263">
        <v>2013</v>
      </c>
      <c r="R3" s="263">
        <v>2018</v>
      </c>
      <c r="S3" s="263">
        <v>2010</v>
      </c>
      <c r="T3" s="263">
        <v>2010</v>
      </c>
      <c r="U3" s="261"/>
    </row>
    <row r="4" spans="1:23">
      <c r="A4" s="229">
        <v>1970</v>
      </c>
      <c r="B4" s="225" t="s">
        <v>7707</v>
      </c>
      <c r="C4" s="224" t="s">
        <v>7707</v>
      </c>
      <c r="D4" s="215" t="s">
        <v>7707</v>
      </c>
      <c r="E4" s="215"/>
      <c r="F4" s="215"/>
      <c r="G4" s="215" t="s">
        <v>7707</v>
      </c>
      <c r="H4" s="215" t="s">
        <v>7707</v>
      </c>
      <c r="I4" s="215" t="s">
        <v>7707</v>
      </c>
      <c r="J4" s="226" t="s">
        <v>7707</v>
      </c>
      <c r="K4" s="216" t="s">
        <v>7707</v>
      </c>
      <c r="L4" s="216" t="s">
        <v>7707</v>
      </c>
      <c r="M4" s="216" t="s">
        <v>7707</v>
      </c>
      <c r="N4" s="216" t="s">
        <v>7707</v>
      </c>
      <c r="O4" s="227" t="s">
        <v>7707</v>
      </c>
      <c r="P4" s="228">
        <v>0</v>
      </c>
      <c r="Q4" s="217">
        <v>0</v>
      </c>
      <c r="R4" s="216" t="s">
        <v>7707</v>
      </c>
      <c r="S4" s="216" t="s">
        <v>7707</v>
      </c>
      <c r="T4" s="216" t="s">
        <v>7707</v>
      </c>
      <c r="U4" s="227" t="s">
        <v>7707</v>
      </c>
    </row>
    <row r="5" spans="1:23">
      <c r="A5" s="229">
        <v>1971</v>
      </c>
      <c r="B5" s="225" t="s">
        <v>7707</v>
      </c>
      <c r="C5" s="224" t="s">
        <v>7707</v>
      </c>
      <c r="D5" s="215" t="s">
        <v>7707</v>
      </c>
      <c r="E5" s="215"/>
      <c r="F5" s="215"/>
      <c r="G5" s="215" t="s">
        <v>7707</v>
      </c>
      <c r="H5" s="215" t="s">
        <v>7707</v>
      </c>
      <c r="I5" s="215" t="s">
        <v>7707</v>
      </c>
      <c r="J5" s="226" t="s">
        <v>7707</v>
      </c>
      <c r="K5" s="216" t="s">
        <v>7707</v>
      </c>
      <c r="L5" s="216" t="s">
        <v>7707</v>
      </c>
      <c r="M5" s="216" t="s">
        <v>7707</v>
      </c>
      <c r="N5" s="216" t="s">
        <v>7707</v>
      </c>
      <c r="O5" s="227" t="s">
        <v>7707</v>
      </c>
      <c r="P5" s="228">
        <v>0</v>
      </c>
      <c r="Q5" s="217">
        <v>0</v>
      </c>
      <c r="R5" s="216" t="s">
        <v>7707</v>
      </c>
      <c r="S5" s="216" t="s">
        <v>7707</v>
      </c>
      <c r="T5" s="216" t="s">
        <v>7707</v>
      </c>
      <c r="U5" s="227" t="s">
        <v>7707</v>
      </c>
    </row>
    <row r="6" spans="1:23">
      <c r="A6" s="229">
        <v>1972</v>
      </c>
      <c r="B6" s="225" t="s">
        <v>7707</v>
      </c>
      <c r="C6" s="224" t="s">
        <v>7707</v>
      </c>
      <c r="D6" s="215" t="s">
        <v>7707</v>
      </c>
      <c r="E6" s="215"/>
      <c r="F6" s="215"/>
      <c r="G6" s="215" t="s">
        <v>7707</v>
      </c>
      <c r="H6" s="215" t="s">
        <v>7707</v>
      </c>
      <c r="I6" s="215" t="s">
        <v>7707</v>
      </c>
      <c r="J6" s="226" t="s">
        <v>7707</v>
      </c>
      <c r="K6" s="216" t="s">
        <v>7707</v>
      </c>
      <c r="L6" s="216" t="s">
        <v>7707</v>
      </c>
      <c r="M6" s="216" t="s">
        <v>7707</v>
      </c>
      <c r="N6" s="216" t="s">
        <v>7707</v>
      </c>
      <c r="O6" s="227" t="s">
        <v>7707</v>
      </c>
      <c r="P6" s="228">
        <v>0</v>
      </c>
      <c r="Q6" s="217">
        <v>0</v>
      </c>
      <c r="R6" s="216" t="s">
        <v>7707</v>
      </c>
      <c r="S6" s="216" t="s">
        <v>7707</v>
      </c>
      <c r="T6" s="216" t="s">
        <v>7707</v>
      </c>
      <c r="U6" s="227" t="s">
        <v>7707</v>
      </c>
    </row>
    <row r="7" spans="1:23">
      <c r="A7" s="229">
        <v>1973</v>
      </c>
      <c r="B7" s="225" t="s">
        <v>7707</v>
      </c>
      <c r="C7" s="224" t="s">
        <v>7707</v>
      </c>
      <c r="D7" s="215" t="s">
        <v>7707</v>
      </c>
      <c r="E7" s="215"/>
      <c r="F7" s="215"/>
      <c r="G7" s="215" t="s">
        <v>7707</v>
      </c>
      <c r="H7" s="215" t="s">
        <v>7707</v>
      </c>
      <c r="I7" s="215" t="s">
        <v>7707</v>
      </c>
      <c r="J7" s="226" t="s">
        <v>7707</v>
      </c>
      <c r="K7" s="216" t="s">
        <v>7707</v>
      </c>
      <c r="L7" s="216" t="s">
        <v>7707</v>
      </c>
      <c r="M7" s="216" t="s">
        <v>7707</v>
      </c>
      <c r="N7" s="216" t="s">
        <v>7707</v>
      </c>
      <c r="O7" s="227" t="s">
        <v>7707</v>
      </c>
      <c r="P7" s="228">
        <v>0</v>
      </c>
      <c r="Q7" s="217">
        <v>0</v>
      </c>
      <c r="R7" s="216" t="s">
        <v>7707</v>
      </c>
      <c r="S7" s="216" t="s">
        <v>7707</v>
      </c>
      <c r="T7" s="216" t="s">
        <v>7707</v>
      </c>
      <c r="U7" s="227" t="s">
        <v>7707</v>
      </c>
    </row>
    <row r="8" spans="1:23">
      <c r="A8" s="229">
        <v>1974</v>
      </c>
      <c r="B8" s="225" t="s">
        <v>7707</v>
      </c>
      <c r="C8" s="224" t="s">
        <v>7707</v>
      </c>
      <c r="D8" s="215" t="s">
        <v>7707</v>
      </c>
      <c r="E8" s="215"/>
      <c r="F8" s="215"/>
      <c r="G8" s="215" t="s">
        <v>7707</v>
      </c>
      <c r="H8" s="215" t="s">
        <v>7707</v>
      </c>
      <c r="I8" s="215" t="s">
        <v>7707</v>
      </c>
      <c r="J8" s="226" t="s">
        <v>7707</v>
      </c>
      <c r="K8" s="216" t="s">
        <v>7707</v>
      </c>
      <c r="L8" s="216" t="s">
        <v>7707</v>
      </c>
      <c r="M8" s="216" t="s">
        <v>7707</v>
      </c>
      <c r="N8" s="216" t="s">
        <v>7707</v>
      </c>
      <c r="O8" s="227" t="s">
        <v>7707</v>
      </c>
      <c r="P8" s="228">
        <v>0</v>
      </c>
      <c r="Q8" s="217">
        <v>0</v>
      </c>
      <c r="R8" s="216" t="s">
        <v>7707</v>
      </c>
      <c r="S8" s="216" t="s">
        <v>7707</v>
      </c>
      <c r="T8" s="216" t="s">
        <v>7707</v>
      </c>
      <c r="U8" s="227" t="s">
        <v>7707</v>
      </c>
    </row>
    <row r="9" spans="1:23">
      <c r="A9" s="229">
        <v>1975</v>
      </c>
      <c r="B9" s="225" t="s">
        <v>7707</v>
      </c>
      <c r="C9" s="224" t="s">
        <v>7707</v>
      </c>
      <c r="D9" s="215" t="s">
        <v>7707</v>
      </c>
      <c r="E9" s="215"/>
      <c r="F9" s="215"/>
      <c r="G9" s="215" t="s">
        <v>7707</v>
      </c>
      <c r="H9" s="215" t="s">
        <v>7707</v>
      </c>
      <c r="I9" s="215" t="s">
        <v>7707</v>
      </c>
      <c r="J9" s="226" t="s">
        <v>7707</v>
      </c>
      <c r="K9" s="216" t="s">
        <v>7707</v>
      </c>
      <c r="L9" s="216" t="s">
        <v>7707</v>
      </c>
      <c r="M9" s="216" t="s">
        <v>7707</v>
      </c>
      <c r="N9" s="216" t="s">
        <v>7707</v>
      </c>
      <c r="O9" s="227" t="s">
        <v>7707</v>
      </c>
      <c r="P9" s="228">
        <v>0</v>
      </c>
      <c r="Q9" s="217">
        <v>0</v>
      </c>
      <c r="R9" s="216" t="s">
        <v>7707</v>
      </c>
      <c r="S9" s="216" t="s">
        <v>7707</v>
      </c>
      <c r="T9" s="216" t="s">
        <v>7707</v>
      </c>
      <c r="U9" s="227" t="s">
        <v>7707</v>
      </c>
    </row>
    <row r="10" spans="1:23">
      <c r="A10" s="229">
        <v>1976</v>
      </c>
      <c r="B10" s="225" t="s">
        <v>7707</v>
      </c>
      <c r="C10" s="224" t="s">
        <v>7707</v>
      </c>
      <c r="D10" s="215" t="s">
        <v>7707</v>
      </c>
      <c r="E10" s="215"/>
      <c r="F10" s="215"/>
      <c r="G10" s="215" t="s">
        <v>7707</v>
      </c>
      <c r="H10" s="215" t="s">
        <v>7707</v>
      </c>
      <c r="I10" s="215" t="s">
        <v>7707</v>
      </c>
      <c r="J10" s="226" t="s">
        <v>7707</v>
      </c>
      <c r="K10" s="216" t="s">
        <v>7707</v>
      </c>
      <c r="L10" s="216" t="s">
        <v>7707</v>
      </c>
      <c r="M10" s="216" t="s">
        <v>7707</v>
      </c>
      <c r="N10" s="216" t="s">
        <v>7707</v>
      </c>
      <c r="O10" s="227" t="s">
        <v>7707</v>
      </c>
      <c r="P10" s="226" t="s">
        <v>7707</v>
      </c>
      <c r="Q10" s="217">
        <v>0</v>
      </c>
      <c r="R10" s="216" t="s">
        <v>7707</v>
      </c>
      <c r="S10" s="216" t="s">
        <v>7707</v>
      </c>
      <c r="T10" s="216" t="s">
        <v>7707</v>
      </c>
      <c r="U10" s="227" t="s">
        <v>7707</v>
      </c>
    </row>
    <row r="11" spans="1:23">
      <c r="A11" s="229">
        <v>1977</v>
      </c>
      <c r="B11" s="225">
        <v>138.70588058370373</v>
      </c>
      <c r="C11" s="224">
        <v>138.70588058370373</v>
      </c>
      <c r="D11" s="215"/>
      <c r="E11" s="215"/>
      <c r="F11" s="215"/>
      <c r="G11" s="215"/>
      <c r="H11" s="215"/>
      <c r="I11" s="215"/>
      <c r="J11" s="226">
        <v>14.9528693454892</v>
      </c>
      <c r="K11" s="216" t="s">
        <v>7707</v>
      </c>
      <c r="L11" s="216" t="s">
        <v>7707</v>
      </c>
      <c r="M11" s="216" t="s">
        <v>7707</v>
      </c>
      <c r="N11" s="216" t="s">
        <v>7707</v>
      </c>
      <c r="O11" s="227">
        <v>14.9528693454892</v>
      </c>
      <c r="P11" s="226">
        <v>2.0740509098191491</v>
      </c>
      <c r="Q11" s="217">
        <v>0</v>
      </c>
      <c r="R11" s="216" t="s">
        <v>7707</v>
      </c>
      <c r="S11" s="216" t="s">
        <v>7707</v>
      </c>
      <c r="T11" s="216" t="s">
        <v>7707</v>
      </c>
      <c r="U11" s="227">
        <v>2.0740509098191491</v>
      </c>
      <c r="W11" s="21"/>
    </row>
    <row r="12" spans="1:23">
      <c r="A12" s="229">
        <v>1978</v>
      </c>
      <c r="B12" s="225">
        <v>138.89187559535486</v>
      </c>
      <c r="C12" s="224">
        <v>138.89187559535486</v>
      </c>
      <c r="D12" s="215"/>
      <c r="E12" s="215"/>
      <c r="F12" s="215"/>
      <c r="G12" s="215"/>
      <c r="H12" s="215"/>
      <c r="I12" s="215"/>
      <c r="J12" s="226">
        <v>95.213845670082932</v>
      </c>
      <c r="K12" s="216" t="s">
        <v>7707</v>
      </c>
      <c r="L12" s="216" t="s">
        <v>7707</v>
      </c>
      <c r="M12" s="216" t="s">
        <v>7707</v>
      </c>
      <c r="N12" s="216" t="s">
        <v>7707</v>
      </c>
      <c r="O12" s="227">
        <v>95.213845670082932</v>
      </c>
      <c r="P12" s="226">
        <v>13.224429607764476</v>
      </c>
      <c r="Q12" s="217">
        <v>0</v>
      </c>
      <c r="R12" s="216" t="s">
        <v>7707</v>
      </c>
      <c r="S12" s="216" t="s">
        <v>7707</v>
      </c>
      <c r="T12" s="216" t="s">
        <v>7707</v>
      </c>
      <c r="U12" s="227">
        <v>13.224429607764476</v>
      </c>
    </row>
    <row r="13" spans="1:23">
      <c r="A13" s="229">
        <v>1979</v>
      </c>
      <c r="B13" s="225">
        <v>139.06474245936596</v>
      </c>
      <c r="C13" s="224">
        <v>139.06474245936596</v>
      </c>
      <c r="D13" s="215"/>
      <c r="E13" s="215"/>
      <c r="F13" s="215"/>
      <c r="G13" s="215"/>
      <c r="H13" s="215"/>
      <c r="I13" s="215"/>
      <c r="J13" s="226">
        <v>291.66422489072977</v>
      </c>
      <c r="K13" s="216" t="s">
        <v>7707</v>
      </c>
      <c r="L13" s="216" t="s">
        <v>7707</v>
      </c>
      <c r="M13" s="216" t="s">
        <v>7707</v>
      </c>
      <c r="N13" s="216" t="s">
        <v>7707</v>
      </c>
      <c r="O13" s="227">
        <v>291.66422489072977</v>
      </c>
      <c r="P13" s="226">
        <v>40.560210319039925</v>
      </c>
      <c r="Q13" s="217">
        <v>0</v>
      </c>
      <c r="R13" s="216" t="s">
        <v>7707</v>
      </c>
      <c r="S13" s="216" t="s">
        <v>7707</v>
      </c>
      <c r="T13" s="216" t="s">
        <v>7707</v>
      </c>
      <c r="U13" s="227">
        <v>40.560210319039925</v>
      </c>
    </row>
    <row r="14" spans="1:23">
      <c r="A14" s="229">
        <v>1980</v>
      </c>
      <c r="B14" s="225">
        <v>139.22606377523445</v>
      </c>
      <c r="C14" s="224">
        <v>139.22606377523445</v>
      </c>
      <c r="D14" s="215"/>
      <c r="E14" s="215"/>
      <c r="F14" s="215"/>
      <c r="G14" s="215"/>
      <c r="H14" s="215"/>
      <c r="I14" s="215"/>
      <c r="J14" s="226">
        <v>606.03161555241513</v>
      </c>
      <c r="K14" s="216" t="s">
        <v>7707</v>
      </c>
      <c r="L14" s="216" t="s">
        <v>7707</v>
      </c>
      <c r="M14" s="216" t="s">
        <v>7707</v>
      </c>
      <c r="N14" s="216" t="s">
        <v>7707</v>
      </c>
      <c r="O14" s="227">
        <v>606.03161555241513</v>
      </c>
      <c r="P14" s="226">
        <v>84.375396356708904</v>
      </c>
      <c r="Q14" s="217">
        <v>0</v>
      </c>
      <c r="R14" s="216" t="s">
        <v>7707</v>
      </c>
      <c r="S14" s="216" t="s">
        <v>7707</v>
      </c>
      <c r="T14" s="216" t="s">
        <v>7707</v>
      </c>
      <c r="U14" s="227">
        <v>84.375396356708904</v>
      </c>
    </row>
    <row r="15" spans="1:23">
      <c r="A15" s="229">
        <v>1981</v>
      </c>
      <c r="B15" s="225">
        <v>139.37915896190296</v>
      </c>
      <c r="C15" s="224">
        <v>139.37915896190296</v>
      </c>
      <c r="D15" s="215"/>
      <c r="E15" s="215"/>
      <c r="F15" s="215"/>
      <c r="G15" s="215"/>
      <c r="H15" s="215"/>
      <c r="I15" s="215"/>
      <c r="J15" s="226">
        <v>991.74347414821693</v>
      </c>
      <c r="K15" s="216" t="s">
        <v>7707</v>
      </c>
      <c r="L15" s="216" t="s">
        <v>7707</v>
      </c>
      <c r="M15" s="216" t="s">
        <v>7707</v>
      </c>
      <c r="N15" s="216" t="s">
        <v>7707</v>
      </c>
      <c r="O15" s="227">
        <v>991.74347414821693</v>
      </c>
      <c r="P15" s="226">
        <v>138.22837133273421</v>
      </c>
      <c r="Q15" s="217">
        <v>0</v>
      </c>
      <c r="R15" s="216" t="s">
        <v>7707</v>
      </c>
      <c r="S15" s="216" t="s">
        <v>7707</v>
      </c>
      <c r="T15" s="216" t="s">
        <v>7707</v>
      </c>
      <c r="U15" s="227">
        <v>138.22837133273421</v>
      </c>
    </row>
    <row r="16" spans="1:23">
      <c r="A16" s="229">
        <v>1982</v>
      </c>
      <c r="B16" s="225">
        <v>139.44527399533141</v>
      </c>
      <c r="C16" s="224">
        <v>139.53439800856358</v>
      </c>
      <c r="D16" s="215"/>
      <c r="E16" s="215"/>
      <c r="F16" s="215"/>
      <c r="G16" s="215"/>
      <c r="H16" s="215"/>
      <c r="I16" s="215"/>
      <c r="J16" s="226">
        <v>1409.7232307357444</v>
      </c>
      <c r="K16" s="216" t="s">
        <v>7707</v>
      </c>
      <c r="L16" s="216" t="s">
        <v>7707</v>
      </c>
      <c r="M16" s="216">
        <v>0.90100000000000002</v>
      </c>
      <c r="N16" s="216" t="s">
        <v>7707</v>
      </c>
      <c r="O16" s="227">
        <v>1410.6242307357445</v>
      </c>
      <c r="P16" s="226">
        <v>196.70488235939951</v>
      </c>
      <c r="Q16" s="217">
        <v>0</v>
      </c>
      <c r="R16" s="216" t="s">
        <v>7707</v>
      </c>
      <c r="S16" s="216" t="s">
        <v>7707</v>
      </c>
      <c r="T16" s="216" t="s">
        <v>7707</v>
      </c>
      <c r="U16" s="227">
        <v>196.70488235939951</v>
      </c>
    </row>
    <row r="17" spans="1:21">
      <c r="A17" s="229">
        <v>1983</v>
      </c>
      <c r="B17" s="225">
        <v>133.72605760486661</v>
      </c>
      <c r="C17" s="224">
        <v>139.70158835121825</v>
      </c>
      <c r="D17" s="215"/>
      <c r="E17" s="215"/>
      <c r="F17" s="215"/>
      <c r="G17" s="215"/>
      <c r="H17" s="215">
        <v>20.577401897236452</v>
      </c>
      <c r="I17" s="215"/>
      <c r="J17" s="226">
        <v>1840.4006120396689</v>
      </c>
      <c r="K17" s="216" t="s">
        <v>7707</v>
      </c>
      <c r="L17" s="216" t="s">
        <v>7707</v>
      </c>
      <c r="M17" s="216">
        <v>97.194000000000003</v>
      </c>
      <c r="N17" s="216" t="s">
        <v>7707</v>
      </c>
      <c r="O17" s="227">
        <v>1937.5946120396688</v>
      </c>
      <c r="P17" s="226">
        <v>257.10688870449593</v>
      </c>
      <c r="Q17" s="217">
        <v>0</v>
      </c>
      <c r="R17" s="216" t="s">
        <v>7707</v>
      </c>
      <c r="S17" s="216">
        <v>2</v>
      </c>
      <c r="T17" s="216" t="s">
        <v>7707</v>
      </c>
      <c r="U17" s="227">
        <v>259.10688870449593</v>
      </c>
    </row>
    <row r="18" spans="1:21">
      <c r="A18" s="229">
        <v>1984</v>
      </c>
      <c r="B18" s="225">
        <v>125.71010016225587</v>
      </c>
      <c r="C18" s="224">
        <v>139.88567828654845</v>
      </c>
      <c r="D18" s="215"/>
      <c r="E18" s="215"/>
      <c r="F18" s="215"/>
      <c r="G18" s="215"/>
      <c r="H18" s="215">
        <v>16.85675467016388</v>
      </c>
      <c r="I18" s="215"/>
      <c r="J18" s="226">
        <v>2277.7027149599344</v>
      </c>
      <c r="K18" s="216" t="s">
        <v>7707</v>
      </c>
      <c r="L18" s="216" t="s">
        <v>7707</v>
      </c>
      <c r="M18" s="216">
        <v>296.61700000000002</v>
      </c>
      <c r="N18" s="216" t="s">
        <v>7707</v>
      </c>
      <c r="O18" s="227">
        <v>2574.3197149599346</v>
      </c>
      <c r="P18" s="226">
        <v>318.61798921728337</v>
      </c>
      <c r="Q18" s="217">
        <v>0</v>
      </c>
      <c r="R18" s="216" t="s">
        <v>7707</v>
      </c>
      <c r="S18" s="216">
        <v>5</v>
      </c>
      <c r="T18" s="216" t="s">
        <v>7707</v>
      </c>
      <c r="U18" s="227">
        <v>323.61798921728337</v>
      </c>
    </row>
    <row r="19" spans="1:21">
      <c r="A19" s="229">
        <v>1985</v>
      </c>
      <c r="B19" s="225">
        <v>117.9463357471159</v>
      </c>
      <c r="C19" s="224">
        <v>140.08481850358558</v>
      </c>
      <c r="D19" s="215"/>
      <c r="E19" s="215"/>
      <c r="F19" s="215"/>
      <c r="G19" s="215"/>
      <c r="H19" s="215">
        <v>18.208755100520605</v>
      </c>
      <c r="I19" s="215"/>
      <c r="J19" s="226">
        <v>2721.5944208689548</v>
      </c>
      <c r="K19" s="216" t="s">
        <v>7707</v>
      </c>
      <c r="L19" s="216" t="s">
        <v>7707</v>
      </c>
      <c r="M19" s="216">
        <v>604.10500000000002</v>
      </c>
      <c r="N19" s="216" t="s">
        <v>7707</v>
      </c>
      <c r="O19" s="227">
        <v>3325.6994208689548</v>
      </c>
      <c r="P19" s="226">
        <v>381.25406048779865</v>
      </c>
      <c r="Q19" s="217">
        <v>0</v>
      </c>
      <c r="R19" s="216" t="s">
        <v>7707</v>
      </c>
      <c r="S19" s="216">
        <v>11</v>
      </c>
      <c r="T19" s="216" t="s">
        <v>7707</v>
      </c>
      <c r="U19" s="227">
        <v>392.25406048779865</v>
      </c>
    </row>
    <row r="20" spans="1:21">
      <c r="A20" s="229">
        <v>1986</v>
      </c>
      <c r="B20" s="225">
        <v>110.66261487534271</v>
      </c>
      <c r="C20" s="224">
        <v>140.29296430676274</v>
      </c>
      <c r="D20" s="215"/>
      <c r="E20" s="215"/>
      <c r="F20" s="215"/>
      <c r="G20" s="215"/>
      <c r="H20" s="215">
        <v>17.777391503592018</v>
      </c>
      <c r="I20" s="215"/>
      <c r="J20" s="226">
        <v>3174.0541014033029</v>
      </c>
      <c r="K20" s="216" t="s">
        <v>7707</v>
      </c>
      <c r="L20" s="216" t="s">
        <v>7707</v>
      </c>
      <c r="M20" s="216">
        <v>1012.522</v>
      </c>
      <c r="N20" s="216" t="s">
        <v>7707</v>
      </c>
      <c r="O20" s="227">
        <v>4186.5761014033033</v>
      </c>
      <c r="P20" s="226">
        <v>445.29745875590748</v>
      </c>
      <c r="Q20" s="217">
        <v>0</v>
      </c>
      <c r="R20" s="216" t="s">
        <v>7707</v>
      </c>
      <c r="S20" s="216">
        <v>18</v>
      </c>
      <c r="T20" s="216" t="s">
        <v>7707</v>
      </c>
      <c r="U20" s="227">
        <v>463.29745875590748</v>
      </c>
    </row>
    <row r="21" spans="1:21">
      <c r="A21" s="229">
        <v>1987</v>
      </c>
      <c r="B21" s="225">
        <v>104.87021897257668</v>
      </c>
      <c r="C21" s="224">
        <v>140.50448515623967</v>
      </c>
      <c r="D21" s="215"/>
      <c r="E21" s="215"/>
      <c r="F21" s="215"/>
      <c r="G21" s="215"/>
      <c r="H21" s="215">
        <v>18.081039217774062</v>
      </c>
      <c r="I21" s="215"/>
      <c r="J21" s="226">
        <v>3636.9567794307322</v>
      </c>
      <c r="K21" s="216" t="s">
        <v>7707</v>
      </c>
      <c r="L21" s="216" t="s">
        <v>7707</v>
      </c>
      <c r="M21" s="216">
        <v>1493.277</v>
      </c>
      <c r="N21" s="216" t="s">
        <v>7707</v>
      </c>
      <c r="O21" s="227">
        <v>5130.2337794307323</v>
      </c>
      <c r="P21" s="226">
        <v>511.00873982941056</v>
      </c>
      <c r="Q21" s="217">
        <v>0</v>
      </c>
      <c r="R21" s="216" t="s">
        <v>7707</v>
      </c>
      <c r="S21" s="216">
        <v>27</v>
      </c>
      <c r="T21" s="216" t="s">
        <v>7707</v>
      </c>
      <c r="U21" s="227">
        <v>538.00873982941062</v>
      </c>
    </row>
    <row r="22" spans="1:21">
      <c r="A22" s="229">
        <v>1988</v>
      </c>
      <c r="B22" s="225">
        <v>100.48085560677079</v>
      </c>
      <c r="C22" s="224">
        <v>140.71674534328554</v>
      </c>
      <c r="D22" s="215"/>
      <c r="E22" s="215"/>
      <c r="F22" s="215"/>
      <c r="G22" s="215"/>
      <c r="H22" s="215">
        <v>18.368509028122187</v>
      </c>
      <c r="I22" s="215"/>
      <c r="J22" s="226">
        <v>4110.765207539579</v>
      </c>
      <c r="K22" s="216" t="s">
        <v>7707</v>
      </c>
      <c r="L22" s="216" t="s">
        <v>7707</v>
      </c>
      <c r="M22" s="216">
        <v>2014.317</v>
      </c>
      <c r="N22" s="216" t="s">
        <v>7707</v>
      </c>
      <c r="O22" s="227">
        <v>6125.082207539579</v>
      </c>
      <c r="P22" s="226">
        <v>578.45350087538532</v>
      </c>
      <c r="Q22" s="217">
        <v>0</v>
      </c>
      <c r="R22" s="216" t="s">
        <v>7707</v>
      </c>
      <c r="S22" s="216">
        <v>37</v>
      </c>
      <c r="T22" s="216" t="s">
        <v>7707</v>
      </c>
      <c r="U22" s="227">
        <v>615.45350087538532</v>
      </c>
    </row>
    <row r="23" spans="1:21">
      <c r="A23" s="229">
        <v>1989</v>
      </c>
      <c r="B23" s="225">
        <v>96.809264729330124</v>
      </c>
      <c r="C23" s="224">
        <v>140.56961147187641</v>
      </c>
      <c r="D23" s="215">
        <v>75.546774185765699</v>
      </c>
      <c r="E23" s="215"/>
      <c r="F23" s="215"/>
      <c r="G23" s="215"/>
      <c r="H23" s="215">
        <v>18.362201057506503</v>
      </c>
      <c r="I23" s="215"/>
      <c r="J23" s="226">
        <v>4593.7302289340669</v>
      </c>
      <c r="K23" s="216">
        <v>10.800842103560601</v>
      </c>
      <c r="L23" s="216" t="s">
        <v>7707</v>
      </c>
      <c r="M23" s="216">
        <v>2559.6060000000002</v>
      </c>
      <c r="N23" s="216" t="s">
        <v>7707</v>
      </c>
      <c r="O23" s="227">
        <v>7164.1370710376268</v>
      </c>
      <c r="P23" s="226">
        <v>645.73887348787559</v>
      </c>
      <c r="Q23" s="216">
        <v>0.81596877941380341</v>
      </c>
      <c r="R23" s="216" t="s">
        <v>7707</v>
      </c>
      <c r="S23" s="216">
        <v>47</v>
      </c>
      <c r="T23" s="216" t="s">
        <v>7707</v>
      </c>
      <c r="U23" s="227">
        <v>693.55484226728936</v>
      </c>
    </row>
    <row r="24" spans="1:21">
      <c r="A24" s="229">
        <v>1990</v>
      </c>
      <c r="B24" s="225">
        <v>94.147760902821233</v>
      </c>
      <c r="C24" s="224">
        <v>140.7814004657148</v>
      </c>
      <c r="D24" s="215">
        <v>74.937683441060884</v>
      </c>
      <c r="E24" s="215"/>
      <c r="F24" s="215"/>
      <c r="G24" s="215"/>
      <c r="H24" s="215">
        <v>18.576275789795986</v>
      </c>
      <c r="I24" s="215"/>
      <c r="J24" s="226">
        <v>5082.2200327230148</v>
      </c>
      <c r="K24" s="216">
        <v>54.577652559954146</v>
      </c>
      <c r="L24" s="216" t="s">
        <v>7707</v>
      </c>
      <c r="M24" s="216">
        <v>3122.2620000000002</v>
      </c>
      <c r="N24" s="216" t="s">
        <v>7707</v>
      </c>
      <c r="O24" s="227">
        <v>8259.0596852829694</v>
      </c>
      <c r="P24" s="226">
        <v>715.48205368165691</v>
      </c>
      <c r="Q24" s="216">
        <v>4.0899228504940499</v>
      </c>
      <c r="R24" s="216" t="s">
        <v>7707</v>
      </c>
      <c r="S24" s="216">
        <v>58</v>
      </c>
      <c r="T24" s="216" t="s">
        <v>7707</v>
      </c>
      <c r="U24" s="227">
        <v>777.57197653215098</v>
      </c>
    </row>
    <row r="25" spans="1:21">
      <c r="A25" s="229">
        <v>1991</v>
      </c>
      <c r="B25" s="225">
        <v>91.81688497389527</v>
      </c>
      <c r="C25" s="224">
        <v>140.99422938452156</v>
      </c>
      <c r="D25" s="215">
        <v>74.103132284169746</v>
      </c>
      <c r="E25" s="215"/>
      <c r="F25" s="215"/>
      <c r="G25" s="215"/>
      <c r="H25" s="215">
        <v>18.395073150172507</v>
      </c>
      <c r="I25" s="215"/>
      <c r="J25" s="226">
        <v>5573.2931009636604</v>
      </c>
      <c r="K25" s="216">
        <v>150.48200516726914</v>
      </c>
      <c r="L25" s="216" t="s">
        <v>7707</v>
      </c>
      <c r="M25" s="216">
        <v>3696.6419999999998</v>
      </c>
      <c r="N25" s="216" t="s">
        <v>7707</v>
      </c>
      <c r="O25" s="227">
        <v>9420.4171061309298</v>
      </c>
      <c r="P25" s="226">
        <v>785.80216590444172</v>
      </c>
      <c r="Q25" s="216">
        <v>11.15118793529726</v>
      </c>
      <c r="R25" s="216" t="s">
        <v>7707</v>
      </c>
      <c r="S25" s="216">
        <v>68</v>
      </c>
      <c r="T25" s="216" t="s">
        <v>7707</v>
      </c>
      <c r="U25" s="227">
        <v>864.95335383973895</v>
      </c>
    </row>
    <row r="26" spans="1:21">
      <c r="A26" s="229">
        <v>1992</v>
      </c>
      <c r="B26" s="225">
        <v>89.988897511288656</v>
      </c>
      <c r="C26" s="224">
        <v>141.20779531217335</v>
      </c>
      <c r="D26" s="215">
        <v>73.250396154943957</v>
      </c>
      <c r="E26" s="215"/>
      <c r="F26" s="215"/>
      <c r="G26" s="215"/>
      <c r="H26" s="215">
        <v>18.472013730084132</v>
      </c>
      <c r="I26" s="215"/>
      <c r="J26" s="226">
        <v>6064.0628483266555</v>
      </c>
      <c r="K26" s="216">
        <v>282.91049738220045</v>
      </c>
      <c r="L26" s="216" t="s">
        <v>7707</v>
      </c>
      <c r="M26" s="216">
        <v>4276.74</v>
      </c>
      <c r="N26" s="216" t="s">
        <v>7707</v>
      </c>
      <c r="O26" s="227">
        <v>10623.713345708857</v>
      </c>
      <c r="P26" s="226">
        <v>856.29294544666527</v>
      </c>
      <c r="Q26" s="216">
        <v>20.723306009638417</v>
      </c>
      <c r="R26" s="216" t="s">
        <v>7707</v>
      </c>
      <c r="S26" s="216">
        <v>79</v>
      </c>
      <c r="T26" s="216" t="s">
        <v>7707</v>
      </c>
      <c r="U26" s="227">
        <v>956.01625145630373</v>
      </c>
    </row>
    <row r="27" spans="1:21">
      <c r="A27" s="229">
        <v>1993</v>
      </c>
      <c r="B27" s="225">
        <v>88.517008575032349</v>
      </c>
      <c r="C27" s="224">
        <v>141.4220345256567</v>
      </c>
      <c r="D27" s="215">
        <v>72.376642811577042</v>
      </c>
      <c r="E27" s="215"/>
      <c r="F27" s="215"/>
      <c r="G27" s="215" t="s">
        <v>7707</v>
      </c>
      <c r="H27" s="215">
        <v>18.533429158026312</v>
      </c>
      <c r="I27" s="215" t="s">
        <v>7707</v>
      </c>
      <c r="J27" s="226">
        <v>6555.8095462865331</v>
      </c>
      <c r="K27" s="216">
        <v>432.99601167246681</v>
      </c>
      <c r="L27" s="216" t="s">
        <v>7707</v>
      </c>
      <c r="M27" s="216">
        <v>4856.09</v>
      </c>
      <c r="N27" s="216" t="s">
        <v>7707</v>
      </c>
      <c r="O27" s="227">
        <v>11844.895557959</v>
      </c>
      <c r="P27" s="226">
        <v>927.13592399856384</v>
      </c>
      <c r="Q27" s="216">
        <v>31.338797675655577</v>
      </c>
      <c r="R27" s="216" t="s">
        <v>7707</v>
      </c>
      <c r="S27" s="216">
        <v>90</v>
      </c>
      <c r="T27" s="216" t="s">
        <v>7707</v>
      </c>
      <c r="U27" s="227">
        <v>1048.4747216742194</v>
      </c>
    </row>
    <row r="28" spans="1:21">
      <c r="A28" s="229">
        <v>1994</v>
      </c>
      <c r="B28" s="225">
        <v>87.931944043320897</v>
      </c>
      <c r="C28" s="224">
        <v>142.6784379929438</v>
      </c>
      <c r="D28" s="215">
        <v>71.473514992840649</v>
      </c>
      <c r="E28" s="215"/>
      <c r="F28" s="215"/>
      <c r="G28" s="215" t="s">
        <v>7707</v>
      </c>
      <c r="H28" s="215">
        <v>18.608065140756196</v>
      </c>
      <c r="I28" s="215" t="s">
        <v>7707</v>
      </c>
      <c r="J28" s="226">
        <v>7050.0425552863253</v>
      </c>
      <c r="K28" s="216">
        <v>588.88676792471711</v>
      </c>
      <c r="L28" s="216" t="s">
        <v>7707</v>
      </c>
      <c r="M28" s="216">
        <v>5427.7539999999999</v>
      </c>
      <c r="N28" s="216" t="s">
        <v>7707</v>
      </c>
      <c r="O28" s="227">
        <v>13066.683323211042</v>
      </c>
      <c r="P28" s="226">
        <v>1005.889059572035</v>
      </c>
      <c r="Q28" s="216">
        <v>42.089807236352733</v>
      </c>
      <c r="R28" s="216" t="s">
        <v>7707</v>
      </c>
      <c r="S28" s="216">
        <v>101</v>
      </c>
      <c r="T28" s="216" t="s">
        <v>7707</v>
      </c>
      <c r="U28" s="227">
        <v>1148.9788668083877</v>
      </c>
    </row>
    <row r="29" spans="1:21">
      <c r="A29" s="229">
        <v>1995</v>
      </c>
      <c r="B29" s="225">
        <v>88.142793825033948</v>
      </c>
      <c r="C29" s="224">
        <v>144.88252935049331</v>
      </c>
      <c r="D29" s="215">
        <v>70.547284393502551</v>
      </c>
      <c r="E29" s="215"/>
      <c r="F29" s="215"/>
      <c r="G29" s="215" t="s">
        <v>7707</v>
      </c>
      <c r="H29" s="215">
        <v>18.812750264156705</v>
      </c>
      <c r="I29" s="215">
        <v>97.551232901966344</v>
      </c>
      <c r="J29" s="226">
        <v>7547.3088338786411</v>
      </c>
      <c r="K29" s="216">
        <v>745.82486193915452</v>
      </c>
      <c r="L29" s="216" t="s">
        <v>7707</v>
      </c>
      <c r="M29" s="216">
        <v>5987.9229999999998</v>
      </c>
      <c r="N29" s="216">
        <v>3.59503401</v>
      </c>
      <c r="O29" s="227">
        <v>14284.651729827796</v>
      </c>
      <c r="P29" s="226">
        <v>1093.4731936416597</v>
      </c>
      <c r="Q29" s="216">
        <v>52.615918642966314</v>
      </c>
      <c r="R29" s="216" t="s">
        <v>7707</v>
      </c>
      <c r="S29" s="216">
        <v>112.6493</v>
      </c>
      <c r="T29" s="216">
        <v>0.35070000000000001</v>
      </c>
      <c r="U29" s="227">
        <v>1259.089112284626</v>
      </c>
    </row>
    <row r="30" spans="1:21">
      <c r="A30" s="229">
        <v>1996</v>
      </c>
      <c r="B30" s="225">
        <v>89.045399249084781</v>
      </c>
      <c r="C30" s="224">
        <v>147.93413292410787</v>
      </c>
      <c r="D30" s="215">
        <v>69.610508149417726</v>
      </c>
      <c r="E30" s="215"/>
      <c r="F30" s="215"/>
      <c r="G30" s="215" t="s">
        <v>7707</v>
      </c>
      <c r="H30" s="215">
        <v>19.134497300784478</v>
      </c>
      <c r="I30" s="215">
        <v>97.550332301945559</v>
      </c>
      <c r="J30" s="226">
        <v>8047.2422831584827</v>
      </c>
      <c r="K30" s="216">
        <v>902.58888382987118</v>
      </c>
      <c r="L30" s="216" t="s">
        <v>7707</v>
      </c>
      <c r="M30" s="216">
        <v>6528.9340000000002</v>
      </c>
      <c r="N30" s="216">
        <v>10.990531499999999</v>
      </c>
      <c r="O30" s="227">
        <v>15489.755698488352</v>
      </c>
      <c r="P30" s="226">
        <v>1190.4618095892683</v>
      </c>
      <c r="Q30" s="216">
        <v>62.829670853413106</v>
      </c>
      <c r="R30" s="216" t="s">
        <v>7707</v>
      </c>
      <c r="S30" s="216">
        <v>124.92787</v>
      </c>
      <c r="T30" s="216">
        <v>1.07213</v>
      </c>
      <c r="U30" s="227">
        <v>1379.2914804426814</v>
      </c>
    </row>
    <row r="31" spans="1:21">
      <c r="A31" s="229">
        <v>1997</v>
      </c>
      <c r="B31" s="225">
        <v>90.544678806451387</v>
      </c>
      <c r="C31" s="224">
        <v>151.68989003994741</v>
      </c>
      <c r="D31" s="215">
        <v>68.669949885156456</v>
      </c>
      <c r="E31" s="215"/>
      <c r="F31" s="215"/>
      <c r="G31" s="215" t="s">
        <v>7707</v>
      </c>
      <c r="H31" s="215">
        <v>19.568722062189366</v>
      </c>
      <c r="I31" s="215">
        <v>97.549952154247592</v>
      </c>
      <c r="J31" s="226">
        <v>8551.054467667378</v>
      </c>
      <c r="K31" s="216">
        <v>1058.4816747786106</v>
      </c>
      <c r="L31" s="216" t="s">
        <v>7707</v>
      </c>
      <c r="M31" s="216">
        <v>7042.6509999999998</v>
      </c>
      <c r="N31" s="216">
        <v>22.391810060000001</v>
      </c>
      <c r="O31" s="227">
        <v>16674.578952505988</v>
      </c>
      <c r="P31" s="226">
        <v>1297.1085119260656</v>
      </c>
      <c r="Q31" s="216">
        <v>72.685883561403656</v>
      </c>
      <c r="R31" s="216" t="s">
        <v>7707</v>
      </c>
      <c r="S31" s="216">
        <v>137.81567999999999</v>
      </c>
      <c r="T31" s="216">
        <v>2.18432</v>
      </c>
      <c r="U31" s="227">
        <v>1509.7943954874693</v>
      </c>
    </row>
    <row r="32" spans="1:21">
      <c r="A32" s="229">
        <v>1998</v>
      </c>
      <c r="B32" s="225">
        <v>91.982629241274068</v>
      </c>
      <c r="C32" s="224">
        <v>155.04952021585166</v>
      </c>
      <c r="D32" s="215">
        <v>67.726906445472252</v>
      </c>
      <c r="E32" s="215"/>
      <c r="F32" s="215"/>
      <c r="G32" s="215" t="s">
        <v>7707</v>
      </c>
      <c r="H32" s="215">
        <v>19.851565167718196</v>
      </c>
      <c r="I32" s="215">
        <v>97.550091220253833</v>
      </c>
      <c r="J32" s="226">
        <v>9064.0002226264332</v>
      </c>
      <c r="K32" s="216">
        <v>1211.6821857019422</v>
      </c>
      <c r="L32" s="216" t="s">
        <v>7707</v>
      </c>
      <c r="M32" s="216">
        <v>7520.4719999999998</v>
      </c>
      <c r="N32" s="216">
        <v>37.999554420000003</v>
      </c>
      <c r="O32" s="227">
        <v>17834.153962748373</v>
      </c>
      <c r="P32" s="226">
        <v>1405.3688857546013</v>
      </c>
      <c r="Q32" s="216">
        <v>82.063486032680771</v>
      </c>
      <c r="R32" s="216" t="s">
        <v>7707</v>
      </c>
      <c r="S32" s="216">
        <v>149.29313999999999</v>
      </c>
      <c r="T32" s="216">
        <v>3.7068599999999998</v>
      </c>
      <c r="U32" s="227">
        <v>1640.4323717872821</v>
      </c>
    </row>
    <row r="33" spans="1:21" ht="17" thickBot="1">
      <c r="A33" s="394">
        <v>1999</v>
      </c>
      <c r="B33" s="395">
        <v>93.839977266493548</v>
      </c>
      <c r="C33" s="396">
        <v>158.62241083554815</v>
      </c>
      <c r="D33" s="397">
        <v>66.78207719510398</v>
      </c>
      <c r="E33" s="397"/>
      <c r="F33" s="215"/>
      <c r="G33" s="215" t="s">
        <v>7707</v>
      </c>
      <c r="H33" s="215">
        <v>20.287023579923122</v>
      </c>
      <c r="I33" s="215">
        <v>97.550163768806186</v>
      </c>
      <c r="J33" s="226">
        <v>9594.2495404769488</v>
      </c>
      <c r="K33" s="216">
        <v>1358.8953176331215</v>
      </c>
      <c r="L33" s="216" t="s">
        <v>7707</v>
      </c>
      <c r="M33" s="216">
        <v>7953.2489999999998</v>
      </c>
      <c r="N33" s="216">
        <v>57.941983710000002</v>
      </c>
      <c r="O33" s="227">
        <v>18964.33584182007</v>
      </c>
      <c r="P33" s="226">
        <v>1521.8629922683037</v>
      </c>
      <c r="Q33" s="216">
        <v>90.749852002240473</v>
      </c>
      <c r="R33" s="216" t="s">
        <v>7707</v>
      </c>
      <c r="S33" s="216">
        <v>161.34774999999999</v>
      </c>
      <c r="T33" s="216">
        <v>5.6522500000000004</v>
      </c>
      <c r="U33" s="227">
        <v>1779.6128442705442</v>
      </c>
    </row>
    <row r="34" spans="1:21">
      <c r="A34" s="398">
        <v>2000</v>
      </c>
      <c r="B34" s="399">
        <v>95.810180359100329</v>
      </c>
      <c r="C34" s="400">
        <v>162.24562848240743</v>
      </c>
      <c r="D34" s="401">
        <v>64.810982042663298</v>
      </c>
      <c r="E34" s="402">
        <v>5.6087575006087658</v>
      </c>
      <c r="F34" s="393">
        <f>AVERAGE(D34:E34)</f>
        <v>35.209869771636029</v>
      </c>
      <c r="G34" s="215" t="s">
        <v>7707</v>
      </c>
      <c r="H34" s="215">
        <v>20.40673488213536</v>
      </c>
      <c r="I34" s="215">
        <v>97.55017708833654</v>
      </c>
      <c r="J34" s="226">
        <v>10152.586612559673</v>
      </c>
      <c r="K34" s="259">
        <v>1498.4739209065401</v>
      </c>
      <c r="L34" s="216" t="s">
        <v>7707</v>
      </c>
      <c r="M34" s="216">
        <v>8330.9549999999999</v>
      </c>
      <c r="N34" s="216">
        <v>81.931271049999992</v>
      </c>
      <c r="O34" s="227">
        <v>20063.946804516214</v>
      </c>
      <c r="P34" s="226">
        <v>1647.21279567682</v>
      </c>
      <c r="Q34" s="259">
        <v>97.117566379273029</v>
      </c>
      <c r="R34" s="216" t="s">
        <v>7707</v>
      </c>
      <c r="S34" s="216">
        <v>170.00758999999999</v>
      </c>
      <c r="T34" s="216">
        <v>7.9924099999999996</v>
      </c>
      <c r="U34" s="227">
        <v>1922.330362056093</v>
      </c>
    </row>
    <row r="35" spans="1:21">
      <c r="A35" s="403">
        <v>2001</v>
      </c>
      <c r="B35" s="225">
        <v>103.29818783019795</v>
      </c>
      <c r="C35" s="224">
        <v>175.69787716691812</v>
      </c>
      <c r="D35" s="260">
        <v>65.944483879274358</v>
      </c>
      <c r="E35" s="404">
        <v>5.428319625578327</v>
      </c>
      <c r="F35" s="393">
        <f t="shared" ref="F35:F66" si="0">AVERAGE(D35:E35)</f>
        <v>35.686401752426342</v>
      </c>
      <c r="G35" s="215" t="s">
        <v>7707</v>
      </c>
      <c r="H35" s="215">
        <v>20.408335625347199</v>
      </c>
      <c r="I35" s="215">
        <v>97.550149427417296</v>
      </c>
      <c r="J35" s="226">
        <v>10749.16843993622</v>
      </c>
      <c r="K35" s="259">
        <v>1639.7091783516896</v>
      </c>
      <c r="L35" s="216" t="s">
        <v>7707</v>
      </c>
      <c r="M35" s="216">
        <v>8642.3269999999993</v>
      </c>
      <c r="N35" s="216">
        <v>108.91310841000001</v>
      </c>
      <c r="O35" s="227">
        <v>21140.11772669791</v>
      </c>
      <c r="P35" s="226">
        <v>1888.6060762064269</v>
      </c>
      <c r="Q35" s="259">
        <v>108.12977547851119</v>
      </c>
      <c r="R35" s="216" t="s">
        <v>7707</v>
      </c>
      <c r="S35" s="216">
        <v>176.37550999999999</v>
      </c>
      <c r="T35" s="216">
        <v>10.62449</v>
      </c>
      <c r="U35" s="227">
        <v>2183.7358516849381</v>
      </c>
    </row>
    <row r="36" spans="1:21">
      <c r="A36" s="403">
        <v>2002</v>
      </c>
      <c r="B36" s="225">
        <v>108.74131046791187</v>
      </c>
      <c r="C36" s="224">
        <v>189.67729041573244</v>
      </c>
      <c r="D36" s="260">
        <v>65.899780484531519</v>
      </c>
      <c r="E36" s="404">
        <v>5.2478817505478883</v>
      </c>
      <c r="F36" s="393">
        <f t="shared" si="0"/>
        <v>35.573831117539704</v>
      </c>
      <c r="G36" s="215" t="s">
        <v>7707</v>
      </c>
      <c r="H36" s="215">
        <v>20.339086161135441</v>
      </c>
      <c r="I36" s="215">
        <v>40.464872665628697</v>
      </c>
      <c r="J36" s="226">
        <v>11387.527642037641</v>
      </c>
      <c r="K36" s="259">
        <v>1820.7582301442922</v>
      </c>
      <c r="L36" s="216" t="s">
        <v>7707</v>
      </c>
      <c r="M36" s="216">
        <v>9016.2625079200006</v>
      </c>
      <c r="N36" s="216">
        <v>682.50455718000001</v>
      </c>
      <c r="O36" s="227">
        <v>22907.052937281936</v>
      </c>
      <c r="P36" s="226">
        <v>2159.9553876759546</v>
      </c>
      <c r="Q36" s="259">
        <v>119.98756768191298</v>
      </c>
      <c r="R36" s="216" t="s">
        <v>7707</v>
      </c>
      <c r="S36" s="216">
        <v>183.38254000000001</v>
      </c>
      <c r="T36" s="216">
        <v>27.617460000000001</v>
      </c>
      <c r="U36" s="227">
        <v>2490.9429553578675</v>
      </c>
    </row>
    <row r="37" spans="1:21">
      <c r="A37" s="403">
        <v>2003</v>
      </c>
      <c r="B37" s="225">
        <v>111.46612726350854</v>
      </c>
      <c r="C37" s="224">
        <v>204.17344597668321</v>
      </c>
      <c r="D37" s="260">
        <v>64.806597262477865</v>
      </c>
      <c r="E37" s="404">
        <v>5.0674438755174496</v>
      </c>
      <c r="F37" s="393">
        <f t="shared" si="0"/>
        <v>34.93702056899766</v>
      </c>
      <c r="G37" s="215" t="s">
        <v>7707</v>
      </c>
      <c r="H37" s="215">
        <v>19.978407011174756</v>
      </c>
      <c r="I37" s="215">
        <v>31.829422498445886</v>
      </c>
      <c r="J37" s="226">
        <v>12079.444803150023</v>
      </c>
      <c r="K37" s="259">
        <v>2133.906247588578</v>
      </c>
      <c r="L37" s="216" t="s">
        <v>7707</v>
      </c>
      <c r="M37" s="216">
        <v>9693.3929662999999</v>
      </c>
      <c r="N37" s="216">
        <v>1675.85352837</v>
      </c>
      <c r="O37" s="227">
        <v>25582.597545408604</v>
      </c>
      <c r="P37" s="226">
        <v>2466.3018709442781</v>
      </c>
      <c r="Q37" s="259">
        <v>138.29120278335836</v>
      </c>
      <c r="R37" s="216" t="s">
        <v>7707</v>
      </c>
      <c r="S37" s="216">
        <v>193.65854999999999</v>
      </c>
      <c r="T37" s="216">
        <v>53.341450000000002</v>
      </c>
      <c r="U37" s="227">
        <v>2851.5930737276367</v>
      </c>
    </row>
    <row r="38" spans="1:21">
      <c r="A38" s="403">
        <v>2004</v>
      </c>
      <c r="B38" s="225">
        <v>110.94091025894519</v>
      </c>
      <c r="C38" s="224">
        <v>219.15376664286117</v>
      </c>
      <c r="D38" s="260">
        <v>62.99151366215397</v>
      </c>
      <c r="E38" s="404">
        <v>4.8870060004870108</v>
      </c>
      <c r="F38" s="393">
        <f t="shared" si="0"/>
        <v>33.939259831320491</v>
      </c>
      <c r="G38" s="215" t="s">
        <v>7707</v>
      </c>
      <c r="H38" s="215">
        <v>19.566637386881986</v>
      </c>
      <c r="I38" s="215">
        <v>27.814051431628531</v>
      </c>
      <c r="J38" s="226">
        <v>12807.606284618847</v>
      </c>
      <c r="K38" s="259">
        <v>2720.5858639210201</v>
      </c>
      <c r="L38" s="216" t="s">
        <v>7707</v>
      </c>
      <c r="M38" s="216">
        <v>10910.024332699999</v>
      </c>
      <c r="N38" s="216">
        <v>3110.9279499499999</v>
      </c>
      <c r="O38" s="227">
        <v>29549.144431189867</v>
      </c>
      <c r="P38" s="226">
        <v>2806.8351589530012</v>
      </c>
      <c r="Q38" s="259">
        <v>171.3738216162439</v>
      </c>
      <c r="R38" s="216" t="s">
        <v>7707</v>
      </c>
      <c r="S38" s="216">
        <v>213.47248999999999</v>
      </c>
      <c r="T38" s="216">
        <v>86.527510000000007</v>
      </c>
      <c r="U38" s="227">
        <v>3278.2089805692449</v>
      </c>
    </row>
    <row r="39" spans="1:21">
      <c r="A39" s="403">
        <v>2005</v>
      </c>
      <c r="B39" s="225">
        <v>110.45259962040784</v>
      </c>
      <c r="C39" s="224">
        <v>234.5065938296411</v>
      </c>
      <c r="D39" s="260">
        <v>60.874879479346518</v>
      </c>
      <c r="E39" s="404">
        <v>4.7065681254565721</v>
      </c>
      <c r="F39" s="393">
        <f t="shared" si="0"/>
        <v>32.790723802401544</v>
      </c>
      <c r="G39" s="215" t="s">
        <v>7707</v>
      </c>
      <c r="H39" s="215">
        <v>19.192123335927672</v>
      </c>
      <c r="I39" s="215">
        <v>25.019105203777208</v>
      </c>
      <c r="J39" s="226">
        <v>13452.748486019209</v>
      </c>
      <c r="K39" s="259">
        <v>3675.2472891045268</v>
      </c>
      <c r="L39" s="216" t="s">
        <v>7707</v>
      </c>
      <c r="M39" s="216">
        <v>11729.860529740001</v>
      </c>
      <c r="N39" s="216">
        <v>4871.4400058399997</v>
      </c>
      <c r="O39" s="227">
        <v>33729.296310703736</v>
      </c>
      <c r="P39" s="226">
        <v>3154.7582251032259</v>
      </c>
      <c r="Q39" s="259">
        <v>223.73023578103309</v>
      </c>
      <c r="R39" s="216" t="s">
        <v>7707</v>
      </c>
      <c r="S39" s="216">
        <v>225.12092999999999</v>
      </c>
      <c r="T39" s="216">
        <v>121.87907</v>
      </c>
      <c r="U39" s="227">
        <v>3725.488460884259</v>
      </c>
    </row>
    <row r="40" spans="1:21">
      <c r="A40" s="403">
        <v>2006</v>
      </c>
      <c r="B40" s="225">
        <v>109.27708501409855</v>
      </c>
      <c r="C40" s="224">
        <v>250.12954599567027</v>
      </c>
      <c r="D40" s="260">
        <v>58.530870744901705</v>
      </c>
      <c r="E40" s="404">
        <v>4.5261302504261334</v>
      </c>
      <c r="F40" s="393">
        <f t="shared" si="0"/>
        <v>31.52850049766392</v>
      </c>
      <c r="G40" s="215" t="s">
        <v>7707</v>
      </c>
      <c r="H40" s="215">
        <v>18.794594932959829</v>
      </c>
      <c r="I40" s="215">
        <v>22.66671379170166</v>
      </c>
      <c r="J40" s="226">
        <v>13853.386408220076</v>
      </c>
      <c r="K40" s="259">
        <v>5121.2237036681181</v>
      </c>
      <c r="L40" s="216" t="s">
        <v>7707</v>
      </c>
      <c r="M40" s="216">
        <v>12210.62017131</v>
      </c>
      <c r="N40" s="216">
        <v>6772.3244494399996</v>
      </c>
      <c r="O40" s="227">
        <v>37957.554732638193</v>
      </c>
      <c r="P40" s="226">
        <v>3465.1412527906773</v>
      </c>
      <c r="Q40" s="259">
        <v>299.74968265512541</v>
      </c>
      <c r="R40" s="216" t="s">
        <v>7707</v>
      </c>
      <c r="S40" s="216">
        <v>229.49366000000001</v>
      </c>
      <c r="T40" s="216">
        <v>153.50633999999999</v>
      </c>
      <c r="U40" s="227">
        <v>4147.8909354458028</v>
      </c>
    </row>
    <row r="41" spans="1:21">
      <c r="A41" s="403">
        <v>2007</v>
      </c>
      <c r="B41" s="225">
        <v>107.90658789523657</v>
      </c>
      <c r="C41" s="224">
        <v>267.5518012459388</v>
      </c>
      <c r="D41" s="260">
        <v>57.65812824736178</v>
      </c>
      <c r="E41" s="404">
        <v>4.3456923753956946</v>
      </c>
      <c r="F41" s="393">
        <f t="shared" si="0"/>
        <v>31.001910311378737</v>
      </c>
      <c r="G41" s="215" t="s">
        <v>7707</v>
      </c>
      <c r="H41" s="215">
        <v>18.418773930110365</v>
      </c>
      <c r="I41" s="215">
        <v>20.402847759194877</v>
      </c>
      <c r="J41" s="226">
        <v>13892.121237549245</v>
      </c>
      <c r="K41" s="259">
        <v>7165.6691610051239</v>
      </c>
      <c r="L41" s="216" t="s">
        <v>7707</v>
      </c>
      <c r="M41" s="216">
        <v>12327.811333239999</v>
      </c>
      <c r="N41" s="216">
        <v>8623.1506540900009</v>
      </c>
      <c r="O41" s="227">
        <v>42008.752385884363</v>
      </c>
      <c r="P41" s="226">
        <v>3716.8620602332612</v>
      </c>
      <c r="Q41" s="259">
        <v>413.15907146339873</v>
      </c>
      <c r="R41" s="216" t="s">
        <v>7707</v>
      </c>
      <c r="S41" s="216">
        <v>227.06317000000001</v>
      </c>
      <c r="T41" s="216">
        <v>175.93682999999999</v>
      </c>
      <c r="U41" s="227">
        <v>4533.0211316966597</v>
      </c>
    </row>
    <row r="42" spans="1:21">
      <c r="A42" s="403">
        <v>2008</v>
      </c>
      <c r="B42" s="225">
        <v>103.47924210016239</v>
      </c>
      <c r="C42" s="224">
        <v>277.06612217363102</v>
      </c>
      <c r="D42" s="260">
        <v>55.781452376280122</v>
      </c>
      <c r="E42" s="404">
        <v>4.1652545003652559</v>
      </c>
      <c r="F42" s="393">
        <f t="shared" si="0"/>
        <v>29.97335343832269</v>
      </c>
      <c r="G42" s="215" t="s">
        <v>7707</v>
      </c>
      <c r="H42" s="215">
        <v>17.504342856022802</v>
      </c>
      <c r="I42" s="215">
        <v>18.363259747790735</v>
      </c>
      <c r="J42" s="226">
        <v>13515.002750449394</v>
      </c>
      <c r="K42" s="259">
        <v>9722.730772345416</v>
      </c>
      <c r="L42" s="216" t="s">
        <v>7707</v>
      </c>
      <c r="M42" s="216">
        <v>11577.360068120001</v>
      </c>
      <c r="N42" s="216">
        <v>10420.041029100001</v>
      </c>
      <c r="O42" s="227">
        <v>45235.134620014811</v>
      </c>
      <c r="P42" s="226">
        <v>3744.5494032329707</v>
      </c>
      <c r="Q42" s="259">
        <v>542.34804354497908</v>
      </c>
      <c r="R42" s="216" t="s">
        <v>7707</v>
      </c>
      <c r="S42" s="216">
        <v>202.65407999999999</v>
      </c>
      <c r="T42" s="216">
        <v>191.34592000000001</v>
      </c>
      <c r="U42" s="227">
        <v>4680.8974467779499</v>
      </c>
    </row>
    <row r="43" spans="1:21">
      <c r="A43" s="403">
        <v>2009</v>
      </c>
      <c r="B43" s="225">
        <v>94.546143771232934</v>
      </c>
      <c r="C43" s="224">
        <v>275.31069495298107</v>
      </c>
      <c r="D43" s="260">
        <v>52.745922381267718</v>
      </c>
      <c r="E43" s="404">
        <v>3.9848166253348176</v>
      </c>
      <c r="F43" s="393">
        <f t="shared" si="0"/>
        <v>28.365369503301267</v>
      </c>
      <c r="G43" s="215" t="s">
        <v>7707</v>
      </c>
      <c r="H43" s="215">
        <v>16.431178762090607</v>
      </c>
      <c r="I43" s="215">
        <v>16.839207871992301</v>
      </c>
      <c r="J43" s="226">
        <v>12714.370157964473</v>
      </c>
      <c r="K43" s="259">
        <v>12336.241711435057</v>
      </c>
      <c r="L43" s="216" t="s">
        <v>7707</v>
      </c>
      <c r="M43" s="216">
        <v>10681.5318938</v>
      </c>
      <c r="N43" s="216">
        <v>12203.0585739</v>
      </c>
      <c r="O43" s="227">
        <v>47935.20233709953</v>
      </c>
      <c r="P43" s="226">
        <v>3500.4020840786425</v>
      </c>
      <c r="Q43" s="259">
        <v>650.68644778791077</v>
      </c>
      <c r="R43" s="216" t="s">
        <v>7707</v>
      </c>
      <c r="S43" s="216">
        <v>175.51016000000001</v>
      </c>
      <c r="T43" s="216">
        <v>205.48983999999999</v>
      </c>
      <c r="U43" s="227">
        <v>4532.0885318665532</v>
      </c>
    </row>
    <row r="44" spans="1:21">
      <c r="A44" s="403">
        <v>2010</v>
      </c>
      <c r="B44" s="225">
        <v>64.984568575371938</v>
      </c>
      <c r="C44" s="224">
        <v>265.79295250121339</v>
      </c>
      <c r="D44" s="260">
        <v>48.945511064021794</v>
      </c>
      <c r="E44" s="404">
        <v>3.8043787503043793</v>
      </c>
      <c r="F44" s="393">
        <f t="shared" si="0"/>
        <v>26.374944907163087</v>
      </c>
      <c r="G44" s="215">
        <v>30.269029042611482</v>
      </c>
      <c r="H44" s="215">
        <v>15.153048184444637</v>
      </c>
      <c r="I44" s="215">
        <v>15.834623660305182</v>
      </c>
      <c r="J44" s="226">
        <v>11503.601871607107</v>
      </c>
      <c r="K44" s="259">
        <v>14315.573286815601</v>
      </c>
      <c r="L44" s="216">
        <v>25868.025000000001</v>
      </c>
      <c r="M44" s="216">
        <v>9909.3672884999996</v>
      </c>
      <c r="N44" s="216">
        <v>14009.987528540001</v>
      </c>
      <c r="O44" s="227">
        <v>75606.554975462714</v>
      </c>
      <c r="P44" s="226">
        <v>3057.5763058529369</v>
      </c>
      <c r="Q44" s="259">
        <v>700.68305069764779</v>
      </c>
      <c r="R44" s="216">
        <v>783</v>
      </c>
      <c r="S44" s="216">
        <v>150.15711999999999</v>
      </c>
      <c r="T44" s="216">
        <v>221.84288000000001</v>
      </c>
      <c r="U44" s="227">
        <v>4913.2593565505849</v>
      </c>
    </row>
    <row r="45" spans="1:21">
      <c r="A45" s="403">
        <v>2011</v>
      </c>
      <c r="B45" s="225">
        <v>57.248501690832171</v>
      </c>
      <c r="C45" s="224">
        <v>248.57276021901924</v>
      </c>
      <c r="D45" s="260">
        <v>46.850414615175104</v>
      </c>
      <c r="E45" s="404">
        <v>3.623940875273941</v>
      </c>
      <c r="F45" s="393">
        <f t="shared" si="0"/>
        <v>25.237177745224521</v>
      </c>
      <c r="G45" s="215">
        <v>30.552620132825595</v>
      </c>
      <c r="H45" s="215">
        <v>13.748326063672591</v>
      </c>
      <c r="I45" s="215">
        <v>15.246263682125981</v>
      </c>
      <c r="J45" s="226">
        <v>10076.791867847254</v>
      </c>
      <c r="K45" s="259">
        <v>15445.957359124839</v>
      </c>
      <c r="L45" s="216">
        <v>26053.412</v>
      </c>
      <c r="M45" s="216">
        <v>9331.6422236300004</v>
      </c>
      <c r="N45" s="216">
        <v>15853.42776692</v>
      </c>
      <c r="O45" s="227">
        <v>76761.231217522087</v>
      </c>
      <c r="P45" s="226">
        <v>2504.8159687433586</v>
      </c>
      <c r="Q45" s="259">
        <v>723.64950640331381</v>
      </c>
      <c r="R45" s="216">
        <v>796</v>
      </c>
      <c r="S45" s="216">
        <v>128.29445999999999</v>
      </c>
      <c r="T45" s="216">
        <v>241.70554000000001</v>
      </c>
      <c r="U45" s="227">
        <v>4394.4654751466724</v>
      </c>
    </row>
    <row r="46" spans="1:21">
      <c r="A46" s="403">
        <v>2012</v>
      </c>
      <c r="B46" s="225">
        <v>47.748800807949436</v>
      </c>
      <c r="C46" s="224">
        <v>214.44180008466637</v>
      </c>
      <c r="D46" s="260">
        <v>41.897889704353879</v>
      </c>
      <c r="E46" s="404">
        <v>3.4435030002435028</v>
      </c>
      <c r="F46" s="393">
        <f t="shared" si="0"/>
        <v>22.670696352298691</v>
      </c>
      <c r="G46" s="215">
        <v>30.85172482254837</v>
      </c>
      <c r="H46" s="215">
        <v>12.567093696133092</v>
      </c>
      <c r="I46" s="215">
        <v>14.825822637061972</v>
      </c>
      <c r="J46" s="226">
        <v>8620.5877424119481</v>
      </c>
      <c r="K46" s="259">
        <v>16171.98461791567</v>
      </c>
      <c r="L46" s="216">
        <v>26287.023000000001</v>
      </c>
      <c r="M46" s="216">
        <v>8997.4740965600013</v>
      </c>
      <c r="N46" s="216">
        <v>17667.006169709999</v>
      </c>
      <c r="O46" s="227">
        <v>77744.075626597623</v>
      </c>
      <c r="P46" s="226">
        <v>1848.6143532706285</v>
      </c>
      <c r="Q46" s="259">
        <v>677.57202782193826</v>
      </c>
      <c r="R46" s="216">
        <v>811</v>
      </c>
      <c r="S46" s="216">
        <v>113.07209999999998</v>
      </c>
      <c r="T46" s="216">
        <v>261.92790000000002</v>
      </c>
      <c r="U46" s="227">
        <v>3712.186381092567</v>
      </c>
    </row>
    <row r="47" spans="1:21">
      <c r="A47" s="403">
        <v>2013</v>
      </c>
      <c r="B47" s="225">
        <v>41.701142824809523</v>
      </c>
      <c r="C47" s="224">
        <v>191.53914876086523</v>
      </c>
      <c r="D47" s="260">
        <v>39.933708419316034</v>
      </c>
      <c r="E47" s="404">
        <v>3.2630651252130645</v>
      </c>
      <c r="F47" s="393">
        <f t="shared" si="0"/>
        <v>21.598386772264551</v>
      </c>
      <c r="G47" s="215">
        <v>31.292300205686395</v>
      </c>
      <c r="H47" s="215">
        <v>11.506454718517659</v>
      </c>
      <c r="I47" s="215">
        <v>14.329766427223316</v>
      </c>
      <c r="J47" s="226">
        <v>7312.2551233067388</v>
      </c>
      <c r="K47" s="259">
        <v>17082.398647068232</v>
      </c>
      <c r="L47" s="216">
        <v>25629.308000000001</v>
      </c>
      <c r="M47" s="216">
        <v>8866.6850472900005</v>
      </c>
      <c r="N47" s="216">
        <v>19398.494135389999</v>
      </c>
      <c r="O47" s="227">
        <v>78289.140953054972</v>
      </c>
      <c r="P47" s="226">
        <v>1400.5831218404483</v>
      </c>
      <c r="Q47" s="259">
        <v>682.16352667454146</v>
      </c>
      <c r="R47" s="216">
        <v>802</v>
      </c>
      <c r="S47" s="216">
        <v>102.02411000000001</v>
      </c>
      <c r="T47" s="216">
        <v>277.97588999999999</v>
      </c>
      <c r="U47" s="227">
        <v>3264.7466485149898</v>
      </c>
    </row>
    <row r="48" spans="1:21">
      <c r="A48" s="403">
        <v>2014</v>
      </c>
      <c r="B48" s="225">
        <v>37.226201196723849</v>
      </c>
      <c r="C48" s="224">
        <v>172.02666807281696</v>
      </c>
      <c r="D48" s="260">
        <v>38.41181235726345</v>
      </c>
      <c r="E48" s="404">
        <v>3.0826272501826262</v>
      </c>
      <c r="F48" s="393">
        <f t="shared" si="0"/>
        <v>20.747219803723038</v>
      </c>
      <c r="G48" s="215">
        <v>31.608228253979075</v>
      </c>
      <c r="H48" s="215">
        <v>10.740517820977999</v>
      </c>
      <c r="I48" s="215">
        <v>13.873714096176542</v>
      </c>
      <c r="J48" s="226">
        <v>6248.676684870924</v>
      </c>
      <c r="K48" s="259">
        <v>18480.709542095967</v>
      </c>
      <c r="L48" s="216">
        <v>24993.491999999998</v>
      </c>
      <c r="M48" s="216">
        <v>8814.0927260600001</v>
      </c>
      <c r="N48" s="216">
        <v>20998.85279316</v>
      </c>
      <c r="O48" s="227">
        <v>79535.823746186885</v>
      </c>
      <c r="P48" s="226">
        <v>1074.9390299626407</v>
      </c>
      <c r="Q48" s="259">
        <v>709.87754716007839</v>
      </c>
      <c r="R48" s="216">
        <v>790</v>
      </c>
      <c r="S48" s="216">
        <v>94.667919999999981</v>
      </c>
      <c r="T48" s="216">
        <v>291.33208000000002</v>
      </c>
      <c r="U48" s="227">
        <v>2960.8165771227191</v>
      </c>
    </row>
    <row r="49" spans="1:21">
      <c r="A49" s="403">
        <v>2015</v>
      </c>
      <c r="B49" s="225">
        <v>34.758410630972556</v>
      </c>
      <c r="C49" s="224">
        <v>163.20175646851814</v>
      </c>
      <c r="D49" s="260">
        <v>38.9468339621355</v>
      </c>
      <c r="E49" s="404">
        <v>2.9021893751521879</v>
      </c>
      <c r="F49" s="393">
        <f t="shared" si="0"/>
        <v>20.924511668643845</v>
      </c>
      <c r="G49" s="215">
        <v>31.018809724047628</v>
      </c>
      <c r="H49" s="215">
        <v>10.117859485123438</v>
      </c>
      <c r="I49" s="215">
        <v>13.385356144595832</v>
      </c>
      <c r="J49" s="226">
        <v>5462.9165576182768</v>
      </c>
      <c r="K49" s="259">
        <v>20270.197813051574</v>
      </c>
      <c r="L49" s="216">
        <v>24340.07</v>
      </c>
      <c r="M49" s="216">
        <v>8770.663412599999</v>
      </c>
      <c r="N49" s="216">
        <v>22431.951511519997</v>
      </c>
      <c r="O49" s="227">
        <v>81275.799294789846</v>
      </c>
      <c r="P49" s="226">
        <v>891.55757764425346</v>
      </c>
      <c r="Q49" s="259">
        <v>789.46002860456178</v>
      </c>
      <c r="R49" s="216">
        <v>755</v>
      </c>
      <c r="S49" s="216">
        <v>88.740340000000003</v>
      </c>
      <c r="T49" s="216">
        <v>300.25966</v>
      </c>
      <c r="U49" s="227">
        <v>2825.0176062488154</v>
      </c>
    </row>
    <row r="50" spans="1:21">
      <c r="A50" s="403">
        <v>2016</v>
      </c>
      <c r="B50" s="225">
        <v>32.78126413730611</v>
      </c>
      <c r="C50" s="224">
        <v>158.66929145586721</v>
      </c>
      <c r="D50" s="260">
        <v>40.293591694345757</v>
      </c>
      <c r="E50" s="404">
        <v>2.7217515001217496</v>
      </c>
      <c r="F50" s="393">
        <f t="shared" si="0"/>
        <v>21.507671597233752</v>
      </c>
      <c r="G50" s="215">
        <v>27.919346793724895</v>
      </c>
      <c r="H50" s="215">
        <v>9.679243138443022</v>
      </c>
      <c r="I50" s="215">
        <v>12.905632328118374</v>
      </c>
      <c r="J50" s="226">
        <v>4929.1272655859038</v>
      </c>
      <c r="K50" s="259">
        <v>22184.967383135088</v>
      </c>
      <c r="L50" s="216">
        <v>23675.339</v>
      </c>
      <c r="M50" s="216">
        <v>8717.5132180400014</v>
      </c>
      <c r="N50" s="216">
        <v>23681.216249600002</v>
      </c>
      <c r="O50" s="227">
        <v>83188.163116361</v>
      </c>
      <c r="P50" s="226">
        <v>782.10113072631157</v>
      </c>
      <c r="Q50" s="259">
        <v>893.91201748842354</v>
      </c>
      <c r="R50" s="216">
        <v>661</v>
      </c>
      <c r="S50" s="216">
        <v>84.378930000000025</v>
      </c>
      <c r="T50" s="216">
        <v>305.62106999999997</v>
      </c>
      <c r="U50" s="227">
        <v>2727.0131482147353</v>
      </c>
    </row>
    <row r="51" spans="1:21">
      <c r="A51" s="403">
        <v>2017</v>
      </c>
      <c r="B51" s="225">
        <v>31.510969955955691</v>
      </c>
      <c r="C51" s="224">
        <v>157.91034629629735</v>
      </c>
      <c r="D51" s="260">
        <v>42.497563336029167</v>
      </c>
      <c r="E51" s="404">
        <v>2.5413136250913113</v>
      </c>
      <c r="F51" s="393">
        <f t="shared" si="0"/>
        <v>22.51943848056024</v>
      </c>
      <c r="G51" s="215">
        <v>23.624662842777866</v>
      </c>
      <c r="H51" s="215">
        <v>9.2902045435239788</v>
      </c>
      <c r="I51" s="215">
        <v>12.511847319636399</v>
      </c>
      <c r="J51" s="226">
        <v>4585.461497138177</v>
      </c>
      <c r="K51" s="259">
        <v>24032.807251747108</v>
      </c>
      <c r="L51" s="216">
        <v>22984.455000000002</v>
      </c>
      <c r="M51" s="216">
        <v>8647.6632052199984</v>
      </c>
      <c r="N51" s="216">
        <v>24749.458020799997</v>
      </c>
      <c r="O51" s="227">
        <v>84999.844974905282</v>
      </c>
      <c r="P51" s="226">
        <v>724.09181294142763</v>
      </c>
      <c r="Q51" s="259">
        <v>1021.3357483237037</v>
      </c>
      <c r="R51" s="216">
        <v>543</v>
      </c>
      <c r="S51" s="216">
        <v>80.338559999999973</v>
      </c>
      <c r="T51" s="216">
        <v>309.66144000000003</v>
      </c>
      <c r="U51" s="227">
        <v>2678.4275612651313</v>
      </c>
    </row>
    <row r="52" spans="1:21">
      <c r="A52" s="403">
        <v>2018</v>
      </c>
      <c r="B52" s="225">
        <v>31.59920410556489</v>
      </c>
      <c r="C52" s="224">
        <v>160.02029496328308</v>
      </c>
      <c r="D52" s="260">
        <v>45.367067944496739</v>
      </c>
      <c r="E52" s="404">
        <v>2.360875750060873</v>
      </c>
      <c r="F52" s="393">
        <f t="shared" si="0"/>
        <v>23.863971847278805</v>
      </c>
      <c r="G52" s="215">
        <v>21.46035661545573</v>
      </c>
      <c r="H52" s="215">
        <v>9.1848912003469803</v>
      </c>
      <c r="I52" s="215">
        <v>12.214458977354644</v>
      </c>
      <c r="J52" s="226">
        <v>4362.653283415515</v>
      </c>
      <c r="K52" s="259">
        <v>25771.458457078923</v>
      </c>
      <c r="L52" s="216">
        <v>22273.628000000001</v>
      </c>
      <c r="M52" s="216">
        <v>8564.9931266500025</v>
      </c>
      <c r="N52" s="216">
        <v>25652.505000909998</v>
      </c>
      <c r="O52" s="227">
        <v>86625.237868054435</v>
      </c>
      <c r="P52" s="226">
        <v>698.11306523468613</v>
      </c>
      <c r="Q52" s="259">
        <v>1169.1755068510747</v>
      </c>
      <c r="R52" s="216">
        <v>478</v>
      </c>
      <c r="S52" s="216">
        <v>78.668529999999976</v>
      </c>
      <c r="T52" s="216">
        <v>313.33147000000002</v>
      </c>
      <c r="U52" s="227">
        <v>2737.2885720857607</v>
      </c>
    </row>
    <row r="53" spans="1:21">
      <c r="A53" s="403">
        <v>2019</v>
      </c>
      <c r="B53" s="225">
        <v>32.681860755085488</v>
      </c>
      <c r="C53" s="224">
        <v>164.27538501109757</v>
      </c>
      <c r="D53" s="260">
        <v>48.680580685080969</v>
      </c>
      <c r="E53" s="404">
        <v>2.1804378750304347</v>
      </c>
      <c r="F53" s="393">
        <f t="shared" si="0"/>
        <v>25.430509280055702</v>
      </c>
      <c r="G53" s="215">
        <v>21.306367178056615</v>
      </c>
      <c r="H53" s="215">
        <v>8.9975169547768932</v>
      </c>
      <c r="I53" s="215">
        <v>11.99306235479464</v>
      </c>
      <c r="J53" s="226">
        <v>4204.5544834242055</v>
      </c>
      <c r="K53" s="259">
        <v>27434.754322870169</v>
      </c>
      <c r="L53" s="216">
        <v>21542.856</v>
      </c>
      <c r="M53" s="216">
        <v>8477.5122273599991</v>
      </c>
      <c r="N53" s="216">
        <v>26408.887957910003</v>
      </c>
      <c r="O53" s="227">
        <v>88068.564991564373</v>
      </c>
      <c r="P53" s="226">
        <v>690.70480656464781</v>
      </c>
      <c r="Q53" s="259">
        <v>1335.5397713898553</v>
      </c>
      <c r="R53" s="216">
        <v>459</v>
      </c>
      <c r="S53" s="216">
        <v>76.276560000000018</v>
      </c>
      <c r="T53" s="216">
        <v>316.72343999999998</v>
      </c>
      <c r="U53" s="227">
        <v>2878.2445779545033</v>
      </c>
    </row>
    <row r="54" spans="1:21">
      <c r="A54" s="405">
        <v>2020</v>
      </c>
      <c r="B54" s="215">
        <v>34.164493775564814</v>
      </c>
      <c r="C54" s="215">
        <v>169.98219585276237</v>
      </c>
      <c r="D54" s="260">
        <v>52.338096503237999</v>
      </c>
      <c r="E54" s="404">
        <v>2</v>
      </c>
      <c r="F54" s="393">
        <f t="shared" si="0"/>
        <v>27.169048251619</v>
      </c>
      <c r="G54" s="215">
        <v>21.405393476107466</v>
      </c>
      <c r="H54" s="215">
        <v>8.9320710707111548</v>
      </c>
      <c r="I54" s="215">
        <v>11.830920231053305</v>
      </c>
      <c r="J54" s="216">
        <v>4075.2140820225677</v>
      </c>
      <c r="K54" s="259">
        <v>29033.376323969813</v>
      </c>
      <c r="L54" s="216">
        <v>20789.153000000002</v>
      </c>
      <c r="M54" s="216">
        <v>8388.7912900400006</v>
      </c>
      <c r="N54" s="216">
        <v>27053.746771099999</v>
      </c>
      <c r="O54" s="309">
        <v>89340.281467132387</v>
      </c>
      <c r="P54" s="309">
        <v>692.7138382322953</v>
      </c>
      <c r="Q54" s="310">
        <v>1519.5516518587579</v>
      </c>
      <c r="R54" s="309">
        <v>445</v>
      </c>
      <c r="S54" s="309">
        <v>74.929280000000006</v>
      </c>
      <c r="T54" s="309">
        <v>320.07071999999999</v>
      </c>
      <c r="U54" s="309">
        <v>3052.2654900910529</v>
      </c>
    </row>
    <row r="55" spans="1:21">
      <c r="A55" s="405">
        <v>2021</v>
      </c>
      <c r="B55" s="8"/>
      <c r="C55" s="8"/>
      <c r="D55" s="315">
        <v>50.143255127968168</v>
      </c>
      <c r="E55" s="406">
        <v>1.9</v>
      </c>
      <c r="F55" s="393">
        <f t="shared" si="0"/>
        <v>26.021627563984083</v>
      </c>
      <c r="G55" s="8"/>
      <c r="H55" s="8"/>
      <c r="I55" s="8"/>
      <c r="J55" s="8"/>
      <c r="K55" s="8"/>
      <c r="L55" s="8"/>
      <c r="M55" s="8"/>
      <c r="N55" s="8"/>
      <c r="O55" s="8"/>
      <c r="P55" s="8"/>
      <c r="Q55" s="8"/>
      <c r="R55" s="8"/>
      <c r="S55" s="8"/>
      <c r="T55" s="8"/>
      <c r="U55" s="8"/>
    </row>
    <row r="56" spans="1:21">
      <c r="A56" s="405">
        <v>2022</v>
      </c>
      <c r="B56" s="8"/>
      <c r="C56" s="8"/>
      <c r="D56" s="315">
        <v>47.948413752698336</v>
      </c>
      <c r="E56" s="406">
        <v>1.7999999999999998</v>
      </c>
      <c r="F56" s="393">
        <f t="shared" si="0"/>
        <v>24.874206876349167</v>
      </c>
      <c r="G56" s="8"/>
      <c r="H56" s="8"/>
      <c r="I56" s="8"/>
      <c r="J56" s="8"/>
      <c r="K56" s="8"/>
      <c r="L56" s="8"/>
      <c r="M56" s="8"/>
      <c r="N56" s="8"/>
      <c r="O56" s="8"/>
      <c r="P56" s="8"/>
      <c r="Q56" s="311"/>
      <c r="R56" s="8"/>
      <c r="S56" s="8"/>
      <c r="T56" s="8"/>
      <c r="U56" s="8"/>
    </row>
    <row r="57" spans="1:21">
      <c r="A57" s="405">
        <v>2023</v>
      </c>
      <c r="B57" s="8"/>
      <c r="C57" s="8"/>
      <c r="D57" s="315">
        <v>45.753572377428505</v>
      </c>
      <c r="E57" s="406">
        <v>1.6999999999999997</v>
      </c>
      <c r="F57" s="393">
        <f t="shared" si="0"/>
        <v>23.726786188714254</v>
      </c>
      <c r="G57" s="8"/>
      <c r="H57" s="8"/>
      <c r="I57" s="8"/>
      <c r="J57" s="8"/>
      <c r="K57" s="8"/>
      <c r="L57" s="8"/>
      <c r="M57" s="8"/>
      <c r="N57" s="8"/>
      <c r="O57" s="8"/>
      <c r="P57" s="8"/>
      <c r="Q57" s="91"/>
      <c r="R57" s="8"/>
      <c r="S57" s="8"/>
      <c r="T57" s="8"/>
      <c r="U57" s="8"/>
    </row>
    <row r="58" spans="1:21">
      <c r="A58" s="405">
        <v>2024</v>
      </c>
      <c r="B58" s="8"/>
      <c r="C58" s="8"/>
      <c r="D58" s="315">
        <v>43.558731002158673</v>
      </c>
      <c r="E58" s="406">
        <v>1.5999999999999996</v>
      </c>
      <c r="F58" s="393">
        <f t="shared" si="0"/>
        <v>22.579365501079337</v>
      </c>
      <c r="G58" s="8"/>
      <c r="H58" s="312"/>
      <c r="I58" s="8"/>
      <c r="J58" s="8"/>
      <c r="K58" s="8"/>
      <c r="L58" s="8"/>
      <c r="M58" s="8"/>
      <c r="N58" s="8"/>
      <c r="O58" s="8"/>
      <c r="P58" s="8"/>
      <c r="Q58" s="8"/>
      <c r="R58" s="8"/>
      <c r="S58" s="8"/>
      <c r="T58" s="8"/>
      <c r="U58" s="8"/>
    </row>
    <row r="59" spans="1:21">
      <c r="A59" s="405">
        <v>2025</v>
      </c>
      <c r="B59" s="8"/>
      <c r="C59" s="8"/>
      <c r="D59" s="315">
        <v>41.363889626888842</v>
      </c>
      <c r="E59" s="406">
        <v>1.4999999999999996</v>
      </c>
      <c r="F59" s="393">
        <f t="shared" si="0"/>
        <v>21.431944813444421</v>
      </c>
      <c r="G59" s="8"/>
      <c r="H59" s="8"/>
      <c r="I59" s="8"/>
      <c r="J59" s="8"/>
      <c r="K59" s="8"/>
      <c r="L59" s="8"/>
      <c r="M59" s="8"/>
      <c r="N59" s="8"/>
      <c r="O59" s="8"/>
      <c r="P59" s="8"/>
      <c r="Q59" s="8"/>
      <c r="R59" s="8"/>
      <c r="S59" s="8"/>
      <c r="T59" s="8"/>
      <c r="U59" s="8"/>
    </row>
    <row r="60" spans="1:21">
      <c r="A60" s="405">
        <v>2026</v>
      </c>
      <c r="B60" s="8"/>
      <c r="C60" s="8"/>
      <c r="D60" s="315">
        <v>39.16904825161901</v>
      </c>
      <c r="E60" s="406">
        <v>1.3999999999999995</v>
      </c>
      <c r="F60" s="393">
        <f t="shared" si="0"/>
        <v>20.284524125809504</v>
      </c>
      <c r="G60" s="8"/>
      <c r="H60" s="8"/>
      <c r="I60" s="8"/>
      <c r="J60" s="8"/>
      <c r="K60" s="8"/>
      <c r="L60" s="8"/>
      <c r="M60" s="8"/>
      <c r="N60" s="8"/>
      <c r="O60" s="8"/>
      <c r="P60" s="8"/>
      <c r="Q60" s="8"/>
      <c r="R60" s="8"/>
      <c r="S60" s="8"/>
      <c r="T60" s="8"/>
      <c r="U60" s="8"/>
    </row>
    <row r="61" spans="1:21">
      <c r="A61" s="405">
        <v>2027</v>
      </c>
      <c r="B61" s="8"/>
      <c r="C61" s="8"/>
      <c r="D61" s="315">
        <v>36.974206876349179</v>
      </c>
      <c r="E61" s="406">
        <v>1.2999999999999994</v>
      </c>
      <c r="F61" s="393">
        <f t="shared" si="0"/>
        <v>19.137103438174588</v>
      </c>
      <c r="G61" s="8"/>
      <c r="H61" s="8"/>
      <c r="I61" s="8"/>
      <c r="J61" s="8"/>
      <c r="K61" s="8"/>
      <c r="L61" s="8"/>
      <c r="M61" s="8"/>
      <c r="N61" s="8"/>
      <c r="O61" s="8"/>
      <c r="P61" s="8"/>
      <c r="Q61" s="8"/>
      <c r="R61" s="8"/>
      <c r="S61" s="8"/>
      <c r="T61" s="8"/>
      <c r="U61" s="8"/>
    </row>
    <row r="62" spans="1:21">
      <c r="A62" s="405">
        <v>2028</v>
      </c>
      <c r="B62" s="8"/>
      <c r="C62" s="8"/>
      <c r="D62" s="315">
        <v>34.779365501079347</v>
      </c>
      <c r="E62" s="406">
        <v>1.1999999999999993</v>
      </c>
      <c r="F62" s="393">
        <f t="shared" si="0"/>
        <v>17.989682750539671</v>
      </c>
      <c r="G62" s="8"/>
      <c r="H62" s="8"/>
      <c r="I62" s="8"/>
      <c r="J62" s="8"/>
      <c r="K62" s="8"/>
      <c r="L62" s="8"/>
      <c r="M62" s="8"/>
      <c r="N62" s="8"/>
      <c r="O62" s="8"/>
      <c r="P62" s="8"/>
      <c r="Q62" s="8"/>
      <c r="R62" s="8"/>
      <c r="S62" s="8"/>
      <c r="T62" s="8"/>
      <c r="U62" s="8"/>
    </row>
    <row r="63" spans="1:21">
      <c r="A63" s="405">
        <v>2029</v>
      </c>
      <c r="B63" s="8"/>
      <c r="C63" s="8"/>
      <c r="D63" s="315">
        <v>32.584524125809516</v>
      </c>
      <c r="E63" s="406">
        <v>1.0999999999999992</v>
      </c>
      <c r="F63" s="393">
        <f t="shared" si="0"/>
        <v>16.842262062904759</v>
      </c>
      <c r="G63" s="8"/>
      <c r="H63" s="8"/>
      <c r="I63" s="8"/>
      <c r="J63" s="8"/>
      <c r="K63" s="8"/>
      <c r="L63" s="8"/>
      <c r="M63" s="8"/>
      <c r="N63" s="8"/>
      <c r="O63" s="8"/>
      <c r="P63" s="8"/>
      <c r="Q63" s="8"/>
      <c r="R63" s="8"/>
      <c r="S63" s="8"/>
      <c r="T63" s="8"/>
      <c r="U63" s="8"/>
    </row>
    <row r="64" spans="1:21">
      <c r="A64" s="405">
        <v>2030</v>
      </c>
      <c r="B64" s="8"/>
      <c r="C64" s="8"/>
      <c r="D64" s="315">
        <v>30.389682750539684</v>
      </c>
      <c r="E64" s="406">
        <v>0.99999999999999922</v>
      </c>
      <c r="F64" s="393">
        <f t="shared" si="0"/>
        <v>15.694841375269842</v>
      </c>
      <c r="G64" s="8"/>
      <c r="H64" s="8"/>
      <c r="I64" s="8"/>
      <c r="J64" s="8"/>
      <c r="K64" s="8"/>
      <c r="L64" s="8"/>
      <c r="M64" s="8"/>
      <c r="N64" s="8"/>
      <c r="O64" s="8"/>
      <c r="P64" s="8"/>
      <c r="Q64" s="8"/>
      <c r="R64" s="8"/>
      <c r="S64" s="8"/>
      <c r="T64" s="8"/>
      <c r="U64" s="8"/>
    </row>
    <row r="65" spans="1:21">
      <c r="A65" s="405">
        <v>2031</v>
      </c>
      <c r="B65" s="8"/>
      <c r="C65" s="8"/>
      <c r="D65" s="315">
        <v>28.194841375269853</v>
      </c>
      <c r="E65" s="406">
        <v>0.89999999999999925</v>
      </c>
      <c r="F65" s="393">
        <f t="shared" si="0"/>
        <v>14.547420687634926</v>
      </c>
      <c r="G65" s="8"/>
      <c r="H65" s="8"/>
      <c r="I65" s="8"/>
      <c r="J65" s="8"/>
      <c r="K65" s="8"/>
      <c r="L65" s="8"/>
      <c r="M65" s="8"/>
      <c r="N65" s="8"/>
      <c r="O65" s="8"/>
      <c r="P65" s="8"/>
      <c r="Q65" s="8"/>
      <c r="R65" s="8"/>
      <c r="S65" s="8"/>
      <c r="T65" s="8"/>
      <c r="U65" s="8"/>
    </row>
    <row r="66" spans="1:21" ht="17" thickBot="1">
      <c r="A66" s="407">
        <v>2032</v>
      </c>
      <c r="B66" s="181"/>
      <c r="C66" s="181"/>
      <c r="D66" s="408">
        <v>26</v>
      </c>
      <c r="E66" s="409">
        <v>1</v>
      </c>
      <c r="F66" s="393">
        <f t="shared" si="0"/>
        <v>13.5</v>
      </c>
      <c r="G66" s="8"/>
      <c r="H66" s="8"/>
      <c r="I66" s="8"/>
      <c r="J66" s="8"/>
      <c r="K66" s="8"/>
      <c r="L66" s="8"/>
      <c r="M66" s="8"/>
      <c r="N66" s="8"/>
      <c r="O66" s="8"/>
      <c r="P66" s="8"/>
      <c r="Q66" s="8"/>
      <c r="R66" s="8"/>
      <c r="S66" s="8"/>
      <c r="T66" s="8"/>
      <c r="U66" s="8"/>
    </row>
    <row r="69" spans="1:21">
      <c r="F69" s="314"/>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25993-0598-DE44-8E2C-634B52059603}">
  <dimension ref="A1:L46"/>
  <sheetViews>
    <sheetView workbookViewId="0">
      <selection activeCell="E20" sqref="E20"/>
    </sheetView>
  </sheetViews>
  <sheetFormatPr baseColWidth="10" defaultRowHeight="16"/>
  <cols>
    <col min="2" max="2" width="21.5" customWidth="1"/>
    <col min="9" max="9" width="15" bestFit="1" customWidth="1"/>
  </cols>
  <sheetData>
    <row r="1" spans="1:12">
      <c r="A1" s="241" t="s">
        <v>7654</v>
      </c>
      <c r="B1" s="49"/>
      <c r="C1" s="49"/>
      <c r="D1" s="49"/>
      <c r="E1" s="49"/>
      <c r="F1" s="49"/>
      <c r="G1" s="49"/>
    </row>
    <row r="2" spans="1:12" ht="17" thickBot="1">
      <c r="A2" s="48"/>
      <c r="B2" s="49"/>
      <c r="C2" s="49"/>
      <c r="D2" s="49"/>
      <c r="E2" s="49"/>
      <c r="F2" s="49"/>
      <c r="G2" s="49"/>
    </row>
    <row r="3" spans="1:12" ht="18" thickTop="1" thickBot="1">
      <c r="A3" s="618" t="s">
        <v>7737</v>
      </c>
      <c r="B3" s="619"/>
      <c r="C3" s="619"/>
      <c r="D3" s="619"/>
      <c r="E3" s="619"/>
      <c r="F3" s="619"/>
      <c r="G3" s="619"/>
      <c r="H3" s="619"/>
      <c r="I3" s="619"/>
      <c r="J3" s="619"/>
      <c r="K3" s="619"/>
      <c r="L3" s="620"/>
    </row>
    <row r="4" spans="1:12" ht="17" thickTop="1">
      <c r="A4" s="240"/>
      <c r="B4" s="240"/>
      <c r="C4" s="240"/>
      <c r="D4" s="240"/>
      <c r="E4" s="240"/>
      <c r="F4" s="240"/>
      <c r="G4" s="240"/>
      <c r="H4" s="240"/>
      <c r="I4" s="240"/>
      <c r="J4" s="240"/>
      <c r="K4" s="240"/>
      <c r="L4" s="240"/>
    </row>
    <row r="5" spans="1:12">
      <c r="A5" s="233"/>
      <c r="B5" s="233"/>
      <c r="C5" s="233"/>
      <c r="D5" s="236" t="s">
        <v>7724</v>
      </c>
      <c r="E5" s="236" t="s">
        <v>7725</v>
      </c>
      <c r="F5" s="236" t="s">
        <v>7726</v>
      </c>
      <c r="G5" s="236" t="s">
        <v>7727</v>
      </c>
    </row>
    <row r="6" spans="1:12" ht="17">
      <c r="A6" s="230" t="s">
        <v>7712</v>
      </c>
      <c r="B6" s="230" t="s">
        <v>208</v>
      </c>
      <c r="C6" s="230" t="s">
        <v>7714</v>
      </c>
      <c r="D6" s="237" t="s">
        <v>7715</v>
      </c>
      <c r="E6" s="237" t="s">
        <v>7715</v>
      </c>
      <c r="F6" s="237" t="s">
        <v>7715</v>
      </c>
      <c r="G6" s="237" t="s">
        <v>7715</v>
      </c>
    </row>
    <row r="7" spans="1:12">
      <c r="A7" s="617" t="s">
        <v>7728</v>
      </c>
      <c r="B7" s="231" t="s">
        <v>7729</v>
      </c>
      <c r="C7" s="231" t="s">
        <v>7730</v>
      </c>
      <c r="D7" s="238">
        <v>4363.3333333333339</v>
      </c>
      <c r="E7" s="239"/>
      <c r="F7" s="239"/>
      <c r="G7" s="239"/>
    </row>
    <row r="8" spans="1:12">
      <c r="A8" s="617"/>
      <c r="B8" s="231" t="s">
        <v>7731</v>
      </c>
      <c r="C8" s="231" t="s">
        <v>7730</v>
      </c>
      <c r="D8" s="238">
        <v>3267</v>
      </c>
      <c r="E8" s="239"/>
      <c r="F8" s="239"/>
      <c r="G8" s="239"/>
    </row>
    <row r="9" spans="1:12">
      <c r="A9" s="617"/>
      <c r="B9" s="231" t="s">
        <v>7732</v>
      </c>
      <c r="C9" s="231" t="s">
        <v>7730</v>
      </c>
      <c r="D9" s="238">
        <v>24865.47556489753</v>
      </c>
      <c r="E9" s="239"/>
      <c r="F9" s="239"/>
      <c r="G9" s="239"/>
      <c r="I9" s="305"/>
    </row>
    <row r="10" spans="1:12">
      <c r="A10" s="617"/>
      <c r="B10" s="231" t="s">
        <v>7733</v>
      </c>
      <c r="C10" s="231" t="s">
        <v>7730</v>
      </c>
      <c r="D10" s="238">
        <v>5647.9456339952421</v>
      </c>
      <c r="E10" s="239"/>
      <c r="F10" s="239"/>
      <c r="G10" s="239"/>
    </row>
    <row r="11" spans="1:12">
      <c r="A11" s="617"/>
      <c r="B11" s="231" t="s">
        <v>7734</v>
      </c>
      <c r="C11" s="231" t="s">
        <v>7730</v>
      </c>
      <c r="D11" s="238">
        <v>4633.478260869565</v>
      </c>
      <c r="E11" s="239"/>
      <c r="F11" s="239"/>
      <c r="G11" s="239"/>
    </row>
    <row r="12" spans="1:12">
      <c r="A12" s="617"/>
      <c r="B12" s="231" t="s">
        <v>7735</v>
      </c>
      <c r="C12" s="231" t="s">
        <v>7730</v>
      </c>
      <c r="D12" s="238">
        <v>6308</v>
      </c>
      <c r="E12" s="239"/>
      <c r="F12" s="239"/>
      <c r="G12" s="239"/>
    </row>
    <row r="13" spans="1:12">
      <c r="A13" s="617"/>
      <c r="B13" s="231" t="s">
        <v>7736</v>
      </c>
      <c r="C13" s="231" t="s">
        <v>7730</v>
      </c>
      <c r="D13" s="238">
        <v>28380</v>
      </c>
      <c r="E13" s="239"/>
      <c r="F13" s="239"/>
      <c r="G13" s="239"/>
    </row>
    <row r="14" spans="1:12">
      <c r="A14" s="49"/>
      <c r="B14" s="49"/>
      <c r="C14" s="49"/>
      <c r="D14" s="49"/>
      <c r="E14" s="49"/>
      <c r="F14" s="49"/>
      <c r="G14" s="49"/>
    </row>
    <row r="15" spans="1:12">
      <c r="A15" s="242" t="s">
        <v>7653</v>
      </c>
    </row>
    <row r="17" spans="1:10" ht="17">
      <c r="A17" s="243" t="s">
        <v>7712</v>
      </c>
      <c r="B17" s="244" t="s">
        <v>7713</v>
      </c>
      <c r="C17" s="244" t="s">
        <v>7714</v>
      </c>
      <c r="D17" s="244" t="s">
        <v>175</v>
      </c>
      <c r="E17" s="244" t="s">
        <v>7720</v>
      </c>
      <c r="F17" s="244" t="s">
        <v>7721</v>
      </c>
      <c r="G17" s="244" t="s">
        <v>7722</v>
      </c>
      <c r="H17" s="244" t="s">
        <v>7723</v>
      </c>
    </row>
    <row r="18" spans="1:10" ht="32">
      <c r="A18" s="245" t="s">
        <v>7716</v>
      </c>
      <c r="B18" s="246" t="s">
        <v>7717</v>
      </c>
      <c r="C18" s="246" t="s">
        <v>7718</v>
      </c>
      <c r="D18" s="246">
        <v>2022</v>
      </c>
      <c r="E18" s="247">
        <v>0.19338</v>
      </c>
      <c r="F18" s="247">
        <v>0.19120999999999999</v>
      </c>
      <c r="G18" s="247">
        <v>8.0000000000000004E-4</v>
      </c>
      <c r="H18" s="247">
        <v>1.3699999999999999E-3</v>
      </c>
    </row>
    <row r="19" spans="1:10" ht="32">
      <c r="A19" s="245" t="s">
        <v>7719</v>
      </c>
      <c r="B19" s="246" t="s">
        <v>7717</v>
      </c>
      <c r="C19" s="246" t="s">
        <v>7718</v>
      </c>
      <c r="D19" s="246">
        <v>2022</v>
      </c>
      <c r="E19" s="248">
        <v>1.7690000000000001E-2</v>
      </c>
      <c r="F19" s="248">
        <v>1.7500000000000002E-2</v>
      </c>
      <c r="G19" s="248">
        <v>6.9999999999999994E-5</v>
      </c>
      <c r="H19" s="248">
        <v>1.2E-4</v>
      </c>
    </row>
    <row r="20" spans="1:10">
      <c r="A20" s="245" t="s">
        <v>7738</v>
      </c>
      <c r="B20" s="246" t="s">
        <v>7717</v>
      </c>
      <c r="C20" s="246" t="s">
        <v>7739</v>
      </c>
      <c r="D20" s="246">
        <v>2022</v>
      </c>
      <c r="E20" s="248">
        <f>SUM(E18:E19)</f>
        <v>0.21107000000000001</v>
      </c>
      <c r="F20" s="248">
        <f t="shared" ref="F20:H20" si="0">SUM(F18:F19)</f>
        <v>0.20871000000000001</v>
      </c>
      <c r="G20" s="248">
        <f t="shared" si="0"/>
        <v>8.7000000000000001E-4</v>
      </c>
      <c r="H20" s="248">
        <f t="shared" si="0"/>
        <v>1.49E-3</v>
      </c>
    </row>
    <row r="21" spans="1:10">
      <c r="A21" s="234"/>
      <c r="B21" s="235"/>
      <c r="C21" s="235"/>
      <c r="D21" s="235"/>
      <c r="E21" s="232"/>
      <c r="F21" s="232"/>
      <c r="G21" s="232"/>
      <c r="H21" s="232"/>
    </row>
    <row r="22" spans="1:10">
      <c r="A22" s="241" t="s">
        <v>7655</v>
      </c>
      <c r="B22" s="49"/>
      <c r="C22" s="49"/>
      <c r="D22" s="49"/>
      <c r="E22" s="49"/>
      <c r="F22" s="49"/>
      <c r="G22" s="49"/>
    </row>
    <row r="23" spans="1:10">
      <c r="A23" s="241"/>
      <c r="B23" s="49"/>
      <c r="C23" s="49"/>
      <c r="D23" s="49"/>
      <c r="E23" s="49"/>
      <c r="F23" s="49"/>
      <c r="G23" s="49"/>
    </row>
    <row r="24" spans="1:10">
      <c r="A24" s="49" t="s">
        <v>7750</v>
      </c>
      <c r="B24" s="49"/>
      <c r="C24" s="49"/>
      <c r="D24" s="49"/>
      <c r="E24" s="49"/>
      <c r="F24" s="49"/>
      <c r="G24" s="49"/>
    </row>
    <row r="25" spans="1:10">
      <c r="A25" s="233"/>
      <c r="B25" s="233"/>
      <c r="C25" s="233"/>
      <c r="D25" s="249" t="s">
        <v>7740</v>
      </c>
      <c r="E25" s="250" t="s">
        <v>7741</v>
      </c>
      <c r="F25" s="250" t="s">
        <v>7742</v>
      </c>
      <c r="G25" s="249" t="s">
        <v>7743</v>
      </c>
      <c r="H25" s="249" t="s">
        <v>311</v>
      </c>
      <c r="I25" s="249" t="s">
        <v>312</v>
      </c>
      <c r="J25" s="250" t="s">
        <v>310</v>
      </c>
    </row>
    <row r="26" spans="1:10" ht="17">
      <c r="A26" s="230" t="s">
        <v>7712</v>
      </c>
      <c r="B26" s="230" t="s">
        <v>7744</v>
      </c>
      <c r="C26" s="230" t="s">
        <v>7714</v>
      </c>
      <c r="D26" s="251" t="s">
        <v>7715</v>
      </c>
      <c r="E26" s="251" t="s">
        <v>7715</v>
      </c>
      <c r="F26" s="251" t="s">
        <v>7715</v>
      </c>
      <c r="G26" s="251" t="s">
        <v>7715</v>
      </c>
      <c r="H26" s="251" t="s">
        <v>7715</v>
      </c>
      <c r="I26" s="251" t="s">
        <v>7715</v>
      </c>
      <c r="J26" s="251" t="s">
        <v>7715</v>
      </c>
    </row>
    <row r="27" spans="1:10">
      <c r="A27" s="617" t="s">
        <v>7728</v>
      </c>
      <c r="B27" s="231" t="s">
        <v>7745</v>
      </c>
      <c r="C27" s="231" t="s">
        <v>7730</v>
      </c>
      <c r="D27" s="252"/>
      <c r="E27" s="253">
        <v>21.280193798449609</v>
      </c>
      <c r="F27" s="252"/>
      <c r="G27" s="253"/>
      <c r="H27" s="252"/>
      <c r="I27" s="253">
        <v>8.8832713178294576</v>
      </c>
      <c r="J27" s="252"/>
    </row>
    <row r="28" spans="1:10">
      <c r="A28" s="617"/>
      <c r="B28" s="231" t="s">
        <v>7746</v>
      </c>
      <c r="C28" s="231" t="s">
        <v>7730</v>
      </c>
      <c r="D28" s="252"/>
      <c r="E28" s="253">
        <v>21.280193798449609</v>
      </c>
      <c r="F28" s="252"/>
      <c r="G28" s="253">
        <v>21.280193798449609</v>
      </c>
      <c r="H28" s="252"/>
      <c r="I28" s="253">
        <v>8.8832713178294576</v>
      </c>
      <c r="J28" s="252"/>
    </row>
    <row r="29" spans="1:10">
      <c r="A29" s="617"/>
      <c r="B29" s="231" t="s">
        <v>7747</v>
      </c>
      <c r="C29" s="231" t="s">
        <v>7730</v>
      </c>
      <c r="D29" s="252"/>
      <c r="E29" s="253">
        <v>21.280193798449609</v>
      </c>
      <c r="F29" s="252"/>
      <c r="G29" s="253">
        <v>21.280193798449609</v>
      </c>
      <c r="H29" s="252"/>
      <c r="I29" s="253">
        <v>8.8832713178294576</v>
      </c>
      <c r="J29" s="252"/>
    </row>
    <row r="30" spans="1:10">
      <c r="A30" s="617"/>
      <c r="B30" s="231" t="s">
        <v>7748</v>
      </c>
      <c r="C30" s="231" t="s">
        <v>7730</v>
      </c>
      <c r="D30" s="252"/>
      <c r="E30" s="253">
        <v>21.280193798449609</v>
      </c>
      <c r="F30" s="252"/>
      <c r="G30" s="253">
        <v>21.280193798449609</v>
      </c>
      <c r="H30" s="252"/>
      <c r="I30" s="253">
        <v>8.8832713178294576</v>
      </c>
      <c r="J30" s="252"/>
    </row>
    <row r="31" spans="1:10">
      <c r="A31" s="617"/>
      <c r="B31" s="231" t="s">
        <v>7749</v>
      </c>
      <c r="C31" s="231" t="s">
        <v>7730</v>
      </c>
      <c r="D31" s="252"/>
      <c r="E31" s="253">
        <v>21.280193798449609</v>
      </c>
      <c r="F31" s="252"/>
      <c r="G31" s="253"/>
      <c r="H31" s="252"/>
      <c r="I31" s="253">
        <v>8.8832713178294576</v>
      </c>
      <c r="J31" s="252"/>
    </row>
    <row r="34" spans="1:8" ht="20">
      <c r="A34" s="264"/>
      <c r="B34" s="264"/>
      <c r="C34" s="264"/>
      <c r="D34" s="264"/>
      <c r="E34" s="264"/>
      <c r="F34" s="264"/>
      <c r="G34" s="264"/>
      <c r="H34" s="264"/>
    </row>
    <row r="35" spans="1:8" ht="20">
      <c r="A35" s="264"/>
      <c r="B35" s="264"/>
      <c r="C35" s="264"/>
      <c r="D35" s="264"/>
      <c r="E35" s="264"/>
      <c r="F35" s="264"/>
      <c r="G35" s="264"/>
      <c r="H35" s="264"/>
    </row>
    <row r="36" spans="1:8" ht="20">
      <c r="A36" s="264"/>
      <c r="B36" s="264"/>
      <c r="C36" s="264"/>
      <c r="D36" s="264"/>
      <c r="E36" s="264"/>
      <c r="F36" s="264"/>
      <c r="G36" s="264"/>
      <c r="H36" s="264"/>
    </row>
    <row r="37" spans="1:8" ht="20">
      <c r="A37" s="264"/>
      <c r="B37" s="264"/>
      <c r="C37" s="264"/>
      <c r="D37" s="264"/>
      <c r="E37" s="264"/>
      <c r="F37" s="264"/>
      <c r="G37" s="264"/>
      <c r="H37" s="264"/>
    </row>
    <row r="38" spans="1:8" ht="20">
      <c r="A38" s="264"/>
      <c r="B38" s="264"/>
      <c r="C38" s="264"/>
      <c r="D38" s="264"/>
      <c r="E38" s="264"/>
      <c r="F38" s="264"/>
      <c r="G38" s="264"/>
      <c r="H38" s="264"/>
    </row>
    <row r="39" spans="1:8" ht="20">
      <c r="A39" s="264"/>
      <c r="B39" s="264"/>
      <c r="C39" s="264"/>
      <c r="D39" s="264"/>
      <c r="E39" s="264"/>
      <c r="F39" s="264"/>
      <c r="G39" s="264"/>
      <c r="H39" s="264"/>
    </row>
    <row r="40" spans="1:8" ht="20">
      <c r="A40" s="264"/>
      <c r="B40" s="264"/>
      <c r="C40" s="264"/>
      <c r="D40" s="264"/>
      <c r="E40" s="264"/>
      <c r="F40" s="264"/>
      <c r="G40" s="264"/>
      <c r="H40" s="264"/>
    </row>
    <row r="41" spans="1:8" ht="20">
      <c r="A41" s="264"/>
      <c r="B41" s="264"/>
      <c r="C41" s="264"/>
      <c r="D41" s="264"/>
      <c r="E41" s="264"/>
      <c r="F41" s="264"/>
      <c r="G41" s="264"/>
      <c r="H41" s="264"/>
    </row>
    <row r="42" spans="1:8" ht="20">
      <c r="A42" s="264"/>
      <c r="B42" s="264"/>
      <c r="C42" s="264"/>
      <c r="D42" s="264"/>
      <c r="E42" s="264"/>
      <c r="F42" s="264"/>
      <c r="G42" s="264"/>
      <c r="H42" s="264"/>
    </row>
    <row r="43" spans="1:8" ht="20">
      <c r="A43" s="264"/>
      <c r="B43" s="264"/>
      <c r="C43" s="264"/>
      <c r="D43" s="264"/>
      <c r="E43" s="264"/>
      <c r="F43" s="264"/>
      <c r="G43" s="264"/>
      <c r="H43" s="264"/>
    </row>
    <row r="44" spans="1:8" ht="20">
      <c r="A44" s="264"/>
      <c r="B44" s="264"/>
      <c r="C44" s="264"/>
      <c r="D44" s="264"/>
      <c r="E44" s="264"/>
      <c r="F44" s="264"/>
      <c r="G44" s="264"/>
      <c r="H44" s="264"/>
    </row>
    <row r="45" spans="1:8" ht="20">
      <c r="A45" s="264"/>
      <c r="B45" s="264"/>
      <c r="C45" s="264"/>
      <c r="D45" s="264"/>
      <c r="E45" s="264"/>
      <c r="F45" s="264"/>
      <c r="G45" s="264"/>
      <c r="H45" s="264"/>
    </row>
    <row r="46" spans="1:8" ht="20">
      <c r="A46" s="264"/>
      <c r="B46" s="264"/>
      <c r="C46" s="264"/>
      <c r="D46" s="264"/>
      <c r="E46" s="264"/>
      <c r="F46" s="264"/>
      <c r="G46" s="264"/>
      <c r="H46" s="264"/>
    </row>
  </sheetData>
  <mergeCells count="3">
    <mergeCell ref="A7:A13"/>
    <mergeCell ref="A3:L3"/>
    <mergeCell ref="A27:A31"/>
  </mergeCells>
  <conditionalFormatting sqref="D27:J31">
    <cfRule type="expression" dxfId="0" priority="1" stopIfTrue="1">
      <formula>D27=""</formula>
    </cfRule>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CEECE-ACA9-0541-AE12-F814003906EB}">
  <dimension ref="A1:D6557"/>
  <sheetViews>
    <sheetView zoomScale="70" zoomScaleNormal="70" workbookViewId="0">
      <selection activeCell="K31" sqref="K31"/>
    </sheetView>
  </sheetViews>
  <sheetFormatPr baseColWidth="10" defaultRowHeight="16"/>
  <cols>
    <col min="1" max="1" width="10.83203125" customWidth="1"/>
    <col min="3" max="3" width="102" customWidth="1"/>
    <col min="4" max="4" width="21.83203125" customWidth="1"/>
  </cols>
  <sheetData>
    <row r="1" spans="1:4">
      <c r="A1" s="73" t="s">
        <v>171</v>
      </c>
      <c r="B1" s="73" t="s">
        <v>502</v>
      </c>
      <c r="C1" s="73" t="s">
        <v>503</v>
      </c>
      <c r="D1" s="73" t="s">
        <v>504</v>
      </c>
    </row>
    <row r="2" spans="1:4">
      <c r="A2" t="s">
        <v>480</v>
      </c>
      <c r="B2" s="73" t="s">
        <v>505</v>
      </c>
      <c r="C2" s="74" t="s">
        <v>506</v>
      </c>
      <c r="D2" s="74">
        <v>151</v>
      </c>
    </row>
    <row r="3" spans="1:4" ht="21">
      <c r="A3" t="s">
        <v>480</v>
      </c>
      <c r="B3" s="73" t="s">
        <v>507</v>
      </c>
      <c r="C3" s="74" t="s">
        <v>508</v>
      </c>
      <c r="D3" s="74">
        <v>59.89</v>
      </c>
    </row>
    <row r="4" spans="1:4" ht="21">
      <c r="A4" t="s">
        <v>480</v>
      </c>
      <c r="B4" s="73" t="s">
        <v>505</v>
      </c>
      <c r="C4" s="74" t="s">
        <v>509</v>
      </c>
      <c r="D4" s="74">
        <v>72.989999999999995</v>
      </c>
    </row>
    <row r="5" spans="1:4">
      <c r="A5" t="s">
        <v>480</v>
      </c>
      <c r="B5" s="73" t="s">
        <v>510</v>
      </c>
      <c r="C5" s="74" t="s">
        <v>511</v>
      </c>
      <c r="D5" s="74">
        <v>436.99</v>
      </c>
    </row>
    <row r="6" spans="1:4">
      <c r="A6" t="s">
        <v>480</v>
      </c>
      <c r="B6" s="73" t="s">
        <v>510</v>
      </c>
      <c r="C6" s="74" t="s">
        <v>512</v>
      </c>
      <c r="D6" s="74">
        <v>274.99</v>
      </c>
    </row>
    <row r="7" spans="1:4">
      <c r="A7" t="s">
        <v>480</v>
      </c>
      <c r="B7" s="73" t="s">
        <v>510</v>
      </c>
      <c r="C7" s="74" t="s">
        <v>513</v>
      </c>
      <c r="D7" s="74">
        <v>124.9</v>
      </c>
    </row>
    <row r="8" spans="1:4">
      <c r="A8" t="s">
        <v>480</v>
      </c>
      <c r="B8" s="73" t="s">
        <v>510</v>
      </c>
      <c r="C8" s="74" t="s">
        <v>514</v>
      </c>
      <c r="D8" s="74">
        <v>351.99</v>
      </c>
    </row>
    <row r="9" spans="1:4">
      <c r="A9" t="s">
        <v>480</v>
      </c>
      <c r="B9" s="73" t="s">
        <v>510</v>
      </c>
      <c r="C9" s="74" t="s">
        <v>515</v>
      </c>
      <c r="D9" s="74">
        <v>139.99</v>
      </c>
    </row>
    <row r="10" spans="1:4">
      <c r="A10" t="s">
        <v>480</v>
      </c>
      <c r="B10" s="73" t="s">
        <v>510</v>
      </c>
      <c r="C10" s="74" t="s">
        <v>516</v>
      </c>
      <c r="D10" s="74">
        <v>219.99</v>
      </c>
    </row>
    <row r="11" spans="1:4">
      <c r="A11" t="s">
        <v>480</v>
      </c>
      <c r="B11" s="73" t="s">
        <v>510</v>
      </c>
      <c r="C11" s="74" t="s">
        <v>517</v>
      </c>
      <c r="D11" s="74">
        <v>189.99</v>
      </c>
    </row>
    <row r="12" spans="1:4">
      <c r="A12" t="s">
        <v>480</v>
      </c>
      <c r="B12" s="73" t="s">
        <v>510</v>
      </c>
      <c r="C12" s="74" t="s">
        <v>518</v>
      </c>
      <c r="D12" s="74">
        <v>189.99</v>
      </c>
    </row>
    <row r="13" spans="1:4">
      <c r="A13" t="s">
        <v>480</v>
      </c>
      <c r="B13" s="73" t="s">
        <v>510</v>
      </c>
      <c r="C13" s="74" t="s">
        <v>519</v>
      </c>
      <c r="D13" s="74">
        <v>94.99</v>
      </c>
    </row>
    <row r="14" spans="1:4">
      <c r="A14" t="s">
        <v>480</v>
      </c>
      <c r="B14" s="73" t="s">
        <v>510</v>
      </c>
      <c r="C14" s="74" t="s">
        <v>520</v>
      </c>
      <c r="D14" s="74">
        <v>579.79</v>
      </c>
    </row>
    <row r="15" spans="1:4" ht="21">
      <c r="A15" t="s">
        <v>480</v>
      </c>
      <c r="B15" s="73" t="s">
        <v>510</v>
      </c>
      <c r="C15" s="75" t="s">
        <v>521</v>
      </c>
      <c r="D15" s="74">
        <v>68.89</v>
      </c>
    </row>
    <row r="16" spans="1:4">
      <c r="A16" t="s">
        <v>480</v>
      </c>
      <c r="B16" s="73" t="s">
        <v>510</v>
      </c>
      <c r="C16" s="74" t="s">
        <v>522</v>
      </c>
      <c r="D16" s="74">
        <v>493.99</v>
      </c>
    </row>
    <row r="17" spans="1:4">
      <c r="A17" t="s">
        <v>480</v>
      </c>
      <c r="B17" s="73" t="s">
        <v>523</v>
      </c>
      <c r="C17" s="74" t="s">
        <v>524</v>
      </c>
      <c r="D17" s="74">
        <v>179.99</v>
      </c>
    </row>
    <row r="18" spans="1:4">
      <c r="A18" t="s">
        <v>480</v>
      </c>
      <c r="B18" s="73" t="s">
        <v>510</v>
      </c>
      <c r="C18" s="74" t="s">
        <v>525</v>
      </c>
      <c r="D18" s="74">
        <v>332.99</v>
      </c>
    </row>
    <row r="19" spans="1:4">
      <c r="A19" t="s">
        <v>480</v>
      </c>
      <c r="B19" s="73" t="s">
        <v>510</v>
      </c>
      <c r="C19" s="74" t="s">
        <v>526</v>
      </c>
      <c r="D19" s="74">
        <v>236.95</v>
      </c>
    </row>
    <row r="20" spans="1:4">
      <c r="A20" t="s">
        <v>480</v>
      </c>
      <c r="B20" s="73" t="s">
        <v>510</v>
      </c>
      <c r="C20" s="74" t="s">
        <v>527</v>
      </c>
      <c r="D20" s="74">
        <v>319.99</v>
      </c>
    </row>
    <row r="21" spans="1:4">
      <c r="A21" t="s">
        <v>480</v>
      </c>
      <c r="B21" s="73" t="s">
        <v>510</v>
      </c>
      <c r="C21" s="74" t="s">
        <v>528</v>
      </c>
      <c r="D21" s="74">
        <v>799.99</v>
      </c>
    </row>
    <row r="22" spans="1:4">
      <c r="A22" t="s">
        <v>480</v>
      </c>
      <c r="B22" s="73" t="s">
        <v>529</v>
      </c>
      <c r="C22" s="74" t="s">
        <v>530</v>
      </c>
      <c r="D22" s="74">
        <v>29.99</v>
      </c>
    </row>
    <row r="23" spans="1:4" ht="21">
      <c r="A23" t="s">
        <v>480</v>
      </c>
      <c r="B23" s="73" t="s">
        <v>505</v>
      </c>
      <c r="C23" s="74" t="s">
        <v>531</v>
      </c>
      <c r="D23" s="74">
        <v>69.989999999999995</v>
      </c>
    </row>
    <row r="24" spans="1:4">
      <c r="A24" t="s">
        <v>480</v>
      </c>
      <c r="B24" s="73" t="s">
        <v>505</v>
      </c>
      <c r="C24" s="74" t="s">
        <v>532</v>
      </c>
      <c r="D24" s="74">
        <v>42.95</v>
      </c>
    </row>
    <row r="25" spans="1:4">
      <c r="A25" t="s">
        <v>480</v>
      </c>
      <c r="B25" s="73" t="s">
        <v>505</v>
      </c>
      <c r="C25" s="74" t="s">
        <v>533</v>
      </c>
      <c r="D25" s="74">
        <v>67.989999999999995</v>
      </c>
    </row>
    <row r="26" spans="1:4">
      <c r="A26" t="s">
        <v>480</v>
      </c>
      <c r="B26" s="73" t="s">
        <v>510</v>
      </c>
      <c r="C26" s="74" t="s">
        <v>534</v>
      </c>
      <c r="D26" s="74">
        <v>303.99</v>
      </c>
    </row>
    <row r="27" spans="1:4">
      <c r="A27" t="s">
        <v>480</v>
      </c>
      <c r="B27" s="73" t="s">
        <v>510</v>
      </c>
      <c r="C27" s="74" t="s">
        <v>535</v>
      </c>
      <c r="D27" s="74">
        <v>379.99</v>
      </c>
    </row>
    <row r="28" spans="1:4">
      <c r="A28" t="s">
        <v>480</v>
      </c>
      <c r="B28" s="73" t="s">
        <v>510</v>
      </c>
      <c r="C28" s="74" t="s">
        <v>536</v>
      </c>
      <c r="D28" s="74">
        <v>339.99</v>
      </c>
    </row>
    <row r="29" spans="1:4">
      <c r="A29" t="s">
        <v>480</v>
      </c>
      <c r="B29" s="73" t="s">
        <v>510</v>
      </c>
      <c r="C29" s="74" t="s">
        <v>537</v>
      </c>
      <c r="D29" s="74">
        <v>251.99</v>
      </c>
    </row>
    <row r="30" spans="1:4">
      <c r="A30" t="s">
        <v>480</v>
      </c>
      <c r="B30" s="73" t="s">
        <v>510</v>
      </c>
      <c r="C30" s="74" t="s">
        <v>538</v>
      </c>
      <c r="D30" s="74">
        <v>369.99</v>
      </c>
    </row>
    <row r="31" spans="1:4">
      <c r="A31" t="s">
        <v>480</v>
      </c>
      <c r="B31" s="73" t="s">
        <v>510</v>
      </c>
      <c r="C31" s="74" t="s">
        <v>539</v>
      </c>
      <c r="D31" s="74">
        <v>24.99</v>
      </c>
    </row>
    <row r="32" spans="1:4">
      <c r="A32" t="s">
        <v>480</v>
      </c>
      <c r="B32" s="73" t="s">
        <v>510</v>
      </c>
      <c r="C32" s="74" t="s">
        <v>540</v>
      </c>
      <c r="D32" s="74">
        <v>541.99</v>
      </c>
    </row>
    <row r="33" spans="1:4">
      <c r="A33" t="s">
        <v>480</v>
      </c>
      <c r="B33" s="73" t="s">
        <v>505</v>
      </c>
      <c r="C33" s="74" t="s">
        <v>541</v>
      </c>
      <c r="D33" s="74">
        <v>349</v>
      </c>
    </row>
    <row r="34" spans="1:4">
      <c r="A34" t="s">
        <v>480</v>
      </c>
      <c r="B34" s="73" t="s">
        <v>510</v>
      </c>
      <c r="C34" s="74" t="s">
        <v>542</v>
      </c>
      <c r="D34" s="74">
        <v>34.99</v>
      </c>
    </row>
    <row r="35" spans="1:4">
      <c r="A35" t="s">
        <v>480</v>
      </c>
      <c r="B35" s="73" t="s">
        <v>510</v>
      </c>
      <c r="C35" s="74" t="s">
        <v>543</v>
      </c>
      <c r="D35" s="74">
        <v>54.99</v>
      </c>
    </row>
    <row r="36" spans="1:4">
      <c r="A36" t="s">
        <v>480</v>
      </c>
      <c r="B36" s="73" t="s">
        <v>505</v>
      </c>
      <c r="C36" s="74" t="s">
        <v>544</v>
      </c>
      <c r="D36" s="74">
        <v>39.99</v>
      </c>
    </row>
    <row r="37" spans="1:4" ht="21">
      <c r="A37" t="s">
        <v>480</v>
      </c>
      <c r="B37" s="73" t="s">
        <v>505</v>
      </c>
      <c r="C37" s="74" t="s">
        <v>545</v>
      </c>
      <c r="D37" s="74">
        <v>104.12</v>
      </c>
    </row>
    <row r="38" spans="1:4" ht="21">
      <c r="A38" t="s">
        <v>480</v>
      </c>
      <c r="B38" s="73" t="s">
        <v>546</v>
      </c>
      <c r="C38" s="75" t="s">
        <v>547</v>
      </c>
      <c r="D38" s="74">
        <v>16.989999999999998</v>
      </c>
    </row>
    <row r="39" spans="1:4">
      <c r="A39" t="s">
        <v>480</v>
      </c>
      <c r="B39" s="73" t="s">
        <v>510</v>
      </c>
      <c r="C39" s="74" t="s">
        <v>548</v>
      </c>
      <c r="D39" s="74">
        <v>49.99</v>
      </c>
    </row>
    <row r="40" spans="1:4">
      <c r="A40" t="s">
        <v>480</v>
      </c>
      <c r="B40" s="73" t="s">
        <v>505</v>
      </c>
      <c r="C40" s="74" t="s">
        <v>549</v>
      </c>
      <c r="D40" s="74">
        <v>749.99</v>
      </c>
    </row>
    <row r="41" spans="1:4">
      <c r="A41" t="s">
        <v>480</v>
      </c>
      <c r="B41" s="73" t="s">
        <v>510</v>
      </c>
      <c r="C41" s="74" t="s">
        <v>550</v>
      </c>
      <c r="D41" s="74">
        <v>269.99</v>
      </c>
    </row>
    <row r="42" spans="1:4">
      <c r="A42" t="s">
        <v>480</v>
      </c>
      <c r="B42" s="73" t="s">
        <v>505</v>
      </c>
      <c r="C42" s="74" t="s">
        <v>551</v>
      </c>
      <c r="D42" s="74">
        <v>469.99</v>
      </c>
    </row>
    <row r="43" spans="1:4">
      <c r="A43" t="s">
        <v>480</v>
      </c>
      <c r="B43" s="73" t="s">
        <v>505</v>
      </c>
      <c r="C43" s="74" t="s">
        <v>552</v>
      </c>
      <c r="D43" s="74">
        <v>139.99</v>
      </c>
    </row>
    <row r="44" spans="1:4">
      <c r="A44" t="s">
        <v>480</v>
      </c>
      <c r="B44" s="73" t="s">
        <v>523</v>
      </c>
      <c r="C44" s="74" t="s">
        <v>553</v>
      </c>
      <c r="D44" s="74">
        <v>94</v>
      </c>
    </row>
    <row r="45" spans="1:4">
      <c r="A45" t="s">
        <v>480</v>
      </c>
      <c r="B45" s="73" t="s">
        <v>505</v>
      </c>
      <c r="C45" s="74" t="s">
        <v>554</v>
      </c>
      <c r="D45" s="74">
        <v>139.88999999999999</v>
      </c>
    </row>
    <row r="46" spans="1:4">
      <c r="A46" t="s">
        <v>480</v>
      </c>
      <c r="B46" s="73" t="s">
        <v>510</v>
      </c>
      <c r="C46" s="74" t="s">
        <v>555</v>
      </c>
      <c r="D46" s="74">
        <v>139.99</v>
      </c>
    </row>
    <row r="47" spans="1:4">
      <c r="A47" t="s">
        <v>480</v>
      </c>
      <c r="B47" s="73" t="s">
        <v>546</v>
      </c>
      <c r="C47" s="74" t="s">
        <v>556</v>
      </c>
      <c r="D47" s="74">
        <v>14.99</v>
      </c>
    </row>
    <row r="48" spans="1:4">
      <c r="A48" t="s">
        <v>480</v>
      </c>
      <c r="B48" s="73" t="s">
        <v>505</v>
      </c>
      <c r="C48" s="74" t="s">
        <v>557</v>
      </c>
      <c r="D48" s="74">
        <v>84.99</v>
      </c>
    </row>
    <row r="49" spans="1:4">
      <c r="A49" t="s">
        <v>480</v>
      </c>
      <c r="B49" s="73" t="s">
        <v>510</v>
      </c>
      <c r="C49" s="74" t="s">
        <v>558</v>
      </c>
      <c r="D49" s="74">
        <v>484.99</v>
      </c>
    </row>
    <row r="50" spans="1:4">
      <c r="A50" t="s">
        <v>480</v>
      </c>
      <c r="B50" s="73" t="s">
        <v>529</v>
      </c>
      <c r="C50" s="74" t="s">
        <v>559</v>
      </c>
      <c r="D50" s="74">
        <v>89.79</v>
      </c>
    </row>
    <row r="51" spans="1:4">
      <c r="A51" t="s">
        <v>480</v>
      </c>
      <c r="B51" s="73" t="s">
        <v>510</v>
      </c>
      <c r="C51" s="74" t="s">
        <v>560</v>
      </c>
      <c r="D51" s="74">
        <v>112.99</v>
      </c>
    </row>
    <row r="52" spans="1:4">
      <c r="A52" t="s">
        <v>480</v>
      </c>
      <c r="B52" s="73" t="s">
        <v>561</v>
      </c>
      <c r="C52" s="74" t="s">
        <v>562</v>
      </c>
      <c r="D52" s="74">
        <v>149.99</v>
      </c>
    </row>
    <row r="53" spans="1:4">
      <c r="A53" t="s">
        <v>480</v>
      </c>
      <c r="B53" s="73" t="s">
        <v>505</v>
      </c>
      <c r="C53" s="74" t="s">
        <v>563</v>
      </c>
      <c r="D53" s="74">
        <v>446.99</v>
      </c>
    </row>
    <row r="54" spans="1:4" ht="21">
      <c r="A54" t="s">
        <v>480</v>
      </c>
      <c r="B54" s="73" t="s">
        <v>505</v>
      </c>
      <c r="C54" s="74" t="s">
        <v>564</v>
      </c>
      <c r="D54" s="74">
        <v>104.12</v>
      </c>
    </row>
    <row r="55" spans="1:4">
      <c r="A55" t="s">
        <v>480</v>
      </c>
      <c r="B55" s="73" t="s">
        <v>505</v>
      </c>
      <c r="C55" s="74" t="s">
        <v>565</v>
      </c>
      <c r="D55" s="74">
        <v>89.89</v>
      </c>
    </row>
    <row r="56" spans="1:4">
      <c r="A56" t="s">
        <v>480</v>
      </c>
      <c r="B56" s="73" t="s">
        <v>510</v>
      </c>
      <c r="C56" s="74" t="s">
        <v>566</v>
      </c>
      <c r="D56" s="74">
        <v>209.99</v>
      </c>
    </row>
    <row r="57" spans="1:4">
      <c r="A57" t="s">
        <v>480</v>
      </c>
      <c r="B57" s="73" t="s">
        <v>510</v>
      </c>
      <c r="C57" s="74" t="s">
        <v>567</v>
      </c>
      <c r="D57" s="74">
        <v>249.99</v>
      </c>
    </row>
    <row r="58" spans="1:4">
      <c r="A58" t="s">
        <v>480</v>
      </c>
      <c r="B58" s="73" t="s">
        <v>510</v>
      </c>
      <c r="C58" s="74" t="s">
        <v>568</v>
      </c>
      <c r="D58" s="74">
        <v>349.49</v>
      </c>
    </row>
    <row r="59" spans="1:4">
      <c r="A59" t="s">
        <v>480</v>
      </c>
      <c r="B59" s="73" t="s">
        <v>569</v>
      </c>
      <c r="C59" s="74" t="s">
        <v>570</v>
      </c>
      <c r="D59" s="74">
        <v>459</v>
      </c>
    </row>
    <row r="60" spans="1:4">
      <c r="A60" t="s">
        <v>480</v>
      </c>
      <c r="B60" s="73" t="s">
        <v>510</v>
      </c>
      <c r="C60" s="74" t="s">
        <v>571</v>
      </c>
      <c r="D60" s="74">
        <v>209.99</v>
      </c>
    </row>
    <row r="61" spans="1:4">
      <c r="A61" t="s">
        <v>480</v>
      </c>
      <c r="B61" s="73" t="s">
        <v>510</v>
      </c>
      <c r="C61" s="74" t="s">
        <v>572</v>
      </c>
      <c r="D61" s="74">
        <v>149.99</v>
      </c>
    </row>
    <row r="62" spans="1:4">
      <c r="A62" t="s">
        <v>480</v>
      </c>
      <c r="B62" s="73" t="s">
        <v>510</v>
      </c>
      <c r="C62" s="74" t="s">
        <v>573</v>
      </c>
      <c r="D62" s="74">
        <v>234.95</v>
      </c>
    </row>
    <row r="63" spans="1:4">
      <c r="A63" t="s">
        <v>480</v>
      </c>
      <c r="B63" s="73" t="s">
        <v>507</v>
      </c>
      <c r="C63" s="74" t="s">
        <v>574</v>
      </c>
      <c r="D63" s="74">
        <v>74.89</v>
      </c>
    </row>
    <row r="64" spans="1:4">
      <c r="A64" t="s">
        <v>480</v>
      </c>
      <c r="B64" s="73" t="s">
        <v>523</v>
      </c>
      <c r="C64" s="74" t="s">
        <v>575</v>
      </c>
      <c r="D64" s="74">
        <v>129.99</v>
      </c>
    </row>
    <row r="65" spans="1:4">
      <c r="A65" t="s">
        <v>480</v>
      </c>
      <c r="B65" s="73" t="s">
        <v>510</v>
      </c>
      <c r="C65" s="74" t="s">
        <v>576</v>
      </c>
      <c r="D65" s="74">
        <v>67.989999999999995</v>
      </c>
    </row>
    <row r="66" spans="1:4">
      <c r="A66" t="s">
        <v>480</v>
      </c>
      <c r="B66" s="73" t="s">
        <v>510</v>
      </c>
      <c r="C66" s="74" t="s">
        <v>577</v>
      </c>
      <c r="D66" s="74">
        <v>119.99</v>
      </c>
    </row>
    <row r="67" spans="1:4">
      <c r="A67" t="s">
        <v>480</v>
      </c>
      <c r="B67" s="73" t="s">
        <v>523</v>
      </c>
      <c r="C67" s="74" t="s">
        <v>578</v>
      </c>
      <c r="D67" s="74">
        <v>199</v>
      </c>
    </row>
    <row r="68" spans="1:4" ht="21">
      <c r="A68" t="s">
        <v>480</v>
      </c>
      <c r="B68" s="73" t="s">
        <v>505</v>
      </c>
      <c r="C68" s="74" t="s">
        <v>509</v>
      </c>
      <c r="D68" s="74">
        <v>73.989999999999995</v>
      </c>
    </row>
    <row r="69" spans="1:4">
      <c r="A69" t="s">
        <v>480</v>
      </c>
      <c r="B69" s="73" t="s">
        <v>579</v>
      </c>
      <c r="C69" s="74" t="s">
        <v>580</v>
      </c>
      <c r="D69" s="74">
        <v>369.95</v>
      </c>
    </row>
    <row r="70" spans="1:4">
      <c r="A70" t="s">
        <v>480</v>
      </c>
      <c r="B70" s="73" t="s">
        <v>510</v>
      </c>
      <c r="C70" s="74" t="s">
        <v>581</v>
      </c>
      <c r="D70" s="74">
        <v>289.99</v>
      </c>
    </row>
    <row r="71" spans="1:4">
      <c r="A71" t="s">
        <v>480</v>
      </c>
      <c r="B71" s="73" t="s">
        <v>505</v>
      </c>
      <c r="C71" s="74" t="s">
        <v>582</v>
      </c>
      <c r="D71" s="74">
        <v>165</v>
      </c>
    </row>
    <row r="72" spans="1:4">
      <c r="A72" t="s">
        <v>480</v>
      </c>
      <c r="B72" s="73" t="s">
        <v>510</v>
      </c>
      <c r="C72" s="74" t="s">
        <v>583</v>
      </c>
      <c r="D72" s="74">
        <v>124.99</v>
      </c>
    </row>
    <row r="73" spans="1:4">
      <c r="A73" t="s">
        <v>480</v>
      </c>
      <c r="B73" s="73" t="s">
        <v>510</v>
      </c>
      <c r="C73" s="74" t="s">
        <v>584</v>
      </c>
      <c r="D73" s="74">
        <v>218.99</v>
      </c>
    </row>
    <row r="74" spans="1:4">
      <c r="A74" t="s">
        <v>480</v>
      </c>
      <c r="B74" s="73" t="s">
        <v>546</v>
      </c>
      <c r="C74" s="74" t="s">
        <v>585</v>
      </c>
      <c r="D74" s="74">
        <v>49.99</v>
      </c>
    </row>
    <row r="75" spans="1:4" ht="21">
      <c r="A75" t="s">
        <v>480</v>
      </c>
      <c r="B75" s="73" t="s">
        <v>561</v>
      </c>
      <c r="C75" s="75" t="s">
        <v>586</v>
      </c>
      <c r="D75" s="74">
        <v>49.99</v>
      </c>
    </row>
    <row r="76" spans="1:4">
      <c r="A76" t="s">
        <v>480</v>
      </c>
      <c r="B76" s="73" t="s">
        <v>505</v>
      </c>
      <c r="C76" s="74" t="s">
        <v>587</v>
      </c>
      <c r="D76" s="74">
        <v>117.88</v>
      </c>
    </row>
    <row r="77" spans="1:4">
      <c r="A77" t="s">
        <v>480</v>
      </c>
      <c r="B77" s="73" t="s">
        <v>505</v>
      </c>
      <c r="C77" s="74" t="s">
        <v>588</v>
      </c>
      <c r="D77" s="74">
        <v>379</v>
      </c>
    </row>
    <row r="78" spans="1:4">
      <c r="A78" t="s">
        <v>480</v>
      </c>
      <c r="B78" s="73" t="s">
        <v>505</v>
      </c>
      <c r="C78" s="74" t="s">
        <v>589</v>
      </c>
      <c r="D78" s="74">
        <v>539.99</v>
      </c>
    </row>
    <row r="79" spans="1:4">
      <c r="A79" t="s">
        <v>480</v>
      </c>
      <c r="B79" s="73" t="s">
        <v>510</v>
      </c>
      <c r="C79" s="74" t="s">
        <v>590</v>
      </c>
      <c r="D79" s="74">
        <v>569.99</v>
      </c>
    </row>
    <row r="80" spans="1:4">
      <c r="A80" t="s">
        <v>480</v>
      </c>
      <c r="B80" s="73" t="s">
        <v>510</v>
      </c>
      <c r="C80" s="74" t="s">
        <v>591</v>
      </c>
      <c r="D80" s="74">
        <v>185.99</v>
      </c>
    </row>
    <row r="81" spans="1:4">
      <c r="A81" t="s">
        <v>480</v>
      </c>
      <c r="B81" s="73" t="s">
        <v>510</v>
      </c>
      <c r="C81" s="74" t="s">
        <v>592</v>
      </c>
      <c r="D81" s="74">
        <v>869.99</v>
      </c>
    </row>
    <row r="82" spans="1:4">
      <c r="A82" t="s">
        <v>480</v>
      </c>
      <c r="B82" s="73" t="s">
        <v>510</v>
      </c>
      <c r="C82" s="74" t="s">
        <v>593</v>
      </c>
      <c r="D82" s="74">
        <v>119.99</v>
      </c>
    </row>
    <row r="83" spans="1:4">
      <c r="A83" t="s">
        <v>480</v>
      </c>
      <c r="B83" s="73" t="s">
        <v>510</v>
      </c>
      <c r="C83" s="74" t="s">
        <v>594</v>
      </c>
      <c r="D83" s="74">
        <v>246.99</v>
      </c>
    </row>
    <row r="84" spans="1:4">
      <c r="A84" t="s">
        <v>480</v>
      </c>
      <c r="B84" s="73" t="s">
        <v>579</v>
      </c>
      <c r="C84" s="74" t="s">
        <v>595</v>
      </c>
      <c r="D84" s="74">
        <v>369.99</v>
      </c>
    </row>
    <row r="85" spans="1:4">
      <c r="A85" t="s">
        <v>480</v>
      </c>
      <c r="B85" s="73" t="s">
        <v>546</v>
      </c>
      <c r="C85" s="74" t="s">
        <v>596</v>
      </c>
      <c r="D85" s="74">
        <v>18.95</v>
      </c>
    </row>
    <row r="86" spans="1:4">
      <c r="A86" t="s">
        <v>480</v>
      </c>
      <c r="B86" s="73" t="s">
        <v>510</v>
      </c>
      <c r="C86" s="74" t="s">
        <v>597</v>
      </c>
      <c r="D86" s="74">
        <v>106.99</v>
      </c>
    </row>
    <row r="87" spans="1:4">
      <c r="A87" t="s">
        <v>480</v>
      </c>
      <c r="B87" s="73" t="s">
        <v>510</v>
      </c>
      <c r="C87" s="74" t="s">
        <v>598</v>
      </c>
      <c r="D87" s="74">
        <v>449.99</v>
      </c>
    </row>
    <row r="88" spans="1:4">
      <c r="A88" t="s">
        <v>480</v>
      </c>
      <c r="B88" s="73" t="s">
        <v>510</v>
      </c>
      <c r="C88" s="74" t="s">
        <v>599</v>
      </c>
      <c r="D88" s="74">
        <v>218.99</v>
      </c>
    </row>
    <row r="89" spans="1:4">
      <c r="A89" t="s">
        <v>480</v>
      </c>
      <c r="B89" s="73" t="s">
        <v>510</v>
      </c>
      <c r="C89" s="74" t="s">
        <v>600</v>
      </c>
      <c r="D89" s="74">
        <v>129.99</v>
      </c>
    </row>
    <row r="90" spans="1:4">
      <c r="A90" t="s">
        <v>480</v>
      </c>
      <c r="B90" s="73" t="s">
        <v>507</v>
      </c>
      <c r="C90" s="74" t="s">
        <v>601</v>
      </c>
      <c r="D90" s="74">
        <v>69.989999999999995</v>
      </c>
    </row>
    <row r="91" spans="1:4">
      <c r="A91" t="s">
        <v>480</v>
      </c>
      <c r="B91" s="73" t="s">
        <v>505</v>
      </c>
      <c r="C91" s="74" t="s">
        <v>602</v>
      </c>
      <c r="D91" s="74">
        <v>283.99</v>
      </c>
    </row>
    <row r="92" spans="1:4">
      <c r="A92" t="s">
        <v>480</v>
      </c>
      <c r="B92" s="73" t="s">
        <v>507</v>
      </c>
      <c r="C92" s="74" t="s">
        <v>603</v>
      </c>
      <c r="D92" s="74">
        <v>49.89</v>
      </c>
    </row>
    <row r="93" spans="1:4">
      <c r="A93" t="s">
        <v>480</v>
      </c>
      <c r="B93" s="73" t="s">
        <v>579</v>
      </c>
      <c r="C93" s="74" t="s">
        <v>604</v>
      </c>
      <c r="D93" s="74">
        <v>456</v>
      </c>
    </row>
    <row r="94" spans="1:4">
      <c r="A94" t="s">
        <v>480</v>
      </c>
      <c r="B94" s="73" t="s">
        <v>510</v>
      </c>
      <c r="C94" s="74" t="s">
        <v>605</v>
      </c>
      <c r="D94" s="74">
        <v>79.989999999999995</v>
      </c>
    </row>
    <row r="95" spans="1:4">
      <c r="A95" t="s">
        <v>480</v>
      </c>
      <c r="B95" s="73" t="s">
        <v>510</v>
      </c>
      <c r="C95" s="74" t="s">
        <v>606</v>
      </c>
      <c r="D95" s="74">
        <v>159.99</v>
      </c>
    </row>
    <row r="96" spans="1:4">
      <c r="A96" t="s">
        <v>480</v>
      </c>
      <c r="B96" s="73" t="s">
        <v>607</v>
      </c>
      <c r="C96" s="74" t="s">
        <v>608</v>
      </c>
      <c r="D96" s="74">
        <v>11.74</v>
      </c>
    </row>
    <row r="97" spans="1:4">
      <c r="A97" t="s">
        <v>480</v>
      </c>
      <c r="B97" s="73" t="s">
        <v>505</v>
      </c>
      <c r="C97" s="74" t="s">
        <v>609</v>
      </c>
      <c r="D97" s="74">
        <v>899.99</v>
      </c>
    </row>
    <row r="98" spans="1:4">
      <c r="A98" t="s">
        <v>480</v>
      </c>
      <c r="B98" s="73" t="s">
        <v>510</v>
      </c>
      <c r="C98" s="74" t="s">
        <v>610</v>
      </c>
      <c r="D98" s="74">
        <v>149.99</v>
      </c>
    </row>
    <row r="99" spans="1:4">
      <c r="A99" t="s">
        <v>480</v>
      </c>
      <c r="B99" s="73" t="s">
        <v>569</v>
      </c>
      <c r="C99" s="74" t="s">
        <v>611</v>
      </c>
      <c r="D99" s="74">
        <v>89.79</v>
      </c>
    </row>
    <row r="100" spans="1:4">
      <c r="A100" t="s">
        <v>480</v>
      </c>
      <c r="B100" s="73" t="s">
        <v>510</v>
      </c>
      <c r="C100" s="74" t="s">
        <v>612</v>
      </c>
      <c r="D100" s="74">
        <v>69.989999999999995</v>
      </c>
    </row>
    <row r="101" spans="1:4">
      <c r="A101" t="s">
        <v>480</v>
      </c>
      <c r="B101" s="73" t="s">
        <v>579</v>
      </c>
      <c r="C101" s="74" t="s">
        <v>613</v>
      </c>
      <c r="D101" s="74">
        <v>524</v>
      </c>
    </row>
    <row r="102" spans="1:4">
      <c r="A102" t="s">
        <v>480</v>
      </c>
      <c r="B102" s="73" t="s">
        <v>510</v>
      </c>
      <c r="C102" s="74" t="s">
        <v>614</v>
      </c>
      <c r="D102" s="74">
        <v>249.99</v>
      </c>
    </row>
    <row r="103" spans="1:4">
      <c r="A103" t="s">
        <v>480</v>
      </c>
      <c r="B103" s="73" t="s">
        <v>510</v>
      </c>
      <c r="C103" s="74" t="s">
        <v>615</v>
      </c>
      <c r="D103" s="74">
        <v>259.99</v>
      </c>
    </row>
    <row r="104" spans="1:4">
      <c r="A104" t="s">
        <v>480</v>
      </c>
      <c r="B104" s="73" t="s">
        <v>505</v>
      </c>
      <c r="C104" s="74" t="s">
        <v>616</v>
      </c>
      <c r="D104" s="74">
        <v>349.99</v>
      </c>
    </row>
    <row r="105" spans="1:4">
      <c r="A105" t="s">
        <v>480</v>
      </c>
      <c r="B105" s="73" t="s">
        <v>546</v>
      </c>
      <c r="C105" s="74" t="s">
        <v>556</v>
      </c>
      <c r="D105" s="74">
        <v>14.99</v>
      </c>
    </row>
    <row r="106" spans="1:4">
      <c r="A106" t="s">
        <v>480</v>
      </c>
      <c r="B106" s="73" t="s">
        <v>510</v>
      </c>
      <c r="C106" s="74" t="s">
        <v>617</v>
      </c>
      <c r="D106" s="74">
        <v>313.99</v>
      </c>
    </row>
    <row r="107" spans="1:4">
      <c r="A107" t="s">
        <v>480</v>
      </c>
      <c r="B107" s="73" t="s">
        <v>618</v>
      </c>
      <c r="C107" s="74" t="s">
        <v>619</v>
      </c>
      <c r="D107" s="74">
        <v>69.989999999999995</v>
      </c>
    </row>
    <row r="108" spans="1:4">
      <c r="A108" t="s">
        <v>480</v>
      </c>
      <c r="B108" s="73" t="s">
        <v>510</v>
      </c>
      <c r="C108" s="74" t="s">
        <v>620</v>
      </c>
      <c r="D108" s="74">
        <v>175.99</v>
      </c>
    </row>
    <row r="109" spans="1:4">
      <c r="A109" t="s">
        <v>480</v>
      </c>
      <c r="B109" s="73" t="s">
        <v>510</v>
      </c>
      <c r="C109" s="74" t="s">
        <v>621</v>
      </c>
      <c r="D109" s="74">
        <v>39.950000000000003</v>
      </c>
    </row>
    <row r="110" spans="1:4">
      <c r="A110" t="s">
        <v>480</v>
      </c>
      <c r="B110" s="73" t="s">
        <v>523</v>
      </c>
      <c r="C110" s="74" t="s">
        <v>622</v>
      </c>
      <c r="D110" s="74">
        <v>449.99</v>
      </c>
    </row>
    <row r="111" spans="1:4">
      <c r="A111" t="s">
        <v>480</v>
      </c>
      <c r="B111" s="73" t="s">
        <v>579</v>
      </c>
      <c r="C111" s="74" t="s">
        <v>623</v>
      </c>
      <c r="D111" s="74">
        <v>379.99</v>
      </c>
    </row>
    <row r="112" spans="1:4">
      <c r="A112" t="s">
        <v>480</v>
      </c>
      <c r="B112" s="73" t="s">
        <v>510</v>
      </c>
      <c r="C112" s="74" t="s">
        <v>624</v>
      </c>
      <c r="D112" s="74">
        <v>1129.99</v>
      </c>
    </row>
    <row r="113" spans="1:4">
      <c r="A113" t="s">
        <v>480</v>
      </c>
      <c r="B113" s="73" t="s">
        <v>510</v>
      </c>
      <c r="C113" s="74" t="s">
        <v>625</v>
      </c>
      <c r="D113" s="74">
        <v>143.99</v>
      </c>
    </row>
    <row r="114" spans="1:4" ht="21">
      <c r="A114" t="s">
        <v>480</v>
      </c>
      <c r="B114" s="73" t="s">
        <v>546</v>
      </c>
      <c r="C114" s="75" t="s">
        <v>626</v>
      </c>
      <c r="D114" s="74">
        <v>17.989999999999998</v>
      </c>
    </row>
    <row r="115" spans="1:4">
      <c r="A115" t="s">
        <v>480</v>
      </c>
      <c r="B115" s="73" t="s">
        <v>510</v>
      </c>
      <c r="C115" s="74" t="s">
        <v>627</v>
      </c>
      <c r="D115" s="74">
        <v>279.95</v>
      </c>
    </row>
    <row r="116" spans="1:4">
      <c r="A116" t="s">
        <v>480</v>
      </c>
      <c r="B116" s="73" t="s">
        <v>510</v>
      </c>
      <c r="C116" s="74" t="s">
        <v>628</v>
      </c>
      <c r="D116" s="74">
        <v>529.95000000000005</v>
      </c>
    </row>
    <row r="117" spans="1:4">
      <c r="A117" t="s">
        <v>480</v>
      </c>
      <c r="B117" s="73" t="s">
        <v>510</v>
      </c>
      <c r="C117" s="74" t="s">
        <v>629</v>
      </c>
      <c r="D117" s="74">
        <v>245.95</v>
      </c>
    </row>
    <row r="118" spans="1:4">
      <c r="A118" t="s">
        <v>480</v>
      </c>
      <c r="B118" s="73" t="s">
        <v>510</v>
      </c>
      <c r="C118" s="74" t="s">
        <v>630</v>
      </c>
      <c r="D118" s="74">
        <v>279.99</v>
      </c>
    </row>
    <row r="119" spans="1:4">
      <c r="A119" t="s">
        <v>480</v>
      </c>
      <c r="B119" s="73" t="s">
        <v>510</v>
      </c>
      <c r="C119" s="74" t="s">
        <v>631</v>
      </c>
      <c r="D119" s="74">
        <v>129.99</v>
      </c>
    </row>
    <row r="120" spans="1:4" ht="21">
      <c r="A120" t="s">
        <v>480</v>
      </c>
      <c r="B120" s="73" t="s">
        <v>507</v>
      </c>
      <c r="C120" s="74" t="s">
        <v>508</v>
      </c>
      <c r="D120" s="74">
        <v>59.89</v>
      </c>
    </row>
    <row r="121" spans="1:4">
      <c r="A121" t="s">
        <v>480</v>
      </c>
      <c r="B121" s="73" t="s">
        <v>523</v>
      </c>
      <c r="C121" s="74" t="s">
        <v>632</v>
      </c>
      <c r="D121" s="74">
        <v>99.99</v>
      </c>
    </row>
    <row r="122" spans="1:4">
      <c r="A122" t="s">
        <v>480</v>
      </c>
      <c r="B122" s="73" t="s">
        <v>510</v>
      </c>
      <c r="C122" s="74" t="s">
        <v>633</v>
      </c>
      <c r="D122" s="74">
        <v>153.99</v>
      </c>
    </row>
    <row r="123" spans="1:4">
      <c r="A123" t="s">
        <v>480</v>
      </c>
      <c r="B123" s="73" t="s">
        <v>510</v>
      </c>
      <c r="C123" s="74" t="s">
        <v>634</v>
      </c>
      <c r="D123" s="74">
        <v>169.99</v>
      </c>
    </row>
    <row r="124" spans="1:4">
      <c r="A124" t="s">
        <v>480</v>
      </c>
      <c r="B124" s="73" t="s">
        <v>510</v>
      </c>
      <c r="C124" s="74" t="s">
        <v>635</v>
      </c>
      <c r="D124" s="74">
        <v>159.99</v>
      </c>
    </row>
    <row r="125" spans="1:4" ht="21">
      <c r="A125" t="s">
        <v>480</v>
      </c>
      <c r="B125" s="73" t="s">
        <v>507</v>
      </c>
      <c r="C125" s="74" t="s">
        <v>636</v>
      </c>
      <c r="D125" s="74">
        <v>79.989999999999995</v>
      </c>
    </row>
    <row r="126" spans="1:4">
      <c r="A126" t="s">
        <v>480</v>
      </c>
      <c r="B126" s="73" t="s">
        <v>510</v>
      </c>
      <c r="C126" s="74" t="s">
        <v>637</v>
      </c>
      <c r="D126" s="74">
        <v>199.99</v>
      </c>
    </row>
    <row r="127" spans="1:4">
      <c r="A127" t="s">
        <v>480</v>
      </c>
      <c r="B127" s="73" t="s">
        <v>505</v>
      </c>
      <c r="C127" s="74" t="s">
        <v>638</v>
      </c>
      <c r="D127" s="74">
        <v>305</v>
      </c>
    </row>
    <row r="128" spans="1:4" ht="21">
      <c r="A128" t="s">
        <v>480</v>
      </c>
      <c r="B128" s="73" t="s">
        <v>510</v>
      </c>
      <c r="C128" s="75" t="s">
        <v>639</v>
      </c>
      <c r="D128" s="74">
        <v>139.99</v>
      </c>
    </row>
    <row r="129" spans="1:4">
      <c r="A129" t="s">
        <v>480</v>
      </c>
      <c r="B129" s="73" t="s">
        <v>507</v>
      </c>
      <c r="C129" s="74" t="s">
        <v>640</v>
      </c>
      <c r="D129" s="74">
        <v>92.89</v>
      </c>
    </row>
    <row r="130" spans="1:4">
      <c r="A130" t="s">
        <v>480</v>
      </c>
      <c r="B130" s="73" t="s">
        <v>523</v>
      </c>
      <c r="C130" s="74" t="s">
        <v>641</v>
      </c>
      <c r="D130" s="74">
        <v>194.99</v>
      </c>
    </row>
    <row r="131" spans="1:4">
      <c r="A131" t="s">
        <v>480</v>
      </c>
      <c r="B131" s="73" t="s">
        <v>546</v>
      </c>
      <c r="C131" s="74" t="s">
        <v>642</v>
      </c>
      <c r="D131" s="74">
        <v>79.95</v>
      </c>
    </row>
    <row r="132" spans="1:4">
      <c r="A132" t="s">
        <v>480</v>
      </c>
      <c r="B132" s="73" t="s">
        <v>510</v>
      </c>
      <c r="C132" s="74" t="s">
        <v>643</v>
      </c>
      <c r="D132" s="74">
        <v>129.99</v>
      </c>
    </row>
    <row r="133" spans="1:4">
      <c r="A133" t="s">
        <v>480</v>
      </c>
      <c r="B133" s="73" t="s">
        <v>579</v>
      </c>
      <c r="C133" s="74" t="s">
        <v>628</v>
      </c>
      <c r="D133" s="74">
        <v>566</v>
      </c>
    </row>
    <row r="134" spans="1:4">
      <c r="A134" t="s">
        <v>480</v>
      </c>
      <c r="B134" s="73" t="s">
        <v>510</v>
      </c>
      <c r="C134" s="74" t="s">
        <v>644</v>
      </c>
      <c r="D134" s="74">
        <v>374.35</v>
      </c>
    </row>
    <row r="135" spans="1:4">
      <c r="A135" t="s">
        <v>480</v>
      </c>
      <c r="B135" s="73" t="s">
        <v>510</v>
      </c>
      <c r="C135" s="74" t="s">
        <v>645</v>
      </c>
      <c r="D135" s="74">
        <v>215.83</v>
      </c>
    </row>
    <row r="136" spans="1:4">
      <c r="A136" t="s">
        <v>480</v>
      </c>
      <c r="B136" s="73" t="s">
        <v>505</v>
      </c>
      <c r="C136" s="74" t="s">
        <v>646</v>
      </c>
      <c r="D136" s="74">
        <v>119.99</v>
      </c>
    </row>
    <row r="137" spans="1:4">
      <c r="A137" t="s">
        <v>480</v>
      </c>
      <c r="B137" s="73" t="s">
        <v>510</v>
      </c>
      <c r="C137" s="74" t="s">
        <v>647</v>
      </c>
      <c r="D137" s="74">
        <v>339.99</v>
      </c>
    </row>
    <row r="138" spans="1:4">
      <c r="A138" t="s">
        <v>480</v>
      </c>
      <c r="B138" s="73" t="s">
        <v>510</v>
      </c>
      <c r="C138" s="74" t="s">
        <v>648</v>
      </c>
      <c r="D138" s="74">
        <v>159.94999999999999</v>
      </c>
    </row>
    <row r="139" spans="1:4">
      <c r="A139" t="s">
        <v>480</v>
      </c>
      <c r="B139" s="73" t="s">
        <v>510</v>
      </c>
      <c r="C139" s="74" t="s">
        <v>649</v>
      </c>
      <c r="D139" s="74">
        <v>128.99</v>
      </c>
    </row>
    <row r="140" spans="1:4">
      <c r="A140" t="s">
        <v>480</v>
      </c>
      <c r="B140" s="73" t="s">
        <v>505</v>
      </c>
      <c r="C140" s="74" t="s">
        <v>650</v>
      </c>
      <c r="D140" s="74">
        <v>539.99</v>
      </c>
    </row>
    <row r="141" spans="1:4">
      <c r="A141" t="s">
        <v>480</v>
      </c>
      <c r="B141" s="73" t="s">
        <v>510</v>
      </c>
      <c r="C141" s="74" t="s">
        <v>651</v>
      </c>
      <c r="D141" s="74">
        <v>319.89</v>
      </c>
    </row>
    <row r="142" spans="1:4">
      <c r="A142" t="s">
        <v>480</v>
      </c>
      <c r="B142" s="73" t="s">
        <v>510</v>
      </c>
      <c r="C142" s="74" t="s">
        <v>652</v>
      </c>
      <c r="D142" s="74">
        <v>509</v>
      </c>
    </row>
    <row r="143" spans="1:4" ht="21">
      <c r="A143" t="s">
        <v>480</v>
      </c>
      <c r="B143" s="73" t="s">
        <v>505</v>
      </c>
      <c r="C143" s="74" t="s">
        <v>653</v>
      </c>
      <c r="D143" s="74">
        <v>134.88999999999999</v>
      </c>
    </row>
    <row r="144" spans="1:4">
      <c r="A144" t="s">
        <v>480</v>
      </c>
      <c r="B144" s="73" t="s">
        <v>505</v>
      </c>
      <c r="C144" s="74" t="s">
        <v>654</v>
      </c>
      <c r="D144" s="74">
        <v>114.99</v>
      </c>
    </row>
    <row r="145" spans="1:4">
      <c r="A145" t="s">
        <v>480</v>
      </c>
      <c r="B145" s="73" t="s">
        <v>505</v>
      </c>
      <c r="C145" s="74" t="s">
        <v>655</v>
      </c>
      <c r="D145" s="74">
        <v>225</v>
      </c>
    </row>
    <row r="146" spans="1:4">
      <c r="A146" t="s">
        <v>480</v>
      </c>
      <c r="B146" s="73" t="s">
        <v>579</v>
      </c>
      <c r="C146" s="74" t="s">
        <v>580</v>
      </c>
      <c r="D146" s="74">
        <v>456</v>
      </c>
    </row>
    <row r="147" spans="1:4">
      <c r="A147" t="s">
        <v>480</v>
      </c>
      <c r="B147" s="73" t="s">
        <v>505</v>
      </c>
      <c r="C147" s="74" t="s">
        <v>656</v>
      </c>
      <c r="D147" s="74">
        <v>389.99</v>
      </c>
    </row>
    <row r="148" spans="1:4">
      <c r="A148" t="s">
        <v>480</v>
      </c>
      <c r="B148" s="73" t="s">
        <v>657</v>
      </c>
      <c r="C148" s="74" t="s">
        <v>658</v>
      </c>
      <c r="D148" s="74">
        <v>204.99</v>
      </c>
    </row>
    <row r="149" spans="1:4">
      <c r="A149" t="s">
        <v>480</v>
      </c>
      <c r="B149" s="73" t="s">
        <v>505</v>
      </c>
      <c r="C149" s="74" t="s">
        <v>659</v>
      </c>
      <c r="D149" s="74">
        <v>79.989999999999995</v>
      </c>
    </row>
    <row r="150" spans="1:4">
      <c r="A150" t="s">
        <v>480</v>
      </c>
      <c r="B150" s="73" t="s">
        <v>523</v>
      </c>
      <c r="C150" s="74" t="s">
        <v>660</v>
      </c>
      <c r="D150" s="74">
        <v>339.99</v>
      </c>
    </row>
    <row r="151" spans="1:4">
      <c r="A151" t="s">
        <v>480</v>
      </c>
      <c r="B151" s="73" t="s">
        <v>510</v>
      </c>
      <c r="C151" s="74" t="s">
        <v>661</v>
      </c>
      <c r="D151" s="74">
        <v>179.99</v>
      </c>
    </row>
    <row r="152" spans="1:4">
      <c r="A152" t="s">
        <v>480</v>
      </c>
      <c r="B152" s="73" t="s">
        <v>510</v>
      </c>
      <c r="C152" s="74" t="s">
        <v>662</v>
      </c>
      <c r="D152" s="74">
        <v>339.95</v>
      </c>
    </row>
    <row r="153" spans="1:4">
      <c r="A153" t="s">
        <v>480</v>
      </c>
      <c r="B153" s="73" t="s">
        <v>510</v>
      </c>
      <c r="C153" s="74" t="s">
        <v>663</v>
      </c>
      <c r="D153" s="74">
        <v>329.95</v>
      </c>
    </row>
    <row r="154" spans="1:4">
      <c r="A154" t="s">
        <v>480</v>
      </c>
      <c r="B154" s="73" t="s">
        <v>510</v>
      </c>
      <c r="C154" s="74" t="s">
        <v>664</v>
      </c>
      <c r="D154" s="74">
        <v>702</v>
      </c>
    </row>
    <row r="155" spans="1:4">
      <c r="A155" t="s">
        <v>480</v>
      </c>
      <c r="B155" s="73" t="s">
        <v>510</v>
      </c>
      <c r="C155" s="74" t="s">
        <v>665</v>
      </c>
      <c r="D155" s="74">
        <v>89.99</v>
      </c>
    </row>
    <row r="156" spans="1:4">
      <c r="A156" t="s">
        <v>480</v>
      </c>
      <c r="B156" s="73" t="s">
        <v>505</v>
      </c>
      <c r="C156" s="74" t="s">
        <v>666</v>
      </c>
      <c r="D156" s="74">
        <v>233</v>
      </c>
    </row>
    <row r="157" spans="1:4">
      <c r="A157" t="s">
        <v>480</v>
      </c>
      <c r="B157" s="73" t="s">
        <v>510</v>
      </c>
      <c r="C157" s="74" t="s">
        <v>667</v>
      </c>
      <c r="D157" s="74">
        <v>39.99</v>
      </c>
    </row>
    <row r="158" spans="1:4">
      <c r="A158" t="s">
        <v>480</v>
      </c>
      <c r="B158" s="73" t="s">
        <v>510</v>
      </c>
      <c r="C158" s="74" t="s">
        <v>668</v>
      </c>
      <c r="D158" s="74">
        <v>239.99</v>
      </c>
    </row>
    <row r="159" spans="1:4">
      <c r="A159" t="s">
        <v>480</v>
      </c>
      <c r="B159" s="73" t="s">
        <v>510</v>
      </c>
      <c r="C159" s="74" t="s">
        <v>669</v>
      </c>
      <c r="D159" s="74">
        <v>519.95000000000005</v>
      </c>
    </row>
    <row r="160" spans="1:4">
      <c r="A160" t="s">
        <v>480</v>
      </c>
      <c r="B160" s="73" t="s">
        <v>510</v>
      </c>
      <c r="C160" s="74" t="s">
        <v>670</v>
      </c>
      <c r="D160" s="74">
        <v>395.99</v>
      </c>
    </row>
    <row r="161" spans="1:4">
      <c r="A161" t="s">
        <v>480</v>
      </c>
      <c r="B161" s="73" t="s">
        <v>505</v>
      </c>
      <c r="C161" s="74" t="s">
        <v>671</v>
      </c>
      <c r="D161" s="74">
        <v>329.89</v>
      </c>
    </row>
    <row r="162" spans="1:4">
      <c r="A162" t="s">
        <v>480</v>
      </c>
      <c r="B162" s="73" t="s">
        <v>510</v>
      </c>
      <c r="C162" s="74" t="s">
        <v>672</v>
      </c>
      <c r="D162" s="74">
        <v>284.95</v>
      </c>
    </row>
    <row r="163" spans="1:4">
      <c r="A163" t="s">
        <v>480</v>
      </c>
      <c r="B163" s="73" t="s">
        <v>505</v>
      </c>
      <c r="C163" s="74" t="s">
        <v>673</v>
      </c>
      <c r="D163" s="74">
        <v>69.989999999999995</v>
      </c>
    </row>
    <row r="164" spans="1:4">
      <c r="A164" t="s">
        <v>480</v>
      </c>
      <c r="B164" s="73" t="s">
        <v>510</v>
      </c>
      <c r="C164" s="74" t="s">
        <v>674</v>
      </c>
      <c r="D164" s="74">
        <v>89.99</v>
      </c>
    </row>
    <row r="165" spans="1:4">
      <c r="A165" t="s">
        <v>480</v>
      </c>
      <c r="B165" s="73" t="s">
        <v>510</v>
      </c>
      <c r="C165" s="74" t="s">
        <v>675</v>
      </c>
      <c r="D165" s="74">
        <v>134.94999999999999</v>
      </c>
    </row>
    <row r="166" spans="1:4" ht="21">
      <c r="A166" t="s">
        <v>480</v>
      </c>
      <c r="B166" s="73" t="s">
        <v>505</v>
      </c>
      <c r="C166" s="74" t="s">
        <v>676</v>
      </c>
      <c r="D166" s="74">
        <v>51.89</v>
      </c>
    </row>
    <row r="167" spans="1:4">
      <c r="A167" t="s">
        <v>480</v>
      </c>
      <c r="B167" s="73" t="s">
        <v>561</v>
      </c>
      <c r="C167" s="74" t="s">
        <v>677</v>
      </c>
      <c r="D167" s="74">
        <v>159.99</v>
      </c>
    </row>
    <row r="168" spans="1:4">
      <c r="A168" t="s">
        <v>480</v>
      </c>
      <c r="B168" s="73" t="s">
        <v>523</v>
      </c>
      <c r="C168" s="74" t="s">
        <v>678</v>
      </c>
      <c r="D168" s="74">
        <v>199.99</v>
      </c>
    </row>
    <row r="169" spans="1:4">
      <c r="A169" t="s">
        <v>480</v>
      </c>
      <c r="B169" s="73" t="s">
        <v>505</v>
      </c>
      <c r="C169" s="74" t="s">
        <v>679</v>
      </c>
      <c r="D169" s="74">
        <v>575</v>
      </c>
    </row>
    <row r="170" spans="1:4">
      <c r="A170" t="s">
        <v>480</v>
      </c>
      <c r="B170" s="73" t="s">
        <v>505</v>
      </c>
      <c r="C170" s="74" t="s">
        <v>680</v>
      </c>
      <c r="D170" s="74">
        <v>419.99</v>
      </c>
    </row>
    <row r="171" spans="1:4">
      <c r="A171" t="s">
        <v>480</v>
      </c>
      <c r="B171" s="73" t="s">
        <v>510</v>
      </c>
      <c r="C171" s="74" t="s">
        <v>681</v>
      </c>
      <c r="D171" s="74">
        <v>179.99</v>
      </c>
    </row>
    <row r="172" spans="1:4">
      <c r="A172" t="s">
        <v>480</v>
      </c>
      <c r="B172" s="73" t="s">
        <v>510</v>
      </c>
      <c r="C172" s="74" t="s">
        <v>682</v>
      </c>
      <c r="D172" s="74">
        <v>550.99</v>
      </c>
    </row>
    <row r="173" spans="1:4">
      <c r="A173" t="s">
        <v>480</v>
      </c>
      <c r="B173" s="73" t="s">
        <v>683</v>
      </c>
      <c r="C173" s="74" t="s">
        <v>684</v>
      </c>
      <c r="D173" s="74">
        <v>159.99</v>
      </c>
    </row>
    <row r="174" spans="1:4">
      <c r="A174" t="s">
        <v>480</v>
      </c>
      <c r="B174" s="73" t="s">
        <v>510</v>
      </c>
      <c r="C174" s="74" t="s">
        <v>685</v>
      </c>
      <c r="D174" s="74">
        <v>284.99</v>
      </c>
    </row>
    <row r="175" spans="1:4">
      <c r="A175" t="s">
        <v>480</v>
      </c>
      <c r="B175" s="73" t="s">
        <v>510</v>
      </c>
      <c r="C175" s="74" t="s">
        <v>686</v>
      </c>
      <c r="D175" s="74">
        <v>194.95</v>
      </c>
    </row>
    <row r="176" spans="1:4">
      <c r="A176" t="s">
        <v>480</v>
      </c>
      <c r="B176" s="73" t="s">
        <v>510</v>
      </c>
      <c r="C176" s="74" t="s">
        <v>687</v>
      </c>
      <c r="D176" s="74">
        <v>235.36</v>
      </c>
    </row>
    <row r="177" spans="1:4">
      <c r="A177" t="s">
        <v>480</v>
      </c>
      <c r="B177" s="73" t="s">
        <v>505</v>
      </c>
      <c r="C177" s="74" t="s">
        <v>688</v>
      </c>
      <c r="D177" s="74">
        <v>89.99</v>
      </c>
    </row>
    <row r="178" spans="1:4">
      <c r="A178" t="s">
        <v>480</v>
      </c>
      <c r="B178" s="73" t="s">
        <v>510</v>
      </c>
      <c r="C178" s="74" t="s">
        <v>689</v>
      </c>
      <c r="D178" s="74">
        <v>226.08</v>
      </c>
    </row>
    <row r="179" spans="1:4">
      <c r="A179" t="s">
        <v>480</v>
      </c>
      <c r="B179" s="73" t="s">
        <v>510</v>
      </c>
      <c r="C179" s="74" t="s">
        <v>690</v>
      </c>
      <c r="D179" s="74">
        <v>224.99</v>
      </c>
    </row>
    <row r="180" spans="1:4">
      <c r="A180" t="s">
        <v>480</v>
      </c>
      <c r="B180" s="73" t="s">
        <v>579</v>
      </c>
      <c r="C180" s="74" t="s">
        <v>691</v>
      </c>
      <c r="D180" s="74">
        <v>456</v>
      </c>
    </row>
    <row r="181" spans="1:4">
      <c r="A181" t="s">
        <v>480</v>
      </c>
      <c r="B181" s="73" t="s">
        <v>510</v>
      </c>
      <c r="C181" s="74" t="s">
        <v>692</v>
      </c>
      <c r="D181" s="74">
        <v>227.95</v>
      </c>
    </row>
    <row r="182" spans="1:4">
      <c r="A182" t="s">
        <v>480</v>
      </c>
      <c r="B182" s="73" t="s">
        <v>579</v>
      </c>
      <c r="C182" s="74" t="s">
        <v>693</v>
      </c>
      <c r="D182" s="74">
        <v>508</v>
      </c>
    </row>
    <row r="183" spans="1:4">
      <c r="A183" t="s">
        <v>480</v>
      </c>
      <c r="B183" s="73" t="s">
        <v>561</v>
      </c>
      <c r="C183" s="74" t="s">
        <v>694</v>
      </c>
      <c r="D183" s="74">
        <v>129.99</v>
      </c>
    </row>
    <row r="184" spans="1:4">
      <c r="A184" t="s">
        <v>480</v>
      </c>
      <c r="B184" s="73" t="s">
        <v>510</v>
      </c>
      <c r="C184" s="74" t="s">
        <v>695</v>
      </c>
      <c r="D184" s="74">
        <v>859.95</v>
      </c>
    </row>
    <row r="185" spans="1:4">
      <c r="A185" t="s">
        <v>480</v>
      </c>
      <c r="B185" s="73" t="s">
        <v>510</v>
      </c>
      <c r="C185" s="74" t="s">
        <v>696</v>
      </c>
      <c r="D185" s="74">
        <v>239.99</v>
      </c>
    </row>
    <row r="186" spans="1:4">
      <c r="A186" t="s">
        <v>480</v>
      </c>
      <c r="B186" s="73" t="s">
        <v>505</v>
      </c>
      <c r="C186" s="74" t="s">
        <v>697</v>
      </c>
      <c r="D186" s="74">
        <v>166.97</v>
      </c>
    </row>
    <row r="187" spans="1:4">
      <c r="A187" t="s">
        <v>480</v>
      </c>
      <c r="B187" s="73" t="s">
        <v>579</v>
      </c>
      <c r="C187" s="74" t="s">
        <v>698</v>
      </c>
      <c r="D187" s="74">
        <v>349.95</v>
      </c>
    </row>
    <row r="188" spans="1:4">
      <c r="A188" t="s">
        <v>480</v>
      </c>
      <c r="B188" s="73" t="s">
        <v>510</v>
      </c>
      <c r="C188" s="74" t="s">
        <v>699</v>
      </c>
      <c r="D188" s="74">
        <v>529</v>
      </c>
    </row>
    <row r="189" spans="1:4">
      <c r="A189" t="s">
        <v>480</v>
      </c>
      <c r="B189" s="73" t="s">
        <v>523</v>
      </c>
      <c r="C189" s="74" t="s">
        <v>700</v>
      </c>
      <c r="D189" s="74">
        <v>169.99</v>
      </c>
    </row>
    <row r="190" spans="1:4">
      <c r="A190" t="s">
        <v>480</v>
      </c>
      <c r="B190" s="73" t="s">
        <v>510</v>
      </c>
      <c r="C190" s="74" t="s">
        <v>701</v>
      </c>
      <c r="D190" s="74">
        <v>199.99</v>
      </c>
    </row>
    <row r="191" spans="1:4">
      <c r="A191" t="s">
        <v>480</v>
      </c>
      <c r="B191" s="73" t="s">
        <v>523</v>
      </c>
      <c r="C191" s="74" t="s">
        <v>702</v>
      </c>
      <c r="D191" s="74">
        <v>134.99</v>
      </c>
    </row>
    <row r="192" spans="1:4">
      <c r="A192" t="s">
        <v>480</v>
      </c>
      <c r="B192" s="73" t="s">
        <v>505</v>
      </c>
      <c r="C192" s="74" t="s">
        <v>703</v>
      </c>
      <c r="D192" s="74">
        <v>59.99</v>
      </c>
    </row>
    <row r="193" spans="1:4">
      <c r="A193" t="s">
        <v>480</v>
      </c>
      <c r="B193" s="73" t="s">
        <v>510</v>
      </c>
      <c r="C193" s="74" t="s">
        <v>704</v>
      </c>
      <c r="D193" s="74">
        <v>319.95</v>
      </c>
    </row>
    <row r="194" spans="1:4">
      <c r="A194" t="s">
        <v>480</v>
      </c>
      <c r="B194" s="73" t="s">
        <v>505</v>
      </c>
      <c r="C194" s="74" t="s">
        <v>705</v>
      </c>
      <c r="D194" s="74">
        <v>499.99</v>
      </c>
    </row>
    <row r="195" spans="1:4">
      <c r="A195" t="s">
        <v>480</v>
      </c>
      <c r="B195" s="73" t="s">
        <v>546</v>
      </c>
      <c r="C195" s="74" t="s">
        <v>706</v>
      </c>
      <c r="D195" s="74">
        <v>15.99</v>
      </c>
    </row>
    <row r="196" spans="1:4">
      <c r="A196" t="s">
        <v>480</v>
      </c>
      <c r="B196" s="73" t="s">
        <v>505</v>
      </c>
      <c r="C196" s="74" t="s">
        <v>707</v>
      </c>
      <c r="D196" s="74">
        <v>359.99</v>
      </c>
    </row>
    <row r="197" spans="1:4">
      <c r="A197" t="s">
        <v>480</v>
      </c>
      <c r="B197" s="73" t="s">
        <v>510</v>
      </c>
      <c r="C197" s="74" t="s">
        <v>708</v>
      </c>
      <c r="D197" s="74">
        <v>249.95</v>
      </c>
    </row>
    <row r="198" spans="1:4">
      <c r="A198" t="s">
        <v>480</v>
      </c>
      <c r="B198" s="73" t="s">
        <v>510</v>
      </c>
      <c r="C198" s="74" t="s">
        <v>709</v>
      </c>
      <c r="D198" s="74">
        <v>89.95</v>
      </c>
    </row>
    <row r="199" spans="1:4">
      <c r="A199" t="s">
        <v>480</v>
      </c>
      <c r="B199" s="73" t="s">
        <v>505</v>
      </c>
      <c r="C199" s="74" t="s">
        <v>710</v>
      </c>
      <c r="D199" s="74">
        <v>74.989999999999995</v>
      </c>
    </row>
    <row r="200" spans="1:4">
      <c r="A200" t="s">
        <v>480</v>
      </c>
      <c r="B200" s="73" t="s">
        <v>510</v>
      </c>
      <c r="C200" s="74" t="s">
        <v>711</v>
      </c>
      <c r="D200" s="74">
        <v>349.99</v>
      </c>
    </row>
    <row r="201" spans="1:4">
      <c r="A201" t="s">
        <v>480</v>
      </c>
      <c r="B201" s="73" t="s">
        <v>510</v>
      </c>
      <c r="C201" s="74" t="s">
        <v>712</v>
      </c>
      <c r="D201" s="74">
        <v>834</v>
      </c>
    </row>
    <row r="202" spans="1:4">
      <c r="A202" t="s">
        <v>480</v>
      </c>
      <c r="B202" s="73" t="s">
        <v>529</v>
      </c>
      <c r="C202" s="74" t="s">
        <v>713</v>
      </c>
      <c r="D202" s="74">
        <v>69.69</v>
      </c>
    </row>
    <row r="203" spans="1:4">
      <c r="A203" t="s">
        <v>480</v>
      </c>
      <c r="B203" s="73" t="s">
        <v>510</v>
      </c>
      <c r="C203" s="74" t="s">
        <v>714</v>
      </c>
      <c r="D203" s="74">
        <v>287.26</v>
      </c>
    </row>
    <row r="204" spans="1:4">
      <c r="A204" t="s">
        <v>480</v>
      </c>
      <c r="B204" s="73" t="s">
        <v>510</v>
      </c>
      <c r="C204" s="74" t="s">
        <v>715</v>
      </c>
      <c r="D204" s="74">
        <v>59.99</v>
      </c>
    </row>
    <row r="205" spans="1:4">
      <c r="A205" t="s">
        <v>480</v>
      </c>
      <c r="B205" s="73" t="s">
        <v>510</v>
      </c>
      <c r="C205" s="74" t="s">
        <v>716</v>
      </c>
      <c r="D205" s="74">
        <v>194.99</v>
      </c>
    </row>
    <row r="206" spans="1:4">
      <c r="A206" t="s">
        <v>480</v>
      </c>
      <c r="B206" s="73" t="s">
        <v>510</v>
      </c>
      <c r="C206" s="74" t="s">
        <v>717</v>
      </c>
      <c r="D206" s="74">
        <v>69.989999999999995</v>
      </c>
    </row>
    <row r="207" spans="1:4">
      <c r="A207" t="s">
        <v>480</v>
      </c>
      <c r="B207" s="73" t="s">
        <v>510</v>
      </c>
      <c r="C207" s="74" t="s">
        <v>718</v>
      </c>
      <c r="D207" s="74">
        <v>49.99</v>
      </c>
    </row>
    <row r="208" spans="1:4">
      <c r="A208" t="s">
        <v>480</v>
      </c>
      <c r="B208" s="73" t="s">
        <v>510</v>
      </c>
      <c r="C208" s="74" t="s">
        <v>719</v>
      </c>
      <c r="D208" s="74">
        <v>153.99</v>
      </c>
    </row>
    <row r="209" spans="1:4">
      <c r="A209" t="s">
        <v>480</v>
      </c>
      <c r="B209" s="73" t="s">
        <v>505</v>
      </c>
      <c r="C209" s="74" t="s">
        <v>720</v>
      </c>
      <c r="D209" s="74">
        <v>117.69</v>
      </c>
    </row>
    <row r="210" spans="1:4">
      <c r="A210" t="s">
        <v>480</v>
      </c>
      <c r="B210" s="73" t="s">
        <v>510</v>
      </c>
      <c r="C210" s="74" t="s">
        <v>721</v>
      </c>
      <c r="D210" s="74">
        <v>529.99</v>
      </c>
    </row>
    <row r="211" spans="1:4">
      <c r="A211" t="s">
        <v>480</v>
      </c>
      <c r="B211" s="73" t="s">
        <v>510</v>
      </c>
      <c r="C211" s="74" t="s">
        <v>722</v>
      </c>
      <c r="D211" s="74">
        <v>279.95</v>
      </c>
    </row>
    <row r="212" spans="1:4">
      <c r="A212" t="s">
        <v>480</v>
      </c>
      <c r="B212" s="73" t="s">
        <v>510</v>
      </c>
      <c r="C212" s="74" t="s">
        <v>723</v>
      </c>
      <c r="D212" s="74">
        <v>259.95</v>
      </c>
    </row>
    <row r="213" spans="1:4">
      <c r="A213" t="s">
        <v>480</v>
      </c>
      <c r="B213" s="73" t="s">
        <v>505</v>
      </c>
      <c r="C213" s="74" t="s">
        <v>724</v>
      </c>
      <c r="D213" s="74">
        <v>89.99</v>
      </c>
    </row>
    <row r="214" spans="1:4">
      <c r="A214" t="s">
        <v>480</v>
      </c>
      <c r="B214" s="73" t="s">
        <v>505</v>
      </c>
      <c r="C214" s="74" t="s">
        <v>725</v>
      </c>
      <c r="D214" s="74">
        <v>399.99</v>
      </c>
    </row>
    <row r="215" spans="1:4">
      <c r="A215" t="s">
        <v>480</v>
      </c>
      <c r="B215" s="73" t="s">
        <v>510</v>
      </c>
      <c r="C215" s="74" t="s">
        <v>726</v>
      </c>
      <c r="D215" s="74">
        <v>199.99</v>
      </c>
    </row>
    <row r="216" spans="1:4">
      <c r="A216" t="s">
        <v>480</v>
      </c>
      <c r="B216" s="73" t="s">
        <v>505</v>
      </c>
      <c r="C216" s="74" t="s">
        <v>727</v>
      </c>
      <c r="D216" s="74">
        <v>49.99</v>
      </c>
    </row>
    <row r="217" spans="1:4">
      <c r="A217" t="s">
        <v>480</v>
      </c>
      <c r="B217" s="73" t="s">
        <v>510</v>
      </c>
      <c r="C217" s="74" t="s">
        <v>728</v>
      </c>
      <c r="D217" s="74">
        <v>329.99</v>
      </c>
    </row>
    <row r="218" spans="1:4">
      <c r="A218" t="s">
        <v>480</v>
      </c>
      <c r="B218" s="73" t="s">
        <v>523</v>
      </c>
      <c r="C218" s="74" t="s">
        <v>729</v>
      </c>
      <c r="D218" s="74">
        <v>144.99</v>
      </c>
    </row>
    <row r="219" spans="1:4">
      <c r="A219" t="s">
        <v>480</v>
      </c>
      <c r="B219" s="73" t="s">
        <v>510</v>
      </c>
      <c r="C219" s="74" t="s">
        <v>730</v>
      </c>
      <c r="D219" s="74">
        <v>777</v>
      </c>
    </row>
    <row r="220" spans="1:4">
      <c r="A220" t="s">
        <v>480</v>
      </c>
      <c r="B220" s="73" t="s">
        <v>510</v>
      </c>
      <c r="C220" s="74" t="s">
        <v>731</v>
      </c>
      <c r="D220" s="74">
        <v>206.8</v>
      </c>
    </row>
    <row r="221" spans="1:4">
      <c r="A221" t="s">
        <v>480</v>
      </c>
      <c r="B221" s="73" t="s">
        <v>510</v>
      </c>
      <c r="C221" s="74" t="s">
        <v>732</v>
      </c>
      <c r="D221" s="74">
        <v>239.95</v>
      </c>
    </row>
    <row r="222" spans="1:4">
      <c r="A222" t="s">
        <v>480</v>
      </c>
      <c r="B222" s="73" t="s">
        <v>510</v>
      </c>
      <c r="C222" s="74" t="s">
        <v>733</v>
      </c>
      <c r="D222" s="74">
        <v>344.95</v>
      </c>
    </row>
    <row r="223" spans="1:4">
      <c r="A223" t="s">
        <v>480</v>
      </c>
      <c r="B223" s="73" t="s">
        <v>579</v>
      </c>
      <c r="C223" s="74" t="s">
        <v>734</v>
      </c>
      <c r="D223" s="74">
        <v>319</v>
      </c>
    </row>
    <row r="224" spans="1:4">
      <c r="A224" t="s">
        <v>480</v>
      </c>
      <c r="B224" s="73" t="s">
        <v>510</v>
      </c>
      <c r="C224" s="74" t="s">
        <v>735</v>
      </c>
      <c r="D224" s="74">
        <v>792</v>
      </c>
    </row>
    <row r="225" spans="1:4">
      <c r="A225" t="s">
        <v>480</v>
      </c>
      <c r="B225" s="73" t="s">
        <v>510</v>
      </c>
      <c r="C225" s="74" t="s">
        <v>736</v>
      </c>
      <c r="D225" s="74">
        <v>129.99</v>
      </c>
    </row>
    <row r="226" spans="1:4">
      <c r="A226" t="s">
        <v>480</v>
      </c>
      <c r="B226" s="73" t="s">
        <v>510</v>
      </c>
      <c r="C226" s="74" t="s">
        <v>737</v>
      </c>
      <c r="D226" s="74">
        <v>599.99</v>
      </c>
    </row>
    <row r="227" spans="1:4">
      <c r="A227" t="s">
        <v>480</v>
      </c>
      <c r="B227" s="73" t="s">
        <v>738</v>
      </c>
      <c r="C227" s="74" t="s">
        <v>739</v>
      </c>
      <c r="D227" s="74">
        <v>174.99</v>
      </c>
    </row>
    <row r="228" spans="1:4">
      <c r="A228" t="s">
        <v>480</v>
      </c>
      <c r="B228" s="73" t="s">
        <v>510</v>
      </c>
      <c r="C228" s="74" t="s">
        <v>740</v>
      </c>
      <c r="D228" s="74">
        <v>404.95</v>
      </c>
    </row>
    <row r="229" spans="1:4">
      <c r="A229" t="s">
        <v>480</v>
      </c>
      <c r="B229" s="73" t="s">
        <v>579</v>
      </c>
      <c r="C229" s="74" t="s">
        <v>741</v>
      </c>
      <c r="D229" s="74">
        <v>492</v>
      </c>
    </row>
    <row r="230" spans="1:4">
      <c r="A230" t="s">
        <v>480</v>
      </c>
      <c r="B230" s="73" t="s">
        <v>505</v>
      </c>
      <c r="C230" s="74" t="s">
        <v>742</v>
      </c>
      <c r="D230" s="74">
        <v>640</v>
      </c>
    </row>
    <row r="231" spans="1:4">
      <c r="A231" t="s">
        <v>480</v>
      </c>
      <c r="B231" s="73" t="s">
        <v>510</v>
      </c>
      <c r="C231" s="74" t="s">
        <v>743</v>
      </c>
      <c r="D231" s="74">
        <v>459.95</v>
      </c>
    </row>
    <row r="232" spans="1:4">
      <c r="A232" t="s">
        <v>480</v>
      </c>
      <c r="B232" s="73" t="s">
        <v>510</v>
      </c>
      <c r="C232" s="74" t="s">
        <v>744</v>
      </c>
      <c r="D232" s="74">
        <v>349.99</v>
      </c>
    </row>
    <row r="233" spans="1:4">
      <c r="A233" t="s">
        <v>480</v>
      </c>
      <c r="B233" s="73" t="s">
        <v>745</v>
      </c>
      <c r="C233" s="74" t="s">
        <v>746</v>
      </c>
      <c r="D233" s="74">
        <v>9.99</v>
      </c>
    </row>
    <row r="234" spans="1:4">
      <c r="A234" t="s">
        <v>480</v>
      </c>
      <c r="B234" s="73" t="s">
        <v>510</v>
      </c>
      <c r="C234" s="74" t="s">
        <v>747</v>
      </c>
      <c r="D234" s="74">
        <v>139.99</v>
      </c>
    </row>
    <row r="235" spans="1:4">
      <c r="A235" t="s">
        <v>480</v>
      </c>
      <c r="B235" s="73" t="s">
        <v>505</v>
      </c>
      <c r="C235" s="74" t="s">
        <v>748</v>
      </c>
      <c r="D235" s="74">
        <v>679.69</v>
      </c>
    </row>
    <row r="236" spans="1:4">
      <c r="A236" t="s">
        <v>480</v>
      </c>
      <c r="B236" s="73" t="s">
        <v>505</v>
      </c>
      <c r="C236" s="74" t="s">
        <v>749</v>
      </c>
      <c r="D236" s="74">
        <v>74.989999999999995</v>
      </c>
    </row>
    <row r="237" spans="1:4">
      <c r="A237" t="s">
        <v>480</v>
      </c>
      <c r="B237" s="73" t="s">
        <v>510</v>
      </c>
      <c r="C237" s="74" t="s">
        <v>750</v>
      </c>
      <c r="D237" s="74">
        <v>234.95</v>
      </c>
    </row>
    <row r="238" spans="1:4">
      <c r="A238" t="s">
        <v>480</v>
      </c>
      <c r="B238" s="73" t="s">
        <v>510</v>
      </c>
      <c r="C238" s="74" t="s">
        <v>751</v>
      </c>
      <c r="D238" s="74">
        <v>379.99</v>
      </c>
    </row>
    <row r="239" spans="1:4">
      <c r="A239" t="s">
        <v>480</v>
      </c>
      <c r="B239" s="73" t="s">
        <v>561</v>
      </c>
      <c r="C239" s="74" t="s">
        <v>752</v>
      </c>
      <c r="D239" s="74">
        <v>229.99</v>
      </c>
    </row>
    <row r="240" spans="1:4">
      <c r="A240" t="s">
        <v>480</v>
      </c>
      <c r="B240" s="73" t="s">
        <v>505</v>
      </c>
      <c r="C240" s="74" t="s">
        <v>753</v>
      </c>
      <c r="D240" s="74">
        <v>299.95</v>
      </c>
    </row>
    <row r="241" spans="1:4">
      <c r="A241" t="s">
        <v>480</v>
      </c>
      <c r="B241" s="73" t="s">
        <v>505</v>
      </c>
      <c r="C241" s="74" t="s">
        <v>754</v>
      </c>
      <c r="D241" s="74">
        <v>639.99</v>
      </c>
    </row>
    <row r="242" spans="1:4">
      <c r="A242" t="s">
        <v>480</v>
      </c>
      <c r="B242" s="73" t="s">
        <v>510</v>
      </c>
      <c r="C242" s="74" t="s">
        <v>755</v>
      </c>
      <c r="D242" s="74">
        <v>439.99</v>
      </c>
    </row>
    <row r="243" spans="1:4">
      <c r="A243" t="s">
        <v>480</v>
      </c>
      <c r="B243" s="73" t="s">
        <v>523</v>
      </c>
      <c r="C243" s="74" t="s">
        <v>756</v>
      </c>
      <c r="D243" s="74">
        <v>199</v>
      </c>
    </row>
    <row r="244" spans="1:4">
      <c r="A244" t="s">
        <v>480</v>
      </c>
      <c r="B244" s="73" t="s">
        <v>505</v>
      </c>
      <c r="C244" s="74" t="s">
        <v>757</v>
      </c>
      <c r="D244" s="74">
        <v>275</v>
      </c>
    </row>
    <row r="245" spans="1:4">
      <c r="A245" t="s">
        <v>480</v>
      </c>
      <c r="B245" s="73" t="s">
        <v>510</v>
      </c>
      <c r="C245" s="74" t="s">
        <v>758</v>
      </c>
      <c r="D245" s="74">
        <v>56.99</v>
      </c>
    </row>
    <row r="246" spans="1:4">
      <c r="A246" t="s">
        <v>480</v>
      </c>
      <c r="B246" s="73" t="s">
        <v>510</v>
      </c>
      <c r="C246" s="74" t="s">
        <v>759</v>
      </c>
      <c r="D246" s="74">
        <v>109.99</v>
      </c>
    </row>
    <row r="247" spans="1:4">
      <c r="A247" t="s">
        <v>480</v>
      </c>
      <c r="B247" s="73" t="s">
        <v>510</v>
      </c>
      <c r="C247" s="74" t="s">
        <v>760</v>
      </c>
      <c r="D247" s="74">
        <v>499.99</v>
      </c>
    </row>
    <row r="248" spans="1:4">
      <c r="A248" t="s">
        <v>480</v>
      </c>
      <c r="B248" s="73" t="s">
        <v>510</v>
      </c>
      <c r="C248" s="74" t="s">
        <v>761</v>
      </c>
      <c r="D248" s="74">
        <v>369.99</v>
      </c>
    </row>
    <row r="249" spans="1:4">
      <c r="A249" t="s">
        <v>480</v>
      </c>
      <c r="B249" s="73" t="s">
        <v>510</v>
      </c>
      <c r="C249" s="74" t="s">
        <v>762</v>
      </c>
      <c r="D249" s="74">
        <v>1016.99</v>
      </c>
    </row>
    <row r="250" spans="1:4">
      <c r="A250" t="s">
        <v>480</v>
      </c>
      <c r="B250" s="73" t="s">
        <v>505</v>
      </c>
      <c r="C250" s="74" t="s">
        <v>763</v>
      </c>
      <c r="D250" s="74">
        <v>218</v>
      </c>
    </row>
    <row r="251" spans="1:4">
      <c r="A251" t="s">
        <v>480</v>
      </c>
      <c r="B251" s="73" t="s">
        <v>523</v>
      </c>
      <c r="C251" s="74" t="s">
        <v>764</v>
      </c>
      <c r="D251" s="74">
        <v>156.97</v>
      </c>
    </row>
    <row r="252" spans="1:4">
      <c r="A252" t="s">
        <v>480</v>
      </c>
      <c r="B252" s="73" t="s">
        <v>510</v>
      </c>
      <c r="C252" s="74" t="s">
        <v>765</v>
      </c>
      <c r="D252" s="74">
        <v>170.99</v>
      </c>
    </row>
    <row r="253" spans="1:4">
      <c r="A253" t="s">
        <v>480</v>
      </c>
      <c r="B253" s="73" t="s">
        <v>510</v>
      </c>
      <c r="C253" s="74" t="s">
        <v>766</v>
      </c>
      <c r="D253" s="74">
        <v>64.489999999999995</v>
      </c>
    </row>
    <row r="254" spans="1:4">
      <c r="A254" t="s">
        <v>480</v>
      </c>
      <c r="B254" s="73" t="s">
        <v>510</v>
      </c>
      <c r="C254" s="74" t="s">
        <v>767</v>
      </c>
      <c r="D254" s="74">
        <v>259.99</v>
      </c>
    </row>
    <row r="255" spans="1:4">
      <c r="A255" t="s">
        <v>480</v>
      </c>
      <c r="B255" s="73" t="s">
        <v>523</v>
      </c>
      <c r="C255" s="74" t="s">
        <v>768</v>
      </c>
      <c r="D255" s="74">
        <v>324.99</v>
      </c>
    </row>
    <row r="256" spans="1:4">
      <c r="A256" t="s">
        <v>480</v>
      </c>
      <c r="B256" s="73" t="s">
        <v>505</v>
      </c>
      <c r="C256" s="74" t="s">
        <v>769</v>
      </c>
      <c r="D256" s="74">
        <v>119.79</v>
      </c>
    </row>
    <row r="257" spans="1:4">
      <c r="A257" t="s">
        <v>480</v>
      </c>
      <c r="B257" s="73" t="s">
        <v>510</v>
      </c>
      <c r="C257" s="74" t="s">
        <v>770</v>
      </c>
      <c r="D257" s="74">
        <v>219.99</v>
      </c>
    </row>
    <row r="258" spans="1:4">
      <c r="A258" t="s">
        <v>480</v>
      </c>
      <c r="B258" s="73" t="s">
        <v>505</v>
      </c>
      <c r="C258" s="74" t="s">
        <v>771</v>
      </c>
      <c r="D258" s="74">
        <v>219.99</v>
      </c>
    </row>
    <row r="259" spans="1:4">
      <c r="A259" t="s">
        <v>480</v>
      </c>
      <c r="B259" s="73" t="s">
        <v>772</v>
      </c>
      <c r="C259" s="74" t="s">
        <v>773</v>
      </c>
      <c r="D259" s="74">
        <v>9.99</v>
      </c>
    </row>
    <row r="260" spans="1:4">
      <c r="A260" t="s">
        <v>480</v>
      </c>
      <c r="B260" s="73" t="s">
        <v>510</v>
      </c>
      <c r="C260" s="74" t="s">
        <v>774</v>
      </c>
      <c r="D260" s="74">
        <v>509.95</v>
      </c>
    </row>
    <row r="261" spans="1:4">
      <c r="A261" t="s">
        <v>480</v>
      </c>
      <c r="B261" s="73" t="s">
        <v>510</v>
      </c>
      <c r="C261" s="74" t="s">
        <v>775</v>
      </c>
      <c r="D261" s="74">
        <v>94.99</v>
      </c>
    </row>
    <row r="262" spans="1:4">
      <c r="A262" t="s">
        <v>480</v>
      </c>
      <c r="B262" s="73" t="s">
        <v>523</v>
      </c>
      <c r="C262" s="74" t="s">
        <v>776</v>
      </c>
      <c r="D262" s="74">
        <v>124.99</v>
      </c>
    </row>
    <row r="263" spans="1:4">
      <c r="A263" t="s">
        <v>480</v>
      </c>
      <c r="B263" s="73" t="s">
        <v>510</v>
      </c>
      <c r="C263" s="74" t="s">
        <v>777</v>
      </c>
      <c r="D263" s="74">
        <v>229.99</v>
      </c>
    </row>
    <row r="264" spans="1:4">
      <c r="A264" t="s">
        <v>480</v>
      </c>
      <c r="B264" s="73" t="s">
        <v>529</v>
      </c>
      <c r="C264" s="74" t="s">
        <v>778</v>
      </c>
      <c r="D264" s="74">
        <v>250</v>
      </c>
    </row>
    <row r="265" spans="1:4">
      <c r="A265" t="s">
        <v>480</v>
      </c>
      <c r="B265" s="73" t="s">
        <v>505</v>
      </c>
      <c r="C265" s="74" t="s">
        <v>779</v>
      </c>
      <c r="D265" s="74">
        <v>119.95</v>
      </c>
    </row>
    <row r="266" spans="1:4">
      <c r="A266" t="s">
        <v>480</v>
      </c>
      <c r="B266" s="73" t="s">
        <v>510</v>
      </c>
      <c r="C266" s="74" t="s">
        <v>780</v>
      </c>
      <c r="D266" s="74">
        <v>439</v>
      </c>
    </row>
    <row r="267" spans="1:4">
      <c r="A267" t="s">
        <v>480</v>
      </c>
      <c r="B267" s="73" t="s">
        <v>510</v>
      </c>
      <c r="C267" s="74" t="s">
        <v>781</v>
      </c>
      <c r="D267" s="74">
        <v>342.99</v>
      </c>
    </row>
    <row r="268" spans="1:4">
      <c r="A268" t="s">
        <v>480</v>
      </c>
      <c r="B268" s="73" t="s">
        <v>510</v>
      </c>
      <c r="C268" s="74" t="s">
        <v>782</v>
      </c>
      <c r="D268" s="74">
        <v>146.94999999999999</v>
      </c>
    </row>
    <row r="269" spans="1:4">
      <c r="A269" t="s">
        <v>480</v>
      </c>
      <c r="B269" s="73" t="s">
        <v>523</v>
      </c>
      <c r="C269" s="74" t="s">
        <v>783</v>
      </c>
      <c r="D269" s="74">
        <v>214.99</v>
      </c>
    </row>
    <row r="270" spans="1:4">
      <c r="A270" t="s">
        <v>480</v>
      </c>
      <c r="B270" s="73" t="s">
        <v>505</v>
      </c>
      <c r="C270" s="74" t="s">
        <v>784</v>
      </c>
      <c r="D270" s="74">
        <v>165</v>
      </c>
    </row>
    <row r="271" spans="1:4">
      <c r="A271" t="s">
        <v>480</v>
      </c>
      <c r="B271" s="73" t="s">
        <v>510</v>
      </c>
      <c r="C271" s="74" t="s">
        <v>785</v>
      </c>
      <c r="D271" s="74">
        <v>27.99</v>
      </c>
    </row>
    <row r="272" spans="1:4" ht="21">
      <c r="A272" t="s">
        <v>480</v>
      </c>
      <c r="B272" s="73" t="s">
        <v>505</v>
      </c>
      <c r="C272" s="74" t="s">
        <v>508</v>
      </c>
      <c r="D272" s="74">
        <v>75.989999999999995</v>
      </c>
    </row>
    <row r="273" spans="1:4">
      <c r="A273" t="s">
        <v>480</v>
      </c>
      <c r="B273" s="73" t="s">
        <v>529</v>
      </c>
      <c r="C273" s="74" t="s">
        <v>786</v>
      </c>
      <c r="D273" s="74">
        <v>69.790000000000006</v>
      </c>
    </row>
    <row r="274" spans="1:4">
      <c r="A274" t="s">
        <v>480</v>
      </c>
      <c r="B274" s="73" t="s">
        <v>505</v>
      </c>
      <c r="C274" s="74" t="s">
        <v>787</v>
      </c>
      <c r="D274" s="74">
        <v>240</v>
      </c>
    </row>
    <row r="275" spans="1:4">
      <c r="A275" t="s">
        <v>480</v>
      </c>
      <c r="B275" s="73" t="s">
        <v>523</v>
      </c>
      <c r="C275" s="74" t="s">
        <v>788</v>
      </c>
      <c r="D275" s="74">
        <v>309</v>
      </c>
    </row>
    <row r="276" spans="1:4">
      <c r="A276" t="s">
        <v>480</v>
      </c>
      <c r="B276" s="73" t="s">
        <v>510</v>
      </c>
      <c r="C276" s="74" t="s">
        <v>789</v>
      </c>
      <c r="D276" s="74">
        <v>382</v>
      </c>
    </row>
    <row r="277" spans="1:4">
      <c r="A277" t="s">
        <v>480</v>
      </c>
      <c r="B277" s="73" t="s">
        <v>505</v>
      </c>
      <c r="C277" s="74" t="s">
        <v>790</v>
      </c>
      <c r="D277" s="74">
        <v>346</v>
      </c>
    </row>
    <row r="278" spans="1:4">
      <c r="A278" t="s">
        <v>480</v>
      </c>
      <c r="B278" s="73" t="s">
        <v>510</v>
      </c>
      <c r="C278" s="74" t="s">
        <v>791</v>
      </c>
      <c r="D278" s="74">
        <v>398.99</v>
      </c>
    </row>
    <row r="279" spans="1:4">
      <c r="A279" t="s">
        <v>480</v>
      </c>
      <c r="B279" s="73" t="s">
        <v>505</v>
      </c>
      <c r="C279" s="74" t="s">
        <v>792</v>
      </c>
      <c r="D279" s="74">
        <v>109.21</v>
      </c>
    </row>
    <row r="280" spans="1:4">
      <c r="A280" t="s">
        <v>480</v>
      </c>
      <c r="B280" s="73" t="s">
        <v>505</v>
      </c>
      <c r="C280" s="74" t="s">
        <v>793</v>
      </c>
      <c r="D280" s="74">
        <v>273</v>
      </c>
    </row>
    <row r="281" spans="1:4">
      <c r="A281" t="s">
        <v>480</v>
      </c>
      <c r="B281" s="73" t="s">
        <v>523</v>
      </c>
      <c r="C281" s="74" t="s">
        <v>794</v>
      </c>
      <c r="D281" s="74">
        <v>119.99</v>
      </c>
    </row>
    <row r="282" spans="1:4">
      <c r="A282" t="s">
        <v>480</v>
      </c>
      <c r="B282" s="73" t="s">
        <v>505</v>
      </c>
      <c r="C282" s="74" t="s">
        <v>795</v>
      </c>
      <c r="D282" s="74">
        <v>489.99</v>
      </c>
    </row>
    <row r="283" spans="1:4">
      <c r="A283" t="s">
        <v>480</v>
      </c>
      <c r="B283" s="73" t="s">
        <v>569</v>
      </c>
      <c r="C283" s="74" t="s">
        <v>796</v>
      </c>
      <c r="D283" s="74">
        <v>79</v>
      </c>
    </row>
    <row r="284" spans="1:4">
      <c r="A284" t="s">
        <v>480</v>
      </c>
      <c r="B284" s="73" t="s">
        <v>510</v>
      </c>
      <c r="C284" s="74" t="s">
        <v>797</v>
      </c>
      <c r="D284" s="74">
        <v>239.95</v>
      </c>
    </row>
    <row r="285" spans="1:4">
      <c r="A285" t="s">
        <v>480</v>
      </c>
      <c r="B285" s="73" t="s">
        <v>523</v>
      </c>
      <c r="C285" s="74" t="s">
        <v>798</v>
      </c>
      <c r="D285" s="74">
        <v>250</v>
      </c>
    </row>
    <row r="286" spans="1:4">
      <c r="A286" t="s">
        <v>480</v>
      </c>
      <c r="B286" s="73" t="s">
        <v>510</v>
      </c>
      <c r="C286" s="74" t="s">
        <v>799</v>
      </c>
      <c r="D286" s="74">
        <v>829.99</v>
      </c>
    </row>
    <row r="287" spans="1:4">
      <c r="A287" t="s">
        <v>480</v>
      </c>
      <c r="B287" s="73" t="s">
        <v>505</v>
      </c>
      <c r="C287" s="74" t="s">
        <v>800</v>
      </c>
      <c r="D287" s="74">
        <v>209.99</v>
      </c>
    </row>
    <row r="288" spans="1:4">
      <c r="A288" t="s">
        <v>480</v>
      </c>
      <c r="B288" s="73" t="s">
        <v>510</v>
      </c>
      <c r="C288" s="74" t="s">
        <v>801</v>
      </c>
      <c r="D288" s="74">
        <v>189.99</v>
      </c>
    </row>
    <row r="289" spans="1:4">
      <c r="A289" t="s">
        <v>480</v>
      </c>
      <c r="B289" s="73" t="s">
        <v>523</v>
      </c>
      <c r="C289" s="74" t="s">
        <v>802</v>
      </c>
      <c r="D289" s="74">
        <v>189</v>
      </c>
    </row>
    <row r="290" spans="1:4">
      <c r="A290" t="s">
        <v>480</v>
      </c>
      <c r="B290" s="73" t="s">
        <v>505</v>
      </c>
      <c r="C290" s="74" t="s">
        <v>803</v>
      </c>
      <c r="D290" s="74">
        <v>114.49</v>
      </c>
    </row>
    <row r="291" spans="1:4">
      <c r="A291" t="s">
        <v>480</v>
      </c>
      <c r="B291" s="73" t="s">
        <v>505</v>
      </c>
      <c r="C291" s="74" t="s">
        <v>804</v>
      </c>
      <c r="D291" s="74">
        <v>304.99</v>
      </c>
    </row>
    <row r="292" spans="1:4">
      <c r="A292" t="s">
        <v>480</v>
      </c>
      <c r="B292" s="73" t="s">
        <v>510</v>
      </c>
      <c r="C292" s="74" t="s">
        <v>805</v>
      </c>
      <c r="D292" s="74">
        <v>199.95</v>
      </c>
    </row>
    <row r="293" spans="1:4">
      <c r="A293" t="s">
        <v>480</v>
      </c>
      <c r="B293" s="73" t="s">
        <v>510</v>
      </c>
      <c r="C293" s="74" t="s">
        <v>806</v>
      </c>
      <c r="D293" s="74">
        <v>549.49</v>
      </c>
    </row>
    <row r="294" spans="1:4">
      <c r="A294" t="s">
        <v>480</v>
      </c>
      <c r="B294" s="73" t="s">
        <v>510</v>
      </c>
      <c r="C294" s="74" t="s">
        <v>807</v>
      </c>
      <c r="D294" s="74">
        <v>94.99</v>
      </c>
    </row>
    <row r="295" spans="1:4">
      <c r="A295" t="s">
        <v>480</v>
      </c>
      <c r="B295" s="73" t="s">
        <v>579</v>
      </c>
      <c r="C295" s="74" t="s">
        <v>808</v>
      </c>
      <c r="D295" s="74">
        <v>524</v>
      </c>
    </row>
    <row r="296" spans="1:4">
      <c r="A296" t="s">
        <v>480</v>
      </c>
      <c r="B296" s="73" t="s">
        <v>561</v>
      </c>
      <c r="C296" s="74" t="s">
        <v>809</v>
      </c>
      <c r="D296" s="74">
        <v>215.99</v>
      </c>
    </row>
    <row r="297" spans="1:4">
      <c r="A297" t="s">
        <v>480</v>
      </c>
      <c r="B297" s="73" t="s">
        <v>810</v>
      </c>
      <c r="C297" s="74" t="s">
        <v>811</v>
      </c>
      <c r="D297" s="74">
        <v>331.97</v>
      </c>
    </row>
    <row r="298" spans="1:4">
      <c r="A298" t="s">
        <v>480</v>
      </c>
      <c r="B298" s="73" t="s">
        <v>510</v>
      </c>
      <c r="C298" s="74" t="s">
        <v>812</v>
      </c>
      <c r="D298" s="74">
        <v>1084.79</v>
      </c>
    </row>
    <row r="299" spans="1:4">
      <c r="A299" t="s">
        <v>480</v>
      </c>
      <c r="B299" s="73" t="s">
        <v>510</v>
      </c>
      <c r="C299" s="74" t="s">
        <v>774</v>
      </c>
      <c r="D299" s="74">
        <v>617.99</v>
      </c>
    </row>
    <row r="300" spans="1:4">
      <c r="A300" t="s">
        <v>480</v>
      </c>
      <c r="B300" s="73" t="s">
        <v>510</v>
      </c>
      <c r="C300" s="74" t="s">
        <v>813</v>
      </c>
      <c r="D300" s="74">
        <v>65.95</v>
      </c>
    </row>
    <row r="301" spans="1:4">
      <c r="A301" t="s">
        <v>480</v>
      </c>
      <c r="B301" s="73" t="s">
        <v>510</v>
      </c>
      <c r="C301" s="74" t="s">
        <v>814</v>
      </c>
      <c r="D301" s="74">
        <v>239.99</v>
      </c>
    </row>
    <row r="302" spans="1:4">
      <c r="A302" t="s">
        <v>480</v>
      </c>
      <c r="B302" s="73" t="s">
        <v>510</v>
      </c>
      <c r="C302" s="74" t="s">
        <v>815</v>
      </c>
      <c r="D302" s="74">
        <v>179.99</v>
      </c>
    </row>
    <row r="303" spans="1:4">
      <c r="A303" t="s">
        <v>480</v>
      </c>
      <c r="B303" s="73" t="s">
        <v>510</v>
      </c>
      <c r="C303" s="74" t="s">
        <v>816</v>
      </c>
      <c r="D303" s="74">
        <v>194.99</v>
      </c>
    </row>
    <row r="304" spans="1:4">
      <c r="A304" t="s">
        <v>480</v>
      </c>
      <c r="B304" s="73" t="s">
        <v>510</v>
      </c>
      <c r="C304" s="74" t="s">
        <v>817</v>
      </c>
      <c r="D304" s="74">
        <v>650.95000000000005</v>
      </c>
    </row>
    <row r="305" spans="1:4">
      <c r="A305" t="s">
        <v>480</v>
      </c>
      <c r="B305" s="73" t="s">
        <v>510</v>
      </c>
      <c r="C305" s="74" t="s">
        <v>818</v>
      </c>
      <c r="D305" s="74">
        <v>229.99</v>
      </c>
    </row>
    <row r="306" spans="1:4">
      <c r="A306" t="s">
        <v>480</v>
      </c>
      <c r="B306" s="73" t="s">
        <v>510</v>
      </c>
      <c r="C306" s="74" t="s">
        <v>819</v>
      </c>
      <c r="D306" s="74">
        <v>278.99</v>
      </c>
    </row>
    <row r="307" spans="1:4">
      <c r="A307" t="s">
        <v>480</v>
      </c>
      <c r="B307" s="73" t="s">
        <v>683</v>
      </c>
      <c r="C307" s="74" t="s">
        <v>820</v>
      </c>
      <c r="D307" s="74">
        <v>289</v>
      </c>
    </row>
    <row r="308" spans="1:4">
      <c r="A308" t="s">
        <v>480</v>
      </c>
      <c r="B308" s="73" t="s">
        <v>510</v>
      </c>
      <c r="C308" s="74" t="s">
        <v>821</v>
      </c>
      <c r="D308" s="74">
        <v>94.99</v>
      </c>
    </row>
    <row r="309" spans="1:4">
      <c r="A309" t="s">
        <v>480</v>
      </c>
      <c r="B309" s="73" t="s">
        <v>510</v>
      </c>
      <c r="C309" s="74" t="s">
        <v>822</v>
      </c>
      <c r="D309" s="74">
        <v>1034.25</v>
      </c>
    </row>
    <row r="310" spans="1:4">
      <c r="A310" t="s">
        <v>480</v>
      </c>
      <c r="B310" s="73" t="s">
        <v>510</v>
      </c>
      <c r="C310" s="74" t="s">
        <v>823</v>
      </c>
      <c r="D310" s="74">
        <v>359.95</v>
      </c>
    </row>
    <row r="311" spans="1:4">
      <c r="A311" t="s">
        <v>480</v>
      </c>
      <c r="B311" s="73" t="s">
        <v>510</v>
      </c>
      <c r="C311" s="74" t="s">
        <v>824</v>
      </c>
      <c r="D311" s="74">
        <v>399.99</v>
      </c>
    </row>
    <row r="312" spans="1:4" ht="21">
      <c r="A312" t="s">
        <v>480</v>
      </c>
      <c r="B312" s="73" t="s">
        <v>510</v>
      </c>
      <c r="C312" s="75" t="s">
        <v>825</v>
      </c>
      <c r="D312" s="74">
        <v>54.99</v>
      </c>
    </row>
    <row r="313" spans="1:4">
      <c r="A313" t="s">
        <v>480</v>
      </c>
      <c r="B313" s="73" t="s">
        <v>505</v>
      </c>
      <c r="C313" s="74" t="s">
        <v>826</v>
      </c>
      <c r="D313" s="74">
        <v>219.99</v>
      </c>
    </row>
    <row r="314" spans="1:4">
      <c r="A314" t="s">
        <v>480</v>
      </c>
      <c r="B314" s="73" t="s">
        <v>510</v>
      </c>
      <c r="C314" s="74" t="s">
        <v>827</v>
      </c>
      <c r="D314" s="74">
        <v>69.489999999999995</v>
      </c>
    </row>
    <row r="315" spans="1:4">
      <c r="A315" t="s">
        <v>480</v>
      </c>
      <c r="B315" s="73" t="s">
        <v>505</v>
      </c>
      <c r="C315" s="74" t="s">
        <v>828</v>
      </c>
      <c r="D315" s="74">
        <v>121</v>
      </c>
    </row>
    <row r="316" spans="1:4">
      <c r="A316" t="s">
        <v>480</v>
      </c>
      <c r="B316" s="73" t="s">
        <v>505</v>
      </c>
      <c r="C316" s="74" t="s">
        <v>829</v>
      </c>
      <c r="D316" s="74">
        <v>84.99</v>
      </c>
    </row>
    <row r="317" spans="1:4">
      <c r="A317" t="s">
        <v>480</v>
      </c>
      <c r="B317" s="73" t="s">
        <v>505</v>
      </c>
      <c r="C317" s="74" t="s">
        <v>830</v>
      </c>
      <c r="D317" s="74">
        <v>189.99</v>
      </c>
    </row>
    <row r="318" spans="1:4">
      <c r="A318" t="s">
        <v>480</v>
      </c>
      <c r="B318" s="73" t="s">
        <v>510</v>
      </c>
      <c r="C318" s="74" t="s">
        <v>831</v>
      </c>
      <c r="D318" s="74">
        <v>729.99</v>
      </c>
    </row>
    <row r="319" spans="1:4">
      <c r="A319" t="s">
        <v>480</v>
      </c>
      <c r="B319" s="73" t="s">
        <v>510</v>
      </c>
      <c r="C319" s="74" t="s">
        <v>832</v>
      </c>
      <c r="D319" s="74">
        <v>349.99</v>
      </c>
    </row>
    <row r="320" spans="1:4">
      <c r="A320" t="s">
        <v>480</v>
      </c>
      <c r="B320" s="73" t="s">
        <v>833</v>
      </c>
      <c r="C320" s="74" t="s">
        <v>834</v>
      </c>
      <c r="D320" s="74">
        <v>69.69</v>
      </c>
    </row>
    <row r="321" spans="1:4">
      <c r="A321" t="s">
        <v>480</v>
      </c>
      <c r="B321" s="73" t="s">
        <v>510</v>
      </c>
      <c r="C321" s="74" t="s">
        <v>835</v>
      </c>
      <c r="D321" s="74">
        <v>174.99</v>
      </c>
    </row>
    <row r="322" spans="1:4">
      <c r="A322" t="s">
        <v>480</v>
      </c>
      <c r="B322" s="73" t="s">
        <v>505</v>
      </c>
      <c r="C322" s="74" t="s">
        <v>836</v>
      </c>
      <c r="D322" s="74">
        <v>310</v>
      </c>
    </row>
    <row r="323" spans="1:4">
      <c r="A323" t="s">
        <v>480</v>
      </c>
      <c r="B323" s="73" t="s">
        <v>510</v>
      </c>
      <c r="C323" s="74" t="s">
        <v>837</v>
      </c>
      <c r="D323" s="74">
        <v>813</v>
      </c>
    </row>
    <row r="324" spans="1:4">
      <c r="A324" t="s">
        <v>480</v>
      </c>
      <c r="B324" s="73" t="s">
        <v>510</v>
      </c>
      <c r="C324" s="74" t="s">
        <v>838</v>
      </c>
      <c r="D324" s="74">
        <v>799.99</v>
      </c>
    </row>
    <row r="325" spans="1:4">
      <c r="A325" t="s">
        <v>480</v>
      </c>
      <c r="B325" s="73" t="s">
        <v>839</v>
      </c>
      <c r="C325" s="74" t="s">
        <v>840</v>
      </c>
      <c r="D325" s="74">
        <v>356.97</v>
      </c>
    </row>
    <row r="326" spans="1:4">
      <c r="A326" t="s">
        <v>480</v>
      </c>
      <c r="B326" s="73" t="s">
        <v>510</v>
      </c>
      <c r="C326" s="74" t="s">
        <v>841</v>
      </c>
      <c r="D326" s="74">
        <v>179.99</v>
      </c>
    </row>
    <row r="327" spans="1:4">
      <c r="A327" t="s">
        <v>480</v>
      </c>
      <c r="B327" s="73" t="s">
        <v>579</v>
      </c>
      <c r="C327" s="74" t="s">
        <v>842</v>
      </c>
      <c r="D327" s="74">
        <v>576</v>
      </c>
    </row>
    <row r="328" spans="1:4">
      <c r="A328" t="s">
        <v>480</v>
      </c>
      <c r="B328" s="73" t="s">
        <v>510</v>
      </c>
      <c r="C328" s="74" t="s">
        <v>843</v>
      </c>
      <c r="D328" s="74">
        <v>179.99</v>
      </c>
    </row>
    <row r="329" spans="1:4">
      <c r="A329" t="s">
        <v>480</v>
      </c>
      <c r="B329" s="73" t="s">
        <v>510</v>
      </c>
      <c r="C329" s="74" t="s">
        <v>844</v>
      </c>
      <c r="D329" s="74">
        <v>469</v>
      </c>
    </row>
    <row r="330" spans="1:4">
      <c r="A330" t="s">
        <v>480</v>
      </c>
      <c r="B330" s="73" t="s">
        <v>510</v>
      </c>
      <c r="C330" s="74" t="s">
        <v>845</v>
      </c>
      <c r="D330" s="74">
        <v>326.97000000000003</v>
      </c>
    </row>
    <row r="331" spans="1:4">
      <c r="A331" t="s">
        <v>480</v>
      </c>
      <c r="B331" s="73" t="s">
        <v>510</v>
      </c>
      <c r="C331" s="74" t="s">
        <v>846</v>
      </c>
      <c r="D331" s="74">
        <v>399.95</v>
      </c>
    </row>
    <row r="332" spans="1:4">
      <c r="A332" t="s">
        <v>480</v>
      </c>
      <c r="B332" s="73" t="s">
        <v>510</v>
      </c>
      <c r="C332" s="74" t="s">
        <v>847</v>
      </c>
      <c r="D332" s="74">
        <v>569.99</v>
      </c>
    </row>
    <row r="333" spans="1:4">
      <c r="A333" t="s">
        <v>480</v>
      </c>
      <c r="B333" s="73" t="s">
        <v>510</v>
      </c>
      <c r="C333" s="74" t="s">
        <v>848</v>
      </c>
      <c r="D333" s="74">
        <v>369.99</v>
      </c>
    </row>
    <row r="334" spans="1:4">
      <c r="A334" t="s">
        <v>480</v>
      </c>
      <c r="B334" s="73" t="s">
        <v>510</v>
      </c>
      <c r="C334" s="74" t="s">
        <v>849</v>
      </c>
      <c r="D334" s="74">
        <v>179.99</v>
      </c>
    </row>
    <row r="335" spans="1:4">
      <c r="A335" t="s">
        <v>480</v>
      </c>
      <c r="B335" s="73" t="s">
        <v>510</v>
      </c>
      <c r="C335" s="74" t="s">
        <v>850</v>
      </c>
      <c r="D335" s="74">
        <v>349.99</v>
      </c>
    </row>
    <row r="336" spans="1:4">
      <c r="A336" t="s">
        <v>480</v>
      </c>
      <c r="B336" s="73" t="s">
        <v>510</v>
      </c>
      <c r="C336" s="74" t="s">
        <v>851</v>
      </c>
      <c r="D336" s="74">
        <v>479.99</v>
      </c>
    </row>
    <row r="337" spans="1:4">
      <c r="A337" t="s">
        <v>480</v>
      </c>
      <c r="B337" s="73" t="s">
        <v>561</v>
      </c>
      <c r="C337" s="74" t="s">
        <v>852</v>
      </c>
      <c r="D337" s="74">
        <v>286.97000000000003</v>
      </c>
    </row>
    <row r="338" spans="1:4">
      <c r="A338" t="s">
        <v>480</v>
      </c>
      <c r="B338" s="73" t="s">
        <v>523</v>
      </c>
      <c r="C338" s="74" t="s">
        <v>853</v>
      </c>
      <c r="D338" s="74">
        <v>224.99</v>
      </c>
    </row>
    <row r="339" spans="1:4">
      <c r="A339" t="s">
        <v>480</v>
      </c>
      <c r="B339" s="73" t="s">
        <v>505</v>
      </c>
      <c r="C339" s="74" t="s">
        <v>854</v>
      </c>
      <c r="D339" s="74">
        <v>235</v>
      </c>
    </row>
    <row r="340" spans="1:4">
      <c r="A340" t="s">
        <v>480</v>
      </c>
      <c r="B340" s="73" t="s">
        <v>529</v>
      </c>
      <c r="C340" s="74" t="s">
        <v>855</v>
      </c>
      <c r="D340" s="74">
        <v>87.69</v>
      </c>
    </row>
    <row r="341" spans="1:4">
      <c r="A341" t="s">
        <v>480</v>
      </c>
      <c r="B341" s="73" t="s">
        <v>510</v>
      </c>
      <c r="C341" s="74" t="s">
        <v>856</v>
      </c>
      <c r="D341" s="74">
        <v>119.95</v>
      </c>
    </row>
    <row r="342" spans="1:4">
      <c r="A342" t="s">
        <v>480</v>
      </c>
      <c r="B342" s="73" t="s">
        <v>510</v>
      </c>
      <c r="C342" s="74" t="s">
        <v>857</v>
      </c>
      <c r="D342" s="74">
        <v>124.99</v>
      </c>
    </row>
    <row r="343" spans="1:4" ht="21">
      <c r="A343" t="s">
        <v>480</v>
      </c>
      <c r="B343" s="73" t="s">
        <v>510</v>
      </c>
      <c r="C343" s="75" t="s">
        <v>858</v>
      </c>
      <c r="D343" s="74">
        <v>209.99</v>
      </c>
    </row>
    <row r="344" spans="1:4">
      <c r="A344" t="s">
        <v>480</v>
      </c>
      <c r="B344" s="73" t="s">
        <v>510</v>
      </c>
      <c r="C344" s="74" t="s">
        <v>859</v>
      </c>
      <c r="D344" s="74">
        <v>469.98</v>
      </c>
    </row>
    <row r="345" spans="1:4">
      <c r="A345" t="s">
        <v>480</v>
      </c>
      <c r="B345" s="73" t="s">
        <v>505</v>
      </c>
      <c r="C345" s="74" t="s">
        <v>860</v>
      </c>
      <c r="D345" s="74">
        <v>14.99</v>
      </c>
    </row>
    <row r="346" spans="1:4">
      <c r="A346" t="s">
        <v>480</v>
      </c>
      <c r="B346" s="73" t="s">
        <v>505</v>
      </c>
      <c r="C346" s="74" t="s">
        <v>861</v>
      </c>
      <c r="D346" s="74">
        <v>123</v>
      </c>
    </row>
    <row r="347" spans="1:4">
      <c r="A347" t="s">
        <v>480</v>
      </c>
      <c r="B347" s="73" t="s">
        <v>505</v>
      </c>
      <c r="C347" s="74" t="s">
        <v>862</v>
      </c>
      <c r="D347" s="74">
        <v>219</v>
      </c>
    </row>
    <row r="348" spans="1:4">
      <c r="A348" t="s">
        <v>480</v>
      </c>
      <c r="B348" s="73" t="s">
        <v>510</v>
      </c>
      <c r="C348" s="74" t="s">
        <v>863</v>
      </c>
      <c r="D348" s="74">
        <v>169.99</v>
      </c>
    </row>
    <row r="349" spans="1:4">
      <c r="A349" t="s">
        <v>480</v>
      </c>
      <c r="B349" s="73" t="s">
        <v>864</v>
      </c>
      <c r="C349" s="74" t="s">
        <v>865</v>
      </c>
      <c r="D349" s="74">
        <v>284.99</v>
      </c>
    </row>
    <row r="350" spans="1:4">
      <c r="A350" t="s">
        <v>480</v>
      </c>
      <c r="B350" s="73" t="s">
        <v>510</v>
      </c>
      <c r="C350" s="74" t="s">
        <v>866</v>
      </c>
      <c r="D350" s="74">
        <v>44.99</v>
      </c>
    </row>
    <row r="351" spans="1:4">
      <c r="A351" t="s">
        <v>480</v>
      </c>
      <c r="B351" s="73" t="s">
        <v>510</v>
      </c>
      <c r="C351" s="74" t="s">
        <v>867</v>
      </c>
      <c r="D351" s="74">
        <v>79.989999999999995</v>
      </c>
    </row>
    <row r="352" spans="1:4">
      <c r="A352" t="s">
        <v>480</v>
      </c>
      <c r="B352" s="73" t="s">
        <v>505</v>
      </c>
      <c r="C352" s="74" t="s">
        <v>868</v>
      </c>
      <c r="D352" s="74">
        <v>319.99</v>
      </c>
    </row>
    <row r="353" spans="1:4">
      <c r="A353" t="s">
        <v>480</v>
      </c>
      <c r="B353" s="73" t="s">
        <v>510</v>
      </c>
      <c r="C353" s="74" t="s">
        <v>869</v>
      </c>
      <c r="D353" s="74">
        <v>149.99</v>
      </c>
    </row>
    <row r="354" spans="1:4">
      <c r="A354" t="s">
        <v>480</v>
      </c>
      <c r="B354" s="73" t="s">
        <v>510</v>
      </c>
      <c r="C354" s="74" t="s">
        <v>870</v>
      </c>
      <c r="D354" s="74">
        <v>668</v>
      </c>
    </row>
    <row r="355" spans="1:4">
      <c r="A355" t="s">
        <v>480</v>
      </c>
      <c r="B355" s="73" t="s">
        <v>510</v>
      </c>
      <c r="C355" s="74" t="s">
        <v>871</v>
      </c>
      <c r="D355" s="74">
        <v>139.99</v>
      </c>
    </row>
    <row r="356" spans="1:4">
      <c r="A356" t="s">
        <v>480</v>
      </c>
      <c r="B356" s="73" t="s">
        <v>510</v>
      </c>
      <c r="C356" s="74" t="s">
        <v>872</v>
      </c>
      <c r="D356" s="74">
        <v>229.99</v>
      </c>
    </row>
    <row r="357" spans="1:4">
      <c r="A357" t="s">
        <v>480</v>
      </c>
      <c r="B357" s="73" t="s">
        <v>505</v>
      </c>
      <c r="C357" s="74" t="s">
        <v>749</v>
      </c>
      <c r="D357" s="74">
        <v>64.989999999999995</v>
      </c>
    </row>
    <row r="358" spans="1:4">
      <c r="A358" t="s">
        <v>480</v>
      </c>
      <c r="B358" s="73" t="s">
        <v>510</v>
      </c>
      <c r="C358" s="74" t="s">
        <v>873</v>
      </c>
      <c r="D358" s="74">
        <v>344.99</v>
      </c>
    </row>
    <row r="359" spans="1:4">
      <c r="A359" t="s">
        <v>480</v>
      </c>
      <c r="B359" s="73" t="s">
        <v>510</v>
      </c>
      <c r="C359" s="74" t="s">
        <v>874</v>
      </c>
      <c r="D359" s="74">
        <v>289.99</v>
      </c>
    </row>
    <row r="360" spans="1:4">
      <c r="A360" t="s">
        <v>480</v>
      </c>
      <c r="B360" s="73" t="s">
        <v>510</v>
      </c>
      <c r="C360" s="74" t="s">
        <v>875</v>
      </c>
      <c r="D360" s="74">
        <v>314.95</v>
      </c>
    </row>
    <row r="361" spans="1:4">
      <c r="A361" t="s">
        <v>480</v>
      </c>
      <c r="B361" s="73" t="s">
        <v>505</v>
      </c>
      <c r="C361" s="74" t="s">
        <v>876</v>
      </c>
      <c r="D361" s="74">
        <v>299.99</v>
      </c>
    </row>
    <row r="362" spans="1:4">
      <c r="A362" t="s">
        <v>480</v>
      </c>
      <c r="B362" s="73" t="s">
        <v>510</v>
      </c>
      <c r="C362" s="74" t="s">
        <v>877</v>
      </c>
      <c r="D362" s="74">
        <v>319.95</v>
      </c>
    </row>
    <row r="363" spans="1:4">
      <c r="A363" t="s">
        <v>480</v>
      </c>
      <c r="B363" s="73" t="s">
        <v>507</v>
      </c>
      <c r="C363" s="74" t="s">
        <v>878</v>
      </c>
      <c r="D363" s="74">
        <v>75.89</v>
      </c>
    </row>
    <row r="364" spans="1:4">
      <c r="A364" t="s">
        <v>480</v>
      </c>
      <c r="B364" s="73" t="s">
        <v>738</v>
      </c>
      <c r="C364" s="74" t="s">
        <v>879</v>
      </c>
      <c r="D364" s="74">
        <v>538</v>
      </c>
    </row>
    <row r="365" spans="1:4">
      <c r="A365" t="s">
        <v>480</v>
      </c>
      <c r="B365" s="73" t="s">
        <v>510</v>
      </c>
      <c r="C365" s="74" t="s">
        <v>880</v>
      </c>
      <c r="D365" s="74">
        <v>559.99</v>
      </c>
    </row>
    <row r="366" spans="1:4">
      <c r="A366" t="s">
        <v>480</v>
      </c>
      <c r="B366" s="73" t="s">
        <v>561</v>
      </c>
      <c r="C366" s="74" t="s">
        <v>881</v>
      </c>
      <c r="D366" s="74">
        <v>234.48</v>
      </c>
    </row>
    <row r="367" spans="1:4">
      <c r="A367" t="s">
        <v>480</v>
      </c>
      <c r="B367" s="73" t="s">
        <v>505</v>
      </c>
      <c r="C367" s="74" t="s">
        <v>882</v>
      </c>
      <c r="D367" s="74">
        <v>319.99</v>
      </c>
    </row>
    <row r="368" spans="1:4">
      <c r="A368" t="s">
        <v>480</v>
      </c>
      <c r="B368" s="73" t="s">
        <v>510</v>
      </c>
      <c r="C368" s="74" t="s">
        <v>883</v>
      </c>
      <c r="D368" s="74">
        <v>209.99</v>
      </c>
    </row>
    <row r="369" spans="1:4">
      <c r="A369" t="s">
        <v>480</v>
      </c>
      <c r="B369" s="73" t="s">
        <v>510</v>
      </c>
      <c r="C369" s="74" t="s">
        <v>884</v>
      </c>
      <c r="D369" s="74">
        <v>118.95</v>
      </c>
    </row>
    <row r="370" spans="1:4">
      <c r="A370" t="s">
        <v>480</v>
      </c>
      <c r="B370" s="73" t="s">
        <v>510</v>
      </c>
      <c r="C370" s="74" t="s">
        <v>885</v>
      </c>
      <c r="D370" s="74">
        <v>749.99</v>
      </c>
    </row>
    <row r="371" spans="1:4">
      <c r="A371" t="s">
        <v>480</v>
      </c>
      <c r="B371" s="73" t="s">
        <v>579</v>
      </c>
      <c r="C371" s="74" t="s">
        <v>886</v>
      </c>
      <c r="D371" s="74">
        <v>319.99</v>
      </c>
    </row>
    <row r="372" spans="1:4">
      <c r="A372" t="s">
        <v>480</v>
      </c>
      <c r="B372" s="73" t="s">
        <v>523</v>
      </c>
      <c r="C372" s="74" t="s">
        <v>887</v>
      </c>
      <c r="D372" s="74">
        <v>79.989999999999995</v>
      </c>
    </row>
    <row r="373" spans="1:4">
      <c r="A373" t="s">
        <v>480</v>
      </c>
      <c r="B373" s="73" t="s">
        <v>510</v>
      </c>
      <c r="C373" s="74" t="s">
        <v>888</v>
      </c>
      <c r="D373" s="74">
        <v>937</v>
      </c>
    </row>
    <row r="374" spans="1:4">
      <c r="A374" t="s">
        <v>480</v>
      </c>
      <c r="B374" s="73" t="s">
        <v>510</v>
      </c>
      <c r="C374" s="74" t="s">
        <v>889</v>
      </c>
      <c r="D374" s="74">
        <v>149.99</v>
      </c>
    </row>
    <row r="375" spans="1:4">
      <c r="A375" t="s">
        <v>480</v>
      </c>
      <c r="B375" s="73" t="s">
        <v>510</v>
      </c>
      <c r="C375" s="74" t="s">
        <v>890</v>
      </c>
      <c r="D375" s="74">
        <v>499.99</v>
      </c>
    </row>
    <row r="376" spans="1:4">
      <c r="A376" t="s">
        <v>480</v>
      </c>
      <c r="B376" s="73" t="s">
        <v>523</v>
      </c>
      <c r="C376" s="74" t="s">
        <v>891</v>
      </c>
      <c r="D376" s="74">
        <v>119</v>
      </c>
    </row>
    <row r="377" spans="1:4">
      <c r="A377" t="s">
        <v>480</v>
      </c>
      <c r="B377" s="73" t="s">
        <v>523</v>
      </c>
      <c r="C377" s="74" t="s">
        <v>892</v>
      </c>
      <c r="D377" s="74">
        <v>241.98</v>
      </c>
    </row>
    <row r="378" spans="1:4">
      <c r="A378" t="s">
        <v>480</v>
      </c>
      <c r="B378" s="73" t="s">
        <v>839</v>
      </c>
      <c r="C378" s="74" t="s">
        <v>893</v>
      </c>
      <c r="D378" s="74">
        <v>159.99</v>
      </c>
    </row>
    <row r="379" spans="1:4">
      <c r="A379" t="s">
        <v>480</v>
      </c>
      <c r="B379" s="73" t="s">
        <v>505</v>
      </c>
      <c r="C379" s="74" t="s">
        <v>894</v>
      </c>
      <c r="D379" s="74">
        <v>439.99</v>
      </c>
    </row>
    <row r="380" spans="1:4">
      <c r="A380" t="s">
        <v>480</v>
      </c>
      <c r="B380" s="73" t="s">
        <v>510</v>
      </c>
      <c r="C380" s="74" t="s">
        <v>895</v>
      </c>
      <c r="D380" s="74">
        <v>437</v>
      </c>
    </row>
    <row r="381" spans="1:4">
      <c r="A381" t="s">
        <v>480</v>
      </c>
      <c r="B381" s="73" t="s">
        <v>505</v>
      </c>
      <c r="C381" s="74" t="s">
        <v>896</v>
      </c>
      <c r="D381" s="74">
        <v>68.89</v>
      </c>
    </row>
    <row r="382" spans="1:4">
      <c r="A382" t="s">
        <v>480</v>
      </c>
      <c r="B382" s="73" t="s">
        <v>510</v>
      </c>
      <c r="C382" s="74" t="s">
        <v>897</v>
      </c>
      <c r="D382" s="74">
        <v>529.95000000000005</v>
      </c>
    </row>
    <row r="383" spans="1:4">
      <c r="A383" t="s">
        <v>480</v>
      </c>
      <c r="B383" s="73" t="s">
        <v>505</v>
      </c>
      <c r="C383" s="74" t="s">
        <v>898</v>
      </c>
      <c r="D383" s="74">
        <v>182</v>
      </c>
    </row>
    <row r="384" spans="1:4">
      <c r="A384" t="s">
        <v>480</v>
      </c>
      <c r="B384" s="73" t="s">
        <v>505</v>
      </c>
      <c r="C384" s="74" t="s">
        <v>899</v>
      </c>
      <c r="D384" s="74">
        <v>189.99</v>
      </c>
    </row>
    <row r="385" spans="1:4">
      <c r="A385" t="s">
        <v>480</v>
      </c>
      <c r="B385" s="73" t="s">
        <v>510</v>
      </c>
      <c r="C385" s="74" t="s">
        <v>669</v>
      </c>
      <c r="D385" s="74">
        <v>650.99</v>
      </c>
    </row>
    <row r="386" spans="1:4">
      <c r="A386" t="s">
        <v>480</v>
      </c>
      <c r="B386" s="73" t="s">
        <v>510</v>
      </c>
      <c r="C386" s="74" t="s">
        <v>900</v>
      </c>
      <c r="D386" s="74">
        <v>169.47</v>
      </c>
    </row>
    <row r="387" spans="1:4">
      <c r="A387" t="s">
        <v>480</v>
      </c>
      <c r="B387" s="73" t="s">
        <v>505</v>
      </c>
      <c r="C387" s="74" t="s">
        <v>901</v>
      </c>
      <c r="D387" s="74">
        <v>194.99</v>
      </c>
    </row>
    <row r="388" spans="1:4">
      <c r="A388" t="s">
        <v>480</v>
      </c>
      <c r="B388" s="73" t="s">
        <v>505</v>
      </c>
      <c r="C388" s="74" t="s">
        <v>902</v>
      </c>
      <c r="D388" s="74">
        <v>44.99</v>
      </c>
    </row>
    <row r="389" spans="1:4">
      <c r="A389" t="s">
        <v>480</v>
      </c>
      <c r="B389" s="73" t="s">
        <v>546</v>
      </c>
      <c r="C389" s="74" t="s">
        <v>903</v>
      </c>
      <c r="D389" s="74">
        <v>19.95</v>
      </c>
    </row>
    <row r="390" spans="1:4">
      <c r="A390" t="s">
        <v>480</v>
      </c>
      <c r="B390" s="73" t="s">
        <v>546</v>
      </c>
      <c r="C390" s="74" t="s">
        <v>904</v>
      </c>
      <c r="D390" s="74">
        <v>26.99</v>
      </c>
    </row>
    <row r="391" spans="1:4">
      <c r="A391" t="s">
        <v>480</v>
      </c>
      <c r="B391" s="73" t="s">
        <v>505</v>
      </c>
      <c r="C391" s="74" t="s">
        <v>905</v>
      </c>
      <c r="D391" s="74">
        <v>229.99</v>
      </c>
    </row>
    <row r="392" spans="1:4">
      <c r="A392" t="s">
        <v>480</v>
      </c>
      <c r="B392" s="73" t="s">
        <v>505</v>
      </c>
      <c r="C392" s="74" t="s">
        <v>906</v>
      </c>
      <c r="D392" s="74">
        <v>38.99</v>
      </c>
    </row>
    <row r="393" spans="1:4">
      <c r="A393" t="s">
        <v>480</v>
      </c>
      <c r="B393" s="73" t="s">
        <v>618</v>
      </c>
      <c r="C393" s="74" t="s">
        <v>907</v>
      </c>
      <c r="D393" s="74">
        <v>87.39</v>
      </c>
    </row>
    <row r="394" spans="1:4">
      <c r="A394" t="s">
        <v>480</v>
      </c>
      <c r="B394" s="73" t="s">
        <v>523</v>
      </c>
      <c r="C394" s="74" t="s">
        <v>908</v>
      </c>
      <c r="D394" s="74">
        <v>490</v>
      </c>
    </row>
    <row r="395" spans="1:4" ht="21">
      <c r="A395" t="s">
        <v>480</v>
      </c>
      <c r="B395" s="73" t="s">
        <v>505</v>
      </c>
      <c r="C395" s="75" t="s">
        <v>909</v>
      </c>
      <c r="D395" s="74">
        <v>84.99</v>
      </c>
    </row>
    <row r="396" spans="1:4">
      <c r="A396" t="s">
        <v>480</v>
      </c>
      <c r="B396" s="73" t="s">
        <v>510</v>
      </c>
      <c r="C396" s="74" t="s">
        <v>910</v>
      </c>
      <c r="D396" s="74">
        <v>199.99</v>
      </c>
    </row>
    <row r="397" spans="1:4">
      <c r="A397" t="s">
        <v>480</v>
      </c>
      <c r="B397" s="73" t="s">
        <v>529</v>
      </c>
      <c r="C397" s="74" t="s">
        <v>911</v>
      </c>
      <c r="D397" s="74">
        <v>49.5</v>
      </c>
    </row>
    <row r="398" spans="1:4">
      <c r="A398" t="s">
        <v>480</v>
      </c>
      <c r="B398" s="73" t="s">
        <v>510</v>
      </c>
      <c r="C398" s="74" t="s">
        <v>912</v>
      </c>
      <c r="D398" s="74">
        <v>129.99</v>
      </c>
    </row>
    <row r="399" spans="1:4">
      <c r="A399" t="s">
        <v>480</v>
      </c>
      <c r="B399" s="73" t="s">
        <v>510</v>
      </c>
      <c r="C399" s="74" t="s">
        <v>913</v>
      </c>
      <c r="D399" s="74">
        <v>169.99</v>
      </c>
    </row>
    <row r="400" spans="1:4">
      <c r="A400" t="s">
        <v>480</v>
      </c>
      <c r="B400" s="73" t="s">
        <v>510</v>
      </c>
      <c r="C400" s="74" t="s">
        <v>914</v>
      </c>
      <c r="D400" s="74">
        <v>723</v>
      </c>
    </row>
    <row r="401" spans="1:4">
      <c r="A401" t="s">
        <v>480</v>
      </c>
      <c r="B401" s="73" t="s">
        <v>810</v>
      </c>
      <c r="C401" s="74" t="s">
        <v>915</v>
      </c>
      <c r="D401" s="74">
        <v>221.12</v>
      </c>
    </row>
    <row r="402" spans="1:4">
      <c r="A402" t="s">
        <v>480</v>
      </c>
      <c r="B402" s="73" t="s">
        <v>510</v>
      </c>
      <c r="C402" s="74" t="s">
        <v>916</v>
      </c>
      <c r="D402" s="74">
        <v>664.69</v>
      </c>
    </row>
    <row r="403" spans="1:4">
      <c r="A403" t="s">
        <v>480</v>
      </c>
      <c r="B403" s="73" t="s">
        <v>510</v>
      </c>
      <c r="C403" s="74" t="s">
        <v>917</v>
      </c>
      <c r="D403" s="74">
        <v>285.95</v>
      </c>
    </row>
    <row r="404" spans="1:4">
      <c r="A404" t="s">
        <v>480</v>
      </c>
      <c r="B404" s="73" t="s">
        <v>510</v>
      </c>
      <c r="C404" s="74" t="s">
        <v>918</v>
      </c>
      <c r="D404" s="74">
        <v>209.99</v>
      </c>
    </row>
    <row r="405" spans="1:4">
      <c r="A405" t="s">
        <v>480</v>
      </c>
      <c r="B405" s="73" t="s">
        <v>510</v>
      </c>
      <c r="C405" s="74" t="s">
        <v>919</v>
      </c>
      <c r="D405" s="74">
        <v>149.99</v>
      </c>
    </row>
    <row r="406" spans="1:4">
      <c r="A406" t="s">
        <v>480</v>
      </c>
      <c r="B406" s="73" t="s">
        <v>810</v>
      </c>
      <c r="C406" s="74" t="s">
        <v>920</v>
      </c>
      <c r="D406" s="74">
        <v>214.99</v>
      </c>
    </row>
    <row r="407" spans="1:4">
      <c r="A407" t="s">
        <v>480</v>
      </c>
      <c r="B407" s="73" t="s">
        <v>523</v>
      </c>
      <c r="C407" s="74" t="s">
        <v>921</v>
      </c>
      <c r="D407" s="74">
        <v>189.99</v>
      </c>
    </row>
    <row r="408" spans="1:4">
      <c r="A408" t="s">
        <v>480</v>
      </c>
      <c r="B408" s="73" t="s">
        <v>505</v>
      </c>
      <c r="C408" s="74" t="s">
        <v>922</v>
      </c>
      <c r="D408" s="74">
        <v>275</v>
      </c>
    </row>
    <row r="409" spans="1:4">
      <c r="A409" t="s">
        <v>480</v>
      </c>
      <c r="B409" s="73" t="s">
        <v>618</v>
      </c>
      <c r="C409" s="74" t="s">
        <v>923</v>
      </c>
      <c r="D409" s="74">
        <v>59.99</v>
      </c>
    </row>
    <row r="410" spans="1:4">
      <c r="A410" t="s">
        <v>480</v>
      </c>
      <c r="B410" s="73" t="s">
        <v>505</v>
      </c>
      <c r="C410" s="74" t="s">
        <v>924</v>
      </c>
      <c r="D410" s="74">
        <v>394.99</v>
      </c>
    </row>
    <row r="411" spans="1:4">
      <c r="A411" t="s">
        <v>480</v>
      </c>
      <c r="B411" s="73" t="s">
        <v>510</v>
      </c>
      <c r="C411" s="74" t="s">
        <v>925</v>
      </c>
      <c r="D411" s="74">
        <v>759.99</v>
      </c>
    </row>
    <row r="412" spans="1:4">
      <c r="A412" t="s">
        <v>480</v>
      </c>
      <c r="B412" s="73" t="s">
        <v>510</v>
      </c>
      <c r="C412" s="74" t="s">
        <v>926</v>
      </c>
      <c r="D412" s="74">
        <v>739.99</v>
      </c>
    </row>
    <row r="413" spans="1:4" ht="21">
      <c r="A413" t="s">
        <v>480</v>
      </c>
      <c r="B413" s="73" t="s">
        <v>505</v>
      </c>
      <c r="C413" s="74" t="s">
        <v>927</v>
      </c>
      <c r="D413" s="74">
        <v>59.89</v>
      </c>
    </row>
    <row r="414" spans="1:4">
      <c r="A414" t="s">
        <v>480</v>
      </c>
      <c r="B414" s="73" t="s">
        <v>510</v>
      </c>
      <c r="C414" s="74" t="s">
        <v>928</v>
      </c>
      <c r="D414" s="74">
        <v>418.95</v>
      </c>
    </row>
    <row r="415" spans="1:4">
      <c r="A415" t="s">
        <v>480</v>
      </c>
      <c r="B415" s="73" t="s">
        <v>510</v>
      </c>
      <c r="C415" s="74" t="s">
        <v>929</v>
      </c>
      <c r="D415" s="74">
        <v>455.99</v>
      </c>
    </row>
    <row r="416" spans="1:4">
      <c r="A416" t="s">
        <v>480</v>
      </c>
      <c r="B416" s="73" t="s">
        <v>505</v>
      </c>
      <c r="C416" s="74" t="s">
        <v>930</v>
      </c>
      <c r="D416" s="74">
        <v>114.69</v>
      </c>
    </row>
    <row r="417" spans="1:4">
      <c r="A417" t="s">
        <v>480</v>
      </c>
      <c r="B417" s="73" t="s">
        <v>510</v>
      </c>
      <c r="C417" s="74" t="s">
        <v>931</v>
      </c>
      <c r="D417" s="74">
        <v>499</v>
      </c>
    </row>
    <row r="418" spans="1:4">
      <c r="A418" t="s">
        <v>480</v>
      </c>
      <c r="B418" s="73" t="s">
        <v>523</v>
      </c>
      <c r="C418" s="74" t="s">
        <v>932</v>
      </c>
      <c r="D418" s="74">
        <v>189.99</v>
      </c>
    </row>
    <row r="419" spans="1:4">
      <c r="A419" t="s">
        <v>480</v>
      </c>
      <c r="B419" s="73" t="s">
        <v>510</v>
      </c>
      <c r="C419" s="74" t="s">
        <v>933</v>
      </c>
      <c r="D419" s="74">
        <v>214.99</v>
      </c>
    </row>
    <row r="420" spans="1:4">
      <c r="A420" t="s">
        <v>480</v>
      </c>
      <c r="B420" s="73" t="s">
        <v>510</v>
      </c>
      <c r="C420" s="74" t="s">
        <v>934</v>
      </c>
      <c r="D420" s="74">
        <v>429.99</v>
      </c>
    </row>
    <row r="421" spans="1:4">
      <c r="A421" t="s">
        <v>480</v>
      </c>
      <c r="B421" s="73" t="s">
        <v>510</v>
      </c>
      <c r="C421" s="74" t="s">
        <v>935</v>
      </c>
      <c r="D421" s="74">
        <v>349.99</v>
      </c>
    </row>
    <row r="422" spans="1:4">
      <c r="A422" t="s">
        <v>480</v>
      </c>
      <c r="B422" s="73" t="s">
        <v>505</v>
      </c>
      <c r="C422" s="74" t="s">
        <v>936</v>
      </c>
      <c r="D422" s="74">
        <v>709</v>
      </c>
    </row>
    <row r="423" spans="1:4">
      <c r="A423" t="s">
        <v>480</v>
      </c>
      <c r="B423" s="73" t="s">
        <v>510</v>
      </c>
      <c r="C423" s="74" t="s">
        <v>937</v>
      </c>
      <c r="D423" s="74">
        <v>314.99</v>
      </c>
    </row>
    <row r="424" spans="1:4">
      <c r="A424" t="s">
        <v>480</v>
      </c>
      <c r="B424" s="73" t="s">
        <v>505</v>
      </c>
      <c r="C424" s="74" t="s">
        <v>938</v>
      </c>
      <c r="D424" s="74">
        <v>280</v>
      </c>
    </row>
    <row r="425" spans="1:4">
      <c r="A425" t="s">
        <v>480</v>
      </c>
      <c r="B425" s="73" t="s">
        <v>510</v>
      </c>
      <c r="C425" s="74" t="s">
        <v>939</v>
      </c>
      <c r="D425" s="74">
        <v>249.99</v>
      </c>
    </row>
    <row r="426" spans="1:4">
      <c r="A426" t="s">
        <v>480</v>
      </c>
      <c r="B426" s="73" t="s">
        <v>510</v>
      </c>
      <c r="C426" s="74" t="s">
        <v>528</v>
      </c>
      <c r="D426" s="74">
        <v>779.95</v>
      </c>
    </row>
    <row r="427" spans="1:4">
      <c r="A427" t="s">
        <v>480</v>
      </c>
      <c r="B427" s="73" t="s">
        <v>505</v>
      </c>
      <c r="C427" s="74" t="s">
        <v>940</v>
      </c>
      <c r="D427" s="74">
        <v>54.99</v>
      </c>
    </row>
    <row r="428" spans="1:4">
      <c r="A428" t="s">
        <v>480</v>
      </c>
      <c r="B428" s="73" t="s">
        <v>510</v>
      </c>
      <c r="C428" s="74" t="s">
        <v>941</v>
      </c>
      <c r="D428" s="74">
        <v>519</v>
      </c>
    </row>
    <row r="429" spans="1:4">
      <c r="A429" t="s">
        <v>480</v>
      </c>
      <c r="B429" s="73" t="s">
        <v>561</v>
      </c>
      <c r="C429" s="74" t="s">
        <v>942</v>
      </c>
      <c r="D429" s="74">
        <v>289.99</v>
      </c>
    </row>
    <row r="430" spans="1:4">
      <c r="A430" t="s">
        <v>480</v>
      </c>
      <c r="B430" s="73" t="s">
        <v>510</v>
      </c>
      <c r="C430" s="74" t="s">
        <v>943</v>
      </c>
      <c r="D430" s="74">
        <v>185</v>
      </c>
    </row>
    <row r="431" spans="1:4">
      <c r="A431" t="s">
        <v>480</v>
      </c>
      <c r="B431" s="73" t="s">
        <v>505</v>
      </c>
      <c r="C431" s="74" t="s">
        <v>944</v>
      </c>
      <c r="D431" s="74">
        <v>659.99</v>
      </c>
    </row>
    <row r="432" spans="1:4">
      <c r="A432" t="s">
        <v>480</v>
      </c>
      <c r="B432" s="73" t="s">
        <v>510</v>
      </c>
      <c r="C432" s="74" t="s">
        <v>945</v>
      </c>
      <c r="D432" s="74">
        <v>49.99</v>
      </c>
    </row>
    <row r="433" spans="1:4">
      <c r="A433" t="s">
        <v>480</v>
      </c>
      <c r="B433" s="73" t="s">
        <v>510</v>
      </c>
      <c r="C433" s="74" t="s">
        <v>946</v>
      </c>
      <c r="D433" s="74">
        <v>344</v>
      </c>
    </row>
    <row r="434" spans="1:4" ht="21">
      <c r="A434" t="s">
        <v>480</v>
      </c>
      <c r="B434" s="73" t="s">
        <v>505</v>
      </c>
      <c r="C434" s="74" t="s">
        <v>947</v>
      </c>
      <c r="D434" s="74">
        <v>59.89</v>
      </c>
    </row>
    <row r="435" spans="1:4">
      <c r="A435" t="s">
        <v>480</v>
      </c>
      <c r="B435" s="73" t="s">
        <v>529</v>
      </c>
      <c r="C435" s="74" t="s">
        <v>948</v>
      </c>
      <c r="D435" s="74">
        <v>39.99</v>
      </c>
    </row>
    <row r="436" spans="1:4">
      <c r="A436" t="s">
        <v>480</v>
      </c>
      <c r="B436" s="73" t="s">
        <v>510</v>
      </c>
      <c r="C436" s="74" t="s">
        <v>949</v>
      </c>
      <c r="D436" s="74">
        <v>299.99</v>
      </c>
    </row>
    <row r="437" spans="1:4">
      <c r="A437" t="s">
        <v>480</v>
      </c>
      <c r="B437" s="73" t="s">
        <v>505</v>
      </c>
      <c r="C437" s="74" t="s">
        <v>950</v>
      </c>
      <c r="D437" s="74">
        <v>85</v>
      </c>
    </row>
    <row r="438" spans="1:4">
      <c r="A438" t="s">
        <v>480</v>
      </c>
      <c r="B438" s="73" t="s">
        <v>505</v>
      </c>
      <c r="C438" s="74" t="s">
        <v>951</v>
      </c>
      <c r="D438" s="74">
        <v>129</v>
      </c>
    </row>
    <row r="439" spans="1:4">
      <c r="A439" t="s">
        <v>480</v>
      </c>
      <c r="B439" s="73" t="s">
        <v>510</v>
      </c>
      <c r="C439" s="74" t="s">
        <v>952</v>
      </c>
      <c r="D439" s="74">
        <v>279.99</v>
      </c>
    </row>
    <row r="440" spans="1:4">
      <c r="A440" t="s">
        <v>480</v>
      </c>
      <c r="B440" s="73" t="s">
        <v>505</v>
      </c>
      <c r="C440" s="74" t="s">
        <v>953</v>
      </c>
      <c r="D440" s="74">
        <v>79.989999999999995</v>
      </c>
    </row>
    <row r="441" spans="1:4">
      <c r="A441" t="s">
        <v>480</v>
      </c>
      <c r="B441" s="73" t="s">
        <v>561</v>
      </c>
      <c r="C441" s="74" t="s">
        <v>954</v>
      </c>
      <c r="D441" s="74">
        <v>239.99</v>
      </c>
    </row>
    <row r="442" spans="1:4" ht="21">
      <c r="A442" t="s">
        <v>480</v>
      </c>
      <c r="B442" s="73" t="s">
        <v>507</v>
      </c>
      <c r="C442" s="74" t="s">
        <v>508</v>
      </c>
      <c r="D442" s="74">
        <v>79.89</v>
      </c>
    </row>
    <row r="443" spans="1:4">
      <c r="A443" t="s">
        <v>480</v>
      </c>
      <c r="B443" s="73" t="s">
        <v>510</v>
      </c>
      <c r="C443" s="74" t="s">
        <v>955</v>
      </c>
      <c r="D443" s="74">
        <v>569.99</v>
      </c>
    </row>
    <row r="444" spans="1:4">
      <c r="A444" t="s">
        <v>480</v>
      </c>
      <c r="B444" s="73" t="s">
        <v>510</v>
      </c>
      <c r="C444" s="74" t="s">
        <v>956</v>
      </c>
      <c r="D444" s="74">
        <v>169.99</v>
      </c>
    </row>
    <row r="445" spans="1:4">
      <c r="A445" t="s">
        <v>480</v>
      </c>
      <c r="B445" s="73" t="s">
        <v>579</v>
      </c>
      <c r="C445" s="74" t="s">
        <v>957</v>
      </c>
      <c r="D445" s="74">
        <v>456</v>
      </c>
    </row>
    <row r="446" spans="1:4">
      <c r="A446" t="s">
        <v>480</v>
      </c>
      <c r="B446" s="73" t="s">
        <v>510</v>
      </c>
      <c r="C446" s="74" t="s">
        <v>958</v>
      </c>
      <c r="D446" s="74">
        <v>218.99</v>
      </c>
    </row>
    <row r="447" spans="1:4">
      <c r="A447" t="s">
        <v>480</v>
      </c>
      <c r="B447" s="73" t="s">
        <v>510</v>
      </c>
      <c r="C447" s="74" t="s">
        <v>959</v>
      </c>
      <c r="D447" s="74">
        <v>755</v>
      </c>
    </row>
    <row r="448" spans="1:4">
      <c r="A448" t="s">
        <v>480</v>
      </c>
      <c r="B448" s="73" t="s">
        <v>505</v>
      </c>
      <c r="C448" s="74" t="s">
        <v>960</v>
      </c>
      <c r="D448" s="74">
        <v>310</v>
      </c>
    </row>
    <row r="449" spans="1:4">
      <c r="A449" t="s">
        <v>480</v>
      </c>
      <c r="B449" s="73" t="s">
        <v>510</v>
      </c>
      <c r="C449" s="74" t="s">
        <v>961</v>
      </c>
      <c r="D449" s="74">
        <v>755</v>
      </c>
    </row>
    <row r="450" spans="1:4" ht="21">
      <c r="A450" t="s">
        <v>480</v>
      </c>
      <c r="B450" s="73" t="s">
        <v>546</v>
      </c>
      <c r="C450" s="74" t="s">
        <v>962</v>
      </c>
      <c r="D450" s="74">
        <v>22</v>
      </c>
    </row>
    <row r="451" spans="1:4">
      <c r="A451" t="s">
        <v>480</v>
      </c>
      <c r="B451" s="73" t="s">
        <v>510</v>
      </c>
      <c r="C451" s="74" t="s">
        <v>963</v>
      </c>
      <c r="D451" s="74">
        <v>299.95</v>
      </c>
    </row>
    <row r="452" spans="1:4">
      <c r="A452" t="s">
        <v>480</v>
      </c>
      <c r="B452" s="73" t="s">
        <v>510</v>
      </c>
      <c r="C452" s="74" t="s">
        <v>964</v>
      </c>
      <c r="D452" s="74">
        <v>329.95</v>
      </c>
    </row>
    <row r="453" spans="1:4">
      <c r="A453" t="s">
        <v>480</v>
      </c>
      <c r="B453" s="73" t="s">
        <v>745</v>
      </c>
      <c r="C453" s="74" t="s">
        <v>965</v>
      </c>
      <c r="D453" s="74">
        <v>29.99</v>
      </c>
    </row>
    <row r="454" spans="1:4">
      <c r="A454" t="s">
        <v>480</v>
      </c>
      <c r="B454" s="73" t="s">
        <v>505</v>
      </c>
      <c r="C454" s="74" t="s">
        <v>966</v>
      </c>
      <c r="D454" s="74">
        <v>52</v>
      </c>
    </row>
    <row r="455" spans="1:4">
      <c r="A455" t="s">
        <v>480</v>
      </c>
      <c r="B455" s="73" t="s">
        <v>546</v>
      </c>
      <c r="C455" s="74" t="s">
        <v>967</v>
      </c>
      <c r="D455" s="74">
        <v>12.99</v>
      </c>
    </row>
    <row r="456" spans="1:4">
      <c r="A456" t="s">
        <v>480</v>
      </c>
      <c r="B456" s="73" t="s">
        <v>510</v>
      </c>
      <c r="C456" s="74" t="s">
        <v>968</v>
      </c>
      <c r="D456" s="74">
        <v>569.95000000000005</v>
      </c>
    </row>
    <row r="457" spans="1:4">
      <c r="A457" t="s">
        <v>480</v>
      </c>
      <c r="B457" s="73" t="s">
        <v>510</v>
      </c>
      <c r="C457" s="74" t="s">
        <v>969</v>
      </c>
      <c r="D457" s="74">
        <v>374</v>
      </c>
    </row>
    <row r="458" spans="1:4">
      <c r="A458" t="s">
        <v>480</v>
      </c>
      <c r="B458" s="73" t="s">
        <v>510</v>
      </c>
      <c r="C458" s="74" t="s">
        <v>970</v>
      </c>
      <c r="D458" s="74">
        <v>319</v>
      </c>
    </row>
    <row r="459" spans="1:4">
      <c r="A459" t="s">
        <v>480</v>
      </c>
      <c r="B459" s="73" t="s">
        <v>561</v>
      </c>
      <c r="C459" s="74" t="s">
        <v>971</v>
      </c>
      <c r="D459" s="74">
        <v>400</v>
      </c>
    </row>
    <row r="460" spans="1:4">
      <c r="A460" t="s">
        <v>480</v>
      </c>
      <c r="B460" s="73" t="s">
        <v>510</v>
      </c>
      <c r="C460" s="74" t="s">
        <v>972</v>
      </c>
      <c r="D460" s="74">
        <v>79.95</v>
      </c>
    </row>
    <row r="461" spans="1:4">
      <c r="A461" t="s">
        <v>480</v>
      </c>
      <c r="B461" s="73" t="s">
        <v>523</v>
      </c>
      <c r="C461" s="74" t="s">
        <v>973</v>
      </c>
      <c r="D461" s="74">
        <v>369.99</v>
      </c>
    </row>
    <row r="462" spans="1:4">
      <c r="A462" t="s">
        <v>480</v>
      </c>
      <c r="B462" s="73" t="s">
        <v>505</v>
      </c>
      <c r="C462" s="74" t="s">
        <v>974</v>
      </c>
      <c r="D462" s="74">
        <v>339.95</v>
      </c>
    </row>
    <row r="463" spans="1:4">
      <c r="A463" t="s">
        <v>480</v>
      </c>
      <c r="B463" s="73" t="s">
        <v>505</v>
      </c>
      <c r="C463" s="74" t="s">
        <v>975</v>
      </c>
      <c r="D463" s="74">
        <v>123</v>
      </c>
    </row>
    <row r="464" spans="1:4">
      <c r="A464" t="s">
        <v>480</v>
      </c>
      <c r="B464" s="73" t="s">
        <v>505</v>
      </c>
      <c r="C464" s="74" t="s">
        <v>976</v>
      </c>
      <c r="D464" s="74">
        <v>229.99</v>
      </c>
    </row>
    <row r="465" spans="1:4">
      <c r="A465" t="s">
        <v>480</v>
      </c>
      <c r="B465" s="73" t="s">
        <v>505</v>
      </c>
      <c r="C465" s="74" t="s">
        <v>977</v>
      </c>
      <c r="D465" s="74">
        <v>426</v>
      </c>
    </row>
    <row r="466" spans="1:4">
      <c r="A466" t="s">
        <v>480</v>
      </c>
      <c r="B466" s="73" t="s">
        <v>505</v>
      </c>
      <c r="C466" s="74" t="s">
        <v>978</v>
      </c>
      <c r="D466" s="74">
        <v>409.99</v>
      </c>
    </row>
    <row r="467" spans="1:4">
      <c r="A467" t="s">
        <v>480</v>
      </c>
      <c r="B467" s="73" t="s">
        <v>510</v>
      </c>
      <c r="C467" s="74" t="s">
        <v>979</v>
      </c>
      <c r="D467" s="74">
        <v>439.99</v>
      </c>
    </row>
    <row r="468" spans="1:4">
      <c r="A468" t="s">
        <v>480</v>
      </c>
      <c r="B468" s="73" t="s">
        <v>510</v>
      </c>
      <c r="C468" s="74" t="s">
        <v>980</v>
      </c>
      <c r="D468" s="74">
        <v>174.95</v>
      </c>
    </row>
    <row r="469" spans="1:4">
      <c r="A469" t="s">
        <v>480</v>
      </c>
      <c r="B469" s="73" t="s">
        <v>505</v>
      </c>
      <c r="C469" s="74" t="s">
        <v>981</v>
      </c>
      <c r="D469" s="74">
        <v>279.99</v>
      </c>
    </row>
    <row r="470" spans="1:4" ht="21">
      <c r="A470" t="s">
        <v>480</v>
      </c>
      <c r="B470" s="73" t="s">
        <v>510</v>
      </c>
      <c r="C470" s="75" t="s">
        <v>982</v>
      </c>
      <c r="D470" s="74">
        <v>29.99</v>
      </c>
    </row>
    <row r="471" spans="1:4">
      <c r="A471" t="s">
        <v>480</v>
      </c>
      <c r="B471" s="73" t="s">
        <v>505</v>
      </c>
      <c r="C471" s="74" t="s">
        <v>983</v>
      </c>
      <c r="D471" s="74">
        <v>429.99</v>
      </c>
    </row>
    <row r="472" spans="1:4">
      <c r="A472" t="s">
        <v>480</v>
      </c>
      <c r="B472" s="73" t="s">
        <v>505</v>
      </c>
      <c r="C472" s="74" t="s">
        <v>984</v>
      </c>
      <c r="D472" s="74">
        <v>399.99</v>
      </c>
    </row>
    <row r="473" spans="1:4">
      <c r="A473" t="s">
        <v>480</v>
      </c>
      <c r="B473" s="73" t="s">
        <v>510</v>
      </c>
      <c r="C473" s="74" t="s">
        <v>985</v>
      </c>
      <c r="D473" s="74">
        <v>263.95</v>
      </c>
    </row>
    <row r="474" spans="1:4">
      <c r="A474" t="s">
        <v>480</v>
      </c>
      <c r="B474" s="73" t="s">
        <v>505</v>
      </c>
      <c r="C474" s="74" t="s">
        <v>986</v>
      </c>
      <c r="D474" s="74">
        <v>229.99</v>
      </c>
    </row>
    <row r="475" spans="1:4">
      <c r="A475" t="s">
        <v>480</v>
      </c>
      <c r="B475" s="73" t="s">
        <v>510</v>
      </c>
      <c r="C475" s="74" t="s">
        <v>987</v>
      </c>
      <c r="D475" s="74">
        <v>319.99</v>
      </c>
    </row>
    <row r="476" spans="1:4">
      <c r="A476" t="s">
        <v>480</v>
      </c>
      <c r="B476" s="73" t="s">
        <v>510</v>
      </c>
      <c r="C476" s="74" t="s">
        <v>988</v>
      </c>
      <c r="D476" s="74">
        <v>309</v>
      </c>
    </row>
    <row r="477" spans="1:4">
      <c r="A477" t="s">
        <v>480</v>
      </c>
      <c r="B477" s="73" t="s">
        <v>510</v>
      </c>
      <c r="C477" s="74" t="s">
        <v>989</v>
      </c>
      <c r="D477" s="74">
        <v>199.99</v>
      </c>
    </row>
    <row r="478" spans="1:4">
      <c r="A478" t="s">
        <v>480</v>
      </c>
      <c r="B478" s="73" t="s">
        <v>505</v>
      </c>
      <c r="C478" s="74" t="s">
        <v>990</v>
      </c>
      <c r="D478" s="74">
        <v>229.99</v>
      </c>
    </row>
    <row r="479" spans="1:4">
      <c r="A479" t="s">
        <v>480</v>
      </c>
      <c r="B479" s="73" t="s">
        <v>505</v>
      </c>
      <c r="C479" s="74" t="s">
        <v>991</v>
      </c>
      <c r="D479" s="74">
        <v>198</v>
      </c>
    </row>
    <row r="480" spans="1:4">
      <c r="A480" t="s">
        <v>480</v>
      </c>
      <c r="B480" s="73" t="s">
        <v>510</v>
      </c>
      <c r="C480" s="74" t="s">
        <v>992</v>
      </c>
      <c r="D480" s="74">
        <v>149.94999999999999</v>
      </c>
    </row>
    <row r="481" spans="1:4">
      <c r="A481" t="s">
        <v>480</v>
      </c>
      <c r="B481" s="73" t="s">
        <v>510</v>
      </c>
      <c r="C481" s="74" t="s">
        <v>993</v>
      </c>
      <c r="D481" s="74">
        <v>174.99</v>
      </c>
    </row>
    <row r="482" spans="1:4">
      <c r="A482" t="s">
        <v>480</v>
      </c>
      <c r="B482" s="73" t="s">
        <v>505</v>
      </c>
      <c r="C482" s="74" t="s">
        <v>994</v>
      </c>
      <c r="D482" s="74">
        <v>209.99</v>
      </c>
    </row>
    <row r="483" spans="1:4">
      <c r="A483" t="s">
        <v>480</v>
      </c>
      <c r="B483" s="73" t="s">
        <v>995</v>
      </c>
      <c r="C483" s="74" t="s">
        <v>996</v>
      </c>
      <c r="D483" s="74">
        <v>49.49</v>
      </c>
    </row>
    <row r="484" spans="1:4">
      <c r="A484" t="s">
        <v>480</v>
      </c>
      <c r="B484" s="73" t="s">
        <v>505</v>
      </c>
      <c r="C484" s="74" t="s">
        <v>997</v>
      </c>
      <c r="D484" s="74">
        <v>201.97</v>
      </c>
    </row>
    <row r="485" spans="1:4">
      <c r="A485" t="s">
        <v>480</v>
      </c>
      <c r="B485" s="73" t="s">
        <v>569</v>
      </c>
      <c r="C485" s="74" t="s">
        <v>998</v>
      </c>
      <c r="D485" s="74">
        <v>74.989999999999995</v>
      </c>
    </row>
    <row r="486" spans="1:4">
      <c r="A486" t="s">
        <v>480</v>
      </c>
      <c r="B486" s="73" t="s">
        <v>546</v>
      </c>
      <c r="C486" s="74" t="s">
        <v>999</v>
      </c>
      <c r="D486" s="74">
        <v>29.99</v>
      </c>
    </row>
    <row r="487" spans="1:4">
      <c r="A487" t="s">
        <v>480</v>
      </c>
      <c r="B487" s="73" t="s">
        <v>510</v>
      </c>
      <c r="C487" s="74" t="s">
        <v>1000</v>
      </c>
      <c r="D487" s="74">
        <v>134.94999999999999</v>
      </c>
    </row>
    <row r="488" spans="1:4">
      <c r="A488" t="s">
        <v>480</v>
      </c>
      <c r="B488" s="73" t="s">
        <v>507</v>
      </c>
      <c r="C488" s="74" t="s">
        <v>1001</v>
      </c>
      <c r="D488" s="74">
        <v>129.94999999999999</v>
      </c>
    </row>
    <row r="489" spans="1:4">
      <c r="A489" t="s">
        <v>480</v>
      </c>
      <c r="B489" s="73" t="s">
        <v>523</v>
      </c>
      <c r="C489" s="74" t="s">
        <v>1002</v>
      </c>
      <c r="D489" s="74">
        <v>419.99</v>
      </c>
    </row>
    <row r="490" spans="1:4">
      <c r="A490" t="s">
        <v>480</v>
      </c>
      <c r="B490" s="73" t="s">
        <v>505</v>
      </c>
      <c r="C490" s="74" t="s">
        <v>1003</v>
      </c>
      <c r="D490" s="74">
        <v>629.99</v>
      </c>
    </row>
    <row r="491" spans="1:4">
      <c r="A491" t="s">
        <v>480</v>
      </c>
      <c r="B491" s="73" t="s">
        <v>510</v>
      </c>
      <c r="C491" s="74" t="s">
        <v>1004</v>
      </c>
      <c r="D491" s="74">
        <v>179.99</v>
      </c>
    </row>
    <row r="492" spans="1:4">
      <c r="A492" t="s">
        <v>480</v>
      </c>
      <c r="B492" s="73" t="s">
        <v>579</v>
      </c>
      <c r="C492" s="74" t="s">
        <v>1005</v>
      </c>
      <c r="D492" s="74">
        <v>471</v>
      </c>
    </row>
    <row r="493" spans="1:4">
      <c r="A493" t="s">
        <v>480</v>
      </c>
      <c r="B493" s="73" t="s">
        <v>510</v>
      </c>
      <c r="C493" s="74" t="s">
        <v>1006</v>
      </c>
      <c r="D493" s="74">
        <v>999.99</v>
      </c>
    </row>
    <row r="494" spans="1:4">
      <c r="A494" t="s">
        <v>480</v>
      </c>
      <c r="B494" s="73" t="s">
        <v>505</v>
      </c>
      <c r="C494" s="74" t="s">
        <v>1007</v>
      </c>
      <c r="D494" s="74">
        <v>416.97</v>
      </c>
    </row>
    <row r="495" spans="1:4">
      <c r="A495" t="s">
        <v>480</v>
      </c>
      <c r="B495" s="73" t="s">
        <v>505</v>
      </c>
      <c r="C495" s="74" t="s">
        <v>1008</v>
      </c>
      <c r="D495" s="74">
        <v>289.99</v>
      </c>
    </row>
    <row r="496" spans="1:4">
      <c r="A496" t="s">
        <v>480</v>
      </c>
      <c r="B496" s="73" t="s">
        <v>510</v>
      </c>
      <c r="C496" s="74" t="s">
        <v>1009</v>
      </c>
      <c r="D496" s="74">
        <v>434.95</v>
      </c>
    </row>
    <row r="497" spans="1:4">
      <c r="A497" t="s">
        <v>480</v>
      </c>
      <c r="B497" s="73" t="s">
        <v>810</v>
      </c>
      <c r="C497" s="74" t="s">
        <v>1010</v>
      </c>
      <c r="D497" s="74">
        <v>475</v>
      </c>
    </row>
    <row r="498" spans="1:4">
      <c r="A498" t="s">
        <v>480</v>
      </c>
      <c r="B498" s="73" t="s">
        <v>505</v>
      </c>
      <c r="C498" s="74" t="s">
        <v>1011</v>
      </c>
      <c r="D498" s="74">
        <v>276</v>
      </c>
    </row>
    <row r="499" spans="1:4">
      <c r="A499" t="s">
        <v>480</v>
      </c>
      <c r="B499" s="73" t="s">
        <v>510</v>
      </c>
      <c r="C499" s="74" t="s">
        <v>1012</v>
      </c>
      <c r="D499" s="74">
        <v>394.99</v>
      </c>
    </row>
    <row r="500" spans="1:4">
      <c r="A500" t="s">
        <v>480</v>
      </c>
      <c r="B500" s="73" t="s">
        <v>505</v>
      </c>
      <c r="C500" s="74" t="s">
        <v>1013</v>
      </c>
      <c r="D500" s="74">
        <v>189.99</v>
      </c>
    </row>
    <row r="501" spans="1:4">
      <c r="A501" t="s">
        <v>480</v>
      </c>
      <c r="B501" s="73" t="s">
        <v>505</v>
      </c>
      <c r="C501" s="74" t="s">
        <v>1014</v>
      </c>
      <c r="D501" s="74">
        <v>679.99</v>
      </c>
    </row>
    <row r="502" spans="1:4">
      <c r="A502" t="s">
        <v>480</v>
      </c>
      <c r="B502" s="73" t="s">
        <v>529</v>
      </c>
      <c r="C502" s="74" t="s">
        <v>1015</v>
      </c>
      <c r="D502" s="74">
        <v>66.69</v>
      </c>
    </row>
    <row r="503" spans="1:4">
      <c r="A503" t="s">
        <v>480</v>
      </c>
      <c r="B503" s="73" t="s">
        <v>505</v>
      </c>
      <c r="C503" s="74" t="s">
        <v>1016</v>
      </c>
      <c r="D503" s="74">
        <v>265</v>
      </c>
    </row>
    <row r="504" spans="1:4">
      <c r="A504" t="s">
        <v>480</v>
      </c>
      <c r="B504" s="73" t="s">
        <v>505</v>
      </c>
      <c r="C504" s="74" t="s">
        <v>1017</v>
      </c>
      <c r="D504" s="74">
        <v>167.99</v>
      </c>
    </row>
    <row r="505" spans="1:4">
      <c r="A505" t="s">
        <v>480</v>
      </c>
      <c r="B505" s="73" t="s">
        <v>510</v>
      </c>
      <c r="C505" s="74" t="s">
        <v>1018</v>
      </c>
      <c r="D505" s="74">
        <v>213.95</v>
      </c>
    </row>
    <row r="506" spans="1:4">
      <c r="A506" t="s">
        <v>480</v>
      </c>
      <c r="B506" s="73" t="s">
        <v>505</v>
      </c>
      <c r="C506" s="74" t="s">
        <v>1019</v>
      </c>
      <c r="D506" s="74">
        <v>189.99</v>
      </c>
    </row>
    <row r="507" spans="1:4">
      <c r="A507" t="s">
        <v>480</v>
      </c>
      <c r="B507" s="73" t="s">
        <v>546</v>
      </c>
      <c r="C507" s="74" t="s">
        <v>1020</v>
      </c>
      <c r="D507" s="74">
        <v>39.99</v>
      </c>
    </row>
    <row r="508" spans="1:4">
      <c r="A508" t="s">
        <v>480</v>
      </c>
      <c r="B508" s="73" t="s">
        <v>505</v>
      </c>
      <c r="C508" s="74" t="s">
        <v>1021</v>
      </c>
      <c r="D508" s="74">
        <v>218</v>
      </c>
    </row>
    <row r="509" spans="1:4">
      <c r="A509" t="s">
        <v>480</v>
      </c>
      <c r="B509" s="73" t="s">
        <v>1022</v>
      </c>
      <c r="C509" s="74" t="s">
        <v>1023</v>
      </c>
      <c r="D509" s="74">
        <v>504.99</v>
      </c>
    </row>
    <row r="510" spans="1:4">
      <c r="A510" t="s">
        <v>480</v>
      </c>
      <c r="B510" s="73" t="s">
        <v>510</v>
      </c>
      <c r="C510" s="74" t="s">
        <v>1024</v>
      </c>
      <c r="D510" s="74">
        <v>184.98</v>
      </c>
    </row>
    <row r="511" spans="1:4">
      <c r="A511" t="s">
        <v>480</v>
      </c>
      <c r="B511" s="73" t="s">
        <v>505</v>
      </c>
      <c r="C511" s="74" t="s">
        <v>1025</v>
      </c>
      <c r="D511" s="74">
        <v>213.95</v>
      </c>
    </row>
    <row r="512" spans="1:4">
      <c r="A512" t="s">
        <v>480</v>
      </c>
      <c r="B512" s="73" t="s">
        <v>505</v>
      </c>
      <c r="C512" s="74" t="s">
        <v>1026</v>
      </c>
      <c r="D512" s="74">
        <v>346.97</v>
      </c>
    </row>
    <row r="513" spans="1:4">
      <c r="A513" t="s">
        <v>480</v>
      </c>
      <c r="B513" s="73" t="s">
        <v>510</v>
      </c>
      <c r="C513" s="74" t="s">
        <v>1027</v>
      </c>
      <c r="D513" s="74">
        <v>388.95</v>
      </c>
    </row>
    <row r="514" spans="1:4">
      <c r="A514" t="s">
        <v>480</v>
      </c>
      <c r="B514" s="73" t="s">
        <v>505</v>
      </c>
      <c r="C514" s="74" t="s">
        <v>1028</v>
      </c>
      <c r="D514" s="74">
        <v>159.99</v>
      </c>
    </row>
    <row r="515" spans="1:4">
      <c r="A515" t="s">
        <v>480</v>
      </c>
      <c r="B515" s="73" t="s">
        <v>510</v>
      </c>
      <c r="C515" s="74" t="s">
        <v>1029</v>
      </c>
      <c r="D515" s="74">
        <v>244.99</v>
      </c>
    </row>
    <row r="516" spans="1:4">
      <c r="A516" t="s">
        <v>480</v>
      </c>
      <c r="B516" s="73" t="s">
        <v>505</v>
      </c>
      <c r="C516" s="74" t="s">
        <v>1030</v>
      </c>
      <c r="D516" s="74">
        <v>479.79</v>
      </c>
    </row>
    <row r="517" spans="1:4">
      <c r="A517" t="s">
        <v>480</v>
      </c>
      <c r="B517" s="73" t="s">
        <v>510</v>
      </c>
      <c r="C517" s="74" t="s">
        <v>1031</v>
      </c>
      <c r="D517" s="74">
        <v>326.95</v>
      </c>
    </row>
    <row r="518" spans="1:4">
      <c r="A518" t="s">
        <v>480</v>
      </c>
      <c r="B518" s="73" t="s">
        <v>510</v>
      </c>
      <c r="C518" s="74" t="s">
        <v>1032</v>
      </c>
      <c r="D518" s="74">
        <v>469.95</v>
      </c>
    </row>
    <row r="519" spans="1:4">
      <c r="A519" t="s">
        <v>480</v>
      </c>
      <c r="B519" s="73" t="s">
        <v>505</v>
      </c>
      <c r="C519" s="74" t="s">
        <v>1033</v>
      </c>
      <c r="D519" s="74">
        <v>109.99</v>
      </c>
    </row>
    <row r="520" spans="1:4">
      <c r="A520" t="s">
        <v>480</v>
      </c>
      <c r="B520" s="73" t="s">
        <v>510</v>
      </c>
      <c r="C520" s="74" t="s">
        <v>1034</v>
      </c>
      <c r="D520" s="74">
        <v>487</v>
      </c>
    </row>
    <row r="521" spans="1:4">
      <c r="A521" t="s">
        <v>480</v>
      </c>
      <c r="B521" s="73" t="s">
        <v>505</v>
      </c>
      <c r="C521" s="74" t="s">
        <v>1035</v>
      </c>
      <c r="D521" s="74">
        <v>460</v>
      </c>
    </row>
    <row r="522" spans="1:4">
      <c r="A522" t="s">
        <v>480</v>
      </c>
      <c r="B522" s="73" t="s">
        <v>505</v>
      </c>
      <c r="C522" s="74" t="s">
        <v>1036</v>
      </c>
      <c r="D522" s="74">
        <v>279.99</v>
      </c>
    </row>
    <row r="523" spans="1:4">
      <c r="A523" t="s">
        <v>480</v>
      </c>
      <c r="B523" s="73" t="s">
        <v>510</v>
      </c>
      <c r="C523" s="74" t="s">
        <v>1037</v>
      </c>
      <c r="D523" s="74">
        <v>288</v>
      </c>
    </row>
    <row r="524" spans="1:4">
      <c r="A524" t="s">
        <v>480</v>
      </c>
      <c r="B524" s="73" t="s">
        <v>505</v>
      </c>
      <c r="C524" s="74" t="s">
        <v>1038</v>
      </c>
      <c r="D524" s="74">
        <v>279.99</v>
      </c>
    </row>
    <row r="525" spans="1:4">
      <c r="A525" t="s">
        <v>480</v>
      </c>
      <c r="B525" s="73" t="s">
        <v>510</v>
      </c>
      <c r="C525" s="74" t="s">
        <v>1039</v>
      </c>
      <c r="D525" s="74">
        <v>189.95</v>
      </c>
    </row>
    <row r="526" spans="1:4">
      <c r="A526" t="s">
        <v>480</v>
      </c>
      <c r="B526" s="73" t="s">
        <v>505</v>
      </c>
      <c r="C526" s="74" t="s">
        <v>1040</v>
      </c>
      <c r="D526" s="74">
        <v>255</v>
      </c>
    </row>
    <row r="527" spans="1:4">
      <c r="A527" t="s">
        <v>480</v>
      </c>
      <c r="B527" s="73" t="s">
        <v>505</v>
      </c>
      <c r="C527" s="74" t="s">
        <v>1041</v>
      </c>
      <c r="D527" s="74">
        <v>714.99</v>
      </c>
    </row>
    <row r="528" spans="1:4">
      <c r="A528" t="s">
        <v>480</v>
      </c>
      <c r="B528" s="73" t="s">
        <v>510</v>
      </c>
      <c r="C528" s="74" t="s">
        <v>1042</v>
      </c>
      <c r="D528" s="74">
        <v>129.99</v>
      </c>
    </row>
    <row r="529" spans="1:4">
      <c r="A529" t="s">
        <v>480</v>
      </c>
      <c r="B529" s="73" t="s">
        <v>510</v>
      </c>
      <c r="C529" s="74" t="s">
        <v>1043</v>
      </c>
      <c r="D529" s="74">
        <v>777</v>
      </c>
    </row>
    <row r="530" spans="1:4">
      <c r="A530" t="s">
        <v>480</v>
      </c>
      <c r="B530" s="73" t="s">
        <v>505</v>
      </c>
      <c r="C530" s="74" t="s">
        <v>1044</v>
      </c>
      <c r="D530" s="74">
        <v>325</v>
      </c>
    </row>
    <row r="531" spans="1:4">
      <c r="A531" t="s">
        <v>480</v>
      </c>
      <c r="B531" s="73" t="s">
        <v>839</v>
      </c>
      <c r="C531" s="74" t="s">
        <v>1045</v>
      </c>
      <c r="D531" s="74">
        <v>209.99</v>
      </c>
    </row>
    <row r="532" spans="1:4">
      <c r="A532" t="s">
        <v>480</v>
      </c>
      <c r="B532" s="73" t="s">
        <v>505</v>
      </c>
      <c r="C532" s="74" t="s">
        <v>1046</v>
      </c>
      <c r="D532" s="74">
        <v>169.95</v>
      </c>
    </row>
    <row r="533" spans="1:4">
      <c r="A533" t="s">
        <v>480</v>
      </c>
      <c r="B533" s="73" t="s">
        <v>510</v>
      </c>
      <c r="C533" s="74" t="s">
        <v>1047</v>
      </c>
      <c r="D533" s="74">
        <v>630</v>
      </c>
    </row>
    <row r="534" spans="1:4">
      <c r="A534" t="s">
        <v>480</v>
      </c>
      <c r="B534" s="73" t="s">
        <v>523</v>
      </c>
      <c r="C534" s="74" t="s">
        <v>1048</v>
      </c>
      <c r="D534" s="74">
        <v>139.99</v>
      </c>
    </row>
    <row r="535" spans="1:4">
      <c r="A535" t="s">
        <v>480</v>
      </c>
      <c r="B535" s="73" t="s">
        <v>569</v>
      </c>
      <c r="C535" s="74" t="s">
        <v>1049</v>
      </c>
      <c r="D535" s="74">
        <v>99.99</v>
      </c>
    </row>
    <row r="536" spans="1:4">
      <c r="A536" t="s">
        <v>480</v>
      </c>
      <c r="B536" s="73" t="s">
        <v>510</v>
      </c>
      <c r="C536" s="74" t="s">
        <v>1050</v>
      </c>
      <c r="D536" s="74">
        <v>389.99</v>
      </c>
    </row>
    <row r="537" spans="1:4">
      <c r="A537" t="s">
        <v>480</v>
      </c>
      <c r="B537" s="73" t="s">
        <v>505</v>
      </c>
      <c r="C537" s="74" t="s">
        <v>1051</v>
      </c>
      <c r="D537" s="74">
        <v>279.89</v>
      </c>
    </row>
    <row r="538" spans="1:4">
      <c r="A538" t="s">
        <v>480</v>
      </c>
      <c r="B538" s="73" t="s">
        <v>510</v>
      </c>
      <c r="C538" s="74" t="s">
        <v>1052</v>
      </c>
      <c r="D538" s="74">
        <v>89.99</v>
      </c>
    </row>
    <row r="539" spans="1:4">
      <c r="A539" t="s">
        <v>480</v>
      </c>
      <c r="B539" s="73" t="s">
        <v>510</v>
      </c>
      <c r="C539" s="74" t="s">
        <v>1053</v>
      </c>
      <c r="D539" s="74">
        <v>279.99</v>
      </c>
    </row>
    <row r="540" spans="1:4">
      <c r="A540" t="s">
        <v>480</v>
      </c>
      <c r="B540" s="73" t="s">
        <v>505</v>
      </c>
      <c r="C540" s="74" t="s">
        <v>1054</v>
      </c>
      <c r="D540" s="74">
        <v>239.99</v>
      </c>
    </row>
    <row r="541" spans="1:4">
      <c r="A541" t="s">
        <v>480</v>
      </c>
      <c r="B541" s="73" t="s">
        <v>546</v>
      </c>
      <c r="C541" s="74" t="s">
        <v>1055</v>
      </c>
      <c r="D541" s="74">
        <v>24.95</v>
      </c>
    </row>
    <row r="542" spans="1:4">
      <c r="A542" t="s">
        <v>480</v>
      </c>
      <c r="B542" s="73" t="s">
        <v>510</v>
      </c>
      <c r="C542" s="74" t="s">
        <v>1056</v>
      </c>
      <c r="D542" s="74">
        <v>755</v>
      </c>
    </row>
    <row r="543" spans="1:4">
      <c r="A543" t="s">
        <v>480</v>
      </c>
      <c r="B543" s="73" t="s">
        <v>510</v>
      </c>
      <c r="C543" s="74" t="s">
        <v>1057</v>
      </c>
      <c r="D543" s="74">
        <v>1159.99</v>
      </c>
    </row>
    <row r="544" spans="1:4">
      <c r="A544" t="s">
        <v>480</v>
      </c>
      <c r="B544" s="73" t="s">
        <v>510</v>
      </c>
      <c r="C544" s="74" t="s">
        <v>1058</v>
      </c>
      <c r="D544" s="74">
        <v>185.99</v>
      </c>
    </row>
    <row r="545" spans="1:4">
      <c r="A545" t="s">
        <v>480</v>
      </c>
      <c r="B545" s="73" t="s">
        <v>505</v>
      </c>
      <c r="C545" s="74" t="s">
        <v>1059</v>
      </c>
      <c r="D545" s="74">
        <v>302.99</v>
      </c>
    </row>
    <row r="546" spans="1:4">
      <c r="A546" t="s">
        <v>480</v>
      </c>
      <c r="B546" s="73" t="s">
        <v>505</v>
      </c>
      <c r="C546" s="74" t="s">
        <v>1060</v>
      </c>
      <c r="D546" s="74">
        <v>569.99</v>
      </c>
    </row>
    <row r="547" spans="1:4">
      <c r="A547" t="s">
        <v>480</v>
      </c>
      <c r="B547" s="73" t="s">
        <v>505</v>
      </c>
      <c r="C547" s="74" t="s">
        <v>1061</v>
      </c>
      <c r="D547" s="74">
        <v>74.989999999999995</v>
      </c>
    </row>
    <row r="548" spans="1:4">
      <c r="A548" t="s">
        <v>480</v>
      </c>
      <c r="B548" s="73" t="s">
        <v>505</v>
      </c>
      <c r="C548" s="74" t="s">
        <v>1062</v>
      </c>
      <c r="D548" s="74">
        <v>579.99</v>
      </c>
    </row>
    <row r="549" spans="1:4">
      <c r="A549" t="s">
        <v>480</v>
      </c>
      <c r="B549" s="73" t="s">
        <v>510</v>
      </c>
      <c r="C549" s="74" t="s">
        <v>1063</v>
      </c>
      <c r="D549" s="74">
        <v>149.99</v>
      </c>
    </row>
    <row r="550" spans="1:4">
      <c r="A550" t="s">
        <v>480</v>
      </c>
      <c r="B550" s="73" t="s">
        <v>505</v>
      </c>
      <c r="C550" s="74" t="s">
        <v>1064</v>
      </c>
      <c r="D550" s="74">
        <v>769.99</v>
      </c>
    </row>
    <row r="551" spans="1:4" ht="21">
      <c r="A551" t="s">
        <v>480</v>
      </c>
      <c r="B551" s="73" t="s">
        <v>505</v>
      </c>
      <c r="C551" s="74" t="s">
        <v>508</v>
      </c>
      <c r="D551" s="74">
        <v>72.989999999999995</v>
      </c>
    </row>
    <row r="552" spans="1:4">
      <c r="A552" t="s">
        <v>480</v>
      </c>
      <c r="B552" s="73" t="s">
        <v>510</v>
      </c>
      <c r="C552" s="74" t="s">
        <v>1065</v>
      </c>
      <c r="D552" s="74">
        <v>575</v>
      </c>
    </row>
    <row r="553" spans="1:4">
      <c r="A553" t="s">
        <v>480</v>
      </c>
      <c r="B553" s="73" t="s">
        <v>510</v>
      </c>
      <c r="C553" s="74" t="s">
        <v>1066</v>
      </c>
      <c r="D553" s="74">
        <v>49.21</v>
      </c>
    </row>
    <row r="554" spans="1:4">
      <c r="A554" t="s">
        <v>480</v>
      </c>
      <c r="B554" s="73" t="s">
        <v>505</v>
      </c>
      <c r="C554" s="74" t="s">
        <v>1067</v>
      </c>
      <c r="D554" s="74">
        <v>450</v>
      </c>
    </row>
    <row r="555" spans="1:4">
      <c r="A555" t="s">
        <v>480</v>
      </c>
      <c r="B555" s="73" t="s">
        <v>510</v>
      </c>
      <c r="C555" s="74" t="s">
        <v>1068</v>
      </c>
      <c r="D555" s="74">
        <v>702</v>
      </c>
    </row>
    <row r="556" spans="1:4">
      <c r="A556" t="s">
        <v>480</v>
      </c>
      <c r="B556" s="73" t="s">
        <v>810</v>
      </c>
      <c r="C556" s="74" t="s">
        <v>1069</v>
      </c>
      <c r="D556" s="74">
        <v>274.99</v>
      </c>
    </row>
    <row r="557" spans="1:4">
      <c r="A557" t="s">
        <v>480</v>
      </c>
      <c r="B557" s="73" t="s">
        <v>839</v>
      </c>
      <c r="C557" s="74" t="s">
        <v>1070</v>
      </c>
      <c r="D557" s="74">
        <v>124.99</v>
      </c>
    </row>
    <row r="558" spans="1:4">
      <c r="A558" t="s">
        <v>480</v>
      </c>
      <c r="B558" s="73" t="s">
        <v>505</v>
      </c>
      <c r="C558" s="74" t="s">
        <v>1071</v>
      </c>
      <c r="D558" s="74">
        <v>454.99</v>
      </c>
    </row>
    <row r="559" spans="1:4">
      <c r="A559" t="s">
        <v>480</v>
      </c>
      <c r="B559" s="73" t="s">
        <v>510</v>
      </c>
      <c r="C559" s="74" t="s">
        <v>1072</v>
      </c>
      <c r="D559" s="74">
        <v>89.95</v>
      </c>
    </row>
    <row r="560" spans="1:4">
      <c r="A560" t="s">
        <v>480</v>
      </c>
      <c r="B560" s="73" t="s">
        <v>505</v>
      </c>
      <c r="C560" s="74" t="s">
        <v>1073</v>
      </c>
      <c r="D560" s="74">
        <v>159.94999999999999</v>
      </c>
    </row>
    <row r="561" spans="1:4">
      <c r="A561" t="s">
        <v>480</v>
      </c>
      <c r="B561" s="73" t="s">
        <v>561</v>
      </c>
      <c r="C561" s="74" t="s">
        <v>1074</v>
      </c>
      <c r="D561" s="74">
        <v>216.99</v>
      </c>
    </row>
    <row r="562" spans="1:4">
      <c r="A562" t="s">
        <v>480</v>
      </c>
      <c r="B562" s="73" t="s">
        <v>523</v>
      </c>
      <c r="C562" s="74" t="s">
        <v>1075</v>
      </c>
      <c r="D562" s="74">
        <v>361.97</v>
      </c>
    </row>
    <row r="563" spans="1:4">
      <c r="A563" t="s">
        <v>480</v>
      </c>
      <c r="B563" s="73" t="s">
        <v>510</v>
      </c>
      <c r="C563" s="74" t="s">
        <v>1076</v>
      </c>
      <c r="D563" s="74">
        <v>839.99</v>
      </c>
    </row>
    <row r="564" spans="1:4">
      <c r="A564" t="s">
        <v>480</v>
      </c>
      <c r="B564" s="73" t="s">
        <v>505</v>
      </c>
      <c r="C564" s="74" t="s">
        <v>1077</v>
      </c>
      <c r="D564" s="74">
        <v>181.97</v>
      </c>
    </row>
    <row r="565" spans="1:4">
      <c r="A565" t="s">
        <v>480</v>
      </c>
      <c r="B565" s="73" t="s">
        <v>505</v>
      </c>
      <c r="C565" s="74" t="s">
        <v>803</v>
      </c>
      <c r="D565" s="74">
        <v>114.49</v>
      </c>
    </row>
    <row r="566" spans="1:4">
      <c r="A566" t="s">
        <v>480</v>
      </c>
      <c r="B566" s="73" t="s">
        <v>510</v>
      </c>
      <c r="C566" s="74" t="s">
        <v>1078</v>
      </c>
      <c r="D566" s="74">
        <v>199.79</v>
      </c>
    </row>
    <row r="567" spans="1:4">
      <c r="A567" t="s">
        <v>480</v>
      </c>
      <c r="B567" s="73" t="s">
        <v>510</v>
      </c>
      <c r="C567" s="74" t="s">
        <v>1079</v>
      </c>
      <c r="D567" s="74">
        <v>125</v>
      </c>
    </row>
    <row r="568" spans="1:4">
      <c r="A568" t="s">
        <v>480</v>
      </c>
      <c r="B568" s="73" t="s">
        <v>510</v>
      </c>
      <c r="C568" s="74" t="s">
        <v>1080</v>
      </c>
      <c r="D568" s="74">
        <v>540</v>
      </c>
    </row>
    <row r="569" spans="1:4">
      <c r="A569" t="s">
        <v>480</v>
      </c>
      <c r="B569" s="73" t="s">
        <v>505</v>
      </c>
      <c r="C569" s="74" t="s">
        <v>1081</v>
      </c>
      <c r="D569" s="74">
        <v>375</v>
      </c>
    </row>
    <row r="570" spans="1:4">
      <c r="A570" t="s">
        <v>480</v>
      </c>
      <c r="B570" s="73" t="s">
        <v>510</v>
      </c>
      <c r="C570" s="74" t="s">
        <v>1082</v>
      </c>
      <c r="D570" s="74">
        <v>209.95</v>
      </c>
    </row>
    <row r="571" spans="1:4">
      <c r="A571" t="s">
        <v>480</v>
      </c>
      <c r="B571" s="73" t="s">
        <v>505</v>
      </c>
      <c r="C571" s="74" t="s">
        <v>1083</v>
      </c>
      <c r="D571" s="74">
        <v>197.99</v>
      </c>
    </row>
    <row r="572" spans="1:4">
      <c r="A572" t="s">
        <v>480</v>
      </c>
      <c r="B572" s="73" t="s">
        <v>510</v>
      </c>
      <c r="C572" s="74" t="s">
        <v>1084</v>
      </c>
      <c r="D572" s="74">
        <v>419.89</v>
      </c>
    </row>
    <row r="573" spans="1:4">
      <c r="A573" t="s">
        <v>480</v>
      </c>
      <c r="B573" s="73" t="s">
        <v>505</v>
      </c>
      <c r="C573" s="74" t="s">
        <v>1085</v>
      </c>
      <c r="D573" s="74">
        <v>339.99</v>
      </c>
    </row>
    <row r="574" spans="1:4">
      <c r="A574" t="s">
        <v>480</v>
      </c>
      <c r="B574" s="73" t="s">
        <v>505</v>
      </c>
      <c r="C574" s="74" t="s">
        <v>1086</v>
      </c>
      <c r="D574" s="74">
        <v>689.79</v>
      </c>
    </row>
    <row r="575" spans="1:4">
      <c r="A575" t="s">
        <v>480</v>
      </c>
      <c r="B575" s="73" t="s">
        <v>738</v>
      </c>
      <c r="C575" s="74" t="s">
        <v>1087</v>
      </c>
      <c r="D575" s="74">
        <v>89</v>
      </c>
    </row>
    <row r="576" spans="1:4">
      <c r="A576" t="s">
        <v>480</v>
      </c>
      <c r="B576" s="73" t="s">
        <v>505</v>
      </c>
      <c r="C576" s="74" t="s">
        <v>1088</v>
      </c>
      <c r="D576" s="74">
        <v>379.99</v>
      </c>
    </row>
    <row r="577" spans="1:4">
      <c r="A577" t="s">
        <v>480</v>
      </c>
      <c r="B577" s="73" t="s">
        <v>510</v>
      </c>
      <c r="C577" s="74" t="s">
        <v>1089</v>
      </c>
      <c r="D577" s="74">
        <v>379</v>
      </c>
    </row>
    <row r="578" spans="1:4">
      <c r="A578" t="s">
        <v>480</v>
      </c>
      <c r="B578" s="73" t="s">
        <v>510</v>
      </c>
      <c r="C578" s="74" t="s">
        <v>1090</v>
      </c>
      <c r="D578" s="74">
        <v>189.95</v>
      </c>
    </row>
    <row r="579" spans="1:4">
      <c r="A579" t="s">
        <v>480</v>
      </c>
      <c r="B579" s="73" t="s">
        <v>510</v>
      </c>
      <c r="C579" s="74" t="s">
        <v>1091</v>
      </c>
      <c r="D579" s="74">
        <v>489.99</v>
      </c>
    </row>
    <row r="580" spans="1:4">
      <c r="A580" t="s">
        <v>480</v>
      </c>
      <c r="B580" s="73" t="s">
        <v>505</v>
      </c>
      <c r="C580" s="74" t="s">
        <v>1092</v>
      </c>
      <c r="D580" s="74">
        <v>294.99</v>
      </c>
    </row>
    <row r="581" spans="1:4">
      <c r="A581" t="s">
        <v>480</v>
      </c>
      <c r="B581" s="73" t="s">
        <v>510</v>
      </c>
      <c r="C581" s="74" t="s">
        <v>1093</v>
      </c>
      <c r="D581" s="74">
        <v>219.79</v>
      </c>
    </row>
    <row r="582" spans="1:4">
      <c r="A582" t="s">
        <v>480</v>
      </c>
      <c r="B582" s="73" t="s">
        <v>510</v>
      </c>
      <c r="C582" s="74" t="s">
        <v>1094</v>
      </c>
      <c r="D582" s="74">
        <v>229.95</v>
      </c>
    </row>
    <row r="583" spans="1:4">
      <c r="A583" t="s">
        <v>480</v>
      </c>
      <c r="B583" s="73" t="s">
        <v>510</v>
      </c>
      <c r="C583" s="74" t="s">
        <v>1095</v>
      </c>
      <c r="D583" s="74">
        <v>194.95</v>
      </c>
    </row>
    <row r="584" spans="1:4">
      <c r="A584" t="s">
        <v>480</v>
      </c>
      <c r="B584" s="73" t="s">
        <v>523</v>
      </c>
      <c r="C584" s="74" t="s">
        <v>1096</v>
      </c>
      <c r="D584" s="74">
        <v>254.99</v>
      </c>
    </row>
    <row r="585" spans="1:4">
      <c r="A585" t="s">
        <v>480</v>
      </c>
      <c r="B585" s="73" t="s">
        <v>510</v>
      </c>
      <c r="C585" s="74" t="s">
        <v>714</v>
      </c>
      <c r="D585" s="74">
        <v>349.99</v>
      </c>
    </row>
    <row r="586" spans="1:4">
      <c r="A586" t="s">
        <v>480</v>
      </c>
      <c r="B586" s="73" t="s">
        <v>507</v>
      </c>
      <c r="C586" s="74" t="s">
        <v>1097</v>
      </c>
      <c r="D586" s="74">
        <v>69</v>
      </c>
    </row>
    <row r="587" spans="1:4">
      <c r="A587" t="s">
        <v>480</v>
      </c>
      <c r="B587" s="73" t="s">
        <v>510</v>
      </c>
      <c r="C587" s="74" t="s">
        <v>1098</v>
      </c>
      <c r="D587" s="74">
        <v>404.99</v>
      </c>
    </row>
    <row r="588" spans="1:4">
      <c r="A588" t="s">
        <v>480</v>
      </c>
      <c r="B588" s="73" t="s">
        <v>510</v>
      </c>
      <c r="C588" s="74" t="s">
        <v>1099</v>
      </c>
      <c r="D588" s="74">
        <v>977</v>
      </c>
    </row>
    <row r="589" spans="1:4">
      <c r="A589" t="s">
        <v>480</v>
      </c>
      <c r="B589" s="73" t="s">
        <v>510</v>
      </c>
      <c r="C589" s="74" t="s">
        <v>1100</v>
      </c>
      <c r="D589" s="74">
        <v>654.59</v>
      </c>
    </row>
    <row r="590" spans="1:4">
      <c r="A590" t="s">
        <v>480</v>
      </c>
      <c r="B590" s="73" t="s">
        <v>505</v>
      </c>
      <c r="C590" s="74" t="s">
        <v>1101</v>
      </c>
      <c r="D590" s="74">
        <v>606.97</v>
      </c>
    </row>
    <row r="591" spans="1:4">
      <c r="A591" t="s">
        <v>480</v>
      </c>
      <c r="B591" s="73" t="s">
        <v>510</v>
      </c>
      <c r="C591" s="74" t="s">
        <v>1102</v>
      </c>
      <c r="D591" s="74">
        <v>739.99</v>
      </c>
    </row>
    <row r="592" spans="1:4">
      <c r="A592" t="s">
        <v>480</v>
      </c>
      <c r="B592" s="73" t="s">
        <v>505</v>
      </c>
      <c r="C592" s="74" t="s">
        <v>1103</v>
      </c>
      <c r="D592" s="74">
        <v>236.97</v>
      </c>
    </row>
    <row r="593" spans="1:4">
      <c r="A593" t="s">
        <v>480</v>
      </c>
      <c r="B593" s="73" t="s">
        <v>657</v>
      </c>
      <c r="C593" s="74" t="s">
        <v>1104</v>
      </c>
      <c r="D593" s="74">
        <v>24.99</v>
      </c>
    </row>
    <row r="594" spans="1:4">
      <c r="A594" t="s">
        <v>480</v>
      </c>
      <c r="B594" s="73" t="s">
        <v>510</v>
      </c>
      <c r="C594" s="74" t="s">
        <v>806</v>
      </c>
      <c r="D594" s="74">
        <v>549.49</v>
      </c>
    </row>
    <row r="595" spans="1:4">
      <c r="A595" t="s">
        <v>480</v>
      </c>
      <c r="B595" s="73" t="s">
        <v>569</v>
      </c>
      <c r="C595" s="74" t="s">
        <v>1105</v>
      </c>
      <c r="D595" s="74">
        <v>82.59</v>
      </c>
    </row>
    <row r="596" spans="1:4">
      <c r="A596" t="s">
        <v>480</v>
      </c>
      <c r="B596" s="73" t="s">
        <v>505</v>
      </c>
      <c r="C596" s="74" t="s">
        <v>1106</v>
      </c>
      <c r="D596" s="74">
        <v>404.99</v>
      </c>
    </row>
    <row r="597" spans="1:4">
      <c r="A597" t="s">
        <v>480</v>
      </c>
      <c r="B597" s="73" t="s">
        <v>529</v>
      </c>
      <c r="C597" s="74" t="s">
        <v>1107</v>
      </c>
      <c r="D597" s="74">
        <v>59.49</v>
      </c>
    </row>
    <row r="598" spans="1:4">
      <c r="A598" t="s">
        <v>480</v>
      </c>
      <c r="B598" s="73" t="s">
        <v>510</v>
      </c>
      <c r="C598" s="74" t="s">
        <v>1108</v>
      </c>
      <c r="D598" s="74">
        <v>155</v>
      </c>
    </row>
    <row r="599" spans="1:4">
      <c r="A599" t="s">
        <v>480</v>
      </c>
      <c r="B599" s="73" t="s">
        <v>510</v>
      </c>
      <c r="C599" s="74" t="s">
        <v>1109</v>
      </c>
      <c r="D599" s="74">
        <v>56</v>
      </c>
    </row>
    <row r="600" spans="1:4">
      <c r="A600" t="s">
        <v>480</v>
      </c>
      <c r="B600" s="73" t="s">
        <v>683</v>
      </c>
      <c r="C600" s="74" t="s">
        <v>1110</v>
      </c>
      <c r="D600" s="74">
        <v>199</v>
      </c>
    </row>
    <row r="601" spans="1:4">
      <c r="A601" t="s">
        <v>480</v>
      </c>
      <c r="B601" s="73" t="s">
        <v>510</v>
      </c>
      <c r="C601" s="74" t="s">
        <v>1111</v>
      </c>
      <c r="D601" s="74">
        <v>600</v>
      </c>
    </row>
    <row r="602" spans="1:4">
      <c r="A602" t="s">
        <v>480</v>
      </c>
      <c r="B602" s="73" t="s">
        <v>529</v>
      </c>
      <c r="C602" s="74" t="s">
        <v>855</v>
      </c>
      <c r="D602" s="74">
        <v>92.69</v>
      </c>
    </row>
    <row r="603" spans="1:4">
      <c r="A603" t="s">
        <v>480</v>
      </c>
      <c r="B603" s="73" t="s">
        <v>505</v>
      </c>
      <c r="C603" s="74" t="s">
        <v>1112</v>
      </c>
      <c r="D603" s="74">
        <v>110</v>
      </c>
    </row>
    <row r="604" spans="1:4">
      <c r="A604" t="s">
        <v>480</v>
      </c>
      <c r="B604" s="73" t="s">
        <v>510</v>
      </c>
      <c r="C604" s="74" t="s">
        <v>1113</v>
      </c>
      <c r="D604" s="74">
        <v>169.99</v>
      </c>
    </row>
    <row r="605" spans="1:4">
      <c r="A605" t="s">
        <v>480</v>
      </c>
      <c r="B605" s="73" t="s">
        <v>510</v>
      </c>
      <c r="C605" s="74" t="s">
        <v>1114</v>
      </c>
      <c r="D605" s="74">
        <v>239.99</v>
      </c>
    </row>
    <row r="606" spans="1:4">
      <c r="A606" t="s">
        <v>480</v>
      </c>
      <c r="B606" s="73" t="s">
        <v>1022</v>
      </c>
      <c r="C606" s="74" t="s">
        <v>1115</v>
      </c>
      <c r="D606" s="74">
        <v>135</v>
      </c>
    </row>
    <row r="607" spans="1:4">
      <c r="A607" t="s">
        <v>480</v>
      </c>
      <c r="B607" s="73" t="s">
        <v>1116</v>
      </c>
      <c r="C607" s="74" t="s">
        <v>1117</v>
      </c>
      <c r="D607" s="74">
        <v>175</v>
      </c>
    </row>
    <row r="608" spans="1:4">
      <c r="A608" t="s">
        <v>480</v>
      </c>
      <c r="B608" s="73" t="s">
        <v>510</v>
      </c>
      <c r="C608" s="74" t="s">
        <v>1118</v>
      </c>
      <c r="D608" s="74">
        <v>169.99</v>
      </c>
    </row>
    <row r="609" spans="1:4">
      <c r="A609" t="s">
        <v>480</v>
      </c>
      <c r="B609" s="73" t="s">
        <v>510</v>
      </c>
      <c r="C609" s="74" t="s">
        <v>1119</v>
      </c>
      <c r="D609" s="74">
        <v>440</v>
      </c>
    </row>
    <row r="610" spans="1:4">
      <c r="A610" t="s">
        <v>480</v>
      </c>
      <c r="B610" s="73" t="s">
        <v>510</v>
      </c>
      <c r="C610" s="74" t="s">
        <v>1120</v>
      </c>
      <c r="D610" s="74">
        <v>1024.98</v>
      </c>
    </row>
    <row r="611" spans="1:4">
      <c r="A611" t="s">
        <v>480</v>
      </c>
      <c r="B611" s="73" t="s">
        <v>546</v>
      </c>
      <c r="C611" s="74" t="s">
        <v>1121</v>
      </c>
      <c r="D611" s="74">
        <v>19.989999999999998</v>
      </c>
    </row>
    <row r="612" spans="1:4">
      <c r="A612" t="s">
        <v>480</v>
      </c>
      <c r="B612" s="73" t="s">
        <v>510</v>
      </c>
      <c r="C612" s="74" t="s">
        <v>1122</v>
      </c>
      <c r="D612" s="74">
        <v>486.97</v>
      </c>
    </row>
    <row r="613" spans="1:4">
      <c r="A613" t="s">
        <v>480</v>
      </c>
      <c r="B613" s="73" t="s">
        <v>510</v>
      </c>
      <c r="C613" s="74" t="s">
        <v>1123</v>
      </c>
      <c r="D613" s="74">
        <v>79.989999999999995</v>
      </c>
    </row>
    <row r="614" spans="1:4">
      <c r="A614" t="s">
        <v>480</v>
      </c>
      <c r="B614" s="73" t="s">
        <v>505</v>
      </c>
      <c r="C614" s="74" t="s">
        <v>1124</v>
      </c>
      <c r="D614" s="74">
        <v>204.99</v>
      </c>
    </row>
    <row r="615" spans="1:4">
      <c r="A615" t="s">
        <v>480</v>
      </c>
      <c r="B615" s="73" t="s">
        <v>505</v>
      </c>
      <c r="C615" s="74" t="s">
        <v>1125</v>
      </c>
      <c r="D615" s="74">
        <v>88</v>
      </c>
    </row>
    <row r="616" spans="1:4">
      <c r="A616" t="s">
        <v>480</v>
      </c>
      <c r="B616" s="73" t="s">
        <v>505</v>
      </c>
      <c r="C616" s="74" t="s">
        <v>1126</v>
      </c>
      <c r="D616" s="74">
        <v>195</v>
      </c>
    </row>
    <row r="617" spans="1:4">
      <c r="A617" t="s">
        <v>480</v>
      </c>
      <c r="B617" s="73" t="s">
        <v>510</v>
      </c>
      <c r="C617" s="74" t="s">
        <v>1127</v>
      </c>
      <c r="D617" s="74">
        <v>297</v>
      </c>
    </row>
    <row r="618" spans="1:4">
      <c r="A618" t="s">
        <v>480</v>
      </c>
      <c r="B618" s="73" t="s">
        <v>510</v>
      </c>
      <c r="C618" s="74" t="s">
        <v>1128</v>
      </c>
      <c r="D618" s="74">
        <v>255.95</v>
      </c>
    </row>
    <row r="619" spans="1:4">
      <c r="A619" t="s">
        <v>480</v>
      </c>
      <c r="B619" s="73" t="s">
        <v>529</v>
      </c>
      <c r="C619" s="74" t="s">
        <v>1129</v>
      </c>
      <c r="D619" s="74">
        <v>66.69</v>
      </c>
    </row>
    <row r="620" spans="1:4">
      <c r="A620" t="s">
        <v>480</v>
      </c>
      <c r="B620" s="73" t="s">
        <v>505</v>
      </c>
      <c r="C620" s="74" t="s">
        <v>1130</v>
      </c>
      <c r="D620" s="74">
        <v>139</v>
      </c>
    </row>
    <row r="621" spans="1:4">
      <c r="A621" t="s">
        <v>480</v>
      </c>
      <c r="B621" s="73" t="s">
        <v>505</v>
      </c>
      <c r="C621" s="74" t="s">
        <v>1131</v>
      </c>
      <c r="D621" s="74">
        <v>189.99</v>
      </c>
    </row>
    <row r="622" spans="1:4">
      <c r="A622" t="s">
        <v>480</v>
      </c>
      <c r="B622" s="73" t="s">
        <v>546</v>
      </c>
      <c r="C622" s="74" t="s">
        <v>1132</v>
      </c>
      <c r="D622" s="74">
        <v>19.989999999999998</v>
      </c>
    </row>
    <row r="623" spans="1:4">
      <c r="A623" t="s">
        <v>480</v>
      </c>
      <c r="B623" s="73" t="s">
        <v>618</v>
      </c>
      <c r="C623" s="74" t="s">
        <v>1133</v>
      </c>
      <c r="D623" s="74">
        <v>69.989999999999995</v>
      </c>
    </row>
    <row r="624" spans="1:4">
      <c r="A624" t="s">
        <v>480</v>
      </c>
      <c r="B624" s="73" t="s">
        <v>510</v>
      </c>
      <c r="C624" s="74" t="s">
        <v>1134</v>
      </c>
      <c r="D624" s="74">
        <v>89.99</v>
      </c>
    </row>
    <row r="625" spans="1:4">
      <c r="A625" t="s">
        <v>480</v>
      </c>
      <c r="B625" s="73" t="s">
        <v>546</v>
      </c>
      <c r="C625" s="74" t="s">
        <v>1135</v>
      </c>
      <c r="D625" s="74">
        <v>22.95</v>
      </c>
    </row>
    <row r="626" spans="1:4">
      <c r="A626" t="s">
        <v>480</v>
      </c>
      <c r="B626" s="73" t="s">
        <v>505</v>
      </c>
      <c r="C626" s="74" t="s">
        <v>1136</v>
      </c>
      <c r="D626" s="74">
        <v>275.99</v>
      </c>
    </row>
    <row r="627" spans="1:4">
      <c r="A627" t="s">
        <v>480</v>
      </c>
      <c r="B627" s="73" t="s">
        <v>505</v>
      </c>
      <c r="C627" s="74" t="s">
        <v>1137</v>
      </c>
      <c r="D627" s="74">
        <v>359.99</v>
      </c>
    </row>
    <row r="628" spans="1:4">
      <c r="A628" t="s">
        <v>480</v>
      </c>
      <c r="B628" s="73" t="s">
        <v>1138</v>
      </c>
      <c r="C628" s="74" t="s">
        <v>1139</v>
      </c>
      <c r="D628" s="74">
        <v>79</v>
      </c>
    </row>
    <row r="629" spans="1:4">
      <c r="A629" t="s">
        <v>480</v>
      </c>
      <c r="B629" s="73" t="s">
        <v>510</v>
      </c>
      <c r="C629" s="74" t="s">
        <v>1140</v>
      </c>
      <c r="D629" s="74">
        <v>249.99</v>
      </c>
    </row>
    <row r="630" spans="1:4">
      <c r="A630" t="s">
        <v>480</v>
      </c>
      <c r="B630" s="73" t="s">
        <v>510</v>
      </c>
      <c r="C630" s="74" t="s">
        <v>1141</v>
      </c>
      <c r="D630" s="74">
        <v>145.99</v>
      </c>
    </row>
    <row r="631" spans="1:4">
      <c r="A631" t="s">
        <v>480</v>
      </c>
      <c r="B631" s="73" t="s">
        <v>505</v>
      </c>
      <c r="C631" s="74" t="s">
        <v>1142</v>
      </c>
      <c r="D631" s="74">
        <v>399.89</v>
      </c>
    </row>
    <row r="632" spans="1:4">
      <c r="A632" t="s">
        <v>480</v>
      </c>
      <c r="B632" s="73" t="s">
        <v>839</v>
      </c>
      <c r="C632" s="74" t="s">
        <v>1143</v>
      </c>
      <c r="D632" s="74">
        <v>356.97</v>
      </c>
    </row>
    <row r="633" spans="1:4">
      <c r="A633" t="s">
        <v>480</v>
      </c>
      <c r="B633" s="73" t="s">
        <v>529</v>
      </c>
      <c r="C633" s="74" t="s">
        <v>1144</v>
      </c>
      <c r="D633" s="74">
        <v>60</v>
      </c>
    </row>
    <row r="634" spans="1:4">
      <c r="A634" t="s">
        <v>480</v>
      </c>
      <c r="B634" s="73" t="s">
        <v>510</v>
      </c>
      <c r="C634" s="74" t="s">
        <v>1145</v>
      </c>
      <c r="D634" s="74">
        <v>99.99</v>
      </c>
    </row>
    <row r="635" spans="1:4">
      <c r="A635" t="s">
        <v>480</v>
      </c>
      <c r="B635" s="73" t="s">
        <v>505</v>
      </c>
      <c r="C635" s="74" t="s">
        <v>1146</v>
      </c>
      <c r="D635" s="74">
        <v>299.99</v>
      </c>
    </row>
    <row r="636" spans="1:4">
      <c r="A636" t="s">
        <v>480</v>
      </c>
      <c r="B636" s="73" t="s">
        <v>561</v>
      </c>
      <c r="C636" s="74" t="s">
        <v>1147</v>
      </c>
      <c r="D636" s="74">
        <v>79.989999999999995</v>
      </c>
    </row>
    <row r="637" spans="1:4">
      <c r="A637" t="s">
        <v>480</v>
      </c>
      <c r="B637" s="73" t="s">
        <v>510</v>
      </c>
      <c r="C637" s="74" t="s">
        <v>1148</v>
      </c>
      <c r="D637" s="74">
        <v>249.99</v>
      </c>
    </row>
    <row r="638" spans="1:4">
      <c r="A638" t="s">
        <v>480</v>
      </c>
      <c r="B638" s="73" t="s">
        <v>510</v>
      </c>
      <c r="C638" s="74" t="s">
        <v>1149</v>
      </c>
      <c r="D638" s="74">
        <v>64.25</v>
      </c>
    </row>
    <row r="639" spans="1:4">
      <c r="A639" t="s">
        <v>480</v>
      </c>
      <c r="B639" s="73" t="s">
        <v>505</v>
      </c>
      <c r="C639" s="74" t="s">
        <v>1150</v>
      </c>
      <c r="D639" s="74">
        <v>84.99</v>
      </c>
    </row>
    <row r="640" spans="1:4">
      <c r="A640" t="s">
        <v>480</v>
      </c>
      <c r="B640" s="73" t="s">
        <v>510</v>
      </c>
      <c r="C640" s="74" t="s">
        <v>1151</v>
      </c>
      <c r="D640" s="74">
        <v>136.94999999999999</v>
      </c>
    </row>
    <row r="641" spans="1:4" ht="21">
      <c r="A641" t="s">
        <v>480</v>
      </c>
      <c r="B641" s="73" t="s">
        <v>505</v>
      </c>
      <c r="C641" s="74" t="s">
        <v>1152</v>
      </c>
      <c r="D641" s="74">
        <v>69.989999999999995</v>
      </c>
    </row>
    <row r="642" spans="1:4">
      <c r="A642" t="s">
        <v>480</v>
      </c>
      <c r="B642" s="73" t="s">
        <v>510</v>
      </c>
      <c r="C642" s="74" t="s">
        <v>1153</v>
      </c>
      <c r="D642" s="74">
        <v>339.99</v>
      </c>
    </row>
    <row r="643" spans="1:4">
      <c r="A643" t="s">
        <v>480</v>
      </c>
      <c r="B643" s="73" t="s">
        <v>546</v>
      </c>
      <c r="C643" s="74" t="s">
        <v>1154</v>
      </c>
      <c r="D643" s="74">
        <v>19.95</v>
      </c>
    </row>
    <row r="644" spans="1:4">
      <c r="A644" t="s">
        <v>480</v>
      </c>
      <c r="B644" s="73" t="s">
        <v>505</v>
      </c>
      <c r="C644" s="74" t="s">
        <v>1155</v>
      </c>
      <c r="D644" s="74">
        <v>185.99</v>
      </c>
    </row>
    <row r="645" spans="1:4">
      <c r="A645" t="s">
        <v>480</v>
      </c>
      <c r="B645" s="73" t="s">
        <v>510</v>
      </c>
      <c r="C645" s="74" t="s">
        <v>1156</v>
      </c>
      <c r="D645" s="74">
        <v>90</v>
      </c>
    </row>
    <row r="646" spans="1:4">
      <c r="A646" t="s">
        <v>480</v>
      </c>
      <c r="B646" s="73" t="s">
        <v>510</v>
      </c>
      <c r="C646" s="74" t="s">
        <v>1157</v>
      </c>
      <c r="D646" s="74">
        <v>580</v>
      </c>
    </row>
    <row r="647" spans="1:4">
      <c r="A647" t="s">
        <v>480</v>
      </c>
      <c r="B647" s="73" t="s">
        <v>510</v>
      </c>
      <c r="C647" s="74" t="s">
        <v>1158</v>
      </c>
      <c r="D647" s="74">
        <v>219.99</v>
      </c>
    </row>
    <row r="648" spans="1:4">
      <c r="A648" t="s">
        <v>480</v>
      </c>
      <c r="B648" s="73" t="s">
        <v>510</v>
      </c>
      <c r="C648" s="74" t="s">
        <v>1159</v>
      </c>
      <c r="D648" s="74">
        <v>409</v>
      </c>
    </row>
    <row r="649" spans="1:4">
      <c r="A649" t="s">
        <v>480</v>
      </c>
      <c r="B649" s="73" t="s">
        <v>510</v>
      </c>
      <c r="C649" s="74" t="s">
        <v>1160</v>
      </c>
      <c r="D649" s="74">
        <v>219.99</v>
      </c>
    </row>
    <row r="650" spans="1:4">
      <c r="A650" t="s">
        <v>480</v>
      </c>
      <c r="B650" s="73" t="s">
        <v>510</v>
      </c>
      <c r="C650" s="74" t="s">
        <v>1161</v>
      </c>
      <c r="D650" s="74">
        <v>189.99</v>
      </c>
    </row>
    <row r="651" spans="1:4">
      <c r="A651" t="s">
        <v>480</v>
      </c>
      <c r="B651" s="73" t="s">
        <v>1162</v>
      </c>
      <c r="C651" s="74" t="s">
        <v>1163</v>
      </c>
      <c r="D651" s="74">
        <v>269</v>
      </c>
    </row>
    <row r="652" spans="1:4">
      <c r="A652" t="s">
        <v>480</v>
      </c>
      <c r="B652" s="73" t="s">
        <v>1162</v>
      </c>
      <c r="C652" s="74" t="s">
        <v>1164</v>
      </c>
      <c r="D652" s="74">
        <v>80</v>
      </c>
    </row>
    <row r="653" spans="1:4">
      <c r="A653" t="s">
        <v>480</v>
      </c>
      <c r="B653" s="73" t="s">
        <v>1162</v>
      </c>
      <c r="C653" s="74" t="s">
        <v>1165</v>
      </c>
      <c r="D653" s="74">
        <v>79.989999999999995</v>
      </c>
    </row>
    <row r="654" spans="1:4">
      <c r="A654" t="s">
        <v>480</v>
      </c>
      <c r="B654" s="73" t="s">
        <v>505</v>
      </c>
      <c r="C654" s="74" t="s">
        <v>1166</v>
      </c>
      <c r="D654" s="74">
        <v>279.99</v>
      </c>
    </row>
    <row r="655" spans="1:4">
      <c r="A655" t="s">
        <v>480</v>
      </c>
      <c r="B655" s="73" t="s">
        <v>510</v>
      </c>
      <c r="C655" s="74" t="s">
        <v>1167</v>
      </c>
      <c r="D655" s="74">
        <v>119.98</v>
      </c>
    </row>
    <row r="656" spans="1:4">
      <c r="A656" t="s">
        <v>480</v>
      </c>
      <c r="B656" s="73" t="s">
        <v>561</v>
      </c>
      <c r="C656" s="74" t="s">
        <v>1168</v>
      </c>
      <c r="D656" s="74">
        <v>114.99</v>
      </c>
    </row>
    <row r="657" spans="1:4">
      <c r="A657" t="s">
        <v>480</v>
      </c>
      <c r="B657" s="73" t="s">
        <v>579</v>
      </c>
      <c r="C657" s="74" t="s">
        <v>1169</v>
      </c>
      <c r="D657" s="74">
        <v>309</v>
      </c>
    </row>
    <row r="658" spans="1:4">
      <c r="A658" t="s">
        <v>480</v>
      </c>
      <c r="B658" s="73" t="s">
        <v>510</v>
      </c>
      <c r="C658" s="74" t="s">
        <v>1170</v>
      </c>
      <c r="D658" s="74">
        <v>224.99</v>
      </c>
    </row>
    <row r="659" spans="1:4">
      <c r="A659" t="s">
        <v>480</v>
      </c>
      <c r="B659" s="73" t="s">
        <v>505</v>
      </c>
      <c r="C659" s="74" t="s">
        <v>1171</v>
      </c>
      <c r="D659" s="74">
        <v>377</v>
      </c>
    </row>
    <row r="660" spans="1:4">
      <c r="A660" t="s">
        <v>480</v>
      </c>
      <c r="B660" s="73" t="s">
        <v>510</v>
      </c>
      <c r="C660" s="74" t="s">
        <v>1172</v>
      </c>
      <c r="D660" s="74">
        <v>110</v>
      </c>
    </row>
    <row r="661" spans="1:4">
      <c r="A661" t="s">
        <v>480</v>
      </c>
      <c r="B661" s="73" t="s">
        <v>529</v>
      </c>
      <c r="C661" s="74" t="s">
        <v>1173</v>
      </c>
      <c r="D661" s="74">
        <v>159.99</v>
      </c>
    </row>
    <row r="662" spans="1:4">
      <c r="A662" t="s">
        <v>480</v>
      </c>
      <c r="B662" s="73" t="s">
        <v>505</v>
      </c>
      <c r="C662" s="74" t="s">
        <v>1174</v>
      </c>
      <c r="D662" s="74">
        <v>299.99</v>
      </c>
    </row>
    <row r="663" spans="1:4">
      <c r="A663" t="s">
        <v>480</v>
      </c>
      <c r="B663" s="73" t="s">
        <v>1162</v>
      </c>
      <c r="C663" s="74" t="s">
        <v>1175</v>
      </c>
      <c r="D663" s="74">
        <v>109.99</v>
      </c>
    </row>
    <row r="664" spans="1:4">
      <c r="A664" t="s">
        <v>480</v>
      </c>
      <c r="B664" s="73" t="s">
        <v>579</v>
      </c>
      <c r="C664" s="74" t="s">
        <v>1176</v>
      </c>
      <c r="D664" s="74">
        <v>566</v>
      </c>
    </row>
    <row r="665" spans="1:4">
      <c r="A665" t="s">
        <v>480</v>
      </c>
      <c r="B665" s="73" t="s">
        <v>505</v>
      </c>
      <c r="C665" s="74" t="s">
        <v>1177</v>
      </c>
      <c r="D665" s="74">
        <v>243</v>
      </c>
    </row>
    <row r="666" spans="1:4">
      <c r="A666" t="s">
        <v>480</v>
      </c>
      <c r="B666" s="73" t="s">
        <v>505</v>
      </c>
      <c r="C666" s="74" t="s">
        <v>1178</v>
      </c>
      <c r="D666" s="74">
        <v>222</v>
      </c>
    </row>
    <row r="667" spans="1:4">
      <c r="A667" t="s">
        <v>480</v>
      </c>
      <c r="B667" s="73" t="s">
        <v>561</v>
      </c>
      <c r="C667" s="74" t="s">
        <v>1179</v>
      </c>
      <c r="D667" s="74">
        <v>184.99</v>
      </c>
    </row>
    <row r="668" spans="1:4">
      <c r="A668" t="s">
        <v>480</v>
      </c>
      <c r="B668" s="73" t="s">
        <v>810</v>
      </c>
      <c r="C668" s="74" t="s">
        <v>1180</v>
      </c>
      <c r="D668" s="74">
        <v>445</v>
      </c>
    </row>
    <row r="669" spans="1:4">
      <c r="A669" t="s">
        <v>480</v>
      </c>
      <c r="B669" s="73" t="s">
        <v>510</v>
      </c>
      <c r="C669" s="74" t="s">
        <v>1181</v>
      </c>
      <c r="D669" s="74">
        <v>221</v>
      </c>
    </row>
    <row r="670" spans="1:4">
      <c r="A670" t="s">
        <v>480</v>
      </c>
      <c r="B670" s="73" t="s">
        <v>505</v>
      </c>
      <c r="C670" s="74" t="s">
        <v>1182</v>
      </c>
      <c r="D670" s="74">
        <v>564.99</v>
      </c>
    </row>
    <row r="671" spans="1:4">
      <c r="A671" t="s">
        <v>480</v>
      </c>
      <c r="B671" s="73" t="s">
        <v>510</v>
      </c>
      <c r="C671" s="74" t="s">
        <v>1183</v>
      </c>
      <c r="D671" s="74">
        <v>198.99</v>
      </c>
    </row>
    <row r="672" spans="1:4">
      <c r="A672" t="s">
        <v>480</v>
      </c>
      <c r="B672" s="73" t="s">
        <v>523</v>
      </c>
      <c r="C672" s="74" t="s">
        <v>1184</v>
      </c>
      <c r="D672" s="74">
        <v>152.99</v>
      </c>
    </row>
    <row r="673" spans="1:4">
      <c r="A673" t="s">
        <v>480</v>
      </c>
      <c r="B673" s="73" t="s">
        <v>510</v>
      </c>
      <c r="C673" s="74" t="s">
        <v>1185</v>
      </c>
      <c r="D673" s="74">
        <v>729.99</v>
      </c>
    </row>
    <row r="674" spans="1:4">
      <c r="A674" t="s">
        <v>480</v>
      </c>
      <c r="B674" s="73" t="s">
        <v>810</v>
      </c>
      <c r="C674" s="74" t="s">
        <v>1186</v>
      </c>
      <c r="D674" s="74">
        <v>199</v>
      </c>
    </row>
    <row r="675" spans="1:4">
      <c r="A675" t="s">
        <v>480</v>
      </c>
      <c r="B675" s="73" t="s">
        <v>505</v>
      </c>
      <c r="C675" s="74" t="s">
        <v>1187</v>
      </c>
      <c r="D675" s="74">
        <v>79</v>
      </c>
    </row>
    <row r="676" spans="1:4">
      <c r="A676" t="s">
        <v>480</v>
      </c>
      <c r="B676" s="73" t="s">
        <v>810</v>
      </c>
      <c r="C676" s="74" t="s">
        <v>1188</v>
      </c>
      <c r="D676" s="74">
        <v>119.99</v>
      </c>
    </row>
    <row r="677" spans="1:4">
      <c r="A677" t="s">
        <v>480</v>
      </c>
      <c r="B677" s="73" t="s">
        <v>510</v>
      </c>
      <c r="C677" s="74" t="s">
        <v>1189</v>
      </c>
      <c r="D677" s="74">
        <v>134.99</v>
      </c>
    </row>
    <row r="678" spans="1:4">
      <c r="A678" t="s">
        <v>480</v>
      </c>
      <c r="B678" s="73" t="s">
        <v>510</v>
      </c>
      <c r="C678" s="74" t="s">
        <v>1190</v>
      </c>
      <c r="D678" s="74">
        <v>65</v>
      </c>
    </row>
    <row r="679" spans="1:4">
      <c r="A679" t="s">
        <v>480</v>
      </c>
      <c r="B679" s="73" t="s">
        <v>510</v>
      </c>
      <c r="C679" s="74" t="s">
        <v>1191</v>
      </c>
      <c r="D679" s="74">
        <v>180.99</v>
      </c>
    </row>
    <row r="680" spans="1:4">
      <c r="A680" t="s">
        <v>480</v>
      </c>
      <c r="B680" s="73" t="s">
        <v>510</v>
      </c>
      <c r="C680" s="74" t="s">
        <v>1192</v>
      </c>
      <c r="D680" s="74">
        <v>248.97</v>
      </c>
    </row>
    <row r="681" spans="1:4">
      <c r="A681" t="s">
        <v>480</v>
      </c>
      <c r="B681" s="73" t="s">
        <v>505</v>
      </c>
      <c r="C681" s="74" t="s">
        <v>1193</v>
      </c>
      <c r="D681" s="74">
        <v>224.99</v>
      </c>
    </row>
    <row r="682" spans="1:4">
      <c r="A682" t="s">
        <v>480</v>
      </c>
      <c r="B682" s="73" t="s">
        <v>505</v>
      </c>
      <c r="C682" s="74" t="s">
        <v>1194</v>
      </c>
      <c r="D682" s="74">
        <v>75.989999999999995</v>
      </c>
    </row>
    <row r="683" spans="1:4">
      <c r="A683" t="s">
        <v>480</v>
      </c>
      <c r="B683" s="73" t="s">
        <v>505</v>
      </c>
      <c r="C683" s="74" t="s">
        <v>1195</v>
      </c>
      <c r="D683" s="74">
        <v>309.99</v>
      </c>
    </row>
    <row r="684" spans="1:4">
      <c r="A684" t="s">
        <v>480</v>
      </c>
      <c r="B684" s="73" t="s">
        <v>772</v>
      </c>
      <c r="C684" s="74" t="s">
        <v>1196</v>
      </c>
      <c r="D684" s="74">
        <v>8.99</v>
      </c>
    </row>
    <row r="685" spans="1:4">
      <c r="A685" t="s">
        <v>480</v>
      </c>
      <c r="B685" s="73" t="s">
        <v>510</v>
      </c>
      <c r="C685" s="74" t="s">
        <v>1197</v>
      </c>
      <c r="D685" s="74">
        <v>249.99</v>
      </c>
    </row>
    <row r="686" spans="1:4">
      <c r="A686" t="s">
        <v>480</v>
      </c>
      <c r="B686" s="73" t="s">
        <v>529</v>
      </c>
      <c r="C686" s="74" t="s">
        <v>1198</v>
      </c>
      <c r="D686" s="74">
        <v>38.99</v>
      </c>
    </row>
    <row r="687" spans="1:4">
      <c r="A687" t="s">
        <v>480</v>
      </c>
      <c r="B687" s="73" t="s">
        <v>505</v>
      </c>
      <c r="C687" s="74" t="s">
        <v>1199</v>
      </c>
      <c r="D687" s="74">
        <v>185</v>
      </c>
    </row>
    <row r="688" spans="1:4">
      <c r="A688" t="s">
        <v>480</v>
      </c>
      <c r="B688" s="73" t="s">
        <v>510</v>
      </c>
      <c r="C688" s="74" t="s">
        <v>1200</v>
      </c>
      <c r="D688" s="74">
        <v>660</v>
      </c>
    </row>
    <row r="689" spans="1:4">
      <c r="A689" t="s">
        <v>480</v>
      </c>
      <c r="B689" s="73" t="s">
        <v>546</v>
      </c>
      <c r="C689" s="74" t="s">
        <v>1201</v>
      </c>
      <c r="D689" s="74">
        <v>16.989999999999998</v>
      </c>
    </row>
    <row r="690" spans="1:4">
      <c r="A690" t="s">
        <v>480</v>
      </c>
      <c r="B690" s="73" t="s">
        <v>738</v>
      </c>
      <c r="C690" s="74" t="s">
        <v>1202</v>
      </c>
      <c r="D690" s="74">
        <v>139.59</v>
      </c>
    </row>
    <row r="691" spans="1:4">
      <c r="A691" t="s">
        <v>480</v>
      </c>
      <c r="B691" s="73" t="s">
        <v>510</v>
      </c>
      <c r="C691" s="74" t="s">
        <v>1203</v>
      </c>
      <c r="D691" s="74">
        <v>436.97</v>
      </c>
    </row>
    <row r="692" spans="1:4">
      <c r="A692" t="s">
        <v>480</v>
      </c>
      <c r="B692" s="73" t="s">
        <v>505</v>
      </c>
      <c r="C692" s="74" t="s">
        <v>1204</v>
      </c>
      <c r="D692" s="74">
        <v>169</v>
      </c>
    </row>
    <row r="693" spans="1:4">
      <c r="A693" t="s">
        <v>480</v>
      </c>
      <c r="B693" s="73" t="s">
        <v>569</v>
      </c>
      <c r="C693" s="74" t="s">
        <v>1205</v>
      </c>
      <c r="D693" s="74">
        <v>94.99</v>
      </c>
    </row>
    <row r="694" spans="1:4">
      <c r="A694" t="s">
        <v>480</v>
      </c>
      <c r="B694" s="73" t="s">
        <v>505</v>
      </c>
      <c r="C694" s="74" t="s">
        <v>1206</v>
      </c>
      <c r="D694" s="74">
        <v>271.97000000000003</v>
      </c>
    </row>
    <row r="695" spans="1:4">
      <c r="A695" t="s">
        <v>480</v>
      </c>
      <c r="B695" s="73" t="s">
        <v>510</v>
      </c>
      <c r="C695" s="74" t="s">
        <v>1207</v>
      </c>
      <c r="D695" s="74">
        <v>149.88999999999999</v>
      </c>
    </row>
    <row r="696" spans="1:4">
      <c r="A696" t="s">
        <v>480</v>
      </c>
      <c r="B696" s="73" t="s">
        <v>510</v>
      </c>
      <c r="C696" s="74" t="s">
        <v>1208</v>
      </c>
      <c r="D696" s="74">
        <v>799.95</v>
      </c>
    </row>
    <row r="697" spans="1:4">
      <c r="A697" t="s">
        <v>480</v>
      </c>
      <c r="B697" s="73" t="s">
        <v>505</v>
      </c>
      <c r="C697" s="74" t="s">
        <v>1209</v>
      </c>
      <c r="D697" s="74">
        <v>144.99</v>
      </c>
    </row>
    <row r="698" spans="1:4">
      <c r="A698" t="s">
        <v>480</v>
      </c>
      <c r="B698" s="73" t="s">
        <v>510</v>
      </c>
      <c r="C698" s="74" t="s">
        <v>885</v>
      </c>
      <c r="D698" s="74">
        <v>749.99</v>
      </c>
    </row>
    <row r="699" spans="1:4">
      <c r="A699" t="s">
        <v>480</v>
      </c>
      <c r="B699" s="73" t="s">
        <v>505</v>
      </c>
      <c r="C699" s="74" t="s">
        <v>1210</v>
      </c>
      <c r="D699" s="74">
        <v>34.99</v>
      </c>
    </row>
    <row r="700" spans="1:4">
      <c r="A700" t="s">
        <v>480</v>
      </c>
      <c r="B700" s="73" t="s">
        <v>510</v>
      </c>
      <c r="C700" s="74" t="s">
        <v>1211</v>
      </c>
      <c r="D700" s="74">
        <v>549.99</v>
      </c>
    </row>
    <row r="701" spans="1:4">
      <c r="A701" t="s">
        <v>480</v>
      </c>
      <c r="B701" s="73" t="s">
        <v>810</v>
      </c>
      <c r="C701" s="74" t="s">
        <v>1212</v>
      </c>
      <c r="D701" s="74">
        <v>119</v>
      </c>
    </row>
    <row r="702" spans="1:4">
      <c r="A702" t="s">
        <v>480</v>
      </c>
      <c r="B702" s="73" t="s">
        <v>505</v>
      </c>
      <c r="C702" s="74" t="s">
        <v>1213</v>
      </c>
      <c r="D702" s="74">
        <v>449.49</v>
      </c>
    </row>
    <row r="703" spans="1:4">
      <c r="A703" t="s">
        <v>480</v>
      </c>
      <c r="B703" s="73" t="s">
        <v>510</v>
      </c>
      <c r="C703" s="74" t="s">
        <v>1214</v>
      </c>
      <c r="D703" s="74">
        <v>404.95</v>
      </c>
    </row>
    <row r="704" spans="1:4">
      <c r="A704" t="s">
        <v>480</v>
      </c>
      <c r="B704" s="73" t="s">
        <v>839</v>
      </c>
      <c r="C704" s="74" t="s">
        <v>1215</v>
      </c>
      <c r="D704" s="74">
        <v>199.99</v>
      </c>
    </row>
    <row r="705" spans="1:4">
      <c r="A705" t="s">
        <v>480</v>
      </c>
      <c r="B705" s="73" t="s">
        <v>505</v>
      </c>
      <c r="C705" s="74" t="s">
        <v>1216</v>
      </c>
      <c r="D705" s="74">
        <v>734.99</v>
      </c>
    </row>
    <row r="706" spans="1:4">
      <c r="A706" t="s">
        <v>480</v>
      </c>
      <c r="B706" s="73" t="s">
        <v>510</v>
      </c>
      <c r="C706" s="74" t="s">
        <v>916</v>
      </c>
      <c r="D706" s="74">
        <v>664.69</v>
      </c>
    </row>
    <row r="707" spans="1:4">
      <c r="A707" t="s">
        <v>480</v>
      </c>
      <c r="B707" s="73" t="s">
        <v>510</v>
      </c>
      <c r="C707" s="74" t="s">
        <v>1217</v>
      </c>
      <c r="D707" s="74">
        <v>504.99</v>
      </c>
    </row>
    <row r="708" spans="1:4">
      <c r="A708" t="s">
        <v>480</v>
      </c>
      <c r="B708" s="73" t="s">
        <v>745</v>
      </c>
      <c r="C708" s="74" t="s">
        <v>1218</v>
      </c>
      <c r="D708" s="74">
        <v>14.99</v>
      </c>
    </row>
    <row r="709" spans="1:4">
      <c r="A709" t="s">
        <v>480</v>
      </c>
      <c r="B709" s="73" t="s">
        <v>738</v>
      </c>
      <c r="C709" s="74" t="s">
        <v>1219</v>
      </c>
      <c r="D709" s="74">
        <v>239.99</v>
      </c>
    </row>
    <row r="710" spans="1:4">
      <c r="A710" t="s">
        <v>480</v>
      </c>
      <c r="B710" s="73" t="s">
        <v>505</v>
      </c>
      <c r="C710" s="74" t="s">
        <v>1220</v>
      </c>
      <c r="D710" s="74">
        <v>469</v>
      </c>
    </row>
    <row r="711" spans="1:4">
      <c r="A711" t="s">
        <v>480</v>
      </c>
      <c r="B711" s="73" t="s">
        <v>523</v>
      </c>
      <c r="C711" s="74" t="s">
        <v>1221</v>
      </c>
      <c r="D711" s="74">
        <v>139.99</v>
      </c>
    </row>
    <row r="712" spans="1:4">
      <c r="A712" t="s">
        <v>480</v>
      </c>
      <c r="B712" s="73" t="s">
        <v>505</v>
      </c>
      <c r="C712" s="74" t="s">
        <v>1222</v>
      </c>
      <c r="D712" s="74">
        <v>479.99</v>
      </c>
    </row>
    <row r="713" spans="1:4">
      <c r="A713" t="s">
        <v>480</v>
      </c>
      <c r="B713" s="73" t="s">
        <v>510</v>
      </c>
      <c r="C713" s="74" t="s">
        <v>1223</v>
      </c>
      <c r="D713" s="74">
        <v>209</v>
      </c>
    </row>
    <row r="714" spans="1:4">
      <c r="A714" t="s">
        <v>480</v>
      </c>
      <c r="B714" s="73" t="s">
        <v>505</v>
      </c>
      <c r="C714" s="74" t="s">
        <v>1224</v>
      </c>
      <c r="D714" s="74">
        <v>277.49</v>
      </c>
    </row>
    <row r="715" spans="1:4" ht="21">
      <c r="A715" t="s">
        <v>480</v>
      </c>
      <c r="B715" s="73" t="s">
        <v>505</v>
      </c>
      <c r="C715" s="74" t="s">
        <v>1225</v>
      </c>
      <c r="D715" s="74">
        <v>124.89</v>
      </c>
    </row>
    <row r="716" spans="1:4">
      <c r="A716" t="s">
        <v>480</v>
      </c>
      <c r="B716" s="73" t="s">
        <v>510</v>
      </c>
      <c r="C716" s="74" t="s">
        <v>1226</v>
      </c>
      <c r="D716" s="74">
        <v>289.69</v>
      </c>
    </row>
    <row r="717" spans="1:4">
      <c r="A717" t="s">
        <v>480</v>
      </c>
      <c r="B717" s="73" t="s">
        <v>738</v>
      </c>
      <c r="C717" s="74" t="s">
        <v>1227</v>
      </c>
      <c r="D717" s="74">
        <v>289.99</v>
      </c>
    </row>
    <row r="718" spans="1:4">
      <c r="A718" t="s">
        <v>480</v>
      </c>
      <c r="B718" s="73" t="s">
        <v>505</v>
      </c>
      <c r="C718" s="74" t="s">
        <v>1228</v>
      </c>
      <c r="D718" s="74">
        <v>269.79000000000002</v>
      </c>
    </row>
    <row r="719" spans="1:4">
      <c r="A719" t="s">
        <v>480</v>
      </c>
      <c r="B719" s="73" t="s">
        <v>505</v>
      </c>
      <c r="C719" s="74" t="s">
        <v>1229</v>
      </c>
      <c r="D719" s="74">
        <v>490</v>
      </c>
    </row>
    <row r="720" spans="1:4">
      <c r="A720" t="s">
        <v>480</v>
      </c>
      <c r="B720" s="73" t="s">
        <v>510</v>
      </c>
      <c r="C720" s="74" t="s">
        <v>668</v>
      </c>
      <c r="D720" s="74">
        <v>239.99</v>
      </c>
    </row>
    <row r="721" spans="1:4">
      <c r="A721" t="s">
        <v>480</v>
      </c>
      <c r="B721" s="73" t="s">
        <v>510</v>
      </c>
      <c r="C721" s="74" t="s">
        <v>1230</v>
      </c>
      <c r="D721" s="74">
        <v>523.95000000000005</v>
      </c>
    </row>
    <row r="722" spans="1:4">
      <c r="A722" t="s">
        <v>480</v>
      </c>
      <c r="B722" s="73" t="s">
        <v>505</v>
      </c>
      <c r="C722" s="74" t="s">
        <v>1231</v>
      </c>
      <c r="D722" s="74">
        <v>399.99</v>
      </c>
    </row>
    <row r="723" spans="1:4">
      <c r="A723" t="s">
        <v>480</v>
      </c>
      <c r="B723" s="73" t="s">
        <v>505</v>
      </c>
      <c r="C723" s="74" t="s">
        <v>1232</v>
      </c>
      <c r="D723" s="74">
        <v>240</v>
      </c>
    </row>
    <row r="724" spans="1:4">
      <c r="A724" t="s">
        <v>480</v>
      </c>
      <c r="B724" s="73" t="s">
        <v>510</v>
      </c>
      <c r="C724" s="74" t="s">
        <v>1233</v>
      </c>
      <c r="D724" s="74">
        <v>434.97</v>
      </c>
    </row>
    <row r="725" spans="1:4">
      <c r="A725" t="s">
        <v>480</v>
      </c>
      <c r="B725" s="73" t="s">
        <v>523</v>
      </c>
      <c r="C725" s="74" t="s">
        <v>1234</v>
      </c>
      <c r="D725" s="74">
        <v>134.99</v>
      </c>
    </row>
    <row r="726" spans="1:4">
      <c r="A726" t="s">
        <v>480</v>
      </c>
      <c r="B726" s="73" t="s">
        <v>810</v>
      </c>
      <c r="C726" s="74" t="s">
        <v>1235</v>
      </c>
      <c r="D726" s="74">
        <v>204.99</v>
      </c>
    </row>
    <row r="727" spans="1:4">
      <c r="A727" t="s">
        <v>480</v>
      </c>
      <c r="B727" s="73" t="s">
        <v>510</v>
      </c>
      <c r="C727" s="74" t="s">
        <v>1236</v>
      </c>
      <c r="D727" s="74">
        <v>169.47</v>
      </c>
    </row>
    <row r="728" spans="1:4">
      <c r="A728" t="s">
        <v>480</v>
      </c>
      <c r="B728" s="73" t="s">
        <v>505</v>
      </c>
      <c r="C728" s="74" t="s">
        <v>1237</v>
      </c>
      <c r="D728" s="74">
        <v>311.97000000000003</v>
      </c>
    </row>
    <row r="729" spans="1:4">
      <c r="A729" t="s">
        <v>480</v>
      </c>
      <c r="B729" s="73" t="s">
        <v>507</v>
      </c>
      <c r="C729" s="74" t="s">
        <v>640</v>
      </c>
      <c r="D729" s="74">
        <v>86.99</v>
      </c>
    </row>
    <row r="730" spans="1:4">
      <c r="A730" t="s">
        <v>480</v>
      </c>
      <c r="B730" s="73" t="s">
        <v>738</v>
      </c>
      <c r="C730" s="74" t="s">
        <v>1238</v>
      </c>
      <c r="D730" s="74">
        <v>399.99</v>
      </c>
    </row>
    <row r="731" spans="1:4">
      <c r="A731" t="s">
        <v>480</v>
      </c>
      <c r="B731" s="73" t="s">
        <v>561</v>
      </c>
      <c r="C731" s="74" t="s">
        <v>1239</v>
      </c>
      <c r="D731" s="74">
        <v>284.99</v>
      </c>
    </row>
    <row r="732" spans="1:4">
      <c r="A732" t="s">
        <v>480</v>
      </c>
      <c r="B732" s="73" t="s">
        <v>505</v>
      </c>
      <c r="C732" s="74" t="s">
        <v>1240</v>
      </c>
      <c r="D732" s="74">
        <v>79.989999999999995</v>
      </c>
    </row>
    <row r="733" spans="1:4">
      <c r="A733" t="s">
        <v>480</v>
      </c>
      <c r="B733" s="73" t="s">
        <v>510</v>
      </c>
      <c r="C733" s="74" t="s">
        <v>1241</v>
      </c>
      <c r="D733" s="74">
        <v>172.95</v>
      </c>
    </row>
    <row r="734" spans="1:4">
      <c r="A734" t="s">
        <v>480</v>
      </c>
      <c r="B734" s="73" t="s">
        <v>683</v>
      </c>
      <c r="C734" s="74" t="s">
        <v>1242</v>
      </c>
      <c r="D734" s="74">
        <v>259.95999999999998</v>
      </c>
    </row>
    <row r="735" spans="1:4">
      <c r="A735" t="s">
        <v>480</v>
      </c>
      <c r="B735" s="73" t="s">
        <v>510</v>
      </c>
      <c r="C735" s="74" t="s">
        <v>1243</v>
      </c>
      <c r="D735" s="74">
        <v>529</v>
      </c>
    </row>
    <row r="736" spans="1:4">
      <c r="A736" t="s">
        <v>480</v>
      </c>
      <c r="B736" s="73" t="s">
        <v>510</v>
      </c>
      <c r="C736" s="74" t="s">
        <v>1244</v>
      </c>
      <c r="D736" s="74">
        <v>977</v>
      </c>
    </row>
    <row r="737" spans="1:4">
      <c r="A737" t="s">
        <v>480</v>
      </c>
      <c r="B737" s="73" t="s">
        <v>510</v>
      </c>
      <c r="C737" s="74" t="s">
        <v>1245</v>
      </c>
      <c r="D737" s="74">
        <v>368.99</v>
      </c>
    </row>
    <row r="738" spans="1:4">
      <c r="A738" t="s">
        <v>480</v>
      </c>
      <c r="B738" s="73" t="s">
        <v>505</v>
      </c>
      <c r="C738" s="74" t="s">
        <v>1246</v>
      </c>
      <c r="D738" s="74">
        <v>410</v>
      </c>
    </row>
    <row r="739" spans="1:4">
      <c r="A739" t="s">
        <v>480</v>
      </c>
      <c r="B739" s="73" t="s">
        <v>510</v>
      </c>
      <c r="C739" s="74" t="s">
        <v>1247</v>
      </c>
      <c r="D739" s="74">
        <v>89.99</v>
      </c>
    </row>
    <row r="740" spans="1:4">
      <c r="A740" t="s">
        <v>480</v>
      </c>
      <c r="B740" s="73" t="s">
        <v>505</v>
      </c>
      <c r="C740" s="74" t="s">
        <v>1248</v>
      </c>
      <c r="D740" s="74">
        <v>313</v>
      </c>
    </row>
    <row r="741" spans="1:4">
      <c r="A741" t="s">
        <v>480</v>
      </c>
      <c r="B741" s="73" t="s">
        <v>510</v>
      </c>
      <c r="C741" s="74" t="s">
        <v>1249</v>
      </c>
      <c r="D741" s="74">
        <v>102</v>
      </c>
    </row>
    <row r="742" spans="1:4">
      <c r="A742" t="s">
        <v>480</v>
      </c>
      <c r="B742" s="73" t="s">
        <v>510</v>
      </c>
      <c r="C742" s="74" t="s">
        <v>1250</v>
      </c>
      <c r="D742" s="74">
        <v>231.97</v>
      </c>
    </row>
    <row r="743" spans="1:4">
      <c r="A743" t="s">
        <v>480</v>
      </c>
      <c r="B743" s="73" t="s">
        <v>510</v>
      </c>
      <c r="C743" s="74" t="s">
        <v>1251</v>
      </c>
      <c r="D743" s="74">
        <v>242</v>
      </c>
    </row>
    <row r="744" spans="1:4">
      <c r="A744" t="s">
        <v>480</v>
      </c>
      <c r="B744" s="73" t="s">
        <v>510</v>
      </c>
      <c r="C744" s="74" t="s">
        <v>1252</v>
      </c>
      <c r="D744" s="74">
        <v>110</v>
      </c>
    </row>
    <row r="745" spans="1:4">
      <c r="A745" t="s">
        <v>480</v>
      </c>
      <c r="B745" s="73" t="s">
        <v>561</v>
      </c>
      <c r="C745" s="74" t="s">
        <v>1253</v>
      </c>
      <c r="D745" s="74">
        <v>64.989999999999995</v>
      </c>
    </row>
    <row r="746" spans="1:4">
      <c r="A746" t="s">
        <v>480</v>
      </c>
      <c r="B746" s="73" t="s">
        <v>510</v>
      </c>
      <c r="C746" s="74" t="s">
        <v>1254</v>
      </c>
      <c r="D746" s="74">
        <v>615</v>
      </c>
    </row>
    <row r="747" spans="1:4">
      <c r="A747" t="s">
        <v>480</v>
      </c>
      <c r="B747" s="73" t="s">
        <v>505</v>
      </c>
      <c r="C747" s="74" t="s">
        <v>1255</v>
      </c>
      <c r="D747" s="74">
        <v>65.989999999999995</v>
      </c>
    </row>
    <row r="748" spans="1:4">
      <c r="A748" t="s">
        <v>480</v>
      </c>
      <c r="B748" s="73" t="s">
        <v>546</v>
      </c>
      <c r="C748" s="74" t="s">
        <v>1256</v>
      </c>
      <c r="D748" s="74">
        <v>89.99</v>
      </c>
    </row>
    <row r="749" spans="1:4">
      <c r="A749" t="s">
        <v>480</v>
      </c>
      <c r="B749" s="73" t="s">
        <v>561</v>
      </c>
      <c r="C749" s="74" t="s">
        <v>1257</v>
      </c>
      <c r="D749" s="74">
        <v>114.99</v>
      </c>
    </row>
    <row r="750" spans="1:4">
      <c r="A750" t="s">
        <v>480</v>
      </c>
      <c r="B750" s="73" t="s">
        <v>510</v>
      </c>
      <c r="C750" s="74" t="s">
        <v>1258</v>
      </c>
      <c r="D750" s="74">
        <v>387</v>
      </c>
    </row>
    <row r="751" spans="1:4">
      <c r="A751" t="s">
        <v>480</v>
      </c>
      <c r="B751" s="73" t="s">
        <v>505</v>
      </c>
      <c r="C751" s="74" t="s">
        <v>1259</v>
      </c>
      <c r="D751" s="74">
        <v>494.99</v>
      </c>
    </row>
    <row r="752" spans="1:4">
      <c r="A752" t="s">
        <v>480</v>
      </c>
      <c r="B752" s="73" t="s">
        <v>505</v>
      </c>
      <c r="C752" s="74" t="s">
        <v>1260</v>
      </c>
      <c r="D752" s="74">
        <v>416.97</v>
      </c>
    </row>
    <row r="753" spans="1:4">
      <c r="A753" t="s">
        <v>480</v>
      </c>
      <c r="B753" s="73" t="s">
        <v>561</v>
      </c>
      <c r="C753" s="74" t="s">
        <v>1261</v>
      </c>
      <c r="D753" s="74">
        <v>159.99</v>
      </c>
    </row>
    <row r="754" spans="1:4">
      <c r="A754" t="s">
        <v>480</v>
      </c>
      <c r="B754" s="73" t="s">
        <v>505</v>
      </c>
      <c r="C754" s="74" t="s">
        <v>1262</v>
      </c>
      <c r="D754" s="74">
        <v>459.99</v>
      </c>
    </row>
    <row r="755" spans="1:4">
      <c r="A755" t="s">
        <v>480</v>
      </c>
      <c r="B755" s="73" t="s">
        <v>505</v>
      </c>
      <c r="C755" s="74" t="s">
        <v>1263</v>
      </c>
      <c r="D755" s="74">
        <v>65</v>
      </c>
    </row>
    <row r="756" spans="1:4">
      <c r="A756" t="s">
        <v>480</v>
      </c>
      <c r="B756" s="73" t="s">
        <v>523</v>
      </c>
      <c r="C756" s="74" t="s">
        <v>1264</v>
      </c>
      <c r="D756" s="74">
        <v>489.99</v>
      </c>
    </row>
    <row r="757" spans="1:4">
      <c r="A757" t="s">
        <v>480</v>
      </c>
      <c r="B757" s="73" t="s">
        <v>505</v>
      </c>
      <c r="C757" s="74" t="s">
        <v>1265</v>
      </c>
      <c r="D757" s="74">
        <v>349.99</v>
      </c>
    </row>
    <row r="758" spans="1:4">
      <c r="A758" t="s">
        <v>480</v>
      </c>
      <c r="B758" s="73" t="s">
        <v>505</v>
      </c>
      <c r="C758" s="74" t="s">
        <v>1266</v>
      </c>
      <c r="D758" s="74">
        <v>141.97</v>
      </c>
    </row>
    <row r="759" spans="1:4">
      <c r="A759" t="s">
        <v>480</v>
      </c>
      <c r="B759" s="73" t="s">
        <v>523</v>
      </c>
      <c r="C759" s="74" t="s">
        <v>1267</v>
      </c>
      <c r="D759" s="74">
        <v>81.97</v>
      </c>
    </row>
    <row r="760" spans="1:4">
      <c r="A760" t="s">
        <v>480</v>
      </c>
      <c r="B760" s="73" t="s">
        <v>510</v>
      </c>
      <c r="C760" s="74" t="s">
        <v>1268</v>
      </c>
      <c r="D760" s="74">
        <v>587</v>
      </c>
    </row>
    <row r="761" spans="1:4">
      <c r="A761" t="s">
        <v>480</v>
      </c>
      <c r="B761" s="73" t="s">
        <v>505</v>
      </c>
      <c r="C761" s="74" t="s">
        <v>1269</v>
      </c>
      <c r="D761" s="74">
        <v>314.99</v>
      </c>
    </row>
    <row r="762" spans="1:4">
      <c r="A762" t="s">
        <v>480</v>
      </c>
      <c r="B762" s="73" t="s">
        <v>561</v>
      </c>
      <c r="C762" s="74" t="s">
        <v>1270</v>
      </c>
      <c r="D762" s="74">
        <v>266.97000000000003</v>
      </c>
    </row>
    <row r="763" spans="1:4">
      <c r="A763" t="s">
        <v>480</v>
      </c>
      <c r="B763" s="73" t="s">
        <v>505</v>
      </c>
      <c r="C763" s="74" t="s">
        <v>1271</v>
      </c>
      <c r="D763" s="74">
        <v>99.99</v>
      </c>
    </row>
    <row r="764" spans="1:4">
      <c r="A764" t="s">
        <v>480</v>
      </c>
      <c r="B764" s="73" t="s">
        <v>510</v>
      </c>
      <c r="C764" s="74" t="s">
        <v>1272</v>
      </c>
      <c r="D764" s="74">
        <v>401.97</v>
      </c>
    </row>
    <row r="765" spans="1:4">
      <c r="A765" t="s">
        <v>480</v>
      </c>
      <c r="B765" s="73" t="s">
        <v>505</v>
      </c>
      <c r="C765" s="74" t="s">
        <v>1273</v>
      </c>
      <c r="D765" s="74">
        <v>609.99</v>
      </c>
    </row>
    <row r="766" spans="1:4">
      <c r="A766" t="s">
        <v>480</v>
      </c>
      <c r="B766" s="73" t="s">
        <v>569</v>
      </c>
      <c r="C766" s="74" t="s">
        <v>1274</v>
      </c>
      <c r="D766" s="74">
        <v>29.99</v>
      </c>
    </row>
    <row r="767" spans="1:4">
      <c r="A767" t="s">
        <v>480</v>
      </c>
      <c r="B767" s="73" t="s">
        <v>510</v>
      </c>
      <c r="C767" s="74" t="s">
        <v>1275</v>
      </c>
      <c r="D767" s="74">
        <v>309.99</v>
      </c>
    </row>
    <row r="768" spans="1:4">
      <c r="A768" t="s">
        <v>480</v>
      </c>
      <c r="B768" s="73" t="s">
        <v>510</v>
      </c>
      <c r="C768" s="74" t="s">
        <v>1276</v>
      </c>
      <c r="D768" s="74">
        <v>298</v>
      </c>
    </row>
    <row r="769" spans="1:4">
      <c r="A769" t="s">
        <v>480</v>
      </c>
      <c r="B769" s="73" t="s">
        <v>510</v>
      </c>
      <c r="C769" s="74" t="s">
        <v>1277</v>
      </c>
      <c r="D769" s="74">
        <v>1040</v>
      </c>
    </row>
    <row r="770" spans="1:4">
      <c r="A770" t="s">
        <v>480</v>
      </c>
      <c r="B770" s="73" t="s">
        <v>510</v>
      </c>
      <c r="C770" s="74" t="s">
        <v>1278</v>
      </c>
      <c r="D770" s="74">
        <v>329.99</v>
      </c>
    </row>
    <row r="771" spans="1:4">
      <c r="A771" t="s">
        <v>480</v>
      </c>
      <c r="B771" s="73" t="s">
        <v>510</v>
      </c>
      <c r="C771" s="74" t="s">
        <v>1279</v>
      </c>
      <c r="D771" s="74">
        <v>138.99</v>
      </c>
    </row>
    <row r="772" spans="1:4">
      <c r="A772" t="s">
        <v>480</v>
      </c>
      <c r="B772" s="73" t="s">
        <v>510</v>
      </c>
      <c r="C772" s="74" t="s">
        <v>1280</v>
      </c>
      <c r="D772" s="74">
        <v>274.99</v>
      </c>
    </row>
    <row r="773" spans="1:4">
      <c r="A773" t="s">
        <v>480</v>
      </c>
      <c r="B773" s="73" t="s">
        <v>510</v>
      </c>
      <c r="C773" s="74" t="s">
        <v>1281</v>
      </c>
      <c r="D773" s="74">
        <v>223.99</v>
      </c>
    </row>
    <row r="774" spans="1:4">
      <c r="A774" t="s">
        <v>480</v>
      </c>
      <c r="B774" s="73" t="s">
        <v>505</v>
      </c>
      <c r="C774" s="74" t="s">
        <v>1282</v>
      </c>
      <c r="D774" s="74">
        <v>63.99</v>
      </c>
    </row>
    <row r="775" spans="1:4">
      <c r="A775" t="s">
        <v>480</v>
      </c>
      <c r="B775" s="73" t="s">
        <v>510</v>
      </c>
      <c r="C775" s="74" t="s">
        <v>1283</v>
      </c>
      <c r="D775" s="74">
        <v>569.69000000000005</v>
      </c>
    </row>
    <row r="776" spans="1:4">
      <c r="A776" t="s">
        <v>480</v>
      </c>
      <c r="B776" s="73" t="s">
        <v>523</v>
      </c>
      <c r="C776" s="74" t="s">
        <v>1284</v>
      </c>
      <c r="D776" s="74">
        <v>579.99</v>
      </c>
    </row>
    <row r="777" spans="1:4">
      <c r="A777" t="s">
        <v>480</v>
      </c>
      <c r="B777" s="73" t="s">
        <v>505</v>
      </c>
      <c r="C777" s="74" t="s">
        <v>1285</v>
      </c>
      <c r="D777" s="74">
        <v>299.99</v>
      </c>
    </row>
    <row r="778" spans="1:4">
      <c r="A778" t="s">
        <v>480</v>
      </c>
      <c r="B778" s="73" t="s">
        <v>510</v>
      </c>
      <c r="C778" s="74" t="s">
        <v>1286</v>
      </c>
      <c r="D778" s="74">
        <v>559.99</v>
      </c>
    </row>
    <row r="779" spans="1:4">
      <c r="A779" t="s">
        <v>480</v>
      </c>
      <c r="B779" s="73" t="s">
        <v>505</v>
      </c>
      <c r="C779" s="74" t="s">
        <v>1287</v>
      </c>
      <c r="D779" s="74">
        <v>195</v>
      </c>
    </row>
    <row r="780" spans="1:4">
      <c r="A780" t="s">
        <v>480</v>
      </c>
      <c r="B780" s="73" t="s">
        <v>510</v>
      </c>
      <c r="C780" s="74" t="s">
        <v>1288</v>
      </c>
      <c r="D780" s="74">
        <v>224.99</v>
      </c>
    </row>
    <row r="781" spans="1:4">
      <c r="A781" t="s">
        <v>480</v>
      </c>
      <c r="B781" s="73" t="s">
        <v>510</v>
      </c>
      <c r="C781" s="74" t="s">
        <v>1289</v>
      </c>
      <c r="D781" s="74">
        <v>138.99</v>
      </c>
    </row>
    <row r="782" spans="1:4">
      <c r="A782" t="s">
        <v>480</v>
      </c>
      <c r="B782" s="73" t="s">
        <v>529</v>
      </c>
      <c r="C782" s="74" t="s">
        <v>1290</v>
      </c>
      <c r="D782" s="74">
        <v>69.69</v>
      </c>
    </row>
    <row r="783" spans="1:4">
      <c r="A783" t="s">
        <v>480</v>
      </c>
      <c r="B783" s="73" t="s">
        <v>505</v>
      </c>
      <c r="C783" s="74" t="s">
        <v>1291</v>
      </c>
      <c r="D783" s="74">
        <v>191.97</v>
      </c>
    </row>
    <row r="784" spans="1:4">
      <c r="A784" t="s">
        <v>480</v>
      </c>
      <c r="B784" s="73" t="s">
        <v>529</v>
      </c>
      <c r="C784" s="74" t="s">
        <v>1292</v>
      </c>
      <c r="D784" s="74">
        <v>124.29</v>
      </c>
    </row>
    <row r="785" spans="1:4">
      <c r="A785" t="s">
        <v>480</v>
      </c>
      <c r="B785" s="73" t="s">
        <v>510</v>
      </c>
      <c r="C785" s="74" t="s">
        <v>721</v>
      </c>
      <c r="D785" s="74">
        <v>549.95000000000005</v>
      </c>
    </row>
    <row r="786" spans="1:4">
      <c r="A786" t="s">
        <v>480</v>
      </c>
      <c r="B786" s="73" t="s">
        <v>505</v>
      </c>
      <c r="C786" s="74" t="s">
        <v>1293</v>
      </c>
      <c r="D786" s="74">
        <v>949</v>
      </c>
    </row>
    <row r="787" spans="1:4">
      <c r="A787" t="s">
        <v>480</v>
      </c>
      <c r="B787" s="73" t="s">
        <v>745</v>
      </c>
      <c r="C787" s="74" t="s">
        <v>1294</v>
      </c>
      <c r="D787" s="74">
        <v>9.99</v>
      </c>
    </row>
    <row r="788" spans="1:4">
      <c r="A788" t="s">
        <v>480</v>
      </c>
      <c r="B788" s="73" t="s">
        <v>505</v>
      </c>
      <c r="C788" s="74" t="s">
        <v>1295</v>
      </c>
      <c r="D788" s="74">
        <v>211.98</v>
      </c>
    </row>
    <row r="789" spans="1:4">
      <c r="A789" t="s">
        <v>480</v>
      </c>
      <c r="B789" s="73" t="s">
        <v>505</v>
      </c>
      <c r="C789" s="74" t="s">
        <v>1296</v>
      </c>
      <c r="D789" s="74">
        <v>139.29</v>
      </c>
    </row>
    <row r="790" spans="1:4">
      <c r="A790" t="s">
        <v>480</v>
      </c>
      <c r="B790" s="73" t="s">
        <v>510</v>
      </c>
      <c r="C790" s="74" t="s">
        <v>1297</v>
      </c>
      <c r="D790" s="74">
        <v>223.99</v>
      </c>
    </row>
    <row r="791" spans="1:4">
      <c r="A791" t="s">
        <v>480</v>
      </c>
      <c r="B791" s="73" t="s">
        <v>505</v>
      </c>
      <c r="C791" s="74" t="s">
        <v>1298</v>
      </c>
      <c r="D791" s="74">
        <v>62.99</v>
      </c>
    </row>
    <row r="792" spans="1:4">
      <c r="A792" t="s">
        <v>480</v>
      </c>
      <c r="B792" s="73" t="s">
        <v>505</v>
      </c>
      <c r="C792" s="74" t="s">
        <v>1299</v>
      </c>
      <c r="D792" s="74">
        <v>179</v>
      </c>
    </row>
    <row r="793" spans="1:4">
      <c r="A793" t="s">
        <v>480</v>
      </c>
      <c r="B793" s="73" t="s">
        <v>510</v>
      </c>
      <c r="C793" s="74" t="s">
        <v>1300</v>
      </c>
      <c r="D793" s="74">
        <v>770</v>
      </c>
    </row>
    <row r="794" spans="1:4">
      <c r="A794" t="s">
        <v>480</v>
      </c>
      <c r="B794" s="73" t="s">
        <v>523</v>
      </c>
      <c r="C794" s="74" t="s">
        <v>1301</v>
      </c>
      <c r="D794" s="74">
        <v>319.99</v>
      </c>
    </row>
    <row r="795" spans="1:4">
      <c r="A795" t="s">
        <v>480</v>
      </c>
      <c r="B795" s="73" t="s">
        <v>510</v>
      </c>
      <c r="C795" s="74" t="s">
        <v>1302</v>
      </c>
      <c r="D795" s="74">
        <v>119.99</v>
      </c>
    </row>
    <row r="796" spans="1:4">
      <c r="A796" t="s">
        <v>480</v>
      </c>
      <c r="B796" s="73" t="s">
        <v>510</v>
      </c>
      <c r="C796" s="74" t="s">
        <v>1303</v>
      </c>
      <c r="D796" s="74">
        <v>765.95</v>
      </c>
    </row>
    <row r="797" spans="1:4">
      <c r="A797" t="s">
        <v>480</v>
      </c>
      <c r="B797" s="73" t="s">
        <v>505</v>
      </c>
      <c r="C797" s="74" t="s">
        <v>1304</v>
      </c>
      <c r="D797" s="74">
        <v>151.47</v>
      </c>
    </row>
    <row r="798" spans="1:4">
      <c r="A798" t="s">
        <v>480</v>
      </c>
      <c r="B798" s="73" t="s">
        <v>510</v>
      </c>
      <c r="C798" s="74" t="s">
        <v>1305</v>
      </c>
      <c r="D798" s="74">
        <v>689</v>
      </c>
    </row>
    <row r="799" spans="1:4">
      <c r="A799" t="s">
        <v>480</v>
      </c>
      <c r="B799" s="73" t="s">
        <v>505</v>
      </c>
      <c r="C799" s="74" t="s">
        <v>1306</v>
      </c>
      <c r="D799" s="74">
        <v>63.99</v>
      </c>
    </row>
    <row r="800" spans="1:4">
      <c r="A800" t="s">
        <v>480</v>
      </c>
      <c r="B800" s="73" t="s">
        <v>510</v>
      </c>
      <c r="C800" s="74" t="s">
        <v>1307</v>
      </c>
      <c r="D800" s="74">
        <v>138.99</v>
      </c>
    </row>
    <row r="801" spans="1:4">
      <c r="A801" t="s">
        <v>480</v>
      </c>
      <c r="B801" s="73" t="s">
        <v>505</v>
      </c>
      <c r="C801" s="74" t="s">
        <v>1308</v>
      </c>
      <c r="D801" s="74">
        <v>279.99</v>
      </c>
    </row>
    <row r="802" spans="1:4">
      <c r="A802" t="s">
        <v>480</v>
      </c>
      <c r="B802" s="73" t="s">
        <v>505</v>
      </c>
      <c r="C802" s="74" t="s">
        <v>1309</v>
      </c>
      <c r="D802" s="74">
        <v>356.97</v>
      </c>
    </row>
    <row r="803" spans="1:4">
      <c r="A803" t="s">
        <v>480</v>
      </c>
      <c r="B803" s="73" t="s">
        <v>529</v>
      </c>
      <c r="C803" s="74" t="s">
        <v>1310</v>
      </c>
      <c r="D803" s="74">
        <v>66.489999999999995</v>
      </c>
    </row>
    <row r="804" spans="1:4">
      <c r="A804" t="s">
        <v>480</v>
      </c>
      <c r="B804" s="73" t="s">
        <v>510</v>
      </c>
      <c r="C804" s="74" t="s">
        <v>714</v>
      </c>
      <c r="D804" s="74">
        <v>379.99</v>
      </c>
    </row>
    <row r="805" spans="1:4">
      <c r="A805" t="s">
        <v>480</v>
      </c>
      <c r="B805" s="73" t="s">
        <v>505</v>
      </c>
      <c r="C805" s="74" t="s">
        <v>1311</v>
      </c>
      <c r="D805" s="74">
        <v>318.69</v>
      </c>
    </row>
    <row r="806" spans="1:4">
      <c r="A806" t="s">
        <v>480</v>
      </c>
      <c r="B806" s="73" t="s">
        <v>510</v>
      </c>
      <c r="C806" s="74" t="s">
        <v>1312</v>
      </c>
      <c r="D806" s="74">
        <v>179.89</v>
      </c>
    </row>
    <row r="807" spans="1:4">
      <c r="A807" t="s">
        <v>480</v>
      </c>
      <c r="B807" s="73" t="s">
        <v>523</v>
      </c>
      <c r="C807" s="74" t="s">
        <v>1313</v>
      </c>
      <c r="D807" s="74">
        <v>677.99</v>
      </c>
    </row>
    <row r="808" spans="1:4">
      <c r="A808" t="s">
        <v>480</v>
      </c>
      <c r="B808" s="73" t="s">
        <v>510</v>
      </c>
      <c r="C808" s="74" t="s">
        <v>1314</v>
      </c>
      <c r="D808" s="74">
        <v>65</v>
      </c>
    </row>
    <row r="809" spans="1:4">
      <c r="A809" t="s">
        <v>480</v>
      </c>
      <c r="B809" s="73" t="s">
        <v>510</v>
      </c>
      <c r="C809" s="74" t="s">
        <v>1315</v>
      </c>
      <c r="D809" s="74">
        <v>699.95</v>
      </c>
    </row>
    <row r="810" spans="1:4">
      <c r="A810" t="s">
        <v>480</v>
      </c>
      <c r="B810" s="73" t="s">
        <v>510</v>
      </c>
      <c r="C810" s="74" t="s">
        <v>1316</v>
      </c>
      <c r="D810" s="74">
        <v>766.97</v>
      </c>
    </row>
    <row r="811" spans="1:4">
      <c r="A811" t="s">
        <v>480</v>
      </c>
      <c r="B811" s="73" t="s">
        <v>510</v>
      </c>
      <c r="C811" s="74" t="s">
        <v>1317</v>
      </c>
      <c r="D811" s="74">
        <v>224.99</v>
      </c>
    </row>
    <row r="812" spans="1:4">
      <c r="A812" t="s">
        <v>480</v>
      </c>
      <c r="B812" s="73" t="s">
        <v>505</v>
      </c>
      <c r="C812" s="74" t="s">
        <v>1318</v>
      </c>
      <c r="D812" s="74">
        <v>69</v>
      </c>
    </row>
    <row r="813" spans="1:4">
      <c r="A813" t="s">
        <v>480</v>
      </c>
      <c r="B813" s="73" t="s">
        <v>507</v>
      </c>
      <c r="C813" s="74" t="s">
        <v>1319</v>
      </c>
      <c r="D813" s="74">
        <v>89.89</v>
      </c>
    </row>
    <row r="814" spans="1:4">
      <c r="A814" t="s">
        <v>480</v>
      </c>
      <c r="B814" s="73" t="s">
        <v>510</v>
      </c>
      <c r="C814" s="74" t="s">
        <v>1320</v>
      </c>
      <c r="D814" s="74">
        <v>164.99</v>
      </c>
    </row>
    <row r="815" spans="1:4">
      <c r="A815" t="s">
        <v>480</v>
      </c>
      <c r="B815" s="73" t="s">
        <v>505</v>
      </c>
      <c r="C815" s="74" t="s">
        <v>1321</v>
      </c>
      <c r="D815" s="74">
        <v>69.989999999999995</v>
      </c>
    </row>
    <row r="816" spans="1:4">
      <c r="A816" t="s">
        <v>480</v>
      </c>
      <c r="B816" s="73" t="s">
        <v>561</v>
      </c>
      <c r="C816" s="74" t="s">
        <v>1322</v>
      </c>
      <c r="D816" s="74">
        <v>89</v>
      </c>
    </row>
    <row r="817" spans="1:4">
      <c r="A817" t="s">
        <v>480</v>
      </c>
      <c r="B817" s="73" t="s">
        <v>510</v>
      </c>
      <c r="C817" s="74" t="s">
        <v>1323</v>
      </c>
      <c r="D817" s="74">
        <v>74.989999999999995</v>
      </c>
    </row>
    <row r="818" spans="1:4">
      <c r="A818" t="s">
        <v>480</v>
      </c>
      <c r="B818" s="73" t="s">
        <v>510</v>
      </c>
      <c r="C818" s="74" t="s">
        <v>1324</v>
      </c>
      <c r="D818" s="74">
        <v>122.99</v>
      </c>
    </row>
    <row r="819" spans="1:4">
      <c r="A819" t="s">
        <v>480</v>
      </c>
      <c r="B819" s="73" t="s">
        <v>510</v>
      </c>
      <c r="C819" s="74" t="s">
        <v>1325</v>
      </c>
      <c r="D819" s="74">
        <v>249.99</v>
      </c>
    </row>
    <row r="820" spans="1:4">
      <c r="A820" t="s">
        <v>480</v>
      </c>
      <c r="B820" s="73" t="s">
        <v>510</v>
      </c>
      <c r="C820" s="74" t="s">
        <v>1326</v>
      </c>
      <c r="D820" s="74">
        <v>291.97000000000003</v>
      </c>
    </row>
    <row r="821" spans="1:4">
      <c r="A821" t="s">
        <v>480</v>
      </c>
      <c r="B821" s="73" t="s">
        <v>505</v>
      </c>
      <c r="C821" s="74" t="s">
        <v>1327</v>
      </c>
      <c r="D821" s="74">
        <v>139</v>
      </c>
    </row>
    <row r="822" spans="1:4">
      <c r="A822" t="s">
        <v>480</v>
      </c>
      <c r="B822" s="73" t="s">
        <v>510</v>
      </c>
      <c r="C822" s="74" t="s">
        <v>1328</v>
      </c>
      <c r="D822" s="74">
        <v>135</v>
      </c>
    </row>
    <row r="823" spans="1:4">
      <c r="A823" t="s">
        <v>480</v>
      </c>
      <c r="B823" s="73" t="s">
        <v>510</v>
      </c>
      <c r="C823" s="74" t="s">
        <v>1329</v>
      </c>
      <c r="D823" s="74">
        <v>319</v>
      </c>
    </row>
    <row r="824" spans="1:4">
      <c r="A824" t="s">
        <v>480</v>
      </c>
      <c r="B824" s="73" t="s">
        <v>510</v>
      </c>
      <c r="C824" s="74" t="s">
        <v>1330</v>
      </c>
      <c r="D824" s="74">
        <v>248.99</v>
      </c>
    </row>
    <row r="825" spans="1:4">
      <c r="A825" t="s">
        <v>480</v>
      </c>
      <c r="B825" s="73" t="s">
        <v>510</v>
      </c>
      <c r="C825" s="74" t="s">
        <v>1331</v>
      </c>
      <c r="D825" s="74">
        <v>309.99</v>
      </c>
    </row>
    <row r="826" spans="1:4">
      <c r="A826" t="s">
        <v>480</v>
      </c>
      <c r="B826" s="73" t="s">
        <v>507</v>
      </c>
      <c r="C826" s="74" t="s">
        <v>1332</v>
      </c>
      <c r="D826" s="74">
        <v>144.88999999999999</v>
      </c>
    </row>
    <row r="827" spans="1:4">
      <c r="A827" t="s">
        <v>480</v>
      </c>
      <c r="B827" s="73" t="s">
        <v>561</v>
      </c>
      <c r="C827" s="74" t="s">
        <v>1333</v>
      </c>
      <c r="D827" s="74">
        <v>149.99</v>
      </c>
    </row>
    <row r="828" spans="1:4">
      <c r="A828" t="s">
        <v>480</v>
      </c>
      <c r="B828" s="73" t="s">
        <v>510</v>
      </c>
      <c r="C828" s="74" t="s">
        <v>1334</v>
      </c>
      <c r="D828" s="74">
        <v>499.99</v>
      </c>
    </row>
    <row r="829" spans="1:4">
      <c r="A829" t="s">
        <v>480</v>
      </c>
      <c r="B829" s="73" t="s">
        <v>505</v>
      </c>
      <c r="C829" s="74" t="s">
        <v>1335</v>
      </c>
      <c r="D829" s="74">
        <v>399.99</v>
      </c>
    </row>
    <row r="830" spans="1:4">
      <c r="A830" t="s">
        <v>480</v>
      </c>
      <c r="B830" s="73" t="s">
        <v>505</v>
      </c>
      <c r="C830" s="74" t="s">
        <v>1336</v>
      </c>
      <c r="D830" s="74">
        <v>289.99</v>
      </c>
    </row>
    <row r="831" spans="1:4">
      <c r="A831" t="s">
        <v>480</v>
      </c>
      <c r="B831" s="73" t="s">
        <v>1337</v>
      </c>
      <c r="C831" s="74" t="s">
        <v>1338</v>
      </c>
      <c r="D831" s="74">
        <v>24.99</v>
      </c>
    </row>
    <row r="832" spans="1:4">
      <c r="A832" t="s">
        <v>480</v>
      </c>
      <c r="B832" s="73" t="s">
        <v>505</v>
      </c>
      <c r="C832" s="74" t="s">
        <v>1339</v>
      </c>
      <c r="D832" s="74">
        <v>184.48</v>
      </c>
    </row>
    <row r="833" spans="1:4">
      <c r="A833" t="s">
        <v>480</v>
      </c>
      <c r="B833" s="73" t="s">
        <v>510</v>
      </c>
      <c r="C833" s="74" t="s">
        <v>1340</v>
      </c>
      <c r="D833" s="74">
        <v>709.49</v>
      </c>
    </row>
    <row r="834" spans="1:4">
      <c r="A834" t="s">
        <v>480</v>
      </c>
      <c r="B834" s="73" t="s">
        <v>505</v>
      </c>
      <c r="C834" s="74" t="s">
        <v>1341</v>
      </c>
      <c r="D834" s="74">
        <v>306.97000000000003</v>
      </c>
    </row>
    <row r="835" spans="1:4">
      <c r="A835" t="s">
        <v>480</v>
      </c>
      <c r="B835" s="73" t="s">
        <v>510</v>
      </c>
      <c r="C835" s="74" t="s">
        <v>1342</v>
      </c>
      <c r="D835" s="74">
        <v>769.49</v>
      </c>
    </row>
    <row r="836" spans="1:4">
      <c r="A836" t="s">
        <v>480</v>
      </c>
      <c r="B836" s="73" t="s">
        <v>569</v>
      </c>
      <c r="C836" s="74" t="s">
        <v>1343</v>
      </c>
      <c r="D836" s="74">
        <v>69.989999999999995</v>
      </c>
    </row>
    <row r="837" spans="1:4" ht="21">
      <c r="A837" t="s">
        <v>480</v>
      </c>
      <c r="B837" s="73" t="s">
        <v>505</v>
      </c>
      <c r="C837" s="75" t="s">
        <v>1344</v>
      </c>
      <c r="D837" s="74">
        <v>134.99</v>
      </c>
    </row>
    <row r="838" spans="1:4">
      <c r="A838" t="s">
        <v>480</v>
      </c>
      <c r="B838" s="73" t="s">
        <v>561</v>
      </c>
      <c r="C838" s="74" t="s">
        <v>1345</v>
      </c>
      <c r="D838" s="74">
        <v>144.99</v>
      </c>
    </row>
    <row r="839" spans="1:4">
      <c r="A839" t="s">
        <v>480</v>
      </c>
      <c r="B839" s="73" t="s">
        <v>510</v>
      </c>
      <c r="C839" s="74" t="s">
        <v>1346</v>
      </c>
      <c r="D839" s="74">
        <v>199.95</v>
      </c>
    </row>
    <row r="840" spans="1:4">
      <c r="A840" t="s">
        <v>480</v>
      </c>
      <c r="B840" s="73" t="s">
        <v>529</v>
      </c>
      <c r="C840" s="74" t="s">
        <v>1347</v>
      </c>
      <c r="D840" s="74">
        <v>219.99</v>
      </c>
    </row>
    <row r="841" spans="1:4">
      <c r="A841" t="s">
        <v>480</v>
      </c>
      <c r="B841" s="73" t="s">
        <v>510</v>
      </c>
      <c r="C841" s="74" t="s">
        <v>1348</v>
      </c>
      <c r="D841" s="74">
        <v>86.97</v>
      </c>
    </row>
    <row r="842" spans="1:4">
      <c r="A842" t="s">
        <v>480</v>
      </c>
      <c r="B842" s="73" t="s">
        <v>683</v>
      </c>
      <c r="C842" s="74" t="s">
        <v>1349</v>
      </c>
      <c r="D842" s="74">
        <v>209.99</v>
      </c>
    </row>
    <row r="843" spans="1:4">
      <c r="A843" t="s">
        <v>480</v>
      </c>
      <c r="B843" s="73" t="s">
        <v>510</v>
      </c>
      <c r="C843" s="74" t="s">
        <v>1350</v>
      </c>
      <c r="D843" s="74">
        <v>368.99</v>
      </c>
    </row>
    <row r="844" spans="1:4">
      <c r="A844" t="s">
        <v>480</v>
      </c>
      <c r="B844" s="73" t="s">
        <v>505</v>
      </c>
      <c r="C844" s="74" t="s">
        <v>1351</v>
      </c>
      <c r="D844" s="74">
        <v>256.98</v>
      </c>
    </row>
    <row r="845" spans="1:4">
      <c r="A845" t="s">
        <v>480</v>
      </c>
      <c r="B845" s="73" t="s">
        <v>738</v>
      </c>
      <c r="C845" s="74" t="s">
        <v>1352</v>
      </c>
      <c r="D845" s="74">
        <v>447.99</v>
      </c>
    </row>
    <row r="846" spans="1:4">
      <c r="A846" t="s">
        <v>480</v>
      </c>
      <c r="B846" s="73" t="s">
        <v>505</v>
      </c>
      <c r="C846" s="74" t="s">
        <v>1353</v>
      </c>
      <c r="D846" s="74">
        <v>196.98</v>
      </c>
    </row>
    <row r="847" spans="1:4">
      <c r="A847" t="s">
        <v>480</v>
      </c>
      <c r="B847" s="73" t="s">
        <v>810</v>
      </c>
      <c r="C847" s="74" t="s">
        <v>1354</v>
      </c>
      <c r="D847" s="74">
        <v>279.99</v>
      </c>
    </row>
    <row r="848" spans="1:4">
      <c r="A848" t="s">
        <v>480</v>
      </c>
      <c r="B848" s="73" t="s">
        <v>523</v>
      </c>
      <c r="C848" s="74" t="s">
        <v>1355</v>
      </c>
      <c r="D848" s="74">
        <v>194.99</v>
      </c>
    </row>
    <row r="849" spans="1:4">
      <c r="A849" t="s">
        <v>480</v>
      </c>
      <c r="B849" s="73" t="s">
        <v>510</v>
      </c>
      <c r="C849" s="74" t="s">
        <v>1356</v>
      </c>
      <c r="D849" s="74">
        <v>279.99</v>
      </c>
    </row>
    <row r="850" spans="1:4">
      <c r="A850" t="s">
        <v>480</v>
      </c>
      <c r="B850" s="73" t="s">
        <v>510</v>
      </c>
      <c r="C850" s="74" t="s">
        <v>1357</v>
      </c>
      <c r="D850" s="74">
        <v>334.99</v>
      </c>
    </row>
    <row r="851" spans="1:4">
      <c r="A851" t="s">
        <v>480</v>
      </c>
      <c r="B851" s="73" t="s">
        <v>505</v>
      </c>
      <c r="C851" s="74" t="s">
        <v>1358</v>
      </c>
      <c r="D851" s="74">
        <v>104.99</v>
      </c>
    </row>
    <row r="852" spans="1:4">
      <c r="A852" t="s">
        <v>480</v>
      </c>
      <c r="B852" s="73" t="s">
        <v>505</v>
      </c>
      <c r="C852" s="74" t="s">
        <v>1359</v>
      </c>
      <c r="D852" s="74">
        <v>49.99</v>
      </c>
    </row>
    <row r="853" spans="1:4">
      <c r="A853" t="s">
        <v>480</v>
      </c>
      <c r="B853" s="73" t="s">
        <v>510</v>
      </c>
      <c r="C853" s="74" t="s">
        <v>1360</v>
      </c>
      <c r="D853" s="74">
        <v>129.99</v>
      </c>
    </row>
    <row r="854" spans="1:4">
      <c r="A854" t="s">
        <v>480</v>
      </c>
      <c r="B854" s="73" t="s">
        <v>505</v>
      </c>
      <c r="C854" s="74" t="s">
        <v>1361</v>
      </c>
      <c r="D854" s="74">
        <v>149.99</v>
      </c>
    </row>
    <row r="855" spans="1:4">
      <c r="A855" t="s">
        <v>480</v>
      </c>
      <c r="B855" s="73" t="s">
        <v>546</v>
      </c>
      <c r="C855" s="74" t="s">
        <v>1362</v>
      </c>
      <c r="D855" s="74">
        <v>42.99</v>
      </c>
    </row>
    <row r="856" spans="1:4">
      <c r="A856" t="s">
        <v>480</v>
      </c>
      <c r="B856" s="73" t="s">
        <v>510</v>
      </c>
      <c r="C856" s="74" t="s">
        <v>1363</v>
      </c>
      <c r="D856" s="74">
        <v>279.58999999999997</v>
      </c>
    </row>
    <row r="857" spans="1:4">
      <c r="A857" t="s">
        <v>480</v>
      </c>
      <c r="B857" s="73" t="s">
        <v>510</v>
      </c>
      <c r="C857" s="74" t="s">
        <v>1364</v>
      </c>
      <c r="D857" s="74">
        <v>309</v>
      </c>
    </row>
    <row r="858" spans="1:4">
      <c r="A858" t="s">
        <v>480</v>
      </c>
      <c r="B858" s="73" t="s">
        <v>505</v>
      </c>
      <c r="C858" s="74" t="s">
        <v>1365</v>
      </c>
      <c r="D858" s="74">
        <v>216.97</v>
      </c>
    </row>
    <row r="859" spans="1:4">
      <c r="A859" t="s">
        <v>480</v>
      </c>
      <c r="B859" s="73" t="s">
        <v>510</v>
      </c>
      <c r="C859" s="74" t="s">
        <v>1366</v>
      </c>
      <c r="D859" s="74">
        <v>382</v>
      </c>
    </row>
    <row r="860" spans="1:4">
      <c r="A860" t="s">
        <v>480</v>
      </c>
      <c r="B860" s="73" t="s">
        <v>1367</v>
      </c>
      <c r="C860" s="74" t="s">
        <v>1368</v>
      </c>
      <c r="D860" s="74">
        <v>37.69</v>
      </c>
    </row>
    <row r="861" spans="1:4">
      <c r="A861" t="s">
        <v>480</v>
      </c>
      <c r="B861" s="73" t="s">
        <v>505</v>
      </c>
      <c r="C861" s="74" t="s">
        <v>1369</v>
      </c>
      <c r="D861" s="74">
        <v>469.95</v>
      </c>
    </row>
    <row r="862" spans="1:4">
      <c r="A862" t="s">
        <v>480</v>
      </c>
      <c r="B862" s="73" t="s">
        <v>546</v>
      </c>
      <c r="C862" s="74" t="s">
        <v>1370</v>
      </c>
      <c r="D862" s="74">
        <v>9.49</v>
      </c>
    </row>
    <row r="863" spans="1:4">
      <c r="A863" t="s">
        <v>480</v>
      </c>
      <c r="B863" s="73" t="s">
        <v>1138</v>
      </c>
      <c r="C863" s="74" t="s">
        <v>1371</v>
      </c>
      <c r="D863" s="74">
        <v>69</v>
      </c>
    </row>
    <row r="864" spans="1:4">
      <c r="A864" t="s">
        <v>480</v>
      </c>
      <c r="B864" s="73" t="s">
        <v>510</v>
      </c>
      <c r="C864" s="74" t="s">
        <v>1372</v>
      </c>
      <c r="D864" s="74">
        <v>299.99</v>
      </c>
    </row>
    <row r="865" spans="1:4">
      <c r="A865" t="s">
        <v>480</v>
      </c>
      <c r="B865" s="73" t="s">
        <v>505</v>
      </c>
      <c r="C865" s="74" t="s">
        <v>1373</v>
      </c>
      <c r="D865" s="74">
        <v>327.99</v>
      </c>
    </row>
    <row r="866" spans="1:4">
      <c r="A866" t="s">
        <v>480</v>
      </c>
      <c r="B866" s="73" t="s">
        <v>505</v>
      </c>
      <c r="C866" s="74" t="s">
        <v>1374</v>
      </c>
      <c r="D866" s="74">
        <v>676.98</v>
      </c>
    </row>
    <row r="867" spans="1:4">
      <c r="A867" t="s">
        <v>480</v>
      </c>
      <c r="B867" s="73" t="s">
        <v>510</v>
      </c>
      <c r="C867" s="74" t="s">
        <v>1375</v>
      </c>
      <c r="D867" s="74">
        <v>519.99</v>
      </c>
    </row>
    <row r="868" spans="1:4">
      <c r="A868" t="s">
        <v>480</v>
      </c>
      <c r="B868" s="73" t="s">
        <v>510</v>
      </c>
      <c r="C868" s="74" t="s">
        <v>1376</v>
      </c>
      <c r="D868" s="74">
        <v>674.79</v>
      </c>
    </row>
    <row r="869" spans="1:4">
      <c r="A869" t="s">
        <v>480</v>
      </c>
      <c r="B869" s="73" t="s">
        <v>510</v>
      </c>
      <c r="C869" s="74" t="s">
        <v>1377</v>
      </c>
      <c r="D869" s="74">
        <v>119.49</v>
      </c>
    </row>
    <row r="870" spans="1:4">
      <c r="A870" t="s">
        <v>480</v>
      </c>
      <c r="B870" s="73" t="s">
        <v>505</v>
      </c>
      <c r="C870" s="74" t="s">
        <v>1378</v>
      </c>
      <c r="D870" s="74">
        <v>449.99</v>
      </c>
    </row>
    <row r="871" spans="1:4">
      <c r="A871" t="s">
        <v>480</v>
      </c>
      <c r="B871" s="73" t="s">
        <v>810</v>
      </c>
      <c r="C871" s="74" t="s">
        <v>1379</v>
      </c>
      <c r="D871" s="74">
        <v>389.99</v>
      </c>
    </row>
    <row r="872" spans="1:4">
      <c r="A872" t="s">
        <v>480</v>
      </c>
      <c r="B872" s="73" t="s">
        <v>569</v>
      </c>
      <c r="C872" s="74" t="s">
        <v>1380</v>
      </c>
      <c r="D872" s="74">
        <v>249.99</v>
      </c>
    </row>
    <row r="873" spans="1:4">
      <c r="A873" t="s">
        <v>480</v>
      </c>
      <c r="B873" s="73" t="s">
        <v>510</v>
      </c>
      <c r="C873" s="74" t="s">
        <v>1381</v>
      </c>
      <c r="D873" s="74">
        <v>501.97</v>
      </c>
    </row>
    <row r="874" spans="1:4">
      <c r="A874" t="s">
        <v>480</v>
      </c>
      <c r="B874" s="73" t="s">
        <v>505</v>
      </c>
      <c r="C874" s="74" t="s">
        <v>1382</v>
      </c>
      <c r="D874" s="74">
        <v>119.79</v>
      </c>
    </row>
    <row r="875" spans="1:4">
      <c r="A875" t="s">
        <v>480</v>
      </c>
      <c r="B875" s="73" t="s">
        <v>510</v>
      </c>
      <c r="C875" s="74" t="s">
        <v>1383</v>
      </c>
      <c r="D875" s="74">
        <v>269.49</v>
      </c>
    </row>
    <row r="876" spans="1:4">
      <c r="A876" t="s">
        <v>480</v>
      </c>
      <c r="B876" s="73" t="s">
        <v>505</v>
      </c>
      <c r="C876" s="74" t="s">
        <v>1384</v>
      </c>
      <c r="D876" s="74">
        <v>114.59</v>
      </c>
    </row>
    <row r="877" spans="1:4">
      <c r="A877" t="s">
        <v>480</v>
      </c>
      <c r="B877" s="73" t="s">
        <v>505</v>
      </c>
      <c r="C877" s="74" t="s">
        <v>1385</v>
      </c>
      <c r="D877" s="74">
        <v>79.989999999999995</v>
      </c>
    </row>
    <row r="878" spans="1:4">
      <c r="A878" t="s">
        <v>480</v>
      </c>
      <c r="B878" s="73" t="s">
        <v>510</v>
      </c>
      <c r="C878" s="74" t="s">
        <v>1386</v>
      </c>
      <c r="D878" s="74">
        <v>697</v>
      </c>
    </row>
    <row r="879" spans="1:4">
      <c r="A879" t="s">
        <v>480</v>
      </c>
      <c r="B879" s="73" t="s">
        <v>505</v>
      </c>
      <c r="C879" s="74" t="s">
        <v>1387</v>
      </c>
      <c r="D879" s="74">
        <v>214.99</v>
      </c>
    </row>
    <row r="880" spans="1:4">
      <c r="A880" t="s">
        <v>480</v>
      </c>
      <c r="B880" s="73" t="s">
        <v>505</v>
      </c>
      <c r="C880" s="74" t="s">
        <v>1388</v>
      </c>
      <c r="D880" s="74">
        <v>201.97</v>
      </c>
    </row>
    <row r="881" spans="1:4">
      <c r="A881" t="s">
        <v>480</v>
      </c>
      <c r="B881" s="73" t="s">
        <v>505</v>
      </c>
      <c r="C881" s="74" t="s">
        <v>1389</v>
      </c>
      <c r="D881" s="74">
        <v>174.49</v>
      </c>
    </row>
    <row r="882" spans="1:4">
      <c r="A882" t="s">
        <v>480</v>
      </c>
      <c r="B882" s="73" t="s">
        <v>505</v>
      </c>
      <c r="C882" s="74" t="s">
        <v>1390</v>
      </c>
      <c r="D882" s="74">
        <v>95</v>
      </c>
    </row>
    <row r="883" spans="1:4">
      <c r="A883" t="s">
        <v>480</v>
      </c>
      <c r="B883" s="73" t="s">
        <v>529</v>
      </c>
      <c r="C883" s="74" t="s">
        <v>1391</v>
      </c>
      <c r="D883" s="74">
        <v>72.790000000000006</v>
      </c>
    </row>
    <row r="884" spans="1:4">
      <c r="A884" t="s">
        <v>480</v>
      </c>
      <c r="B884" s="73" t="s">
        <v>505</v>
      </c>
      <c r="C884" s="74" t="s">
        <v>1392</v>
      </c>
      <c r="D884" s="74">
        <v>319.99</v>
      </c>
    </row>
    <row r="885" spans="1:4">
      <c r="A885" t="s">
        <v>480</v>
      </c>
      <c r="B885" s="73" t="s">
        <v>523</v>
      </c>
      <c r="C885" s="74" t="s">
        <v>1393</v>
      </c>
      <c r="D885" s="74">
        <v>349.99</v>
      </c>
    </row>
    <row r="886" spans="1:4">
      <c r="A886" t="s">
        <v>480</v>
      </c>
      <c r="B886" s="73" t="s">
        <v>505</v>
      </c>
      <c r="C886" s="74" t="s">
        <v>1394</v>
      </c>
      <c r="D886" s="74">
        <v>399.99</v>
      </c>
    </row>
    <row r="887" spans="1:4">
      <c r="A887" t="s">
        <v>480</v>
      </c>
      <c r="B887" s="73" t="s">
        <v>561</v>
      </c>
      <c r="C887" s="74" t="s">
        <v>1395</v>
      </c>
      <c r="D887" s="74">
        <v>179</v>
      </c>
    </row>
    <row r="888" spans="1:4">
      <c r="A888" t="s">
        <v>480</v>
      </c>
      <c r="B888" s="73" t="s">
        <v>505</v>
      </c>
      <c r="C888" s="74" t="s">
        <v>1396</v>
      </c>
      <c r="D888" s="74">
        <v>399.69</v>
      </c>
    </row>
    <row r="889" spans="1:4">
      <c r="A889" t="s">
        <v>480</v>
      </c>
      <c r="B889" s="73" t="s">
        <v>561</v>
      </c>
      <c r="C889" s="74" t="s">
        <v>1397</v>
      </c>
      <c r="D889" s="74">
        <v>299.99</v>
      </c>
    </row>
    <row r="890" spans="1:4">
      <c r="A890" t="s">
        <v>480</v>
      </c>
      <c r="B890" s="73" t="s">
        <v>510</v>
      </c>
      <c r="C890" s="74" t="s">
        <v>1398</v>
      </c>
      <c r="D890" s="74">
        <v>89.95</v>
      </c>
    </row>
    <row r="891" spans="1:4">
      <c r="A891" t="s">
        <v>480</v>
      </c>
      <c r="B891" s="73" t="s">
        <v>505</v>
      </c>
      <c r="C891" s="74" t="s">
        <v>1399</v>
      </c>
      <c r="D891" s="74">
        <v>646.98</v>
      </c>
    </row>
    <row r="892" spans="1:4">
      <c r="A892" t="s">
        <v>480</v>
      </c>
      <c r="B892" s="73" t="s">
        <v>505</v>
      </c>
      <c r="C892" s="74" t="s">
        <v>1400</v>
      </c>
      <c r="D892" s="74">
        <v>65</v>
      </c>
    </row>
    <row r="893" spans="1:4">
      <c r="A893" t="s">
        <v>480</v>
      </c>
      <c r="B893" s="73" t="s">
        <v>505</v>
      </c>
      <c r="C893" s="74" t="s">
        <v>1401</v>
      </c>
      <c r="D893" s="74">
        <v>369.99</v>
      </c>
    </row>
    <row r="894" spans="1:4">
      <c r="A894" t="s">
        <v>480</v>
      </c>
      <c r="B894" s="73" t="s">
        <v>510</v>
      </c>
      <c r="C894" s="74" t="s">
        <v>1402</v>
      </c>
      <c r="D894" s="74">
        <v>1225</v>
      </c>
    </row>
    <row r="895" spans="1:4">
      <c r="A895" t="s">
        <v>480</v>
      </c>
      <c r="B895" s="73" t="s">
        <v>510</v>
      </c>
      <c r="C895" s="74" t="s">
        <v>1403</v>
      </c>
      <c r="D895" s="74">
        <v>709.49</v>
      </c>
    </row>
    <row r="896" spans="1:4">
      <c r="A896" t="s">
        <v>480</v>
      </c>
      <c r="B896" s="73" t="s">
        <v>505</v>
      </c>
      <c r="C896" s="74" t="s">
        <v>1404</v>
      </c>
      <c r="D896" s="74">
        <v>459.99</v>
      </c>
    </row>
    <row r="897" spans="1:4">
      <c r="A897" t="s">
        <v>480</v>
      </c>
      <c r="B897" s="73" t="s">
        <v>505</v>
      </c>
      <c r="C897" s="74" t="s">
        <v>1321</v>
      </c>
      <c r="D897" s="74">
        <v>69.989999999999995</v>
      </c>
    </row>
    <row r="898" spans="1:4">
      <c r="A898" t="s">
        <v>480</v>
      </c>
      <c r="B898" s="73" t="s">
        <v>510</v>
      </c>
      <c r="C898" s="74" t="s">
        <v>1405</v>
      </c>
      <c r="D898" s="74">
        <v>779</v>
      </c>
    </row>
    <row r="899" spans="1:4">
      <c r="A899" t="s">
        <v>480</v>
      </c>
      <c r="B899" s="73" t="s">
        <v>561</v>
      </c>
      <c r="C899" s="74" t="s">
        <v>1406</v>
      </c>
      <c r="D899" s="74">
        <v>144.99</v>
      </c>
    </row>
    <row r="900" spans="1:4">
      <c r="A900" t="s">
        <v>480</v>
      </c>
      <c r="B900" s="73" t="s">
        <v>1022</v>
      </c>
      <c r="C900" s="74" t="s">
        <v>1407</v>
      </c>
      <c r="D900" s="74">
        <v>159.99</v>
      </c>
    </row>
    <row r="901" spans="1:4">
      <c r="A901" t="s">
        <v>480</v>
      </c>
      <c r="B901" s="73" t="s">
        <v>579</v>
      </c>
      <c r="C901" s="74" t="s">
        <v>1408</v>
      </c>
      <c r="D901" s="74">
        <v>456</v>
      </c>
    </row>
    <row r="902" spans="1:4">
      <c r="A902" t="s">
        <v>480</v>
      </c>
      <c r="B902" s="73" t="s">
        <v>505</v>
      </c>
      <c r="C902" s="74" t="s">
        <v>1409</v>
      </c>
      <c r="D902" s="74">
        <v>323</v>
      </c>
    </row>
    <row r="903" spans="1:4">
      <c r="A903" t="s">
        <v>480</v>
      </c>
      <c r="B903" s="73" t="s">
        <v>505</v>
      </c>
      <c r="C903" s="74" t="s">
        <v>1410</v>
      </c>
      <c r="D903" s="74">
        <v>415</v>
      </c>
    </row>
    <row r="904" spans="1:4">
      <c r="A904" t="s">
        <v>480</v>
      </c>
      <c r="B904" s="73" t="s">
        <v>505</v>
      </c>
      <c r="C904" s="74" t="s">
        <v>1411</v>
      </c>
      <c r="D904" s="74">
        <v>229</v>
      </c>
    </row>
    <row r="905" spans="1:4">
      <c r="A905" t="s">
        <v>480</v>
      </c>
      <c r="B905" s="73" t="s">
        <v>505</v>
      </c>
      <c r="C905" s="74" t="s">
        <v>1412</v>
      </c>
      <c r="D905" s="74">
        <v>69</v>
      </c>
    </row>
    <row r="906" spans="1:4">
      <c r="A906" t="s">
        <v>480</v>
      </c>
      <c r="B906" s="73" t="s">
        <v>683</v>
      </c>
      <c r="C906" s="74" t="s">
        <v>1413</v>
      </c>
      <c r="D906" s="74">
        <v>279.99</v>
      </c>
    </row>
    <row r="907" spans="1:4">
      <c r="A907" t="s">
        <v>480</v>
      </c>
      <c r="B907" s="73" t="s">
        <v>510</v>
      </c>
      <c r="C907" s="74" t="s">
        <v>1414</v>
      </c>
      <c r="D907" s="74">
        <v>510.99</v>
      </c>
    </row>
    <row r="908" spans="1:4">
      <c r="A908" t="s">
        <v>480</v>
      </c>
      <c r="B908" s="73" t="s">
        <v>510</v>
      </c>
      <c r="C908" s="74" t="s">
        <v>1415</v>
      </c>
      <c r="D908" s="74">
        <v>322</v>
      </c>
    </row>
    <row r="909" spans="1:4">
      <c r="A909" t="s">
        <v>480</v>
      </c>
      <c r="B909" s="73" t="s">
        <v>510</v>
      </c>
      <c r="C909" s="74" t="s">
        <v>1416</v>
      </c>
      <c r="D909" s="74">
        <v>269.99</v>
      </c>
    </row>
    <row r="910" spans="1:4">
      <c r="A910" t="s">
        <v>480</v>
      </c>
      <c r="B910" s="73" t="s">
        <v>505</v>
      </c>
      <c r="C910" s="74" t="s">
        <v>1417</v>
      </c>
      <c r="D910" s="74">
        <v>329.99</v>
      </c>
    </row>
    <row r="911" spans="1:4">
      <c r="A911" t="s">
        <v>480</v>
      </c>
      <c r="B911" s="73" t="s">
        <v>579</v>
      </c>
      <c r="C911" s="74" t="s">
        <v>1418</v>
      </c>
      <c r="D911" s="74">
        <v>309</v>
      </c>
    </row>
    <row r="912" spans="1:4">
      <c r="A912" t="s">
        <v>480</v>
      </c>
      <c r="B912" s="73" t="s">
        <v>505</v>
      </c>
      <c r="C912" s="74" t="s">
        <v>1419</v>
      </c>
      <c r="D912" s="74">
        <v>269</v>
      </c>
    </row>
    <row r="913" spans="1:4">
      <c r="A913" t="s">
        <v>480</v>
      </c>
      <c r="B913" s="73" t="s">
        <v>510</v>
      </c>
      <c r="C913" s="74" t="s">
        <v>526</v>
      </c>
      <c r="D913" s="74">
        <v>261.99</v>
      </c>
    </row>
    <row r="914" spans="1:4">
      <c r="A914" t="s">
        <v>480</v>
      </c>
      <c r="B914" s="73" t="s">
        <v>505</v>
      </c>
      <c r="C914" s="74" t="s">
        <v>1420</v>
      </c>
      <c r="D914" s="74">
        <v>189.99</v>
      </c>
    </row>
    <row r="915" spans="1:4">
      <c r="A915" t="s">
        <v>480</v>
      </c>
      <c r="B915" s="73" t="s">
        <v>529</v>
      </c>
      <c r="C915" s="74" t="s">
        <v>1421</v>
      </c>
      <c r="D915" s="74">
        <v>49.79</v>
      </c>
    </row>
    <row r="916" spans="1:4">
      <c r="A916" t="s">
        <v>480</v>
      </c>
      <c r="B916" s="73" t="s">
        <v>561</v>
      </c>
      <c r="C916" s="74" t="s">
        <v>1422</v>
      </c>
      <c r="D916" s="74">
        <v>169.9</v>
      </c>
    </row>
    <row r="917" spans="1:4">
      <c r="A917" t="s">
        <v>480</v>
      </c>
      <c r="B917" s="73" t="s">
        <v>510</v>
      </c>
      <c r="C917" s="74" t="s">
        <v>1423</v>
      </c>
      <c r="D917" s="74">
        <v>984.49</v>
      </c>
    </row>
    <row r="918" spans="1:4">
      <c r="A918" t="s">
        <v>480</v>
      </c>
      <c r="B918" s="73" t="s">
        <v>510</v>
      </c>
      <c r="C918" s="74" t="s">
        <v>1424</v>
      </c>
      <c r="D918" s="74">
        <v>116.95</v>
      </c>
    </row>
    <row r="919" spans="1:4">
      <c r="A919" t="s">
        <v>480</v>
      </c>
      <c r="B919" s="73" t="s">
        <v>505</v>
      </c>
      <c r="C919" s="74" t="s">
        <v>1425</v>
      </c>
      <c r="D919" s="74">
        <v>49.99</v>
      </c>
    </row>
    <row r="920" spans="1:4">
      <c r="A920" t="s">
        <v>480</v>
      </c>
      <c r="B920" s="73" t="s">
        <v>510</v>
      </c>
      <c r="C920" s="74" t="s">
        <v>1426</v>
      </c>
      <c r="D920" s="74">
        <v>365</v>
      </c>
    </row>
    <row r="921" spans="1:4">
      <c r="A921" t="s">
        <v>480</v>
      </c>
      <c r="B921" s="73" t="s">
        <v>510</v>
      </c>
      <c r="C921" s="74" t="s">
        <v>1427</v>
      </c>
      <c r="D921" s="74">
        <v>54.99</v>
      </c>
    </row>
    <row r="922" spans="1:4">
      <c r="A922" t="s">
        <v>480</v>
      </c>
      <c r="B922" s="73" t="s">
        <v>505</v>
      </c>
      <c r="C922" s="74" t="s">
        <v>1428</v>
      </c>
      <c r="D922" s="74">
        <v>221</v>
      </c>
    </row>
    <row r="923" spans="1:4">
      <c r="A923" t="s">
        <v>480</v>
      </c>
      <c r="B923" s="73" t="s">
        <v>510</v>
      </c>
      <c r="C923" s="74" t="s">
        <v>1429</v>
      </c>
      <c r="D923" s="74">
        <v>239.99</v>
      </c>
    </row>
    <row r="924" spans="1:4">
      <c r="A924" t="s">
        <v>480</v>
      </c>
      <c r="B924" s="73" t="s">
        <v>510</v>
      </c>
      <c r="C924" s="74" t="s">
        <v>1430</v>
      </c>
      <c r="D924" s="74">
        <v>375.99</v>
      </c>
    </row>
    <row r="925" spans="1:4">
      <c r="A925" t="s">
        <v>480</v>
      </c>
      <c r="B925" s="73" t="s">
        <v>510</v>
      </c>
      <c r="C925" s="74" t="s">
        <v>1431</v>
      </c>
      <c r="D925" s="74">
        <v>109.99</v>
      </c>
    </row>
    <row r="926" spans="1:4">
      <c r="A926" t="s">
        <v>480</v>
      </c>
      <c r="B926" s="73" t="s">
        <v>561</v>
      </c>
      <c r="C926" s="74" t="s">
        <v>1432</v>
      </c>
      <c r="D926" s="74">
        <v>114.99</v>
      </c>
    </row>
    <row r="927" spans="1:4">
      <c r="A927" t="s">
        <v>480</v>
      </c>
      <c r="B927" s="73" t="s">
        <v>510</v>
      </c>
      <c r="C927" s="74" t="s">
        <v>1433</v>
      </c>
      <c r="D927" s="74">
        <v>94.99</v>
      </c>
    </row>
    <row r="928" spans="1:4">
      <c r="A928" t="s">
        <v>480</v>
      </c>
      <c r="B928" s="73" t="s">
        <v>505</v>
      </c>
      <c r="C928" s="74" t="s">
        <v>1434</v>
      </c>
      <c r="D928" s="74">
        <v>199</v>
      </c>
    </row>
    <row r="929" spans="1:4">
      <c r="A929" t="s">
        <v>480</v>
      </c>
      <c r="B929" s="73" t="s">
        <v>510</v>
      </c>
      <c r="C929" s="74" t="s">
        <v>1435</v>
      </c>
      <c r="D929" s="74">
        <v>809.99</v>
      </c>
    </row>
    <row r="930" spans="1:4">
      <c r="A930" t="s">
        <v>480</v>
      </c>
      <c r="B930" s="73" t="s">
        <v>510</v>
      </c>
      <c r="C930" s="74" t="s">
        <v>1436</v>
      </c>
      <c r="D930" s="74">
        <v>769.99</v>
      </c>
    </row>
    <row r="931" spans="1:4">
      <c r="A931" t="s">
        <v>480</v>
      </c>
      <c r="B931" s="73" t="s">
        <v>505</v>
      </c>
      <c r="C931" s="74" t="s">
        <v>1437</v>
      </c>
      <c r="D931" s="74">
        <v>549.99</v>
      </c>
    </row>
    <row r="932" spans="1:4">
      <c r="A932" t="s">
        <v>480</v>
      </c>
      <c r="B932" s="73" t="s">
        <v>510</v>
      </c>
      <c r="C932" s="74" t="s">
        <v>1438</v>
      </c>
      <c r="D932" s="74">
        <v>199.95</v>
      </c>
    </row>
    <row r="933" spans="1:4">
      <c r="A933" t="s">
        <v>480</v>
      </c>
      <c r="B933" s="73" t="s">
        <v>505</v>
      </c>
      <c r="C933" s="74" t="s">
        <v>1439</v>
      </c>
      <c r="D933" s="74">
        <v>220</v>
      </c>
    </row>
    <row r="934" spans="1:4">
      <c r="A934" t="s">
        <v>480</v>
      </c>
      <c r="B934" s="73" t="s">
        <v>510</v>
      </c>
      <c r="C934" s="74" t="s">
        <v>1440</v>
      </c>
      <c r="D934" s="74">
        <v>138.99</v>
      </c>
    </row>
    <row r="935" spans="1:4">
      <c r="A935" t="s">
        <v>480</v>
      </c>
      <c r="B935" s="73" t="s">
        <v>505</v>
      </c>
      <c r="C935" s="74" t="s">
        <v>1441</v>
      </c>
      <c r="D935" s="74">
        <v>89.99</v>
      </c>
    </row>
    <row r="936" spans="1:4">
      <c r="A936" t="s">
        <v>480</v>
      </c>
      <c r="B936" s="73" t="s">
        <v>510</v>
      </c>
      <c r="C936" s="74" t="s">
        <v>1442</v>
      </c>
      <c r="D936" s="74">
        <v>116.99</v>
      </c>
    </row>
    <row r="937" spans="1:4">
      <c r="A937" t="s">
        <v>480</v>
      </c>
      <c r="B937" s="73" t="s">
        <v>505</v>
      </c>
      <c r="C937" s="74" t="s">
        <v>1443</v>
      </c>
      <c r="D937" s="74">
        <v>139.99</v>
      </c>
    </row>
    <row r="938" spans="1:4">
      <c r="A938" t="s">
        <v>480</v>
      </c>
      <c r="B938" s="73" t="s">
        <v>510</v>
      </c>
      <c r="C938" s="74" t="s">
        <v>1444</v>
      </c>
      <c r="D938" s="74">
        <v>116.99</v>
      </c>
    </row>
    <row r="939" spans="1:4">
      <c r="A939" t="s">
        <v>480</v>
      </c>
      <c r="B939" s="73" t="s">
        <v>529</v>
      </c>
      <c r="C939" s="74" t="s">
        <v>1445</v>
      </c>
      <c r="D939" s="74">
        <v>84.69</v>
      </c>
    </row>
    <row r="940" spans="1:4">
      <c r="A940" t="s">
        <v>480</v>
      </c>
      <c r="B940" s="73" t="s">
        <v>510</v>
      </c>
      <c r="C940" s="74" t="s">
        <v>1446</v>
      </c>
      <c r="D940" s="74">
        <v>229.99</v>
      </c>
    </row>
    <row r="941" spans="1:4">
      <c r="A941" t="s">
        <v>480</v>
      </c>
      <c r="B941" s="73" t="s">
        <v>510</v>
      </c>
      <c r="C941" s="74" t="s">
        <v>1447</v>
      </c>
      <c r="D941" s="74">
        <v>94.99</v>
      </c>
    </row>
    <row r="942" spans="1:4">
      <c r="A942" t="s">
        <v>480</v>
      </c>
      <c r="B942" s="73" t="s">
        <v>505</v>
      </c>
      <c r="C942" s="74" t="s">
        <v>1448</v>
      </c>
      <c r="D942" s="74">
        <v>349.69</v>
      </c>
    </row>
    <row r="943" spans="1:4">
      <c r="A943" t="s">
        <v>480</v>
      </c>
      <c r="B943" s="73" t="s">
        <v>569</v>
      </c>
      <c r="C943" s="74" t="s">
        <v>1449</v>
      </c>
      <c r="D943" s="74">
        <v>109</v>
      </c>
    </row>
    <row r="944" spans="1:4">
      <c r="A944" t="s">
        <v>480</v>
      </c>
      <c r="B944" s="73" t="s">
        <v>505</v>
      </c>
      <c r="C944" s="74" t="s">
        <v>1450</v>
      </c>
      <c r="D944" s="74">
        <v>145.99</v>
      </c>
    </row>
    <row r="945" spans="1:4">
      <c r="A945" t="s">
        <v>480</v>
      </c>
      <c r="B945" s="73" t="s">
        <v>510</v>
      </c>
      <c r="C945" s="74" t="s">
        <v>1451</v>
      </c>
      <c r="D945" s="74">
        <v>271.99</v>
      </c>
    </row>
    <row r="946" spans="1:4">
      <c r="A946" t="s">
        <v>480</v>
      </c>
      <c r="B946" s="73" t="s">
        <v>510</v>
      </c>
      <c r="C946" s="74" t="s">
        <v>1452</v>
      </c>
      <c r="D946" s="74">
        <v>139</v>
      </c>
    </row>
    <row r="947" spans="1:4">
      <c r="A947" t="s">
        <v>480</v>
      </c>
      <c r="B947" s="73" t="s">
        <v>510</v>
      </c>
      <c r="C947" s="74" t="s">
        <v>1453</v>
      </c>
      <c r="D947" s="74">
        <v>285.99</v>
      </c>
    </row>
    <row r="948" spans="1:4">
      <c r="A948" t="s">
        <v>480</v>
      </c>
      <c r="B948" s="73" t="s">
        <v>510</v>
      </c>
      <c r="C948" s="74" t="s">
        <v>1454</v>
      </c>
      <c r="D948" s="74">
        <v>924.79</v>
      </c>
    </row>
    <row r="949" spans="1:4">
      <c r="A949" t="s">
        <v>480</v>
      </c>
      <c r="B949" s="73" t="s">
        <v>738</v>
      </c>
      <c r="C949" s="74" t="s">
        <v>1455</v>
      </c>
      <c r="D949" s="74">
        <v>189</v>
      </c>
    </row>
    <row r="950" spans="1:4">
      <c r="A950" t="s">
        <v>480</v>
      </c>
      <c r="B950" s="73" t="s">
        <v>505</v>
      </c>
      <c r="C950" s="74" t="s">
        <v>1456</v>
      </c>
      <c r="D950" s="74">
        <v>439.95</v>
      </c>
    </row>
    <row r="951" spans="1:4">
      <c r="A951" t="s">
        <v>480</v>
      </c>
      <c r="B951" s="73" t="s">
        <v>505</v>
      </c>
      <c r="C951" s="74" t="s">
        <v>1457</v>
      </c>
      <c r="D951" s="74">
        <v>92.69</v>
      </c>
    </row>
    <row r="952" spans="1:4">
      <c r="A952" t="s">
        <v>480</v>
      </c>
      <c r="B952" s="73" t="s">
        <v>529</v>
      </c>
      <c r="C952" s="74" t="s">
        <v>1458</v>
      </c>
      <c r="D952" s="74">
        <v>269</v>
      </c>
    </row>
    <row r="953" spans="1:4">
      <c r="A953" t="s">
        <v>480</v>
      </c>
      <c r="B953" s="73" t="s">
        <v>529</v>
      </c>
      <c r="C953" s="74" t="s">
        <v>1459</v>
      </c>
      <c r="D953" s="74">
        <v>69.790000000000006</v>
      </c>
    </row>
    <row r="954" spans="1:4">
      <c r="A954" t="s">
        <v>480</v>
      </c>
      <c r="B954" s="73" t="s">
        <v>510</v>
      </c>
      <c r="C954" s="74" t="s">
        <v>1460</v>
      </c>
      <c r="D954" s="74">
        <v>642</v>
      </c>
    </row>
    <row r="955" spans="1:4">
      <c r="A955" t="s">
        <v>40</v>
      </c>
      <c r="B955" s="73" t="s">
        <v>529</v>
      </c>
      <c r="C955" s="74" t="s">
        <v>1461</v>
      </c>
      <c r="D955" s="74">
        <v>139.79</v>
      </c>
    </row>
    <row r="956" spans="1:4">
      <c r="A956" t="s">
        <v>40</v>
      </c>
      <c r="B956" s="73" t="s">
        <v>505</v>
      </c>
      <c r="C956" s="74" t="s">
        <v>1462</v>
      </c>
      <c r="D956" s="74">
        <v>459.95</v>
      </c>
    </row>
    <row r="957" spans="1:4">
      <c r="A957" t="s">
        <v>40</v>
      </c>
      <c r="B957" s="73" t="s">
        <v>833</v>
      </c>
      <c r="C957" s="74" t="s">
        <v>1463</v>
      </c>
      <c r="D957" s="74">
        <v>71.790000000000006</v>
      </c>
    </row>
    <row r="958" spans="1:4">
      <c r="A958" t="s">
        <v>40</v>
      </c>
      <c r="B958" s="73" t="s">
        <v>510</v>
      </c>
      <c r="C958" s="74" t="s">
        <v>1464</v>
      </c>
      <c r="D958" s="74">
        <v>303.99</v>
      </c>
    </row>
    <row r="959" spans="1:4">
      <c r="A959" t="s">
        <v>40</v>
      </c>
      <c r="B959" s="73" t="s">
        <v>505</v>
      </c>
      <c r="C959" s="74" t="s">
        <v>1465</v>
      </c>
      <c r="D959" s="74">
        <v>136.97999999999999</v>
      </c>
    </row>
    <row r="960" spans="1:4">
      <c r="A960" t="s">
        <v>40</v>
      </c>
      <c r="B960" s="73" t="s">
        <v>510</v>
      </c>
      <c r="C960" s="74" t="s">
        <v>1466</v>
      </c>
      <c r="D960" s="74">
        <v>279</v>
      </c>
    </row>
    <row r="961" spans="1:4">
      <c r="A961" t="s">
        <v>40</v>
      </c>
      <c r="B961" s="73" t="s">
        <v>569</v>
      </c>
      <c r="C961" s="74" t="s">
        <v>1467</v>
      </c>
      <c r="D961" s="74">
        <v>79.489999999999995</v>
      </c>
    </row>
    <row r="962" spans="1:4">
      <c r="A962" t="s">
        <v>40</v>
      </c>
      <c r="B962" s="73" t="s">
        <v>510</v>
      </c>
      <c r="C962" s="74" t="s">
        <v>1468</v>
      </c>
      <c r="D962" s="74">
        <v>209.99</v>
      </c>
    </row>
    <row r="963" spans="1:4">
      <c r="A963" t="s">
        <v>40</v>
      </c>
      <c r="B963" s="73" t="s">
        <v>510</v>
      </c>
      <c r="C963" s="74" t="s">
        <v>1302</v>
      </c>
      <c r="D963" s="74">
        <v>109.99</v>
      </c>
    </row>
    <row r="964" spans="1:4">
      <c r="A964" t="s">
        <v>40</v>
      </c>
      <c r="B964" s="73" t="s">
        <v>523</v>
      </c>
      <c r="C964" s="74" t="s">
        <v>1469</v>
      </c>
      <c r="D964" s="74">
        <v>634.99</v>
      </c>
    </row>
    <row r="965" spans="1:4">
      <c r="A965" t="s">
        <v>40</v>
      </c>
      <c r="B965" s="73" t="s">
        <v>505</v>
      </c>
      <c r="C965" s="74" t="s">
        <v>1470</v>
      </c>
      <c r="D965" s="74">
        <v>549.79</v>
      </c>
    </row>
    <row r="966" spans="1:4">
      <c r="A966" t="s">
        <v>40</v>
      </c>
      <c r="B966" s="73" t="s">
        <v>505</v>
      </c>
      <c r="C966" s="74" t="s">
        <v>1471</v>
      </c>
      <c r="D966" s="74">
        <v>679.69</v>
      </c>
    </row>
    <row r="967" spans="1:4">
      <c r="A967" t="s">
        <v>40</v>
      </c>
      <c r="B967" s="73" t="s">
        <v>505</v>
      </c>
      <c r="C967" s="74" t="s">
        <v>1472</v>
      </c>
      <c r="D967" s="74">
        <v>269</v>
      </c>
    </row>
    <row r="968" spans="1:4">
      <c r="A968" t="s">
        <v>40</v>
      </c>
      <c r="B968" s="73" t="s">
        <v>505</v>
      </c>
      <c r="C968" s="74" t="s">
        <v>1473</v>
      </c>
      <c r="D968" s="74">
        <v>234.99</v>
      </c>
    </row>
    <row r="969" spans="1:4">
      <c r="A969" t="s">
        <v>40</v>
      </c>
      <c r="B969" s="73" t="s">
        <v>505</v>
      </c>
      <c r="C969" s="74" t="s">
        <v>1474</v>
      </c>
      <c r="D969" s="74">
        <v>399.69</v>
      </c>
    </row>
    <row r="970" spans="1:4">
      <c r="A970" t="s">
        <v>40</v>
      </c>
      <c r="B970" s="73" t="s">
        <v>505</v>
      </c>
      <c r="C970" s="74" t="s">
        <v>1475</v>
      </c>
      <c r="D970" s="74">
        <v>911.97</v>
      </c>
    </row>
    <row r="971" spans="1:4">
      <c r="A971" t="s">
        <v>40</v>
      </c>
      <c r="B971" s="73" t="s">
        <v>607</v>
      </c>
      <c r="C971" s="74" t="s">
        <v>1476</v>
      </c>
      <c r="D971" s="74">
        <v>54.99</v>
      </c>
    </row>
    <row r="972" spans="1:4">
      <c r="A972" t="s">
        <v>40</v>
      </c>
      <c r="B972" s="73" t="s">
        <v>505</v>
      </c>
      <c r="C972" s="74" t="s">
        <v>1477</v>
      </c>
      <c r="D972" s="74">
        <v>279.99</v>
      </c>
    </row>
    <row r="973" spans="1:4">
      <c r="A973" t="s">
        <v>40</v>
      </c>
      <c r="B973" s="73" t="s">
        <v>505</v>
      </c>
      <c r="C973" s="74" t="s">
        <v>1478</v>
      </c>
      <c r="D973" s="74">
        <v>399.69</v>
      </c>
    </row>
    <row r="974" spans="1:4">
      <c r="A974" t="s">
        <v>40</v>
      </c>
      <c r="B974" s="73" t="s">
        <v>510</v>
      </c>
      <c r="C974" s="74" t="s">
        <v>1479</v>
      </c>
      <c r="D974" s="74">
        <v>632</v>
      </c>
    </row>
    <row r="975" spans="1:4">
      <c r="A975" t="s">
        <v>40</v>
      </c>
      <c r="B975" s="73" t="s">
        <v>546</v>
      </c>
      <c r="C975" s="74" t="s">
        <v>1480</v>
      </c>
      <c r="D975" s="74">
        <v>89.99</v>
      </c>
    </row>
    <row r="976" spans="1:4">
      <c r="A976" t="s">
        <v>40</v>
      </c>
      <c r="B976" s="73" t="s">
        <v>505</v>
      </c>
      <c r="C976" s="74" t="s">
        <v>1481</v>
      </c>
      <c r="D976" s="74">
        <v>524.99</v>
      </c>
    </row>
    <row r="977" spans="1:4">
      <c r="A977" t="s">
        <v>40</v>
      </c>
      <c r="B977" s="73" t="s">
        <v>510</v>
      </c>
      <c r="C977" s="74" t="s">
        <v>1482</v>
      </c>
      <c r="D977" s="74">
        <v>461.97</v>
      </c>
    </row>
    <row r="978" spans="1:4">
      <c r="A978" t="s">
        <v>40</v>
      </c>
      <c r="B978" s="73" t="s">
        <v>510</v>
      </c>
      <c r="C978" s="74" t="s">
        <v>1483</v>
      </c>
      <c r="D978" s="74">
        <v>198.99</v>
      </c>
    </row>
    <row r="979" spans="1:4">
      <c r="A979" t="s">
        <v>40</v>
      </c>
      <c r="B979" s="73" t="s">
        <v>505</v>
      </c>
      <c r="C979" s="74" t="s">
        <v>1484</v>
      </c>
      <c r="D979" s="74">
        <v>549.99</v>
      </c>
    </row>
    <row r="980" spans="1:4">
      <c r="A980" t="s">
        <v>40</v>
      </c>
      <c r="B980" s="73" t="s">
        <v>510</v>
      </c>
      <c r="C980" s="74" t="s">
        <v>1485</v>
      </c>
      <c r="D980" s="74">
        <v>459.95</v>
      </c>
    </row>
    <row r="981" spans="1:4">
      <c r="A981" t="s">
        <v>40</v>
      </c>
      <c r="B981" s="73" t="s">
        <v>523</v>
      </c>
      <c r="C981" s="74" t="s">
        <v>1486</v>
      </c>
      <c r="D981" s="74">
        <v>341.97</v>
      </c>
    </row>
    <row r="982" spans="1:4">
      <c r="A982" t="s">
        <v>40</v>
      </c>
      <c r="B982" s="73" t="s">
        <v>507</v>
      </c>
      <c r="C982" s="74" t="s">
        <v>1487</v>
      </c>
      <c r="D982" s="74">
        <v>339.99</v>
      </c>
    </row>
    <row r="983" spans="1:4">
      <c r="A983" t="s">
        <v>40</v>
      </c>
      <c r="B983" s="73" t="s">
        <v>810</v>
      </c>
      <c r="C983" s="74" t="s">
        <v>1488</v>
      </c>
      <c r="D983" s="74">
        <v>216.97</v>
      </c>
    </row>
    <row r="984" spans="1:4">
      <c r="A984" t="s">
        <v>40</v>
      </c>
      <c r="B984" s="73" t="s">
        <v>505</v>
      </c>
      <c r="C984" s="74" t="s">
        <v>1489</v>
      </c>
      <c r="D984" s="74">
        <v>216.97</v>
      </c>
    </row>
    <row r="985" spans="1:4">
      <c r="A985" t="s">
        <v>40</v>
      </c>
      <c r="B985" s="73" t="s">
        <v>561</v>
      </c>
      <c r="C985" s="74" t="s">
        <v>1490</v>
      </c>
      <c r="D985" s="74">
        <v>89.99</v>
      </c>
    </row>
    <row r="986" spans="1:4">
      <c r="A986" t="s">
        <v>40</v>
      </c>
      <c r="B986" s="73" t="s">
        <v>505</v>
      </c>
      <c r="C986" s="74" t="s">
        <v>1491</v>
      </c>
      <c r="D986" s="74">
        <v>319</v>
      </c>
    </row>
    <row r="987" spans="1:4">
      <c r="A987" t="s">
        <v>40</v>
      </c>
      <c r="B987" s="73" t="s">
        <v>505</v>
      </c>
      <c r="C987" s="74" t="s">
        <v>1492</v>
      </c>
      <c r="D987" s="74">
        <v>471</v>
      </c>
    </row>
    <row r="988" spans="1:4">
      <c r="A988" t="s">
        <v>40</v>
      </c>
      <c r="B988" s="73" t="s">
        <v>1493</v>
      </c>
      <c r="C988" s="74" t="s">
        <v>1494</v>
      </c>
      <c r="D988" s="74">
        <v>41.99</v>
      </c>
    </row>
    <row r="989" spans="1:4">
      <c r="A989" t="s">
        <v>40</v>
      </c>
      <c r="B989" s="73" t="s">
        <v>510</v>
      </c>
      <c r="C989" s="74" t="s">
        <v>1495</v>
      </c>
      <c r="D989" s="74">
        <v>160.99</v>
      </c>
    </row>
    <row r="990" spans="1:4">
      <c r="A990" t="s">
        <v>40</v>
      </c>
      <c r="B990" s="73" t="s">
        <v>510</v>
      </c>
      <c r="C990" s="74" t="s">
        <v>1496</v>
      </c>
      <c r="D990" s="74">
        <v>179.99</v>
      </c>
    </row>
    <row r="991" spans="1:4">
      <c r="A991" t="s">
        <v>40</v>
      </c>
      <c r="B991" s="73" t="s">
        <v>505</v>
      </c>
      <c r="C991" s="74" t="s">
        <v>1497</v>
      </c>
      <c r="D991" s="74">
        <v>145.99</v>
      </c>
    </row>
    <row r="992" spans="1:4">
      <c r="A992" t="s">
        <v>40</v>
      </c>
      <c r="B992" s="73" t="s">
        <v>505</v>
      </c>
      <c r="C992" s="74" t="s">
        <v>1498</v>
      </c>
      <c r="D992" s="74">
        <v>214.99</v>
      </c>
    </row>
    <row r="993" spans="1:4">
      <c r="A993" t="s">
        <v>40</v>
      </c>
      <c r="B993" s="73" t="s">
        <v>510</v>
      </c>
      <c r="C993" s="74" t="s">
        <v>1499</v>
      </c>
      <c r="D993" s="74">
        <v>239.99</v>
      </c>
    </row>
    <row r="994" spans="1:4">
      <c r="A994" t="s">
        <v>40</v>
      </c>
      <c r="B994" s="73" t="s">
        <v>505</v>
      </c>
      <c r="C994" s="74" t="s">
        <v>1500</v>
      </c>
      <c r="D994" s="74">
        <v>317.99</v>
      </c>
    </row>
    <row r="995" spans="1:4">
      <c r="A995" t="s">
        <v>40</v>
      </c>
      <c r="B995" s="73" t="s">
        <v>505</v>
      </c>
      <c r="C995" s="74" t="s">
        <v>1501</v>
      </c>
      <c r="D995" s="74">
        <v>108.99</v>
      </c>
    </row>
    <row r="996" spans="1:4">
      <c r="A996" t="s">
        <v>40</v>
      </c>
      <c r="B996" s="73" t="s">
        <v>510</v>
      </c>
      <c r="C996" s="74" t="s">
        <v>1502</v>
      </c>
      <c r="D996" s="74">
        <v>689</v>
      </c>
    </row>
    <row r="997" spans="1:4">
      <c r="A997" t="s">
        <v>40</v>
      </c>
      <c r="B997" s="73" t="s">
        <v>510</v>
      </c>
      <c r="C997" s="74" t="s">
        <v>1503</v>
      </c>
      <c r="D997" s="74">
        <v>484.99</v>
      </c>
    </row>
    <row r="998" spans="1:4">
      <c r="A998" t="s">
        <v>40</v>
      </c>
      <c r="B998" s="73" t="s">
        <v>561</v>
      </c>
      <c r="C998" s="74" t="s">
        <v>1504</v>
      </c>
      <c r="D998" s="74">
        <v>249.99</v>
      </c>
    </row>
    <row r="999" spans="1:4">
      <c r="A999" t="s">
        <v>40</v>
      </c>
      <c r="B999" s="73" t="s">
        <v>505</v>
      </c>
      <c r="C999" s="74" t="s">
        <v>1505</v>
      </c>
      <c r="D999" s="74">
        <v>64.989999999999995</v>
      </c>
    </row>
    <row r="1000" spans="1:4">
      <c r="A1000" t="s">
        <v>40</v>
      </c>
      <c r="B1000" s="73" t="s">
        <v>833</v>
      </c>
      <c r="C1000" s="74" t="s">
        <v>1463</v>
      </c>
      <c r="D1000" s="74">
        <v>74.790000000000006</v>
      </c>
    </row>
    <row r="1001" spans="1:4">
      <c r="A1001" t="s">
        <v>40</v>
      </c>
      <c r="B1001" s="73" t="s">
        <v>505</v>
      </c>
      <c r="C1001" s="74" t="s">
        <v>1506</v>
      </c>
      <c r="D1001" s="74">
        <v>734.99</v>
      </c>
    </row>
    <row r="1002" spans="1:4">
      <c r="A1002" t="s">
        <v>40</v>
      </c>
      <c r="B1002" s="73" t="s">
        <v>510</v>
      </c>
      <c r="C1002" s="74" t="s">
        <v>1507</v>
      </c>
      <c r="D1002" s="74">
        <v>245.99</v>
      </c>
    </row>
    <row r="1003" spans="1:4">
      <c r="A1003" t="s">
        <v>40</v>
      </c>
      <c r="B1003" s="73" t="s">
        <v>523</v>
      </c>
      <c r="C1003" s="74" t="s">
        <v>1508</v>
      </c>
      <c r="D1003" s="74">
        <v>301.97000000000003</v>
      </c>
    </row>
    <row r="1004" spans="1:4">
      <c r="A1004" t="s">
        <v>40</v>
      </c>
      <c r="B1004" s="73" t="s">
        <v>510</v>
      </c>
      <c r="C1004" s="74" t="s">
        <v>1509</v>
      </c>
      <c r="D1004" s="74">
        <v>399.49</v>
      </c>
    </row>
    <row r="1005" spans="1:4">
      <c r="A1005" t="s">
        <v>40</v>
      </c>
      <c r="B1005" s="73" t="s">
        <v>839</v>
      </c>
      <c r="C1005" s="74" t="s">
        <v>1510</v>
      </c>
      <c r="D1005" s="74">
        <v>199.99</v>
      </c>
    </row>
    <row r="1006" spans="1:4">
      <c r="A1006" t="s">
        <v>40</v>
      </c>
      <c r="B1006" s="73" t="s">
        <v>738</v>
      </c>
      <c r="C1006" s="74" t="s">
        <v>1511</v>
      </c>
      <c r="D1006" s="74">
        <v>100</v>
      </c>
    </row>
    <row r="1007" spans="1:4">
      <c r="A1007" t="s">
        <v>40</v>
      </c>
      <c r="B1007" s="73" t="s">
        <v>505</v>
      </c>
      <c r="C1007" s="74" t="s">
        <v>1512</v>
      </c>
      <c r="D1007" s="74">
        <v>419.79</v>
      </c>
    </row>
    <row r="1008" spans="1:4">
      <c r="A1008" t="s">
        <v>40</v>
      </c>
      <c r="B1008" s="73" t="s">
        <v>505</v>
      </c>
      <c r="C1008" s="74" t="s">
        <v>1513</v>
      </c>
      <c r="D1008" s="74">
        <v>531.97</v>
      </c>
    </row>
    <row r="1009" spans="1:4">
      <c r="A1009" t="s">
        <v>40</v>
      </c>
      <c r="B1009" s="73" t="s">
        <v>510</v>
      </c>
      <c r="C1009" s="74" t="s">
        <v>1514</v>
      </c>
      <c r="D1009" s="74">
        <v>408</v>
      </c>
    </row>
    <row r="1010" spans="1:4">
      <c r="A1010" t="s">
        <v>40</v>
      </c>
      <c r="B1010" s="73" t="s">
        <v>505</v>
      </c>
      <c r="C1010" s="74" t="s">
        <v>1515</v>
      </c>
      <c r="D1010" s="74">
        <v>239.99</v>
      </c>
    </row>
    <row r="1011" spans="1:4">
      <c r="A1011" t="s">
        <v>40</v>
      </c>
      <c r="B1011" s="73" t="s">
        <v>510</v>
      </c>
      <c r="C1011" s="74" t="s">
        <v>1516</v>
      </c>
      <c r="D1011" s="74">
        <v>125</v>
      </c>
    </row>
    <row r="1012" spans="1:4">
      <c r="A1012" t="s">
        <v>40</v>
      </c>
      <c r="B1012" s="73" t="s">
        <v>505</v>
      </c>
      <c r="C1012" s="74" t="s">
        <v>1517</v>
      </c>
      <c r="D1012" s="74">
        <v>329.99</v>
      </c>
    </row>
    <row r="1013" spans="1:4">
      <c r="A1013" t="s">
        <v>40</v>
      </c>
      <c r="B1013" s="73" t="s">
        <v>505</v>
      </c>
      <c r="C1013" s="74" t="s">
        <v>1518</v>
      </c>
      <c r="D1013" s="74">
        <v>211.98</v>
      </c>
    </row>
    <row r="1014" spans="1:4">
      <c r="A1014" t="s">
        <v>40</v>
      </c>
      <c r="B1014" s="73" t="s">
        <v>510</v>
      </c>
      <c r="C1014" s="74" t="s">
        <v>1519</v>
      </c>
      <c r="D1014" s="74">
        <v>179.95</v>
      </c>
    </row>
    <row r="1015" spans="1:4">
      <c r="A1015" t="s">
        <v>40</v>
      </c>
      <c r="B1015" s="19" t="s">
        <v>1520</v>
      </c>
      <c r="C1015" s="74" t="s">
        <v>1521</v>
      </c>
      <c r="D1015" s="74">
        <v>269.99</v>
      </c>
    </row>
    <row r="1016" spans="1:4">
      <c r="A1016" t="s">
        <v>40</v>
      </c>
      <c r="B1016" s="73" t="s">
        <v>510</v>
      </c>
      <c r="C1016" s="74" t="s">
        <v>1522</v>
      </c>
      <c r="D1016" s="74">
        <v>899.49</v>
      </c>
    </row>
    <row r="1017" spans="1:4">
      <c r="A1017" t="s">
        <v>40</v>
      </c>
      <c r="B1017" s="73" t="s">
        <v>510</v>
      </c>
      <c r="C1017" s="74" t="s">
        <v>1523</v>
      </c>
      <c r="D1017" s="74">
        <v>439.99</v>
      </c>
    </row>
    <row r="1018" spans="1:4">
      <c r="A1018" t="s">
        <v>40</v>
      </c>
      <c r="B1018" s="73" t="s">
        <v>505</v>
      </c>
      <c r="C1018" s="74" t="s">
        <v>1524</v>
      </c>
      <c r="D1018" s="74">
        <v>288</v>
      </c>
    </row>
    <row r="1019" spans="1:4">
      <c r="A1019" t="s">
        <v>40</v>
      </c>
      <c r="B1019" s="73" t="s">
        <v>505</v>
      </c>
      <c r="C1019" s="74" t="s">
        <v>1525</v>
      </c>
      <c r="D1019" s="74">
        <v>249.99</v>
      </c>
    </row>
    <row r="1020" spans="1:4">
      <c r="A1020" t="s">
        <v>40</v>
      </c>
      <c r="B1020" s="73" t="s">
        <v>510</v>
      </c>
      <c r="C1020" s="74" t="s">
        <v>1526</v>
      </c>
      <c r="D1020" s="74">
        <v>600</v>
      </c>
    </row>
    <row r="1021" spans="1:4">
      <c r="A1021" t="s">
        <v>40</v>
      </c>
      <c r="B1021" s="73" t="s">
        <v>510</v>
      </c>
      <c r="C1021" s="74" t="s">
        <v>1527</v>
      </c>
      <c r="D1021" s="74">
        <v>139.99</v>
      </c>
    </row>
    <row r="1022" spans="1:4">
      <c r="A1022" t="s">
        <v>40</v>
      </c>
      <c r="B1022" s="73" t="s">
        <v>510</v>
      </c>
      <c r="C1022" s="74" t="s">
        <v>1528</v>
      </c>
      <c r="D1022" s="74">
        <v>299.99</v>
      </c>
    </row>
    <row r="1023" spans="1:4">
      <c r="A1023" t="s">
        <v>40</v>
      </c>
      <c r="B1023" s="73" t="s">
        <v>738</v>
      </c>
      <c r="C1023" s="74" t="s">
        <v>1529</v>
      </c>
      <c r="D1023" s="74">
        <v>249</v>
      </c>
    </row>
    <row r="1024" spans="1:4">
      <c r="A1024" t="s">
        <v>40</v>
      </c>
      <c r="B1024" s="73" t="s">
        <v>510</v>
      </c>
      <c r="C1024" s="74" t="s">
        <v>1530</v>
      </c>
      <c r="D1024" s="74">
        <v>119.99</v>
      </c>
    </row>
    <row r="1025" spans="1:4">
      <c r="A1025" t="s">
        <v>40</v>
      </c>
      <c r="B1025" s="73" t="s">
        <v>510</v>
      </c>
      <c r="C1025" s="74" t="s">
        <v>1531</v>
      </c>
      <c r="D1025" s="74">
        <v>339.99</v>
      </c>
    </row>
    <row r="1026" spans="1:4">
      <c r="A1026" t="s">
        <v>40</v>
      </c>
      <c r="B1026" s="73" t="s">
        <v>507</v>
      </c>
      <c r="C1026" s="74" t="s">
        <v>1532</v>
      </c>
      <c r="D1026" s="74">
        <v>344.99</v>
      </c>
    </row>
    <row r="1027" spans="1:4">
      <c r="A1027" t="s">
        <v>40</v>
      </c>
      <c r="B1027" s="73" t="s">
        <v>505</v>
      </c>
      <c r="C1027" s="74" t="s">
        <v>1533</v>
      </c>
      <c r="D1027" s="74">
        <v>99</v>
      </c>
    </row>
    <row r="1028" spans="1:4">
      <c r="A1028" t="s">
        <v>40</v>
      </c>
      <c r="B1028" s="73" t="s">
        <v>510</v>
      </c>
      <c r="C1028" s="74" t="s">
        <v>1534</v>
      </c>
      <c r="D1028" s="74">
        <v>179.99</v>
      </c>
    </row>
    <row r="1029" spans="1:4">
      <c r="A1029" t="s">
        <v>40</v>
      </c>
      <c r="B1029" s="73" t="s">
        <v>505</v>
      </c>
      <c r="C1029" s="74" t="s">
        <v>1535</v>
      </c>
      <c r="D1029" s="74">
        <v>279.99</v>
      </c>
    </row>
    <row r="1030" spans="1:4">
      <c r="A1030" t="s">
        <v>40</v>
      </c>
      <c r="B1030" s="73" t="s">
        <v>505</v>
      </c>
      <c r="C1030" s="74" t="s">
        <v>1536</v>
      </c>
      <c r="D1030" s="74">
        <v>139.94999999999999</v>
      </c>
    </row>
    <row r="1031" spans="1:4">
      <c r="A1031" t="s">
        <v>40</v>
      </c>
      <c r="B1031" s="73" t="s">
        <v>510</v>
      </c>
      <c r="C1031" s="74" t="s">
        <v>1537</v>
      </c>
      <c r="D1031" s="74">
        <v>123.99</v>
      </c>
    </row>
    <row r="1032" spans="1:4">
      <c r="A1032" t="s">
        <v>40</v>
      </c>
      <c r="B1032" s="73" t="s">
        <v>505</v>
      </c>
      <c r="C1032" s="74" t="s">
        <v>1538</v>
      </c>
      <c r="D1032" s="74">
        <v>89.99</v>
      </c>
    </row>
    <row r="1033" spans="1:4">
      <c r="A1033" t="s">
        <v>40</v>
      </c>
      <c r="B1033" s="73" t="s">
        <v>505</v>
      </c>
      <c r="C1033" s="74" t="s">
        <v>1539</v>
      </c>
      <c r="D1033" s="74">
        <v>399.99</v>
      </c>
    </row>
    <row r="1034" spans="1:4">
      <c r="A1034" t="s">
        <v>40</v>
      </c>
      <c r="B1034" s="73" t="s">
        <v>510</v>
      </c>
      <c r="C1034" s="74" t="s">
        <v>1540</v>
      </c>
      <c r="D1034" s="74">
        <v>288.99</v>
      </c>
    </row>
    <row r="1035" spans="1:4">
      <c r="A1035" t="s">
        <v>40</v>
      </c>
      <c r="B1035" s="73" t="s">
        <v>510</v>
      </c>
      <c r="C1035" s="74" t="s">
        <v>1541</v>
      </c>
      <c r="D1035" s="74">
        <v>449.99</v>
      </c>
    </row>
    <row r="1036" spans="1:4">
      <c r="A1036" t="s">
        <v>40</v>
      </c>
      <c r="B1036" s="73" t="s">
        <v>510</v>
      </c>
      <c r="C1036" s="74" t="s">
        <v>1542</v>
      </c>
      <c r="D1036" s="74">
        <v>461.97</v>
      </c>
    </row>
    <row r="1037" spans="1:4">
      <c r="A1037" t="s">
        <v>40</v>
      </c>
      <c r="B1037" s="73" t="s">
        <v>810</v>
      </c>
      <c r="C1037" s="74" t="s">
        <v>1543</v>
      </c>
      <c r="D1037" s="74">
        <v>216.97</v>
      </c>
    </row>
    <row r="1038" spans="1:4">
      <c r="A1038" t="s">
        <v>40</v>
      </c>
      <c r="B1038" s="73" t="s">
        <v>505</v>
      </c>
      <c r="C1038" s="74" t="s">
        <v>896</v>
      </c>
      <c r="D1038" s="74">
        <v>76.89</v>
      </c>
    </row>
    <row r="1039" spans="1:4">
      <c r="A1039" t="s">
        <v>40</v>
      </c>
      <c r="B1039" s="73" t="s">
        <v>561</v>
      </c>
      <c r="C1039" s="74" t="s">
        <v>1544</v>
      </c>
      <c r="D1039" s="74">
        <v>99.99</v>
      </c>
    </row>
    <row r="1040" spans="1:4" ht="21">
      <c r="A1040" t="s">
        <v>40</v>
      </c>
      <c r="B1040" s="73" t="s">
        <v>505</v>
      </c>
      <c r="C1040" s="74" t="s">
        <v>1545</v>
      </c>
      <c r="D1040" s="74">
        <v>65.989999999999995</v>
      </c>
    </row>
    <row r="1041" spans="1:4">
      <c r="A1041" t="s">
        <v>40</v>
      </c>
      <c r="B1041" s="73" t="s">
        <v>510</v>
      </c>
      <c r="C1041" s="74" t="s">
        <v>1546</v>
      </c>
      <c r="D1041" s="74">
        <v>49.99</v>
      </c>
    </row>
    <row r="1042" spans="1:4">
      <c r="A1042" t="s">
        <v>40</v>
      </c>
      <c r="B1042" s="73" t="s">
        <v>510</v>
      </c>
      <c r="C1042" s="74" t="s">
        <v>1547</v>
      </c>
      <c r="D1042" s="74">
        <v>219.99</v>
      </c>
    </row>
    <row r="1043" spans="1:4">
      <c r="A1043" t="s">
        <v>40</v>
      </c>
      <c r="B1043" s="73" t="s">
        <v>579</v>
      </c>
      <c r="C1043" s="74" t="s">
        <v>1548</v>
      </c>
      <c r="D1043" s="74">
        <v>545</v>
      </c>
    </row>
    <row r="1044" spans="1:4">
      <c r="A1044" t="s">
        <v>40</v>
      </c>
      <c r="B1044" s="73" t="s">
        <v>505</v>
      </c>
      <c r="C1044" s="74" t="s">
        <v>1549</v>
      </c>
      <c r="D1044" s="74">
        <v>156.97999999999999</v>
      </c>
    </row>
    <row r="1045" spans="1:4">
      <c r="A1045" t="s">
        <v>40</v>
      </c>
      <c r="B1045" s="73" t="s">
        <v>510</v>
      </c>
      <c r="C1045" s="74" t="s">
        <v>1550</v>
      </c>
      <c r="D1045" s="74">
        <v>339.99</v>
      </c>
    </row>
    <row r="1046" spans="1:4">
      <c r="A1046" t="s">
        <v>40</v>
      </c>
      <c r="B1046" s="73" t="s">
        <v>510</v>
      </c>
      <c r="C1046" s="74" t="s">
        <v>1551</v>
      </c>
      <c r="D1046" s="74">
        <v>137.99</v>
      </c>
    </row>
    <row r="1047" spans="1:4">
      <c r="A1047" t="s">
        <v>40</v>
      </c>
      <c r="B1047" s="73" t="s">
        <v>510</v>
      </c>
      <c r="C1047" s="74" t="s">
        <v>1552</v>
      </c>
      <c r="D1047" s="74">
        <v>239.95</v>
      </c>
    </row>
    <row r="1048" spans="1:4">
      <c r="A1048" t="s">
        <v>40</v>
      </c>
      <c r="B1048" s="73" t="s">
        <v>523</v>
      </c>
      <c r="C1048" s="74" t="s">
        <v>1553</v>
      </c>
      <c r="D1048" s="74">
        <v>89.99</v>
      </c>
    </row>
    <row r="1049" spans="1:4">
      <c r="A1049" t="s">
        <v>40</v>
      </c>
      <c r="B1049" s="73" t="s">
        <v>569</v>
      </c>
      <c r="C1049" s="74" t="s">
        <v>1554</v>
      </c>
      <c r="D1049" s="74">
        <v>199.47</v>
      </c>
    </row>
    <row r="1050" spans="1:4">
      <c r="A1050" t="s">
        <v>40</v>
      </c>
      <c r="B1050" s="73" t="s">
        <v>510</v>
      </c>
      <c r="C1050" s="74" t="s">
        <v>1555</v>
      </c>
      <c r="D1050" s="74">
        <v>399.99</v>
      </c>
    </row>
    <row r="1051" spans="1:4">
      <c r="A1051" t="s">
        <v>40</v>
      </c>
      <c r="B1051" s="73" t="s">
        <v>510</v>
      </c>
      <c r="C1051" s="74" t="s">
        <v>1556</v>
      </c>
      <c r="D1051" s="74">
        <v>229.99</v>
      </c>
    </row>
    <row r="1052" spans="1:4">
      <c r="A1052" t="s">
        <v>40</v>
      </c>
      <c r="B1052" s="73" t="s">
        <v>505</v>
      </c>
      <c r="C1052" s="74" t="s">
        <v>1557</v>
      </c>
      <c r="D1052" s="74">
        <v>109</v>
      </c>
    </row>
    <row r="1053" spans="1:4">
      <c r="A1053" t="s">
        <v>40</v>
      </c>
      <c r="B1053" s="73" t="s">
        <v>510</v>
      </c>
      <c r="C1053" s="74" t="s">
        <v>1558</v>
      </c>
      <c r="D1053" s="74">
        <v>349.99</v>
      </c>
    </row>
    <row r="1054" spans="1:4">
      <c r="A1054" t="s">
        <v>40</v>
      </c>
      <c r="B1054" s="73" t="s">
        <v>505</v>
      </c>
      <c r="C1054" s="74" t="s">
        <v>1559</v>
      </c>
      <c r="D1054" s="74">
        <v>200</v>
      </c>
    </row>
    <row r="1055" spans="1:4">
      <c r="A1055" t="s">
        <v>40</v>
      </c>
      <c r="B1055" s="73" t="s">
        <v>510</v>
      </c>
      <c r="C1055" s="74" t="s">
        <v>1560</v>
      </c>
      <c r="D1055" s="74">
        <v>99.99</v>
      </c>
    </row>
    <row r="1056" spans="1:4">
      <c r="A1056" t="s">
        <v>40</v>
      </c>
      <c r="B1056" s="73" t="s">
        <v>579</v>
      </c>
      <c r="C1056" s="74" t="s">
        <v>1561</v>
      </c>
      <c r="D1056" s="74">
        <v>456</v>
      </c>
    </row>
    <row r="1057" spans="1:4">
      <c r="A1057" t="s">
        <v>40</v>
      </c>
      <c r="B1057" s="73" t="s">
        <v>505</v>
      </c>
      <c r="C1057" s="74" t="s">
        <v>1562</v>
      </c>
      <c r="D1057" s="74">
        <v>34.99</v>
      </c>
    </row>
    <row r="1058" spans="1:4">
      <c r="A1058" t="s">
        <v>40</v>
      </c>
      <c r="B1058" s="73" t="s">
        <v>510</v>
      </c>
      <c r="C1058" s="74" t="s">
        <v>1563</v>
      </c>
      <c r="D1058" s="74">
        <v>304.99</v>
      </c>
    </row>
    <row r="1059" spans="1:4">
      <c r="A1059" t="s">
        <v>40</v>
      </c>
      <c r="B1059" s="73" t="s">
        <v>510</v>
      </c>
      <c r="C1059" s="74" t="s">
        <v>1564</v>
      </c>
      <c r="D1059" s="74">
        <v>259.99</v>
      </c>
    </row>
    <row r="1060" spans="1:4">
      <c r="A1060" t="s">
        <v>40</v>
      </c>
      <c r="B1060" s="73" t="s">
        <v>505</v>
      </c>
      <c r="C1060" s="74" t="s">
        <v>1565</v>
      </c>
      <c r="D1060" s="74">
        <v>669.69</v>
      </c>
    </row>
    <row r="1061" spans="1:4">
      <c r="A1061" t="s">
        <v>40</v>
      </c>
      <c r="B1061" s="73" t="s">
        <v>510</v>
      </c>
      <c r="C1061" s="74" t="s">
        <v>1566</v>
      </c>
      <c r="D1061" s="74">
        <v>198.99</v>
      </c>
    </row>
    <row r="1062" spans="1:4">
      <c r="A1062" t="s">
        <v>40</v>
      </c>
      <c r="B1062" s="73" t="s">
        <v>523</v>
      </c>
      <c r="C1062" s="74" t="s">
        <v>1567</v>
      </c>
      <c r="D1062" s="74">
        <v>119.47</v>
      </c>
    </row>
    <row r="1063" spans="1:4">
      <c r="A1063" t="s">
        <v>40</v>
      </c>
      <c r="B1063" s="73" t="s">
        <v>738</v>
      </c>
      <c r="C1063" s="74" t="s">
        <v>1568</v>
      </c>
      <c r="D1063" s="74">
        <v>218</v>
      </c>
    </row>
    <row r="1064" spans="1:4">
      <c r="A1064" t="s">
        <v>40</v>
      </c>
      <c r="B1064" s="73" t="s">
        <v>738</v>
      </c>
      <c r="C1064" s="74" t="s">
        <v>1569</v>
      </c>
      <c r="D1064" s="74">
        <v>145</v>
      </c>
    </row>
    <row r="1065" spans="1:4">
      <c r="A1065" t="s">
        <v>40</v>
      </c>
      <c r="B1065" s="73" t="s">
        <v>510</v>
      </c>
      <c r="C1065" s="74" t="s">
        <v>1570</v>
      </c>
      <c r="D1065" s="74">
        <v>1037</v>
      </c>
    </row>
    <row r="1066" spans="1:4">
      <c r="A1066" t="s">
        <v>40</v>
      </c>
      <c r="B1066" s="73" t="s">
        <v>505</v>
      </c>
      <c r="C1066" s="74" t="s">
        <v>1571</v>
      </c>
      <c r="D1066" s="74">
        <v>229</v>
      </c>
    </row>
    <row r="1067" spans="1:4">
      <c r="A1067" t="s">
        <v>40</v>
      </c>
      <c r="B1067" s="73" t="s">
        <v>1572</v>
      </c>
      <c r="C1067" s="74" t="s">
        <v>1573</v>
      </c>
      <c r="D1067" s="74">
        <v>83.97</v>
      </c>
    </row>
    <row r="1068" spans="1:4">
      <c r="A1068" t="s">
        <v>40</v>
      </c>
      <c r="B1068" s="73" t="s">
        <v>510</v>
      </c>
      <c r="C1068" s="74" t="s">
        <v>1574</v>
      </c>
      <c r="D1068" s="74">
        <v>1014.79</v>
      </c>
    </row>
    <row r="1069" spans="1:4">
      <c r="A1069" t="s">
        <v>40</v>
      </c>
      <c r="B1069" s="73" t="s">
        <v>510</v>
      </c>
      <c r="C1069" s="74" t="s">
        <v>1575</v>
      </c>
      <c r="D1069" s="74">
        <v>42.39</v>
      </c>
    </row>
    <row r="1070" spans="1:4">
      <c r="A1070" t="s">
        <v>40</v>
      </c>
      <c r="B1070" s="73" t="s">
        <v>505</v>
      </c>
      <c r="C1070" s="74" t="s">
        <v>1576</v>
      </c>
      <c r="D1070" s="74">
        <v>379.89</v>
      </c>
    </row>
    <row r="1071" spans="1:4">
      <c r="A1071" t="s">
        <v>40</v>
      </c>
      <c r="B1071" s="73" t="s">
        <v>510</v>
      </c>
      <c r="C1071" s="74" t="s">
        <v>1577</v>
      </c>
      <c r="D1071" s="74">
        <v>339.25</v>
      </c>
    </row>
    <row r="1072" spans="1:4">
      <c r="A1072" t="s">
        <v>40</v>
      </c>
      <c r="B1072" s="73" t="s">
        <v>510</v>
      </c>
      <c r="C1072" s="74" t="s">
        <v>1578</v>
      </c>
      <c r="D1072" s="74">
        <v>74.989999999999995</v>
      </c>
    </row>
    <row r="1073" spans="1:4">
      <c r="A1073" t="s">
        <v>40</v>
      </c>
      <c r="B1073" s="73" t="s">
        <v>505</v>
      </c>
      <c r="C1073" s="74" t="s">
        <v>1285</v>
      </c>
      <c r="D1073" s="74">
        <v>379.99</v>
      </c>
    </row>
    <row r="1074" spans="1:4">
      <c r="A1074" t="s">
        <v>40</v>
      </c>
      <c r="B1074" s="73" t="s">
        <v>505</v>
      </c>
      <c r="C1074" s="74" t="s">
        <v>1579</v>
      </c>
      <c r="D1074" s="74">
        <v>211.98</v>
      </c>
    </row>
    <row r="1075" spans="1:4">
      <c r="A1075" t="s">
        <v>40</v>
      </c>
      <c r="B1075" s="73" t="s">
        <v>507</v>
      </c>
      <c r="C1075" s="74" t="s">
        <v>1580</v>
      </c>
      <c r="D1075" s="74">
        <v>138.99</v>
      </c>
    </row>
    <row r="1076" spans="1:4">
      <c r="A1076" t="s">
        <v>40</v>
      </c>
      <c r="B1076" s="73" t="s">
        <v>505</v>
      </c>
      <c r="C1076" s="74" t="s">
        <v>1581</v>
      </c>
      <c r="D1076" s="74">
        <v>269.99</v>
      </c>
    </row>
    <row r="1077" spans="1:4">
      <c r="A1077" t="s">
        <v>40</v>
      </c>
      <c r="B1077" s="73" t="s">
        <v>505</v>
      </c>
      <c r="C1077" s="74" t="s">
        <v>1582</v>
      </c>
      <c r="D1077" s="74">
        <v>105</v>
      </c>
    </row>
    <row r="1078" spans="1:4">
      <c r="A1078" t="s">
        <v>40</v>
      </c>
      <c r="B1078" s="73" t="s">
        <v>510</v>
      </c>
      <c r="C1078" s="74" t="s">
        <v>1583</v>
      </c>
      <c r="D1078" s="74">
        <v>149.88999999999999</v>
      </c>
    </row>
    <row r="1079" spans="1:4">
      <c r="A1079" t="s">
        <v>40</v>
      </c>
      <c r="B1079" s="73" t="s">
        <v>510</v>
      </c>
      <c r="C1079" s="74" t="s">
        <v>1584</v>
      </c>
      <c r="D1079" s="74">
        <v>309.99</v>
      </c>
    </row>
    <row r="1080" spans="1:4">
      <c r="A1080" t="s">
        <v>40</v>
      </c>
      <c r="B1080" s="73" t="s">
        <v>510</v>
      </c>
      <c r="C1080" s="74" t="s">
        <v>1585</v>
      </c>
      <c r="D1080" s="74">
        <v>34.99</v>
      </c>
    </row>
    <row r="1081" spans="1:4">
      <c r="A1081" t="s">
        <v>40</v>
      </c>
      <c r="B1081" s="73" t="s">
        <v>505</v>
      </c>
      <c r="C1081" s="74" t="s">
        <v>1282</v>
      </c>
      <c r="D1081" s="74">
        <v>78.989999999999995</v>
      </c>
    </row>
    <row r="1082" spans="1:4">
      <c r="A1082" t="s">
        <v>40</v>
      </c>
      <c r="B1082" s="73" t="s">
        <v>510</v>
      </c>
      <c r="C1082" s="74" t="s">
        <v>1586</v>
      </c>
      <c r="D1082" s="74">
        <v>449.99</v>
      </c>
    </row>
    <row r="1083" spans="1:4">
      <c r="A1083" t="s">
        <v>40</v>
      </c>
      <c r="B1083" s="73" t="s">
        <v>505</v>
      </c>
      <c r="C1083" s="74" t="s">
        <v>1587</v>
      </c>
      <c r="D1083" s="74">
        <v>79.989999999999995</v>
      </c>
    </row>
    <row r="1084" spans="1:4">
      <c r="A1084" t="s">
        <v>40</v>
      </c>
      <c r="B1084" s="73" t="s">
        <v>546</v>
      </c>
      <c r="C1084" s="74" t="s">
        <v>1588</v>
      </c>
      <c r="D1084" s="74">
        <v>54.99</v>
      </c>
    </row>
    <row r="1085" spans="1:4">
      <c r="A1085" t="s">
        <v>40</v>
      </c>
      <c r="B1085" s="73" t="s">
        <v>529</v>
      </c>
      <c r="C1085" s="74" t="s">
        <v>1589</v>
      </c>
      <c r="D1085" s="74">
        <v>58.33</v>
      </c>
    </row>
    <row r="1086" spans="1:4">
      <c r="A1086" t="s">
        <v>40</v>
      </c>
      <c r="B1086" s="73" t="s">
        <v>505</v>
      </c>
      <c r="C1086" s="74" t="s">
        <v>1590</v>
      </c>
      <c r="D1086" s="74">
        <v>64.989999999999995</v>
      </c>
    </row>
    <row r="1087" spans="1:4">
      <c r="A1087" t="s">
        <v>40</v>
      </c>
      <c r="B1087" s="73" t="s">
        <v>510</v>
      </c>
      <c r="C1087" s="74" t="s">
        <v>1591</v>
      </c>
      <c r="D1087" s="74">
        <v>214.95</v>
      </c>
    </row>
    <row r="1088" spans="1:4">
      <c r="A1088" t="s">
        <v>40</v>
      </c>
      <c r="B1088" s="73" t="s">
        <v>505</v>
      </c>
      <c r="C1088" s="74" t="s">
        <v>1592</v>
      </c>
      <c r="D1088" s="74">
        <v>379.99</v>
      </c>
    </row>
    <row r="1089" spans="1:4">
      <c r="A1089" t="s">
        <v>40</v>
      </c>
      <c r="B1089" s="73" t="s">
        <v>510</v>
      </c>
      <c r="C1089" s="74" t="s">
        <v>1593</v>
      </c>
      <c r="D1089" s="74">
        <v>278.99</v>
      </c>
    </row>
    <row r="1090" spans="1:4">
      <c r="A1090" t="s">
        <v>40</v>
      </c>
      <c r="B1090" s="73" t="s">
        <v>505</v>
      </c>
      <c r="C1090" s="74" t="s">
        <v>1594</v>
      </c>
      <c r="D1090" s="74">
        <v>110</v>
      </c>
    </row>
    <row r="1091" spans="1:4">
      <c r="A1091" t="s">
        <v>40</v>
      </c>
      <c r="B1091" s="73" t="s">
        <v>510</v>
      </c>
      <c r="C1091" s="74" t="s">
        <v>1595</v>
      </c>
      <c r="D1091" s="74">
        <v>324.45</v>
      </c>
    </row>
    <row r="1092" spans="1:4">
      <c r="A1092" t="s">
        <v>40</v>
      </c>
      <c r="B1092" s="73" t="s">
        <v>505</v>
      </c>
      <c r="C1092" s="74" t="s">
        <v>1596</v>
      </c>
      <c r="D1092" s="74">
        <v>279.99</v>
      </c>
    </row>
    <row r="1093" spans="1:4">
      <c r="A1093" t="s">
        <v>40</v>
      </c>
      <c r="B1093" s="73" t="s">
        <v>510</v>
      </c>
      <c r="C1093" s="74" t="s">
        <v>1597</v>
      </c>
      <c r="D1093" s="74">
        <v>184.99</v>
      </c>
    </row>
    <row r="1094" spans="1:4">
      <c r="A1094" t="s">
        <v>40</v>
      </c>
      <c r="B1094" s="73" t="s">
        <v>505</v>
      </c>
      <c r="C1094" s="74" t="s">
        <v>1598</v>
      </c>
      <c r="D1094" s="74">
        <v>319.49</v>
      </c>
    </row>
    <row r="1095" spans="1:4">
      <c r="A1095" t="s">
        <v>40</v>
      </c>
      <c r="B1095" s="73" t="s">
        <v>510</v>
      </c>
      <c r="C1095" s="74" t="s">
        <v>1599</v>
      </c>
      <c r="D1095" s="74">
        <v>729.99</v>
      </c>
    </row>
    <row r="1096" spans="1:4">
      <c r="A1096" t="s">
        <v>40</v>
      </c>
      <c r="B1096" s="73" t="s">
        <v>505</v>
      </c>
      <c r="C1096" s="74" t="s">
        <v>1600</v>
      </c>
      <c r="D1096" s="74">
        <v>429.99</v>
      </c>
    </row>
    <row r="1097" spans="1:4">
      <c r="A1097" t="s">
        <v>40</v>
      </c>
      <c r="B1097" s="73" t="s">
        <v>523</v>
      </c>
      <c r="C1097" s="74" t="s">
        <v>1601</v>
      </c>
      <c r="D1097" s="74">
        <v>701.97</v>
      </c>
    </row>
    <row r="1098" spans="1:4">
      <c r="A1098" t="s">
        <v>40</v>
      </c>
      <c r="B1098" s="73" t="s">
        <v>505</v>
      </c>
      <c r="C1098" s="74" t="s">
        <v>1602</v>
      </c>
      <c r="D1098" s="74">
        <v>245</v>
      </c>
    </row>
    <row r="1099" spans="1:4">
      <c r="A1099" t="s">
        <v>40</v>
      </c>
      <c r="B1099" s="73" t="s">
        <v>505</v>
      </c>
      <c r="C1099" s="74" t="s">
        <v>1603</v>
      </c>
      <c r="D1099" s="74">
        <v>246.98</v>
      </c>
    </row>
    <row r="1100" spans="1:4">
      <c r="A1100" t="s">
        <v>40</v>
      </c>
      <c r="B1100" s="73" t="s">
        <v>561</v>
      </c>
      <c r="C1100" s="74" t="s">
        <v>1604</v>
      </c>
      <c r="D1100" s="74">
        <v>286.97000000000003</v>
      </c>
    </row>
    <row r="1101" spans="1:4">
      <c r="A1101" t="s">
        <v>40</v>
      </c>
      <c r="B1101" s="73" t="s">
        <v>505</v>
      </c>
      <c r="C1101" s="74" t="s">
        <v>1605</v>
      </c>
      <c r="D1101" s="74">
        <v>298.99</v>
      </c>
    </row>
    <row r="1102" spans="1:4">
      <c r="A1102" t="s">
        <v>40</v>
      </c>
      <c r="B1102" s="73" t="s">
        <v>510</v>
      </c>
      <c r="C1102" s="74" t="s">
        <v>1606</v>
      </c>
      <c r="D1102" s="74">
        <v>659.99</v>
      </c>
    </row>
    <row r="1103" spans="1:4">
      <c r="A1103" t="s">
        <v>40</v>
      </c>
      <c r="B1103" s="73" t="s">
        <v>510</v>
      </c>
      <c r="C1103" s="74" t="s">
        <v>1607</v>
      </c>
      <c r="D1103" s="74">
        <v>159.99</v>
      </c>
    </row>
    <row r="1104" spans="1:4">
      <c r="A1104" t="s">
        <v>40</v>
      </c>
      <c r="B1104" s="73" t="s">
        <v>510</v>
      </c>
      <c r="C1104" s="74" t="s">
        <v>1608</v>
      </c>
      <c r="D1104" s="74">
        <v>519.99</v>
      </c>
    </row>
    <row r="1105" spans="1:4">
      <c r="A1105" t="s">
        <v>40</v>
      </c>
      <c r="B1105" s="73" t="s">
        <v>510</v>
      </c>
      <c r="C1105" s="74" t="s">
        <v>1609</v>
      </c>
      <c r="D1105" s="74">
        <v>129.99</v>
      </c>
    </row>
    <row r="1106" spans="1:4">
      <c r="A1106" t="s">
        <v>40</v>
      </c>
      <c r="B1106" s="73" t="s">
        <v>505</v>
      </c>
      <c r="C1106" s="74" t="s">
        <v>1610</v>
      </c>
      <c r="D1106" s="74">
        <v>249</v>
      </c>
    </row>
    <row r="1107" spans="1:4">
      <c r="A1107" t="s">
        <v>40</v>
      </c>
      <c r="B1107" s="73" t="s">
        <v>505</v>
      </c>
      <c r="C1107" s="74" t="s">
        <v>1611</v>
      </c>
      <c r="D1107" s="74">
        <v>171.98</v>
      </c>
    </row>
    <row r="1108" spans="1:4">
      <c r="A1108" t="s">
        <v>40</v>
      </c>
      <c r="B1108" s="73" t="s">
        <v>510</v>
      </c>
      <c r="C1108" s="74" t="s">
        <v>1612</v>
      </c>
      <c r="D1108" s="74">
        <v>491.97</v>
      </c>
    </row>
    <row r="1109" spans="1:4">
      <c r="A1109" t="s">
        <v>40</v>
      </c>
      <c r="B1109" s="73" t="s">
        <v>510</v>
      </c>
      <c r="C1109" s="74" t="s">
        <v>1613</v>
      </c>
      <c r="D1109" s="74">
        <v>229.95</v>
      </c>
    </row>
    <row r="1110" spans="1:4">
      <c r="A1110" t="s">
        <v>40</v>
      </c>
      <c r="B1110" s="73" t="s">
        <v>810</v>
      </c>
      <c r="C1110" s="74" t="s">
        <v>1614</v>
      </c>
      <c r="D1110" s="74">
        <v>281.97000000000003</v>
      </c>
    </row>
    <row r="1111" spans="1:4">
      <c r="A1111" t="s">
        <v>40</v>
      </c>
      <c r="B1111" s="73" t="s">
        <v>510</v>
      </c>
      <c r="C1111" s="74" t="s">
        <v>1615</v>
      </c>
      <c r="D1111" s="74">
        <v>319.99</v>
      </c>
    </row>
    <row r="1112" spans="1:4">
      <c r="A1112" t="s">
        <v>40</v>
      </c>
      <c r="B1112" s="73" t="s">
        <v>510</v>
      </c>
      <c r="C1112" s="74" t="s">
        <v>1616</v>
      </c>
      <c r="D1112" s="74">
        <v>431.97</v>
      </c>
    </row>
    <row r="1113" spans="1:4">
      <c r="A1113" t="s">
        <v>40</v>
      </c>
      <c r="B1113" s="73" t="s">
        <v>505</v>
      </c>
      <c r="C1113" s="74" t="s">
        <v>1617</v>
      </c>
      <c r="D1113" s="74">
        <v>169.19</v>
      </c>
    </row>
    <row r="1114" spans="1:4">
      <c r="A1114" t="s">
        <v>40</v>
      </c>
      <c r="B1114" s="73" t="s">
        <v>833</v>
      </c>
      <c r="C1114" s="74" t="s">
        <v>1618</v>
      </c>
      <c r="D1114" s="74">
        <v>89.99</v>
      </c>
    </row>
    <row r="1115" spans="1:4">
      <c r="A1115" t="s">
        <v>40</v>
      </c>
      <c r="B1115" s="73" t="s">
        <v>505</v>
      </c>
      <c r="C1115" s="74" t="s">
        <v>1619</v>
      </c>
      <c r="D1115" s="74">
        <v>49.98</v>
      </c>
    </row>
    <row r="1116" spans="1:4">
      <c r="A1116" t="s">
        <v>40</v>
      </c>
      <c r="B1116" s="73" t="s">
        <v>505</v>
      </c>
      <c r="C1116" s="74" t="s">
        <v>1620</v>
      </c>
      <c r="D1116" s="74">
        <v>396.97</v>
      </c>
    </row>
    <row r="1117" spans="1:4">
      <c r="A1117" t="s">
        <v>40</v>
      </c>
      <c r="B1117" s="73" t="s">
        <v>510</v>
      </c>
      <c r="C1117" s="74" t="s">
        <v>1621</v>
      </c>
      <c r="D1117" s="74">
        <v>1164.79</v>
      </c>
    </row>
    <row r="1118" spans="1:4">
      <c r="A1118" t="s">
        <v>40</v>
      </c>
      <c r="B1118" s="73" t="s">
        <v>579</v>
      </c>
      <c r="C1118" s="74" t="s">
        <v>1622</v>
      </c>
      <c r="D1118" s="74">
        <v>314</v>
      </c>
    </row>
    <row r="1119" spans="1:4">
      <c r="A1119" t="s">
        <v>40</v>
      </c>
      <c r="B1119" s="73" t="s">
        <v>505</v>
      </c>
      <c r="C1119" s="74" t="s">
        <v>1623</v>
      </c>
      <c r="D1119" s="74">
        <v>330</v>
      </c>
    </row>
    <row r="1120" spans="1:4">
      <c r="A1120" t="s">
        <v>40</v>
      </c>
      <c r="B1120" s="73" t="s">
        <v>510</v>
      </c>
      <c r="C1120" s="74" t="s">
        <v>1624</v>
      </c>
      <c r="D1120" s="74">
        <v>849</v>
      </c>
    </row>
    <row r="1121" spans="1:4">
      <c r="A1121" t="s">
        <v>40</v>
      </c>
      <c r="B1121" s="73" t="s">
        <v>510</v>
      </c>
      <c r="C1121" s="74" t="s">
        <v>1625</v>
      </c>
      <c r="D1121" s="74">
        <v>369.95</v>
      </c>
    </row>
    <row r="1122" spans="1:4">
      <c r="A1122" t="s">
        <v>40</v>
      </c>
      <c r="B1122" s="73" t="s">
        <v>505</v>
      </c>
      <c r="C1122" s="74" t="s">
        <v>1626</v>
      </c>
      <c r="D1122" s="74">
        <v>59</v>
      </c>
    </row>
    <row r="1123" spans="1:4">
      <c r="A1123" t="s">
        <v>40</v>
      </c>
      <c r="B1123" s="73" t="s">
        <v>505</v>
      </c>
      <c r="C1123" s="74" t="s">
        <v>1627</v>
      </c>
      <c r="D1123" s="74">
        <v>459</v>
      </c>
    </row>
    <row r="1124" spans="1:4">
      <c r="A1124" t="s">
        <v>40</v>
      </c>
      <c r="B1124" s="73" t="s">
        <v>505</v>
      </c>
      <c r="C1124" s="74" t="s">
        <v>1628</v>
      </c>
      <c r="D1124" s="74">
        <v>270</v>
      </c>
    </row>
    <row r="1125" spans="1:4">
      <c r="A1125" t="s">
        <v>40</v>
      </c>
      <c r="B1125" s="73" t="s">
        <v>523</v>
      </c>
      <c r="C1125" s="74" t="s">
        <v>1629</v>
      </c>
      <c r="D1125" s="74">
        <v>334.99</v>
      </c>
    </row>
    <row r="1126" spans="1:4">
      <c r="A1126" t="s">
        <v>40</v>
      </c>
      <c r="B1126" s="73" t="s">
        <v>510</v>
      </c>
      <c r="C1126" s="74" t="s">
        <v>1630</v>
      </c>
      <c r="D1126" s="74">
        <v>64.989999999999995</v>
      </c>
    </row>
    <row r="1127" spans="1:4">
      <c r="A1127" t="s">
        <v>40</v>
      </c>
      <c r="B1127" s="73" t="s">
        <v>510</v>
      </c>
      <c r="C1127" s="74" t="s">
        <v>1631</v>
      </c>
      <c r="D1127" s="74">
        <v>285.99</v>
      </c>
    </row>
    <row r="1128" spans="1:4">
      <c r="A1128" t="s">
        <v>40</v>
      </c>
      <c r="B1128" s="73" t="s">
        <v>510</v>
      </c>
      <c r="C1128" s="74" t="s">
        <v>1632</v>
      </c>
      <c r="D1128" s="74">
        <v>123.99</v>
      </c>
    </row>
    <row r="1129" spans="1:4">
      <c r="A1129" t="s">
        <v>40</v>
      </c>
      <c r="B1129" s="73" t="s">
        <v>1337</v>
      </c>
      <c r="C1129" s="74" t="s">
        <v>1633</v>
      </c>
      <c r="D1129" s="74">
        <v>29.99</v>
      </c>
    </row>
    <row r="1130" spans="1:4">
      <c r="A1130" t="s">
        <v>40</v>
      </c>
      <c r="B1130" s="73" t="s">
        <v>510</v>
      </c>
      <c r="C1130" s="74" t="s">
        <v>1634</v>
      </c>
      <c r="D1130" s="74">
        <v>199.99</v>
      </c>
    </row>
    <row r="1131" spans="1:4">
      <c r="A1131" t="s">
        <v>40</v>
      </c>
      <c r="B1131" s="73" t="s">
        <v>510</v>
      </c>
      <c r="C1131" s="74" t="s">
        <v>885</v>
      </c>
      <c r="D1131" s="74">
        <v>699.95</v>
      </c>
    </row>
    <row r="1132" spans="1:4">
      <c r="A1132" t="s">
        <v>40</v>
      </c>
      <c r="B1132" s="73" t="s">
        <v>561</v>
      </c>
      <c r="C1132" s="74" t="s">
        <v>1635</v>
      </c>
      <c r="D1132" s="74">
        <v>119.99</v>
      </c>
    </row>
    <row r="1133" spans="1:4">
      <c r="A1133" t="s">
        <v>40</v>
      </c>
      <c r="B1133" s="73" t="s">
        <v>505</v>
      </c>
      <c r="C1133" s="74" t="s">
        <v>1636</v>
      </c>
      <c r="D1133" s="74">
        <v>299.99</v>
      </c>
    </row>
    <row r="1134" spans="1:4">
      <c r="A1134" t="s">
        <v>40</v>
      </c>
      <c r="B1134" s="73" t="s">
        <v>505</v>
      </c>
      <c r="C1134" s="74" t="s">
        <v>1637</v>
      </c>
      <c r="D1134" s="74">
        <v>311.97000000000003</v>
      </c>
    </row>
    <row r="1135" spans="1:4">
      <c r="A1135" t="s">
        <v>40</v>
      </c>
      <c r="B1135" s="73" t="s">
        <v>523</v>
      </c>
      <c r="C1135" s="74" t="s">
        <v>1638</v>
      </c>
      <c r="D1135" s="74">
        <v>166.97</v>
      </c>
    </row>
    <row r="1136" spans="1:4">
      <c r="A1136" t="s">
        <v>40</v>
      </c>
      <c r="B1136" s="73" t="s">
        <v>1337</v>
      </c>
      <c r="C1136" s="74" t="s">
        <v>1639</v>
      </c>
      <c r="D1136" s="74">
        <v>149.99</v>
      </c>
    </row>
    <row r="1137" spans="1:4">
      <c r="A1137" t="s">
        <v>40</v>
      </c>
      <c r="B1137" s="73" t="s">
        <v>505</v>
      </c>
      <c r="C1137" s="74" t="s">
        <v>1640</v>
      </c>
      <c r="D1137" s="74">
        <v>269.89</v>
      </c>
    </row>
    <row r="1138" spans="1:4">
      <c r="A1138" t="s">
        <v>40</v>
      </c>
      <c r="B1138" s="73" t="s">
        <v>529</v>
      </c>
      <c r="C1138" s="74" t="s">
        <v>786</v>
      </c>
      <c r="D1138" s="74">
        <v>69.790000000000006</v>
      </c>
    </row>
    <row r="1139" spans="1:4">
      <c r="A1139" t="s">
        <v>40</v>
      </c>
      <c r="B1139" s="73" t="s">
        <v>1116</v>
      </c>
      <c r="C1139" s="74" t="s">
        <v>1641</v>
      </c>
      <c r="D1139" s="74">
        <v>149.99</v>
      </c>
    </row>
    <row r="1140" spans="1:4">
      <c r="A1140" t="s">
        <v>40</v>
      </c>
      <c r="B1140" s="73" t="s">
        <v>1642</v>
      </c>
      <c r="C1140" s="74" t="s">
        <v>1643</v>
      </c>
      <c r="D1140" s="74">
        <v>149.99</v>
      </c>
    </row>
    <row r="1141" spans="1:4">
      <c r="A1141" t="s">
        <v>40</v>
      </c>
      <c r="B1141" s="73" t="s">
        <v>510</v>
      </c>
      <c r="C1141" s="74" t="s">
        <v>1644</v>
      </c>
      <c r="D1141" s="74">
        <v>329.99</v>
      </c>
    </row>
    <row r="1142" spans="1:4">
      <c r="A1142" t="s">
        <v>40</v>
      </c>
      <c r="B1142" s="73" t="s">
        <v>505</v>
      </c>
      <c r="C1142" s="74" t="s">
        <v>1645</v>
      </c>
      <c r="D1142" s="74">
        <v>134.99</v>
      </c>
    </row>
    <row r="1143" spans="1:4">
      <c r="A1143" t="s">
        <v>40</v>
      </c>
      <c r="B1143" s="73" t="s">
        <v>505</v>
      </c>
      <c r="C1143" s="74" t="s">
        <v>1646</v>
      </c>
      <c r="D1143" s="74">
        <v>179</v>
      </c>
    </row>
    <row r="1144" spans="1:4">
      <c r="A1144" t="s">
        <v>40</v>
      </c>
      <c r="B1144" s="73" t="s">
        <v>810</v>
      </c>
      <c r="C1144" s="74" t="s">
        <v>1647</v>
      </c>
      <c r="D1144" s="74">
        <v>119.99</v>
      </c>
    </row>
    <row r="1145" spans="1:4">
      <c r="A1145" t="s">
        <v>40</v>
      </c>
      <c r="B1145" s="73" t="s">
        <v>505</v>
      </c>
      <c r="C1145" s="74" t="s">
        <v>1648</v>
      </c>
      <c r="D1145" s="74">
        <v>184.47</v>
      </c>
    </row>
    <row r="1146" spans="1:4">
      <c r="A1146" t="s">
        <v>40</v>
      </c>
      <c r="B1146" s="73" t="s">
        <v>523</v>
      </c>
      <c r="C1146" s="74" t="s">
        <v>1184</v>
      </c>
      <c r="D1146" s="74">
        <v>152.99</v>
      </c>
    </row>
    <row r="1147" spans="1:4">
      <c r="A1147" t="s">
        <v>40</v>
      </c>
      <c r="B1147" s="73" t="s">
        <v>569</v>
      </c>
      <c r="C1147" s="74" t="s">
        <v>1649</v>
      </c>
      <c r="D1147" s="74">
        <v>479</v>
      </c>
    </row>
    <row r="1148" spans="1:4">
      <c r="A1148" t="s">
        <v>40</v>
      </c>
      <c r="B1148" s="73" t="s">
        <v>523</v>
      </c>
      <c r="C1148" s="74" t="s">
        <v>1650</v>
      </c>
      <c r="D1148" s="74">
        <v>89.99</v>
      </c>
    </row>
    <row r="1149" spans="1:4">
      <c r="A1149" t="s">
        <v>40</v>
      </c>
      <c r="B1149" s="73" t="s">
        <v>510</v>
      </c>
      <c r="C1149" s="74" t="s">
        <v>1651</v>
      </c>
      <c r="D1149" s="74">
        <v>399.99</v>
      </c>
    </row>
    <row r="1150" spans="1:4">
      <c r="A1150" t="s">
        <v>40</v>
      </c>
      <c r="B1150" s="73" t="s">
        <v>505</v>
      </c>
      <c r="C1150" s="74" t="s">
        <v>1652</v>
      </c>
      <c r="D1150" s="74">
        <v>219.99</v>
      </c>
    </row>
    <row r="1151" spans="1:4">
      <c r="A1151" t="s">
        <v>40</v>
      </c>
      <c r="B1151" s="73" t="s">
        <v>505</v>
      </c>
      <c r="C1151" s="74" t="s">
        <v>1653</v>
      </c>
      <c r="D1151" s="74">
        <v>209.99</v>
      </c>
    </row>
    <row r="1152" spans="1:4">
      <c r="A1152" t="s">
        <v>40</v>
      </c>
      <c r="B1152" s="73" t="s">
        <v>510</v>
      </c>
      <c r="C1152" s="74" t="s">
        <v>1654</v>
      </c>
      <c r="D1152" s="74">
        <v>419.95</v>
      </c>
    </row>
    <row r="1153" spans="1:4">
      <c r="A1153" t="s">
        <v>40</v>
      </c>
      <c r="B1153" s="73" t="s">
        <v>523</v>
      </c>
      <c r="C1153" s="74" t="s">
        <v>1655</v>
      </c>
      <c r="D1153" s="74">
        <v>304.99</v>
      </c>
    </row>
    <row r="1154" spans="1:4">
      <c r="A1154" t="s">
        <v>40</v>
      </c>
      <c r="B1154" s="73" t="s">
        <v>510</v>
      </c>
      <c r="C1154" s="74" t="s">
        <v>1656</v>
      </c>
      <c r="D1154" s="74">
        <v>104.95</v>
      </c>
    </row>
    <row r="1155" spans="1:4">
      <c r="A1155" t="s">
        <v>40</v>
      </c>
      <c r="B1155" s="73" t="s">
        <v>505</v>
      </c>
      <c r="C1155" s="74" t="s">
        <v>1657</v>
      </c>
      <c r="D1155" s="74">
        <v>369.99</v>
      </c>
    </row>
    <row r="1156" spans="1:4">
      <c r="A1156" t="s">
        <v>40</v>
      </c>
      <c r="B1156" s="73" t="s">
        <v>510</v>
      </c>
      <c r="C1156" s="74" t="s">
        <v>1658</v>
      </c>
      <c r="D1156" s="74">
        <v>299.99</v>
      </c>
    </row>
    <row r="1157" spans="1:4">
      <c r="A1157" t="s">
        <v>40</v>
      </c>
      <c r="B1157" s="73" t="s">
        <v>505</v>
      </c>
      <c r="C1157" s="74" t="s">
        <v>1282</v>
      </c>
      <c r="D1157" s="74">
        <v>73.989999999999995</v>
      </c>
    </row>
    <row r="1158" spans="1:4">
      <c r="A1158" t="s">
        <v>40</v>
      </c>
      <c r="B1158" s="73" t="s">
        <v>505</v>
      </c>
      <c r="C1158" s="74" t="s">
        <v>1659</v>
      </c>
      <c r="D1158" s="74">
        <v>309.99</v>
      </c>
    </row>
    <row r="1159" spans="1:4">
      <c r="A1159" t="s">
        <v>40</v>
      </c>
      <c r="B1159" s="73" t="s">
        <v>505</v>
      </c>
      <c r="C1159" s="74" t="s">
        <v>1660</v>
      </c>
      <c r="D1159" s="74">
        <v>165</v>
      </c>
    </row>
    <row r="1160" spans="1:4">
      <c r="A1160" t="s">
        <v>40</v>
      </c>
      <c r="B1160" s="73" t="s">
        <v>683</v>
      </c>
      <c r="C1160" s="74" t="s">
        <v>1661</v>
      </c>
      <c r="D1160" s="74">
        <v>329.99</v>
      </c>
    </row>
    <row r="1161" spans="1:4">
      <c r="A1161" t="s">
        <v>40</v>
      </c>
      <c r="B1161" s="73" t="s">
        <v>561</v>
      </c>
      <c r="C1161" s="74" t="s">
        <v>1662</v>
      </c>
      <c r="D1161" s="74">
        <v>134.99</v>
      </c>
    </row>
    <row r="1162" spans="1:4">
      <c r="A1162" t="s">
        <v>40</v>
      </c>
      <c r="B1162" s="73" t="s">
        <v>510</v>
      </c>
      <c r="C1162" s="74" t="s">
        <v>1663</v>
      </c>
      <c r="D1162" s="74">
        <v>609.99</v>
      </c>
    </row>
    <row r="1163" spans="1:4">
      <c r="A1163" t="s">
        <v>40</v>
      </c>
      <c r="B1163" s="73" t="s">
        <v>505</v>
      </c>
      <c r="C1163" s="74" t="s">
        <v>1664</v>
      </c>
      <c r="D1163" s="74">
        <v>63.99</v>
      </c>
    </row>
    <row r="1164" spans="1:4">
      <c r="A1164" t="s">
        <v>40</v>
      </c>
      <c r="B1164" s="73" t="s">
        <v>510</v>
      </c>
      <c r="C1164" s="74" t="s">
        <v>1665</v>
      </c>
      <c r="D1164" s="74">
        <v>399.95</v>
      </c>
    </row>
    <row r="1165" spans="1:4">
      <c r="A1165" t="s">
        <v>40</v>
      </c>
      <c r="B1165" s="73" t="s">
        <v>505</v>
      </c>
      <c r="C1165" s="74" t="s">
        <v>1666</v>
      </c>
      <c r="D1165" s="74">
        <v>76.89</v>
      </c>
    </row>
    <row r="1166" spans="1:4">
      <c r="A1166" t="s">
        <v>40</v>
      </c>
      <c r="B1166" s="73" t="s">
        <v>510</v>
      </c>
      <c r="C1166" s="74" t="s">
        <v>1667</v>
      </c>
      <c r="D1166" s="74">
        <v>309.99</v>
      </c>
    </row>
    <row r="1167" spans="1:4">
      <c r="A1167" t="s">
        <v>40</v>
      </c>
      <c r="B1167" s="73" t="s">
        <v>1337</v>
      </c>
      <c r="C1167" s="74" t="s">
        <v>1668</v>
      </c>
      <c r="D1167" s="74">
        <v>22.99</v>
      </c>
    </row>
    <row r="1168" spans="1:4">
      <c r="A1168" t="s">
        <v>40</v>
      </c>
      <c r="B1168" s="73" t="s">
        <v>510</v>
      </c>
      <c r="C1168" s="74" t="s">
        <v>1669</v>
      </c>
      <c r="D1168" s="74">
        <v>535</v>
      </c>
    </row>
    <row r="1169" spans="1:4">
      <c r="A1169" t="s">
        <v>40</v>
      </c>
      <c r="B1169" s="73" t="s">
        <v>505</v>
      </c>
      <c r="C1169" s="74" t="s">
        <v>1670</v>
      </c>
      <c r="D1169" s="74">
        <v>147</v>
      </c>
    </row>
    <row r="1170" spans="1:4">
      <c r="A1170" t="s">
        <v>40</v>
      </c>
      <c r="B1170" s="73" t="s">
        <v>505</v>
      </c>
      <c r="C1170" s="74" t="s">
        <v>1671</v>
      </c>
      <c r="D1170" s="74">
        <v>69.989999999999995</v>
      </c>
    </row>
    <row r="1171" spans="1:4">
      <c r="A1171" t="s">
        <v>40</v>
      </c>
      <c r="B1171" s="73" t="s">
        <v>529</v>
      </c>
      <c r="C1171" s="74" t="s">
        <v>1672</v>
      </c>
      <c r="D1171" s="74">
        <v>44.49</v>
      </c>
    </row>
    <row r="1172" spans="1:4">
      <c r="A1172" t="s">
        <v>40</v>
      </c>
      <c r="B1172" s="73" t="s">
        <v>505</v>
      </c>
      <c r="C1172" s="74" t="s">
        <v>1673</v>
      </c>
      <c r="D1172" s="74">
        <v>560</v>
      </c>
    </row>
    <row r="1173" spans="1:4">
      <c r="A1173" t="s">
        <v>40</v>
      </c>
      <c r="B1173" s="73" t="s">
        <v>810</v>
      </c>
      <c r="C1173" s="74" t="s">
        <v>1674</v>
      </c>
      <c r="D1173" s="74">
        <v>70</v>
      </c>
    </row>
    <row r="1174" spans="1:4">
      <c r="A1174" t="s">
        <v>40</v>
      </c>
      <c r="B1174" s="73" t="s">
        <v>510</v>
      </c>
      <c r="C1174" s="74" t="s">
        <v>1675</v>
      </c>
      <c r="D1174" s="74">
        <v>169.99</v>
      </c>
    </row>
    <row r="1175" spans="1:4">
      <c r="A1175" t="s">
        <v>40</v>
      </c>
      <c r="B1175" s="73" t="s">
        <v>1676</v>
      </c>
      <c r="C1175" s="74" t="s">
        <v>1677</v>
      </c>
      <c r="D1175" s="74">
        <v>119.99</v>
      </c>
    </row>
    <row r="1176" spans="1:4">
      <c r="A1176" t="s">
        <v>40</v>
      </c>
      <c r="B1176" s="73" t="s">
        <v>510</v>
      </c>
      <c r="C1176" s="74" t="s">
        <v>1678</v>
      </c>
      <c r="D1176" s="74">
        <v>138.99</v>
      </c>
    </row>
    <row r="1177" spans="1:4">
      <c r="A1177" t="s">
        <v>40</v>
      </c>
      <c r="B1177" s="73" t="s">
        <v>505</v>
      </c>
      <c r="C1177" s="74" t="s">
        <v>1679</v>
      </c>
      <c r="D1177" s="74">
        <v>181</v>
      </c>
    </row>
    <row r="1178" spans="1:4">
      <c r="A1178" t="s">
        <v>40</v>
      </c>
      <c r="B1178" s="73" t="s">
        <v>505</v>
      </c>
      <c r="C1178" s="74" t="s">
        <v>1680</v>
      </c>
      <c r="D1178" s="74">
        <v>350</v>
      </c>
    </row>
    <row r="1179" spans="1:4">
      <c r="A1179" t="s">
        <v>40</v>
      </c>
      <c r="B1179" s="73" t="s">
        <v>505</v>
      </c>
      <c r="C1179" s="74" t="s">
        <v>1681</v>
      </c>
      <c r="D1179" s="74">
        <v>99.99</v>
      </c>
    </row>
    <row r="1180" spans="1:4">
      <c r="A1180" t="s">
        <v>40</v>
      </c>
      <c r="B1180" s="73" t="s">
        <v>510</v>
      </c>
      <c r="C1180" s="74" t="s">
        <v>1682</v>
      </c>
      <c r="D1180" s="74">
        <v>219.99</v>
      </c>
    </row>
    <row r="1181" spans="1:4">
      <c r="A1181" t="s">
        <v>40</v>
      </c>
      <c r="B1181" s="73" t="s">
        <v>1683</v>
      </c>
      <c r="C1181" s="74" t="s">
        <v>1684</v>
      </c>
      <c r="D1181" s="74">
        <v>155.80000000000001</v>
      </c>
    </row>
    <row r="1182" spans="1:4">
      <c r="A1182" t="s">
        <v>40</v>
      </c>
      <c r="B1182" s="73" t="s">
        <v>510</v>
      </c>
      <c r="C1182" s="74" t="s">
        <v>1685</v>
      </c>
      <c r="D1182" s="74">
        <v>424</v>
      </c>
    </row>
    <row r="1183" spans="1:4">
      <c r="A1183" t="s">
        <v>40</v>
      </c>
      <c r="B1183" s="73" t="s">
        <v>510</v>
      </c>
      <c r="C1183" s="74" t="s">
        <v>1686</v>
      </c>
      <c r="D1183" s="74">
        <v>159.99</v>
      </c>
    </row>
    <row r="1184" spans="1:4">
      <c r="A1184" t="s">
        <v>40</v>
      </c>
      <c r="B1184" s="73" t="s">
        <v>510</v>
      </c>
      <c r="C1184" s="74" t="s">
        <v>1687</v>
      </c>
      <c r="D1184" s="74">
        <v>119.99</v>
      </c>
    </row>
    <row r="1185" spans="1:4">
      <c r="A1185" t="s">
        <v>40</v>
      </c>
      <c r="B1185" s="73" t="s">
        <v>510</v>
      </c>
      <c r="C1185" s="74" t="s">
        <v>1688</v>
      </c>
      <c r="D1185" s="74">
        <v>74.989999999999995</v>
      </c>
    </row>
    <row r="1186" spans="1:4">
      <c r="A1186" t="s">
        <v>40</v>
      </c>
      <c r="B1186" s="73" t="s">
        <v>510</v>
      </c>
      <c r="C1186" s="74" t="s">
        <v>1689</v>
      </c>
      <c r="D1186" s="74">
        <v>152.99</v>
      </c>
    </row>
    <row r="1187" spans="1:4">
      <c r="A1187" t="s">
        <v>40</v>
      </c>
      <c r="B1187" s="73" t="s">
        <v>510</v>
      </c>
      <c r="C1187" s="74" t="s">
        <v>1690</v>
      </c>
      <c r="D1187" s="74">
        <v>159</v>
      </c>
    </row>
    <row r="1188" spans="1:4">
      <c r="A1188" t="s">
        <v>40</v>
      </c>
      <c r="B1188" s="53"/>
      <c r="C1188" s="74" t="s">
        <v>1691</v>
      </c>
      <c r="D1188" s="74">
        <v>317.85000000000002</v>
      </c>
    </row>
    <row r="1189" spans="1:4">
      <c r="A1189" t="s">
        <v>40</v>
      </c>
      <c r="B1189" s="73" t="s">
        <v>546</v>
      </c>
      <c r="C1189" s="74" t="s">
        <v>1692</v>
      </c>
      <c r="D1189" s="74">
        <v>129.94999999999999</v>
      </c>
    </row>
    <row r="1190" spans="1:4">
      <c r="A1190" t="s">
        <v>40</v>
      </c>
      <c r="B1190" s="73" t="s">
        <v>510</v>
      </c>
      <c r="C1190" s="74" t="s">
        <v>1693</v>
      </c>
      <c r="D1190" s="74">
        <v>223.99</v>
      </c>
    </row>
    <row r="1191" spans="1:4">
      <c r="A1191" t="s">
        <v>40</v>
      </c>
      <c r="B1191" s="73" t="s">
        <v>505</v>
      </c>
      <c r="C1191" s="74" t="s">
        <v>1694</v>
      </c>
      <c r="D1191" s="74">
        <v>259.99</v>
      </c>
    </row>
    <row r="1192" spans="1:4">
      <c r="A1192" t="s">
        <v>40</v>
      </c>
      <c r="B1192" s="73" t="s">
        <v>505</v>
      </c>
      <c r="C1192" s="74" t="s">
        <v>1695</v>
      </c>
      <c r="D1192" s="74">
        <v>45.99</v>
      </c>
    </row>
    <row r="1193" spans="1:4">
      <c r="A1193" t="s">
        <v>40</v>
      </c>
      <c r="B1193" s="73" t="s">
        <v>523</v>
      </c>
      <c r="C1193" s="74" t="s">
        <v>1696</v>
      </c>
      <c r="D1193" s="74">
        <v>134.99</v>
      </c>
    </row>
    <row r="1194" spans="1:4">
      <c r="A1194" t="s">
        <v>40</v>
      </c>
      <c r="B1194" s="73" t="s">
        <v>510</v>
      </c>
      <c r="C1194" s="74" t="s">
        <v>1697</v>
      </c>
      <c r="D1194" s="74">
        <v>310.99</v>
      </c>
    </row>
    <row r="1195" spans="1:4">
      <c r="A1195" t="s">
        <v>40</v>
      </c>
      <c r="B1195" s="73" t="s">
        <v>510</v>
      </c>
      <c r="C1195" s="74" t="s">
        <v>1698</v>
      </c>
      <c r="D1195" s="74">
        <v>144.99</v>
      </c>
    </row>
    <row r="1196" spans="1:4">
      <c r="A1196" t="s">
        <v>40</v>
      </c>
      <c r="B1196" s="73" t="s">
        <v>1683</v>
      </c>
      <c r="C1196" s="74" t="s">
        <v>1699</v>
      </c>
      <c r="D1196" s="74">
        <v>396.9</v>
      </c>
    </row>
    <row r="1197" spans="1:4">
      <c r="A1197" t="s">
        <v>40</v>
      </c>
      <c r="B1197" s="73" t="s">
        <v>505</v>
      </c>
      <c r="C1197" s="74" t="s">
        <v>1700</v>
      </c>
      <c r="D1197" s="74">
        <v>249.99</v>
      </c>
    </row>
    <row r="1198" spans="1:4">
      <c r="A1198" t="s">
        <v>40</v>
      </c>
      <c r="B1198" s="73" t="s">
        <v>510</v>
      </c>
      <c r="C1198" s="74" t="s">
        <v>1701</v>
      </c>
      <c r="D1198" s="74">
        <v>343.99</v>
      </c>
    </row>
    <row r="1199" spans="1:4">
      <c r="A1199" t="s">
        <v>40</v>
      </c>
      <c r="B1199" s="73" t="s">
        <v>505</v>
      </c>
      <c r="C1199" s="74" t="s">
        <v>1702</v>
      </c>
      <c r="D1199" s="74">
        <v>314.95</v>
      </c>
    </row>
    <row r="1200" spans="1:4">
      <c r="A1200" t="s">
        <v>40</v>
      </c>
      <c r="B1200" s="73" t="s">
        <v>510</v>
      </c>
      <c r="C1200" s="74" t="s">
        <v>1703</v>
      </c>
      <c r="D1200" s="74">
        <v>89.95</v>
      </c>
    </row>
    <row r="1201" spans="1:4">
      <c r="A1201" t="s">
        <v>40</v>
      </c>
      <c r="B1201" s="73" t="s">
        <v>507</v>
      </c>
      <c r="C1201" s="74" t="s">
        <v>1704</v>
      </c>
      <c r="D1201" s="74">
        <v>89.99</v>
      </c>
    </row>
    <row r="1202" spans="1:4">
      <c r="A1202" t="s">
        <v>40</v>
      </c>
      <c r="B1202" s="73" t="s">
        <v>1022</v>
      </c>
      <c r="C1202" s="74" t="s">
        <v>1705</v>
      </c>
      <c r="D1202" s="74">
        <v>79.989999999999995</v>
      </c>
    </row>
    <row r="1203" spans="1:4">
      <c r="A1203" t="s">
        <v>40</v>
      </c>
      <c r="B1203" s="73" t="s">
        <v>546</v>
      </c>
      <c r="C1203" s="74" t="s">
        <v>1706</v>
      </c>
      <c r="D1203" s="74">
        <v>23</v>
      </c>
    </row>
    <row r="1204" spans="1:4">
      <c r="A1204" t="s">
        <v>40</v>
      </c>
      <c r="B1204" s="73" t="s">
        <v>505</v>
      </c>
      <c r="C1204" s="74" t="s">
        <v>1707</v>
      </c>
      <c r="D1204" s="74">
        <v>159.99</v>
      </c>
    </row>
    <row r="1205" spans="1:4">
      <c r="A1205" t="s">
        <v>40</v>
      </c>
      <c r="B1205" s="73" t="s">
        <v>510</v>
      </c>
      <c r="C1205" s="74" t="s">
        <v>1708</v>
      </c>
      <c r="D1205" s="74">
        <v>288.99</v>
      </c>
    </row>
    <row r="1206" spans="1:4">
      <c r="A1206" t="s">
        <v>40</v>
      </c>
      <c r="B1206" s="53"/>
      <c r="C1206" s="74" t="s">
        <v>1709</v>
      </c>
      <c r="D1206" s="74">
        <v>339.06</v>
      </c>
    </row>
    <row r="1207" spans="1:4">
      <c r="A1207" t="s">
        <v>40</v>
      </c>
      <c r="B1207" s="73" t="s">
        <v>505</v>
      </c>
      <c r="C1207" s="74" t="s">
        <v>1710</v>
      </c>
      <c r="D1207" s="74">
        <v>209.99</v>
      </c>
    </row>
    <row r="1208" spans="1:4">
      <c r="A1208" t="s">
        <v>40</v>
      </c>
      <c r="B1208" s="73" t="s">
        <v>510</v>
      </c>
      <c r="C1208" s="74" t="s">
        <v>1711</v>
      </c>
      <c r="D1208" s="74">
        <v>1529.99</v>
      </c>
    </row>
    <row r="1209" spans="1:4">
      <c r="A1209" t="s">
        <v>40</v>
      </c>
      <c r="B1209" s="53"/>
      <c r="C1209" s="74" t="s">
        <v>1712</v>
      </c>
      <c r="D1209" s="74">
        <v>445.08</v>
      </c>
    </row>
    <row r="1210" spans="1:4">
      <c r="A1210" t="s">
        <v>40</v>
      </c>
      <c r="B1210" s="73" t="s">
        <v>505</v>
      </c>
      <c r="C1210" s="74" t="s">
        <v>1194</v>
      </c>
      <c r="D1210" s="74">
        <v>75.989999999999995</v>
      </c>
    </row>
    <row r="1211" spans="1:4">
      <c r="A1211" t="s">
        <v>40</v>
      </c>
      <c r="B1211" s="73" t="s">
        <v>505</v>
      </c>
      <c r="C1211" s="74" t="s">
        <v>1713</v>
      </c>
      <c r="D1211" s="74">
        <v>62</v>
      </c>
    </row>
    <row r="1212" spans="1:4">
      <c r="A1212" t="s">
        <v>40</v>
      </c>
      <c r="B1212" s="73" t="s">
        <v>510</v>
      </c>
      <c r="C1212" s="74" t="s">
        <v>1714</v>
      </c>
      <c r="D1212" s="74">
        <v>388.99</v>
      </c>
    </row>
    <row r="1213" spans="1:4">
      <c r="A1213" t="s">
        <v>40</v>
      </c>
      <c r="B1213" s="73" t="s">
        <v>510</v>
      </c>
      <c r="C1213" s="74" t="s">
        <v>1715</v>
      </c>
      <c r="D1213" s="74">
        <v>640.99</v>
      </c>
    </row>
    <row r="1214" spans="1:4">
      <c r="A1214" t="s">
        <v>40</v>
      </c>
      <c r="B1214" s="53"/>
      <c r="C1214" s="74" t="s">
        <v>1716</v>
      </c>
      <c r="D1214" s="74">
        <v>277</v>
      </c>
    </row>
    <row r="1215" spans="1:4">
      <c r="A1215" t="s">
        <v>40</v>
      </c>
      <c r="B1215" s="73" t="s">
        <v>510</v>
      </c>
      <c r="C1215" s="74" t="s">
        <v>1717</v>
      </c>
      <c r="D1215" s="74">
        <v>29.99</v>
      </c>
    </row>
    <row r="1216" spans="1:4">
      <c r="A1216" t="s">
        <v>40</v>
      </c>
      <c r="B1216" s="73" t="s">
        <v>810</v>
      </c>
      <c r="C1216" s="74" t="s">
        <v>1718</v>
      </c>
      <c r="D1216" s="74">
        <v>139.99</v>
      </c>
    </row>
    <row r="1217" spans="1:4">
      <c r="A1217" t="s">
        <v>40</v>
      </c>
      <c r="B1217" s="73" t="s">
        <v>1493</v>
      </c>
      <c r="C1217" s="74" t="s">
        <v>1719</v>
      </c>
      <c r="D1217" s="74">
        <v>149.94999999999999</v>
      </c>
    </row>
    <row r="1218" spans="1:4">
      <c r="A1218" t="s">
        <v>40</v>
      </c>
      <c r="B1218" s="73" t="s">
        <v>510</v>
      </c>
      <c r="C1218" s="74" t="s">
        <v>1720</v>
      </c>
      <c r="D1218" s="74">
        <v>148.49</v>
      </c>
    </row>
    <row r="1219" spans="1:4">
      <c r="A1219" t="s">
        <v>40</v>
      </c>
      <c r="B1219" s="73" t="s">
        <v>505</v>
      </c>
      <c r="C1219" s="74" t="s">
        <v>1721</v>
      </c>
      <c r="D1219" s="74">
        <v>249.99</v>
      </c>
    </row>
    <row r="1220" spans="1:4">
      <c r="A1220" t="s">
        <v>40</v>
      </c>
      <c r="B1220" s="73" t="s">
        <v>510</v>
      </c>
      <c r="C1220" s="74" t="s">
        <v>1722</v>
      </c>
      <c r="D1220" s="74">
        <v>72.989999999999995</v>
      </c>
    </row>
    <row r="1221" spans="1:4">
      <c r="A1221" t="s">
        <v>40</v>
      </c>
      <c r="B1221" s="73" t="s">
        <v>1683</v>
      </c>
      <c r="C1221" s="74" t="s">
        <v>1723</v>
      </c>
      <c r="D1221" s="74">
        <v>334.95</v>
      </c>
    </row>
    <row r="1222" spans="1:4">
      <c r="A1222" t="s">
        <v>40</v>
      </c>
      <c r="B1222" s="73" t="s">
        <v>510</v>
      </c>
      <c r="C1222" s="74" t="s">
        <v>1724</v>
      </c>
      <c r="D1222" s="74">
        <v>669.99</v>
      </c>
    </row>
    <row r="1223" spans="1:4">
      <c r="A1223" t="s">
        <v>40</v>
      </c>
      <c r="B1223" s="73" t="s">
        <v>523</v>
      </c>
      <c r="C1223" s="74" t="s">
        <v>1725</v>
      </c>
      <c r="D1223" s="74">
        <v>218.49</v>
      </c>
    </row>
    <row r="1224" spans="1:4">
      <c r="A1224" t="s">
        <v>40</v>
      </c>
      <c r="B1224" s="73" t="s">
        <v>505</v>
      </c>
      <c r="C1224" s="74" t="s">
        <v>1726</v>
      </c>
      <c r="D1224" s="74">
        <v>199.99</v>
      </c>
    </row>
    <row r="1225" spans="1:4">
      <c r="A1225" t="s">
        <v>40</v>
      </c>
      <c r="B1225" s="73" t="s">
        <v>505</v>
      </c>
      <c r="C1225" s="74" t="s">
        <v>1727</v>
      </c>
      <c r="D1225" s="74">
        <v>109.99</v>
      </c>
    </row>
    <row r="1226" spans="1:4">
      <c r="A1226" t="s">
        <v>40</v>
      </c>
      <c r="B1226" s="73" t="s">
        <v>505</v>
      </c>
      <c r="C1226" s="74" t="s">
        <v>1728</v>
      </c>
      <c r="D1226" s="74">
        <v>315.99</v>
      </c>
    </row>
    <row r="1227" spans="1:4">
      <c r="A1227" t="s">
        <v>40</v>
      </c>
      <c r="B1227" s="73" t="s">
        <v>810</v>
      </c>
      <c r="C1227" s="74" t="s">
        <v>1729</v>
      </c>
      <c r="D1227" s="74">
        <v>739</v>
      </c>
    </row>
    <row r="1228" spans="1:4">
      <c r="A1228" t="s">
        <v>40</v>
      </c>
      <c r="B1228" s="73" t="s">
        <v>529</v>
      </c>
      <c r="C1228" s="74" t="s">
        <v>1730</v>
      </c>
      <c r="D1228" s="74">
        <v>189.99</v>
      </c>
    </row>
    <row r="1229" spans="1:4">
      <c r="A1229" t="s">
        <v>40</v>
      </c>
      <c r="B1229" s="73" t="s">
        <v>510</v>
      </c>
      <c r="C1229" s="74" t="s">
        <v>1731</v>
      </c>
      <c r="D1229" s="74">
        <v>519.99</v>
      </c>
    </row>
    <row r="1230" spans="1:4">
      <c r="A1230" t="s">
        <v>40</v>
      </c>
      <c r="B1230" s="73" t="s">
        <v>510</v>
      </c>
      <c r="C1230" s="74" t="s">
        <v>1732</v>
      </c>
      <c r="D1230" s="74">
        <v>749</v>
      </c>
    </row>
    <row r="1231" spans="1:4">
      <c r="A1231" t="s">
        <v>40</v>
      </c>
      <c r="B1231" s="73" t="s">
        <v>510</v>
      </c>
      <c r="C1231" s="74" t="s">
        <v>1733</v>
      </c>
      <c r="D1231" s="74">
        <v>233.99</v>
      </c>
    </row>
    <row r="1232" spans="1:4">
      <c r="A1232" t="s">
        <v>40</v>
      </c>
      <c r="B1232" s="73" t="s">
        <v>510</v>
      </c>
      <c r="C1232" s="74" t="s">
        <v>1734</v>
      </c>
      <c r="D1232" s="74">
        <v>319.99</v>
      </c>
    </row>
    <row r="1233" spans="1:4">
      <c r="A1233" t="s">
        <v>40</v>
      </c>
      <c r="B1233" s="73" t="s">
        <v>523</v>
      </c>
      <c r="C1233" s="74" t="s">
        <v>1735</v>
      </c>
      <c r="D1233" s="74">
        <v>279</v>
      </c>
    </row>
    <row r="1234" spans="1:4">
      <c r="A1234" t="s">
        <v>40</v>
      </c>
      <c r="B1234" s="73" t="s">
        <v>505</v>
      </c>
      <c r="C1234" s="74" t="s">
        <v>1736</v>
      </c>
      <c r="D1234" s="74">
        <v>279.99</v>
      </c>
    </row>
    <row r="1235" spans="1:4">
      <c r="A1235" t="s">
        <v>40</v>
      </c>
      <c r="B1235" s="73" t="s">
        <v>1337</v>
      </c>
      <c r="C1235" s="74" t="s">
        <v>1737</v>
      </c>
      <c r="D1235" s="74">
        <v>24.95</v>
      </c>
    </row>
    <row r="1236" spans="1:4">
      <c r="A1236" t="s">
        <v>40</v>
      </c>
      <c r="B1236" s="73" t="s">
        <v>510</v>
      </c>
      <c r="C1236" s="74" t="s">
        <v>1738</v>
      </c>
      <c r="D1236" s="74">
        <v>79.989999999999995</v>
      </c>
    </row>
    <row r="1237" spans="1:4">
      <c r="A1237" t="s">
        <v>40</v>
      </c>
      <c r="B1237" s="73" t="s">
        <v>505</v>
      </c>
      <c r="C1237" s="74" t="s">
        <v>1739</v>
      </c>
      <c r="D1237" s="74">
        <v>74.989999999999995</v>
      </c>
    </row>
    <row r="1238" spans="1:4">
      <c r="A1238" t="s">
        <v>40</v>
      </c>
      <c r="B1238" s="73" t="s">
        <v>510</v>
      </c>
      <c r="C1238" s="74" t="s">
        <v>1740</v>
      </c>
      <c r="D1238" s="74">
        <v>394.99</v>
      </c>
    </row>
    <row r="1239" spans="1:4">
      <c r="A1239" t="s">
        <v>40</v>
      </c>
      <c r="B1239" s="73" t="s">
        <v>510</v>
      </c>
      <c r="C1239" s="74" t="s">
        <v>1741</v>
      </c>
      <c r="D1239" s="74">
        <v>159.94999999999999</v>
      </c>
    </row>
    <row r="1240" spans="1:4">
      <c r="A1240" t="s">
        <v>40</v>
      </c>
      <c r="B1240" s="73" t="s">
        <v>561</v>
      </c>
      <c r="C1240" s="74" t="s">
        <v>1742</v>
      </c>
      <c r="D1240" s="74">
        <v>54.99</v>
      </c>
    </row>
    <row r="1241" spans="1:4">
      <c r="A1241" t="s">
        <v>40</v>
      </c>
      <c r="B1241" s="73" t="s">
        <v>510</v>
      </c>
      <c r="C1241" s="74" t="s">
        <v>1743</v>
      </c>
      <c r="D1241" s="74">
        <v>179.95</v>
      </c>
    </row>
    <row r="1242" spans="1:4">
      <c r="A1242" t="s">
        <v>40</v>
      </c>
      <c r="B1242" s="73" t="s">
        <v>505</v>
      </c>
      <c r="C1242" s="74" t="s">
        <v>1744</v>
      </c>
      <c r="D1242" s="74">
        <v>179.99</v>
      </c>
    </row>
    <row r="1243" spans="1:4">
      <c r="A1243" t="s">
        <v>40</v>
      </c>
      <c r="B1243" s="73" t="s">
        <v>507</v>
      </c>
      <c r="C1243" s="74" t="s">
        <v>1745</v>
      </c>
      <c r="D1243" s="74">
        <v>49.99</v>
      </c>
    </row>
    <row r="1244" spans="1:4">
      <c r="A1244" t="s">
        <v>40</v>
      </c>
      <c r="B1244" s="73" t="s">
        <v>510</v>
      </c>
      <c r="C1244" s="74" t="s">
        <v>1746</v>
      </c>
      <c r="D1244" s="74">
        <v>149.99</v>
      </c>
    </row>
    <row r="1245" spans="1:4">
      <c r="A1245" t="s">
        <v>40</v>
      </c>
      <c r="B1245" s="73" t="s">
        <v>510</v>
      </c>
      <c r="C1245" s="74" t="s">
        <v>1747</v>
      </c>
      <c r="D1245" s="74">
        <v>519</v>
      </c>
    </row>
    <row r="1246" spans="1:4">
      <c r="A1246" t="s">
        <v>40</v>
      </c>
      <c r="B1246" s="73" t="s">
        <v>510</v>
      </c>
      <c r="C1246" s="74" t="s">
        <v>1748</v>
      </c>
      <c r="D1246" s="74">
        <v>769.49</v>
      </c>
    </row>
    <row r="1247" spans="1:4">
      <c r="A1247" t="s">
        <v>40</v>
      </c>
      <c r="B1247" s="73" t="s">
        <v>505</v>
      </c>
      <c r="C1247" s="74" t="s">
        <v>1749</v>
      </c>
      <c r="D1247" s="74">
        <v>135</v>
      </c>
    </row>
    <row r="1248" spans="1:4">
      <c r="A1248" t="s">
        <v>40</v>
      </c>
      <c r="B1248" s="73" t="s">
        <v>523</v>
      </c>
      <c r="C1248" s="74" t="s">
        <v>1750</v>
      </c>
      <c r="D1248" s="74">
        <v>419.99</v>
      </c>
    </row>
    <row r="1249" spans="1:4">
      <c r="A1249" t="s">
        <v>40</v>
      </c>
      <c r="B1249" s="73" t="s">
        <v>505</v>
      </c>
      <c r="C1249" s="74" t="s">
        <v>1751</v>
      </c>
      <c r="D1249" s="74">
        <v>239.95</v>
      </c>
    </row>
    <row r="1250" spans="1:4">
      <c r="A1250" t="s">
        <v>40</v>
      </c>
      <c r="B1250" s="73" t="s">
        <v>505</v>
      </c>
      <c r="C1250" s="74" t="s">
        <v>1752</v>
      </c>
      <c r="D1250" s="74">
        <v>83.99</v>
      </c>
    </row>
    <row r="1251" spans="1:4" ht="21">
      <c r="A1251" t="s">
        <v>40</v>
      </c>
      <c r="B1251" s="73" t="s">
        <v>505</v>
      </c>
      <c r="C1251" s="74" t="s">
        <v>1753</v>
      </c>
      <c r="D1251" s="74">
        <v>164.89</v>
      </c>
    </row>
    <row r="1252" spans="1:4">
      <c r="A1252" t="s">
        <v>40</v>
      </c>
      <c r="B1252" s="73" t="s">
        <v>505</v>
      </c>
      <c r="C1252" s="74" t="s">
        <v>1754</v>
      </c>
      <c r="D1252" s="74">
        <v>479.79</v>
      </c>
    </row>
    <row r="1253" spans="1:4">
      <c r="A1253" t="s">
        <v>40</v>
      </c>
      <c r="B1253" s="73" t="s">
        <v>505</v>
      </c>
      <c r="C1253" s="74" t="s">
        <v>1755</v>
      </c>
      <c r="D1253" s="74">
        <v>89.99</v>
      </c>
    </row>
    <row r="1254" spans="1:4">
      <c r="A1254" t="s">
        <v>40</v>
      </c>
      <c r="B1254" s="73" t="s">
        <v>510</v>
      </c>
      <c r="C1254" s="74" t="s">
        <v>1756</v>
      </c>
      <c r="D1254" s="74">
        <v>198.99</v>
      </c>
    </row>
    <row r="1255" spans="1:4">
      <c r="A1255" t="s">
        <v>40</v>
      </c>
      <c r="B1255" s="73" t="s">
        <v>505</v>
      </c>
      <c r="C1255" s="74" t="s">
        <v>1757</v>
      </c>
      <c r="D1255" s="74">
        <v>184.99</v>
      </c>
    </row>
    <row r="1256" spans="1:4">
      <c r="A1256" t="s">
        <v>40</v>
      </c>
      <c r="B1256" s="73" t="s">
        <v>505</v>
      </c>
      <c r="C1256" s="74" t="s">
        <v>1758</v>
      </c>
      <c r="D1256" s="74">
        <v>399.99</v>
      </c>
    </row>
    <row r="1257" spans="1:4">
      <c r="A1257" t="s">
        <v>40</v>
      </c>
      <c r="B1257" s="73" t="s">
        <v>561</v>
      </c>
      <c r="C1257" s="74" t="s">
        <v>1759</v>
      </c>
      <c r="D1257" s="74">
        <v>109.95</v>
      </c>
    </row>
    <row r="1258" spans="1:4">
      <c r="A1258" t="s">
        <v>40</v>
      </c>
      <c r="B1258" s="73" t="s">
        <v>510</v>
      </c>
      <c r="C1258" s="74" t="s">
        <v>1760</v>
      </c>
      <c r="D1258" s="74">
        <v>1014.79</v>
      </c>
    </row>
    <row r="1259" spans="1:4">
      <c r="A1259" t="s">
        <v>40</v>
      </c>
      <c r="B1259" s="73" t="s">
        <v>505</v>
      </c>
      <c r="C1259" s="74" t="s">
        <v>1761</v>
      </c>
      <c r="D1259" s="74">
        <v>668</v>
      </c>
    </row>
    <row r="1260" spans="1:4">
      <c r="A1260" t="s">
        <v>40</v>
      </c>
      <c r="B1260" s="73" t="s">
        <v>510</v>
      </c>
      <c r="C1260" s="74" t="s">
        <v>1762</v>
      </c>
      <c r="D1260" s="74">
        <v>579.79</v>
      </c>
    </row>
    <row r="1261" spans="1:4">
      <c r="A1261" t="s">
        <v>40</v>
      </c>
      <c r="B1261" s="73" t="s">
        <v>505</v>
      </c>
      <c r="C1261" s="74" t="s">
        <v>1763</v>
      </c>
      <c r="D1261" s="74">
        <v>306.97000000000003</v>
      </c>
    </row>
    <row r="1262" spans="1:4">
      <c r="A1262" t="s">
        <v>40</v>
      </c>
      <c r="B1262" s="73" t="s">
        <v>510</v>
      </c>
      <c r="C1262" s="74" t="s">
        <v>1764</v>
      </c>
      <c r="D1262" s="74">
        <v>529.95000000000005</v>
      </c>
    </row>
    <row r="1263" spans="1:4">
      <c r="A1263" t="s">
        <v>40</v>
      </c>
      <c r="B1263" s="73" t="s">
        <v>510</v>
      </c>
      <c r="C1263" s="74" t="s">
        <v>1765</v>
      </c>
      <c r="D1263" s="74">
        <v>114.89</v>
      </c>
    </row>
    <row r="1264" spans="1:4">
      <c r="A1264" t="s">
        <v>40</v>
      </c>
      <c r="B1264" s="73" t="s">
        <v>510</v>
      </c>
      <c r="C1264" s="74" t="s">
        <v>1766</v>
      </c>
      <c r="D1264" s="74">
        <v>138.99</v>
      </c>
    </row>
    <row r="1265" spans="1:4">
      <c r="A1265" t="s">
        <v>40</v>
      </c>
      <c r="B1265" s="73" t="s">
        <v>1767</v>
      </c>
      <c r="C1265" s="74" t="s">
        <v>1768</v>
      </c>
      <c r="D1265" s="74">
        <v>41.66</v>
      </c>
    </row>
    <row r="1266" spans="1:4">
      <c r="A1266" t="s">
        <v>40</v>
      </c>
      <c r="B1266" s="73" t="s">
        <v>510</v>
      </c>
      <c r="C1266" s="74" t="s">
        <v>1769</v>
      </c>
      <c r="D1266" s="74">
        <v>269.95</v>
      </c>
    </row>
    <row r="1267" spans="1:4">
      <c r="A1267" t="s">
        <v>40</v>
      </c>
      <c r="B1267" s="73" t="s">
        <v>529</v>
      </c>
      <c r="C1267" s="74" t="s">
        <v>1770</v>
      </c>
      <c r="D1267" s="74">
        <v>139</v>
      </c>
    </row>
    <row r="1268" spans="1:4">
      <c r="A1268" t="s">
        <v>40</v>
      </c>
      <c r="B1268" s="73" t="s">
        <v>523</v>
      </c>
      <c r="C1268" s="74" t="s">
        <v>1771</v>
      </c>
      <c r="D1268" s="74">
        <v>104.99</v>
      </c>
    </row>
    <row r="1269" spans="1:4">
      <c r="A1269" t="s">
        <v>40</v>
      </c>
      <c r="B1269" s="73" t="s">
        <v>510</v>
      </c>
      <c r="C1269" s="74" t="s">
        <v>1772</v>
      </c>
      <c r="D1269" s="74">
        <v>51.98</v>
      </c>
    </row>
    <row r="1270" spans="1:4">
      <c r="A1270" t="s">
        <v>40</v>
      </c>
      <c r="B1270" s="73" t="s">
        <v>510</v>
      </c>
      <c r="C1270" s="74" t="s">
        <v>1773</v>
      </c>
      <c r="D1270" s="74">
        <v>549.49</v>
      </c>
    </row>
    <row r="1271" spans="1:4">
      <c r="A1271" t="s">
        <v>40</v>
      </c>
      <c r="B1271" s="73" t="s">
        <v>510</v>
      </c>
      <c r="C1271" s="74" t="s">
        <v>1774</v>
      </c>
      <c r="D1271" s="74">
        <v>223.99</v>
      </c>
    </row>
    <row r="1272" spans="1:4">
      <c r="A1272" t="s">
        <v>40</v>
      </c>
      <c r="B1272" s="73" t="s">
        <v>510</v>
      </c>
      <c r="C1272" s="74" t="s">
        <v>1363</v>
      </c>
      <c r="D1272" s="74">
        <v>279.58999999999997</v>
      </c>
    </row>
    <row r="1273" spans="1:4">
      <c r="A1273" t="s">
        <v>40</v>
      </c>
      <c r="B1273" s="73" t="s">
        <v>510</v>
      </c>
      <c r="C1273" s="74" t="s">
        <v>1775</v>
      </c>
      <c r="D1273" s="74">
        <v>549.99</v>
      </c>
    </row>
    <row r="1274" spans="1:4">
      <c r="A1274" t="s">
        <v>40</v>
      </c>
      <c r="B1274" s="73" t="s">
        <v>510</v>
      </c>
      <c r="C1274" s="74" t="s">
        <v>1776</v>
      </c>
      <c r="D1274" s="74">
        <v>365.99</v>
      </c>
    </row>
    <row r="1275" spans="1:4">
      <c r="A1275" t="s">
        <v>40</v>
      </c>
      <c r="B1275" s="73" t="s">
        <v>505</v>
      </c>
      <c r="C1275" s="74" t="s">
        <v>1777</v>
      </c>
      <c r="D1275" s="74">
        <v>189.95</v>
      </c>
    </row>
    <row r="1276" spans="1:4">
      <c r="A1276" t="s">
        <v>40</v>
      </c>
      <c r="B1276" s="73" t="s">
        <v>1367</v>
      </c>
      <c r="C1276" s="74" t="s">
        <v>1778</v>
      </c>
      <c r="D1276" s="74">
        <v>44.49</v>
      </c>
    </row>
    <row r="1277" spans="1:4">
      <c r="A1277" t="s">
        <v>40</v>
      </c>
      <c r="B1277" s="73" t="s">
        <v>510</v>
      </c>
      <c r="C1277" s="74" t="s">
        <v>1779</v>
      </c>
      <c r="D1277" s="74">
        <v>419.99</v>
      </c>
    </row>
    <row r="1278" spans="1:4">
      <c r="A1278" t="s">
        <v>40</v>
      </c>
      <c r="B1278" s="73" t="s">
        <v>510</v>
      </c>
      <c r="C1278" s="74" t="s">
        <v>1780</v>
      </c>
      <c r="D1278" s="74">
        <v>199.99</v>
      </c>
    </row>
    <row r="1279" spans="1:4">
      <c r="A1279" t="s">
        <v>40</v>
      </c>
      <c r="B1279" s="73" t="s">
        <v>510</v>
      </c>
      <c r="C1279" s="74" t="s">
        <v>1781</v>
      </c>
      <c r="D1279" s="74">
        <v>779</v>
      </c>
    </row>
    <row r="1280" spans="1:4">
      <c r="A1280" t="s">
        <v>40</v>
      </c>
      <c r="B1280" s="73" t="s">
        <v>505</v>
      </c>
      <c r="C1280" s="74" t="s">
        <v>1782</v>
      </c>
      <c r="D1280" s="74">
        <v>65.989999999999995</v>
      </c>
    </row>
    <row r="1281" spans="1:4">
      <c r="A1281" t="s">
        <v>40</v>
      </c>
      <c r="B1281" s="73" t="s">
        <v>505</v>
      </c>
      <c r="C1281" s="74" t="s">
        <v>1783</v>
      </c>
      <c r="D1281" s="74">
        <v>879.99</v>
      </c>
    </row>
    <row r="1282" spans="1:4">
      <c r="A1282" t="s">
        <v>40</v>
      </c>
      <c r="B1282" s="73" t="s">
        <v>510</v>
      </c>
      <c r="C1282" s="74" t="s">
        <v>1784</v>
      </c>
      <c r="D1282" s="74">
        <v>324.97000000000003</v>
      </c>
    </row>
    <row r="1283" spans="1:4">
      <c r="A1283" t="s">
        <v>40</v>
      </c>
      <c r="B1283" s="73" t="s">
        <v>510</v>
      </c>
      <c r="C1283" s="74" t="s">
        <v>1785</v>
      </c>
      <c r="D1283" s="74">
        <v>436.97</v>
      </c>
    </row>
    <row r="1284" spans="1:4">
      <c r="A1284" t="s">
        <v>40</v>
      </c>
      <c r="B1284" s="73" t="s">
        <v>505</v>
      </c>
      <c r="C1284" s="74" t="s">
        <v>1786</v>
      </c>
      <c r="D1284" s="74">
        <v>489</v>
      </c>
    </row>
    <row r="1285" spans="1:4">
      <c r="A1285" t="s">
        <v>40</v>
      </c>
      <c r="B1285" s="73" t="s">
        <v>510</v>
      </c>
      <c r="C1285" s="74" t="s">
        <v>1787</v>
      </c>
      <c r="D1285" s="74">
        <v>274.99</v>
      </c>
    </row>
    <row r="1286" spans="1:4">
      <c r="A1286" t="s">
        <v>40</v>
      </c>
      <c r="B1286" s="73" t="s">
        <v>561</v>
      </c>
      <c r="C1286" s="74" t="s">
        <v>1788</v>
      </c>
      <c r="D1286" s="74">
        <v>99.99</v>
      </c>
    </row>
    <row r="1287" spans="1:4">
      <c r="A1287" t="s">
        <v>40</v>
      </c>
      <c r="B1287" s="73" t="s">
        <v>505</v>
      </c>
      <c r="C1287" s="74" t="s">
        <v>1282</v>
      </c>
      <c r="D1287" s="74">
        <v>78.989999999999995</v>
      </c>
    </row>
    <row r="1288" spans="1:4">
      <c r="A1288" t="s">
        <v>40</v>
      </c>
      <c r="B1288" s="73" t="s">
        <v>510</v>
      </c>
      <c r="C1288" s="74" t="s">
        <v>1789</v>
      </c>
      <c r="D1288" s="74">
        <v>319.99</v>
      </c>
    </row>
    <row r="1289" spans="1:4">
      <c r="A1289" t="s">
        <v>40</v>
      </c>
      <c r="B1289" s="73" t="s">
        <v>618</v>
      </c>
      <c r="C1289" s="74" t="s">
        <v>1790</v>
      </c>
      <c r="D1289" s="74">
        <v>109.99</v>
      </c>
    </row>
    <row r="1290" spans="1:4">
      <c r="A1290" t="s">
        <v>40</v>
      </c>
      <c r="B1290" s="73" t="s">
        <v>510</v>
      </c>
      <c r="C1290" s="74" t="s">
        <v>1791</v>
      </c>
      <c r="D1290" s="74">
        <v>519.99</v>
      </c>
    </row>
    <row r="1291" spans="1:4">
      <c r="A1291" t="s">
        <v>40</v>
      </c>
      <c r="B1291" s="73" t="s">
        <v>510</v>
      </c>
      <c r="C1291" s="74" t="s">
        <v>1792</v>
      </c>
      <c r="D1291" s="74">
        <v>239.99</v>
      </c>
    </row>
    <row r="1292" spans="1:4">
      <c r="A1292" t="s">
        <v>40</v>
      </c>
      <c r="B1292" s="73" t="s">
        <v>505</v>
      </c>
      <c r="C1292" s="74" t="s">
        <v>1793</v>
      </c>
      <c r="D1292" s="74">
        <v>356.97</v>
      </c>
    </row>
    <row r="1293" spans="1:4">
      <c r="A1293" t="s">
        <v>40</v>
      </c>
      <c r="B1293" s="73" t="s">
        <v>505</v>
      </c>
      <c r="C1293" s="74" t="s">
        <v>1794</v>
      </c>
      <c r="D1293" s="74">
        <v>134.99</v>
      </c>
    </row>
    <row r="1294" spans="1:4">
      <c r="A1294" t="s">
        <v>40</v>
      </c>
      <c r="B1294" s="73" t="s">
        <v>1337</v>
      </c>
      <c r="C1294" s="74" t="s">
        <v>1795</v>
      </c>
      <c r="D1294" s="74">
        <v>19.95</v>
      </c>
    </row>
    <row r="1295" spans="1:4">
      <c r="A1295" t="s">
        <v>40</v>
      </c>
      <c r="B1295" s="73" t="s">
        <v>510</v>
      </c>
      <c r="C1295" s="74" t="s">
        <v>1796</v>
      </c>
      <c r="D1295" s="74">
        <v>263.99</v>
      </c>
    </row>
    <row r="1296" spans="1:4">
      <c r="A1296" t="s">
        <v>40</v>
      </c>
      <c r="B1296" s="73" t="s">
        <v>505</v>
      </c>
      <c r="C1296" s="74" t="s">
        <v>1797</v>
      </c>
      <c r="D1296" s="74">
        <v>54.99</v>
      </c>
    </row>
    <row r="1297" spans="1:4">
      <c r="A1297" t="s">
        <v>40</v>
      </c>
      <c r="B1297" s="73" t="s">
        <v>505</v>
      </c>
      <c r="C1297" s="74" t="s">
        <v>1798</v>
      </c>
      <c r="D1297" s="74">
        <v>249.99</v>
      </c>
    </row>
    <row r="1298" spans="1:4">
      <c r="A1298" t="s">
        <v>40</v>
      </c>
      <c r="B1298" s="73" t="s">
        <v>510</v>
      </c>
      <c r="C1298" s="74" t="s">
        <v>1799</v>
      </c>
      <c r="D1298" s="74">
        <v>208.99</v>
      </c>
    </row>
    <row r="1299" spans="1:4">
      <c r="A1299" t="s">
        <v>40</v>
      </c>
      <c r="B1299" s="73" t="s">
        <v>505</v>
      </c>
      <c r="C1299" s="74" t="s">
        <v>1800</v>
      </c>
      <c r="D1299" s="74">
        <v>659.49</v>
      </c>
    </row>
    <row r="1300" spans="1:4">
      <c r="A1300" t="s">
        <v>40</v>
      </c>
      <c r="B1300" s="73" t="s">
        <v>510</v>
      </c>
      <c r="C1300" s="74" t="s">
        <v>1801</v>
      </c>
      <c r="D1300" s="74">
        <v>811.97</v>
      </c>
    </row>
    <row r="1301" spans="1:4">
      <c r="A1301" t="s">
        <v>40</v>
      </c>
      <c r="B1301" s="73" t="s">
        <v>505</v>
      </c>
      <c r="C1301" s="74" t="s">
        <v>1802</v>
      </c>
      <c r="D1301" s="74">
        <v>286.97000000000003</v>
      </c>
    </row>
    <row r="1302" spans="1:4">
      <c r="A1302" t="s">
        <v>40</v>
      </c>
      <c r="B1302" s="73" t="s">
        <v>505</v>
      </c>
      <c r="C1302" s="74" t="s">
        <v>1803</v>
      </c>
      <c r="D1302" s="74">
        <v>55</v>
      </c>
    </row>
    <row r="1303" spans="1:4">
      <c r="A1303" t="s">
        <v>40</v>
      </c>
      <c r="B1303" s="73" t="s">
        <v>510</v>
      </c>
      <c r="C1303" s="74" t="s">
        <v>1804</v>
      </c>
      <c r="D1303" s="74">
        <v>669.99</v>
      </c>
    </row>
    <row r="1304" spans="1:4">
      <c r="A1304" t="s">
        <v>40</v>
      </c>
      <c r="B1304" s="73" t="s">
        <v>510</v>
      </c>
      <c r="C1304" s="74" t="s">
        <v>1805</v>
      </c>
      <c r="D1304" s="74">
        <v>303.99</v>
      </c>
    </row>
    <row r="1305" spans="1:4">
      <c r="A1305" t="s">
        <v>40</v>
      </c>
      <c r="B1305" s="73" t="s">
        <v>505</v>
      </c>
      <c r="C1305" s="74" t="s">
        <v>1806</v>
      </c>
      <c r="D1305" s="74">
        <v>179.99</v>
      </c>
    </row>
    <row r="1306" spans="1:4">
      <c r="A1306" t="s">
        <v>40</v>
      </c>
      <c r="B1306" s="73" t="s">
        <v>505</v>
      </c>
      <c r="C1306" s="74" t="s">
        <v>1807</v>
      </c>
      <c r="D1306" s="74">
        <v>679.69</v>
      </c>
    </row>
    <row r="1307" spans="1:4">
      <c r="A1307" t="s">
        <v>40</v>
      </c>
      <c r="B1307" s="73" t="s">
        <v>510</v>
      </c>
      <c r="C1307" s="74" t="s">
        <v>1808</v>
      </c>
      <c r="D1307" s="74">
        <v>139.99</v>
      </c>
    </row>
    <row r="1308" spans="1:4">
      <c r="A1308" t="s">
        <v>40</v>
      </c>
      <c r="B1308" s="73" t="s">
        <v>510</v>
      </c>
      <c r="C1308" s="74" t="s">
        <v>1809</v>
      </c>
      <c r="D1308" s="74">
        <v>589.25</v>
      </c>
    </row>
    <row r="1309" spans="1:4">
      <c r="A1309" t="s">
        <v>40</v>
      </c>
      <c r="B1309" s="73" t="s">
        <v>523</v>
      </c>
      <c r="C1309" s="74" t="s">
        <v>1810</v>
      </c>
      <c r="D1309" s="74">
        <v>214.95</v>
      </c>
    </row>
    <row r="1310" spans="1:4">
      <c r="A1310" t="s">
        <v>40</v>
      </c>
      <c r="B1310" s="73" t="s">
        <v>738</v>
      </c>
      <c r="C1310" s="74" t="s">
        <v>1811</v>
      </c>
      <c r="D1310" s="74">
        <v>899.99</v>
      </c>
    </row>
    <row r="1311" spans="1:4">
      <c r="A1311" t="s">
        <v>40</v>
      </c>
      <c r="B1311" s="73" t="s">
        <v>579</v>
      </c>
      <c r="C1311" s="74" t="s">
        <v>1812</v>
      </c>
      <c r="D1311" s="74">
        <v>456</v>
      </c>
    </row>
    <row r="1312" spans="1:4">
      <c r="A1312" t="s">
        <v>40</v>
      </c>
      <c r="B1312" s="73" t="s">
        <v>505</v>
      </c>
      <c r="C1312" s="74" t="s">
        <v>1813</v>
      </c>
      <c r="D1312" s="74">
        <v>349.69</v>
      </c>
    </row>
    <row r="1313" spans="1:4" ht="21">
      <c r="A1313" t="s">
        <v>40</v>
      </c>
      <c r="B1313" s="73" t="s">
        <v>505</v>
      </c>
      <c r="C1313" s="75" t="s">
        <v>1814</v>
      </c>
      <c r="D1313" s="74">
        <v>94.99</v>
      </c>
    </row>
    <row r="1314" spans="1:4">
      <c r="A1314" t="s">
        <v>40</v>
      </c>
      <c r="B1314" s="73" t="s">
        <v>505</v>
      </c>
      <c r="C1314" s="74" t="s">
        <v>1815</v>
      </c>
      <c r="D1314" s="74">
        <v>216.97</v>
      </c>
    </row>
    <row r="1315" spans="1:4">
      <c r="A1315" t="s">
        <v>40</v>
      </c>
      <c r="B1315" s="73" t="s">
        <v>810</v>
      </c>
      <c r="C1315" s="74" t="s">
        <v>1816</v>
      </c>
      <c r="D1315" s="74">
        <v>186.97</v>
      </c>
    </row>
    <row r="1316" spans="1:4">
      <c r="A1316" t="s">
        <v>40</v>
      </c>
      <c r="B1316" s="73" t="s">
        <v>510</v>
      </c>
      <c r="C1316" s="74" t="s">
        <v>1817</v>
      </c>
      <c r="D1316" s="74">
        <v>489.95</v>
      </c>
    </row>
    <row r="1317" spans="1:4">
      <c r="A1317" t="s">
        <v>40</v>
      </c>
      <c r="B1317" s="73" t="s">
        <v>510</v>
      </c>
      <c r="C1317" s="74" t="s">
        <v>1818</v>
      </c>
      <c r="D1317" s="74">
        <v>189.99</v>
      </c>
    </row>
    <row r="1318" spans="1:4">
      <c r="A1318" t="s">
        <v>40</v>
      </c>
      <c r="B1318" s="73" t="s">
        <v>505</v>
      </c>
      <c r="C1318" s="74" t="s">
        <v>1819</v>
      </c>
      <c r="D1318" s="74">
        <v>149.99</v>
      </c>
    </row>
    <row r="1319" spans="1:4">
      <c r="A1319" t="s">
        <v>40</v>
      </c>
      <c r="B1319" s="73" t="s">
        <v>505</v>
      </c>
      <c r="C1319" s="74" t="s">
        <v>1820</v>
      </c>
      <c r="D1319" s="74">
        <v>375</v>
      </c>
    </row>
    <row r="1320" spans="1:4">
      <c r="A1320" t="s">
        <v>40</v>
      </c>
      <c r="B1320" s="73" t="s">
        <v>510</v>
      </c>
      <c r="C1320" s="74" t="s">
        <v>1821</v>
      </c>
      <c r="D1320" s="74">
        <v>299.79000000000002</v>
      </c>
    </row>
    <row r="1321" spans="1:4">
      <c r="A1321" t="s">
        <v>40</v>
      </c>
      <c r="B1321" s="73" t="s">
        <v>510</v>
      </c>
      <c r="C1321" s="74" t="s">
        <v>1822</v>
      </c>
      <c r="D1321" s="74">
        <v>599.99</v>
      </c>
    </row>
    <row r="1322" spans="1:4">
      <c r="A1322" t="s">
        <v>40</v>
      </c>
      <c r="B1322" s="73" t="s">
        <v>505</v>
      </c>
      <c r="C1322" s="74" t="s">
        <v>1823</v>
      </c>
      <c r="D1322" s="74">
        <v>539.99</v>
      </c>
    </row>
    <row r="1323" spans="1:4">
      <c r="A1323" t="s">
        <v>40</v>
      </c>
      <c r="B1323" s="73" t="s">
        <v>505</v>
      </c>
      <c r="C1323" s="74" t="s">
        <v>1824</v>
      </c>
      <c r="D1323" s="74">
        <v>603</v>
      </c>
    </row>
    <row r="1324" spans="1:4">
      <c r="A1324" t="s">
        <v>40</v>
      </c>
      <c r="B1324" s="73" t="s">
        <v>510</v>
      </c>
      <c r="C1324" s="74" t="s">
        <v>1825</v>
      </c>
      <c r="D1324" s="74">
        <v>191.97</v>
      </c>
    </row>
    <row r="1325" spans="1:4">
      <c r="A1325" t="s">
        <v>40</v>
      </c>
      <c r="B1325" s="73" t="s">
        <v>738</v>
      </c>
      <c r="C1325" s="74" t="s">
        <v>1826</v>
      </c>
      <c r="D1325" s="74">
        <v>244.99</v>
      </c>
    </row>
    <row r="1326" spans="1:4">
      <c r="A1326" t="s">
        <v>40</v>
      </c>
      <c r="B1326" s="73" t="s">
        <v>510</v>
      </c>
      <c r="C1326" s="74" t="s">
        <v>1827</v>
      </c>
      <c r="D1326" s="74">
        <v>234.99</v>
      </c>
    </row>
    <row r="1327" spans="1:4">
      <c r="A1327" t="s">
        <v>40</v>
      </c>
      <c r="B1327" s="73" t="s">
        <v>505</v>
      </c>
      <c r="C1327" s="74" t="s">
        <v>1828</v>
      </c>
      <c r="D1327" s="74">
        <v>275</v>
      </c>
    </row>
    <row r="1328" spans="1:4">
      <c r="A1328" t="s">
        <v>40</v>
      </c>
      <c r="B1328" s="73" t="s">
        <v>1829</v>
      </c>
      <c r="C1328" s="74" t="s">
        <v>1830</v>
      </c>
      <c r="D1328" s="74">
        <v>129.97</v>
      </c>
    </row>
    <row r="1329" spans="1:4">
      <c r="A1329" t="s">
        <v>40</v>
      </c>
      <c r="B1329" s="73" t="s">
        <v>510</v>
      </c>
      <c r="C1329" s="74" t="s">
        <v>1831</v>
      </c>
      <c r="D1329" s="74">
        <v>179.99</v>
      </c>
    </row>
    <row r="1330" spans="1:4">
      <c r="A1330" t="s">
        <v>40</v>
      </c>
      <c r="B1330" s="73" t="s">
        <v>505</v>
      </c>
      <c r="C1330" s="74" t="s">
        <v>1832</v>
      </c>
      <c r="D1330" s="74">
        <v>514.99</v>
      </c>
    </row>
    <row r="1331" spans="1:4">
      <c r="A1331" t="s">
        <v>40</v>
      </c>
      <c r="B1331" s="73" t="s">
        <v>505</v>
      </c>
      <c r="C1331" s="74" t="s">
        <v>1833</v>
      </c>
      <c r="D1331" s="74">
        <v>239.99</v>
      </c>
    </row>
    <row r="1332" spans="1:4">
      <c r="A1332" t="s">
        <v>40</v>
      </c>
      <c r="B1332" s="73" t="s">
        <v>523</v>
      </c>
      <c r="C1332" s="74" t="s">
        <v>1834</v>
      </c>
      <c r="D1332" s="74">
        <v>69.989999999999995</v>
      </c>
    </row>
    <row r="1333" spans="1:4">
      <c r="A1333" t="s">
        <v>40</v>
      </c>
      <c r="B1333" s="73" t="s">
        <v>510</v>
      </c>
      <c r="C1333" s="74" t="s">
        <v>1835</v>
      </c>
      <c r="D1333" s="74">
        <v>719.99</v>
      </c>
    </row>
    <row r="1334" spans="1:4">
      <c r="A1334" t="s">
        <v>40</v>
      </c>
      <c r="B1334" s="73" t="s">
        <v>505</v>
      </c>
      <c r="C1334" s="74" t="s">
        <v>1836</v>
      </c>
      <c r="D1334" s="74">
        <v>286.99</v>
      </c>
    </row>
    <row r="1335" spans="1:4">
      <c r="A1335" t="s">
        <v>40</v>
      </c>
      <c r="B1335" s="73" t="s">
        <v>505</v>
      </c>
      <c r="C1335" s="74" t="s">
        <v>1837</v>
      </c>
      <c r="D1335" s="74">
        <v>423.03</v>
      </c>
    </row>
    <row r="1336" spans="1:4">
      <c r="A1336" t="s">
        <v>40</v>
      </c>
      <c r="B1336" s="73" t="s">
        <v>505</v>
      </c>
      <c r="C1336" s="74" t="s">
        <v>1838</v>
      </c>
      <c r="D1336" s="74">
        <v>89.99</v>
      </c>
    </row>
    <row r="1337" spans="1:4">
      <c r="A1337" t="s">
        <v>40</v>
      </c>
      <c r="B1337" s="73" t="s">
        <v>683</v>
      </c>
      <c r="C1337" s="74" t="s">
        <v>1839</v>
      </c>
      <c r="D1337" s="74">
        <v>439.99</v>
      </c>
    </row>
    <row r="1338" spans="1:4">
      <c r="A1338" t="s">
        <v>40</v>
      </c>
      <c r="B1338" s="73" t="s">
        <v>510</v>
      </c>
      <c r="C1338" s="74" t="s">
        <v>1840</v>
      </c>
      <c r="D1338" s="74">
        <v>509</v>
      </c>
    </row>
    <row r="1339" spans="1:4">
      <c r="A1339" t="s">
        <v>40</v>
      </c>
      <c r="B1339" s="73" t="s">
        <v>505</v>
      </c>
      <c r="C1339" s="74" t="s">
        <v>1841</v>
      </c>
      <c r="D1339" s="74">
        <v>189.99</v>
      </c>
    </row>
    <row r="1340" spans="1:4">
      <c r="A1340" t="s">
        <v>40</v>
      </c>
      <c r="B1340" s="73" t="s">
        <v>510</v>
      </c>
      <c r="C1340" s="74" t="s">
        <v>1842</v>
      </c>
      <c r="D1340" s="74">
        <v>86.97</v>
      </c>
    </row>
    <row r="1341" spans="1:4">
      <c r="A1341" t="s">
        <v>40</v>
      </c>
      <c r="B1341" s="73" t="s">
        <v>510</v>
      </c>
      <c r="C1341" s="74" t="s">
        <v>1843</v>
      </c>
      <c r="D1341" s="74">
        <v>399</v>
      </c>
    </row>
    <row r="1342" spans="1:4">
      <c r="A1342" t="s">
        <v>40</v>
      </c>
      <c r="B1342" s="73" t="s">
        <v>810</v>
      </c>
      <c r="C1342" s="74" t="s">
        <v>1844</v>
      </c>
      <c r="D1342" s="74">
        <v>180</v>
      </c>
    </row>
    <row r="1343" spans="1:4">
      <c r="A1343" t="s">
        <v>40</v>
      </c>
      <c r="B1343" s="73" t="s">
        <v>510</v>
      </c>
      <c r="C1343" s="74" t="s">
        <v>1845</v>
      </c>
      <c r="D1343" s="74">
        <v>245.99</v>
      </c>
    </row>
    <row r="1344" spans="1:4">
      <c r="A1344" t="s">
        <v>40</v>
      </c>
      <c r="B1344" s="73" t="s">
        <v>510</v>
      </c>
      <c r="C1344" s="74" t="s">
        <v>1846</v>
      </c>
      <c r="D1344" s="74">
        <v>109.95</v>
      </c>
    </row>
    <row r="1345" spans="1:4">
      <c r="A1345" t="s">
        <v>40</v>
      </c>
      <c r="B1345" s="73" t="s">
        <v>505</v>
      </c>
      <c r="C1345" s="74" t="s">
        <v>1847</v>
      </c>
      <c r="D1345" s="74">
        <v>519.99</v>
      </c>
    </row>
    <row r="1346" spans="1:4">
      <c r="A1346" t="s">
        <v>40</v>
      </c>
      <c r="B1346" s="73" t="s">
        <v>561</v>
      </c>
      <c r="C1346" s="74" t="s">
        <v>1848</v>
      </c>
      <c r="D1346" s="74">
        <v>219.99</v>
      </c>
    </row>
    <row r="1347" spans="1:4">
      <c r="A1347" t="s">
        <v>40</v>
      </c>
      <c r="B1347" s="73" t="s">
        <v>505</v>
      </c>
      <c r="C1347" s="74" t="s">
        <v>1849</v>
      </c>
      <c r="D1347" s="74">
        <v>129.99</v>
      </c>
    </row>
    <row r="1348" spans="1:4">
      <c r="A1348" t="s">
        <v>40</v>
      </c>
      <c r="B1348" s="73" t="s">
        <v>505</v>
      </c>
      <c r="C1348" s="74" t="s">
        <v>1850</v>
      </c>
      <c r="D1348" s="74">
        <v>59.99</v>
      </c>
    </row>
    <row r="1349" spans="1:4">
      <c r="A1349" t="s">
        <v>40</v>
      </c>
      <c r="B1349" s="73" t="s">
        <v>505</v>
      </c>
      <c r="C1349" s="74" t="s">
        <v>1851</v>
      </c>
      <c r="D1349" s="74">
        <v>449.99</v>
      </c>
    </row>
    <row r="1350" spans="1:4">
      <c r="A1350" t="s">
        <v>40</v>
      </c>
      <c r="B1350" s="73" t="s">
        <v>510</v>
      </c>
      <c r="C1350" s="74" t="s">
        <v>526</v>
      </c>
      <c r="D1350" s="74">
        <v>259.99</v>
      </c>
    </row>
    <row r="1351" spans="1:4" ht="21">
      <c r="A1351" t="s">
        <v>40</v>
      </c>
      <c r="B1351" s="73" t="s">
        <v>505</v>
      </c>
      <c r="C1351" s="74" t="s">
        <v>1852</v>
      </c>
      <c r="D1351" s="74">
        <v>174.89</v>
      </c>
    </row>
    <row r="1352" spans="1:4">
      <c r="A1352" t="s">
        <v>40</v>
      </c>
      <c r="B1352" s="73" t="s">
        <v>561</v>
      </c>
      <c r="C1352" s="74" t="s">
        <v>1853</v>
      </c>
      <c r="D1352" s="74">
        <v>114.99</v>
      </c>
    </row>
    <row r="1353" spans="1:4">
      <c r="A1353" t="s">
        <v>40</v>
      </c>
      <c r="B1353" s="73" t="s">
        <v>505</v>
      </c>
      <c r="C1353" s="74" t="s">
        <v>1854</v>
      </c>
      <c r="D1353" s="74">
        <v>159.99</v>
      </c>
    </row>
    <row r="1354" spans="1:4">
      <c r="A1354" t="s">
        <v>40</v>
      </c>
      <c r="B1354" s="73" t="s">
        <v>510</v>
      </c>
      <c r="C1354" s="74" t="s">
        <v>1855</v>
      </c>
      <c r="D1354" s="74">
        <v>424</v>
      </c>
    </row>
    <row r="1355" spans="1:4">
      <c r="A1355" t="s">
        <v>40</v>
      </c>
      <c r="B1355" s="73" t="s">
        <v>833</v>
      </c>
      <c r="C1355" s="74" t="s">
        <v>1856</v>
      </c>
      <c r="D1355" s="74">
        <v>85</v>
      </c>
    </row>
    <row r="1356" spans="1:4">
      <c r="A1356" t="s">
        <v>40</v>
      </c>
      <c r="B1356" s="73" t="s">
        <v>510</v>
      </c>
      <c r="C1356" s="74" t="s">
        <v>1857</v>
      </c>
      <c r="D1356" s="74">
        <v>169.99</v>
      </c>
    </row>
    <row r="1357" spans="1:4">
      <c r="A1357" t="s">
        <v>40</v>
      </c>
      <c r="B1357" s="73" t="s">
        <v>510</v>
      </c>
      <c r="C1357" s="74" t="s">
        <v>1858</v>
      </c>
      <c r="D1357" s="74">
        <v>278.99</v>
      </c>
    </row>
    <row r="1358" spans="1:4">
      <c r="A1358" t="s">
        <v>40</v>
      </c>
      <c r="B1358" s="73" t="s">
        <v>505</v>
      </c>
      <c r="C1358" s="74" t="s">
        <v>1859</v>
      </c>
      <c r="D1358" s="74">
        <v>399.99</v>
      </c>
    </row>
    <row r="1359" spans="1:4">
      <c r="A1359" t="s">
        <v>40</v>
      </c>
      <c r="B1359" s="73" t="s">
        <v>510</v>
      </c>
      <c r="C1359" s="74" t="s">
        <v>1860</v>
      </c>
      <c r="D1359" s="74">
        <v>723.69</v>
      </c>
    </row>
    <row r="1360" spans="1:4">
      <c r="A1360" t="s">
        <v>40</v>
      </c>
      <c r="B1360" s="73" t="s">
        <v>505</v>
      </c>
      <c r="C1360" s="74" t="s">
        <v>1861</v>
      </c>
      <c r="D1360" s="74">
        <v>146.97</v>
      </c>
    </row>
    <row r="1361" spans="1:4">
      <c r="A1361" t="s">
        <v>40</v>
      </c>
      <c r="B1361" s="73" t="s">
        <v>510</v>
      </c>
      <c r="C1361" s="74" t="s">
        <v>1862</v>
      </c>
      <c r="D1361" s="74">
        <v>89.99</v>
      </c>
    </row>
    <row r="1362" spans="1:4">
      <c r="A1362" t="s">
        <v>40</v>
      </c>
      <c r="B1362" s="73" t="s">
        <v>505</v>
      </c>
      <c r="C1362" s="74" t="s">
        <v>1863</v>
      </c>
      <c r="D1362" s="74">
        <v>134.94999999999999</v>
      </c>
    </row>
    <row r="1363" spans="1:4">
      <c r="A1363" t="s">
        <v>40</v>
      </c>
      <c r="B1363" s="73" t="s">
        <v>529</v>
      </c>
      <c r="C1363" s="74" t="s">
        <v>713</v>
      </c>
      <c r="D1363" s="74">
        <v>69.69</v>
      </c>
    </row>
    <row r="1364" spans="1:4">
      <c r="A1364" t="s">
        <v>40</v>
      </c>
      <c r="B1364" s="73" t="s">
        <v>505</v>
      </c>
      <c r="C1364" s="74" t="s">
        <v>1864</v>
      </c>
      <c r="D1364" s="74">
        <v>609.49</v>
      </c>
    </row>
    <row r="1365" spans="1:4">
      <c r="A1365" t="s">
        <v>40</v>
      </c>
      <c r="B1365" s="73" t="s">
        <v>505</v>
      </c>
      <c r="C1365" s="74" t="s">
        <v>1865</v>
      </c>
      <c r="D1365" s="74">
        <v>89.99</v>
      </c>
    </row>
    <row r="1366" spans="1:4">
      <c r="A1366" t="s">
        <v>40</v>
      </c>
      <c r="B1366" s="73" t="s">
        <v>505</v>
      </c>
      <c r="C1366" s="74" t="s">
        <v>1866</v>
      </c>
      <c r="D1366" s="74">
        <v>29</v>
      </c>
    </row>
    <row r="1367" spans="1:4">
      <c r="A1367" t="s">
        <v>40</v>
      </c>
      <c r="B1367" s="73" t="s">
        <v>505</v>
      </c>
      <c r="C1367" s="74" t="s">
        <v>1867</v>
      </c>
      <c r="D1367" s="74">
        <v>344.99</v>
      </c>
    </row>
    <row r="1368" spans="1:4">
      <c r="A1368" t="s">
        <v>40</v>
      </c>
      <c r="B1368" s="73" t="s">
        <v>510</v>
      </c>
      <c r="C1368" s="74" t="s">
        <v>1868</v>
      </c>
      <c r="D1368" s="74">
        <v>469.99</v>
      </c>
    </row>
    <row r="1369" spans="1:4">
      <c r="A1369" t="s">
        <v>40</v>
      </c>
      <c r="B1369" s="73" t="s">
        <v>505</v>
      </c>
      <c r="C1369" s="74" t="s">
        <v>1869</v>
      </c>
      <c r="D1369" s="74">
        <v>260.99</v>
      </c>
    </row>
    <row r="1370" spans="1:4">
      <c r="A1370" t="s">
        <v>40</v>
      </c>
      <c r="B1370" s="73" t="s">
        <v>505</v>
      </c>
      <c r="C1370" s="74" t="s">
        <v>1870</v>
      </c>
      <c r="D1370" s="74">
        <v>749</v>
      </c>
    </row>
    <row r="1371" spans="1:4">
      <c r="A1371" t="s">
        <v>40</v>
      </c>
      <c r="B1371" s="73" t="s">
        <v>510</v>
      </c>
      <c r="C1371" s="74" t="s">
        <v>1871</v>
      </c>
      <c r="D1371" s="74">
        <v>173.98</v>
      </c>
    </row>
    <row r="1372" spans="1:4">
      <c r="A1372" t="s">
        <v>40</v>
      </c>
      <c r="B1372" s="73" t="s">
        <v>510</v>
      </c>
      <c r="C1372" s="74" t="s">
        <v>1872</v>
      </c>
      <c r="D1372" s="74">
        <v>131.38999999999999</v>
      </c>
    </row>
    <row r="1373" spans="1:4">
      <c r="A1373" t="s">
        <v>40</v>
      </c>
      <c r="B1373" s="73" t="s">
        <v>505</v>
      </c>
      <c r="C1373" s="74" t="s">
        <v>1873</v>
      </c>
      <c r="D1373" s="74">
        <v>229.99</v>
      </c>
    </row>
    <row r="1374" spans="1:4">
      <c r="A1374" t="s">
        <v>40</v>
      </c>
      <c r="B1374" s="73" t="s">
        <v>510</v>
      </c>
      <c r="C1374" s="74" t="s">
        <v>1874</v>
      </c>
      <c r="D1374" s="74">
        <v>239.99</v>
      </c>
    </row>
    <row r="1375" spans="1:4">
      <c r="A1375" t="s">
        <v>40</v>
      </c>
      <c r="B1375" s="73" t="s">
        <v>546</v>
      </c>
      <c r="C1375" s="74" t="s">
        <v>1875</v>
      </c>
      <c r="D1375" s="74">
        <v>249</v>
      </c>
    </row>
    <row r="1376" spans="1:4">
      <c r="A1376" t="s">
        <v>40</v>
      </c>
      <c r="B1376" s="73" t="s">
        <v>505</v>
      </c>
      <c r="C1376" s="74" t="s">
        <v>1876</v>
      </c>
      <c r="D1376" s="74">
        <v>114.99</v>
      </c>
    </row>
    <row r="1377" spans="1:4">
      <c r="A1377" t="s">
        <v>40</v>
      </c>
      <c r="B1377" s="73" t="s">
        <v>505</v>
      </c>
      <c r="C1377" s="74" t="s">
        <v>1877</v>
      </c>
      <c r="D1377" s="74">
        <v>74.989999999999995</v>
      </c>
    </row>
    <row r="1378" spans="1:4">
      <c r="A1378" t="s">
        <v>40</v>
      </c>
      <c r="B1378" s="73" t="s">
        <v>505</v>
      </c>
      <c r="C1378" s="74" t="s">
        <v>1878</v>
      </c>
      <c r="D1378" s="74">
        <v>109.99</v>
      </c>
    </row>
    <row r="1379" spans="1:4">
      <c r="A1379" t="s">
        <v>40</v>
      </c>
      <c r="B1379" s="73" t="s">
        <v>505</v>
      </c>
      <c r="C1379" s="74" t="s">
        <v>1879</v>
      </c>
      <c r="D1379" s="74">
        <v>499.71</v>
      </c>
    </row>
    <row r="1380" spans="1:4">
      <c r="A1380" t="s">
        <v>40</v>
      </c>
      <c r="B1380" s="73" t="s">
        <v>523</v>
      </c>
      <c r="C1380" s="74" t="s">
        <v>1880</v>
      </c>
      <c r="D1380" s="74">
        <v>154.99</v>
      </c>
    </row>
    <row r="1381" spans="1:4">
      <c r="A1381" t="s">
        <v>40</v>
      </c>
      <c r="B1381" s="73" t="s">
        <v>510</v>
      </c>
      <c r="C1381" s="74" t="s">
        <v>1881</v>
      </c>
      <c r="D1381" s="74">
        <v>159.99</v>
      </c>
    </row>
    <row r="1382" spans="1:4">
      <c r="A1382" t="s">
        <v>40</v>
      </c>
      <c r="B1382" s="73" t="s">
        <v>505</v>
      </c>
      <c r="C1382" s="74" t="s">
        <v>1882</v>
      </c>
      <c r="D1382" s="74">
        <v>549.99</v>
      </c>
    </row>
    <row r="1383" spans="1:4">
      <c r="A1383" t="s">
        <v>40</v>
      </c>
      <c r="B1383" s="73" t="s">
        <v>1683</v>
      </c>
      <c r="C1383" s="74" t="s">
        <v>1883</v>
      </c>
      <c r="D1383" s="74">
        <v>470.4</v>
      </c>
    </row>
    <row r="1384" spans="1:4">
      <c r="A1384" t="s">
        <v>40</v>
      </c>
      <c r="B1384" s="73" t="s">
        <v>510</v>
      </c>
      <c r="C1384" s="74" t="s">
        <v>1884</v>
      </c>
      <c r="D1384" s="74">
        <v>74.989999999999995</v>
      </c>
    </row>
    <row r="1385" spans="1:4">
      <c r="A1385" t="s">
        <v>40</v>
      </c>
      <c r="B1385" s="73" t="s">
        <v>505</v>
      </c>
      <c r="C1385" s="74" t="s">
        <v>1885</v>
      </c>
      <c r="D1385" s="74">
        <v>289.99</v>
      </c>
    </row>
    <row r="1386" spans="1:4">
      <c r="A1386" t="s">
        <v>40</v>
      </c>
      <c r="B1386" s="73" t="s">
        <v>529</v>
      </c>
      <c r="C1386" s="74" t="s">
        <v>1886</v>
      </c>
      <c r="D1386" s="74">
        <v>179.99</v>
      </c>
    </row>
    <row r="1387" spans="1:4">
      <c r="A1387" t="s">
        <v>40</v>
      </c>
      <c r="B1387" s="73" t="s">
        <v>507</v>
      </c>
      <c r="C1387" s="74" t="s">
        <v>601</v>
      </c>
      <c r="D1387" s="74">
        <v>95.89</v>
      </c>
    </row>
    <row r="1388" spans="1:4">
      <c r="A1388" t="s">
        <v>40</v>
      </c>
      <c r="B1388" s="73" t="s">
        <v>1683</v>
      </c>
      <c r="C1388" s="74" t="s">
        <v>1887</v>
      </c>
      <c r="D1388" s="74">
        <v>397.95</v>
      </c>
    </row>
    <row r="1389" spans="1:4">
      <c r="A1389" t="s">
        <v>40</v>
      </c>
      <c r="B1389" s="73" t="s">
        <v>510</v>
      </c>
      <c r="C1389" s="74" t="s">
        <v>1888</v>
      </c>
      <c r="D1389" s="74">
        <v>134.99</v>
      </c>
    </row>
    <row r="1390" spans="1:4">
      <c r="A1390" t="s">
        <v>40</v>
      </c>
      <c r="B1390" s="73" t="s">
        <v>810</v>
      </c>
      <c r="C1390" s="74" t="s">
        <v>1889</v>
      </c>
      <c r="D1390" s="74">
        <v>369.44</v>
      </c>
    </row>
    <row r="1391" spans="1:4">
      <c r="A1391" t="s">
        <v>40</v>
      </c>
      <c r="B1391" s="73" t="s">
        <v>561</v>
      </c>
      <c r="C1391" s="74" t="s">
        <v>1890</v>
      </c>
      <c r="D1391" s="74">
        <v>149.99</v>
      </c>
    </row>
    <row r="1392" spans="1:4">
      <c r="A1392" t="s">
        <v>40</v>
      </c>
      <c r="B1392" s="73" t="s">
        <v>510</v>
      </c>
      <c r="C1392" s="74" t="s">
        <v>1891</v>
      </c>
      <c r="D1392" s="74">
        <v>439.99</v>
      </c>
    </row>
    <row r="1393" spans="1:4">
      <c r="A1393" t="s">
        <v>40</v>
      </c>
      <c r="B1393" s="73" t="s">
        <v>505</v>
      </c>
      <c r="C1393" s="74" t="s">
        <v>1892</v>
      </c>
      <c r="D1393" s="74">
        <v>99.53</v>
      </c>
    </row>
    <row r="1394" spans="1:4">
      <c r="A1394" t="s">
        <v>40</v>
      </c>
      <c r="B1394" s="73" t="s">
        <v>505</v>
      </c>
      <c r="C1394" s="74" t="s">
        <v>1893</v>
      </c>
      <c r="D1394" s="74">
        <v>289.99</v>
      </c>
    </row>
    <row r="1395" spans="1:4">
      <c r="A1395" t="s">
        <v>40</v>
      </c>
      <c r="B1395" s="73" t="s">
        <v>561</v>
      </c>
      <c r="C1395" s="74" t="s">
        <v>1894</v>
      </c>
      <c r="D1395" s="74">
        <v>150.99</v>
      </c>
    </row>
    <row r="1396" spans="1:4">
      <c r="A1396" t="s">
        <v>40</v>
      </c>
      <c r="B1396" s="73" t="s">
        <v>505</v>
      </c>
      <c r="C1396" s="74" t="s">
        <v>1895</v>
      </c>
      <c r="D1396" s="74">
        <v>219.99</v>
      </c>
    </row>
    <row r="1397" spans="1:4">
      <c r="A1397" t="s">
        <v>40</v>
      </c>
      <c r="B1397" s="73" t="s">
        <v>546</v>
      </c>
      <c r="C1397" s="74" t="s">
        <v>1896</v>
      </c>
      <c r="D1397" s="74">
        <v>39.99</v>
      </c>
    </row>
    <row r="1398" spans="1:4">
      <c r="A1398" t="s">
        <v>40</v>
      </c>
      <c r="B1398" s="73" t="s">
        <v>510</v>
      </c>
      <c r="C1398" s="74" t="s">
        <v>1897</v>
      </c>
      <c r="D1398" s="74">
        <v>148.49</v>
      </c>
    </row>
    <row r="1399" spans="1:4">
      <c r="A1399" t="s">
        <v>40</v>
      </c>
      <c r="B1399" s="73" t="s">
        <v>510</v>
      </c>
      <c r="C1399" s="74" t="s">
        <v>1898</v>
      </c>
      <c r="D1399" s="74">
        <v>208.99</v>
      </c>
    </row>
    <row r="1400" spans="1:4">
      <c r="A1400" t="s">
        <v>40</v>
      </c>
      <c r="B1400" s="73" t="s">
        <v>510</v>
      </c>
      <c r="C1400" s="74" t="s">
        <v>1899</v>
      </c>
      <c r="D1400" s="74">
        <v>106.49</v>
      </c>
    </row>
    <row r="1401" spans="1:4">
      <c r="A1401" t="s">
        <v>40</v>
      </c>
      <c r="B1401" s="73" t="s">
        <v>510</v>
      </c>
      <c r="C1401" s="74" t="s">
        <v>1900</v>
      </c>
      <c r="D1401" s="74">
        <v>194.99</v>
      </c>
    </row>
    <row r="1402" spans="1:4">
      <c r="A1402" t="s">
        <v>40</v>
      </c>
      <c r="B1402" s="73" t="s">
        <v>510</v>
      </c>
      <c r="C1402" s="74" t="s">
        <v>1901</v>
      </c>
      <c r="D1402" s="74">
        <v>109.99</v>
      </c>
    </row>
    <row r="1403" spans="1:4">
      <c r="A1403" t="s">
        <v>40</v>
      </c>
      <c r="B1403" s="73" t="s">
        <v>529</v>
      </c>
      <c r="C1403" s="74" t="s">
        <v>1902</v>
      </c>
      <c r="D1403" s="74">
        <v>139.99</v>
      </c>
    </row>
    <row r="1404" spans="1:4">
      <c r="A1404" t="s">
        <v>40</v>
      </c>
      <c r="B1404" s="53"/>
      <c r="C1404" s="74" t="s">
        <v>1903</v>
      </c>
      <c r="D1404" s="74">
        <v>105.81</v>
      </c>
    </row>
    <row r="1405" spans="1:4">
      <c r="A1405" t="s">
        <v>40</v>
      </c>
      <c r="B1405" s="73" t="s">
        <v>510</v>
      </c>
      <c r="C1405" s="74" t="s">
        <v>1904</v>
      </c>
      <c r="D1405" s="74">
        <v>109.99</v>
      </c>
    </row>
    <row r="1406" spans="1:4">
      <c r="A1406" t="s">
        <v>40</v>
      </c>
      <c r="B1406" s="73" t="s">
        <v>505</v>
      </c>
      <c r="C1406" s="74" t="s">
        <v>1905</v>
      </c>
      <c r="D1406" s="74">
        <v>429.99</v>
      </c>
    </row>
    <row r="1407" spans="1:4">
      <c r="A1407" t="s">
        <v>40</v>
      </c>
      <c r="B1407" s="73" t="s">
        <v>505</v>
      </c>
      <c r="C1407" s="74" t="s">
        <v>1906</v>
      </c>
      <c r="D1407" s="74">
        <v>619.99</v>
      </c>
    </row>
    <row r="1408" spans="1:4">
      <c r="A1408" t="s">
        <v>40</v>
      </c>
      <c r="B1408" s="73" t="s">
        <v>1022</v>
      </c>
      <c r="C1408" s="74" t="s">
        <v>1907</v>
      </c>
      <c r="D1408" s="74">
        <v>139.88999999999999</v>
      </c>
    </row>
    <row r="1409" spans="1:4">
      <c r="A1409" t="s">
        <v>40</v>
      </c>
      <c r="B1409" s="73" t="s">
        <v>505</v>
      </c>
      <c r="C1409" s="74" t="s">
        <v>1908</v>
      </c>
      <c r="D1409" s="74">
        <v>134.99</v>
      </c>
    </row>
    <row r="1410" spans="1:4">
      <c r="A1410" t="s">
        <v>40</v>
      </c>
      <c r="B1410" s="73" t="s">
        <v>510</v>
      </c>
      <c r="C1410" s="74" t="s">
        <v>1909</v>
      </c>
      <c r="D1410" s="74">
        <v>169.99</v>
      </c>
    </row>
    <row r="1411" spans="1:4">
      <c r="A1411" t="s">
        <v>40</v>
      </c>
      <c r="B1411" s="73" t="s">
        <v>505</v>
      </c>
      <c r="C1411" s="74" t="s">
        <v>1910</v>
      </c>
      <c r="D1411" s="74">
        <v>114.99</v>
      </c>
    </row>
    <row r="1412" spans="1:4">
      <c r="A1412" t="s">
        <v>40</v>
      </c>
      <c r="B1412" s="73" t="s">
        <v>510</v>
      </c>
      <c r="C1412" s="74" t="s">
        <v>1911</v>
      </c>
      <c r="D1412" s="74">
        <v>249.52</v>
      </c>
    </row>
    <row r="1413" spans="1:4">
      <c r="A1413" t="s">
        <v>40</v>
      </c>
      <c r="B1413" s="73" t="s">
        <v>505</v>
      </c>
      <c r="C1413" s="74" t="s">
        <v>1912</v>
      </c>
      <c r="D1413" s="74">
        <v>103.49</v>
      </c>
    </row>
    <row r="1414" spans="1:4">
      <c r="A1414" t="s">
        <v>40</v>
      </c>
      <c r="B1414" s="73" t="s">
        <v>510</v>
      </c>
      <c r="C1414" s="74" t="s">
        <v>1913</v>
      </c>
      <c r="D1414" s="74">
        <v>129.99</v>
      </c>
    </row>
    <row r="1415" spans="1:4">
      <c r="A1415" t="s">
        <v>40</v>
      </c>
      <c r="B1415" s="73" t="s">
        <v>510</v>
      </c>
      <c r="C1415" s="74" t="s">
        <v>1914</v>
      </c>
      <c r="D1415" s="74">
        <v>184.99</v>
      </c>
    </row>
    <row r="1416" spans="1:4">
      <c r="A1416" t="s">
        <v>40</v>
      </c>
      <c r="B1416" s="73" t="s">
        <v>510</v>
      </c>
      <c r="C1416" s="74" t="s">
        <v>1915</v>
      </c>
      <c r="D1416" s="74">
        <v>399.99</v>
      </c>
    </row>
    <row r="1417" spans="1:4">
      <c r="A1417" t="s">
        <v>40</v>
      </c>
      <c r="B1417" s="73" t="s">
        <v>523</v>
      </c>
      <c r="C1417" s="74" t="s">
        <v>1916</v>
      </c>
      <c r="D1417" s="74">
        <v>199.95</v>
      </c>
    </row>
    <row r="1418" spans="1:4">
      <c r="A1418" t="s">
        <v>40</v>
      </c>
      <c r="B1418" s="73" t="s">
        <v>1683</v>
      </c>
      <c r="C1418" s="74" t="s">
        <v>1917</v>
      </c>
      <c r="D1418" s="74">
        <v>156.44999999999999</v>
      </c>
    </row>
    <row r="1419" spans="1:4">
      <c r="A1419" t="s">
        <v>40</v>
      </c>
      <c r="B1419" s="73" t="s">
        <v>1683</v>
      </c>
      <c r="C1419" s="74" t="s">
        <v>1918</v>
      </c>
      <c r="D1419" s="74">
        <v>156.44999999999999</v>
      </c>
    </row>
    <row r="1420" spans="1:4">
      <c r="A1420" t="s">
        <v>40</v>
      </c>
      <c r="B1420" s="73" t="s">
        <v>738</v>
      </c>
      <c r="C1420" s="74" t="s">
        <v>1919</v>
      </c>
      <c r="D1420" s="74">
        <v>89</v>
      </c>
    </row>
    <row r="1421" spans="1:4">
      <c r="A1421" t="s">
        <v>40</v>
      </c>
      <c r="B1421" s="73" t="s">
        <v>505</v>
      </c>
      <c r="C1421" s="74" t="s">
        <v>1920</v>
      </c>
      <c r="D1421" s="74">
        <v>179.99</v>
      </c>
    </row>
    <row r="1422" spans="1:4">
      <c r="A1422" t="s">
        <v>40</v>
      </c>
      <c r="B1422" s="73" t="s">
        <v>505</v>
      </c>
      <c r="C1422" s="74" t="s">
        <v>1921</v>
      </c>
      <c r="D1422" s="74">
        <v>76.89</v>
      </c>
    </row>
    <row r="1423" spans="1:4">
      <c r="A1423" t="s">
        <v>40</v>
      </c>
      <c r="B1423" s="73" t="s">
        <v>505</v>
      </c>
      <c r="C1423" s="74" t="s">
        <v>1922</v>
      </c>
      <c r="D1423" s="74">
        <v>174.99</v>
      </c>
    </row>
    <row r="1424" spans="1:4">
      <c r="A1424" t="s">
        <v>40</v>
      </c>
      <c r="B1424" s="73" t="s">
        <v>505</v>
      </c>
      <c r="C1424" s="74" t="s">
        <v>1923</v>
      </c>
      <c r="D1424" s="74">
        <v>299.99</v>
      </c>
    </row>
    <row r="1425" spans="1:4">
      <c r="A1425" t="s">
        <v>40</v>
      </c>
      <c r="B1425" s="73" t="s">
        <v>505</v>
      </c>
      <c r="C1425" s="74" t="s">
        <v>1924</v>
      </c>
      <c r="D1425" s="74">
        <v>534.99</v>
      </c>
    </row>
    <row r="1426" spans="1:4">
      <c r="A1426" t="s">
        <v>40</v>
      </c>
      <c r="B1426" s="73" t="s">
        <v>505</v>
      </c>
      <c r="C1426" s="74" t="s">
        <v>1925</v>
      </c>
      <c r="D1426" s="74">
        <v>259.95</v>
      </c>
    </row>
    <row r="1427" spans="1:4">
      <c r="A1427" t="s">
        <v>40</v>
      </c>
      <c r="B1427" s="73" t="s">
        <v>510</v>
      </c>
      <c r="C1427" s="74" t="s">
        <v>1926</v>
      </c>
      <c r="D1427" s="74">
        <v>639.95000000000005</v>
      </c>
    </row>
    <row r="1428" spans="1:4">
      <c r="A1428" t="s">
        <v>40</v>
      </c>
      <c r="B1428" s="73" t="s">
        <v>505</v>
      </c>
      <c r="C1428" s="74" t="s">
        <v>1927</v>
      </c>
      <c r="D1428" s="74">
        <v>129.99</v>
      </c>
    </row>
    <row r="1429" spans="1:4">
      <c r="A1429" t="s">
        <v>40</v>
      </c>
      <c r="B1429" s="73" t="s">
        <v>505</v>
      </c>
      <c r="C1429" s="74" t="s">
        <v>1928</v>
      </c>
      <c r="D1429" s="74">
        <v>429.99</v>
      </c>
    </row>
    <row r="1430" spans="1:4">
      <c r="A1430" t="s">
        <v>40</v>
      </c>
      <c r="B1430" s="73" t="s">
        <v>505</v>
      </c>
      <c r="C1430" s="74" t="s">
        <v>1929</v>
      </c>
      <c r="D1430" s="74">
        <v>189.99</v>
      </c>
    </row>
    <row r="1431" spans="1:4">
      <c r="A1431" t="s">
        <v>40</v>
      </c>
      <c r="B1431" s="73" t="s">
        <v>505</v>
      </c>
      <c r="C1431" s="74" t="s">
        <v>1930</v>
      </c>
      <c r="D1431" s="74">
        <v>769.95</v>
      </c>
    </row>
    <row r="1432" spans="1:4">
      <c r="A1432" t="s">
        <v>40</v>
      </c>
      <c r="B1432" s="73" t="s">
        <v>510</v>
      </c>
      <c r="C1432" s="74" t="s">
        <v>1931</v>
      </c>
      <c r="D1432" s="74">
        <v>223.99</v>
      </c>
    </row>
    <row r="1433" spans="1:4">
      <c r="A1433" t="s">
        <v>40</v>
      </c>
      <c r="B1433" s="73" t="s">
        <v>505</v>
      </c>
      <c r="C1433" s="74" t="s">
        <v>1932</v>
      </c>
      <c r="D1433" s="74">
        <v>221.97</v>
      </c>
    </row>
    <row r="1434" spans="1:4">
      <c r="A1434" t="s">
        <v>40</v>
      </c>
      <c r="B1434" s="73" t="s">
        <v>510</v>
      </c>
      <c r="C1434" s="74" t="s">
        <v>1933</v>
      </c>
      <c r="D1434" s="74">
        <v>268.99</v>
      </c>
    </row>
    <row r="1435" spans="1:4">
      <c r="A1435" t="s">
        <v>40</v>
      </c>
      <c r="B1435" s="73" t="s">
        <v>510</v>
      </c>
      <c r="C1435" s="74" t="s">
        <v>1934</v>
      </c>
      <c r="D1435" s="74">
        <v>139.99</v>
      </c>
    </row>
    <row r="1436" spans="1:4">
      <c r="A1436" t="s">
        <v>40</v>
      </c>
      <c r="B1436" s="73" t="s">
        <v>523</v>
      </c>
      <c r="C1436" s="74" t="s">
        <v>1935</v>
      </c>
      <c r="D1436" s="74">
        <v>59.99</v>
      </c>
    </row>
    <row r="1437" spans="1:4">
      <c r="A1437" t="s">
        <v>40</v>
      </c>
      <c r="B1437" s="73" t="s">
        <v>505</v>
      </c>
      <c r="C1437" s="74" t="s">
        <v>1936</v>
      </c>
      <c r="D1437" s="74">
        <v>280.99</v>
      </c>
    </row>
    <row r="1438" spans="1:4">
      <c r="A1438" t="s">
        <v>40</v>
      </c>
      <c r="B1438" s="73" t="s">
        <v>523</v>
      </c>
      <c r="C1438" s="74" t="s">
        <v>1937</v>
      </c>
      <c r="D1438" s="74">
        <v>134.94999999999999</v>
      </c>
    </row>
    <row r="1439" spans="1:4">
      <c r="A1439" t="s">
        <v>40</v>
      </c>
      <c r="B1439" s="73" t="s">
        <v>510</v>
      </c>
      <c r="C1439" s="74" t="s">
        <v>1938</v>
      </c>
      <c r="D1439" s="74">
        <v>203</v>
      </c>
    </row>
    <row r="1440" spans="1:4">
      <c r="A1440" t="s">
        <v>40</v>
      </c>
      <c r="B1440" s="73" t="s">
        <v>546</v>
      </c>
      <c r="C1440" s="74" t="s">
        <v>1939</v>
      </c>
      <c r="D1440" s="74">
        <v>97.69</v>
      </c>
    </row>
    <row r="1441" spans="1:4">
      <c r="A1441" t="s">
        <v>40</v>
      </c>
      <c r="B1441" s="73" t="s">
        <v>810</v>
      </c>
      <c r="C1441" s="74" t="s">
        <v>1940</v>
      </c>
      <c r="D1441" s="74">
        <v>289</v>
      </c>
    </row>
    <row r="1442" spans="1:4">
      <c r="A1442" t="s">
        <v>40</v>
      </c>
      <c r="B1442" s="73" t="s">
        <v>505</v>
      </c>
      <c r="C1442" s="74" t="s">
        <v>1941</v>
      </c>
      <c r="D1442" s="74">
        <v>599.99</v>
      </c>
    </row>
    <row r="1443" spans="1:4">
      <c r="A1443" t="s">
        <v>40</v>
      </c>
      <c r="B1443" s="73" t="s">
        <v>505</v>
      </c>
      <c r="C1443" s="74" t="s">
        <v>1942</v>
      </c>
      <c r="D1443" s="74">
        <v>170.99</v>
      </c>
    </row>
    <row r="1444" spans="1:4">
      <c r="A1444" t="s">
        <v>40</v>
      </c>
      <c r="B1444" s="73" t="s">
        <v>579</v>
      </c>
      <c r="C1444" s="74" t="s">
        <v>1943</v>
      </c>
      <c r="D1444" s="74">
        <v>508</v>
      </c>
    </row>
    <row r="1445" spans="1:4">
      <c r="A1445" t="s">
        <v>40</v>
      </c>
      <c r="B1445" s="73" t="s">
        <v>510</v>
      </c>
      <c r="C1445" s="74" t="s">
        <v>1944</v>
      </c>
      <c r="D1445" s="74">
        <v>259.95</v>
      </c>
    </row>
    <row r="1446" spans="1:4">
      <c r="A1446" t="s">
        <v>40</v>
      </c>
      <c r="B1446" s="73" t="s">
        <v>510</v>
      </c>
      <c r="C1446" s="74" t="s">
        <v>1945</v>
      </c>
      <c r="D1446" s="74">
        <v>505.95</v>
      </c>
    </row>
    <row r="1447" spans="1:4">
      <c r="A1447" t="s">
        <v>40</v>
      </c>
      <c r="B1447" s="73" t="s">
        <v>529</v>
      </c>
      <c r="C1447" s="74" t="s">
        <v>1946</v>
      </c>
      <c r="D1447" s="74">
        <v>169.99</v>
      </c>
    </row>
    <row r="1448" spans="1:4">
      <c r="A1448" t="s">
        <v>40</v>
      </c>
      <c r="B1448" s="73" t="s">
        <v>505</v>
      </c>
      <c r="C1448" s="74" t="s">
        <v>1947</v>
      </c>
      <c r="D1448" s="74">
        <v>230</v>
      </c>
    </row>
    <row r="1449" spans="1:4">
      <c r="A1449" t="s">
        <v>40</v>
      </c>
      <c r="B1449" s="73" t="s">
        <v>569</v>
      </c>
      <c r="C1449" s="74" t="s">
        <v>1948</v>
      </c>
      <c r="D1449" s="74">
        <v>269</v>
      </c>
    </row>
    <row r="1450" spans="1:4">
      <c r="A1450" t="s">
        <v>40</v>
      </c>
      <c r="B1450" s="73" t="s">
        <v>529</v>
      </c>
      <c r="C1450" s="74" t="s">
        <v>1949</v>
      </c>
      <c r="D1450" s="74">
        <v>259.99</v>
      </c>
    </row>
    <row r="1451" spans="1:4">
      <c r="A1451" t="s">
        <v>40</v>
      </c>
      <c r="B1451" s="73" t="s">
        <v>810</v>
      </c>
      <c r="C1451" s="74" t="s">
        <v>1950</v>
      </c>
      <c r="D1451" s="74">
        <v>209.99</v>
      </c>
    </row>
    <row r="1452" spans="1:4">
      <c r="A1452" t="s">
        <v>40</v>
      </c>
      <c r="B1452" s="73" t="s">
        <v>510</v>
      </c>
      <c r="C1452" s="74" t="s">
        <v>1951</v>
      </c>
      <c r="D1452" s="74">
        <v>342.99</v>
      </c>
    </row>
    <row r="1453" spans="1:4">
      <c r="A1453" t="s">
        <v>40</v>
      </c>
      <c r="B1453" s="73" t="s">
        <v>529</v>
      </c>
      <c r="C1453" s="74" t="s">
        <v>1952</v>
      </c>
      <c r="D1453" s="74">
        <v>45.99</v>
      </c>
    </row>
    <row r="1454" spans="1:4">
      <c r="A1454" t="s">
        <v>40</v>
      </c>
      <c r="B1454" s="73" t="s">
        <v>510</v>
      </c>
      <c r="C1454" s="74" t="s">
        <v>1953</v>
      </c>
      <c r="D1454" s="74">
        <v>759</v>
      </c>
    </row>
    <row r="1455" spans="1:4">
      <c r="A1455" t="s">
        <v>40</v>
      </c>
      <c r="B1455" s="73" t="s">
        <v>569</v>
      </c>
      <c r="C1455" s="74" t="s">
        <v>1954</v>
      </c>
      <c r="D1455" s="74">
        <v>241.98</v>
      </c>
    </row>
    <row r="1456" spans="1:4">
      <c r="A1456" t="s">
        <v>40</v>
      </c>
      <c r="B1456" s="73" t="s">
        <v>546</v>
      </c>
      <c r="C1456" s="74" t="s">
        <v>1955</v>
      </c>
      <c r="D1456" s="74">
        <v>29.99</v>
      </c>
    </row>
    <row r="1457" spans="1:4">
      <c r="A1457" t="s">
        <v>40</v>
      </c>
      <c r="B1457" s="73" t="s">
        <v>561</v>
      </c>
      <c r="C1457" s="74" t="s">
        <v>1956</v>
      </c>
      <c r="D1457" s="74">
        <v>99.99</v>
      </c>
    </row>
    <row r="1458" spans="1:4">
      <c r="A1458" t="s">
        <v>40</v>
      </c>
      <c r="B1458" s="73" t="s">
        <v>505</v>
      </c>
      <c r="C1458" s="74" t="s">
        <v>1957</v>
      </c>
      <c r="D1458" s="74">
        <v>486.97</v>
      </c>
    </row>
    <row r="1459" spans="1:4">
      <c r="A1459" t="s">
        <v>40</v>
      </c>
      <c r="B1459" s="73" t="s">
        <v>510</v>
      </c>
      <c r="C1459" s="74" t="s">
        <v>1958</v>
      </c>
      <c r="D1459" s="74">
        <v>249.95</v>
      </c>
    </row>
    <row r="1460" spans="1:4">
      <c r="A1460" t="s">
        <v>40</v>
      </c>
      <c r="B1460" s="73" t="s">
        <v>510</v>
      </c>
      <c r="C1460" s="74" t="s">
        <v>1959</v>
      </c>
      <c r="D1460" s="74">
        <v>169.95</v>
      </c>
    </row>
    <row r="1461" spans="1:4">
      <c r="A1461" t="s">
        <v>40</v>
      </c>
      <c r="B1461" s="73" t="s">
        <v>510</v>
      </c>
      <c r="C1461" s="74" t="s">
        <v>1960</v>
      </c>
      <c r="D1461" s="74">
        <v>599</v>
      </c>
    </row>
    <row r="1462" spans="1:4">
      <c r="A1462" t="s">
        <v>40</v>
      </c>
      <c r="B1462" s="73" t="s">
        <v>529</v>
      </c>
      <c r="C1462" s="74" t="s">
        <v>1961</v>
      </c>
      <c r="D1462" s="74">
        <v>109.99</v>
      </c>
    </row>
    <row r="1463" spans="1:4">
      <c r="A1463" t="s">
        <v>40</v>
      </c>
      <c r="B1463" s="73" t="s">
        <v>510</v>
      </c>
      <c r="C1463" s="74" t="s">
        <v>1962</v>
      </c>
      <c r="D1463" s="74">
        <v>739</v>
      </c>
    </row>
    <row r="1464" spans="1:4">
      <c r="A1464" t="s">
        <v>40</v>
      </c>
      <c r="B1464" s="73" t="s">
        <v>810</v>
      </c>
      <c r="C1464" s="74" t="s">
        <v>1963</v>
      </c>
      <c r="D1464" s="74">
        <v>305.99</v>
      </c>
    </row>
    <row r="1465" spans="1:4">
      <c r="A1465" t="s">
        <v>40</v>
      </c>
      <c r="B1465" s="73" t="s">
        <v>510</v>
      </c>
      <c r="C1465" s="74" t="s">
        <v>1964</v>
      </c>
      <c r="D1465" s="74">
        <v>214.99</v>
      </c>
    </row>
    <row r="1466" spans="1:4">
      <c r="A1466" t="s">
        <v>40</v>
      </c>
      <c r="B1466" s="73" t="s">
        <v>505</v>
      </c>
      <c r="C1466" s="74" t="s">
        <v>1965</v>
      </c>
      <c r="D1466" s="74">
        <v>80</v>
      </c>
    </row>
    <row r="1467" spans="1:4">
      <c r="A1467" t="s">
        <v>40</v>
      </c>
      <c r="B1467" s="73" t="s">
        <v>510</v>
      </c>
      <c r="C1467" s="74" t="s">
        <v>1966</v>
      </c>
      <c r="D1467" s="74">
        <v>109.99</v>
      </c>
    </row>
    <row r="1468" spans="1:4">
      <c r="A1468" t="s">
        <v>40</v>
      </c>
      <c r="B1468" s="73" t="s">
        <v>561</v>
      </c>
      <c r="C1468" s="74" t="s">
        <v>1967</v>
      </c>
      <c r="D1468" s="74">
        <v>174.99</v>
      </c>
    </row>
    <row r="1469" spans="1:4">
      <c r="A1469" t="s">
        <v>40</v>
      </c>
      <c r="B1469" s="73" t="s">
        <v>505</v>
      </c>
      <c r="C1469" s="74" t="s">
        <v>1968</v>
      </c>
      <c r="D1469" s="74">
        <v>263</v>
      </c>
    </row>
    <row r="1470" spans="1:4">
      <c r="A1470" t="s">
        <v>40</v>
      </c>
      <c r="B1470" s="73" t="s">
        <v>1642</v>
      </c>
      <c r="C1470" s="74" t="s">
        <v>1969</v>
      </c>
      <c r="D1470" s="74">
        <v>50.99</v>
      </c>
    </row>
    <row r="1471" spans="1:4">
      <c r="A1471" t="s">
        <v>40</v>
      </c>
      <c r="B1471" s="73" t="s">
        <v>510</v>
      </c>
      <c r="C1471" s="74" t="s">
        <v>1667</v>
      </c>
      <c r="D1471" s="74">
        <v>309.99</v>
      </c>
    </row>
    <row r="1472" spans="1:4">
      <c r="A1472" t="s">
        <v>40</v>
      </c>
      <c r="B1472" s="73" t="s">
        <v>1337</v>
      </c>
      <c r="C1472" s="74" t="s">
        <v>1970</v>
      </c>
      <c r="D1472" s="74">
        <v>474.99</v>
      </c>
    </row>
    <row r="1473" spans="1:4">
      <c r="A1473" t="s">
        <v>40</v>
      </c>
      <c r="B1473" s="73" t="s">
        <v>561</v>
      </c>
      <c r="C1473" s="74" t="s">
        <v>1971</v>
      </c>
      <c r="D1473" s="74">
        <v>109.99</v>
      </c>
    </row>
    <row r="1474" spans="1:4">
      <c r="A1474" t="s">
        <v>40</v>
      </c>
      <c r="B1474" s="73" t="s">
        <v>579</v>
      </c>
      <c r="C1474" s="74" t="s">
        <v>1972</v>
      </c>
      <c r="D1474" s="74">
        <v>534</v>
      </c>
    </row>
    <row r="1475" spans="1:4">
      <c r="A1475" t="s">
        <v>40</v>
      </c>
      <c r="B1475" s="73" t="s">
        <v>523</v>
      </c>
      <c r="C1475" s="74" t="s">
        <v>1973</v>
      </c>
      <c r="D1475" s="74">
        <v>234.99</v>
      </c>
    </row>
    <row r="1476" spans="1:4">
      <c r="A1476" t="s">
        <v>40</v>
      </c>
      <c r="B1476" s="73" t="s">
        <v>510</v>
      </c>
      <c r="C1476" s="74" t="s">
        <v>1974</v>
      </c>
      <c r="D1476" s="74">
        <v>698.99</v>
      </c>
    </row>
    <row r="1477" spans="1:4" ht="21">
      <c r="A1477" t="s">
        <v>40</v>
      </c>
      <c r="B1477" s="73" t="s">
        <v>505</v>
      </c>
      <c r="C1477" s="74" t="s">
        <v>1975</v>
      </c>
      <c r="D1477" s="74">
        <v>77.989999999999995</v>
      </c>
    </row>
    <row r="1478" spans="1:4">
      <c r="A1478" t="s">
        <v>40</v>
      </c>
      <c r="B1478" s="73" t="s">
        <v>510</v>
      </c>
      <c r="C1478" s="74" t="s">
        <v>1976</v>
      </c>
      <c r="D1478" s="74">
        <v>511.95</v>
      </c>
    </row>
    <row r="1479" spans="1:4">
      <c r="A1479" t="s">
        <v>40</v>
      </c>
      <c r="B1479" s="73" t="s">
        <v>510</v>
      </c>
      <c r="C1479" s="74" t="s">
        <v>1977</v>
      </c>
      <c r="D1479" s="74">
        <v>629.99</v>
      </c>
    </row>
    <row r="1480" spans="1:4">
      <c r="A1480" t="s">
        <v>40</v>
      </c>
      <c r="B1480" s="73" t="s">
        <v>510</v>
      </c>
      <c r="C1480" s="74" t="s">
        <v>1978</v>
      </c>
      <c r="D1480" s="74">
        <v>469.99</v>
      </c>
    </row>
    <row r="1481" spans="1:4">
      <c r="A1481" t="s">
        <v>40</v>
      </c>
      <c r="B1481" s="73" t="s">
        <v>505</v>
      </c>
      <c r="C1481" s="74" t="s">
        <v>1979</v>
      </c>
      <c r="D1481" s="74">
        <v>419.79</v>
      </c>
    </row>
    <row r="1482" spans="1:4">
      <c r="A1482" t="s">
        <v>40</v>
      </c>
      <c r="B1482" s="73" t="s">
        <v>510</v>
      </c>
      <c r="C1482" s="74" t="s">
        <v>1980</v>
      </c>
      <c r="D1482" s="74">
        <v>139.94999999999999</v>
      </c>
    </row>
    <row r="1483" spans="1:4">
      <c r="A1483" t="s">
        <v>40</v>
      </c>
      <c r="B1483" s="73" t="s">
        <v>738</v>
      </c>
      <c r="C1483" s="74" t="s">
        <v>1981</v>
      </c>
      <c r="D1483" s="74">
        <v>174.99</v>
      </c>
    </row>
    <row r="1484" spans="1:4">
      <c r="A1484" t="s">
        <v>40</v>
      </c>
      <c r="B1484" s="73" t="s">
        <v>505</v>
      </c>
      <c r="C1484" s="74" t="s">
        <v>1982</v>
      </c>
      <c r="D1484" s="74">
        <v>49.99</v>
      </c>
    </row>
    <row r="1485" spans="1:4">
      <c r="A1485" t="s">
        <v>40</v>
      </c>
      <c r="B1485" s="73" t="s">
        <v>510</v>
      </c>
      <c r="C1485" s="74" t="s">
        <v>1983</v>
      </c>
      <c r="D1485" s="74">
        <v>123.99</v>
      </c>
    </row>
    <row r="1486" spans="1:4" ht="21">
      <c r="A1486" t="s">
        <v>40</v>
      </c>
      <c r="B1486" s="73" t="s">
        <v>505</v>
      </c>
      <c r="C1486" s="74" t="s">
        <v>1975</v>
      </c>
      <c r="D1486" s="74">
        <v>77.89</v>
      </c>
    </row>
    <row r="1487" spans="1:4">
      <c r="A1487" t="s">
        <v>40</v>
      </c>
      <c r="B1487" s="73" t="s">
        <v>510</v>
      </c>
      <c r="C1487" s="74" t="s">
        <v>1984</v>
      </c>
      <c r="D1487" s="74">
        <v>486.99</v>
      </c>
    </row>
    <row r="1488" spans="1:4">
      <c r="A1488" t="s">
        <v>40</v>
      </c>
      <c r="B1488" s="73" t="s">
        <v>529</v>
      </c>
      <c r="C1488" s="74" t="s">
        <v>1985</v>
      </c>
      <c r="D1488" s="74">
        <v>149.99</v>
      </c>
    </row>
    <row r="1489" spans="1:4">
      <c r="A1489" t="s">
        <v>40</v>
      </c>
      <c r="B1489" s="73" t="s">
        <v>510</v>
      </c>
      <c r="C1489" s="74" t="s">
        <v>1986</v>
      </c>
      <c r="D1489" s="74">
        <v>278.99</v>
      </c>
    </row>
    <row r="1490" spans="1:4">
      <c r="A1490" t="s">
        <v>40</v>
      </c>
      <c r="B1490" s="73" t="s">
        <v>505</v>
      </c>
      <c r="C1490" s="74" t="s">
        <v>1987</v>
      </c>
      <c r="D1490" s="74">
        <v>217</v>
      </c>
    </row>
    <row r="1491" spans="1:4">
      <c r="A1491" t="s">
        <v>40</v>
      </c>
      <c r="B1491" s="73" t="s">
        <v>523</v>
      </c>
      <c r="C1491" s="74" t="s">
        <v>1988</v>
      </c>
      <c r="D1491" s="74">
        <v>99.99</v>
      </c>
    </row>
    <row r="1492" spans="1:4">
      <c r="A1492" t="s">
        <v>40</v>
      </c>
      <c r="B1492" s="73" t="s">
        <v>810</v>
      </c>
      <c r="C1492" s="74" t="s">
        <v>1989</v>
      </c>
      <c r="D1492" s="74">
        <v>151.97</v>
      </c>
    </row>
    <row r="1493" spans="1:4">
      <c r="A1493" t="s">
        <v>40</v>
      </c>
      <c r="B1493" s="73" t="s">
        <v>510</v>
      </c>
      <c r="C1493" s="74" t="s">
        <v>1990</v>
      </c>
      <c r="D1493" s="74">
        <v>639.95000000000005</v>
      </c>
    </row>
    <row r="1494" spans="1:4">
      <c r="A1494" t="s">
        <v>40</v>
      </c>
      <c r="B1494" s="73" t="s">
        <v>505</v>
      </c>
      <c r="C1494" s="74" t="s">
        <v>1991</v>
      </c>
      <c r="D1494" s="74">
        <v>549.99</v>
      </c>
    </row>
    <row r="1495" spans="1:4">
      <c r="A1495" t="s">
        <v>40</v>
      </c>
      <c r="B1495" s="73" t="s">
        <v>510</v>
      </c>
      <c r="C1495" s="74" t="s">
        <v>1992</v>
      </c>
      <c r="D1495" s="74">
        <v>1099.79</v>
      </c>
    </row>
    <row r="1496" spans="1:4">
      <c r="A1496" t="s">
        <v>40</v>
      </c>
      <c r="B1496" s="73" t="s">
        <v>1993</v>
      </c>
      <c r="C1496" s="74" t="s">
        <v>1994</v>
      </c>
      <c r="D1496" s="74">
        <v>28.58</v>
      </c>
    </row>
    <row r="1497" spans="1:4">
      <c r="A1497" t="s">
        <v>40</v>
      </c>
      <c r="B1497" s="73" t="s">
        <v>510</v>
      </c>
      <c r="C1497" s="74" t="s">
        <v>1995</v>
      </c>
      <c r="D1497" s="74">
        <v>349.95</v>
      </c>
    </row>
    <row r="1498" spans="1:4">
      <c r="A1498" t="s">
        <v>40</v>
      </c>
      <c r="B1498" s="73" t="s">
        <v>510</v>
      </c>
      <c r="C1498" s="74" t="s">
        <v>1996</v>
      </c>
      <c r="D1498" s="74">
        <v>359.49</v>
      </c>
    </row>
    <row r="1499" spans="1:4">
      <c r="A1499" t="s">
        <v>40</v>
      </c>
      <c r="B1499" s="73" t="s">
        <v>505</v>
      </c>
      <c r="C1499" s="74" t="s">
        <v>1997</v>
      </c>
      <c r="D1499" s="74">
        <v>479.99</v>
      </c>
    </row>
    <row r="1500" spans="1:4">
      <c r="A1500" t="s">
        <v>40</v>
      </c>
      <c r="B1500" s="73" t="s">
        <v>510</v>
      </c>
      <c r="C1500" s="74" t="s">
        <v>1998</v>
      </c>
      <c r="D1500" s="74">
        <v>150</v>
      </c>
    </row>
    <row r="1501" spans="1:4">
      <c r="A1501" t="s">
        <v>40</v>
      </c>
      <c r="B1501" s="73" t="s">
        <v>505</v>
      </c>
      <c r="C1501" s="74" t="s">
        <v>769</v>
      </c>
      <c r="D1501" s="74">
        <v>119.79</v>
      </c>
    </row>
    <row r="1502" spans="1:4">
      <c r="A1502" t="s">
        <v>40</v>
      </c>
      <c r="B1502" s="73" t="s">
        <v>505</v>
      </c>
      <c r="C1502" s="74" t="s">
        <v>1282</v>
      </c>
      <c r="D1502" s="74">
        <v>78.989999999999995</v>
      </c>
    </row>
    <row r="1503" spans="1:4">
      <c r="A1503" t="s">
        <v>40</v>
      </c>
      <c r="B1503" s="73" t="s">
        <v>510</v>
      </c>
      <c r="C1503" s="74" t="s">
        <v>1999</v>
      </c>
      <c r="D1503" s="74">
        <v>339.99</v>
      </c>
    </row>
    <row r="1504" spans="1:4">
      <c r="A1504" t="s">
        <v>40</v>
      </c>
      <c r="B1504" s="73" t="s">
        <v>546</v>
      </c>
      <c r="C1504" s="74" t="s">
        <v>2000</v>
      </c>
      <c r="D1504" s="74">
        <v>29.99</v>
      </c>
    </row>
    <row r="1505" spans="1:4">
      <c r="A1505" t="s">
        <v>40</v>
      </c>
      <c r="B1505" s="73" t="s">
        <v>510</v>
      </c>
      <c r="C1505" s="74" t="s">
        <v>2001</v>
      </c>
      <c r="D1505" s="74">
        <v>99.49</v>
      </c>
    </row>
    <row r="1506" spans="1:4">
      <c r="A1506" t="s">
        <v>40</v>
      </c>
      <c r="B1506" s="73" t="s">
        <v>510</v>
      </c>
      <c r="C1506" s="74" t="s">
        <v>2002</v>
      </c>
      <c r="D1506" s="74">
        <v>294.39</v>
      </c>
    </row>
    <row r="1507" spans="1:4">
      <c r="A1507" t="s">
        <v>40</v>
      </c>
      <c r="B1507" s="73" t="s">
        <v>505</v>
      </c>
      <c r="C1507" s="74" t="s">
        <v>2003</v>
      </c>
      <c r="D1507" s="74">
        <v>184.99</v>
      </c>
    </row>
    <row r="1508" spans="1:4">
      <c r="A1508" t="s">
        <v>40</v>
      </c>
      <c r="B1508" s="73" t="s">
        <v>505</v>
      </c>
      <c r="C1508" s="74" t="s">
        <v>2004</v>
      </c>
      <c r="D1508" s="74">
        <v>319</v>
      </c>
    </row>
    <row r="1509" spans="1:4">
      <c r="A1509" t="s">
        <v>40</v>
      </c>
      <c r="B1509" s="73" t="s">
        <v>523</v>
      </c>
      <c r="C1509" s="74" t="s">
        <v>2005</v>
      </c>
      <c r="D1509" s="74">
        <v>129.99</v>
      </c>
    </row>
    <row r="1510" spans="1:4">
      <c r="A1510" t="s">
        <v>40</v>
      </c>
      <c r="B1510" s="73" t="s">
        <v>505</v>
      </c>
      <c r="C1510" s="74" t="s">
        <v>2006</v>
      </c>
      <c r="D1510" s="74">
        <v>89.99</v>
      </c>
    </row>
    <row r="1511" spans="1:4">
      <c r="A1511" t="s">
        <v>40</v>
      </c>
      <c r="B1511" s="73" t="s">
        <v>1022</v>
      </c>
      <c r="C1511" s="74" t="s">
        <v>2007</v>
      </c>
      <c r="D1511" s="74">
        <v>119</v>
      </c>
    </row>
    <row r="1512" spans="1:4">
      <c r="A1512" t="s">
        <v>40</v>
      </c>
      <c r="B1512" s="73" t="s">
        <v>505</v>
      </c>
      <c r="C1512" s="74" t="s">
        <v>2008</v>
      </c>
      <c r="D1512" s="74">
        <v>520</v>
      </c>
    </row>
    <row r="1513" spans="1:4">
      <c r="A1513" t="s">
        <v>40</v>
      </c>
      <c r="B1513" s="73" t="s">
        <v>505</v>
      </c>
      <c r="C1513" s="74" t="s">
        <v>2009</v>
      </c>
      <c r="D1513" s="74">
        <v>182.99</v>
      </c>
    </row>
    <row r="1514" spans="1:4">
      <c r="A1514" t="s">
        <v>40</v>
      </c>
      <c r="B1514" s="73" t="s">
        <v>505</v>
      </c>
      <c r="C1514" s="74" t="s">
        <v>2010</v>
      </c>
      <c r="D1514" s="74">
        <v>166.97</v>
      </c>
    </row>
    <row r="1515" spans="1:4">
      <c r="A1515" t="s">
        <v>40</v>
      </c>
      <c r="B1515" s="73" t="s">
        <v>510</v>
      </c>
      <c r="C1515" s="74" t="s">
        <v>2011</v>
      </c>
      <c r="D1515" s="74">
        <v>279.99</v>
      </c>
    </row>
    <row r="1516" spans="1:4">
      <c r="A1516" t="s">
        <v>40</v>
      </c>
      <c r="B1516" s="73" t="s">
        <v>510</v>
      </c>
      <c r="C1516" s="74" t="s">
        <v>2012</v>
      </c>
      <c r="D1516" s="74">
        <v>509.59</v>
      </c>
    </row>
    <row r="1517" spans="1:4">
      <c r="A1517" t="s">
        <v>40</v>
      </c>
      <c r="B1517" s="73" t="s">
        <v>1337</v>
      </c>
      <c r="C1517" s="74" t="s">
        <v>2013</v>
      </c>
      <c r="D1517" s="74">
        <v>21.95</v>
      </c>
    </row>
    <row r="1518" spans="1:4">
      <c r="A1518" t="s">
        <v>40</v>
      </c>
      <c r="B1518" s="73" t="s">
        <v>505</v>
      </c>
      <c r="C1518" s="74" t="s">
        <v>2014</v>
      </c>
      <c r="D1518" s="74">
        <v>319.99</v>
      </c>
    </row>
    <row r="1519" spans="1:4">
      <c r="A1519" t="s">
        <v>40</v>
      </c>
      <c r="B1519" s="73" t="s">
        <v>529</v>
      </c>
      <c r="C1519" s="74" t="s">
        <v>2015</v>
      </c>
      <c r="D1519" s="74">
        <v>114.99</v>
      </c>
    </row>
    <row r="1520" spans="1:4">
      <c r="A1520" t="s">
        <v>40</v>
      </c>
      <c r="B1520" s="73" t="s">
        <v>523</v>
      </c>
      <c r="C1520" s="74" t="s">
        <v>2016</v>
      </c>
      <c r="D1520" s="74">
        <v>361.97</v>
      </c>
    </row>
    <row r="1521" spans="1:4">
      <c r="A1521" t="s">
        <v>40</v>
      </c>
      <c r="B1521" s="73" t="s">
        <v>505</v>
      </c>
      <c r="C1521" s="74" t="s">
        <v>2017</v>
      </c>
      <c r="D1521" s="74">
        <v>399.99</v>
      </c>
    </row>
    <row r="1522" spans="1:4">
      <c r="A1522" t="s">
        <v>40</v>
      </c>
      <c r="B1522" s="73" t="s">
        <v>523</v>
      </c>
      <c r="C1522" s="74" t="s">
        <v>2018</v>
      </c>
      <c r="D1522" s="74">
        <v>169.99</v>
      </c>
    </row>
    <row r="1523" spans="1:4">
      <c r="A1523" t="s">
        <v>40</v>
      </c>
      <c r="B1523" s="73" t="s">
        <v>810</v>
      </c>
      <c r="C1523" s="74" t="s">
        <v>2019</v>
      </c>
      <c r="D1523" s="74">
        <v>200</v>
      </c>
    </row>
    <row r="1524" spans="1:4">
      <c r="A1524" t="s">
        <v>40</v>
      </c>
      <c r="B1524" s="73" t="s">
        <v>738</v>
      </c>
      <c r="C1524" s="74" t="s">
        <v>2020</v>
      </c>
      <c r="D1524" s="74">
        <v>85</v>
      </c>
    </row>
    <row r="1525" spans="1:4">
      <c r="A1525" t="s">
        <v>40</v>
      </c>
      <c r="B1525" s="73" t="s">
        <v>510</v>
      </c>
      <c r="C1525" s="74" t="s">
        <v>2021</v>
      </c>
      <c r="D1525" s="74">
        <v>393</v>
      </c>
    </row>
    <row r="1526" spans="1:4">
      <c r="A1526" t="s">
        <v>40</v>
      </c>
      <c r="B1526" s="73" t="s">
        <v>510</v>
      </c>
      <c r="C1526" s="74" t="s">
        <v>2022</v>
      </c>
      <c r="D1526" s="74">
        <v>291.97000000000003</v>
      </c>
    </row>
    <row r="1527" spans="1:4">
      <c r="A1527" t="s">
        <v>40</v>
      </c>
      <c r="B1527" s="73" t="s">
        <v>510</v>
      </c>
      <c r="C1527" s="74" t="s">
        <v>2023</v>
      </c>
      <c r="D1527" s="74">
        <v>449.99</v>
      </c>
    </row>
    <row r="1528" spans="1:4">
      <c r="A1528" t="s">
        <v>40</v>
      </c>
      <c r="B1528" s="73" t="s">
        <v>510</v>
      </c>
      <c r="C1528" s="74" t="s">
        <v>617</v>
      </c>
      <c r="D1528" s="74">
        <v>334.99</v>
      </c>
    </row>
    <row r="1529" spans="1:4">
      <c r="A1529" t="s">
        <v>40</v>
      </c>
      <c r="B1529" s="73" t="s">
        <v>510</v>
      </c>
      <c r="C1529" s="74" t="s">
        <v>2024</v>
      </c>
      <c r="D1529" s="74">
        <v>319</v>
      </c>
    </row>
    <row r="1530" spans="1:4">
      <c r="A1530" t="s">
        <v>40</v>
      </c>
      <c r="B1530" s="73" t="s">
        <v>523</v>
      </c>
      <c r="C1530" s="74" t="s">
        <v>2025</v>
      </c>
      <c r="D1530" s="74">
        <v>341.97</v>
      </c>
    </row>
    <row r="1531" spans="1:4">
      <c r="A1531" t="s">
        <v>40</v>
      </c>
      <c r="B1531" s="73" t="s">
        <v>505</v>
      </c>
      <c r="C1531" s="74" t="s">
        <v>2026</v>
      </c>
      <c r="D1531" s="74">
        <v>222.95</v>
      </c>
    </row>
    <row r="1532" spans="1:4">
      <c r="A1532" t="s">
        <v>40</v>
      </c>
      <c r="B1532" s="73" t="s">
        <v>546</v>
      </c>
      <c r="C1532" s="74" t="s">
        <v>2027</v>
      </c>
      <c r="D1532" s="74">
        <v>49.99</v>
      </c>
    </row>
    <row r="1533" spans="1:4">
      <c r="A1533" t="s">
        <v>40</v>
      </c>
      <c r="B1533" s="73" t="s">
        <v>510</v>
      </c>
      <c r="C1533" s="74" t="s">
        <v>2028</v>
      </c>
      <c r="D1533" s="74">
        <v>219.99</v>
      </c>
    </row>
    <row r="1534" spans="1:4">
      <c r="A1534" t="s">
        <v>40</v>
      </c>
      <c r="B1534" s="73" t="s">
        <v>510</v>
      </c>
      <c r="C1534" s="74" t="s">
        <v>2029</v>
      </c>
      <c r="D1534" s="74">
        <v>248.99</v>
      </c>
    </row>
    <row r="1535" spans="1:4">
      <c r="A1535" t="s">
        <v>40</v>
      </c>
      <c r="B1535" s="73" t="s">
        <v>569</v>
      </c>
      <c r="C1535" s="74" t="s">
        <v>2030</v>
      </c>
      <c r="D1535" s="74">
        <v>239.99</v>
      </c>
    </row>
    <row r="1536" spans="1:4">
      <c r="A1536" t="s">
        <v>40</v>
      </c>
      <c r="B1536" s="73" t="s">
        <v>561</v>
      </c>
      <c r="C1536" s="74" t="s">
        <v>2031</v>
      </c>
      <c r="D1536" s="74">
        <v>209.99</v>
      </c>
    </row>
    <row r="1537" spans="1:4">
      <c r="A1537" t="s">
        <v>40</v>
      </c>
      <c r="B1537" s="73" t="s">
        <v>510</v>
      </c>
      <c r="C1537" s="74" t="s">
        <v>2032</v>
      </c>
      <c r="D1537" s="74">
        <v>329.99</v>
      </c>
    </row>
    <row r="1538" spans="1:4">
      <c r="A1538" t="s">
        <v>40</v>
      </c>
      <c r="B1538" s="73" t="s">
        <v>505</v>
      </c>
      <c r="C1538" s="74" t="s">
        <v>2033</v>
      </c>
      <c r="D1538" s="74">
        <v>139.99</v>
      </c>
    </row>
    <row r="1539" spans="1:4">
      <c r="A1539" t="s">
        <v>40</v>
      </c>
      <c r="B1539" s="73" t="s">
        <v>505</v>
      </c>
      <c r="C1539" s="74" t="s">
        <v>2034</v>
      </c>
      <c r="D1539" s="74">
        <v>69.989999999999995</v>
      </c>
    </row>
    <row r="1540" spans="1:4">
      <c r="A1540" t="s">
        <v>40</v>
      </c>
      <c r="B1540" s="73" t="s">
        <v>510</v>
      </c>
      <c r="C1540" s="74" t="s">
        <v>2035</v>
      </c>
      <c r="D1540" s="74">
        <v>329.99</v>
      </c>
    </row>
    <row r="1541" spans="1:4">
      <c r="A1541" t="s">
        <v>40</v>
      </c>
      <c r="B1541" s="73" t="s">
        <v>738</v>
      </c>
      <c r="C1541" s="74" t="s">
        <v>2036</v>
      </c>
      <c r="D1541" s="74">
        <v>85</v>
      </c>
    </row>
    <row r="1542" spans="1:4">
      <c r="A1542" t="s">
        <v>40</v>
      </c>
      <c r="B1542" s="73" t="s">
        <v>505</v>
      </c>
      <c r="C1542" s="74" t="s">
        <v>2037</v>
      </c>
      <c r="D1542" s="74">
        <v>277.49</v>
      </c>
    </row>
    <row r="1543" spans="1:4">
      <c r="A1543" t="s">
        <v>40</v>
      </c>
      <c r="B1543" s="73" t="s">
        <v>569</v>
      </c>
      <c r="C1543" s="74" t="s">
        <v>2038</v>
      </c>
      <c r="D1543" s="74">
        <v>99.99</v>
      </c>
    </row>
    <row r="1544" spans="1:4">
      <c r="A1544" t="s">
        <v>40</v>
      </c>
      <c r="B1544" s="73" t="s">
        <v>510</v>
      </c>
      <c r="C1544" s="74" t="s">
        <v>2039</v>
      </c>
      <c r="D1544" s="74">
        <v>699.99</v>
      </c>
    </row>
    <row r="1545" spans="1:4">
      <c r="A1545" t="s">
        <v>40</v>
      </c>
      <c r="B1545" s="73" t="s">
        <v>561</v>
      </c>
      <c r="C1545" s="74" t="s">
        <v>2040</v>
      </c>
      <c r="D1545" s="74">
        <v>199.99</v>
      </c>
    </row>
    <row r="1546" spans="1:4">
      <c r="A1546" t="s">
        <v>40</v>
      </c>
      <c r="B1546" s="73" t="s">
        <v>1367</v>
      </c>
      <c r="C1546" s="74" t="s">
        <v>1778</v>
      </c>
      <c r="D1546" s="74">
        <v>44.49</v>
      </c>
    </row>
    <row r="1547" spans="1:4">
      <c r="A1547" t="s">
        <v>40</v>
      </c>
      <c r="B1547" s="73" t="s">
        <v>579</v>
      </c>
      <c r="C1547" s="74" t="s">
        <v>2041</v>
      </c>
      <c r="D1547" s="74">
        <v>382</v>
      </c>
    </row>
    <row r="1548" spans="1:4">
      <c r="A1548" t="s">
        <v>40</v>
      </c>
      <c r="B1548" s="73" t="s">
        <v>505</v>
      </c>
      <c r="C1548" s="74" t="s">
        <v>2042</v>
      </c>
      <c r="D1548" s="74">
        <v>419.79</v>
      </c>
    </row>
    <row r="1549" spans="1:4">
      <c r="A1549" t="s">
        <v>40</v>
      </c>
      <c r="B1549" s="73" t="s">
        <v>505</v>
      </c>
      <c r="C1549" s="74" t="s">
        <v>2043</v>
      </c>
      <c r="D1549" s="74">
        <v>319.49</v>
      </c>
    </row>
    <row r="1550" spans="1:4">
      <c r="A1550" t="s">
        <v>40</v>
      </c>
      <c r="B1550" s="73" t="s">
        <v>505</v>
      </c>
      <c r="C1550" s="74" t="s">
        <v>2044</v>
      </c>
      <c r="D1550" s="74">
        <v>165</v>
      </c>
    </row>
    <row r="1551" spans="1:4">
      <c r="A1551" t="s">
        <v>40</v>
      </c>
      <c r="B1551" s="73" t="s">
        <v>505</v>
      </c>
      <c r="C1551" s="74" t="s">
        <v>2045</v>
      </c>
      <c r="D1551" s="74">
        <v>489.95</v>
      </c>
    </row>
    <row r="1552" spans="1:4">
      <c r="A1552" t="s">
        <v>40</v>
      </c>
      <c r="B1552" s="73" t="s">
        <v>505</v>
      </c>
      <c r="C1552" s="74" t="s">
        <v>2046</v>
      </c>
      <c r="D1552" s="74">
        <v>589.69000000000005</v>
      </c>
    </row>
    <row r="1553" spans="1:4">
      <c r="A1553" t="s">
        <v>40</v>
      </c>
      <c r="B1553" s="73" t="s">
        <v>505</v>
      </c>
      <c r="C1553" s="74" t="s">
        <v>2047</v>
      </c>
      <c r="D1553" s="74">
        <v>676.98</v>
      </c>
    </row>
    <row r="1554" spans="1:4">
      <c r="A1554" t="s">
        <v>40</v>
      </c>
      <c r="B1554" s="73" t="s">
        <v>529</v>
      </c>
      <c r="C1554" s="74" t="s">
        <v>2048</v>
      </c>
      <c r="D1554" s="74">
        <v>49.99</v>
      </c>
    </row>
    <row r="1555" spans="1:4">
      <c r="A1555" t="s">
        <v>40</v>
      </c>
      <c r="B1555" s="73" t="s">
        <v>505</v>
      </c>
      <c r="C1555" s="74" t="s">
        <v>2049</v>
      </c>
      <c r="D1555" s="74">
        <v>159.99</v>
      </c>
    </row>
    <row r="1556" spans="1:4">
      <c r="A1556" t="s">
        <v>40</v>
      </c>
      <c r="B1556" s="73" t="s">
        <v>505</v>
      </c>
      <c r="C1556" s="74" t="s">
        <v>2050</v>
      </c>
      <c r="D1556" s="74">
        <v>509.99</v>
      </c>
    </row>
    <row r="1557" spans="1:4">
      <c r="A1557" t="s">
        <v>40</v>
      </c>
      <c r="B1557" s="73" t="s">
        <v>1022</v>
      </c>
      <c r="C1557" s="74" t="s">
        <v>2051</v>
      </c>
      <c r="D1557" s="74">
        <v>119</v>
      </c>
    </row>
    <row r="1558" spans="1:4">
      <c r="A1558" t="s">
        <v>40</v>
      </c>
      <c r="B1558" s="73" t="s">
        <v>510</v>
      </c>
      <c r="C1558" s="74" t="s">
        <v>2052</v>
      </c>
      <c r="D1558" s="74">
        <v>267.99</v>
      </c>
    </row>
    <row r="1559" spans="1:4">
      <c r="A1559" t="s">
        <v>40</v>
      </c>
      <c r="B1559" s="73" t="s">
        <v>510</v>
      </c>
      <c r="C1559" s="74" t="s">
        <v>1874</v>
      </c>
      <c r="D1559" s="74">
        <v>239.99</v>
      </c>
    </row>
    <row r="1560" spans="1:4">
      <c r="A1560" t="s">
        <v>40</v>
      </c>
      <c r="B1560" s="73" t="s">
        <v>510</v>
      </c>
      <c r="C1560" s="74" t="s">
        <v>2053</v>
      </c>
      <c r="D1560" s="74">
        <v>343.99</v>
      </c>
    </row>
    <row r="1561" spans="1:4">
      <c r="A1561" t="s">
        <v>40</v>
      </c>
      <c r="B1561" s="73" t="s">
        <v>579</v>
      </c>
      <c r="C1561" s="74" t="s">
        <v>2054</v>
      </c>
      <c r="D1561" s="74">
        <v>524</v>
      </c>
    </row>
    <row r="1562" spans="1:4" ht="21">
      <c r="A1562" t="s">
        <v>40</v>
      </c>
      <c r="B1562" s="73" t="s">
        <v>505</v>
      </c>
      <c r="C1562" s="74" t="s">
        <v>1975</v>
      </c>
      <c r="D1562" s="74">
        <v>71</v>
      </c>
    </row>
    <row r="1563" spans="1:4">
      <c r="A1563" t="s">
        <v>40</v>
      </c>
      <c r="B1563" s="73" t="s">
        <v>510</v>
      </c>
      <c r="C1563" s="74" t="s">
        <v>2055</v>
      </c>
      <c r="D1563" s="74">
        <v>239.95</v>
      </c>
    </row>
    <row r="1564" spans="1:4">
      <c r="A1564" t="s">
        <v>40</v>
      </c>
      <c r="B1564" s="73" t="s">
        <v>510</v>
      </c>
      <c r="C1564" s="74" t="s">
        <v>2056</v>
      </c>
      <c r="D1564" s="74">
        <v>239.99</v>
      </c>
    </row>
    <row r="1565" spans="1:4">
      <c r="A1565" t="s">
        <v>40</v>
      </c>
      <c r="B1565" s="73" t="s">
        <v>833</v>
      </c>
      <c r="C1565" s="74" t="s">
        <v>2057</v>
      </c>
      <c r="D1565" s="74">
        <v>71.790000000000006</v>
      </c>
    </row>
    <row r="1566" spans="1:4">
      <c r="A1566" t="s">
        <v>40</v>
      </c>
      <c r="B1566" s="73" t="s">
        <v>505</v>
      </c>
      <c r="C1566" s="74" t="s">
        <v>2058</v>
      </c>
      <c r="D1566" s="74">
        <v>134.99</v>
      </c>
    </row>
    <row r="1567" spans="1:4">
      <c r="A1567" t="s">
        <v>40</v>
      </c>
      <c r="B1567" s="73" t="s">
        <v>507</v>
      </c>
      <c r="C1567" s="74" t="s">
        <v>2059</v>
      </c>
      <c r="D1567" s="74">
        <v>64.989999999999995</v>
      </c>
    </row>
    <row r="1568" spans="1:4">
      <c r="A1568" t="s">
        <v>40</v>
      </c>
      <c r="B1568" s="73" t="s">
        <v>523</v>
      </c>
      <c r="C1568" s="74" t="s">
        <v>2060</v>
      </c>
      <c r="D1568" s="74">
        <v>139.99</v>
      </c>
    </row>
    <row r="1569" spans="1:4">
      <c r="A1569" t="s">
        <v>40</v>
      </c>
      <c r="B1569" s="73" t="s">
        <v>510</v>
      </c>
      <c r="C1569" s="74" t="s">
        <v>2061</v>
      </c>
      <c r="D1569" s="74">
        <v>329.99</v>
      </c>
    </row>
    <row r="1570" spans="1:4">
      <c r="A1570" t="s">
        <v>40</v>
      </c>
      <c r="B1570" s="73" t="s">
        <v>510</v>
      </c>
      <c r="C1570" s="74" t="s">
        <v>2062</v>
      </c>
      <c r="D1570" s="74">
        <v>420.95</v>
      </c>
    </row>
    <row r="1571" spans="1:4">
      <c r="A1571" t="s">
        <v>40</v>
      </c>
      <c r="B1571" s="73" t="s">
        <v>505</v>
      </c>
      <c r="C1571" s="74" t="s">
        <v>2063</v>
      </c>
      <c r="D1571" s="74">
        <v>289.79000000000002</v>
      </c>
    </row>
    <row r="1572" spans="1:4">
      <c r="A1572" t="s">
        <v>40</v>
      </c>
      <c r="B1572" s="73" t="s">
        <v>529</v>
      </c>
      <c r="C1572" s="74" t="s">
        <v>2064</v>
      </c>
      <c r="D1572" s="74">
        <v>199.99</v>
      </c>
    </row>
    <row r="1573" spans="1:4">
      <c r="A1573" t="s">
        <v>40</v>
      </c>
      <c r="B1573" s="73" t="s">
        <v>505</v>
      </c>
      <c r="C1573" s="74" t="s">
        <v>2065</v>
      </c>
      <c r="D1573" s="74">
        <v>59</v>
      </c>
    </row>
    <row r="1574" spans="1:4">
      <c r="A1574" t="s">
        <v>40</v>
      </c>
      <c r="B1574" s="73" t="s">
        <v>510</v>
      </c>
      <c r="C1574" s="74" t="s">
        <v>2066</v>
      </c>
      <c r="D1574" s="74">
        <v>241.99</v>
      </c>
    </row>
    <row r="1575" spans="1:4">
      <c r="A1575" t="s">
        <v>40</v>
      </c>
      <c r="B1575" s="73" t="s">
        <v>510</v>
      </c>
      <c r="C1575" s="74" t="s">
        <v>2067</v>
      </c>
      <c r="D1575" s="74">
        <v>402.95</v>
      </c>
    </row>
    <row r="1576" spans="1:4">
      <c r="A1576" t="s">
        <v>40</v>
      </c>
      <c r="B1576" s="73" t="s">
        <v>738</v>
      </c>
      <c r="C1576" s="74" t="s">
        <v>2068</v>
      </c>
      <c r="D1576" s="74">
        <v>429.99</v>
      </c>
    </row>
    <row r="1577" spans="1:4">
      <c r="A1577" t="s">
        <v>40</v>
      </c>
      <c r="B1577" s="73" t="s">
        <v>510</v>
      </c>
      <c r="C1577" s="74" t="s">
        <v>2069</v>
      </c>
      <c r="D1577" s="74">
        <v>959.99</v>
      </c>
    </row>
    <row r="1578" spans="1:4">
      <c r="A1578" t="s">
        <v>40</v>
      </c>
      <c r="B1578" s="73" t="s">
        <v>510</v>
      </c>
      <c r="C1578" s="74" t="s">
        <v>2070</v>
      </c>
      <c r="D1578" s="74">
        <v>394.99</v>
      </c>
    </row>
    <row r="1579" spans="1:4">
      <c r="A1579" t="s">
        <v>40</v>
      </c>
      <c r="B1579" s="73" t="s">
        <v>505</v>
      </c>
      <c r="C1579" s="74" t="s">
        <v>2071</v>
      </c>
      <c r="D1579" s="74">
        <v>239.89</v>
      </c>
    </row>
    <row r="1580" spans="1:4">
      <c r="A1580" t="s">
        <v>40</v>
      </c>
      <c r="B1580" s="73" t="s">
        <v>510</v>
      </c>
      <c r="C1580" s="74" t="s">
        <v>2072</v>
      </c>
      <c r="D1580" s="74">
        <v>599</v>
      </c>
    </row>
    <row r="1581" spans="1:4">
      <c r="A1581" t="s">
        <v>40</v>
      </c>
      <c r="B1581" s="73" t="s">
        <v>510</v>
      </c>
      <c r="C1581" s="74" t="s">
        <v>2073</v>
      </c>
      <c r="D1581" s="74">
        <v>904.59</v>
      </c>
    </row>
    <row r="1582" spans="1:4">
      <c r="A1582" t="s">
        <v>40</v>
      </c>
      <c r="B1582" s="73" t="s">
        <v>505</v>
      </c>
      <c r="C1582" s="74" t="s">
        <v>2074</v>
      </c>
      <c r="D1582" s="74">
        <v>76.89</v>
      </c>
    </row>
    <row r="1583" spans="1:4">
      <c r="A1583" t="s">
        <v>40</v>
      </c>
      <c r="B1583" s="73" t="s">
        <v>505</v>
      </c>
      <c r="C1583" s="74" t="s">
        <v>2075</v>
      </c>
      <c r="D1583" s="74">
        <v>189.99</v>
      </c>
    </row>
    <row r="1584" spans="1:4">
      <c r="A1584" t="s">
        <v>40</v>
      </c>
      <c r="B1584" s="73" t="s">
        <v>505</v>
      </c>
      <c r="C1584" s="74" t="s">
        <v>2076</v>
      </c>
      <c r="D1584" s="74">
        <v>174.99</v>
      </c>
    </row>
    <row r="1585" spans="1:4">
      <c r="A1585" t="s">
        <v>40</v>
      </c>
      <c r="B1585" s="73" t="s">
        <v>510</v>
      </c>
      <c r="C1585" s="74" t="s">
        <v>2077</v>
      </c>
      <c r="D1585" s="74">
        <v>255.95</v>
      </c>
    </row>
    <row r="1586" spans="1:4">
      <c r="A1586" t="s">
        <v>40</v>
      </c>
      <c r="B1586" s="73" t="s">
        <v>505</v>
      </c>
      <c r="C1586" s="74" t="s">
        <v>2078</v>
      </c>
      <c r="D1586" s="74">
        <v>329.97</v>
      </c>
    </row>
    <row r="1587" spans="1:4">
      <c r="A1587" t="s">
        <v>40</v>
      </c>
      <c r="B1587" s="73" t="s">
        <v>510</v>
      </c>
      <c r="C1587" s="74" t="s">
        <v>2079</v>
      </c>
      <c r="D1587" s="74">
        <v>199.99</v>
      </c>
    </row>
    <row r="1588" spans="1:4">
      <c r="A1588" t="s">
        <v>40</v>
      </c>
      <c r="B1588" s="73" t="s">
        <v>505</v>
      </c>
      <c r="C1588" s="74" t="s">
        <v>2080</v>
      </c>
      <c r="D1588" s="74">
        <v>475</v>
      </c>
    </row>
    <row r="1589" spans="1:4">
      <c r="A1589" t="s">
        <v>40</v>
      </c>
      <c r="B1589" s="73" t="s">
        <v>569</v>
      </c>
      <c r="C1589" s="74" t="s">
        <v>2081</v>
      </c>
      <c r="D1589" s="74">
        <v>264.99</v>
      </c>
    </row>
    <row r="1590" spans="1:4">
      <c r="A1590" t="s">
        <v>40</v>
      </c>
      <c r="B1590" s="73" t="s">
        <v>510</v>
      </c>
      <c r="C1590" s="74" t="s">
        <v>2082</v>
      </c>
      <c r="D1590" s="74">
        <v>239.95</v>
      </c>
    </row>
    <row r="1591" spans="1:4">
      <c r="A1591" t="s">
        <v>40</v>
      </c>
      <c r="B1591" s="73" t="s">
        <v>505</v>
      </c>
      <c r="C1591" s="74" t="s">
        <v>2083</v>
      </c>
      <c r="D1591" s="74">
        <v>354.99</v>
      </c>
    </row>
    <row r="1592" spans="1:4">
      <c r="A1592" t="s">
        <v>40</v>
      </c>
      <c r="B1592" s="73" t="s">
        <v>505</v>
      </c>
      <c r="C1592" s="74" t="s">
        <v>2084</v>
      </c>
      <c r="D1592" s="74">
        <v>306.97000000000003</v>
      </c>
    </row>
    <row r="1593" spans="1:4">
      <c r="A1593" t="s">
        <v>40</v>
      </c>
      <c r="B1593" s="73" t="s">
        <v>510</v>
      </c>
      <c r="C1593" s="74" t="s">
        <v>2085</v>
      </c>
      <c r="D1593" s="74">
        <v>288.99</v>
      </c>
    </row>
    <row r="1594" spans="1:4">
      <c r="A1594" t="s">
        <v>40</v>
      </c>
      <c r="B1594" s="73" t="s">
        <v>510</v>
      </c>
      <c r="C1594" s="74" t="s">
        <v>2086</v>
      </c>
      <c r="D1594" s="74">
        <v>199.29</v>
      </c>
    </row>
    <row r="1595" spans="1:4">
      <c r="A1595" t="s">
        <v>40</v>
      </c>
      <c r="B1595" s="73" t="s">
        <v>510</v>
      </c>
      <c r="C1595" s="74" t="s">
        <v>2087</v>
      </c>
      <c r="D1595" s="74">
        <v>339.99</v>
      </c>
    </row>
    <row r="1596" spans="1:4" ht="21">
      <c r="A1596" t="s">
        <v>40</v>
      </c>
      <c r="B1596" s="73" t="s">
        <v>505</v>
      </c>
      <c r="C1596" s="74" t="s">
        <v>2088</v>
      </c>
      <c r="D1596" s="74">
        <v>78.989999999999995</v>
      </c>
    </row>
    <row r="1597" spans="1:4">
      <c r="A1597" t="s">
        <v>40</v>
      </c>
      <c r="B1597" s="73" t="s">
        <v>510</v>
      </c>
      <c r="C1597" s="74" t="s">
        <v>2089</v>
      </c>
      <c r="D1597" s="74">
        <v>1494.79</v>
      </c>
    </row>
    <row r="1598" spans="1:4">
      <c r="A1598" t="s">
        <v>40</v>
      </c>
      <c r="B1598" s="73" t="s">
        <v>505</v>
      </c>
      <c r="C1598" s="74" t="s">
        <v>2090</v>
      </c>
      <c r="D1598" s="74">
        <v>129.99</v>
      </c>
    </row>
    <row r="1599" spans="1:4">
      <c r="A1599" t="s">
        <v>40</v>
      </c>
      <c r="B1599" s="73" t="s">
        <v>523</v>
      </c>
      <c r="C1599" s="74" t="s">
        <v>2091</v>
      </c>
      <c r="D1599" s="74">
        <v>139.99</v>
      </c>
    </row>
    <row r="1600" spans="1:4">
      <c r="A1600" t="s">
        <v>40</v>
      </c>
      <c r="B1600" s="73" t="s">
        <v>505</v>
      </c>
      <c r="C1600" s="74" t="s">
        <v>602</v>
      </c>
      <c r="D1600" s="74">
        <v>329.99</v>
      </c>
    </row>
    <row r="1601" spans="1:4">
      <c r="A1601" t="s">
        <v>40</v>
      </c>
      <c r="B1601" s="73" t="s">
        <v>505</v>
      </c>
      <c r="C1601" s="74" t="s">
        <v>2092</v>
      </c>
      <c r="D1601" s="74">
        <v>139.99</v>
      </c>
    </row>
    <row r="1602" spans="1:4">
      <c r="A1602" t="s">
        <v>40</v>
      </c>
      <c r="B1602" s="73" t="s">
        <v>839</v>
      </c>
      <c r="C1602" s="74" t="s">
        <v>2093</v>
      </c>
      <c r="D1602" s="74">
        <v>139.99</v>
      </c>
    </row>
    <row r="1603" spans="1:4">
      <c r="A1603" t="s">
        <v>40</v>
      </c>
      <c r="B1603" s="73" t="s">
        <v>510</v>
      </c>
      <c r="C1603" s="74" t="s">
        <v>2094</v>
      </c>
      <c r="D1603" s="74">
        <v>259</v>
      </c>
    </row>
    <row r="1604" spans="1:4">
      <c r="A1604" t="s">
        <v>40</v>
      </c>
      <c r="B1604" s="73" t="s">
        <v>510</v>
      </c>
      <c r="C1604" s="74" t="s">
        <v>2095</v>
      </c>
      <c r="D1604" s="74">
        <v>549.99</v>
      </c>
    </row>
    <row r="1605" spans="1:4">
      <c r="A1605" t="s">
        <v>40</v>
      </c>
      <c r="B1605" s="73" t="s">
        <v>510</v>
      </c>
      <c r="C1605" s="74" t="s">
        <v>2096</v>
      </c>
      <c r="D1605" s="74">
        <v>369.99</v>
      </c>
    </row>
    <row r="1606" spans="1:4">
      <c r="A1606" t="s">
        <v>40</v>
      </c>
      <c r="B1606" s="73" t="s">
        <v>529</v>
      </c>
      <c r="C1606" s="74" t="s">
        <v>2097</v>
      </c>
      <c r="D1606" s="74">
        <v>44.95</v>
      </c>
    </row>
    <row r="1607" spans="1:4">
      <c r="A1607" t="s">
        <v>40</v>
      </c>
      <c r="B1607" s="73" t="s">
        <v>510</v>
      </c>
      <c r="C1607" s="74" t="s">
        <v>2098</v>
      </c>
      <c r="D1607" s="74">
        <v>519.99</v>
      </c>
    </row>
    <row r="1608" spans="1:4">
      <c r="A1608" t="s">
        <v>40</v>
      </c>
      <c r="B1608" s="73" t="s">
        <v>523</v>
      </c>
      <c r="C1608" s="74" t="s">
        <v>2099</v>
      </c>
      <c r="D1608" s="74">
        <v>119.99</v>
      </c>
    </row>
    <row r="1609" spans="1:4">
      <c r="A1609" t="s">
        <v>40</v>
      </c>
      <c r="B1609" s="73" t="s">
        <v>510</v>
      </c>
      <c r="C1609" s="74" t="s">
        <v>2100</v>
      </c>
      <c r="D1609" s="74">
        <v>348.99</v>
      </c>
    </row>
    <row r="1610" spans="1:4">
      <c r="A1610" t="s">
        <v>40</v>
      </c>
      <c r="B1610" s="73" t="s">
        <v>505</v>
      </c>
      <c r="C1610" s="74" t="s">
        <v>2101</v>
      </c>
      <c r="D1610" s="74">
        <v>194.99</v>
      </c>
    </row>
    <row r="1611" spans="1:4" ht="21">
      <c r="A1611" t="s">
        <v>40</v>
      </c>
      <c r="B1611" s="73" t="s">
        <v>507</v>
      </c>
      <c r="C1611" s="75" t="s">
        <v>2102</v>
      </c>
      <c r="D1611" s="74">
        <v>94.99</v>
      </c>
    </row>
    <row r="1612" spans="1:4">
      <c r="A1612" t="s">
        <v>40</v>
      </c>
      <c r="B1612" s="73" t="s">
        <v>505</v>
      </c>
      <c r="C1612" s="74" t="s">
        <v>2103</v>
      </c>
      <c r="D1612" s="74">
        <v>309.99</v>
      </c>
    </row>
    <row r="1613" spans="1:4">
      <c r="A1613" t="s">
        <v>40</v>
      </c>
      <c r="B1613" s="73" t="s">
        <v>510</v>
      </c>
      <c r="C1613" s="74" t="s">
        <v>2104</v>
      </c>
      <c r="D1613" s="74">
        <v>220</v>
      </c>
    </row>
    <row r="1614" spans="1:4">
      <c r="A1614" t="s">
        <v>40</v>
      </c>
      <c r="B1614" s="73" t="s">
        <v>505</v>
      </c>
      <c r="C1614" s="74" t="s">
        <v>2105</v>
      </c>
      <c r="D1614" s="74">
        <v>349.95</v>
      </c>
    </row>
    <row r="1615" spans="1:4">
      <c r="A1615" t="s">
        <v>40</v>
      </c>
      <c r="B1615" s="73" t="s">
        <v>579</v>
      </c>
      <c r="C1615" s="74" t="s">
        <v>2106</v>
      </c>
      <c r="D1615" s="74">
        <v>576</v>
      </c>
    </row>
    <row r="1616" spans="1:4">
      <c r="A1616" t="s">
        <v>40</v>
      </c>
      <c r="B1616" s="73" t="s">
        <v>505</v>
      </c>
      <c r="C1616" s="74" t="s">
        <v>2107</v>
      </c>
      <c r="D1616" s="74">
        <v>309.95</v>
      </c>
    </row>
    <row r="1617" spans="1:4">
      <c r="A1617" t="s">
        <v>40</v>
      </c>
      <c r="B1617" s="73" t="s">
        <v>546</v>
      </c>
      <c r="C1617" s="74" t="s">
        <v>2108</v>
      </c>
      <c r="D1617" s="74">
        <v>24.95</v>
      </c>
    </row>
    <row r="1618" spans="1:4">
      <c r="A1618" t="s">
        <v>40</v>
      </c>
      <c r="B1618" s="73" t="s">
        <v>510</v>
      </c>
      <c r="C1618" s="74" t="s">
        <v>2109</v>
      </c>
      <c r="D1618" s="74">
        <v>452</v>
      </c>
    </row>
    <row r="1619" spans="1:4">
      <c r="A1619" t="s">
        <v>40</v>
      </c>
      <c r="B1619" s="73" t="s">
        <v>505</v>
      </c>
      <c r="C1619" s="74" t="s">
        <v>2110</v>
      </c>
      <c r="D1619" s="74">
        <v>679.69</v>
      </c>
    </row>
    <row r="1620" spans="1:4">
      <c r="A1620" t="s">
        <v>40</v>
      </c>
      <c r="B1620" s="73" t="s">
        <v>510</v>
      </c>
      <c r="C1620" s="74" t="s">
        <v>2111</v>
      </c>
      <c r="D1620" s="74">
        <v>179.99</v>
      </c>
    </row>
    <row r="1621" spans="1:4">
      <c r="A1621" t="s">
        <v>40</v>
      </c>
      <c r="B1621" s="73" t="s">
        <v>810</v>
      </c>
      <c r="C1621" s="74" t="s">
        <v>2112</v>
      </c>
      <c r="D1621" s="74">
        <v>74.989999999999995</v>
      </c>
    </row>
    <row r="1622" spans="1:4" ht="21">
      <c r="A1622" t="s">
        <v>40</v>
      </c>
      <c r="B1622" s="73" t="s">
        <v>505</v>
      </c>
      <c r="C1622" s="75" t="s">
        <v>2113</v>
      </c>
      <c r="D1622" s="74">
        <v>99.99</v>
      </c>
    </row>
    <row r="1623" spans="1:4">
      <c r="A1623" t="s">
        <v>40</v>
      </c>
      <c r="B1623" s="73" t="s">
        <v>510</v>
      </c>
      <c r="C1623" s="74" t="s">
        <v>2114</v>
      </c>
      <c r="D1623" s="74">
        <v>111.99</v>
      </c>
    </row>
    <row r="1624" spans="1:4">
      <c r="A1624" t="s">
        <v>40</v>
      </c>
      <c r="B1624" s="73" t="s">
        <v>505</v>
      </c>
      <c r="C1624" s="74" t="s">
        <v>2115</v>
      </c>
      <c r="D1624" s="74">
        <v>359</v>
      </c>
    </row>
    <row r="1625" spans="1:4">
      <c r="A1625" t="s">
        <v>40</v>
      </c>
      <c r="B1625" s="73" t="s">
        <v>505</v>
      </c>
      <c r="C1625" s="74" t="s">
        <v>2116</v>
      </c>
      <c r="D1625" s="74">
        <v>219.95</v>
      </c>
    </row>
    <row r="1626" spans="1:4">
      <c r="A1626" t="s">
        <v>40</v>
      </c>
      <c r="B1626" s="73" t="s">
        <v>510</v>
      </c>
      <c r="C1626" s="74" t="s">
        <v>2117</v>
      </c>
      <c r="D1626" s="74">
        <v>179.99</v>
      </c>
    </row>
    <row r="1627" spans="1:4">
      <c r="A1627" t="s">
        <v>40</v>
      </c>
      <c r="B1627" s="73" t="s">
        <v>505</v>
      </c>
      <c r="C1627" s="74" t="s">
        <v>2118</v>
      </c>
      <c r="D1627" s="74">
        <v>77.989999999999995</v>
      </c>
    </row>
    <row r="1628" spans="1:4">
      <c r="A1628" t="s">
        <v>40</v>
      </c>
      <c r="B1628" s="73" t="s">
        <v>510</v>
      </c>
      <c r="C1628" s="74" t="s">
        <v>2119</v>
      </c>
      <c r="D1628" s="74">
        <v>984.49</v>
      </c>
    </row>
    <row r="1629" spans="1:4">
      <c r="A1629" t="s">
        <v>40</v>
      </c>
      <c r="B1629" s="73" t="s">
        <v>738</v>
      </c>
      <c r="C1629" s="74" t="s">
        <v>2120</v>
      </c>
      <c r="D1629" s="74">
        <v>139</v>
      </c>
    </row>
    <row r="1630" spans="1:4">
      <c r="A1630" t="s">
        <v>40</v>
      </c>
      <c r="B1630" s="73" t="s">
        <v>505</v>
      </c>
      <c r="C1630" s="74" t="s">
        <v>2121</v>
      </c>
      <c r="D1630" s="74">
        <v>179.95</v>
      </c>
    </row>
    <row r="1631" spans="1:4">
      <c r="A1631" t="s">
        <v>40</v>
      </c>
      <c r="B1631" s="73" t="s">
        <v>510</v>
      </c>
      <c r="C1631" s="74" t="s">
        <v>2122</v>
      </c>
      <c r="D1631" s="74">
        <v>585.99</v>
      </c>
    </row>
    <row r="1632" spans="1:4">
      <c r="A1632" t="s">
        <v>40</v>
      </c>
      <c r="B1632" s="73" t="s">
        <v>510</v>
      </c>
      <c r="C1632" s="74" t="s">
        <v>2123</v>
      </c>
      <c r="D1632" s="74">
        <v>799.99</v>
      </c>
    </row>
    <row r="1633" spans="1:4">
      <c r="A1633" t="s">
        <v>40</v>
      </c>
      <c r="B1633" s="73" t="s">
        <v>505</v>
      </c>
      <c r="C1633" s="74" t="s">
        <v>2124</v>
      </c>
      <c r="D1633" s="74">
        <v>319.99</v>
      </c>
    </row>
    <row r="1634" spans="1:4">
      <c r="A1634" t="s">
        <v>40</v>
      </c>
      <c r="B1634" s="73" t="s">
        <v>505</v>
      </c>
      <c r="C1634" s="74" t="s">
        <v>2125</v>
      </c>
      <c r="D1634" s="74">
        <v>959.79</v>
      </c>
    </row>
    <row r="1635" spans="1:4">
      <c r="A1635" t="s">
        <v>40</v>
      </c>
      <c r="B1635" s="73" t="s">
        <v>505</v>
      </c>
      <c r="C1635" s="74" t="s">
        <v>2126</v>
      </c>
      <c r="D1635" s="74">
        <v>404.69</v>
      </c>
    </row>
    <row r="1636" spans="1:4">
      <c r="A1636" t="s">
        <v>40</v>
      </c>
      <c r="B1636" s="73" t="s">
        <v>510</v>
      </c>
      <c r="C1636" s="74" t="s">
        <v>2127</v>
      </c>
      <c r="D1636" s="74">
        <v>64.989999999999995</v>
      </c>
    </row>
    <row r="1637" spans="1:4">
      <c r="A1637" t="s">
        <v>40</v>
      </c>
      <c r="B1637" s="73" t="s">
        <v>510</v>
      </c>
      <c r="C1637" s="74" t="s">
        <v>2128</v>
      </c>
      <c r="D1637" s="74">
        <v>179.99</v>
      </c>
    </row>
    <row r="1638" spans="1:4">
      <c r="A1638" t="s">
        <v>40</v>
      </c>
      <c r="B1638" s="73" t="s">
        <v>505</v>
      </c>
      <c r="C1638" s="74" t="s">
        <v>2129</v>
      </c>
      <c r="D1638" s="74">
        <v>281.95</v>
      </c>
    </row>
    <row r="1639" spans="1:4">
      <c r="A1639" t="s">
        <v>40</v>
      </c>
      <c r="B1639" s="73" t="s">
        <v>510</v>
      </c>
      <c r="C1639" s="74" t="s">
        <v>2130</v>
      </c>
      <c r="D1639" s="74">
        <v>179.95</v>
      </c>
    </row>
    <row r="1640" spans="1:4">
      <c r="A1640" t="s">
        <v>40</v>
      </c>
      <c r="B1640" s="73" t="s">
        <v>510</v>
      </c>
      <c r="C1640" s="74" t="s">
        <v>2131</v>
      </c>
      <c r="D1640" s="74">
        <v>294.99</v>
      </c>
    </row>
    <row r="1641" spans="1:4">
      <c r="A1641" t="s">
        <v>40</v>
      </c>
      <c r="B1641" s="73" t="s">
        <v>523</v>
      </c>
      <c r="C1641" s="74" t="s">
        <v>2132</v>
      </c>
      <c r="D1641" s="74">
        <v>169</v>
      </c>
    </row>
    <row r="1642" spans="1:4">
      <c r="A1642" t="s">
        <v>40</v>
      </c>
      <c r="B1642" s="73" t="s">
        <v>510</v>
      </c>
      <c r="C1642" s="74" t="s">
        <v>2133</v>
      </c>
      <c r="D1642" s="74">
        <v>519.99</v>
      </c>
    </row>
    <row r="1643" spans="1:4">
      <c r="A1643" t="s">
        <v>40</v>
      </c>
      <c r="B1643" s="73" t="s">
        <v>505</v>
      </c>
      <c r="C1643" s="74" t="s">
        <v>2134</v>
      </c>
      <c r="D1643" s="74">
        <v>179.99</v>
      </c>
    </row>
    <row r="1644" spans="1:4">
      <c r="A1644" t="s">
        <v>40</v>
      </c>
      <c r="B1644" s="73" t="s">
        <v>505</v>
      </c>
      <c r="C1644" s="74" t="s">
        <v>1515</v>
      </c>
      <c r="D1644" s="74">
        <v>329.99</v>
      </c>
    </row>
    <row r="1645" spans="1:4">
      <c r="A1645" t="s">
        <v>40</v>
      </c>
      <c r="B1645" s="73" t="s">
        <v>505</v>
      </c>
      <c r="C1645" s="74" t="s">
        <v>2135</v>
      </c>
      <c r="D1645" s="74">
        <v>79.989999999999995</v>
      </c>
    </row>
    <row r="1646" spans="1:4">
      <c r="A1646" t="s">
        <v>40</v>
      </c>
      <c r="B1646" s="73" t="s">
        <v>510</v>
      </c>
      <c r="C1646" s="74" t="s">
        <v>2136</v>
      </c>
      <c r="D1646" s="74">
        <v>219.99</v>
      </c>
    </row>
    <row r="1647" spans="1:4">
      <c r="A1647" t="s">
        <v>40</v>
      </c>
      <c r="B1647" s="73" t="s">
        <v>510</v>
      </c>
      <c r="C1647" s="74" t="s">
        <v>2137</v>
      </c>
      <c r="D1647" s="74">
        <v>515</v>
      </c>
    </row>
    <row r="1648" spans="1:4" ht="21">
      <c r="A1648" t="s">
        <v>40</v>
      </c>
      <c r="B1648" s="73" t="s">
        <v>505</v>
      </c>
      <c r="C1648" s="74" t="s">
        <v>508</v>
      </c>
      <c r="D1648" s="74">
        <v>76.989999999999995</v>
      </c>
    </row>
    <row r="1649" spans="1:4">
      <c r="A1649" t="s">
        <v>40</v>
      </c>
      <c r="B1649" s="73" t="s">
        <v>505</v>
      </c>
      <c r="C1649" s="74" t="s">
        <v>2138</v>
      </c>
      <c r="D1649" s="74">
        <v>529.99</v>
      </c>
    </row>
    <row r="1650" spans="1:4">
      <c r="A1650" t="s">
        <v>40</v>
      </c>
      <c r="B1650" s="73" t="s">
        <v>510</v>
      </c>
      <c r="C1650" s="74" t="s">
        <v>2139</v>
      </c>
      <c r="D1650" s="74">
        <v>729.99</v>
      </c>
    </row>
    <row r="1651" spans="1:4">
      <c r="A1651" t="s">
        <v>40</v>
      </c>
      <c r="B1651" s="73" t="s">
        <v>505</v>
      </c>
      <c r="C1651" s="74" t="s">
        <v>2140</v>
      </c>
      <c r="D1651" s="74">
        <v>84.95</v>
      </c>
    </row>
    <row r="1652" spans="1:4">
      <c r="A1652" t="s">
        <v>40</v>
      </c>
      <c r="B1652" s="73" t="s">
        <v>505</v>
      </c>
      <c r="C1652" s="74" t="s">
        <v>2141</v>
      </c>
      <c r="D1652" s="74">
        <v>131.97999999999999</v>
      </c>
    </row>
    <row r="1653" spans="1:4">
      <c r="A1653" t="s">
        <v>40</v>
      </c>
      <c r="B1653" s="73" t="s">
        <v>505</v>
      </c>
      <c r="C1653" s="74" t="s">
        <v>2142</v>
      </c>
      <c r="D1653" s="74">
        <v>80</v>
      </c>
    </row>
    <row r="1654" spans="1:4">
      <c r="A1654" t="s">
        <v>40</v>
      </c>
      <c r="B1654" s="73" t="s">
        <v>995</v>
      </c>
      <c r="C1654" s="74" t="s">
        <v>2143</v>
      </c>
      <c r="D1654" s="74">
        <v>47.29</v>
      </c>
    </row>
    <row r="1655" spans="1:4">
      <c r="A1655" t="s">
        <v>40</v>
      </c>
      <c r="B1655" s="73" t="s">
        <v>510</v>
      </c>
      <c r="C1655" s="74" t="s">
        <v>2144</v>
      </c>
      <c r="D1655" s="74">
        <v>289.99</v>
      </c>
    </row>
    <row r="1656" spans="1:4">
      <c r="A1656" t="s">
        <v>40</v>
      </c>
      <c r="B1656" s="73" t="s">
        <v>510</v>
      </c>
      <c r="C1656" s="74" t="s">
        <v>2145</v>
      </c>
      <c r="D1656" s="74">
        <v>584.99</v>
      </c>
    </row>
    <row r="1657" spans="1:4">
      <c r="A1657" t="s">
        <v>40</v>
      </c>
      <c r="B1657" s="73" t="s">
        <v>510</v>
      </c>
      <c r="C1657" s="74" t="s">
        <v>2146</v>
      </c>
      <c r="D1657" s="74">
        <v>119.99</v>
      </c>
    </row>
    <row r="1658" spans="1:4">
      <c r="A1658" t="s">
        <v>40</v>
      </c>
      <c r="B1658" s="73" t="s">
        <v>505</v>
      </c>
      <c r="C1658" s="74" t="s">
        <v>2147</v>
      </c>
      <c r="D1658" s="74">
        <v>119.99</v>
      </c>
    </row>
    <row r="1659" spans="1:4">
      <c r="A1659" t="s">
        <v>40</v>
      </c>
      <c r="B1659" s="73" t="s">
        <v>810</v>
      </c>
      <c r="C1659" s="74" t="s">
        <v>2148</v>
      </c>
      <c r="D1659" s="74">
        <v>169.99</v>
      </c>
    </row>
    <row r="1660" spans="1:4">
      <c r="A1660" t="s">
        <v>40</v>
      </c>
      <c r="B1660" s="73" t="s">
        <v>569</v>
      </c>
      <c r="C1660" s="74" t="s">
        <v>1105</v>
      </c>
      <c r="D1660" s="74">
        <v>82.59</v>
      </c>
    </row>
    <row r="1661" spans="1:4">
      <c r="A1661" t="s">
        <v>40</v>
      </c>
      <c r="B1661" s="73" t="s">
        <v>505</v>
      </c>
      <c r="C1661" s="74" t="s">
        <v>2149</v>
      </c>
      <c r="D1661" s="74">
        <v>119.99</v>
      </c>
    </row>
    <row r="1662" spans="1:4">
      <c r="A1662" t="s">
        <v>40</v>
      </c>
      <c r="B1662" s="73" t="s">
        <v>510</v>
      </c>
      <c r="C1662" s="74" t="s">
        <v>2150</v>
      </c>
      <c r="D1662" s="74">
        <v>165.99</v>
      </c>
    </row>
    <row r="1663" spans="1:4">
      <c r="A1663" t="s">
        <v>40</v>
      </c>
      <c r="B1663" s="73" t="s">
        <v>505</v>
      </c>
      <c r="C1663" s="74" t="s">
        <v>2151</v>
      </c>
      <c r="D1663" s="74">
        <v>306.97000000000003</v>
      </c>
    </row>
    <row r="1664" spans="1:4">
      <c r="A1664" t="s">
        <v>40</v>
      </c>
      <c r="B1664" s="73" t="s">
        <v>505</v>
      </c>
      <c r="C1664" s="74" t="s">
        <v>2152</v>
      </c>
      <c r="D1664" s="74">
        <v>349.69</v>
      </c>
    </row>
    <row r="1665" spans="1:4">
      <c r="A1665" t="s">
        <v>40</v>
      </c>
      <c r="B1665" s="73" t="s">
        <v>510</v>
      </c>
      <c r="C1665" s="74" t="s">
        <v>2153</v>
      </c>
      <c r="D1665" s="74">
        <v>309.99</v>
      </c>
    </row>
    <row r="1666" spans="1:4">
      <c r="A1666" t="s">
        <v>40</v>
      </c>
      <c r="B1666" s="73" t="s">
        <v>505</v>
      </c>
      <c r="C1666" s="74" t="s">
        <v>2154</v>
      </c>
      <c r="D1666" s="74">
        <v>109.99</v>
      </c>
    </row>
    <row r="1667" spans="1:4">
      <c r="A1667" t="s">
        <v>40</v>
      </c>
      <c r="B1667" s="73" t="s">
        <v>505</v>
      </c>
      <c r="C1667" s="74" t="s">
        <v>2034</v>
      </c>
      <c r="D1667" s="74">
        <v>64.989999999999995</v>
      </c>
    </row>
    <row r="1668" spans="1:4">
      <c r="A1668" t="s">
        <v>40</v>
      </c>
      <c r="B1668" s="73" t="s">
        <v>505</v>
      </c>
      <c r="C1668" s="74" t="s">
        <v>2125</v>
      </c>
      <c r="D1668" s="74">
        <v>959.79</v>
      </c>
    </row>
    <row r="1669" spans="1:4">
      <c r="A1669" t="s">
        <v>40</v>
      </c>
      <c r="B1669" s="73" t="s">
        <v>505</v>
      </c>
      <c r="C1669" s="74" t="s">
        <v>2155</v>
      </c>
      <c r="D1669" s="74">
        <v>171.98</v>
      </c>
    </row>
    <row r="1670" spans="1:4">
      <c r="A1670" t="s">
        <v>40</v>
      </c>
      <c r="B1670" s="73" t="s">
        <v>510</v>
      </c>
      <c r="C1670" s="74" t="s">
        <v>2156</v>
      </c>
      <c r="D1670" s="74">
        <v>431.97</v>
      </c>
    </row>
    <row r="1671" spans="1:4">
      <c r="A1671" t="s">
        <v>40</v>
      </c>
      <c r="B1671" s="73" t="s">
        <v>561</v>
      </c>
      <c r="C1671" s="74" t="s">
        <v>2157</v>
      </c>
      <c r="D1671" s="74">
        <v>144.99</v>
      </c>
    </row>
    <row r="1672" spans="1:4">
      <c r="A1672" t="s">
        <v>40</v>
      </c>
      <c r="B1672" s="73" t="s">
        <v>569</v>
      </c>
      <c r="C1672" s="74" t="s">
        <v>2158</v>
      </c>
      <c r="D1672" s="74">
        <v>30</v>
      </c>
    </row>
    <row r="1673" spans="1:4">
      <c r="A1673" t="s">
        <v>40</v>
      </c>
      <c r="B1673" s="73" t="s">
        <v>510</v>
      </c>
      <c r="C1673" s="74" t="s">
        <v>2159</v>
      </c>
      <c r="D1673" s="74">
        <v>314.99</v>
      </c>
    </row>
    <row r="1674" spans="1:4">
      <c r="A1674" t="s">
        <v>40</v>
      </c>
      <c r="B1674" s="73" t="s">
        <v>523</v>
      </c>
      <c r="C1674" s="74" t="s">
        <v>2160</v>
      </c>
      <c r="D1674" s="74">
        <v>139.99</v>
      </c>
    </row>
    <row r="1675" spans="1:4">
      <c r="A1675" t="s">
        <v>40</v>
      </c>
      <c r="B1675" s="73" t="s">
        <v>523</v>
      </c>
      <c r="C1675" s="74" t="s">
        <v>2161</v>
      </c>
      <c r="D1675" s="74">
        <v>275</v>
      </c>
    </row>
    <row r="1676" spans="1:4">
      <c r="A1676" t="s">
        <v>40</v>
      </c>
      <c r="B1676" s="73" t="s">
        <v>579</v>
      </c>
      <c r="C1676" s="74" t="s">
        <v>2162</v>
      </c>
      <c r="D1676" s="74">
        <v>519</v>
      </c>
    </row>
    <row r="1677" spans="1:4">
      <c r="A1677" t="s">
        <v>40</v>
      </c>
      <c r="B1677" s="73" t="s">
        <v>510</v>
      </c>
      <c r="C1677" s="74" t="s">
        <v>2163</v>
      </c>
      <c r="D1677" s="74">
        <v>217.95</v>
      </c>
    </row>
    <row r="1678" spans="1:4">
      <c r="A1678" t="s">
        <v>40</v>
      </c>
      <c r="B1678" s="73" t="s">
        <v>505</v>
      </c>
      <c r="C1678" s="74" t="s">
        <v>2164</v>
      </c>
      <c r="D1678" s="74">
        <v>331.98</v>
      </c>
    </row>
    <row r="1679" spans="1:4">
      <c r="A1679" t="s">
        <v>40</v>
      </c>
      <c r="B1679" s="73" t="s">
        <v>569</v>
      </c>
      <c r="C1679" s="74" t="s">
        <v>2165</v>
      </c>
      <c r="D1679" s="74">
        <v>70</v>
      </c>
    </row>
    <row r="1680" spans="1:4">
      <c r="A1680" t="s">
        <v>40</v>
      </c>
      <c r="B1680" s="73" t="s">
        <v>510</v>
      </c>
      <c r="C1680" s="74" t="s">
        <v>2166</v>
      </c>
      <c r="D1680" s="74">
        <v>319</v>
      </c>
    </row>
    <row r="1681" spans="1:4">
      <c r="A1681" t="s">
        <v>40</v>
      </c>
      <c r="B1681" s="73" t="s">
        <v>505</v>
      </c>
      <c r="C1681" s="74" t="s">
        <v>2167</v>
      </c>
      <c r="D1681" s="74">
        <v>249</v>
      </c>
    </row>
    <row r="1682" spans="1:4">
      <c r="A1682" t="s">
        <v>40</v>
      </c>
      <c r="B1682" s="73" t="s">
        <v>510</v>
      </c>
      <c r="C1682" s="74" t="s">
        <v>2168</v>
      </c>
      <c r="D1682" s="74">
        <v>484.99</v>
      </c>
    </row>
    <row r="1683" spans="1:4">
      <c r="A1683" t="s">
        <v>40</v>
      </c>
      <c r="B1683" s="73" t="s">
        <v>523</v>
      </c>
      <c r="C1683" s="74" t="s">
        <v>2169</v>
      </c>
      <c r="D1683" s="74">
        <v>129.99</v>
      </c>
    </row>
    <row r="1684" spans="1:4">
      <c r="A1684" t="s">
        <v>40</v>
      </c>
      <c r="B1684" s="73" t="s">
        <v>510</v>
      </c>
      <c r="C1684" s="74" t="s">
        <v>2170</v>
      </c>
      <c r="D1684" s="74">
        <v>174.47</v>
      </c>
    </row>
    <row r="1685" spans="1:4">
      <c r="A1685" t="s">
        <v>40</v>
      </c>
      <c r="B1685" s="73" t="s">
        <v>510</v>
      </c>
      <c r="C1685" s="74" t="s">
        <v>2171</v>
      </c>
      <c r="D1685" s="74">
        <v>248.99</v>
      </c>
    </row>
    <row r="1686" spans="1:4">
      <c r="A1686" t="s">
        <v>40</v>
      </c>
      <c r="B1686" s="73" t="s">
        <v>510</v>
      </c>
      <c r="C1686" s="74" t="s">
        <v>2172</v>
      </c>
      <c r="D1686" s="74">
        <v>269.69</v>
      </c>
    </row>
    <row r="1687" spans="1:4">
      <c r="A1687" t="s">
        <v>40</v>
      </c>
      <c r="B1687" s="73" t="s">
        <v>505</v>
      </c>
      <c r="C1687" s="74" t="s">
        <v>2173</v>
      </c>
      <c r="D1687" s="74">
        <v>949.69</v>
      </c>
    </row>
    <row r="1688" spans="1:4">
      <c r="A1688" t="s">
        <v>40</v>
      </c>
      <c r="B1688" s="73" t="s">
        <v>510</v>
      </c>
      <c r="C1688" s="74" t="s">
        <v>2174</v>
      </c>
      <c r="D1688" s="74">
        <v>410</v>
      </c>
    </row>
    <row r="1689" spans="1:4">
      <c r="A1689" t="s">
        <v>40</v>
      </c>
      <c r="B1689" s="73" t="s">
        <v>505</v>
      </c>
      <c r="C1689" s="74" t="s">
        <v>2175</v>
      </c>
      <c r="D1689" s="74">
        <v>75</v>
      </c>
    </row>
    <row r="1690" spans="1:4">
      <c r="A1690" t="s">
        <v>40</v>
      </c>
      <c r="B1690" s="73" t="s">
        <v>510</v>
      </c>
      <c r="C1690" s="74" t="s">
        <v>2176</v>
      </c>
      <c r="D1690" s="74">
        <v>214.99</v>
      </c>
    </row>
    <row r="1691" spans="1:4">
      <c r="A1691" t="s">
        <v>40</v>
      </c>
      <c r="B1691" s="73" t="s">
        <v>510</v>
      </c>
      <c r="C1691" s="74" t="s">
        <v>2177</v>
      </c>
      <c r="D1691" s="74">
        <v>339</v>
      </c>
    </row>
    <row r="1692" spans="1:4">
      <c r="A1692" t="s">
        <v>40</v>
      </c>
      <c r="B1692" s="73" t="s">
        <v>510</v>
      </c>
      <c r="C1692" s="74" t="s">
        <v>2178</v>
      </c>
      <c r="D1692" s="74">
        <v>734.79</v>
      </c>
    </row>
    <row r="1693" spans="1:4">
      <c r="A1693" t="s">
        <v>40</v>
      </c>
      <c r="B1693" s="73" t="s">
        <v>510</v>
      </c>
      <c r="C1693" s="74" t="s">
        <v>2179</v>
      </c>
      <c r="D1693" s="74">
        <v>195.99</v>
      </c>
    </row>
    <row r="1694" spans="1:4">
      <c r="A1694" t="s">
        <v>40</v>
      </c>
      <c r="B1694" s="73" t="s">
        <v>569</v>
      </c>
      <c r="C1694" s="74" t="s">
        <v>2180</v>
      </c>
      <c r="D1694" s="74">
        <v>169.99</v>
      </c>
    </row>
    <row r="1695" spans="1:4">
      <c r="A1695" t="s">
        <v>40</v>
      </c>
      <c r="B1695" s="73" t="s">
        <v>529</v>
      </c>
      <c r="C1695" s="74" t="s">
        <v>2181</v>
      </c>
      <c r="D1695" s="74">
        <v>179</v>
      </c>
    </row>
    <row r="1696" spans="1:4">
      <c r="A1696" t="s">
        <v>40</v>
      </c>
      <c r="B1696" s="73" t="s">
        <v>510</v>
      </c>
      <c r="C1696" s="74" t="s">
        <v>2182</v>
      </c>
      <c r="D1696" s="74">
        <v>299.99</v>
      </c>
    </row>
    <row r="1697" spans="1:4">
      <c r="A1697" t="s">
        <v>40</v>
      </c>
      <c r="B1697" s="73" t="s">
        <v>505</v>
      </c>
      <c r="C1697" s="74" t="s">
        <v>2183</v>
      </c>
      <c r="D1697" s="74">
        <v>429.99</v>
      </c>
    </row>
    <row r="1698" spans="1:4">
      <c r="A1698" t="s">
        <v>40</v>
      </c>
      <c r="B1698" s="73" t="s">
        <v>510</v>
      </c>
      <c r="C1698" s="74" t="s">
        <v>2184</v>
      </c>
      <c r="D1698" s="74">
        <v>309.98</v>
      </c>
    </row>
    <row r="1699" spans="1:4">
      <c r="A1699" t="s">
        <v>40</v>
      </c>
      <c r="B1699" s="73" t="s">
        <v>510</v>
      </c>
      <c r="C1699" s="74" t="s">
        <v>2185</v>
      </c>
      <c r="D1699" s="74">
        <v>449.99</v>
      </c>
    </row>
    <row r="1700" spans="1:4">
      <c r="A1700" t="s">
        <v>40</v>
      </c>
      <c r="B1700" s="73" t="s">
        <v>683</v>
      </c>
      <c r="C1700" s="74" t="s">
        <v>2186</v>
      </c>
      <c r="D1700" s="74">
        <v>439.99</v>
      </c>
    </row>
    <row r="1701" spans="1:4">
      <c r="A1701" t="s">
        <v>40</v>
      </c>
      <c r="B1701" s="73" t="s">
        <v>561</v>
      </c>
      <c r="C1701" s="74" t="s">
        <v>2187</v>
      </c>
      <c r="D1701" s="74">
        <v>69</v>
      </c>
    </row>
    <row r="1702" spans="1:4">
      <c r="A1702" t="s">
        <v>40</v>
      </c>
      <c r="B1702" s="73" t="s">
        <v>505</v>
      </c>
      <c r="C1702" s="74" t="s">
        <v>2188</v>
      </c>
      <c r="D1702" s="74">
        <v>279.89</v>
      </c>
    </row>
    <row r="1703" spans="1:4">
      <c r="A1703" t="s">
        <v>40</v>
      </c>
      <c r="B1703" s="73" t="s">
        <v>510</v>
      </c>
      <c r="C1703" s="74" t="s">
        <v>2189</v>
      </c>
      <c r="D1703" s="74">
        <v>239.99</v>
      </c>
    </row>
    <row r="1704" spans="1:4">
      <c r="A1704" t="s">
        <v>40</v>
      </c>
      <c r="B1704" s="73" t="s">
        <v>505</v>
      </c>
      <c r="C1704" s="74" t="s">
        <v>2190</v>
      </c>
      <c r="D1704" s="74">
        <v>280.99</v>
      </c>
    </row>
    <row r="1705" spans="1:4">
      <c r="A1705" t="s">
        <v>40</v>
      </c>
      <c r="B1705" s="73" t="s">
        <v>510</v>
      </c>
      <c r="C1705" s="74" t="s">
        <v>2191</v>
      </c>
      <c r="D1705" s="74">
        <v>338.99</v>
      </c>
    </row>
    <row r="1706" spans="1:4">
      <c r="A1706" t="s">
        <v>40</v>
      </c>
      <c r="B1706" s="73" t="s">
        <v>505</v>
      </c>
      <c r="C1706" s="74" t="s">
        <v>2192</v>
      </c>
      <c r="D1706" s="74">
        <v>271.98</v>
      </c>
    </row>
    <row r="1707" spans="1:4">
      <c r="A1707" t="s">
        <v>40</v>
      </c>
      <c r="B1707" s="73" t="s">
        <v>561</v>
      </c>
      <c r="C1707" s="74" t="s">
        <v>2193</v>
      </c>
      <c r="D1707" s="74">
        <v>89.99</v>
      </c>
    </row>
    <row r="1708" spans="1:4">
      <c r="A1708" t="s">
        <v>40</v>
      </c>
      <c r="B1708" s="73" t="s">
        <v>510</v>
      </c>
      <c r="C1708" s="74" t="s">
        <v>2194</v>
      </c>
      <c r="D1708" s="74">
        <v>89</v>
      </c>
    </row>
    <row r="1709" spans="1:4">
      <c r="A1709" t="s">
        <v>40</v>
      </c>
      <c r="B1709" s="73" t="s">
        <v>1162</v>
      </c>
      <c r="C1709" s="74" t="s">
        <v>2195</v>
      </c>
      <c r="D1709" s="74">
        <v>65</v>
      </c>
    </row>
    <row r="1710" spans="1:4">
      <c r="A1710" t="s">
        <v>40</v>
      </c>
      <c r="B1710" s="73" t="s">
        <v>510</v>
      </c>
      <c r="C1710" s="74" t="s">
        <v>2196</v>
      </c>
      <c r="D1710" s="74">
        <v>324.49</v>
      </c>
    </row>
    <row r="1711" spans="1:4">
      <c r="A1711" t="s">
        <v>40</v>
      </c>
      <c r="B1711" s="73" t="s">
        <v>510</v>
      </c>
      <c r="C1711" s="74" t="s">
        <v>2197</v>
      </c>
      <c r="D1711" s="74">
        <v>569.49</v>
      </c>
    </row>
    <row r="1712" spans="1:4">
      <c r="A1712" t="s">
        <v>40</v>
      </c>
      <c r="B1712" s="73" t="s">
        <v>505</v>
      </c>
      <c r="C1712" s="74" t="s">
        <v>2198</v>
      </c>
      <c r="D1712" s="74">
        <v>184.99</v>
      </c>
    </row>
    <row r="1713" spans="1:4">
      <c r="A1713" t="s">
        <v>40</v>
      </c>
      <c r="B1713" s="73" t="s">
        <v>510</v>
      </c>
      <c r="C1713" s="74" t="s">
        <v>2199</v>
      </c>
      <c r="D1713" s="74">
        <v>219.95</v>
      </c>
    </row>
    <row r="1714" spans="1:4">
      <c r="A1714" t="s">
        <v>40</v>
      </c>
      <c r="B1714" s="73" t="s">
        <v>523</v>
      </c>
      <c r="C1714" s="74" t="s">
        <v>2200</v>
      </c>
      <c r="D1714" s="74">
        <v>154.99</v>
      </c>
    </row>
    <row r="1715" spans="1:4" ht="21">
      <c r="A1715" t="s">
        <v>40</v>
      </c>
      <c r="B1715" s="73" t="s">
        <v>507</v>
      </c>
      <c r="C1715" s="74" t="s">
        <v>636</v>
      </c>
      <c r="D1715" s="74">
        <v>88.98</v>
      </c>
    </row>
    <row r="1716" spans="1:4">
      <c r="A1716" t="s">
        <v>40</v>
      </c>
      <c r="B1716" s="73" t="s">
        <v>510</v>
      </c>
      <c r="C1716" s="74" t="s">
        <v>2201</v>
      </c>
      <c r="D1716" s="74">
        <v>194.99</v>
      </c>
    </row>
    <row r="1717" spans="1:4">
      <c r="A1717" t="s">
        <v>40</v>
      </c>
      <c r="B1717" s="73" t="s">
        <v>510</v>
      </c>
      <c r="C1717" s="74" t="s">
        <v>2202</v>
      </c>
      <c r="D1717" s="74">
        <v>79.95</v>
      </c>
    </row>
    <row r="1718" spans="1:4">
      <c r="A1718" t="s">
        <v>40</v>
      </c>
      <c r="B1718" s="73" t="s">
        <v>569</v>
      </c>
      <c r="C1718" s="74" t="s">
        <v>2203</v>
      </c>
      <c r="D1718" s="74">
        <v>44.99</v>
      </c>
    </row>
    <row r="1719" spans="1:4">
      <c r="A1719" t="s">
        <v>40</v>
      </c>
      <c r="B1719" s="73" t="s">
        <v>510</v>
      </c>
      <c r="C1719" s="74" t="s">
        <v>2204</v>
      </c>
      <c r="D1719" s="74">
        <v>169.99</v>
      </c>
    </row>
    <row r="1720" spans="1:4">
      <c r="A1720" t="s">
        <v>40</v>
      </c>
      <c r="B1720" s="73" t="s">
        <v>510</v>
      </c>
      <c r="C1720" s="74" t="s">
        <v>2205</v>
      </c>
      <c r="D1720" s="74">
        <v>116.99</v>
      </c>
    </row>
    <row r="1721" spans="1:4">
      <c r="A1721" t="s">
        <v>40</v>
      </c>
      <c r="B1721" s="73" t="s">
        <v>510</v>
      </c>
      <c r="C1721" s="74" t="s">
        <v>2206</v>
      </c>
      <c r="D1721" s="74">
        <v>79.989999999999995</v>
      </c>
    </row>
    <row r="1722" spans="1:4">
      <c r="A1722" t="s">
        <v>40</v>
      </c>
      <c r="B1722" s="73" t="s">
        <v>505</v>
      </c>
      <c r="C1722" s="74" t="s">
        <v>2207</v>
      </c>
      <c r="D1722" s="74">
        <v>679.79</v>
      </c>
    </row>
    <row r="1723" spans="1:4">
      <c r="A1723" t="s">
        <v>40</v>
      </c>
      <c r="B1723" s="73" t="s">
        <v>510</v>
      </c>
      <c r="C1723" s="74" t="s">
        <v>2208</v>
      </c>
      <c r="D1723" s="74">
        <v>779.69</v>
      </c>
    </row>
    <row r="1724" spans="1:4">
      <c r="A1724" t="s">
        <v>40</v>
      </c>
      <c r="B1724" s="73" t="s">
        <v>505</v>
      </c>
      <c r="C1724" s="74" t="s">
        <v>2209</v>
      </c>
      <c r="D1724" s="74">
        <v>99</v>
      </c>
    </row>
    <row r="1725" spans="1:4">
      <c r="A1725" t="s">
        <v>40</v>
      </c>
      <c r="B1725" s="73" t="s">
        <v>510</v>
      </c>
      <c r="C1725" s="74" t="s">
        <v>2210</v>
      </c>
      <c r="D1725" s="74">
        <v>249.99</v>
      </c>
    </row>
    <row r="1726" spans="1:4">
      <c r="A1726" t="s">
        <v>40</v>
      </c>
      <c r="B1726" s="73" t="s">
        <v>510</v>
      </c>
      <c r="C1726" s="74" t="s">
        <v>2211</v>
      </c>
      <c r="D1726" s="74">
        <v>309.99</v>
      </c>
    </row>
    <row r="1727" spans="1:4">
      <c r="A1727" t="s">
        <v>40</v>
      </c>
      <c r="B1727" s="73" t="s">
        <v>507</v>
      </c>
      <c r="C1727" s="74" t="s">
        <v>2212</v>
      </c>
      <c r="D1727" s="74">
        <v>89.99</v>
      </c>
    </row>
    <row r="1728" spans="1:4">
      <c r="A1728" t="s">
        <v>40</v>
      </c>
      <c r="B1728" s="73" t="s">
        <v>505</v>
      </c>
      <c r="C1728" s="74" t="s">
        <v>2213</v>
      </c>
      <c r="D1728" s="74">
        <v>417.99</v>
      </c>
    </row>
    <row r="1729" spans="1:4">
      <c r="A1729" t="s">
        <v>40</v>
      </c>
      <c r="B1729" s="73" t="s">
        <v>510</v>
      </c>
      <c r="C1729" s="74" t="s">
        <v>2214</v>
      </c>
      <c r="D1729" s="74">
        <v>274.99</v>
      </c>
    </row>
    <row r="1730" spans="1:4">
      <c r="A1730" t="s">
        <v>40</v>
      </c>
      <c r="B1730" s="73" t="s">
        <v>505</v>
      </c>
      <c r="C1730" s="74" t="s">
        <v>2215</v>
      </c>
      <c r="D1730" s="74">
        <v>409.79</v>
      </c>
    </row>
    <row r="1731" spans="1:4">
      <c r="A1731" t="s">
        <v>40</v>
      </c>
      <c r="B1731" s="73" t="s">
        <v>505</v>
      </c>
      <c r="C1731" s="74" t="s">
        <v>2216</v>
      </c>
      <c r="D1731" s="74">
        <v>429.99</v>
      </c>
    </row>
    <row r="1732" spans="1:4" ht="21">
      <c r="A1732" t="s">
        <v>40</v>
      </c>
      <c r="B1732" s="73" t="s">
        <v>505</v>
      </c>
      <c r="C1732" s="75" t="s">
        <v>2217</v>
      </c>
      <c r="D1732" s="74">
        <v>119.99</v>
      </c>
    </row>
    <row r="1733" spans="1:4">
      <c r="A1733" t="s">
        <v>40</v>
      </c>
      <c r="B1733" s="73" t="s">
        <v>505</v>
      </c>
      <c r="C1733" s="74" t="s">
        <v>2218</v>
      </c>
      <c r="D1733" s="74">
        <v>249.89</v>
      </c>
    </row>
    <row r="1734" spans="1:4">
      <c r="A1734" t="s">
        <v>40</v>
      </c>
      <c r="B1734" s="73" t="s">
        <v>2219</v>
      </c>
      <c r="C1734" s="74" t="s">
        <v>2220</v>
      </c>
      <c r="D1734" s="74">
        <v>139.99</v>
      </c>
    </row>
    <row r="1735" spans="1:4">
      <c r="A1735" t="s">
        <v>40</v>
      </c>
      <c r="B1735" s="73" t="s">
        <v>510</v>
      </c>
      <c r="C1735" s="74" t="s">
        <v>2221</v>
      </c>
      <c r="D1735" s="74">
        <v>369.99</v>
      </c>
    </row>
    <row r="1736" spans="1:4">
      <c r="A1736" t="s">
        <v>40</v>
      </c>
      <c r="B1736" s="73" t="s">
        <v>505</v>
      </c>
      <c r="C1736" s="74" t="s">
        <v>2222</v>
      </c>
      <c r="D1736" s="74">
        <v>79</v>
      </c>
    </row>
    <row r="1737" spans="1:4">
      <c r="A1737" t="s">
        <v>40</v>
      </c>
      <c r="B1737" s="73" t="s">
        <v>510</v>
      </c>
      <c r="C1737" s="74" t="s">
        <v>2223</v>
      </c>
      <c r="D1737" s="74">
        <v>1049.99</v>
      </c>
    </row>
    <row r="1738" spans="1:4">
      <c r="A1738" t="s">
        <v>40</v>
      </c>
      <c r="B1738" s="73" t="s">
        <v>505</v>
      </c>
      <c r="C1738" s="74" t="s">
        <v>2074</v>
      </c>
      <c r="D1738" s="74">
        <v>76.989999999999995</v>
      </c>
    </row>
    <row r="1739" spans="1:4">
      <c r="A1739" t="s">
        <v>40</v>
      </c>
      <c r="B1739" s="73" t="s">
        <v>505</v>
      </c>
      <c r="C1739" s="74" t="s">
        <v>2224</v>
      </c>
      <c r="D1739" s="74">
        <v>299.99</v>
      </c>
    </row>
    <row r="1740" spans="1:4">
      <c r="A1740" t="s">
        <v>40</v>
      </c>
      <c r="B1740" s="73" t="s">
        <v>505</v>
      </c>
      <c r="C1740" s="74" t="s">
        <v>2225</v>
      </c>
      <c r="D1740" s="74">
        <v>319.29000000000002</v>
      </c>
    </row>
    <row r="1741" spans="1:4">
      <c r="A1741" t="s">
        <v>40</v>
      </c>
      <c r="B1741" s="73" t="s">
        <v>510</v>
      </c>
      <c r="C1741" s="74" t="s">
        <v>2226</v>
      </c>
      <c r="D1741" s="74">
        <v>359.99</v>
      </c>
    </row>
    <row r="1742" spans="1:4">
      <c r="A1742" t="s">
        <v>40</v>
      </c>
      <c r="B1742" s="73" t="s">
        <v>510</v>
      </c>
      <c r="C1742" s="74" t="s">
        <v>2227</v>
      </c>
      <c r="D1742" s="74">
        <v>914.69</v>
      </c>
    </row>
    <row r="1743" spans="1:4">
      <c r="A1743" t="s">
        <v>40</v>
      </c>
      <c r="B1743" s="73" t="s">
        <v>529</v>
      </c>
      <c r="C1743" s="74" t="s">
        <v>2228</v>
      </c>
      <c r="D1743" s="74">
        <v>87.49</v>
      </c>
    </row>
    <row r="1744" spans="1:4">
      <c r="A1744" t="s">
        <v>40</v>
      </c>
      <c r="B1744" s="73" t="s">
        <v>569</v>
      </c>
      <c r="C1744" s="74" t="s">
        <v>2229</v>
      </c>
      <c r="D1744" s="74">
        <v>60</v>
      </c>
    </row>
    <row r="1745" spans="1:4">
      <c r="A1745" t="s">
        <v>40</v>
      </c>
      <c r="B1745" s="73" t="s">
        <v>505</v>
      </c>
      <c r="C1745" s="74" t="s">
        <v>2230</v>
      </c>
      <c r="D1745" s="74">
        <v>124.99</v>
      </c>
    </row>
    <row r="1746" spans="1:4">
      <c r="A1746" t="s">
        <v>40</v>
      </c>
      <c r="B1746" s="73" t="s">
        <v>505</v>
      </c>
      <c r="C1746" s="74" t="s">
        <v>2231</v>
      </c>
      <c r="D1746" s="74">
        <v>189.99</v>
      </c>
    </row>
    <row r="1747" spans="1:4">
      <c r="A1747" t="s">
        <v>40</v>
      </c>
      <c r="B1747" s="73" t="s">
        <v>683</v>
      </c>
      <c r="C1747" s="74" t="s">
        <v>2232</v>
      </c>
      <c r="D1747" s="74">
        <v>310</v>
      </c>
    </row>
    <row r="1748" spans="1:4">
      <c r="A1748" t="s">
        <v>40</v>
      </c>
      <c r="B1748" s="73" t="s">
        <v>510</v>
      </c>
      <c r="C1748" s="74" t="s">
        <v>2233</v>
      </c>
      <c r="D1748" s="74">
        <v>114.95</v>
      </c>
    </row>
    <row r="1749" spans="1:4">
      <c r="A1749" t="s">
        <v>40</v>
      </c>
      <c r="B1749" s="73" t="s">
        <v>510</v>
      </c>
      <c r="C1749" s="74" t="s">
        <v>2234</v>
      </c>
      <c r="D1749" s="74">
        <v>352.99</v>
      </c>
    </row>
    <row r="1750" spans="1:4">
      <c r="A1750" t="s">
        <v>40</v>
      </c>
      <c r="B1750" s="73" t="s">
        <v>510</v>
      </c>
      <c r="C1750" s="74" t="s">
        <v>2235</v>
      </c>
      <c r="D1750" s="74">
        <v>529.99</v>
      </c>
    </row>
    <row r="1751" spans="1:4">
      <c r="A1751" t="s">
        <v>40</v>
      </c>
      <c r="B1751" s="73" t="s">
        <v>505</v>
      </c>
      <c r="C1751" s="74" t="s">
        <v>2236</v>
      </c>
      <c r="D1751" s="74">
        <v>119.99</v>
      </c>
    </row>
    <row r="1752" spans="1:4">
      <c r="A1752" t="s">
        <v>40</v>
      </c>
      <c r="B1752" s="73" t="s">
        <v>510</v>
      </c>
      <c r="C1752" s="74" t="s">
        <v>2237</v>
      </c>
      <c r="D1752" s="74">
        <v>699.99</v>
      </c>
    </row>
    <row r="1753" spans="1:4">
      <c r="A1753" t="s">
        <v>40</v>
      </c>
      <c r="B1753" s="73" t="s">
        <v>510</v>
      </c>
      <c r="C1753" s="74" t="s">
        <v>2238</v>
      </c>
      <c r="D1753" s="74">
        <v>346.97</v>
      </c>
    </row>
    <row r="1754" spans="1:4">
      <c r="A1754" t="s">
        <v>40</v>
      </c>
      <c r="B1754" s="73" t="s">
        <v>510</v>
      </c>
      <c r="C1754" s="74" t="s">
        <v>2239</v>
      </c>
      <c r="D1754" s="74">
        <v>239.69</v>
      </c>
    </row>
    <row r="1755" spans="1:4">
      <c r="A1755" t="s">
        <v>40</v>
      </c>
      <c r="B1755" s="73" t="s">
        <v>738</v>
      </c>
      <c r="C1755" s="74" t="s">
        <v>2240</v>
      </c>
      <c r="D1755" s="74">
        <v>259.99</v>
      </c>
    </row>
    <row r="1756" spans="1:4">
      <c r="A1756" t="s">
        <v>40</v>
      </c>
      <c r="B1756" s="73" t="s">
        <v>505</v>
      </c>
      <c r="C1756" s="74" t="s">
        <v>2241</v>
      </c>
      <c r="D1756" s="74">
        <v>129.47</v>
      </c>
    </row>
    <row r="1757" spans="1:4">
      <c r="A1757" t="s">
        <v>40</v>
      </c>
      <c r="B1757" s="73" t="s">
        <v>505</v>
      </c>
      <c r="C1757" s="74" t="s">
        <v>2242</v>
      </c>
      <c r="D1757" s="74">
        <v>149.99</v>
      </c>
    </row>
    <row r="1758" spans="1:4">
      <c r="A1758" t="s">
        <v>40</v>
      </c>
      <c r="B1758" s="73" t="s">
        <v>510</v>
      </c>
      <c r="C1758" s="74" t="s">
        <v>2243</v>
      </c>
      <c r="D1758" s="74">
        <v>180</v>
      </c>
    </row>
    <row r="1759" spans="1:4">
      <c r="A1759" t="s">
        <v>40</v>
      </c>
      <c r="B1759" s="73" t="s">
        <v>995</v>
      </c>
      <c r="C1759" s="74" t="s">
        <v>2244</v>
      </c>
      <c r="D1759" s="74">
        <v>52.59</v>
      </c>
    </row>
    <row r="1760" spans="1:4">
      <c r="A1760" t="s">
        <v>40</v>
      </c>
      <c r="B1760" s="73" t="s">
        <v>510</v>
      </c>
      <c r="C1760" s="74" t="s">
        <v>2245</v>
      </c>
      <c r="D1760" s="74">
        <v>719.99</v>
      </c>
    </row>
    <row r="1761" spans="1:4">
      <c r="A1761" t="s">
        <v>40</v>
      </c>
      <c r="B1761" s="73" t="s">
        <v>505</v>
      </c>
      <c r="C1761" s="74" t="s">
        <v>2246</v>
      </c>
      <c r="D1761" s="74">
        <v>616.98</v>
      </c>
    </row>
    <row r="1762" spans="1:4">
      <c r="A1762" t="s">
        <v>40</v>
      </c>
      <c r="B1762" s="73" t="s">
        <v>510</v>
      </c>
      <c r="C1762" s="74" t="s">
        <v>2247</v>
      </c>
      <c r="D1762" s="74">
        <v>219.95</v>
      </c>
    </row>
    <row r="1763" spans="1:4">
      <c r="A1763" t="s">
        <v>40</v>
      </c>
      <c r="B1763" s="73" t="s">
        <v>505</v>
      </c>
      <c r="C1763" s="74" t="s">
        <v>2248</v>
      </c>
      <c r="D1763" s="74">
        <v>299.99</v>
      </c>
    </row>
    <row r="1764" spans="1:4">
      <c r="A1764" t="s">
        <v>40</v>
      </c>
      <c r="B1764" s="73" t="s">
        <v>510</v>
      </c>
      <c r="C1764" s="74" t="s">
        <v>2249</v>
      </c>
      <c r="D1764" s="74">
        <v>84.99</v>
      </c>
    </row>
    <row r="1765" spans="1:4">
      <c r="A1765" t="s">
        <v>40</v>
      </c>
      <c r="B1765" s="73" t="s">
        <v>510</v>
      </c>
      <c r="C1765" s="74" t="s">
        <v>2250</v>
      </c>
      <c r="D1765" s="74">
        <v>383.95</v>
      </c>
    </row>
    <row r="1766" spans="1:4">
      <c r="A1766" t="s">
        <v>40</v>
      </c>
      <c r="B1766" s="73" t="s">
        <v>510</v>
      </c>
      <c r="C1766" s="74" t="s">
        <v>2251</v>
      </c>
      <c r="D1766" s="74">
        <v>365</v>
      </c>
    </row>
    <row r="1767" spans="1:4">
      <c r="A1767" t="s">
        <v>40</v>
      </c>
      <c r="B1767" s="73" t="s">
        <v>510</v>
      </c>
      <c r="C1767" s="74" t="s">
        <v>2252</v>
      </c>
      <c r="D1767" s="74">
        <v>231.97</v>
      </c>
    </row>
    <row r="1768" spans="1:4">
      <c r="A1768" t="s">
        <v>40</v>
      </c>
      <c r="B1768" s="73" t="s">
        <v>505</v>
      </c>
      <c r="C1768" s="74" t="s">
        <v>2253</v>
      </c>
      <c r="D1768" s="74">
        <v>148.38999999999999</v>
      </c>
    </row>
    <row r="1769" spans="1:4">
      <c r="A1769" t="s">
        <v>40</v>
      </c>
      <c r="B1769" s="73" t="s">
        <v>505</v>
      </c>
      <c r="C1769" s="74" t="s">
        <v>2254</v>
      </c>
      <c r="D1769" s="74">
        <v>297</v>
      </c>
    </row>
    <row r="1770" spans="1:4">
      <c r="A1770" t="s">
        <v>40</v>
      </c>
      <c r="B1770" s="73" t="s">
        <v>505</v>
      </c>
      <c r="C1770" s="74" t="s">
        <v>2255</v>
      </c>
      <c r="D1770" s="74">
        <v>244.99</v>
      </c>
    </row>
    <row r="1771" spans="1:4">
      <c r="A1771" t="s">
        <v>40</v>
      </c>
      <c r="B1771" s="73" t="s">
        <v>523</v>
      </c>
      <c r="C1771" s="74" t="s">
        <v>2256</v>
      </c>
      <c r="D1771" s="74">
        <v>131.97</v>
      </c>
    </row>
    <row r="1772" spans="1:4">
      <c r="A1772" t="s">
        <v>40</v>
      </c>
      <c r="B1772" s="73" t="s">
        <v>510</v>
      </c>
      <c r="C1772" s="74" t="s">
        <v>2257</v>
      </c>
      <c r="D1772" s="74">
        <v>459.99</v>
      </c>
    </row>
    <row r="1773" spans="1:4">
      <c r="A1773" t="s">
        <v>40</v>
      </c>
      <c r="B1773" s="73" t="s">
        <v>505</v>
      </c>
      <c r="C1773" s="74" t="s">
        <v>2258</v>
      </c>
      <c r="D1773" s="74">
        <v>253</v>
      </c>
    </row>
    <row r="1774" spans="1:4">
      <c r="A1774" t="s">
        <v>40</v>
      </c>
      <c r="B1774" s="73" t="s">
        <v>510</v>
      </c>
      <c r="C1774" s="74" t="s">
        <v>2259</v>
      </c>
      <c r="D1774" s="74">
        <v>146.94999999999999</v>
      </c>
    </row>
    <row r="1775" spans="1:4">
      <c r="A1775" t="s">
        <v>40</v>
      </c>
      <c r="B1775" s="73" t="s">
        <v>523</v>
      </c>
      <c r="C1775" s="74" t="s">
        <v>2260</v>
      </c>
      <c r="D1775" s="74">
        <v>89.99</v>
      </c>
    </row>
    <row r="1776" spans="1:4">
      <c r="A1776" t="s">
        <v>40</v>
      </c>
      <c r="B1776" s="73" t="s">
        <v>569</v>
      </c>
      <c r="C1776" s="74" t="s">
        <v>2261</v>
      </c>
      <c r="D1776" s="74">
        <v>99.99</v>
      </c>
    </row>
    <row r="1777" spans="1:4">
      <c r="A1777" t="s">
        <v>40</v>
      </c>
      <c r="B1777" s="73" t="s">
        <v>1337</v>
      </c>
      <c r="C1777" s="74" t="s">
        <v>2262</v>
      </c>
      <c r="D1777" s="74">
        <v>69.989999999999995</v>
      </c>
    </row>
    <row r="1778" spans="1:4">
      <c r="A1778" t="s">
        <v>40</v>
      </c>
      <c r="B1778" s="73" t="s">
        <v>505</v>
      </c>
      <c r="C1778" s="74" t="s">
        <v>829</v>
      </c>
      <c r="D1778" s="74">
        <v>84.99</v>
      </c>
    </row>
    <row r="1779" spans="1:4">
      <c r="A1779" t="s">
        <v>40</v>
      </c>
      <c r="B1779" s="73" t="s">
        <v>505</v>
      </c>
      <c r="C1779" s="74" t="s">
        <v>2263</v>
      </c>
      <c r="D1779" s="74">
        <v>419.99</v>
      </c>
    </row>
    <row r="1780" spans="1:4">
      <c r="A1780" t="s">
        <v>40</v>
      </c>
      <c r="B1780" s="73" t="s">
        <v>510</v>
      </c>
      <c r="C1780" s="74" t="s">
        <v>2264</v>
      </c>
      <c r="D1780" s="74">
        <v>229.89</v>
      </c>
    </row>
    <row r="1781" spans="1:4">
      <c r="A1781" t="s">
        <v>40</v>
      </c>
      <c r="B1781" s="73" t="s">
        <v>510</v>
      </c>
      <c r="C1781" s="74" t="s">
        <v>2265</v>
      </c>
      <c r="D1781" s="74">
        <v>369.99</v>
      </c>
    </row>
    <row r="1782" spans="1:4">
      <c r="A1782" t="s">
        <v>40</v>
      </c>
      <c r="B1782" s="73" t="s">
        <v>505</v>
      </c>
      <c r="C1782" s="74" t="s">
        <v>2266</v>
      </c>
      <c r="D1782" s="74">
        <v>166.99</v>
      </c>
    </row>
    <row r="1783" spans="1:4">
      <c r="A1783" t="s">
        <v>40</v>
      </c>
      <c r="B1783" s="73" t="s">
        <v>505</v>
      </c>
      <c r="C1783" s="74" t="s">
        <v>2267</v>
      </c>
      <c r="D1783" s="74">
        <v>684.99</v>
      </c>
    </row>
    <row r="1784" spans="1:4">
      <c r="A1784" t="s">
        <v>40</v>
      </c>
      <c r="B1784" s="73" t="s">
        <v>505</v>
      </c>
      <c r="C1784" s="74" t="s">
        <v>2268</v>
      </c>
      <c r="D1784" s="74">
        <v>59.95</v>
      </c>
    </row>
    <row r="1785" spans="1:4">
      <c r="A1785" t="s">
        <v>40</v>
      </c>
      <c r="B1785" s="73" t="s">
        <v>523</v>
      </c>
      <c r="C1785" s="74" t="s">
        <v>2269</v>
      </c>
      <c r="D1785" s="74">
        <v>119.47</v>
      </c>
    </row>
    <row r="1786" spans="1:4">
      <c r="A1786" t="s">
        <v>40</v>
      </c>
      <c r="B1786" s="73" t="s">
        <v>505</v>
      </c>
      <c r="C1786" s="74" t="s">
        <v>2270</v>
      </c>
      <c r="D1786" s="74">
        <v>469.99</v>
      </c>
    </row>
    <row r="1787" spans="1:4">
      <c r="A1787" t="s">
        <v>40</v>
      </c>
      <c r="B1787" s="73" t="s">
        <v>546</v>
      </c>
      <c r="C1787" s="74" t="s">
        <v>2271</v>
      </c>
      <c r="D1787" s="74">
        <v>14.99</v>
      </c>
    </row>
    <row r="1788" spans="1:4">
      <c r="A1788" t="s">
        <v>40</v>
      </c>
      <c r="B1788" s="73" t="s">
        <v>579</v>
      </c>
      <c r="C1788" s="74" t="s">
        <v>2272</v>
      </c>
      <c r="D1788" s="74">
        <v>524</v>
      </c>
    </row>
    <row r="1789" spans="1:4">
      <c r="A1789" t="s">
        <v>40</v>
      </c>
      <c r="B1789" s="73" t="s">
        <v>505</v>
      </c>
      <c r="C1789" s="74" t="s">
        <v>2273</v>
      </c>
      <c r="D1789" s="74">
        <v>299.89</v>
      </c>
    </row>
    <row r="1790" spans="1:4">
      <c r="A1790" t="s">
        <v>40</v>
      </c>
      <c r="B1790" s="73" t="s">
        <v>839</v>
      </c>
      <c r="C1790" s="74" t="s">
        <v>2274</v>
      </c>
      <c r="D1790" s="74">
        <v>139.99</v>
      </c>
    </row>
    <row r="1791" spans="1:4">
      <c r="A1791" t="s">
        <v>40</v>
      </c>
      <c r="B1791" s="73" t="s">
        <v>510</v>
      </c>
      <c r="C1791" s="74" t="s">
        <v>2275</v>
      </c>
      <c r="D1791" s="74">
        <v>664.69</v>
      </c>
    </row>
    <row r="1792" spans="1:4">
      <c r="A1792" t="s">
        <v>40</v>
      </c>
      <c r="B1792" s="73" t="s">
        <v>510</v>
      </c>
      <c r="C1792" s="74" t="s">
        <v>2276</v>
      </c>
      <c r="D1792" s="74">
        <v>190</v>
      </c>
    </row>
    <row r="1793" spans="1:4">
      <c r="A1793" t="s">
        <v>40</v>
      </c>
      <c r="B1793" s="73" t="s">
        <v>561</v>
      </c>
      <c r="C1793" s="74" t="s">
        <v>2277</v>
      </c>
      <c r="D1793" s="74">
        <v>119.99</v>
      </c>
    </row>
    <row r="1794" spans="1:4">
      <c r="A1794" t="s">
        <v>40</v>
      </c>
      <c r="B1794" s="73" t="s">
        <v>810</v>
      </c>
      <c r="C1794" s="74" t="s">
        <v>2278</v>
      </c>
      <c r="D1794" s="74">
        <v>374.99</v>
      </c>
    </row>
    <row r="1795" spans="1:4">
      <c r="A1795" t="s">
        <v>40</v>
      </c>
      <c r="B1795" s="73" t="s">
        <v>510</v>
      </c>
      <c r="C1795" s="74" t="s">
        <v>2279</v>
      </c>
      <c r="D1795" s="74">
        <v>69.989999999999995</v>
      </c>
    </row>
    <row r="1796" spans="1:4">
      <c r="A1796" t="s">
        <v>40</v>
      </c>
      <c r="B1796" s="73" t="s">
        <v>510</v>
      </c>
      <c r="C1796" s="74" t="s">
        <v>2280</v>
      </c>
      <c r="D1796" s="74">
        <v>87.99</v>
      </c>
    </row>
    <row r="1797" spans="1:4">
      <c r="A1797" t="s">
        <v>40</v>
      </c>
      <c r="B1797" s="73" t="s">
        <v>510</v>
      </c>
      <c r="C1797" s="74" t="s">
        <v>2281</v>
      </c>
      <c r="D1797" s="74">
        <v>610.99</v>
      </c>
    </row>
    <row r="1798" spans="1:4">
      <c r="A1798" t="s">
        <v>40</v>
      </c>
      <c r="B1798" s="73" t="s">
        <v>505</v>
      </c>
      <c r="C1798" s="74" t="s">
        <v>2282</v>
      </c>
      <c r="D1798" s="74">
        <v>699.99</v>
      </c>
    </row>
    <row r="1799" spans="1:4">
      <c r="A1799" t="s">
        <v>40</v>
      </c>
      <c r="B1799" s="73" t="s">
        <v>510</v>
      </c>
      <c r="C1799" s="74" t="s">
        <v>2283</v>
      </c>
      <c r="D1799" s="74">
        <v>702</v>
      </c>
    </row>
    <row r="1800" spans="1:4">
      <c r="A1800" t="s">
        <v>40</v>
      </c>
      <c r="B1800" s="73" t="s">
        <v>510</v>
      </c>
      <c r="C1800" s="74" t="s">
        <v>2284</v>
      </c>
      <c r="D1800" s="74">
        <v>59.95</v>
      </c>
    </row>
    <row r="1801" spans="1:4">
      <c r="A1801" t="s">
        <v>40</v>
      </c>
      <c r="B1801" s="73" t="s">
        <v>523</v>
      </c>
      <c r="C1801" s="74" t="s">
        <v>2285</v>
      </c>
      <c r="D1801" s="74">
        <v>258.33</v>
      </c>
    </row>
    <row r="1802" spans="1:4">
      <c r="A1802" t="s">
        <v>40</v>
      </c>
      <c r="B1802" s="73" t="s">
        <v>505</v>
      </c>
      <c r="C1802" s="74" t="s">
        <v>2286</v>
      </c>
      <c r="D1802" s="74">
        <v>184.47</v>
      </c>
    </row>
    <row r="1803" spans="1:4">
      <c r="A1803" t="s">
        <v>40</v>
      </c>
      <c r="B1803" s="73" t="s">
        <v>510</v>
      </c>
      <c r="C1803" s="74" t="s">
        <v>2287</v>
      </c>
      <c r="D1803" s="74">
        <v>709.49</v>
      </c>
    </row>
    <row r="1804" spans="1:4">
      <c r="A1804" t="s">
        <v>40</v>
      </c>
      <c r="B1804" s="73" t="s">
        <v>505</v>
      </c>
      <c r="C1804" s="74" t="s">
        <v>2288</v>
      </c>
      <c r="D1804" s="74">
        <v>199</v>
      </c>
    </row>
    <row r="1805" spans="1:4">
      <c r="A1805" t="s">
        <v>40</v>
      </c>
      <c r="B1805" s="73" t="s">
        <v>505</v>
      </c>
      <c r="C1805" s="74" t="s">
        <v>2289</v>
      </c>
      <c r="D1805" s="74">
        <v>211.98</v>
      </c>
    </row>
    <row r="1806" spans="1:4">
      <c r="A1806" t="s">
        <v>40</v>
      </c>
      <c r="B1806" s="73" t="s">
        <v>505</v>
      </c>
      <c r="C1806" s="74" t="s">
        <v>2290</v>
      </c>
      <c r="D1806" s="74">
        <v>230.95</v>
      </c>
    </row>
    <row r="1807" spans="1:4">
      <c r="A1807" t="s">
        <v>40</v>
      </c>
      <c r="B1807" s="73" t="s">
        <v>523</v>
      </c>
      <c r="C1807" s="74" t="s">
        <v>2291</v>
      </c>
      <c r="D1807" s="74">
        <v>374.99</v>
      </c>
    </row>
    <row r="1808" spans="1:4">
      <c r="A1808" t="s">
        <v>40</v>
      </c>
      <c r="B1808" s="73" t="s">
        <v>505</v>
      </c>
      <c r="C1808" s="74" t="s">
        <v>2292</v>
      </c>
      <c r="D1808" s="74">
        <v>275</v>
      </c>
    </row>
    <row r="1809" spans="1:4">
      <c r="A1809" t="s">
        <v>40</v>
      </c>
      <c r="B1809" s="73" t="s">
        <v>510</v>
      </c>
      <c r="C1809" s="74" t="s">
        <v>2293</v>
      </c>
      <c r="D1809" s="74">
        <v>306.95</v>
      </c>
    </row>
    <row r="1810" spans="1:4">
      <c r="A1810" t="s">
        <v>40</v>
      </c>
      <c r="B1810" s="73" t="s">
        <v>529</v>
      </c>
      <c r="C1810" s="74" t="s">
        <v>2294</v>
      </c>
      <c r="D1810" s="74">
        <v>39.99</v>
      </c>
    </row>
    <row r="1811" spans="1:4">
      <c r="A1811" t="s">
        <v>40</v>
      </c>
      <c r="B1811" s="73" t="s">
        <v>510</v>
      </c>
      <c r="C1811" s="74" t="s">
        <v>2295</v>
      </c>
      <c r="D1811" s="74">
        <v>639.99</v>
      </c>
    </row>
    <row r="1812" spans="1:4">
      <c r="A1812" t="s">
        <v>40</v>
      </c>
      <c r="B1812" s="73" t="s">
        <v>505</v>
      </c>
      <c r="C1812" s="74" t="s">
        <v>2296</v>
      </c>
      <c r="D1812" s="74">
        <v>684.99</v>
      </c>
    </row>
    <row r="1813" spans="1:4">
      <c r="A1813" t="s">
        <v>40</v>
      </c>
      <c r="B1813" s="73" t="s">
        <v>505</v>
      </c>
      <c r="C1813" s="74" t="s">
        <v>2297</v>
      </c>
      <c r="D1813" s="74">
        <v>247.99</v>
      </c>
    </row>
    <row r="1814" spans="1:4">
      <c r="A1814" t="s">
        <v>40</v>
      </c>
      <c r="B1814" s="73" t="s">
        <v>510</v>
      </c>
      <c r="C1814" s="74" t="s">
        <v>2298</v>
      </c>
      <c r="D1814" s="74">
        <v>579.99</v>
      </c>
    </row>
    <row r="1815" spans="1:4">
      <c r="A1815" t="s">
        <v>40</v>
      </c>
      <c r="B1815" s="73" t="s">
        <v>505</v>
      </c>
      <c r="C1815" s="74" t="s">
        <v>2299</v>
      </c>
      <c r="D1815" s="74">
        <v>83.99</v>
      </c>
    </row>
    <row r="1816" spans="1:4">
      <c r="A1816" t="s">
        <v>40</v>
      </c>
      <c r="B1816" s="73" t="s">
        <v>510</v>
      </c>
      <c r="C1816" s="74" t="s">
        <v>2300</v>
      </c>
      <c r="D1816" s="74">
        <v>498.99</v>
      </c>
    </row>
    <row r="1817" spans="1:4">
      <c r="A1817" t="s">
        <v>40</v>
      </c>
      <c r="B1817" s="73" t="s">
        <v>505</v>
      </c>
      <c r="C1817" s="74" t="s">
        <v>2301</v>
      </c>
      <c r="D1817" s="74">
        <v>265</v>
      </c>
    </row>
    <row r="1818" spans="1:4">
      <c r="A1818" t="s">
        <v>40</v>
      </c>
      <c r="B1818" s="73" t="s">
        <v>505</v>
      </c>
      <c r="C1818" s="74" t="s">
        <v>2302</v>
      </c>
      <c r="D1818" s="74">
        <v>299.89999999999998</v>
      </c>
    </row>
    <row r="1819" spans="1:4">
      <c r="A1819" t="s">
        <v>40</v>
      </c>
      <c r="B1819" s="73" t="s">
        <v>529</v>
      </c>
      <c r="C1819" s="74" t="s">
        <v>2303</v>
      </c>
      <c r="D1819" s="74">
        <v>39.99</v>
      </c>
    </row>
    <row r="1820" spans="1:4">
      <c r="A1820" t="s">
        <v>40</v>
      </c>
      <c r="B1820" s="73" t="s">
        <v>510</v>
      </c>
      <c r="C1820" s="74" t="s">
        <v>2304</v>
      </c>
      <c r="D1820" s="74">
        <v>394.99</v>
      </c>
    </row>
    <row r="1821" spans="1:4">
      <c r="A1821" t="s">
        <v>40</v>
      </c>
      <c r="B1821" s="73" t="s">
        <v>505</v>
      </c>
      <c r="C1821" s="74" t="s">
        <v>2305</v>
      </c>
      <c r="D1821" s="74">
        <v>299.99</v>
      </c>
    </row>
    <row r="1822" spans="1:4">
      <c r="A1822" t="s">
        <v>40</v>
      </c>
      <c r="B1822" s="73" t="s">
        <v>510</v>
      </c>
      <c r="C1822" s="74" t="s">
        <v>2306</v>
      </c>
      <c r="D1822" s="74">
        <v>639.99</v>
      </c>
    </row>
    <row r="1823" spans="1:4">
      <c r="A1823" t="s">
        <v>40</v>
      </c>
      <c r="B1823" s="73" t="s">
        <v>505</v>
      </c>
      <c r="C1823" s="74" t="s">
        <v>2307</v>
      </c>
      <c r="D1823" s="74">
        <v>48.99</v>
      </c>
    </row>
    <row r="1824" spans="1:4">
      <c r="A1824" t="s">
        <v>40</v>
      </c>
      <c r="B1824" s="73" t="s">
        <v>510</v>
      </c>
      <c r="C1824" s="74" t="s">
        <v>2308</v>
      </c>
      <c r="D1824" s="74">
        <v>549.99</v>
      </c>
    </row>
    <row r="1825" spans="1:4">
      <c r="A1825" t="s">
        <v>40</v>
      </c>
      <c r="B1825" s="73" t="s">
        <v>505</v>
      </c>
      <c r="C1825" s="74" t="s">
        <v>2309</v>
      </c>
      <c r="D1825" s="74">
        <v>249.99</v>
      </c>
    </row>
    <row r="1826" spans="1:4">
      <c r="A1826" t="s">
        <v>40</v>
      </c>
      <c r="B1826" s="53"/>
      <c r="C1826" s="74" t="s">
        <v>2310</v>
      </c>
      <c r="D1826" s="74">
        <v>439</v>
      </c>
    </row>
    <row r="1827" spans="1:4">
      <c r="A1827" t="s">
        <v>40</v>
      </c>
      <c r="B1827" s="73" t="s">
        <v>505</v>
      </c>
      <c r="C1827" s="74" t="s">
        <v>2311</v>
      </c>
      <c r="D1827" s="74">
        <v>169.99</v>
      </c>
    </row>
    <row r="1828" spans="1:4">
      <c r="A1828" t="s">
        <v>40</v>
      </c>
      <c r="B1828" s="73" t="s">
        <v>505</v>
      </c>
      <c r="C1828" s="74" t="s">
        <v>2312</v>
      </c>
      <c r="D1828" s="74">
        <v>554.99</v>
      </c>
    </row>
    <row r="1829" spans="1:4">
      <c r="A1829" t="s">
        <v>40</v>
      </c>
      <c r="B1829" s="73" t="s">
        <v>523</v>
      </c>
      <c r="C1829" s="74" t="s">
        <v>2313</v>
      </c>
      <c r="D1829" s="74">
        <v>151.99</v>
      </c>
    </row>
    <row r="1830" spans="1:4">
      <c r="A1830" t="s">
        <v>40</v>
      </c>
      <c r="B1830" s="73" t="s">
        <v>505</v>
      </c>
      <c r="C1830" s="74" t="s">
        <v>2314</v>
      </c>
      <c r="D1830" s="74">
        <v>162.44</v>
      </c>
    </row>
    <row r="1831" spans="1:4">
      <c r="A1831" t="s">
        <v>40</v>
      </c>
      <c r="B1831" s="73" t="s">
        <v>510</v>
      </c>
      <c r="C1831" s="74" t="s">
        <v>2308</v>
      </c>
      <c r="D1831" s="74">
        <v>539.99</v>
      </c>
    </row>
    <row r="1832" spans="1:4">
      <c r="A1832" t="s">
        <v>40</v>
      </c>
      <c r="B1832" s="73" t="s">
        <v>523</v>
      </c>
      <c r="C1832" s="74" t="s">
        <v>2315</v>
      </c>
      <c r="D1832" s="74">
        <v>214.99</v>
      </c>
    </row>
    <row r="1833" spans="1:4">
      <c r="A1833" t="s">
        <v>40</v>
      </c>
      <c r="B1833" s="73" t="s">
        <v>2316</v>
      </c>
      <c r="C1833" s="74" t="s">
        <v>2317</v>
      </c>
      <c r="D1833" s="74">
        <v>54.99</v>
      </c>
    </row>
    <row r="1834" spans="1:4">
      <c r="A1834" t="s">
        <v>40</v>
      </c>
      <c r="B1834" s="73" t="s">
        <v>1642</v>
      </c>
      <c r="C1834" s="74" t="s">
        <v>2318</v>
      </c>
      <c r="D1834" s="74">
        <v>279.99</v>
      </c>
    </row>
    <row r="1835" spans="1:4">
      <c r="A1835" t="s">
        <v>40</v>
      </c>
      <c r="B1835" s="73" t="s">
        <v>810</v>
      </c>
      <c r="C1835" s="74" t="s">
        <v>2319</v>
      </c>
      <c r="D1835" s="74">
        <v>264.99</v>
      </c>
    </row>
    <row r="1836" spans="1:4">
      <c r="A1836" t="s">
        <v>40</v>
      </c>
      <c r="B1836" s="73" t="s">
        <v>510</v>
      </c>
      <c r="C1836" s="74" t="s">
        <v>2320</v>
      </c>
      <c r="D1836" s="74">
        <v>124.99</v>
      </c>
    </row>
    <row r="1837" spans="1:4">
      <c r="A1837" t="s">
        <v>40</v>
      </c>
      <c r="B1837" s="73" t="s">
        <v>505</v>
      </c>
      <c r="C1837" s="74" t="s">
        <v>2321</v>
      </c>
      <c r="D1837" s="74">
        <v>269.99</v>
      </c>
    </row>
    <row r="1838" spans="1:4">
      <c r="A1838" t="s">
        <v>40</v>
      </c>
      <c r="B1838" s="73" t="s">
        <v>505</v>
      </c>
      <c r="C1838" s="74" t="s">
        <v>2322</v>
      </c>
      <c r="D1838" s="74">
        <v>339.99</v>
      </c>
    </row>
    <row r="1839" spans="1:4">
      <c r="A1839" t="s">
        <v>40</v>
      </c>
      <c r="B1839" s="73" t="s">
        <v>505</v>
      </c>
      <c r="C1839" s="74" t="s">
        <v>2323</v>
      </c>
      <c r="D1839" s="74">
        <v>94.99</v>
      </c>
    </row>
    <row r="1840" spans="1:4">
      <c r="A1840" t="s">
        <v>40</v>
      </c>
      <c r="B1840" s="73" t="s">
        <v>833</v>
      </c>
      <c r="C1840" s="74" t="s">
        <v>2324</v>
      </c>
      <c r="D1840" s="74">
        <v>59.99</v>
      </c>
    </row>
    <row r="1841" spans="1:4">
      <c r="A1841" t="s">
        <v>40</v>
      </c>
      <c r="B1841" s="73" t="s">
        <v>505</v>
      </c>
      <c r="C1841" s="74" t="s">
        <v>2325</v>
      </c>
      <c r="D1841" s="74">
        <v>479.99</v>
      </c>
    </row>
    <row r="1842" spans="1:4">
      <c r="A1842" t="s">
        <v>40</v>
      </c>
      <c r="B1842" s="73" t="s">
        <v>505</v>
      </c>
      <c r="C1842" s="74" t="s">
        <v>2326</v>
      </c>
      <c r="D1842" s="74">
        <v>279.99</v>
      </c>
    </row>
    <row r="1843" spans="1:4">
      <c r="A1843" t="s">
        <v>40</v>
      </c>
      <c r="B1843" s="73" t="s">
        <v>505</v>
      </c>
      <c r="C1843" s="74" t="s">
        <v>2327</v>
      </c>
      <c r="D1843" s="74">
        <v>249.99</v>
      </c>
    </row>
    <row r="1844" spans="1:4">
      <c r="A1844" t="s">
        <v>40</v>
      </c>
      <c r="B1844" s="73" t="s">
        <v>810</v>
      </c>
      <c r="C1844" s="74" t="s">
        <v>2328</v>
      </c>
      <c r="D1844" s="74">
        <v>269.99</v>
      </c>
    </row>
    <row r="1845" spans="1:4">
      <c r="A1845" t="s">
        <v>40</v>
      </c>
      <c r="B1845" s="73" t="s">
        <v>505</v>
      </c>
      <c r="C1845" s="74" t="s">
        <v>2329</v>
      </c>
      <c r="D1845" s="74">
        <v>179.99</v>
      </c>
    </row>
    <row r="1846" spans="1:4">
      <c r="A1846" t="s">
        <v>40</v>
      </c>
      <c r="B1846" s="73" t="s">
        <v>523</v>
      </c>
      <c r="C1846" s="74" t="s">
        <v>2330</v>
      </c>
      <c r="D1846" s="74">
        <v>274.99</v>
      </c>
    </row>
    <row r="1847" spans="1:4">
      <c r="A1847" t="s">
        <v>40</v>
      </c>
      <c r="B1847" s="73" t="s">
        <v>510</v>
      </c>
      <c r="C1847" s="74" t="s">
        <v>2331</v>
      </c>
      <c r="D1847" s="74">
        <v>549.99</v>
      </c>
    </row>
    <row r="1848" spans="1:4">
      <c r="A1848" t="s">
        <v>40</v>
      </c>
      <c r="B1848" s="73" t="s">
        <v>510</v>
      </c>
      <c r="C1848" s="74" t="s">
        <v>2332</v>
      </c>
      <c r="D1848" s="74">
        <v>165</v>
      </c>
    </row>
    <row r="1849" spans="1:4">
      <c r="A1849" t="s">
        <v>40</v>
      </c>
      <c r="B1849" s="73" t="s">
        <v>1642</v>
      </c>
      <c r="C1849" s="74" t="s">
        <v>2333</v>
      </c>
      <c r="D1849" s="74">
        <v>279.99</v>
      </c>
    </row>
    <row r="1850" spans="1:4">
      <c r="A1850" t="s">
        <v>40</v>
      </c>
      <c r="B1850" s="73" t="s">
        <v>2334</v>
      </c>
      <c r="C1850" s="74" t="s">
        <v>2335</v>
      </c>
      <c r="D1850" s="74">
        <v>149.99</v>
      </c>
    </row>
    <row r="1851" spans="1:4">
      <c r="A1851" t="s">
        <v>40</v>
      </c>
      <c r="B1851" s="73" t="s">
        <v>505</v>
      </c>
      <c r="C1851" s="74" t="s">
        <v>2336</v>
      </c>
      <c r="D1851" s="74">
        <v>269.99</v>
      </c>
    </row>
    <row r="1852" spans="1:4">
      <c r="A1852" t="s">
        <v>40</v>
      </c>
      <c r="B1852" s="73" t="s">
        <v>510</v>
      </c>
      <c r="C1852" s="74" t="s">
        <v>2337</v>
      </c>
      <c r="D1852" s="74">
        <v>449.99</v>
      </c>
    </row>
    <row r="1853" spans="1:4">
      <c r="A1853" t="s">
        <v>40</v>
      </c>
      <c r="B1853" s="73" t="s">
        <v>1642</v>
      </c>
      <c r="C1853" s="74" t="s">
        <v>2338</v>
      </c>
      <c r="D1853" s="74">
        <v>119.99</v>
      </c>
    </row>
    <row r="1854" spans="1:4">
      <c r="A1854" t="s">
        <v>40</v>
      </c>
      <c r="B1854" s="73" t="s">
        <v>1642</v>
      </c>
      <c r="C1854" s="74" t="s">
        <v>2339</v>
      </c>
      <c r="D1854" s="74">
        <v>135</v>
      </c>
    </row>
    <row r="1855" spans="1:4">
      <c r="A1855" t="s">
        <v>40</v>
      </c>
      <c r="B1855" s="73" t="s">
        <v>505</v>
      </c>
      <c r="C1855" s="74" t="s">
        <v>2340</v>
      </c>
      <c r="D1855" s="74">
        <v>279.99</v>
      </c>
    </row>
    <row r="1856" spans="1:4">
      <c r="A1856" t="s">
        <v>40</v>
      </c>
      <c r="B1856" s="73" t="s">
        <v>523</v>
      </c>
      <c r="C1856" s="74" t="s">
        <v>2341</v>
      </c>
      <c r="D1856" s="74">
        <v>259.20999999999998</v>
      </c>
    </row>
    <row r="1857" spans="1:4">
      <c r="A1857" t="s">
        <v>40</v>
      </c>
      <c r="B1857" s="73" t="s">
        <v>505</v>
      </c>
      <c r="C1857" s="74" t="s">
        <v>2342</v>
      </c>
      <c r="D1857" s="74">
        <v>374.99</v>
      </c>
    </row>
    <row r="1858" spans="1:4">
      <c r="A1858" t="s">
        <v>40</v>
      </c>
      <c r="B1858" s="73" t="s">
        <v>505</v>
      </c>
      <c r="C1858" s="74" t="s">
        <v>2343</v>
      </c>
      <c r="D1858" s="74">
        <v>909.99</v>
      </c>
    </row>
    <row r="1859" spans="1:4">
      <c r="A1859" t="s">
        <v>40</v>
      </c>
      <c r="B1859" s="73" t="s">
        <v>505</v>
      </c>
      <c r="C1859" s="74" t="s">
        <v>2344</v>
      </c>
      <c r="D1859" s="74">
        <v>239.99</v>
      </c>
    </row>
    <row r="1860" spans="1:4">
      <c r="A1860" t="s">
        <v>40</v>
      </c>
      <c r="B1860" s="73" t="s">
        <v>510</v>
      </c>
      <c r="C1860" s="74" t="s">
        <v>2345</v>
      </c>
      <c r="D1860" s="74">
        <v>399.99</v>
      </c>
    </row>
    <row r="1861" spans="1:4">
      <c r="A1861" t="s">
        <v>40</v>
      </c>
      <c r="B1861" s="73" t="s">
        <v>510</v>
      </c>
      <c r="C1861" s="74" t="s">
        <v>2346</v>
      </c>
      <c r="D1861" s="74">
        <v>509.99</v>
      </c>
    </row>
    <row r="1862" spans="1:4">
      <c r="A1862" t="s">
        <v>40</v>
      </c>
      <c r="B1862" s="73" t="s">
        <v>505</v>
      </c>
      <c r="C1862" s="74" t="s">
        <v>1059</v>
      </c>
      <c r="D1862" s="74">
        <v>419.99</v>
      </c>
    </row>
    <row r="1863" spans="1:4">
      <c r="A1863" t="s">
        <v>40</v>
      </c>
      <c r="B1863" s="73" t="s">
        <v>505</v>
      </c>
      <c r="C1863" s="74" t="s">
        <v>2347</v>
      </c>
      <c r="D1863" s="74">
        <v>130</v>
      </c>
    </row>
    <row r="1864" spans="1:4">
      <c r="A1864" t="s">
        <v>40</v>
      </c>
      <c r="B1864" s="73" t="s">
        <v>510</v>
      </c>
      <c r="C1864" s="74" t="s">
        <v>2348</v>
      </c>
      <c r="D1864" s="74">
        <v>239.99</v>
      </c>
    </row>
    <row r="1865" spans="1:4">
      <c r="A1865" t="s">
        <v>40</v>
      </c>
      <c r="B1865" s="73" t="s">
        <v>2334</v>
      </c>
      <c r="C1865" s="74" t="s">
        <v>2349</v>
      </c>
      <c r="D1865" s="74">
        <v>114.99</v>
      </c>
    </row>
    <row r="1866" spans="1:4">
      <c r="A1866" t="s">
        <v>40</v>
      </c>
      <c r="B1866" s="53"/>
      <c r="C1866" s="74" t="s">
        <v>2350</v>
      </c>
      <c r="D1866" s="74">
        <v>389</v>
      </c>
    </row>
    <row r="1867" spans="1:4">
      <c r="A1867" t="s">
        <v>40</v>
      </c>
      <c r="B1867" s="73" t="s">
        <v>523</v>
      </c>
      <c r="C1867" s="74" t="s">
        <v>2351</v>
      </c>
      <c r="D1867" s="74">
        <v>149.99</v>
      </c>
    </row>
    <row r="1868" spans="1:4">
      <c r="A1868" t="s">
        <v>40</v>
      </c>
      <c r="B1868" s="73" t="s">
        <v>510</v>
      </c>
      <c r="C1868" s="74" t="s">
        <v>2352</v>
      </c>
      <c r="D1868" s="74">
        <v>399.99</v>
      </c>
    </row>
    <row r="1869" spans="1:4">
      <c r="A1869" t="s">
        <v>40</v>
      </c>
      <c r="B1869" s="73" t="s">
        <v>510</v>
      </c>
      <c r="C1869" s="74" t="s">
        <v>2353</v>
      </c>
      <c r="D1869" s="74">
        <v>219.99</v>
      </c>
    </row>
    <row r="1870" spans="1:4">
      <c r="A1870" t="s">
        <v>40</v>
      </c>
      <c r="B1870" s="73" t="s">
        <v>510</v>
      </c>
      <c r="C1870" s="74" t="s">
        <v>2354</v>
      </c>
      <c r="D1870" s="74">
        <v>839.99</v>
      </c>
    </row>
    <row r="1871" spans="1:4">
      <c r="A1871" t="s">
        <v>40</v>
      </c>
      <c r="B1871" s="73" t="s">
        <v>510</v>
      </c>
      <c r="C1871" s="74" t="s">
        <v>2355</v>
      </c>
      <c r="D1871" s="74">
        <v>69.989999999999995</v>
      </c>
    </row>
    <row r="1872" spans="1:4">
      <c r="A1872" t="s">
        <v>40</v>
      </c>
      <c r="B1872" s="73" t="s">
        <v>510</v>
      </c>
      <c r="C1872" s="74" t="s">
        <v>2356</v>
      </c>
      <c r="D1872" s="74">
        <v>549.99</v>
      </c>
    </row>
    <row r="1873" spans="1:4">
      <c r="A1873" t="s">
        <v>40</v>
      </c>
      <c r="B1873" s="73" t="s">
        <v>523</v>
      </c>
      <c r="C1873" s="74" t="s">
        <v>2357</v>
      </c>
      <c r="D1873" s="74">
        <v>169.99</v>
      </c>
    </row>
    <row r="1874" spans="1:4">
      <c r="A1874" t="s">
        <v>40</v>
      </c>
      <c r="B1874" s="73" t="s">
        <v>510</v>
      </c>
      <c r="C1874" s="74" t="s">
        <v>2358</v>
      </c>
      <c r="D1874" s="74">
        <v>494.99</v>
      </c>
    </row>
    <row r="1875" spans="1:4">
      <c r="A1875" t="s">
        <v>40</v>
      </c>
      <c r="B1875" s="73" t="s">
        <v>505</v>
      </c>
      <c r="C1875" s="74" t="s">
        <v>2359</v>
      </c>
      <c r="D1875" s="74">
        <v>229.99</v>
      </c>
    </row>
    <row r="1876" spans="1:4">
      <c r="A1876" t="s">
        <v>40</v>
      </c>
      <c r="B1876" s="53"/>
      <c r="C1876" s="74" t="s">
        <v>2360</v>
      </c>
      <c r="D1876" s="74">
        <v>639</v>
      </c>
    </row>
    <row r="1877" spans="1:4">
      <c r="A1877" t="s">
        <v>40</v>
      </c>
      <c r="B1877" s="73" t="s">
        <v>510</v>
      </c>
      <c r="C1877" s="74" t="s">
        <v>2361</v>
      </c>
      <c r="D1877" s="74">
        <v>619.99</v>
      </c>
    </row>
    <row r="1878" spans="1:4">
      <c r="A1878" t="s">
        <v>40</v>
      </c>
      <c r="B1878" s="73" t="s">
        <v>510</v>
      </c>
      <c r="C1878" s="74" t="s">
        <v>2362</v>
      </c>
      <c r="D1878" s="74">
        <v>69.989999999999995</v>
      </c>
    </row>
    <row r="1879" spans="1:4">
      <c r="A1879" t="s">
        <v>40</v>
      </c>
      <c r="B1879" s="73" t="s">
        <v>810</v>
      </c>
      <c r="C1879" s="74" t="s">
        <v>2363</v>
      </c>
      <c r="D1879" s="74">
        <v>109.99</v>
      </c>
    </row>
    <row r="1880" spans="1:4">
      <c r="A1880" t="s">
        <v>40</v>
      </c>
      <c r="B1880" s="73" t="s">
        <v>510</v>
      </c>
      <c r="C1880" s="74" t="s">
        <v>2364</v>
      </c>
      <c r="D1880" s="74">
        <v>539.99</v>
      </c>
    </row>
    <row r="1881" spans="1:4">
      <c r="A1881" t="s">
        <v>40</v>
      </c>
      <c r="B1881" s="73" t="s">
        <v>510</v>
      </c>
      <c r="C1881" s="74" t="s">
        <v>2365</v>
      </c>
      <c r="D1881" s="74">
        <v>469.99</v>
      </c>
    </row>
    <row r="1882" spans="1:4">
      <c r="A1882" t="s">
        <v>40</v>
      </c>
      <c r="B1882" s="73" t="s">
        <v>510</v>
      </c>
      <c r="C1882" s="74" t="s">
        <v>1584</v>
      </c>
      <c r="D1882" s="74">
        <v>309.99</v>
      </c>
    </row>
    <row r="1883" spans="1:4">
      <c r="A1883" t="s">
        <v>40</v>
      </c>
      <c r="B1883" s="73" t="s">
        <v>510</v>
      </c>
      <c r="C1883" s="74" t="s">
        <v>2348</v>
      </c>
      <c r="D1883" s="74">
        <v>239.99</v>
      </c>
    </row>
    <row r="1884" spans="1:4">
      <c r="A1884" t="s">
        <v>40</v>
      </c>
      <c r="B1884" s="73" t="s">
        <v>810</v>
      </c>
      <c r="C1884" s="74" t="s">
        <v>2366</v>
      </c>
      <c r="D1884" s="74">
        <v>299.99</v>
      </c>
    </row>
    <row r="1885" spans="1:4">
      <c r="A1885" t="s">
        <v>40</v>
      </c>
      <c r="B1885" s="73" t="s">
        <v>510</v>
      </c>
      <c r="C1885" s="74" t="s">
        <v>2367</v>
      </c>
      <c r="D1885" s="74">
        <v>79.989999999999995</v>
      </c>
    </row>
    <row r="1886" spans="1:4">
      <c r="A1886" t="s">
        <v>40</v>
      </c>
      <c r="B1886" s="73" t="s">
        <v>523</v>
      </c>
      <c r="C1886" s="74" t="s">
        <v>2368</v>
      </c>
      <c r="D1886" s="74">
        <v>249.99</v>
      </c>
    </row>
    <row r="1887" spans="1:4">
      <c r="A1887" t="s">
        <v>40</v>
      </c>
      <c r="B1887" s="73" t="s">
        <v>510</v>
      </c>
      <c r="C1887" s="74" t="s">
        <v>2369</v>
      </c>
      <c r="D1887" s="74">
        <v>369.99</v>
      </c>
    </row>
    <row r="1888" spans="1:4">
      <c r="A1888" t="s">
        <v>40</v>
      </c>
      <c r="B1888" s="73" t="s">
        <v>510</v>
      </c>
      <c r="C1888" s="74" t="s">
        <v>2300</v>
      </c>
      <c r="D1888" s="74">
        <v>629.99</v>
      </c>
    </row>
    <row r="1889" spans="1:4">
      <c r="A1889" t="s">
        <v>40</v>
      </c>
      <c r="B1889" s="73" t="s">
        <v>510</v>
      </c>
      <c r="C1889" s="74" t="s">
        <v>2370</v>
      </c>
      <c r="D1889" s="74">
        <v>211.99</v>
      </c>
    </row>
    <row r="1890" spans="1:4">
      <c r="A1890" t="s">
        <v>40</v>
      </c>
      <c r="B1890" s="73" t="s">
        <v>510</v>
      </c>
      <c r="C1890" s="74" t="s">
        <v>2371</v>
      </c>
      <c r="D1890" s="74">
        <v>198.99</v>
      </c>
    </row>
    <row r="1891" spans="1:4">
      <c r="A1891" t="s">
        <v>40</v>
      </c>
      <c r="B1891" s="73" t="s">
        <v>523</v>
      </c>
      <c r="C1891" s="74" t="s">
        <v>2372</v>
      </c>
      <c r="D1891" s="74">
        <v>217.99</v>
      </c>
    </row>
    <row r="1892" spans="1:4">
      <c r="A1892" t="s">
        <v>40</v>
      </c>
      <c r="B1892" s="73" t="s">
        <v>505</v>
      </c>
      <c r="C1892" s="74" t="s">
        <v>2373</v>
      </c>
      <c r="D1892" s="74">
        <v>339.99</v>
      </c>
    </row>
    <row r="1893" spans="1:4">
      <c r="A1893" t="s">
        <v>40</v>
      </c>
      <c r="B1893" s="73" t="s">
        <v>510</v>
      </c>
      <c r="C1893" s="74" t="s">
        <v>2374</v>
      </c>
      <c r="D1893" s="74">
        <v>279.99</v>
      </c>
    </row>
    <row r="1894" spans="1:4">
      <c r="A1894" t="s">
        <v>40</v>
      </c>
      <c r="B1894" s="73" t="s">
        <v>510</v>
      </c>
      <c r="C1894" s="74" t="s">
        <v>2375</v>
      </c>
      <c r="D1894" s="74">
        <v>789.99</v>
      </c>
    </row>
    <row r="1895" spans="1:4">
      <c r="A1895" t="s">
        <v>40</v>
      </c>
      <c r="B1895" s="73" t="s">
        <v>529</v>
      </c>
      <c r="C1895" s="74" t="s">
        <v>559</v>
      </c>
      <c r="D1895" s="74">
        <v>94.79</v>
      </c>
    </row>
    <row r="1896" spans="1:4">
      <c r="A1896" t="s">
        <v>40</v>
      </c>
      <c r="B1896" s="73" t="s">
        <v>510</v>
      </c>
      <c r="C1896" s="74" t="s">
        <v>2376</v>
      </c>
      <c r="D1896" s="74">
        <v>119.49</v>
      </c>
    </row>
    <row r="1897" spans="1:4">
      <c r="A1897" t="s">
        <v>40</v>
      </c>
      <c r="B1897" s="73" t="s">
        <v>505</v>
      </c>
      <c r="C1897" s="74" t="s">
        <v>2377</v>
      </c>
      <c r="D1897" s="74">
        <v>521.97</v>
      </c>
    </row>
    <row r="1898" spans="1:4">
      <c r="A1898" t="s">
        <v>40</v>
      </c>
      <c r="B1898" s="73" t="s">
        <v>510</v>
      </c>
      <c r="C1898" s="74" t="s">
        <v>2378</v>
      </c>
      <c r="D1898" s="74">
        <v>186.78</v>
      </c>
    </row>
    <row r="1899" spans="1:4">
      <c r="A1899" t="s">
        <v>40</v>
      </c>
      <c r="B1899" s="73" t="s">
        <v>510</v>
      </c>
      <c r="C1899" s="74" t="s">
        <v>2379</v>
      </c>
      <c r="D1899" s="74">
        <v>268.99</v>
      </c>
    </row>
    <row r="1900" spans="1:4">
      <c r="A1900" t="s">
        <v>40</v>
      </c>
      <c r="B1900" s="73" t="s">
        <v>505</v>
      </c>
      <c r="C1900" s="74" t="s">
        <v>2380</v>
      </c>
      <c r="D1900" s="74">
        <v>459</v>
      </c>
    </row>
    <row r="1901" spans="1:4">
      <c r="A1901" t="s">
        <v>40</v>
      </c>
      <c r="B1901" s="73" t="s">
        <v>505</v>
      </c>
      <c r="C1901" s="74" t="s">
        <v>2381</v>
      </c>
      <c r="D1901" s="74">
        <v>584.99</v>
      </c>
    </row>
    <row r="1902" spans="1:4">
      <c r="A1902" t="s">
        <v>40</v>
      </c>
      <c r="B1902" s="73" t="s">
        <v>505</v>
      </c>
      <c r="C1902" s="74" t="s">
        <v>2382</v>
      </c>
      <c r="D1902" s="74">
        <v>331.97</v>
      </c>
    </row>
    <row r="1903" spans="1:4">
      <c r="A1903" t="s">
        <v>40</v>
      </c>
      <c r="B1903" s="73" t="s">
        <v>1022</v>
      </c>
      <c r="C1903" s="74" t="s">
        <v>2383</v>
      </c>
      <c r="D1903" s="74">
        <v>504.99</v>
      </c>
    </row>
    <row r="1904" spans="1:4">
      <c r="A1904" t="s">
        <v>40</v>
      </c>
      <c r="B1904" s="73" t="s">
        <v>833</v>
      </c>
      <c r="C1904" s="74" t="s">
        <v>834</v>
      </c>
      <c r="D1904" s="74">
        <v>72.69</v>
      </c>
    </row>
    <row r="1905" spans="1:4">
      <c r="A1905" t="s">
        <v>40</v>
      </c>
      <c r="B1905" s="73" t="s">
        <v>505</v>
      </c>
      <c r="C1905" s="74" t="s">
        <v>2384</v>
      </c>
      <c r="D1905" s="74">
        <v>79.98</v>
      </c>
    </row>
    <row r="1906" spans="1:4">
      <c r="A1906" t="s">
        <v>40</v>
      </c>
      <c r="B1906" s="73" t="s">
        <v>523</v>
      </c>
      <c r="C1906" s="74" t="s">
        <v>2385</v>
      </c>
      <c r="D1906" s="74">
        <v>361.97</v>
      </c>
    </row>
    <row r="1907" spans="1:4">
      <c r="A1907" t="s">
        <v>40</v>
      </c>
      <c r="B1907" s="73" t="s">
        <v>510</v>
      </c>
      <c r="C1907" s="74" t="s">
        <v>2386</v>
      </c>
      <c r="D1907" s="74">
        <v>674.69</v>
      </c>
    </row>
    <row r="1908" spans="1:4">
      <c r="A1908" t="s">
        <v>40</v>
      </c>
      <c r="B1908" s="73" t="s">
        <v>505</v>
      </c>
      <c r="C1908" s="74" t="s">
        <v>2387</v>
      </c>
      <c r="D1908" s="74">
        <v>521.97</v>
      </c>
    </row>
    <row r="1909" spans="1:4">
      <c r="A1909" t="s">
        <v>40</v>
      </c>
      <c r="B1909" s="73" t="s">
        <v>510</v>
      </c>
      <c r="C1909" s="74" t="s">
        <v>2388</v>
      </c>
      <c r="D1909" s="74">
        <v>279.99</v>
      </c>
    </row>
    <row r="1910" spans="1:4">
      <c r="A1910" t="s">
        <v>40</v>
      </c>
      <c r="B1910" s="73" t="s">
        <v>523</v>
      </c>
      <c r="C1910" s="74" t="s">
        <v>2389</v>
      </c>
      <c r="D1910" s="74">
        <v>361.97</v>
      </c>
    </row>
    <row r="1911" spans="1:4">
      <c r="A1911" t="s">
        <v>40</v>
      </c>
      <c r="B1911" s="73" t="s">
        <v>510</v>
      </c>
      <c r="C1911" s="74" t="s">
        <v>2390</v>
      </c>
      <c r="D1911" s="74">
        <v>151.94999999999999</v>
      </c>
    </row>
    <row r="1912" spans="1:4">
      <c r="A1912" t="s">
        <v>40</v>
      </c>
      <c r="B1912" s="73" t="s">
        <v>505</v>
      </c>
      <c r="C1912" s="74" t="s">
        <v>2391</v>
      </c>
      <c r="D1912" s="74">
        <v>709.59</v>
      </c>
    </row>
    <row r="1913" spans="1:4">
      <c r="A1913" t="s">
        <v>40</v>
      </c>
      <c r="B1913" s="73" t="s">
        <v>510</v>
      </c>
      <c r="C1913" s="74" t="s">
        <v>2392</v>
      </c>
      <c r="D1913" s="74">
        <v>324.99</v>
      </c>
    </row>
    <row r="1914" spans="1:4">
      <c r="A1914" t="s">
        <v>40</v>
      </c>
      <c r="B1914" s="73" t="s">
        <v>505</v>
      </c>
      <c r="C1914" s="74" t="s">
        <v>2393</v>
      </c>
      <c r="D1914" s="74">
        <v>429.99</v>
      </c>
    </row>
    <row r="1915" spans="1:4" ht="21">
      <c r="A1915" t="s">
        <v>40</v>
      </c>
      <c r="B1915" s="73" t="s">
        <v>505</v>
      </c>
      <c r="C1915" s="74" t="s">
        <v>2394</v>
      </c>
      <c r="D1915" s="74">
        <v>80</v>
      </c>
    </row>
    <row r="1916" spans="1:4">
      <c r="A1916" t="s">
        <v>40</v>
      </c>
      <c r="B1916" s="73" t="s">
        <v>505</v>
      </c>
      <c r="C1916" s="74" t="s">
        <v>2395</v>
      </c>
      <c r="D1916" s="74">
        <v>639.79</v>
      </c>
    </row>
    <row r="1917" spans="1:4">
      <c r="A1917" t="s">
        <v>40</v>
      </c>
      <c r="B1917" s="73" t="s">
        <v>505</v>
      </c>
      <c r="C1917" s="74" t="s">
        <v>2396</v>
      </c>
      <c r="D1917" s="74">
        <v>379.49</v>
      </c>
    </row>
    <row r="1918" spans="1:4">
      <c r="A1918" t="s">
        <v>40</v>
      </c>
      <c r="B1918" s="73" t="s">
        <v>810</v>
      </c>
      <c r="C1918" s="74" t="s">
        <v>2397</v>
      </c>
      <c r="D1918" s="74">
        <v>216.97</v>
      </c>
    </row>
    <row r="1919" spans="1:4">
      <c r="A1919" t="s">
        <v>40</v>
      </c>
      <c r="B1919" s="73" t="s">
        <v>505</v>
      </c>
      <c r="C1919" s="74" t="s">
        <v>2398</v>
      </c>
      <c r="D1919" s="74">
        <v>598.79</v>
      </c>
    </row>
    <row r="1920" spans="1:4">
      <c r="A1920" t="s">
        <v>40</v>
      </c>
      <c r="B1920" s="73" t="s">
        <v>505</v>
      </c>
      <c r="C1920" s="74" t="s">
        <v>2399</v>
      </c>
      <c r="D1920" s="74">
        <v>339.49</v>
      </c>
    </row>
    <row r="1921" spans="1:4">
      <c r="A1921" t="s">
        <v>40</v>
      </c>
      <c r="B1921" s="73" t="s">
        <v>505</v>
      </c>
      <c r="C1921" s="74" t="s">
        <v>2400</v>
      </c>
      <c r="D1921" s="74">
        <v>639.79</v>
      </c>
    </row>
    <row r="1922" spans="1:4">
      <c r="A1922" t="s">
        <v>40</v>
      </c>
      <c r="B1922" s="73" t="s">
        <v>510</v>
      </c>
      <c r="C1922" s="74" t="s">
        <v>2401</v>
      </c>
      <c r="D1922" s="74">
        <v>439.99</v>
      </c>
    </row>
    <row r="1923" spans="1:4">
      <c r="A1923" t="s">
        <v>40</v>
      </c>
      <c r="B1923" s="73" t="s">
        <v>510</v>
      </c>
      <c r="C1923" s="74" t="s">
        <v>2402</v>
      </c>
      <c r="D1923" s="74">
        <v>254.99</v>
      </c>
    </row>
    <row r="1924" spans="1:4">
      <c r="A1924" t="s">
        <v>40</v>
      </c>
      <c r="B1924" s="73" t="s">
        <v>510</v>
      </c>
      <c r="C1924" s="74" t="s">
        <v>2403</v>
      </c>
      <c r="D1924" s="74">
        <v>349.25</v>
      </c>
    </row>
    <row r="1925" spans="1:4">
      <c r="A1925" t="s">
        <v>40</v>
      </c>
      <c r="B1925" s="73" t="s">
        <v>810</v>
      </c>
      <c r="C1925" s="74" t="s">
        <v>2404</v>
      </c>
      <c r="D1925" s="74">
        <v>172.99</v>
      </c>
    </row>
    <row r="1926" spans="1:4">
      <c r="A1926" t="s">
        <v>40</v>
      </c>
      <c r="B1926" s="73" t="s">
        <v>510</v>
      </c>
      <c r="C1926" s="74" t="s">
        <v>2405</v>
      </c>
      <c r="D1926" s="74">
        <v>254.99</v>
      </c>
    </row>
    <row r="1927" spans="1:4">
      <c r="A1927" t="s">
        <v>40</v>
      </c>
      <c r="B1927" s="73" t="s">
        <v>505</v>
      </c>
      <c r="C1927" s="74" t="s">
        <v>2406</v>
      </c>
      <c r="D1927" s="74">
        <v>876.97</v>
      </c>
    </row>
    <row r="1928" spans="1:4">
      <c r="A1928" t="s">
        <v>40</v>
      </c>
      <c r="B1928" s="73" t="s">
        <v>510</v>
      </c>
      <c r="C1928" s="74" t="s">
        <v>2407</v>
      </c>
      <c r="D1928" s="74">
        <v>208.99</v>
      </c>
    </row>
    <row r="1929" spans="1:4">
      <c r="A1929" t="s">
        <v>40</v>
      </c>
      <c r="B1929" s="73" t="s">
        <v>510</v>
      </c>
      <c r="C1929" s="74" t="s">
        <v>2408</v>
      </c>
      <c r="D1929" s="74">
        <v>308.99</v>
      </c>
    </row>
    <row r="1930" spans="1:4">
      <c r="A1930" t="s">
        <v>40</v>
      </c>
      <c r="B1930" s="73" t="s">
        <v>505</v>
      </c>
      <c r="C1930" s="74" t="s">
        <v>2409</v>
      </c>
      <c r="D1930" s="74">
        <v>69</v>
      </c>
    </row>
    <row r="1931" spans="1:4">
      <c r="A1931" t="s">
        <v>40</v>
      </c>
      <c r="B1931" s="73" t="s">
        <v>510</v>
      </c>
      <c r="C1931" s="74" t="s">
        <v>2410</v>
      </c>
      <c r="D1931" s="74">
        <v>499</v>
      </c>
    </row>
    <row r="1932" spans="1:4">
      <c r="A1932" t="s">
        <v>40</v>
      </c>
      <c r="B1932" s="73" t="s">
        <v>505</v>
      </c>
      <c r="C1932" s="74" t="s">
        <v>2411</v>
      </c>
      <c r="D1932" s="74">
        <v>949.69</v>
      </c>
    </row>
    <row r="1933" spans="1:4">
      <c r="A1933" t="s">
        <v>40</v>
      </c>
      <c r="B1933" s="73" t="s">
        <v>505</v>
      </c>
      <c r="C1933" s="74" t="s">
        <v>2412</v>
      </c>
      <c r="D1933" s="74">
        <v>304.99</v>
      </c>
    </row>
    <row r="1934" spans="1:4">
      <c r="A1934" t="s">
        <v>40</v>
      </c>
      <c r="B1934" s="73" t="s">
        <v>510</v>
      </c>
      <c r="C1934" s="74" t="s">
        <v>2413</v>
      </c>
      <c r="D1934" s="74">
        <v>459.99</v>
      </c>
    </row>
    <row r="1935" spans="1:4">
      <c r="A1935" t="s">
        <v>40</v>
      </c>
      <c r="B1935" s="73" t="s">
        <v>579</v>
      </c>
      <c r="C1935" s="74" t="s">
        <v>2414</v>
      </c>
      <c r="D1935" s="74">
        <v>224</v>
      </c>
    </row>
    <row r="1936" spans="1:4">
      <c r="A1936" t="s">
        <v>40</v>
      </c>
      <c r="B1936" s="73" t="s">
        <v>510</v>
      </c>
      <c r="C1936" s="74" t="s">
        <v>2415</v>
      </c>
      <c r="D1936" s="74">
        <v>119.49</v>
      </c>
    </row>
    <row r="1937" spans="1:4">
      <c r="A1937" t="s">
        <v>40</v>
      </c>
      <c r="B1937" s="73" t="s">
        <v>510</v>
      </c>
      <c r="C1937" s="74" t="s">
        <v>2416</v>
      </c>
      <c r="D1937" s="74">
        <v>375.99</v>
      </c>
    </row>
    <row r="1938" spans="1:4">
      <c r="A1938" t="s">
        <v>40</v>
      </c>
      <c r="B1938" s="73" t="s">
        <v>505</v>
      </c>
      <c r="C1938" s="74" t="s">
        <v>2417</v>
      </c>
      <c r="D1938" s="74">
        <v>134.99</v>
      </c>
    </row>
    <row r="1939" spans="1:4">
      <c r="A1939" t="s">
        <v>40</v>
      </c>
      <c r="B1939" s="73" t="s">
        <v>505</v>
      </c>
      <c r="C1939" s="74" t="s">
        <v>2418</v>
      </c>
      <c r="D1939" s="74">
        <v>649.95000000000005</v>
      </c>
    </row>
    <row r="1940" spans="1:4">
      <c r="A1940" t="s">
        <v>40</v>
      </c>
      <c r="B1940" s="73" t="s">
        <v>523</v>
      </c>
      <c r="C1940" s="74" t="s">
        <v>2419</v>
      </c>
      <c r="D1940" s="74">
        <v>96.97</v>
      </c>
    </row>
    <row r="1941" spans="1:4">
      <c r="A1941" t="s">
        <v>40</v>
      </c>
      <c r="B1941" s="73" t="s">
        <v>505</v>
      </c>
      <c r="C1941" s="74" t="s">
        <v>2420</v>
      </c>
      <c r="D1941" s="74">
        <v>149.99</v>
      </c>
    </row>
    <row r="1942" spans="1:4">
      <c r="A1942" t="s">
        <v>40</v>
      </c>
      <c r="B1942" s="73" t="s">
        <v>510</v>
      </c>
      <c r="C1942" s="74" t="s">
        <v>2421</v>
      </c>
      <c r="D1942" s="74">
        <v>899.99</v>
      </c>
    </row>
    <row r="1943" spans="1:4">
      <c r="A1943" t="s">
        <v>40</v>
      </c>
      <c r="B1943" s="73" t="s">
        <v>523</v>
      </c>
      <c r="C1943" s="74" t="s">
        <v>2422</v>
      </c>
      <c r="D1943" s="74">
        <v>174.99</v>
      </c>
    </row>
    <row r="1944" spans="1:4">
      <c r="A1944" t="s">
        <v>40</v>
      </c>
      <c r="B1944" s="73" t="s">
        <v>510</v>
      </c>
      <c r="C1944" s="74" t="s">
        <v>1283</v>
      </c>
      <c r="D1944" s="74">
        <v>579.69000000000005</v>
      </c>
    </row>
    <row r="1945" spans="1:4">
      <c r="A1945" t="s">
        <v>40</v>
      </c>
      <c r="B1945" s="19" t="s">
        <v>1520</v>
      </c>
      <c r="C1945" s="74" t="s">
        <v>2423</v>
      </c>
      <c r="D1945" s="74">
        <v>32.99</v>
      </c>
    </row>
    <row r="1946" spans="1:4">
      <c r="A1946" t="s">
        <v>40</v>
      </c>
      <c r="B1946" s="73" t="s">
        <v>505</v>
      </c>
      <c r="C1946" s="74" t="s">
        <v>2424</v>
      </c>
      <c r="D1946" s="74">
        <v>259.99</v>
      </c>
    </row>
    <row r="1947" spans="1:4">
      <c r="A1947" t="s">
        <v>40</v>
      </c>
      <c r="B1947" s="73" t="s">
        <v>810</v>
      </c>
      <c r="C1947" s="74" t="s">
        <v>2425</v>
      </c>
      <c r="D1947" s="74">
        <v>179.99</v>
      </c>
    </row>
    <row r="1948" spans="1:4">
      <c r="A1948" t="s">
        <v>40</v>
      </c>
      <c r="B1948" s="73" t="s">
        <v>579</v>
      </c>
      <c r="C1948" s="74" t="s">
        <v>2426</v>
      </c>
      <c r="D1948" s="74">
        <v>456</v>
      </c>
    </row>
    <row r="1949" spans="1:4">
      <c r="A1949" t="s">
        <v>40</v>
      </c>
      <c r="B1949" s="73" t="s">
        <v>505</v>
      </c>
      <c r="C1949" s="74" t="s">
        <v>2427</v>
      </c>
      <c r="D1949" s="74">
        <v>219.99</v>
      </c>
    </row>
    <row r="1950" spans="1:4">
      <c r="A1950" t="s">
        <v>40</v>
      </c>
      <c r="B1950" s="73" t="s">
        <v>505</v>
      </c>
      <c r="C1950" s="74" t="s">
        <v>2428</v>
      </c>
      <c r="D1950" s="74">
        <v>304.99</v>
      </c>
    </row>
    <row r="1951" spans="1:4">
      <c r="A1951" t="s">
        <v>40</v>
      </c>
      <c r="B1951" s="73" t="s">
        <v>529</v>
      </c>
      <c r="C1951" s="74" t="s">
        <v>2429</v>
      </c>
      <c r="D1951" s="74">
        <v>154.99</v>
      </c>
    </row>
    <row r="1952" spans="1:4">
      <c r="A1952" t="s">
        <v>40</v>
      </c>
      <c r="B1952" s="73" t="s">
        <v>510</v>
      </c>
      <c r="C1952" s="74" t="s">
        <v>2430</v>
      </c>
      <c r="D1952" s="74">
        <v>620</v>
      </c>
    </row>
    <row r="1953" spans="1:4">
      <c r="A1953" t="s">
        <v>40</v>
      </c>
      <c r="B1953" s="73" t="s">
        <v>510</v>
      </c>
      <c r="C1953" s="74" t="s">
        <v>2431</v>
      </c>
      <c r="D1953" s="74">
        <v>709.49</v>
      </c>
    </row>
    <row r="1954" spans="1:4">
      <c r="A1954" t="s">
        <v>40</v>
      </c>
      <c r="B1954" s="73" t="s">
        <v>510</v>
      </c>
      <c r="C1954" s="74" t="s">
        <v>2432</v>
      </c>
      <c r="D1954" s="74">
        <v>399.69</v>
      </c>
    </row>
    <row r="1955" spans="1:4">
      <c r="A1955" t="s">
        <v>40</v>
      </c>
      <c r="B1955" s="73" t="s">
        <v>505</v>
      </c>
      <c r="C1955" s="74" t="s">
        <v>2433</v>
      </c>
      <c r="D1955" s="74">
        <v>209.95</v>
      </c>
    </row>
    <row r="1956" spans="1:4">
      <c r="A1956" t="s">
        <v>40</v>
      </c>
      <c r="B1956" s="73" t="s">
        <v>810</v>
      </c>
      <c r="C1956" s="74" t="s">
        <v>2434</v>
      </c>
      <c r="D1956" s="74">
        <v>199.99</v>
      </c>
    </row>
    <row r="1957" spans="1:4">
      <c r="A1957" t="s">
        <v>40</v>
      </c>
      <c r="B1957" s="73" t="s">
        <v>505</v>
      </c>
      <c r="C1957" s="74" t="s">
        <v>2435</v>
      </c>
      <c r="D1957" s="74">
        <v>275</v>
      </c>
    </row>
    <row r="1958" spans="1:4">
      <c r="A1958" t="s">
        <v>40</v>
      </c>
      <c r="B1958" s="73" t="s">
        <v>505</v>
      </c>
      <c r="C1958" s="74" t="s">
        <v>2436</v>
      </c>
      <c r="D1958" s="74">
        <v>309.95</v>
      </c>
    </row>
    <row r="1959" spans="1:4">
      <c r="A1959" t="s">
        <v>40</v>
      </c>
      <c r="B1959" s="73" t="s">
        <v>505</v>
      </c>
      <c r="C1959" s="74" t="s">
        <v>2437</v>
      </c>
      <c r="D1959" s="74">
        <v>395.99</v>
      </c>
    </row>
    <row r="1960" spans="1:4">
      <c r="A1960" t="s">
        <v>40</v>
      </c>
      <c r="B1960" s="73" t="s">
        <v>510</v>
      </c>
      <c r="C1960" s="74" t="s">
        <v>2438</v>
      </c>
      <c r="D1960" s="74">
        <v>288.99</v>
      </c>
    </row>
    <row r="1961" spans="1:4">
      <c r="A1961" t="s">
        <v>40</v>
      </c>
      <c r="B1961" s="73" t="s">
        <v>505</v>
      </c>
      <c r="C1961" s="74" t="s">
        <v>2439</v>
      </c>
      <c r="D1961" s="74">
        <v>529.97</v>
      </c>
    </row>
    <row r="1962" spans="1:4">
      <c r="A1962" t="s">
        <v>40</v>
      </c>
      <c r="B1962" s="73" t="s">
        <v>505</v>
      </c>
      <c r="C1962" s="74" t="s">
        <v>2440</v>
      </c>
      <c r="D1962" s="74">
        <v>124.99</v>
      </c>
    </row>
    <row r="1963" spans="1:4">
      <c r="A1963" t="s">
        <v>40</v>
      </c>
      <c r="B1963" s="73" t="s">
        <v>561</v>
      </c>
      <c r="C1963" s="74" t="s">
        <v>2441</v>
      </c>
      <c r="D1963" s="74">
        <v>139.97999999999999</v>
      </c>
    </row>
    <row r="1964" spans="1:4">
      <c r="A1964" t="s">
        <v>40</v>
      </c>
      <c r="B1964" s="73" t="s">
        <v>510</v>
      </c>
      <c r="C1964" s="74" t="s">
        <v>2442</v>
      </c>
      <c r="D1964" s="74">
        <v>353</v>
      </c>
    </row>
    <row r="1965" spans="1:4">
      <c r="A1965" t="s">
        <v>40</v>
      </c>
      <c r="B1965" s="73" t="s">
        <v>505</v>
      </c>
      <c r="C1965" s="74" t="s">
        <v>2443</v>
      </c>
      <c r="D1965" s="74">
        <v>869.99</v>
      </c>
    </row>
    <row r="1966" spans="1:4">
      <c r="A1966" t="s">
        <v>40</v>
      </c>
      <c r="B1966" s="73" t="s">
        <v>510</v>
      </c>
      <c r="C1966" s="74" t="s">
        <v>2444</v>
      </c>
      <c r="D1966" s="74">
        <v>449.99</v>
      </c>
    </row>
    <row r="1967" spans="1:4">
      <c r="A1967" t="s">
        <v>40</v>
      </c>
      <c r="B1967" s="73" t="s">
        <v>505</v>
      </c>
      <c r="C1967" s="74" t="s">
        <v>2445</v>
      </c>
      <c r="D1967" s="74">
        <v>669.69</v>
      </c>
    </row>
    <row r="1968" spans="1:4">
      <c r="A1968" t="s">
        <v>40</v>
      </c>
      <c r="B1968" s="73" t="s">
        <v>505</v>
      </c>
      <c r="C1968" s="74" t="s">
        <v>2446</v>
      </c>
      <c r="D1968" s="74">
        <v>299.29000000000002</v>
      </c>
    </row>
    <row r="1969" spans="1:4">
      <c r="A1969" t="s">
        <v>40</v>
      </c>
      <c r="B1969" s="73" t="s">
        <v>505</v>
      </c>
      <c r="C1969" s="74" t="s">
        <v>2447</v>
      </c>
      <c r="D1969" s="74">
        <v>109.99</v>
      </c>
    </row>
    <row r="1970" spans="1:4">
      <c r="A1970" t="s">
        <v>40</v>
      </c>
      <c r="B1970" s="73" t="s">
        <v>510</v>
      </c>
      <c r="C1970" s="74" t="s">
        <v>2448</v>
      </c>
      <c r="D1970" s="74">
        <v>150</v>
      </c>
    </row>
    <row r="1971" spans="1:4">
      <c r="A1971" t="s">
        <v>40</v>
      </c>
      <c r="B1971" s="73" t="s">
        <v>561</v>
      </c>
      <c r="C1971" s="74" t="s">
        <v>2449</v>
      </c>
      <c r="D1971" s="74">
        <v>144.99</v>
      </c>
    </row>
    <row r="1972" spans="1:4">
      <c r="A1972" t="s">
        <v>40</v>
      </c>
      <c r="B1972" s="73" t="s">
        <v>505</v>
      </c>
      <c r="C1972" s="74" t="s">
        <v>2450</v>
      </c>
      <c r="D1972" s="74">
        <v>124.99</v>
      </c>
    </row>
    <row r="1973" spans="1:4">
      <c r="A1973" t="s">
        <v>40</v>
      </c>
      <c r="B1973" s="73" t="s">
        <v>510</v>
      </c>
      <c r="C1973" s="74" t="s">
        <v>2451</v>
      </c>
      <c r="D1973" s="74">
        <v>268.99</v>
      </c>
    </row>
    <row r="1974" spans="1:4">
      <c r="A1974" t="s">
        <v>40</v>
      </c>
      <c r="B1974" s="73" t="s">
        <v>523</v>
      </c>
      <c r="C1974" s="74" t="s">
        <v>2452</v>
      </c>
      <c r="D1974" s="74">
        <v>361.97</v>
      </c>
    </row>
    <row r="1975" spans="1:4">
      <c r="A1975" t="s">
        <v>40</v>
      </c>
      <c r="B1975" s="73" t="s">
        <v>505</v>
      </c>
      <c r="C1975" s="74" t="s">
        <v>2453</v>
      </c>
      <c r="D1975" s="74">
        <v>397.99</v>
      </c>
    </row>
    <row r="1976" spans="1:4">
      <c r="A1976" t="s">
        <v>40</v>
      </c>
      <c r="B1976" s="73" t="s">
        <v>505</v>
      </c>
      <c r="C1976" s="74" t="s">
        <v>2454</v>
      </c>
      <c r="D1976" s="74">
        <v>802</v>
      </c>
    </row>
    <row r="1977" spans="1:4">
      <c r="A1977" t="s">
        <v>40</v>
      </c>
      <c r="B1977" s="73" t="s">
        <v>510</v>
      </c>
      <c r="C1977" s="74" t="s">
        <v>2455</v>
      </c>
      <c r="D1977" s="74">
        <v>1194.79</v>
      </c>
    </row>
    <row r="1978" spans="1:4">
      <c r="A1978" t="s">
        <v>40</v>
      </c>
      <c r="B1978" s="73" t="s">
        <v>510</v>
      </c>
      <c r="C1978" s="74" t="s">
        <v>2456</v>
      </c>
      <c r="D1978" s="74">
        <v>268.99</v>
      </c>
    </row>
    <row r="1979" spans="1:4">
      <c r="A1979" t="s">
        <v>40</v>
      </c>
      <c r="B1979" s="73" t="s">
        <v>505</v>
      </c>
      <c r="C1979" s="74" t="s">
        <v>2457</v>
      </c>
      <c r="D1979" s="74">
        <v>449</v>
      </c>
    </row>
    <row r="1980" spans="1:4">
      <c r="A1980" t="s">
        <v>40</v>
      </c>
      <c r="B1980" s="73" t="s">
        <v>546</v>
      </c>
      <c r="C1980" s="74" t="s">
        <v>2458</v>
      </c>
      <c r="D1980" s="74">
        <v>60</v>
      </c>
    </row>
    <row r="1981" spans="1:4">
      <c r="A1981" t="s">
        <v>40</v>
      </c>
      <c r="B1981" s="73" t="s">
        <v>505</v>
      </c>
      <c r="C1981" s="74" t="s">
        <v>2459</v>
      </c>
      <c r="D1981" s="74">
        <v>339.49</v>
      </c>
    </row>
    <row r="1982" spans="1:4">
      <c r="A1982" t="s">
        <v>40</v>
      </c>
      <c r="B1982" s="73" t="s">
        <v>505</v>
      </c>
      <c r="C1982" s="74" t="s">
        <v>2460</v>
      </c>
      <c r="D1982" s="74">
        <v>219.99</v>
      </c>
    </row>
    <row r="1983" spans="1:4">
      <c r="A1983" t="s">
        <v>40</v>
      </c>
      <c r="B1983" s="73" t="s">
        <v>510</v>
      </c>
      <c r="C1983" s="74" t="s">
        <v>2461</v>
      </c>
      <c r="D1983" s="74">
        <v>119.99</v>
      </c>
    </row>
    <row r="1984" spans="1:4">
      <c r="A1984" t="s">
        <v>40</v>
      </c>
      <c r="B1984" s="73" t="s">
        <v>505</v>
      </c>
      <c r="C1984" s="74" t="s">
        <v>748</v>
      </c>
      <c r="D1984" s="74">
        <v>719.69</v>
      </c>
    </row>
    <row r="1985" spans="1:4">
      <c r="A1985" t="s">
        <v>40</v>
      </c>
      <c r="B1985" s="73" t="s">
        <v>510</v>
      </c>
      <c r="C1985" s="74" t="s">
        <v>2462</v>
      </c>
      <c r="D1985" s="74">
        <v>399.99</v>
      </c>
    </row>
    <row r="1986" spans="1:4">
      <c r="A1986" t="s">
        <v>40</v>
      </c>
      <c r="B1986" s="73" t="s">
        <v>810</v>
      </c>
      <c r="C1986" s="74" t="s">
        <v>2463</v>
      </c>
      <c r="D1986" s="74">
        <v>379.99</v>
      </c>
    </row>
    <row r="1987" spans="1:4">
      <c r="A1987" t="s">
        <v>40</v>
      </c>
      <c r="B1987" s="73" t="s">
        <v>510</v>
      </c>
      <c r="C1987" s="74" t="s">
        <v>2464</v>
      </c>
      <c r="D1987" s="74">
        <v>454.99</v>
      </c>
    </row>
    <row r="1988" spans="1:4">
      <c r="A1988" t="s">
        <v>40</v>
      </c>
      <c r="B1988" s="73" t="s">
        <v>561</v>
      </c>
      <c r="C1988" s="74" t="s">
        <v>2465</v>
      </c>
      <c r="D1988" s="74">
        <v>159</v>
      </c>
    </row>
    <row r="1989" spans="1:4" ht="21">
      <c r="A1989" t="s">
        <v>40</v>
      </c>
      <c r="B1989" s="73" t="s">
        <v>505</v>
      </c>
      <c r="C1989" s="74" t="s">
        <v>1975</v>
      </c>
      <c r="D1989" s="74">
        <v>77.69</v>
      </c>
    </row>
    <row r="1990" spans="1:4">
      <c r="A1990" t="s">
        <v>40</v>
      </c>
      <c r="B1990" s="73" t="s">
        <v>510</v>
      </c>
      <c r="C1990" s="74" t="s">
        <v>2466</v>
      </c>
      <c r="D1990" s="74">
        <v>99.95</v>
      </c>
    </row>
    <row r="1991" spans="1:4">
      <c r="A1991" t="s">
        <v>40</v>
      </c>
      <c r="B1991" s="73" t="s">
        <v>510</v>
      </c>
      <c r="C1991" s="74" t="s">
        <v>2467</v>
      </c>
      <c r="D1991" s="74">
        <v>339.99</v>
      </c>
    </row>
    <row r="1992" spans="1:4">
      <c r="A1992" t="s">
        <v>40</v>
      </c>
      <c r="B1992" s="73" t="s">
        <v>529</v>
      </c>
      <c r="C1992" s="74" t="s">
        <v>2468</v>
      </c>
      <c r="D1992" s="74">
        <v>119</v>
      </c>
    </row>
    <row r="1993" spans="1:4">
      <c r="A1993" t="s">
        <v>40</v>
      </c>
      <c r="B1993" s="73" t="s">
        <v>505</v>
      </c>
      <c r="C1993" s="74" t="s">
        <v>2469</v>
      </c>
      <c r="D1993" s="74">
        <v>551.97</v>
      </c>
    </row>
    <row r="1994" spans="1:4">
      <c r="A1994" t="s">
        <v>40</v>
      </c>
      <c r="B1994" s="73" t="s">
        <v>529</v>
      </c>
      <c r="C1994" s="74" t="s">
        <v>2470</v>
      </c>
      <c r="D1994" s="74">
        <v>45</v>
      </c>
    </row>
    <row r="1995" spans="1:4">
      <c r="A1995" t="s">
        <v>40</v>
      </c>
      <c r="B1995" s="73" t="s">
        <v>505</v>
      </c>
      <c r="C1995" s="74" t="s">
        <v>2471</v>
      </c>
      <c r="D1995" s="74">
        <v>622</v>
      </c>
    </row>
    <row r="1996" spans="1:4">
      <c r="A1996" t="s">
        <v>40</v>
      </c>
      <c r="B1996" s="73" t="s">
        <v>505</v>
      </c>
      <c r="C1996" s="74" t="s">
        <v>2472</v>
      </c>
      <c r="D1996" s="74">
        <v>179.95</v>
      </c>
    </row>
    <row r="1997" spans="1:4">
      <c r="A1997" t="s">
        <v>40</v>
      </c>
      <c r="B1997" s="73" t="s">
        <v>510</v>
      </c>
      <c r="C1997" s="74" t="s">
        <v>2473</v>
      </c>
      <c r="D1997" s="74">
        <v>869.79</v>
      </c>
    </row>
    <row r="1998" spans="1:4">
      <c r="A1998" t="s">
        <v>40</v>
      </c>
      <c r="B1998" s="73" t="s">
        <v>510</v>
      </c>
      <c r="C1998" s="74" t="s">
        <v>2474</v>
      </c>
      <c r="D1998" s="74">
        <v>849.69</v>
      </c>
    </row>
    <row r="1999" spans="1:4">
      <c r="A1999" t="s">
        <v>40</v>
      </c>
      <c r="B1999" s="73" t="s">
        <v>510</v>
      </c>
      <c r="C1999" s="74" t="s">
        <v>2475</v>
      </c>
      <c r="D1999" s="74">
        <v>239.99</v>
      </c>
    </row>
    <row r="2000" spans="1:4">
      <c r="A2000" t="s">
        <v>40</v>
      </c>
      <c r="B2000" s="73" t="s">
        <v>510</v>
      </c>
      <c r="C2000" s="74" t="s">
        <v>2476</v>
      </c>
      <c r="D2000" s="74">
        <v>259.99</v>
      </c>
    </row>
    <row r="2001" spans="1:4">
      <c r="A2001" t="s">
        <v>40</v>
      </c>
      <c r="B2001" s="73" t="s">
        <v>505</v>
      </c>
      <c r="C2001" s="74" t="s">
        <v>2477</v>
      </c>
      <c r="D2001" s="74">
        <v>204.47</v>
      </c>
    </row>
    <row r="2002" spans="1:4">
      <c r="A2002" t="s">
        <v>40</v>
      </c>
      <c r="B2002" s="73" t="s">
        <v>505</v>
      </c>
      <c r="C2002" s="74" t="s">
        <v>2478</v>
      </c>
      <c r="D2002" s="74">
        <v>529.95000000000005</v>
      </c>
    </row>
    <row r="2003" spans="1:4">
      <c r="A2003" t="s">
        <v>40</v>
      </c>
      <c r="B2003" s="73" t="s">
        <v>510</v>
      </c>
      <c r="C2003" s="74" t="s">
        <v>2479</v>
      </c>
      <c r="D2003" s="74">
        <v>288.99</v>
      </c>
    </row>
    <row r="2004" spans="1:4">
      <c r="A2004" t="s">
        <v>40</v>
      </c>
      <c r="B2004" s="73" t="s">
        <v>510</v>
      </c>
      <c r="C2004" s="74" t="s">
        <v>812</v>
      </c>
      <c r="D2004" s="74">
        <v>1084.79</v>
      </c>
    </row>
    <row r="2005" spans="1:4">
      <c r="A2005" t="s">
        <v>40</v>
      </c>
      <c r="B2005" s="73" t="s">
        <v>505</v>
      </c>
      <c r="C2005" s="74" t="s">
        <v>2480</v>
      </c>
      <c r="D2005" s="74">
        <v>569.99</v>
      </c>
    </row>
    <row r="2006" spans="1:4">
      <c r="A2006" t="s">
        <v>40</v>
      </c>
      <c r="B2006" s="73" t="s">
        <v>546</v>
      </c>
      <c r="C2006" s="74" t="s">
        <v>2481</v>
      </c>
      <c r="D2006" s="74">
        <v>74.989999999999995</v>
      </c>
    </row>
    <row r="2007" spans="1:4">
      <c r="A2007" t="s">
        <v>40</v>
      </c>
      <c r="B2007" s="73" t="s">
        <v>510</v>
      </c>
      <c r="C2007" s="74" t="s">
        <v>2482</v>
      </c>
      <c r="D2007" s="74">
        <v>274.99</v>
      </c>
    </row>
    <row r="2008" spans="1:4">
      <c r="A2008" t="s">
        <v>40</v>
      </c>
      <c r="B2008" s="73" t="s">
        <v>510</v>
      </c>
      <c r="C2008" s="74" t="s">
        <v>2483</v>
      </c>
      <c r="D2008" s="74">
        <v>164.99</v>
      </c>
    </row>
    <row r="2009" spans="1:4">
      <c r="A2009" t="s">
        <v>40</v>
      </c>
      <c r="B2009" s="73" t="s">
        <v>510</v>
      </c>
      <c r="C2009" s="74" t="s">
        <v>2484</v>
      </c>
      <c r="D2009" s="74">
        <v>356.99</v>
      </c>
    </row>
    <row r="2010" spans="1:4">
      <c r="A2010" t="s">
        <v>40</v>
      </c>
      <c r="B2010" s="73" t="s">
        <v>510</v>
      </c>
      <c r="C2010" s="74" t="s">
        <v>2485</v>
      </c>
      <c r="D2010" s="74">
        <v>624.29</v>
      </c>
    </row>
    <row r="2011" spans="1:4">
      <c r="A2011" t="s">
        <v>40</v>
      </c>
      <c r="B2011" s="73" t="s">
        <v>505</v>
      </c>
      <c r="C2011" s="74" t="s">
        <v>552</v>
      </c>
      <c r="D2011" s="74">
        <v>149.99</v>
      </c>
    </row>
    <row r="2012" spans="1:4">
      <c r="A2012" t="s">
        <v>40</v>
      </c>
      <c r="B2012" s="73" t="s">
        <v>510</v>
      </c>
      <c r="C2012" s="74" t="s">
        <v>2486</v>
      </c>
      <c r="D2012" s="74">
        <v>644.49</v>
      </c>
    </row>
    <row r="2013" spans="1:4">
      <c r="A2013" t="s">
        <v>40</v>
      </c>
      <c r="B2013" s="73" t="s">
        <v>505</v>
      </c>
      <c r="C2013" s="74" t="s">
        <v>2487</v>
      </c>
      <c r="D2013" s="74">
        <v>63.99</v>
      </c>
    </row>
    <row r="2014" spans="1:4">
      <c r="A2014" t="s">
        <v>40</v>
      </c>
      <c r="B2014" s="73" t="s">
        <v>505</v>
      </c>
      <c r="C2014" s="74" t="s">
        <v>2488</v>
      </c>
      <c r="D2014" s="74">
        <v>606.97</v>
      </c>
    </row>
    <row r="2015" spans="1:4">
      <c r="A2015" t="s">
        <v>40</v>
      </c>
      <c r="B2015" s="73" t="s">
        <v>505</v>
      </c>
      <c r="C2015" s="74" t="s">
        <v>2489</v>
      </c>
      <c r="D2015" s="74">
        <v>243</v>
      </c>
    </row>
    <row r="2016" spans="1:4">
      <c r="A2016" t="s">
        <v>40</v>
      </c>
      <c r="B2016" s="73" t="s">
        <v>510</v>
      </c>
      <c r="C2016" s="74" t="s">
        <v>2490</v>
      </c>
      <c r="D2016" s="74">
        <v>739.69</v>
      </c>
    </row>
    <row r="2017" spans="1:4">
      <c r="A2017" t="s">
        <v>40</v>
      </c>
      <c r="B2017" s="73" t="s">
        <v>510</v>
      </c>
      <c r="C2017" s="74" t="s">
        <v>2491</v>
      </c>
      <c r="D2017" s="74">
        <v>749.69</v>
      </c>
    </row>
    <row r="2018" spans="1:4">
      <c r="A2018" t="s">
        <v>40</v>
      </c>
      <c r="B2018" s="73" t="s">
        <v>505</v>
      </c>
      <c r="C2018" s="74" t="s">
        <v>2492</v>
      </c>
      <c r="D2018" s="74">
        <v>531.97</v>
      </c>
    </row>
    <row r="2019" spans="1:4">
      <c r="A2019" t="s">
        <v>40</v>
      </c>
      <c r="B2019" s="73" t="s">
        <v>505</v>
      </c>
      <c r="C2019" s="74" t="s">
        <v>2493</v>
      </c>
      <c r="D2019" s="74">
        <v>196.98</v>
      </c>
    </row>
    <row r="2020" spans="1:4">
      <c r="A2020" t="s">
        <v>40</v>
      </c>
      <c r="B2020" s="73" t="s">
        <v>561</v>
      </c>
      <c r="C2020" s="74" t="s">
        <v>2494</v>
      </c>
      <c r="D2020" s="74">
        <v>169.99</v>
      </c>
    </row>
    <row r="2021" spans="1:4">
      <c r="A2021" t="s">
        <v>40</v>
      </c>
      <c r="B2021" s="73" t="s">
        <v>510</v>
      </c>
      <c r="C2021" s="74" t="s">
        <v>2495</v>
      </c>
      <c r="D2021" s="74">
        <v>699.99</v>
      </c>
    </row>
    <row r="2022" spans="1:4">
      <c r="A2022" t="s">
        <v>40</v>
      </c>
      <c r="B2022" s="73" t="s">
        <v>505</v>
      </c>
      <c r="C2022" s="74" t="s">
        <v>2496</v>
      </c>
      <c r="D2022" s="74">
        <v>159.94999999999999</v>
      </c>
    </row>
    <row r="2023" spans="1:4">
      <c r="A2023" t="s">
        <v>40</v>
      </c>
      <c r="B2023" s="73" t="s">
        <v>510</v>
      </c>
      <c r="C2023" s="74" t="s">
        <v>2497</v>
      </c>
      <c r="D2023" s="74">
        <v>999.99</v>
      </c>
    </row>
    <row r="2024" spans="1:4">
      <c r="A2024" t="s">
        <v>40</v>
      </c>
      <c r="B2024" s="73" t="s">
        <v>505</v>
      </c>
      <c r="C2024" s="74" t="s">
        <v>2498</v>
      </c>
      <c r="D2024" s="74">
        <v>124.99</v>
      </c>
    </row>
    <row r="2025" spans="1:4">
      <c r="A2025" t="s">
        <v>40</v>
      </c>
      <c r="B2025" s="73" t="s">
        <v>510</v>
      </c>
      <c r="C2025" s="74" t="s">
        <v>2499</v>
      </c>
      <c r="D2025" s="74">
        <v>559.59</v>
      </c>
    </row>
    <row r="2026" spans="1:4">
      <c r="A2026" t="s">
        <v>40</v>
      </c>
      <c r="B2026" s="73" t="s">
        <v>1767</v>
      </c>
      <c r="C2026" s="74" t="s">
        <v>2500</v>
      </c>
      <c r="D2026" s="74">
        <v>25.83</v>
      </c>
    </row>
    <row r="2027" spans="1:4">
      <c r="A2027" t="s">
        <v>40</v>
      </c>
      <c r="B2027" s="73" t="s">
        <v>510</v>
      </c>
      <c r="C2027" s="74" t="s">
        <v>2501</v>
      </c>
      <c r="D2027" s="74">
        <v>64.989999999999995</v>
      </c>
    </row>
    <row r="2028" spans="1:4">
      <c r="A2028" t="s">
        <v>40</v>
      </c>
      <c r="B2028" s="73" t="s">
        <v>510</v>
      </c>
      <c r="C2028" s="74" t="s">
        <v>2502</v>
      </c>
      <c r="D2028" s="74">
        <v>64.989999999999995</v>
      </c>
    </row>
    <row r="2029" spans="1:4">
      <c r="A2029" t="s">
        <v>40</v>
      </c>
      <c r="B2029" s="73" t="s">
        <v>505</v>
      </c>
      <c r="C2029" s="74" t="s">
        <v>2503</v>
      </c>
      <c r="D2029" s="74">
        <v>659.49</v>
      </c>
    </row>
    <row r="2030" spans="1:4">
      <c r="A2030" t="s">
        <v>40</v>
      </c>
      <c r="B2030" s="73" t="s">
        <v>505</v>
      </c>
      <c r="C2030" s="74" t="s">
        <v>2504</v>
      </c>
      <c r="D2030" s="74">
        <v>289.99</v>
      </c>
    </row>
    <row r="2031" spans="1:4">
      <c r="A2031" t="s">
        <v>40</v>
      </c>
      <c r="B2031" s="73" t="s">
        <v>510</v>
      </c>
      <c r="C2031" s="74" t="s">
        <v>2505</v>
      </c>
      <c r="D2031" s="74">
        <v>131.47</v>
      </c>
    </row>
    <row r="2032" spans="1:4">
      <c r="A2032" t="s">
        <v>40</v>
      </c>
      <c r="B2032" s="73" t="s">
        <v>510</v>
      </c>
      <c r="C2032" s="74" t="s">
        <v>2506</v>
      </c>
      <c r="D2032" s="74">
        <v>1234.49</v>
      </c>
    </row>
    <row r="2033" spans="1:4">
      <c r="A2033" t="s">
        <v>40</v>
      </c>
      <c r="B2033" s="73" t="s">
        <v>510</v>
      </c>
      <c r="C2033" s="74" t="s">
        <v>2507</v>
      </c>
      <c r="D2033" s="74">
        <v>304.99</v>
      </c>
    </row>
    <row r="2034" spans="1:4">
      <c r="A2034" t="s">
        <v>40</v>
      </c>
      <c r="B2034" s="73" t="s">
        <v>510</v>
      </c>
      <c r="C2034" s="74" t="s">
        <v>2508</v>
      </c>
      <c r="D2034" s="74">
        <v>994.59</v>
      </c>
    </row>
    <row r="2035" spans="1:4">
      <c r="A2035" t="s">
        <v>40</v>
      </c>
      <c r="B2035" s="73" t="s">
        <v>510</v>
      </c>
      <c r="C2035" s="74" t="s">
        <v>2509</v>
      </c>
      <c r="D2035" s="74">
        <v>1184.69</v>
      </c>
    </row>
    <row r="2036" spans="1:4">
      <c r="A2036" t="s">
        <v>40</v>
      </c>
      <c r="B2036" s="73" t="s">
        <v>510</v>
      </c>
      <c r="C2036" s="74" t="s">
        <v>2510</v>
      </c>
      <c r="D2036" s="74">
        <v>99.5</v>
      </c>
    </row>
    <row r="2037" spans="1:4">
      <c r="A2037" t="s">
        <v>40</v>
      </c>
      <c r="B2037" s="73" t="s">
        <v>1767</v>
      </c>
      <c r="C2037" s="74" t="s">
        <v>2511</v>
      </c>
      <c r="D2037" s="74">
        <v>33.33</v>
      </c>
    </row>
    <row r="2038" spans="1:4">
      <c r="A2038" t="s">
        <v>40</v>
      </c>
      <c r="B2038" s="73" t="s">
        <v>523</v>
      </c>
      <c r="C2038" s="74" t="s">
        <v>2512</v>
      </c>
      <c r="D2038" s="74">
        <v>275.99</v>
      </c>
    </row>
    <row r="2039" spans="1:4">
      <c r="A2039" t="s">
        <v>40</v>
      </c>
      <c r="B2039" s="73" t="s">
        <v>510</v>
      </c>
      <c r="C2039" s="74" t="s">
        <v>2513</v>
      </c>
      <c r="D2039" s="74">
        <v>325.95</v>
      </c>
    </row>
    <row r="2040" spans="1:4">
      <c r="A2040" t="s">
        <v>40</v>
      </c>
      <c r="B2040" s="73" t="s">
        <v>505</v>
      </c>
      <c r="C2040" s="74" t="s">
        <v>1282</v>
      </c>
      <c r="D2040" s="74">
        <v>78.989999999999995</v>
      </c>
    </row>
    <row r="2041" spans="1:4">
      <c r="A2041" t="s">
        <v>40</v>
      </c>
      <c r="B2041" s="73" t="s">
        <v>529</v>
      </c>
      <c r="C2041" s="74" t="s">
        <v>2514</v>
      </c>
      <c r="D2041" s="74">
        <v>109.99</v>
      </c>
    </row>
    <row r="2042" spans="1:4">
      <c r="A2042" t="s">
        <v>40</v>
      </c>
      <c r="B2042" s="73" t="s">
        <v>510</v>
      </c>
      <c r="C2042" s="74" t="s">
        <v>2515</v>
      </c>
      <c r="D2042" s="74">
        <v>278.99</v>
      </c>
    </row>
    <row r="2043" spans="1:4">
      <c r="A2043" t="s">
        <v>40</v>
      </c>
      <c r="B2043" s="73" t="s">
        <v>505</v>
      </c>
      <c r="C2043" s="74" t="s">
        <v>2516</v>
      </c>
      <c r="D2043" s="74">
        <v>125</v>
      </c>
    </row>
    <row r="2044" spans="1:4">
      <c r="A2044" t="s">
        <v>40</v>
      </c>
      <c r="B2044" s="73" t="s">
        <v>505</v>
      </c>
      <c r="C2044" s="74" t="s">
        <v>2517</v>
      </c>
      <c r="D2044" s="74">
        <v>239.95</v>
      </c>
    </row>
    <row r="2045" spans="1:4">
      <c r="A2045" t="s">
        <v>40</v>
      </c>
      <c r="B2045" s="73" t="s">
        <v>561</v>
      </c>
      <c r="C2045" s="74" t="s">
        <v>2518</v>
      </c>
      <c r="D2045" s="74">
        <v>139.99</v>
      </c>
    </row>
    <row r="2046" spans="1:4">
      <c r="A2046" t="s">
        <v>40</v>
      </c>
      <c r="B2046" s="73" t="s">
        <v>510</v>
      </c>
      <c r="C2046" s="74" t="s">
        <v>2519</v>
      </c>
      <c r="D2046" s="74">
        <v>193.99</v>
      </c>
    </row>
    <row r="2047" spans="1:4">
      <c r="A2047" t="s">
        <v>40</v>
      </c>
      <c r="B2047" s="73" t="s">
        <v>505</v>
      </c>
      <c r="C2047" s="74" t="s">
        <v>2520</v>
      </c>
      <c r="D2047" s="74">
        <v>319.99</v>
      </c>
    </row>
    <row r="2048" spans="1:4">
      <c r="A2048" t="s">
        <v>40</v>
      </c>
      <c r="B2048" s="73" t="s">
        <v>510</v>
      </c>
      <c r="C2048" s="74" t="s">
        <v>2521</v>
      </c>
      <c r="D2048" s="74">
        <v>949.49</v>
      </c>
    </row>
    <row r="2049" spans="1:4">
      <c r="A2049" t="s">
        <v>40</v>
      </c>
      <c r="B2049" s="73" t="s">
        <v>505</v>
      </c>
      <c r="C2049" s="74" t="s">
        <v>2522</v>
      </c>
      <c r="D2049" s="74">
        <v>84.99</v>
      </c>
    </row>
    <row r="2050" spans="1:4">
      <c r="A2050" t="s">
        <v>40</v>
      </c>
      <c r="B2050" s="73" t="s">
        <v>561</v>
      </c>
      <c r="C2050" s="74" t="s">
        <v>2523</v>
      </c>
      <c r="D2050" s="74">
        <v>294.99</v>
      </c>
    </row>
    <row r="2051" spans="1:4">
      <c r="A2051" t="s">
        <v>40</v>
      </c>
      <c r="B2051" s="73" t="s">
        <v>505</v>
      </c>
      <c r="C2051" s="74" t="s">
        <v>2524</v>
      </c>
      <c r="D2051" s="74">
        <v>144.79</v>
      </c>
    </row>
    <row r="2052" spans="1:4">
      <c r="A2052" t="s">
        <v>40</v>
      </c>
      <c r="B2052" s="73" t="s">
        <v>523</v>
      </c>
      <c r="C2052" s="74" t="s">
        <v>2525</v>
      </c>
      <c r="D2052" s="74">
        <v>179.99</v>
      </c>
    </row>
    <row r="2053" spans="1:4">
      <c r="A2053" t="s">
        <v>40</v>
      </c>
      <c r="B2053" s="73" t="s">
        <v>510</v>
      </c>
      <c r="C2053" s="74" t="s">
        <v>2526</v>
      </c>
      <c r="D2053" s="74">
        <v>459.99</v>
      </c>
    </row>
    <row r="2054" spans="1:4">
      <c r="A2054" t="s">
        <v>40</v>
      </c>
      <c r="B2054" s="73" t="s">
        <v>505</v>
      </c>
      <c r="C2054" s="74" t="s">
        <v>2527</v>
      </c>
      <c r="D2054" s="74">
        <v>164.99</v>
      </c>
    </row>
    <row r="2055" spans="1:4">
      <c r="A2055" t="s">
        <v>40</v>
      </c>
      <c r="B2055" s="73" t="s">
        <v>510</v>
      </c>
      <c r="C2055" s="74" t="s">
        <v>2528</v>
      </c>
      <c r="D2055" s="74">
        <v>1274.79</v>
      </c>
    </row>
    <row r="2056" spans="1:4">
      <c r="A2056" t="s">
        <v>40</v>
      </c>
      <c r="B2056" s="73" t="s">
        <v>505</v>
      </c>
      <c r="C2056" s="74" t="s">
        <v>2529</v>
      </c>
      <c r="D2056" s="74">
        <v>29.95</v>
      </c>
    </row>
    <row r="2057" spans="1:4">
      <c r="A2057" t="s">
        <v>40</v>
      </c>
      <c r="B2057" s="73" t="s">
        <v>505</v>
      </c>
      <c r="C2057" s="74" t="s">
        <v>2530</v>
      </c>
      <c r="D2057" s="74">
        <v>37.950000000000003</v>
      </c>
    </row>
    <row r="2058" spans="1:4">
      <c r="A2058" t="s">
        <v>40</v>
      </c>
      <c r="B2058" s="73" t="s">
        <v>505</v>
      </c>
      <c r="C2058" s="74" t="s">
        <v>2531</v>
      </c>
      <c r="D2058" s="74">
        <v>89.99</v>
      </c>
    </row>
    <row r="2059" spans="1:4">
      <c r="A2059" t="s">
        <v>40</v>
      </c>
      <c r="B2059" s="73" t="s">
        <v>561</v>
      </c>
      <c r="C2059" s="74" t="s">
        <v>2532</v>
      </c>
      <c r="D2059" s="74">
        <v>74.989999999999995</v>
      </c>
    </row>
    <row r="2060" spans="1:4">
      <c r="A2060" t="s">
        <v>40</v>
      </c>
      <c r="B2060" s="73" t="s">
        <v>569</v>
      </c>
      <c r="C2060" s="74" t="s">
        <v>2533</v>
      </c>
      <c r="D2060" s="74">
        <v>179.99</v>
      </c>
    </row>
    <row r="2061" spans="1:4">
      <c r="A2061" t="s">
        <v>40</v>
      </c>
      <c r="B2061" s="73" t="s">
        <v>505</v>
      </c>
      <c r="C2061" s="74" t="s">
        <v>2534</v>
      </c>
      <c r="D2061" s="74">
        <v>214.99</v>
      </c>
    </row>
    <row r="2062" spans="1:4">
      <c r="A2062" t="s">
        <v>40</v>
      </c>
      <c r="B2062" s="73" t="s">
        <v>505</v>
      </c>
      <c r="C2062" s="74" t="s">
        <v>2535</v>
      </c>
      <c r="D2062" s="74">
        <v>119.99</v>
      </c>
    </row>
    <row r="2063" spans="1:4">
      <c r="A2063" t="s">
        <v>40</v>
      </c>
      <c r="B2063" s="73" t="s">
        <v>510</v>
      </c>
      <c r="C2063" s="74" t="s">
        <v>2536</v>
      </c>
      <c r="D2063" s="74">
        <v>169</v>
      </c>
    </row>
    <row r="2064" spans="1:4">
      <c r="A2064" t="s">
        <v>40</v>
      </c>
      <c r="B2064" s="73" t="s">
        <v>505</v>
      </c>
      <c r="C2064" s="74" t="s">
        <v>2537</v>
      </c>
      <c r="D2064" s="74">
        <v>136.97999999999999</v>
      </c>
    </row>
    <row r="2065" spans="1:4">
      <c r="A2065" t="s">
        <v>40</v>
      </c>
      <c r="B2065" s="73" t="s">
        <v>569</v>
      </c>
      <c r="C2065" s="74" t="s">
        <v>2538</v>
      </c>
      <c r="D2065" s="74">
        <v>65.989999999999995</v>
      </c>
    </row>
    <row r="2066" spans="1:4">
      <c r="A2066" t="s">
        <v>40</v>
      </c>
      <c r="B2066" s="73" t="s">
        <v>546</v>
      </c>
      <c r="C2066" s="74" t="s">
        <v>2539</v>
      </c>
      <c r="D2066" s="74">
        <v>179.98</v>
      </c>
    </row>
    <row r="2067" spans="1:4">
      <c r="A2067" t="s">
        <v>40</v>
      </c>
      <c r="B2067" s="73" t="s">
        <v>510</v>
      </c>
      <c r="C2067" s="74" t="s">
        <v>2473</v>
      </c>
      <c r="D2067" s="74">
        <v>809.79</v>
      </c>
    </row>
    <row r="2068" spans="1:4">
      <c r="A2068" t="s">
        <v>40</v>
      </c>
      <c r="B2068" s="73" t="s">
        <v>579</v>
      </c>
      <c r="C2068" s="74" t="s">
        <v>2540</v>
      </c>
      <c r="D2068" s="74">
        <v>566</v>
      </c>
    </row>
    <row r="2069" spans="1:4">
      <c r="A2069" t="s">
        <v>40</v>
      </c>
      <c r="B2069" s="73" t="s">
        <v>505</v>
      </c>
      <c r="C2069" s="74" t="s">
        <v>2541</v>
      </c>
      <c r="D2069" s="74">
        <v>169.99</v>
      </c>
    </row>
    <row r="2070" spans="1:4">
      <c r="A2070" t="s">
        <v>40</v>
      </c>
      <c r="B2070" s="73" t="s">
        <v>510</v>
      </c>
      <c r="C2070" s="74" t="s">
        <v>2542</v>
      </c>
      <c r="D2070" s="74">
        <v>384.99</v>
      </c>
    </row>
    <row r="2071" spans="1:4">
      <c r="A2071" t="s">
        <v>40</v>
      </c>
      <c r="B2071" s="73" t="s">
        <v>510</v>
      </c>
      <c r="C2071" s="74" t="s">
        <v>2543</v>
      </c>
      <c r="D2071" s="74">
        <v>1124.69</v>
      </c>
    </row>
    <row r="2072" spans="1:4">
      <c r="A2072" t="s">
        <v>40</v>
      </c>
      <c r="B2072" s="73" t="s">
        <v>510</v>
      </c>
      <c r="C2072" s="74" t="s">
        <v>2544</v>
      </c>
      <c r="D2072" s="74">
        <v>702</v>
      </c>
    </row>
    <row r="2073" spans="1:4">
      <c r="A2073" t="s">
        <v>40</v>
      </c>
      <c r="B2073" s="73" t="s">
        <v>523</v>
      </c>
      <c r="C2073" s="74" t="s">
        <v>2545</v>
      </c>
      <c r="D2073" s="74">
        <v>139.99</v>
      </c>
    </row>
    <row r="2074" spans="1:4">
      <c r="A2074" t="s">
        <v>40</v>
      </c>
      <c r="B2074" s="73" t="s">
        <v>505</v>
      </c>
      <c r="C2074" s="74" t="s">
        <v>2546</v>
      </c>
      <c r="D2074" s="74">
        <v>396.97</v>
      </c>
    </row>
    <row r="2075" spans="1:4">
      <c r="A2075" t="s">
        <v>40</v>
      </c>
      <c r="B2075" s="73" t="s">
        <v>505</v>
      </c>
      <c r="C2075" s="74" t="s">
        <v>2547</v>
      </c>
      <c r="D2075" s="74">
        <v>531.97</v>
      </c>
    </row>
    <row r="2076" spans="1:4">
      <c r="A2076" t="s">
        <v>40</v>
      </c>
      <c r="B2076" s="73" t="s">
        <v>505</v>
      </c>
      <c r="C2076" s="74" t="s">
        <v>2548</v>
      </c>
      <c r="D2076" s="74">
        <v>499.99</v>
      </c>
    </row>
    <row r="2077" spans="1:4">
      <c r="A2077" t="s">
        <v>40</v>
      </c>
      <c r="B2077" s="73" t="s">
        <v>510</v>
      </c>
      <c r="C2077" s="74" t="s">
        <v>2549</v>
      </c>
      <c r="D2077" s="74">
        <v>90</v>
      </c>
    </row>
    <row r="2078" spans="1:4">
      <c r="A2078" t="s">
        <v>40</v>
      </c>
      <c r="B2078" s="73" t="s">
        <v>510</v>
      </c>
      <c r="C2078" s="74" t="s">
        <v>2550</v>
      </c>
      <c r="D2078" s="74">
        <v>309.99</v>
      </c>
    </row>
    <row r="2079" spans="1:4">
      <c r="A2079" t="s">
        <v>40</v>
      </c>
      <c r="B2079" s="73" t="s">
        <v>523</v>
      </c>
      <c r="C2079" s="74" t="s">
        <v>1935</v>
      </c>
      <c r="D2079" s="74">
        <v>59.99</v>
      </c>
    </row>
    <row r="2080" spans="1:4">
      <c r="A2080" t="s">
        <v>40</v>
      </c>
      <c r="B2080" s="73" t="s">
        <v>505</v>
      </c>
      <c r="C2080" s="74" t="s">
        <v>2551</v>
      </c>
      <c r="D2080" s="74">
        <v>286.97000000000003</v>
      </c>
    </row>
    <row r="2081" spans="1:4">
      <c r="A2081" t="s">
        <v>40</v>
      </c>
      <c r="B2081" s="73" t="s">
        <v>510</v>
      </c>
      <c r="C2081" s="74" t="s">
        <v>2552</v>
      </c>
      <c r="D2081" s="74">
        <v>350</v>
      </c>
    </row>
    <row r="2082" spans="1:4">
      <c r="A2082" t="s">
        <v>40</v>
      </c>
      <c r="B2082" s="73" t="s">
        <v>505</v>
      </c>
      <c r="C2082" s="74" t="s">
        <v>2553</v>
      </c>
      <c r="D2082" s="74">
        <v>531.97</v>
      </c>
    </row>
    <row r="2083" spans="1:4">
      <c r="A2083" t="s">
        <v>40</v>
      </c>
      <c r="B2083" s="73" t="s">
        <v>738</v>
      </c>
      <c r="C2083" s="74" t="s">
        <v>2554</v>
      </c>
      <c r="D2083" s="74">
        <v>239.99</v>
      </c>
    </row>
    <row r="2084" spans="1:4">
      <c r="A2084" t="s">
        <v>40</v>
      </c>
      <c r="B2084" s="73" t="s">
        <v>505</v>
      </c>
      <c r="C2084" s="74" t="s">
        <v>2555</v>
      </c>
      <c r="D2084" s="74">
        <v>54.99</v>
      </c>
    </row>
    <row r="2085" spans="1:4">
      <c r="A2085" t="s">
        <v>40</v>
      </c>
      <c r="B2085" s="73" t="s">
        <v>505</v>
      </c>
      <c r="C2085" s="74" t="s">
        <v>2556</v>
      </c>
      <c r="D2085" s="74">
        <v>216.97</v>
      </c>
    </row>
    <row r="2086" spans="1:4">
      <c r="A2086" t="s">
        <v>40</v>
      </c>
      <c r="B2086" s="73" t="s">
        <v>683</v>
      </c>
      <c r="C2086" s="74" t="s">
        <v>2557</v>
      </c>
      <c r="D2086" s="74">
        <v>289.99</v>
      </c>
    </row>
    <row r="2087" spans="1:4">
      <c r="A2087" t="s">
        <v>40</v>
      </c>
      <c r="B2087" s="73" t="s">
        <v>505</v>
      </c>
      <c r="C2087" s="74" t="s">
        <v>2558</v>
      </c>
      <c r="D2087" s="74">
        <v>899</v>
      </c>
    </row>
    <row r="2088" spans="1:4">
      <c r="A2088" t="s">
        <v>40</v>
      </c>
      <c r="B2088" s="73" t="s">
        <v>510</v>
      </c>
      <c r="C2088" s="74" t="s">
        <v>2559</v>
      </c>
      <c r="D2088" s="74">
        <v>159.99</v>
      </c>
    </row>
    <row r="2089" spans="1:4">
      <c r="A2089" t="s">
        <v>40</v>
      </c>
      <c r="B2089" s="73" t="s">
        <v>505</v>
      </c>
      <c r="C2089" s="74" t="s">
        <v>2560</v>
      </c>
      <c r="D2089" s="74">
        <v>149.99</v>
      </c>
    </row>
    <row r="2090" spans="1:4">
      <c r="A2090" t="s">
        <v>40</v>
      </c>
      <c r="B2090" s="73" t="s">
        <v>561</v>
      </c>
      <c r="C2090" s="74" t="s">
        <v>2561</v>
      </c>
      <c r="D2090" s="74">
        <v>140</v>
      </c>
    </row>
    <row r="2091" spans="1:4">
      <c r="A2091" t="s">
        <v>40</v>
      </c>
      <c r="B2091" s="73" t="s">
        <v>738</v>
      </c>
      <c r="C2091" s="74" t="s">
        <v>2562</v>
      </c>
      <c r="D2091" s="74">
        <v>89.99</v>
      </c>
    </row>
    <row r="2092" spans="1:4">
      <c r="A2092" t="s">
        <v>40</v>
      </c>
      <c r="B2092" s="73" t="s">
        <v>505</v>
      </c>
      <c r="C2092" s="74" t="s">
        <v>2563</v>
      </c>
      <c r="D2092" s="74">
        <v>170.99</v>
      </c>
    </row>
    <row r="2093" spans="1:4">
      <c r="A2093" t="s">
        <v>40</v>
      </c>
      <c r="B2093" s="73" t="s">
        <v>505</v>
      </c>
      <c r="C2093" s="74" t="s">
        <v>2564</v>
      </c>
      <c r="D2093" s="74">
        <v>239.69</v>
      </c>
    </row>
    <row r="2094" spans="1:4" ht="21">
      <c r="A2094" t="s">
        <v>40</v>
      </c>
      <c r="B2094" s="73" t="s">
        <v>505</v>
      </c>
      <c r="C2094" s="74" t="s">
        <v>1975</v>
      </c>
      <c r="D2094" s="74">
        <v>77.989999999999995</v>
      </c>
    </row>
    <row r="2095" spans="1:4">
      <c r="A2095" t="s">
        <v>40</v>
      </c>
      <c r="B2095" s="73" t="s">
        <v>738</v>
      </c>
      <c r="C2095" s="74" t="s">
        <v>2565</v>
      </c>
      <c r="D2095" s="74">
        <v>279.99</v>
      </c>
    </row>
    <row r="2096" spans="1:4">
      <c r="A2096" t="s">
        <v>40</v>
      </c>
      <c r="B2096" s="73" t="s">
        <v>505</v>
      </c>
      <c r="C2096" s="74" t="s">
        <v>2566</v>
      </c>
      <c r="D2096" s="74">
        <v>236.97</v>
      </c>
    </row>
    <row r="2097" spans="1:4">
      <c r="A2097" t="s">
        <v>40</v>
      </c>
      <c r="B2097" s="73" t="s">
        <v>510</v>
      </c>
      <c r="C2097" s="74" t="s">
        <v>2567</v>
      </c>
      <c r="D2097" s="74">
        <v>286.99</v>
      </c>
    </row>
    <row r="2098" spans="1:4">
      <c r="A2098" t="s">
        <v>40</v>
      </c>
      <c r="B2098" s="73" t="s">
        <v>510</v>
      </c>
      <c r="C2098" s="74" t="s">
        <v>2568</v>
      </c>
      <c r="D2098" s="74">
        <v>348.99</v>
      </c>
    </row>
    <row r="2099" spans="1:4">
      <c r="A2099" t="s">
        <v>40</v>
      </c>
      <c r="B2099" s="73" t="s">
        <v>510</v>
      </c>
      <c r="C2099" s="74" t="s">
        <v>2569</v>
      </c>
      <c r="D2099" s="74">
        <v>219.95</v>
      </c>
    </row>
    <row r="2100" spans="1:4">
      <c r="A2100" t="s">
        <v>40</v>
      </c>
      <c r="B2100" s="73" t="s">
        <v>510</v>
      </c>
      <c r="C2100" s="74" t="s">
        <v>2570</v>
      </c>
      <c r="D2100" s="74">
        <v>132.94999999999999</v>
      </c>
    </row>
    <row r="2101" spans="1:4">
      <c r="A2101" t="s">
        <v>40</v>
      </c>
      <c r="B2101" s="73" t="s">
        <v>505</v>
      </c>
      <c r="C2101" s="74" t="s">
        <v>2571</v>
      </c>
      <c r="D2101" s="74">
        <v>236.97</v>
      </c>
    </row>
    <row r="2102" spans="1:4">
      <c r="A2102" t="s">
        <v>40</v>
      </c>
      <c r="B2102" s="73" t="s">
        <v>579</v>
      </c>
      <c r="C2102" s="74" t="s">
        <v>2572</v>
      </c>
      <c r="D2102" s="74">
        <v>456</v>
      </c>
    </row>
    <row r="2103" spans="1:4">
      <c r="A2103" t="s">
        <v>40</v>
      </c>
      <c r="B2103" s="73" t="s">
        <v>510</v>
      </c>
      <c r="C2103" s="74" t="s">
        <v>2573</v>
      </c>
      <c r="D2103" s="74">
        <v>307</v>
      </c>
    </row>
    <row r="2104" spans="1:4">
      <c r="A2104" t="s">
        <v>40</v>
      </c>
      <c r="B2104" s="73" t="s">
        <v>510</v>
      </c>
      <c r="C2104" s="74" t="s">
        <v>2574</v>
      </c>
      <c r="D2104" s="74">
        <v>539.99</v>
      </c>
    </row>
    <row r="2105" spans="1:4">
      <c r="A2105" t="s">
        <v>40</v>
      </c>
      <c r="B2105" s="73" t="s">
        <v>505</v>
      </c>
      <c r="C2105" s="74" t="s">
        <v>1030</v>
      </c>
      <c r="D2105" s="74">
        <v>599.79</v>
      </c>
    </row>
    <row r="2106" spans="1:4">
      <c r="A2106" t="s">
        <v>40</v>
      </c>
      <c r="B2106" s="73" t="s">
        <v>1337</v>
      </c>
      <c r="C2106" s="74" t="s">
        <v>2575</v>
      </c>
      <c r="D2106" s="74">
        <v>39.950000000000003</v>
      </c>
    </row>
    <row r="2107" spans="1:4">
      <c r="A2107" t="s">
        <v>40</v>
      </c>
      <c r="B2107" s="73" t="s">
        <v>505</v>
      </c>
      <c r="C2107" s="74" t="s">
        <v>2576</v>
      </c>
      <c r="D2107" s="74">
        <v>497.99</v>
      </c>
    </row>
    <row r="2108" spans="1:4">
      <c r="A2108" t="s">
        <v>40</v>
      </c>
      <c r="B2108" s="73" t="s">
        <v>510</v>
      </c>
      <c r="C2108" s="74" t="s">
        <v>2577</v>
      </c>
      <c r="D2108" s="74">
        <v>274.99</v>
      </c>
    </row>
    <row r="2109" spans="1:4">
      <c r="A2109" t="s">
        <v>40</v>
      </c>
      <c r="B2109" s="73" t="s">
        <v>510</v>
      </c>
      <c r="C2109" s="74" t="s">
        <v>2578</v>
      </c>
      <c r="D2109" s="74">
        <v>149.99</v>
      </c>
    </row>
    <row r="2110" spans="1:4">
      <c r="A2110" t="s">
        <v>40</v>
      </c>
      <c r="B2110" s="73" t="s">
        <v>505</v>
      </c>
      <c r="C2110" s="74" t="s">
        <v>2579</v>
      </c>
      <c r="D2110" s="74">
        <v>469.99</v>
      </c>
    </row>
    <row r="2111" spans="1:4">
      <c r="A2111" t="s">
        <v>40</v>
      </c>
      <c r="B2111" s="73" t="s">
        <v>505</v>
      </c>
      <c r="C2111" s="74" t="s">
        <v>2580</v>
      </c>
      <c r="D2111" s="74">
        <v>159.94999999999999</v>
      </c>
    </row>
    <row r="2112" spans="1:4">
      <c r="A2112" t="s">
        <v>40</v>
      </c>
      <c r="B2112" s="73" t="s">
        <v>510</v>
      </c>
      <c r="C2112" s="74" t="s">
        <v>2581</v>
      </c>
      <c r="D2112" s="74">
        <v>279.99</v>
      </c>
    </row>
    <row r="2113" spans="1:4">
      <c r="A2113" t="s">
        <v>40</v>
      </c>
      <c r="B2113" s="73" t="s">
        <v>810</v>
      </c>
      <c r="C2113" s="74" t="s">
        <v>2582</v>
      </c>
      <c r="D2113" s="74">
        <v>200</v>
      </c>
    </row>
    <row r="2114" spans="1:4">
      <c r="A2114" t="s">
        <v>40</v>
      </c>
      <c r="B2114" s="73" t="s">
        <v>510</v>
      </c>
      <c r="C2114" s="74" t="s">
        <v>1857</v>
      </c>
      <c r="D2114" s="74">
        <v>199.99</v>
      </c>
    </row>
    <row r="2115" spans="1:4">
      <c r="A2115" t="s">
        <v>40</v>
      </c>
      <c r="B2115" s="73" t="s">
        <v>510</v>
      </c>
      <c r="C2115" s="74" t="s">
        <v>2583</v>
      </c>
      <c r="D2115" s="74">
        <v>466.97</v>
      </c>
    </row>
    <row r="2116" spans="1:4">
      <c r="A2116" t="s">
        <v>40</v>
      </c>
      <c r="B2116" s="73" t="s">
        <v>505</v>
      </c>
      <c r="C2116" s="74" t="s">
        <v>2584</v>
      </c>
      <c r="D2116" s="74">
        <v>49.99</v>
      </c>
    </row>
    <row r="2117" spans="1:4">
      <c r="A2117" t="s">
        <v>40</v>
      </c>
      <c r="B2117" s="73" t="s">
        <v>505</v>
      </c>
      <c r="C2117" s="74" t="s">
        <v>2585</v>
      </c>
      <c r="D2117" s="74">
        <v>429.99</v>
      </c>
    </row>
    <row r="2118" spans="1:4">
      <c r="A2118" t="s">
        <v>40</v>
      </c>
      <c r="B2118" s="73" t="s">
        <v>505</v>
      </c>
      <c r="C2118" s="74" t="s">
        <v>2586</v>
      </c>
      <c r="D2118" s="74">
        <v>459.95</v>
      </c>
    </row>
    <row r="2119" spans="1:4">
      <c r="A2119" t="s">
        <v>40</v>
      </c>
      <c r="B2119" s="73" t="s">
        <v>505</v>
      </c>
      <c r="C2119" s="74" t="s">
        <v>2587</v>
      </c>
      <c r="D2119" s="74">
        <v>159.99</v>
      </c>
    </row>
    <row r="2120" spans="1:4">
      <c r="A2120" t="s">
        <v>40</v>
      </c>
      <c r="B2120" s="73" t="s">
        <v>569</v>
      </c>
      <c r="C2120" s="74" t="s">
        <v>2588</v>
      </c>
      <c r="D2120" s="74">
        <v>349.99</v>
      </c>
    </row>
    <row r="2121" spans="1:4">
      <c r="A2121" t="s">
        <v>40</v>
      </c>
      <c r="B2121" s="73" t="s">
        <v>510</v>
      </c>
      <c r="C2121" s="74" t="s">
        <v>2589</v>
      </c>
      <c r="D2121" s="74">
        <v>211</v>
      </c>
    </row>
    <row r="2122" spans="1:4">
      <c r="A2122" t="s">
        <v>40</v>
      </c>
      <c r="B2122" s="73" t="s">
        <v>510</v>
      </c>
      <c r="C2122" s="74" t="s">
        <v>1809</v>
      </c>
      <c r="D2122" s="74">
        <v>589.25</v>
      </c>
    </row>
    <row r="2123" spans="1:4">
      <c r="A2123" t="s">
        <v>40</v>
      </c>
      <c r="B2123" s="73" t="s">
        <v>738</v>
      </c>
      <c r="C2123" s="74" t="s">
        <v>2590</v>
      </c>
      <c r="D2123" s="74">
        <v>399</v>
      </c>
    </row>
    <row r="2124" spans="1:4">
      <c r="A2124" t="s">
        <v>40</v>
      </c>
      <c r="B2124" s="73" t="s">
        <v>505</v>
      </c>
      <c r="C2124" s="74" t="s">
        <v>2591</v>
      </c>
      <c r="D2124" s="74">
        <v>173.99</v>
      </c>
    </row>
    <row r="2125" spans="1:4">
      <c r="A2125" t="s">
        <v>40</v>
      </c>
      <c r="B2125" s="73" t="s">
        <v>505</v>
      </c>
      <c r="C2125" s="74" t="s">
        <v>2592</v>
      </c>
      <c r="D2125" s="74">
        <v>73.989999999999995</v>
      </c>
    </row>
    <row r="2126" spans="1:4">
      <c r="A2126" t="s">
        <v>40</v>
      </c>
      <c r="B2126" s="73" t="s">
        <v>505</v>
      </c>
      <c r="C2126" s="74" t="s">
        <v>2593</v>
      </c>
      <c r="D2126" s="74">
        <v>236.97</v>
      </c>
    </row>
    <row r="2127" spans="1:4">
      <c r="A2127" t="s">
        <v>40</v>
      </c>
      <c r="B2127" s="73" t="s">
        <v>510</v>
      </c>
      <c r="C2127" s="74" t="s">
        <v>2594</v>
      </c>
      <c r="D2127" s="74">
        <v>281</v>
      </c>
    </row>
    <row r="2128" spans="1:4">
      <c r="A2128" t="s">
        <v>40</v>
      </c>
      <c r="B2128" s="73" t="s">
        <v>505</v>
      </c>
      <c r="C2128" s="74" t="s">
        <v>2595</v>
      </c>
      <c r="D2128" s="74">
        <v>236.97</v>
      </c>
    </row>
    <row r="2129" spans="1:4">
      <c r="A2129" t="s">
        <v>40</v>
      </c>
      <c r="B2129" s="73" t="s">
        <v>510</v>
      </c>
      <c r="C2129" s="74" t="s">
        <v>2596</v>
      </c>
      <c r="D2129" s="74">
        <v>109.95</v>
      </c>
    </row>
    <row r="2130" spans="1:4">
      <c r="A2130" t="s">
        <v>40</v>
      </c>
      <c r="B2130" s="73" t="s">
        <v>505</v>
      </c>
      <c r="C2130" s="74" t="s">
        <v>2597</v>
      </c>
      <c r="D2130" s="74">
        <v>64.989999999999995</v>
      </c>
    </row>
    <row r="2131" spans="1:4">
      <c r="A2131" t="s">
        <v>40</v>
      </c>
      <c r="B2131" s="73" t="s">
        <v>510</v>
      </c>
      <c r="C2131" s="74" t="s">
        <v>2598</v>
      </c>
      <c r="D2131" s="74">
        <v>589.69000000000005</v>
      </c>
    </row>
    <row r="2132" spans="1:4">
      <c r="A2132" t="s">
        <v>40</v>
      </c>
      <c r="B2132" s="73" t="s">
        <v>561</v>
      </c>
      <c r="C2132" s="74" t="s">
        <v>2599</v>
      </c>
      <c r="D2132" s="74">
        <v>59.99</v>
      </c>
    </row>
    <row r="2133" spans="1:4">
      <c r="A2133" t="s">
        <v>40</v>
      </c>
      <c r="B2133" s="73" t="s">
        <v>505</v>
      </c>
      <c r="C2133" s="74" t="s">
        <v>2600</v>
      </c>
      <c r="D2133" s="74">
        <v>560</v>
      </c>
    </row>
    <row r="2134" spans="1:4">
      <c r="A2134" t="s">
        <v>40</v>
      </c>
      <c r="B2134" s="73" t="s">
        <v>505</v>
      </c>
      <c r="C2134" s="74" t="s">
        <v>2601</v>
      </c>
      <c r="D2134" s="74">
        <v>286.97000000000003</v>
      </c>
    </row>
    <row r="2135" spans="1:4">
      <c r="A2135" t="s">
        <v>40</v>
      </c>
      <c r="B2135" s="73" t="s">
        <v>510</v>
      </c>
      <c r="C2135" s="74" t="s">
        <v>2602</v>
      </c>
      <c r="D2135" s="74">
        <v>378.25</v>
      </c>
    </row>
    <row r="2136" spans="1:4">
      <c r="A2136" t="s">
        <v>40</v>
      </c>
      <c r="B2136" s="73" t="s">
        <v>505</v>
      </c>
      <c r="C2136" s="74" t="s">
        <v>2603</v>
      </c>
      <c r="D2136" s="74">
        <v>449.99</v>
      </c>
    </row>
    <row r="2137" spans="1:4">
      <c r="A2137" t="s">
        <v>40</v>
      </c>
      <c r="B2137" s="73" t="s">
        <v>523</v>
      </c>
      <c r="C2137" s="74" t="s">
        <v>2604</v>
      </c>
      <c r="D2137" s="74">
        <v>99.99</v>
      </c>
    </row>
    <row r="2138" spans="1:4">
      <c r="A2138" t="s">
        <v>40</v>
      </c>
      <c r="B2138" s="73" t="s">
        <v>505</v>
      </c>
      <c r="C2138" s="74" t="s">
        <v>2605</v>
      </c>
      <c r="D2138" s="74">
        <v>344.99</v>
      </c>
    </row>
    <row r="2139" spans="1:4">
      <c r="A2139" t="s">
        <v>40</v>
      </c>
      <c r="B2139" s="73" t="s">
        <v>510</v>
      </c>
      <c r="C2139" s="74" t="s">
        <v>2606</v>
      </c>
      <c r="D2139" s="74">
        <v>734.79</v>
      </c>
    </row>
    <row r="2140" spans="1:4">
      <c r="A2140" t="s">
        <v>40</v>
      </c>
      <c r="B2140" s="73" t="s">
        <v>505</v>
      </c>
      <c r="C2140" s="74" t="s">
        <v>2607</v>
      </c>
      <c r="D2140" s="74">
        <v>350</v>
      </c>
    </row>
    <row r="2141" spans="1:4">
      <c r="A2141" t="s">
        <v>40</v>
      </c>
      <c r="B2141" s="73" t="s">
        <v>505</v>
      </c>
      <c r="C2141" s="74" t="s">
        <v>2608</v>
      </c>
      <c r="D2141" s="74">
        <v>304.99</v>
      </c>
    </row>
    <row r="2142" spans="1:4">
      <c r="A2142" t="s">
        <v>40</v>
      </c>
      <c r="B2142" s="73" t="s">
        <v>738</v>
      </c>
      <c r="C2142" s="74" t="s">
        <v>2609</v>
      </c>
      <c r="D2142" s="74">
        <v>229.99</v>
      </c>
    </row>
    <row r="2143" spans="1:4">
      <c r="A2143" t="s">
        <v>40</v>
      </c>
      <c r="B2143" s="73" t="s">
        <v>505</v>
      </c>
      <c r="C2143" s="74" t="s">
        <v>2610</v>
      </c>
      <c r="D2143" s="74">
        <v>389.59</v>
      </c>
    </row>
    <row r="2144" spans="1:4">
      <c r="A2144" t="s">
        <v>40</v>
      </c>
      <c r="B2144" s="73" t="s">
        <v>523</v>
      </c>
      <c r="C2144" s="74" t="s">
        <v>2611</v>
      </c>
      <c r="D2144" s="74">
        <v>97.99</v>
      </c>
    </row>
    <row r="2145" spans="1:4">
      <c r="A2145" t="s">
        <v>40</v>
      </c>
      <c r="B2145" s="73" t="s">
        <v>529</v>
      </c>
      <c r="C2145" s="74" t="s">
        <v>2612</v>
      </c>
      <c r="D2145" s="74">
        <v>119.99</v>
      </c>
    </row>
    <row r="2146" spans="1:4">
      <c r="A2146" t="s">
        <v>40</v>
      </c>
      <c r="B2146" s="73" t="s">
        <v>507</v>
      </c>
      <c r="C2146" s="74" t="s">
        <v>2613</v>
      </c>
      <c r="D2146" s="74">
        <v>169.99</v>
      </c>
    </row>
    <row r="2147" spans="1:4">
      <c r="A2147" t="s">
        <v>40</v>
      </c>
      <c r="B2147" s="73" t="s">
        <v>510</v>
      </c>
      <c r="C2147" s="74" t="s">
        <v>2614</v>
      </c>
      <c r="D2147" s="74">
        <v>459.99</v>
      </c>
    </row>
    <row r="2148" spans="1:4" ht="21">
      <c r="A2148" t="s">
        <v>40</v>
      </c>
      <c r="B2148" s="73" t="s">
        <v>507</v>
      </c>
      <c r="C2148" s="74" t="s">
        <v>2615</v>
      </c>
      <c r="D2148" s="74">
        <v>89.99</v>
      </c>
    </row>
    <row r="2149" spans="1:4">
      <c r="A2149" t="s">
        <v>40</v>
      </c>
      <c r="B2149" s="73" t="s">
        <v>505</v>
      </c>
      <c r="C2149" s="74" t="s">
        <v>2616</v>
      </c>
      <c r="D2149" s="74">
        <v>227.99</v>
      </c>
    </row>
    <row r="2150" spans="1:4">
      <c r="A2150" t="s">
        <v>40</v>
      </c>
      <c r="B2150" s="73" t="s">
        <v>505</v>
      </c>
      <c r="C2150" s="74" t="s">
        <v>2617</v>
      </c>
      <c r="D2150" s="74">
        <v>179.99</v>
      </c>
    </row>
    <row r="2151" spans="1:4">
      <c r="A2151" t="s">
        <v>40</v>
      </c>
      <c r="B2151" s="73" t="s">
        <v>505</v>
      </c>
      <c r="C2151" s="74" t="s">
        <v>2618</v>
      </c>
      <c r="D2151" s="74">
        <v>625</v>
      </c>
    </row>
    <row r="2152" spans="1:4">
      <c r="A2152" t="s">
        <v>40</v>
      </c>
      <c r="B2152" s="73" t="s">
        <v>510</v>
      </c>
      <c r="C2152" s="74" t="s">
        <v>2619</v>
      </c>
      <c r="D2152" s="74">
        <v>959.99</v>
      </c>
    </row>
    <row r="2153" spans="1:4">
      <c r="A2153" t="s">
        <v>40</v>
      </c>
      <c r="B2153" s="73" t="s">
        <v>505</v>
      </c>
      <c r="C2153" s="74" t="s">
        <v>2620</v>
      </c>
      <c r="D2153" s="74">
        <v>216.97</v>
      </c>
    </row>
    <row r="2154" spans="1:4">
      <c r="A2154" t="s">
        <v>40</v>
      </c>
      <c r="B2154" s="73" t="s">
        <v>810</v>
      </c>
      <c r="C2154" s="74" t="s">
        <v>2621</v>
      </c>
      <c r="D2154" s="74">
        <v>229.99</v>
      </c>
    </row>
    <row r="2155" spans="1:4">
      <c r="A2155" t="s">
        <v>40</v>
      </c>
      <c r="B2155" s="73" t="s">
        <v>505</v>
      </c>
      <c r="C2155" s="74" t="s">
        <v>2622</v>
      </c>
      <c r="D2155" s="74">
        <v>181.97</v>
      </c>
    </row>
    <row r="2156" spans="1:4">
      <c r="A2156" t="s">
        <v>40</v>
      </c>
      <c r="B2156" s="73" t="s">
        <v>505</v>
      </c>
      <c r="C2156" s="74" t="s">
        <v>2623</v>
      </c>
      <c r="D2156" s="74">
        <v>34.99</v>
      </c>
    </row>
    <row r="2157" spans="1:4">
      <c r="A2157" t="s">
        <v>40</v>
      </c>
      <c r="B2157" s="73" t="s">
        <v>510</v>
      </c>
      <c r="C2157" s="74" t="s">
        <v>2624</v>
      </c>
      <c r="D2157" s="74">
        <v>359.95</v>
      </c>
    </row>
    <row r="2158" spans="1:4">
      <c r="A2158" t="s">
        <v>40</v>
      </c>
      <c r="B2158" s="73" t="s">
        <v>505</v>
      </c>
      <c r="C2158" s="74" t="s">
        <v>2625</v>
      </c>
      <c r="D2158" s="74">
        <v>114.59</v>
      </c>
    </row>
    <row r="2159" spans="1:4">
      <c r="A2159" t="s">
        <v>40</v>
      </c>
      <c r="B2159" s="73" t="s">
        <v>505</v>
      </c>
      <c r="C2159" s="74" t="s">
        <v>2626</v>
      </c>
      <c r="D2159" s="74">
        <v>119.99</v>
      </c>
    </row>
    <row r="2160" spans="1:4">
      <c r="A2160" t="s">
        <v>40</v>
      </c>
      <c r="B2160" s="73" t="s">
        <v>505</v>
      </c>
      <c r="C2160" s="74" t="s">
        <v>2627</v>
      </c>
      <c r="D2160" s="74">
        <v>689.79</v>
      </c>
    </row>
    <row r="2161" spans="1:4">
      <c r="A2161" t="s">
        <v>40</v>
      </c>
      <c r="B2161" s="73" t="s">
        <v>505</v>
      </c>
      <c r="C2161" s="74" t="s">
        <v>2628</v>
      </c>
      <c r="D2161" s="74">
        <v>239.95</v>
      </c>
    </row>
    <row r="2162" spans="1:4">
      <c r="A2162" t="s">
        <v>40</v>
      </c>
      <c r="B2162" s="73" t="s">
        <v>510</v>
      </c>
      <c r="C2162" s="74" t="s">
        <v>2629</v>
      </c>
      <c r="D2162" s="74">
        <v>884.29</v>
      </c>
    </row>
    <row r="2163" spans="1:4">
      <c r="A2163" t="s">
        <v>40</v>
      </c>
      <c r="B2163" s="73" t="s">
        <v>505</v>
      </c>
      <c r="C2163" s="74" t="s">
        <v>2630</v>
      </c>
      <c r="D2163" s="74">
        <v>184.47</v>
      </c>
    </row>
    <row r="2164" spans="1:4">
      <c r="A2164" t="s">
        <v>40</v>
      </c>
      <c r="B2164" s="73" t="s">
        <v>510</v>
      </c>
      <c r="C2164" s="74" t="s">
        <v>2631</v>
      </c>
      <c r="D2164" s="74">
        <v>289</v>
      </c>
    </row>
    <row r="2165" spans="1:4">
      <c r="A2165" t="s">
        <v>40</v>
      </c>
      <c r="B2165" s="73" t="s">
        <v>529</v>
      </c>
      <c r="C2165" s="74" t="s">
        <v>2632</v>
      </c>
      <c r="D2165" s="74">
        <v>304.99</v>
      </c>
    </row>
    <row r="2166" spans="1:4">
      <c r="A2166" t="s">
        <v>40</v>
      </c>
      <c r="B2166" s="73" t="s">
        <v>561</v>
      </c>
      <c r="C2166" s="74" t="s">
        <v>2633</v>
      </c>
      <c r="D2166" s="74">
        <v>54.99</v>
      </c>
    </row>
    <row r="2167" spans="1:4">
      <c r="A2167" t="s">
        <v>40</v>
      </c>
      <c r="B2167" s="73" t="s">
        <v>510</v>
      </c>
      <c r="C2167" s="74" t="s">
        <v>2634</v>
      </c>
      <c r="D2167" s="74">
        <v>388.99</v>
      </c>
    </row>
    <row r="2168" spans="1:4">
      <c r="A2168" t="s">
        <v>40</v>
      </c>
      <c r="B2168" s="73" t="s">
        <v>510</v>
      </c>
      <c r="C2168" s="74" t="s">
        <v>2635</v>
      </c>
      <c r="D2168" s="74">
        <v>309.95</v>
      </c>
    </row>
    <row r="2169" spans="1:4">
      <c r="A2169" t="s">
        <v>40</v>
      </c>
      <c r="B2169" s="73" t="s">
        <v>510</v>
      </c>
      <c r="C2169" s="74" t="s">
        <v>2636</v>
      </c>
      <c r="D2169" s="74">
        <v>349</v>
      </c>
    </row>
    <row r="2170" spans="1:4" ht="21">
      <c r="A2170" t="s">
        <v>40</v>
      </c>
      <c r="B2170" s="73" t="s">
        <v>507</v>
      </c>
      <c r="C2170" s="74" t="s">
        <v>2637</v>
      </c>
      <c r="D2170" s="74">
        <v>89.99</v>
      </c>
    </row>
    <row r="2171" spans="1:4" ht="21">
      <c r="A2171" t="s">
        <v>40</v>
      </c>
      <c r="B2171" s="73" t="s">
        <v>505</v>
      </c>
      <c r="C2171" s="74" t="s">
        <v>1975</v>
      </c>
      <c r="D2171" s="74">
        <v>75.989999999999995</v>
      </c>
    </row>
    <row r="2172" spans="1:4">
      <c r="A2172" t="s">
        <v>40</v>
      </c>
      <c r="B2172" s="73" t="s">
        <v>505</v>
      </c>
      <c r="C2172" s="74" t="s">
        <v>2638</v>
      </c>
      <c r="D2172" s="74">
        <v>154.94999999999999</v>
      </c>
    </row>
    <row r="2173" spans="1:4">
      <c r="A2173" t="s">
        <v>40</v>
      </c>
      <c r="B2173" s="73" t="s">
        <v>510</v>
      </c>
      <c r="C2173" s="74" t="s">
        <v>2639</v>
      </c>
      <c r="D2173" s="74">
        <v>139.99</v>
      </c>
    </row>
    <row r="2174" spans="1:4">
      <c r="A2174" t="s">
        <v>40</v>
      </c>
      <c r="B2174" s="73" t="s">
        <v>510</v>
      </c>
      <c r="C2174" s="74" t="s">
        <v>2640</v>
      </c>
      <c r="D2174" s="74">
        <v>549.99</v>
      </c>
    </row>
    <row r="2175" spans="1:4">
      <c r="A2175" t="s">
        <v>40</v>
      </c>
      <c r="B2175" s="73" t="s">
        <v>510</v>
      </c>
      <c r="C2175" s="74" t="s">
        <v>2641</v>
      </c>
      <c r="D2175" s="74">
        <v>66.489999999999995</v>
      </c>
    </row>
    <row r="2176" spans="1:4">
      <c r="A2176" t="s">
        <v>40</v>
      </c>
      <c r="B2176" s="73" t="s">
        <v>510</v>
      </c>
      <c r="C2176" s="74" t="s">
        <v>2642</v>
      </c>
      <c r="D2176" s="74">
        <v>289.69</v>
      </c>
    </row>
    <row r="2177" spans="1:4">
      <c r="A2177" t="s">
        <v>40</v>
      </c>
      <c r="B2177" s="73" t="s">
        <v>510</v>
      </c>
      <c r="C2177" s="74" t="s">
        <v>2643</v>
      </c>
      <c r="D2177" s="74">
        <v>409.49</v>
      </c>
    </row>
    <row r="2178" spans="1:4">
      <c r="A2178" t="s">
        <v>40</v>
      </c>
      <c r="B2178" s="73" t="s">
        <v>505</v>
      </c>
      <c r="C2178" s="74" t="s">
        <v>2644</v>
      </c>
      <c r="D2178" s="74">
        <v>271.98</v>
      </c>
    </row>
    <row r="2179" spans="1:4">
      <c r="A2179" t="s">
        <v>40</v>
      </c>
      <c r="B2179" s="73" t="s">
        <v>561</v>
      </c>
      <c r="C2179" s="74" t="s">
        <v>2645</v>
      </c>
      <c r="D2179" s="74">
        <v>165</v>
      </c>
    </row>
    <row r="2180" spans="1:4">
      <c r="A2180" t="s">
        <v>40</v>
      </c>
      <c r="B2180" s="73" t="s">
        <v>995</v>
      </c>
      <c r="C2180" s="74" t="s">
        <v>2646</v>
      </c>
      <c r="D2180" s="74">
        <v>68.790000000000006</v>
      </c>
    </row>
    <row r="2181" spans="1:4">
      <c r="A2181" t="s">
        <v>40</v>
      </c>
      <c r="B2181" s="73" t="s">
        <v>510</v>
      </c>
      <c r="C2181" s="74" t="s">
        <v>2647</v>
      </c>
      <c r="D2181" s="74">
        <v>169.25</v>
      </c>
    </row>
    <row r="2182" spans="1:4">
      <c r="A2182" t="s">
        <v>40</v>
      </c>
      <c r="B2182" s="73" t="s">
        <v>510</v>
      </c>
      <c r="C2182" s="74" t="s">
        <v>2648</v>
      </c>
      <c r="D2182" s="74">
        <v>278.99</v>
      </c>
    </row>
    <row r="2183" spans="1:4">
      <c r="A2183" t="s">
        <v>40</v>
      </c>
      <c r="B2183" s="73" t="s">
        <v>510</v>
      </c>
      <c r="C2183" s="74" t="s">
        <v>2649</v>
      </c>
      <c r="D2183" s="74">
        <v>47.49</v>
      </c>
    </row>
    <row r="2184" spans="1:4">
      <c r="A2184" t="s">
        <v>40</v>
      </c>
      <c r="B2184" s="73" t="s">
        <v>505</v>
      </c>
      <c r="C2184" s="74" t="s">
        <v>2650</v>
      </c>
      <c r="D2184" s="74">
        <v>156.97999999999999</v>
      </c>
    </row>
    <row r="2185" spans="1:4">
      <c r="A2185" t="s">
        <v>40</v>
      </c>
      <c r="B2185" s="73" t="s">
        <v>510</v>
      </c>
      <c r="C2185" s="74" t="s">
        <v>2651</v>
      </c>
      <c r="D2185" s="74">
        <v>42.79</v>
      </c>
    </row>
    <row r="2186" spans="1:4">
      <c r="A2186" t="s">
        <v>40</v>
      </c>
      <c r="B2186" s="73" t="s">
        <v>505</v>
      </c>
      <c r="C2186" s="74" t="s">
        <v>2652</v>
      </c>
      <c r="D2186" s="74">
        <v>114.99</v>
      </c>
    </row>
    <row r="2187" spans="1:4">
      <c r="A2187" t="s">
        <v>40</v>
      </c>
      <c r="B2187" s="73" t="s">
        <v>505</v>
      </c>
      <c r="C2187" s="74" t="s">
        <v>2653</v>
      </c>
      <c r="D2187" s="74">
        <v>109.95</v>
      </c>
    </row>
    <row r="2188" spans="1:4">
      <c r="A2188" t="s">
        <v>40</v>
      </c>
      <c r="B2188" s="73" t="s">
        <v>505</v>
      </c>
      <c r="C2188" s="74" t="s">
        <v>2654</v>
      </c>
      <c r="D2188" s="74">
        <v>209.99</v>
      </c>
    </row>
    <row r="2189" spans="1:4">
      <c r="A2189" t="s">
        <v>40</v>
      </c>
      <c r="B2189" s="73" t="s">
        <v>510</v>
      </c>
      <c r="C2189" s="74" t="s">
        <v>2655</v>
      </c>
      <c r="D2189" s="74">
        <v>644.49</v>
      </c>
    </row>
    <row r="2190" spans="1:4">
      <c r="A2190" t="s">
        <v>40</v>
      </c>
      <c r="B2190" s="73" t="s">
        <v>510</v>
      </c>
      <c r="C2190" s="74" t="s">
        <v>2656</v>
      </c>
      <c r="D2190" s="74">
        <v>94.99</v>
      </c>
    </row>
    <row r="2191" spans="1:4">
      <c r="A2191" t="s">
        <v>40</v>
      </c>
      <c r="B2191" s="73" t="s">
        <v>510</v>
      </c>
      <c r="C2191" s="74" t="s">
        <v>2657</v>
      </c>
      <c r="D2191" s="74">
        <v>334.99</v>
      </c>
    </row>
    <row r="2192" spans="1:4">
      <c r="A2192" t="s">
        <v>40</v>
      </c>
      <c r="B2192" s="73" t="s">
        <v>505</v>
      </c>
      <c r="C2192" s="74" t="s">
        <v>2658</v>
      </c>
      <c r="D2192" s="74">
        <v>429.99</v>
      </c>
    </row>
    <row r="2193" spans="1:4">
      <c r="A2193" t="s">
        <v>40</v>
      </c>
      <c r="B2193" s="73" t="s">
        <v>510</v>
      </c>
      <c r="C2193" s="74" t="s">
        <v>2659</v>
      </c>
      <c r="D2193" s="74">
        <v>291.97000000000003</v>
      </c>
    </row>
    <row r="2194" spans="1:4">
      <c r="A2194" t="s">
        <v>40</v>
      </c>
      <c r="B2194" s="73" t="s">
        <v>561</v>
      </c>
      <c r="C2194" s="74" t="s">
        <v>2660</v>
      </c>
      <c r="D2194" s="74">
        <v>75</v>
      </c>
    </row>
    <row r="2195" spans="1:4">
      <c r="A2195" t="s">
        <v>40</v>
      </c>
      <c r="B2195" s="73" t="s">
        <v>510</v>
      </c>
      <c r="C2195" s="74" t="s">
        <v>2661</v>
      </c>
      <c r="D2195" s="74">
        <v>644.49</v>
      </c>
    </row>
    <row r="2196" spans="1:4">
      <c r="A2196" t="s">
        <v>40</v>
      </c>
      <c r="B2196" s="73" t="s">
        <v>505</v>
      </c>
      <c r="C2196" s="74" t="s">
        <v>2662</v>
      </c>
      <c r="D2196" s="74">
        <v>640</v>
      </c>
    </row>
    <row r="2197" spans="1:4">
      <c r="A2197" t="s">
        <v>40</v>
      </c>
      <c r="B2197" s="73" t="s">
        <v>505</v>
      </c>
      <c r="C2197" s="74" t="s">
        <v>2663</v>
      </c>
      <c r="D2197" s="74">
        <v>401</v>
      </c>
    </row>
    <row r="2198" spans="1:4">
      <c r="A2198" t="s">
        <v>40</v>
      </c>
      <c r="B2198" s="73" t="s">
        <v>505</v>
      </c>
      <c r="C2198" s="74" t="s">
        <v>2664</v>
      </c>
      <c r="D2198" s="74">
        <v>169.99</v>
      </c>
    </row>
    <row r="2199" spans="1:4">
      <c r="A2199" t="s">
        <v>40</v>
      </c>
      <c r="B2199" s="73" t="s">
        <v>510</v>
      </c>
      <c r="C2199" s="74" t="s">
        <v>2665</v>
      </c>
      <c r="D2199" s="74">
        <v>699.49</v>
      </c>
    </row>
    <row r="2200" spans="1:4">
      <c r="A2200" t="s">
        <v>40</v>
      </c>
      <c r="B2200" s="73" t="s">
        <v>810</v>
      </c>
      <c r="C2200" s="74" t="s">
        <v>2666</v>
      </c>
      <c r="D2200" s="74">
        <v>189.99</v>
      </c>
    </row>
    <row r="2201" spans="1:4">
      <c r="A2201" t="s">
        <v>40</v>
      </c>
      <c r="B2201" s="73" t="s">
        <v>510</v>
      </c>
      <c r="C2201" s="74" t="s">
        <v>2543</v>
      </c>
      <c r="D2201" s="74">
        <v>1124.69</v>
      </c>
    </row>
    <row r="2202" spans="1:4">
      <c r="A2202" t="s">
        <v>40</v>
      </c>
      <c r="B2202" s="73" t="s">
        <v>810</v>
      </c>
      <c r="C2202" s="74" t="s">
        <v>2667</v>
      </c>
      <c r="D2202" s="74">
        <v>314.99</v>
      </c>
    </row>
    <row r="2203" spans="1:4">
      <c r="A2203" t="s">
        <v>40</v>
      </c>
      <c r="B2203" s="73" t="s">
        <v>510</v>
      </c>
      <c r="C2203" s="74" t="s">
        <v>2668</v>
      </c>
      <c r="D2203" s="74">
        <v>886.98</v>
      </c>
    </row>
    <row r="2204" spans="1:4">
      <c r="A2204" t="s">
        <v>40</v>
      </c>
      <c r="B2204" s="73" t="s">
        <v>510</v>
      </c>
      <c r="C2204" s="74" t="s">
        <v>2669</v>
      </c>
      <c r="D2204" s="74">
        <v>1064.69</v>
      </c>
    </row>
    <row r="2205" spans="1:4">
      <c r="A2205" t="s">
        <v>40</v>
      </c>
      <c r="B2205" s="73" t="s">
        <v>561</v>
      </c>
      <c r="C2205" s="74" t="s">
        <v>2670</v>
      </c>
      <c r="D2205" s="74">
        <v>79.989999999999995</v>
      </c>
    </row>
    <row r="2206" spans="1:4">
      <c r="A2206" t="s">
        <v>40</v>
      </c>
      <c r="B2206" s="73" t="s">
        <v>510</v>
      </c>
      <c r="C2206" s="74" t="s">
        <v>2671</v>
      </c>
      <c r="D2206" s="74">
        <v>1014.79</v>
      </c>
    </row>
    <row r="2207" spans="1:4">
      <c r="A2207" t="s">
        <v>40</v>
      </c>
      <c r="B2207" s="73" t="s">
        <v>510</v>
      </c>
      <c r="C2207" s="74" t="s">
        <v>2672</v>
      </c>
      <c r="D2207" s="74">
        <v>99.99</v>
      </c>
    </row>
    <row r="2208" spans="1:4">
      <c r="A2208" t="s">
        <v>40</v>
      </c>
      <c r="B2208" s="73" t="s">
        <v>510</v>
      </c>
      <c r="C2208" s="74" t="s">
        <v>2673</v>
      </c>
      <c r="D2208" s="74">
        <v>304.99</v>
      </c>
    </row>
    <row r="2209" spans="1:4">
      <c r="A2209" t="s">
        <v>40</v>
      </c>
      <c r="B2209" s="73" t="s">
        <v>505</v>
      </c>
      <c r="C2209" s="74" t="s">
        <v>2674</v>
      </c>
      <c r="D2209" s="74">
        <v>369.99</v>
      </c>
    </row>
    <row r="2210" spans="1:4">
      <c r="A2210" t="s">
        <v>40</v>
      </c>
      <c r="B2210" s="73" t="s">
        <v>505</v>
      </c>
      <c r="C2210" s="74" t="s">
        <v>2675</v>
      </c>
      <c r="D2210" s="74">
        <v>272</v>
      </c>
    </row>
    <row r="2211" spans="1:4">
      <c r="A2211" t="s">
        <v>40</v>
      </c>
      <c r="B2211" s="73" t="s">
        <v>510</v>
      </c>
      <c r="C2211" s="74" t="s">
        <v>2676</v>
      </c>
      <c r="D2211" s="74">
        <v>301.97000000000003</v>
      </c>
    </row>
    <row r="2212" spans="1:4">
      <c r="A2212" t="s">
        <v>40</v>
      </c>
      <c r="B2212" s="73" t="s">
        <v>510</v>
      </c>
      <c r="C2212" s="74" t="s">
        <v>2677</v>
      </c>
      <c r="D2212" s="74">
        <v>259.95</v>
      </c>
    </row>
    <row r="2213" spans="1:4">
      <c r="A2213" t="s">
        <v>40</v>
      </c>
      <c r="B2213" s="73" t="s">
        <v>505</v>
      </c>
      <c r="C2213" s="74" t="s">
        <v>2678</v>
      </c>
      <c r="D2213" s="74">
        <v>475</v>
      </c>
    </row>
    <row r="2214" spans="1:4">
      <c r="A2214" t="s">
        <v>40</v>
      </c>
      <c r="B2214" s="73" t="s">
        <v>505</v>
      </c>
      <c r="C2214" s="74" t="s">
        <v>2679</v>
      </c>
      <c r="D2214" s="74">
        <v>169.99</v>
      </c>
    </row>
    <row r="2215" spans="1:4">
      <c r="A2215" t="s">
        <v>40</v>
      </c>
      <c r="B2215" s="73" t="s">
        <v>510</v>
      </c>
      <c r="C2215" s="74" t="s">
        <v>2680</v>
      </c>
      <c r="D2215" s="74">
        <v>329.95</v>
      </c>
    </row>
    <row r="2216" spans="1:4">
      <c r="A2216" t="s">
        <v>40</v>
      </c>
      <c r="B2216" s="73" t="s">
        <v>523</v>
      </c>
      <c r="C2216" s="74" t="s">
        <v>2681</v>
      </c>
      <c r="D2216" s="74">
        <v>301.97000000000003</v>
      </c>
    </row>
    <row r="2217" spans="1:4">
      <c r="A2217" t="s">
        <v>40</v>
      </c>
      <c r="B2217" s="73" t="s">
        <v>510</v>
      </c>
      <c r="C2217" s="74" t="s">
        <v>2682</v>
      </c>
      <c r="D2217" s="74">
        <v>489.99</v>
      </c>
    </row>
    <row r="2218" spans="1:4">
      <c r="A2218" t="s">
        <v>40</v>
      </c>
      <c r="B2218" s="73" t="s">
        <v>523</v>
      </c>
      <c r="C2218" s="74" t="s">
        <v>2683</v>
      </c>
      <c r="D2218" s="74">
        <v>209.95</v>
      </c>
    </row>
    <row r="2219" spans="1:4">
      <c r="A2219" t="s">
        <v>40</v>
      </c>
      <c r="B2219" s="73" t="s">
        <v>505</v>
      </c>
      <c r="C2219" s="74" t="s">
        <v>2684</v>
      </c>
      <c r="D2219" s="74">
        <v>216.97</v>
      </c>
    </row>
    <row r="2220" spans="1:4">
      <c r="A2220" t="s">
        <v>40</v>
      </c>
      <c r="B2220" s="73" t="s">
        <v>561</v>
      </c>
      <c r="C2220" s="74" t="s">
        <v>2685</v>
      </c>
      <c r="D2220" s="74">
        <v>199.99</v>
      </c>
    </row>
    <row r="2221" spans="1:4">
      <c r="A2221" t="s">
        <v>40</v>
      </c>
      <c r="B2221" s="73" t="s">
        <v>510</v>
      </c>
      <c r="C2221" s="74" t="s">
        <v>2475</v>
      </c>
      <c r="D2221" s="74">
        <v>259.99</v>
      </c>
    </row>
    <row r="2222" spans="1:4">
      <c r="A2222" t="s">
        <v>40</v>
      </c>
      <c r="B2222" s="73" t="s">
        <v>510</v>
      </c>
      <c r="C2222" s="74" t="s">
        <v>2686</v>
      </c>
      <c r="D2222" s="74">
        <v>176.95</v>
      </c>
    </row>
    <row r="2223" spans="1:4">
      <c r="A2223" t="s">
        <v>40</v>
      </c>
      <c r="B2223" s="73" t="s">
        <v>510</v>
      </c>
      <c r="C2223" s="74" t="s">
        <v>2687</v>
      </c>
      <c r="D2223" s="74">
        <v>664.69</v>
      </c>
    </row>
    <row r="2224" spans="1:4">
      <c r="A2224" t="s">
        <v>40</v>
      </c>
      <c r="B2224" s="73" t="s">
        <v>529</v>
      </c>
      <c r="C2224" s="74" t="s">
        <v>1310</v>
      </c>
      <c r="D2224" s="74">
        <v>69.489999999999995</v>
      </c>
    </row>
    <row r="2225" spans="1:4">
      <c r="A2225" t="s">
        <v>40</v>
      </c>
      <c r="B2225" s="73" t="s">
        <v>510</v>
      </c>
      <c r="C2225" s="74" t="s">
        <v>2688</v>
      </c>
      <c r="D2225" s="74">
        <v>664.69</v>
      </c>
    </row>
    <row r="2226" spans="1:4">
      <c r="A2226" t="s">
        <v>40</v>
      </c>
      <c r="B2226" s="73" t="s">
        <v>510</v>
      </c>
      <c r="C2226" s="74" t="s">
        <v>2689</v>
      </c>
      <c r="D2226" s="74">
        <v>109.99</v>
      </c>
    </row>
    <row r="2227" spans="1:4">
      <c r="A2227" t="s">
        <v>40</v>
      </c>
      <c r="B2227" s="73" t="s">
        <v>546</v>
      </c>
      <c r="C2227" s="74" t="s">
        <v>2690</v>
      </c>
      <c r="D2227" s="74">
        <v>29.95</v>
      </c>
    </row>
    <row r="2228" spans="1:4">
      <c r="A2228" t="s">
        <v>40</v>
      </c>
      <c r="B2228" s="73" t="s">
        <v>683</v>
      </c>
      <c r="C2228" s="74" t="s">
        <v>2691</v>
      </c>
      <c r="D2228" s="74">
        <v>315.58</v>
      </c>
    </row>
    <row r="2229" spans="1:4">
      <c r="A2229" t="s">
        <v>40</v>
      </c>
      <c r="B2229" s="73" t="s">
        <v>523</v>
      </c>
      <c r="C2229" s="74" t="s">
        <v>2692</v>
      </c>
      <c r="D2229" s="74">
        <v>359.97</v>
      </c>
    </row>
    <row r="2230" spans="1:4">
      <c r="A2230" t="s">
        <v>40</v>
      </c>
      <c r="B2230" s="73" t="s">
        <v>523</v>
      </c>
      <c r="C2230" s="74" t="s">
        <v>2693</v>
      </c>
      <c r="D2230" s="74">
        <v>354.99</v>
      </c>
    </row>
    <row r="2231" spans="1:4">
      <c r="A2231" t="s">
        <v>40</v>
      </c>
      <c r="B2231" s="73" t="s">
        <v>505</v>
      </c>
      <c r="C2231" s="74" t="s">
        <v>2694</v>
      </c>
      <c r="D2231" s="74">
        <v>44.99</v>
      </c>
    </row>
    <row r="2232" spans="1:4">
      <c r="A2232" t="s">
        <v>40</v>
      </c>
      <c r="B2232" s="73" t="s">
        <v>505</v>
      </c>
      <c r="C2232" s="74" t="s">
        <v>2695</v>
      </c>
      <c r="D2232" s="74">
        <v>619.98</v>
      </c>
    </row>
    <row r="2233" spans="1:4">
      <c r="A2233" t="s">
        <v>40</v>
      </c>
      <c r="B2233" s="73" t="s">
        <v>505</v>
      </c>
      <c r="C2233" s="74" t="s">
        <v>2696</v>
      </c>
      <c r="D2233" s="74">
        <v>729.95</v>
      </c>
    </row>
    <row r="2234" spans="1:4">
      <c r="A2234" t="s">
        <v>40</v>
      </c>
      <c r="B2234" s="73" t="s">
        <v>561</v>
      </c>
      <c r="C2234" s="74" t="s">
        <v>2697</v>
      </c>
      <c r="D2234" s="74">
        <v>210.1</v>
      </c>
    </row>
    <row r="2235" spans="1:4">
      <c r="A2235" t="s">
        <v>40</v>
      </c>
      <c r="B2235" s="73" t="s">
        <v>510</v>
      </c>
      <c r="C2235" s="74" t="s">
        <v>2698</v>
      </c>
      <c r="D2235" s="74">
        <v>709.49</v>
      </c>
    </row>
    <row r="2236" spans="1:4">
      <c r="A2236" t="s">
        <v>40</v>
      </c>
      <c r="B2236" s="73" t="s">
        <v>510</v>
      </c>
      <c r="C2236" s="74" t="s">
        <v>2699</v>
      </c>
      <c r="D2236" s="74">
        <v>1014.79</v>
      </c>
    </row>
    <row r="2237" spans="1:4">
      <c r="A2237" t="s">
        <v>40</v>
      </c>
      <c r="B2237" s="73" t="s">
        <v>505</v>
      </c>
      <c r="C2237" s="74" t="s">
        <v>2700</v>
      </c>
      <c r="D2237" s="74">
        <v>167</v>
      </c>
    </row>
    <row r="2238" spans="1:4">
      <c r="A2238" t="s">
        <v>40</v>
      </c>
      <c r="B2238" s="73" t="s">
        <v>510</v>
      </c>
      <c r="C2238" s="74" t="s">
        <v>2701</v>
      </c>
      <c r="D2238" s="74">
        <v>669.99</v>
      </c>
    </row>
    <row r="2239" spans="1:4">
      <c r="A2239" t="s">
        <v>40</v>
      </c>
      <c r="B2239" s="73" t="s">
        <v>561</v>
      </c>
      <c r="C2239" s="74" t="s">
        <v>2702</v>
      </c>
      <c r="D2239" s="74">
        <v>120</v>
      </c>
    </row>
    <row r="2240" spans="1:4">
      <c r="A2240" t="s">
        <v>40</v>
      </c>
      <c r="B2240" s="73" t="s">
        <v>510</v>
      </c>
      <c r="C2240" s="74" t="s">
        <v>2703</v>
      </c>
      <c r="D2240" s="74">
        <v>79.989999999999995</v>
      </c>
    </row>
    <row r="2241" spans="1:4">
      <c r="A2241" t="s">
        <v>40</v>
      </c>
      <c r="B2241" s="73" t="s">
        <v>505</v>
      </c>
      <c r="C2241" s="74" t="s">
        <v>2704</v>
      </c>
      <c r="D2241" s="74">
        <v>216.97</v>
      </c>
    </row>
    <row r="2242" spans="1:4">
      <c r="A2242" t="s">
        <v>40</v>
      </c>
      <c r="B2242" s="73" t="s">
        <v>505</v>
      </c>
      <c r="C2242" s="74" t="s">
        <v>2705</v>
      </c>
      <c r="D2242" s="74">
        <v>382.99</v>
      </c>
    </row>
    <row r="2243" spans="1:4">
      <c r="A2243" t="s">
        <v>40</v>
      </c>
      <c r="B2243" s="73" t="s">
        <v>510</v>
      </c>
      <c r="C2243" s="74" t="s">
        <v>2706</v>
      </c>
      <c r="D2243" s="74">
        <v>559.59</v>
      </c>
    </row>
    <row r="2244" spans="1:4">
      <c r="A2244" t="s">
        <v>40</v>
      </c>
      <c r="B2244" s="73" t="s">
        <v>505</v>
      </c>
      <c r="C2244" s="74" t="s">
        <v>2707</v>
      </c>
      <c r="D2244" s="74">
        <v>395.49</v>
      </c>
    </row>
    <row r="2245" spans="1:4">
      <c r="A2245" t="s">
        <v>40</v>
      </c>
      <c r="B2245" s="73" t="s">
        <v>510</v>
      </c>
      <c r="C2245" s="74" t="s">
        <v>2708</v>
      </c>
      <c r="D2245" s="74">
        <v>79.989999999999995</v>
      </c>
    </row>
    <row r="2246" spans="1:4">
      <c r="A2246" t="s">
        <v>40</v>
      </c>
      <c r="B2246" s="73" t="s">
        <v>510</v>
      </c>
      <c r="C2246" s="74" t="s">
        <v>2709</v>
      </c>
      <c r="D2246" s="74">
        <v>124.95</v>
      </c>
    </row>
    <row r="2247" spans="1:4">
      <c r="A2247" t="s">
        <v>40</v>
      </c>
      <c r="B2247" s="73" t="s">
        <v>510</v>
      </c>
      <c r="C2247" s="74" t="s">
        <v>2710</v>
      </c>
      <c r="D2247" s="74">
        <v>680</v>
      </c>
    </row>
    <row r="2248" spans="1:4">
      <c r="A2248" t="s">
        <v>40</v>
      </c>
      <c r="B2248" s="73" t="s">
        <v>523</v>
      </c>
      <c r="C2248" s="74" t="s">
        <v>2711</v>
      </c>
      <c r="D2248" s="74">
        <v>97.99</v>
      </c>
    </row>
    <row r="2249" spans="1:4">
      <c r="A2249" t="s">
        <v>40</v>
      </c>
      <c r="B2249" s="73" t="s">
        <v>510</v>
      </c>
      <c r="C2249" s="74" t="s">
        <v>2712</v>
      </c>
      <c r="D2249" s="74">
        <v>295.99</v>
      </c>
    </row>
    <row r="2250" spans="1:4">
      <c r="A2250" t="s">
        <v>40</v>
      </c>
      <c r="B2250" s="73" t="s">
        <v>505</v>
      </c>
      <c r="C2250" s="74" t="s">
        <v>2713</v>
      </c>
      <c r="D2250" s="74">
        <v>619.99</v>
      </c>
    </row>
    <row r="2251" spans="1:4">
      <c r="A2251" t="s">
        <v>40</v>
      </c>
      <c r="B2251" s="73" t="s">
        <v>505</v>
      </c>
      <c r="C2251" s="74" t="s">
        <v>2714</v>
      </c>
      <c r="D2251" s="74">
        <v>334.95</v>
      </c>
    </row>
    <row r="2252" spans="1:4">
      <c r="A2252" t="s">
        <v>40</v>
      </c>
      <c r="B2252" s="73" t="s">
        <v>505</v>
      </c>
      <c r="C2252" s="74" t="s">
        <v>2715</v>
      </c>
      <c r="D2252" s="74">
        <v>59</v>
      </c>
    </row>
    <row r="2253" spans="1:4">
      <c r="A2253" t="s">
        <v>40</v>
      </c>
      <c r="B2253" s="73" t="s">
        <v>505</v>
      </c>
      <c r="C2253" s="74" t="s">
        <v>2716</v>
      </c>
      <c r="D2253" s="74">
        <v>256.97000000000003</v>
      </c>
    </row>
    <row r="2254" spans="1:4">
      <c r="A2254" t="s">
        <v>40</v>
      </c>
      <c r="B2254" s="73" t="s">
        <v>505</v>
      </c>
      <c r="C2254" s="74" t="s">
        <v>659</v>
      </c>
      <c r="D2254" s="74">
        <v>74.989999999999995</v>
      </c>
    </row>
    <row r="2255" spans="1:4">
      <c r="A2255" t="s">
        <v>40</v>
      </c>
      <c r="B2255" s="73" t="s">
        <v>510</v>
      </c>
      <c r="C2255" s="74" t="s">
        <v>2717</v>
      </c>
      <c r="D2255" s="74">
        <v>339.95</v>
      </c>
    </row>
    <row r="2256" spans="1:4">
      <c r="A2256" t="s">
        <v>40</v>
      </c>
      <c r="B2256" s="73" t="s">
        <v>510</v>
      </c>
      <c r="C2256" s="74" t="s">
        <v>2718</v>
      </c>
      <c r="D2256" s="74">
        <v>44.29</v>
      </c>
    </row>
    <row r="2257" spans="1:4">
      <c r="A2257" t="s">
        <v>40</v>
      </c>
      <c r="B2257" s="73" t="s">
        <v>505</v>
      </c>
      <c r="C2257" s="74" t="s">
        <v>2719</v>
      </c>
      <c r="D2257" s="74">
        <v>709.99</v>
      </c>
    </row>
    <row r="2258" spans="1:4">
      <c r="A2258" t="s">
        <v>40</v>
      </c>
      <c r="B2258" s="73" t="s">
        <v>510</v>
      </c>
      <c r="C2258" s="74" t="s">
        <v>2720</v>
      </c>
      <c r="D2258" s="74">
        <v>278.99</v>
      </c>
    </row>
    <row r="2259" spans="1:4">
      <c r="A2259" t="s">
        <v>40</v>
      </c>
      <c r="B2259" s="73" t="s">
        <v>505</v>
      </c>
      <c r="C2259" s="74" t="s">
        <v>2721</v>
      </c>
      <c r="D2259" s="74">
        <v>379</v>
      </c>
    </row>
    <row r="2260" spans="1:4">
      <c r="A2260" t="s">
        <v>40</v>
      </c>
      <c r="B2260" s="73" t="s">
        <v>561</v>
      </c>
      <c r="C2260" s="74" t="s">
        <v>2722</v>
      </c>
      <c r="D2260" s="74">
        <v>194.99</v>
      </c>
    </row>
    <row r="2261" spans="1:4">
      <c r="A2261" t="s">
        <v>40</v>
      </c>
      <c r="B2261" s="73" t="s">
        <v>839</v>
      </c>
      <c r="C2261" s="74" t="s">
        <v>2723</v>
      </c>
      <c r="D2261" s="74">
        <v>174.99</v>
      </c>
    </row>
    <row r="2262" spans="1:4">
      <c r="A2262" t="s">
        <v>40</v>
      </c>
      <c r="B2262" s="73" t="s">
        <v>579</v>
      </c>
      <c r="C2262" s="74" t="s">
        <v>2724</v>
      </c>
      <c r="D2262" s="74">
        <v>519</v>
      </c>
    </row>
    <row r="2263" spans="1:4">
      <c r="A2263" t="s">
        <v>40</v>
      </c>
      <c r="B2263" s="73" t="s">
        <v>510</v>
      </c>
      <c r="C2263" s="74" t="s">
        <v>2725</v>
      </c>
      <c r="D2263" s="74">
        <v>147.94999999999999</v>
      </c>
    </row>
    <row r="2264" spans="1:4">
      <c r="A2264" t="s">
        <v>40</v>
      </c>
      <c r="B2264" s="73" t="s">
        <v>505</v>
      </c>
      <c r="C2264" s="74" t="s">
        <v>2726</v>
      </c>
      <c r="D2264" s="74">
        <v>429.08</v>
      </c>
    </row>
    <row r="2265" spans="1:4">
      <c r="A2265" t="s">
        <v>40</v>
      </c>
      <c r="B2265" s="73" t="s">
        <v>505</v>
      </c>
      <c r="C2265" s="74" t="s">
        <v>2727</v>
      </c>
      <c r="D2265" s="74">
        <v>621</v>
      </c>
    </row>
    <row r="2266" spans="1:4">
      <c r="A2266" t="s">
        <v>40</v>
      </c>
      <c r="B2266" s="73" t="s">
        <v>505</v>
      </c>
      <c r="C2266" s="74" t="s">
        <v>2728</v>
      </c>
      <c r="D2266" s="74">
        <v>54.95</v>
      </c>
    </row>
    <row r="2267" spans="1:4">
      <c r="A2267" t="s">
        <v>40</v>
      </c>
      <c r="B2267" s="73" t="s">
        <v>510</v>
      </c>
      <c r="C2267" s="74" t="s">
        <v>2729</v>
      </c>
      <c r="D2267" s="74">
        <v>299.99</v>
      </c>
    </row>
    <row r="2268" spans="1:4">
      <c r="A2268" t="s">
        <v>40</v>
      </c>
      <c r="B2268" s="73" t="s">
        <v>510</v>
      </c>
      <c r="C2268" s="74" t="s">
        <v>2730</v>
      </c>
      <c r="D2268" s="74">
        <v>315.99</v>
      </c>
    </row>
    <row r="2269" spans="1:4">
      <c r="A2269" t="s">
        <v>40</v>
      </c>
      <c r="B2269" s="73" t="s">
        <v>510</v>
      </c>
      <c r="C2269" s="74" t="s">
        <v>2731</v>
      </c>
      <c r="D2269" s="74">
        <v>549</v>
      </c>
    </row>
    <row r="2270" spans="1:4">
      <c r="A2270" t="s">
        <v>40</v>
      </c>
      <c r="B2270" s="73" t="s">
        <v>505</v>
      </c>
      <c r="C2270" s="74" t="s">
        <v>2732</v>
      </c>
      <c r="D2270" s="74">
        <v>609.49</v>
      </c>
    </row>
    <row r="2271" spans="1:4">
      <c r="A2271" t="s">
        <v>40</v>
      </c>
      <c r="B2271" s="73" t="s">
        <v>510</v>
      </c>
      <c r="C2271" s="74" t="s">
        <v>2733</v>
      </c>
      <c r="D2271" s="74">
        <v>525</v>
      </c>
    </row>
    <row r="2272" spans="1:4">
      <c r="A2272" t="s">
        <v>40</v>
      </c>
      <c r="B2272" s="73" t="s">
        <v>510</v>
      </c>
      <c r="C2272" s="74" t="s">
        <v>2734</v>
      </c>
      <c r="D2272" s="74">
        <v>349.69</v>
      </c>
    </row>
    <row r="2273" spans="1:4">
      <c r="A2273" t="s">
        <v>40</v>
      </c>
      <c r="B2273" s="73" t="s">
        <v>505</v>
      </c>
      <c r="C2273" s="74" t="s">
        <v>2735</v>
      </c>
      <c r="D2273" s="74">
        <v>89</v>
      </c>
    </row>
    <row r="2274" spans="1:4">
      <c r="A2274" t="s">
        <v>40</v>
      </c>
      <c r="B2274" s="73" t="s">
        <v>810</v>
      </c>
      <c r="C2274" s="74" t="s">
        <v>2736</v>
      </c>
      <c r="D2274" s="74">
        <v>186.97</v>
      </c>
    </row>
    <row r="2275" spans="1:4">
      <c r="A2275" t="s">
        <v>40</v>
      </c>
      <c r="B2275" s="73" t="s">
        <v>505</v>
      </c>
      <c r="C2275" s="74" t="s">
        <v>2737</v>
      </c>
      <c r="D2275" s="74">
        <v>245</v>
      </c>
    </row>
    <row r="2276" spans="1:4">
      <c r="A2276" t="s">
        <v>40</v>
      </c>
      <c r="B2276" s="73" t="s">
        <v>529</v>
      </c>
      <c r="C2276" s="74" t="s">
        <v>2738</v>
      </c>
      <c r="D2276" s="74">
        <v>339.99</v>
      </c>
    </row>
    <row r="2277" spans="1:4">
      <c r="A2277" t="s">
        <v>40</v>
      </c>
      <c r="B2277" s="73" t="s">
        <v>505</v>
      </c>
      <c r="C2277" s="74" t="s">
        <v>2739</v>
      </c>
      <c r="D2277" s="74">
        <v>279</v>
      </c>
    </row>
    <row r="2278" spans="1:4">
      <c r="A2278" t="s">
        <v>40</v>
      </c>
      <c r="B2278" s="73" t="s">
        <v>561</v>
      </c>
      <c r="C2278" s="74" t="s">
        <v>2740</v>
      </c>
      <c r="D2278" s="74">
        <v>149.99</v>
      </c>
    </row>
    <row r="2279" spans="1:4">
      <c r="A2279" t="s">
        <v>40</v>
      </c>
      <c r="B2279" s="73" t="s">
        <v>510</v>
      </c>
      <c r="C2279" s="74" t="s">
        <v>2741</v>
      </c>
      <c r="D2279" s="74">
        <v>354.99</v>
      </c>
    </row>
    <row r="2280" spans="1:4">
      <c r="A2280" t="s">
        <v>40</v>
      </c>
      <c r="B2280" s="73" t="s">
        <v>561</v>
      </c>
      <c r="C2280" s="74" t="s">
        <v>2742</v>
      </c>
      <c r="D2280" s="74">
        <v>89</v>
      </c>
    </row>
    <row r="2281" spans="1:4">
      <c r="A2281" t="s">
        <v>40</v>
      </c>
      <c r="B2281" s="73" t="s">
        <v>505</v>
      </c>
      <c r="C2281" s="74" t="s">
        <v>2743</v>
      </c>
      <c r="D2281" s="74">
        <v>38.99</v>
      </c>
    </row>
    <row r="2282" spans="1:4">
      <c r="A2282" t="s">
        <v>40</v>
      </c>
      <c r="B2282" s="73" t="s">
        <v>505</v>
      </c>
      <c r="C2282" s="74" t="s">
        <v>2744</v>
      </c>
      <c r="D2282" s="74">
        <v>331.97</v>
      </c>
    </row>
    <row r="2283" spans="1:4">
      <c r="A2283" t="s">
        <v>40</v>
      </c>
      <c r="B2283" s="73" t="s">
        <v>505</v>
      </c>
      <c r="C2283" s="74" t="s">
        <v>2745</v>
      </c>
      <c r="D2283" s="74">
        <v>669.69</v>
      </c>
    </row>
    <row r="2284" spans="1:4">
      <c r="A2284" t="s">
        <v>40</v>
      </c>
      <c r="B2284" s="73" t="s">
        <v>505</v>
      </c>
      <c r="C2284" s="74" t="s">
        <v>2746</v>
      </c>
      <c r="D2284" s="74">
        <v>209</v>
      </c>
    </row>
    <row r="2285" spans="1:4">
      <c r="A2285" t="s">
        <v>40</v>
      </c>
      <c r="B2285" s="73" t="s">
        <v>510</v>
      </c>
      <c r="C2285" s="74" t="s">
        <v>2747</v>
      </c>
      <c r="D2285" s="74">
        <v>649.99</v>
      </c>
    </row>
    <row r="2286" spans="1:4">
      <c r="A2286" t="s">
        <v>40</v>
      </c>
      <c r="B2286" s="73" t="s">
        <v>1642</v>
      </c>
      <c r="C2286" s="74" t="s">
        <v>2748</v>
      </c>
      <c r="D2286" s="74">
        <v>59.99</v>
      </c>
    </row>
    <row r="2287" spans="1:4">
      <c r="A2287" t="s">
        <v>40</v>
      </c>
      <c r="B2287" s="73" t="s">
        <v>510</v>
      </c>
      <c r="C2287" s="74" t="s">
        <v>2749</v>
      </c>
      <c r="D2287" s="74">
        <v>368.99</v>
      </c>
    </row>
    <row r="2288" spans="1:4">
      <c r="A2288" t="s">
        <v>40</v>
      </c>
      <c r="B2288" s="73" t="s">
        <v>510</v>
      </c>
      <c r="C2288" s="74" t="s">
        <v>2750</v>
      </c>
      <c r="D2288" s="74">
        <v>339.99</v>
      </c>
    </row>
    <row r="2289" spans="1:4">
      <c r="A2289" t="s">
        <v>40</v>
      </c>
      <c r="B2289" s="73" t="s">
        <v>523</v>
      </c>
      <c r="C2289" s="74" t="s">
        <v>2751</v>
      </c>
      <c r="D2289" s="74">
        <v>119.99</v>
      </c>
    </row>
    <row r="2290" spans="1:4">
      <c r="A2290" t="s">
        <v>40</v>
      </c>
      <c r="B2290" s="73" t="s">
        <v>505</v>
      </c>
      <c r="C2290" s="74" t="s">
        <v>2752</v>
      </c>
      <c r="D2290" s="74">
        <v>199.99</v>
      </c>
    </row>
    <row r="2291" spans="1:4">
      <c r="A2291" t="s">
        <v>40</v>
      </c>
      <c r="B2291" s="73" t="s">
        <v>738</v>
      </c>
      <c r="C2291" s="74" t="s">
        <v>2753</v>
      </c>
      <c r="D2291" s="74">
        <v>259.99</v>
      </c>
    </row>
    <row r="2292" spans="1:4">
      <c r="A2292" t="s">
        <v>40</v>
      </c>
      <c r="B2292" s="73" t="s">
        <v>505</v>
      </c>
      <c r="C2292" s="74" t="s">
        <v>2754</v>
      </c>
      <c r="D2292" s="74">
        <v>619.59</v>
      </c>
    </row>
    <row r="2293" spans="1:4">
      <c r="A2293" t="s">
        <v>40</v>
      </c>
      <c r="B2293" s="73" t="s">
        <v>510</v>
      </c>
      <c r="C2293" s="74" t="s">
        <v>2755</v>
      </c>
      <c r="D2293" s="74">
        <v>459.99</v>
      </c>
    </row>
    <row r="2294" spans="1:4">
      <c r="A2294" t="s">
        <v>40</v>
      </c>
      <c r="B2294" s="73" t="s">
        <v>505</v>
      </c>
      <c r="C2294" s="74" t="s">
        <v>2756</v>
      </c>
      <c r="D2294" s="74">
        <v>159.99</v>
      </c>
    </row>
    <row r="2295" spans="1:4">
      <c r="A2295" t="s">
        <v>40</v>
      </c>
      <c r="B2295" s="73" t="s">
        <v>510</v>
      </c>
      <c r="C2295" s="74" t="s">
        <v>2757</v>
      </c>
      <c r="D2295" s="74">
        <v>618.99</v>
      </c>
    </row>
    <row r="2296" spans="1:4">
      <c r="A2296" t="s">
        <v>40</v>
      </c>
      <c r="B2296" s="73" t="s">
        <v>510</v>
      </c>
      <c r="C2296" s="74" t="s">
        <v>2758</v>
      </c>
      <c r="D2296" s="74">
        <v>1394.79</v>
      </c>
    </row>
    <row r="2297" spans="1:4">
      <c r="A2297" t="s">
        <v>40</v>
      </c>
      <c r="B2297" s="73" t="s">
        <v>510</v>
      </c>
      <c r="C2297" s="74" t="s">
        <v>2759</v>
      </c>
      <c r="D2297" s="74">
        <v>489.95</v>
      </c>
    </row>
    <row r="2298" spans="1:4">
      <c r="A2298" t="s">
        <v>40</v>
      </c>
      <c r="B2298" s="73" t="s">
        <v>810</v>
      </c>
      <c r="C2298" s="74" t="s">
        <v>2760</v>
      </c>
      <c r="D2298" s="74">
        <v>136.47</v>
      </c>
    </row>
    <row r="2299" spans="1:4">
      <c r="A2299" t="s">
        <v>40</v>
      </c>
      <c r="B2299" s="73" t="s">
        <v>505</v>
      </c>
      <c r="C2299" s="74" t="s">
        <v>2761</v>
      </c>
      <c r="D2299" s="74">
        <v>199.99</v>
      </c>
    </row>
    <row r="2300" spans="1:4">
      <c r="A2300" t="s">
        <v>40</v>
      </c>
      <c r="B2300" s="73" t="s">
        <v>2762</v>
      </c>
      <c r="C2300" s="74" t="s">
        <v>2763</v>
      </c>
      <c r="D2300" s="74">
        <v>99.97</v>
      </c>
    </row>
    <row r="2301" spans="1:4">
      <c r="A2301" t="s">
        <v>40</v>
      </c>
      <c r="B2301" s="73" t="s">
        <v>505</v>
      </c>
      <c r="C2301" s="74" t="s">
        <v>2764</v>
      </c>
      <c r="D2301" s="74">
        <v>131.97999999999999</v>
      </c>
    </row>
    <row r="2302" spans="1:4">
      <c r="A2302" t="s">
        <v>40</v>
      </c>
      <c r="B2302" s="73" t="s">
        <v>523</v>
      </c>
      <c r="C2302" s="74" t="s">
        <v>2765</v>
      </c>
      <c r="D2302" s="74">
        <v>159.99</v>
      </c>
    </row>
    <row r="2303" spans="1:4">
      <c r="A2303" t="s">
        <v>40</v>
      </c>
      <c r="B2303" s="73" t="s">
        <v>505</v>
      </c>
      <c r="C2303" s="74" t="s">
        <v>2766</v>
      </c>
      <c r="D2303" s="74">
        <v>82.5</v>
      </c>
    </row>
    <row r="2304" spans="1:4">
      <c r="A2304" t="s">
        <v>40</v>
      </c>
      <c r="B2304" s="73" t="s">
        <v>505</v>
      </c>
      <c r="C2304" s="74" t="s">
        <v>2767</v>
      </c>
      <c r="D2304" s="74">
        <v>236.97</v>
      </c>
    </row>
    <row r="2305" spans="1:4">
      <c r="A2305" t="s">
        <v>40</v>
      </c>
      <c r="B2305" s="73" t="s">
        <v>833</v>
      </c>
      <c r="C2305" s="74" t="s">
        <v>2768</v>
      </c>
      <c r="D2305" s="74">
        <v>61.69</v>
      </c>
    </row>
    <row r="2306" spans="1:4">
      <c r="A2306" t="s">
        <v>40</v>
      </c>
      <c r="B2306" s="73" t="s">
        <v>510</v>
      </c>
      <c r="C2306" s="74" t="s">
        <v>2769</v>
      </c>
      <c r="D2306" s="74">
        <v>66.989999999999995</v>
      </c>
    </row>
    <row r="2307" spans="1:4">
      <c r="A2307" t="s">
        <v>40</v>
      </c>
      <c r="B2307" s="73" t="s">
        <v>510</v>
      </c>
      <c r="C2307" s="74" t="s">
        <v>2770</v>
      </c>
      <c r="D2307" s="74">
        <v>1074.79</v>
      </c>
    </row>
    <row r="2308" spans="1:4">
      <c r="A2308" t="s">
        <v>40</v>
      </c>
      <c r="B2308" s="73" t="s">
        <v>505</v>
      </c>
      <c r="C2308" s="74" t="s">
        <v>2771</v>
      </c>
      <c r="D2308" s="74">
        <v>286.97000000000003</v>
      </c>
    </row>
    <row r="2309" spans="1:4">
      <c r="A2309" t="s">
        <v>40</v>
      </c>
      <c r="B2309" s="73" t="s">
        <v>505</v>
      </c>
      <c r="C2309" s="74" t="s">
        <v>2772</v>
      </c>
      <c r="D2309" s="74">
        <v>269.99</v>
      </c>
    </row>
    <row r="2310" spans="1:4" ht="21">
      <c r="A2310" t="s">
        <v>40</v>
      </c>
      <c r="B2310" s="73" t="s">
        <v>507</v>
      </c>
      <c r="C2310" s="74" t="s">
        <v>508</v>
      </c>
      <c r="D2310" s="74">
        <v>87.99</v>
      </c>
    </row>
    <row r="2311" spans="1:4">
      <c r="A2311" t="s">
        <v>40</v>
      </c>
      <c r="B2311" s="73" t="s">
        <v>505</v>
      </c>
      <c r="C2311" s="74" t="s">
        <v>2773</v>
      </c>
      <c r="D2311" s="74">
        <v>168.97</v>
      </c>
    </row>
    <row r="2312" spans="1:4">
      <c r="A2312" t="s">
        <v>40</v>
      </c>
      <c r="B2312" s="73" t="s">
        <v>505</v>
      </c>
      <c r="C2312" s="74" t="s">
        <v>2774</v>
      </c>
      <c r="D2312" s="74">
        <v>429.99</v>
      </c>
    </row>
    <row r="2313" spans="1:4">
      <c r="A2313" t="s">
        <v>40</v>
      </c>
      <c r="B2313" s="73" t="s">
        <v>505</v>
      </c>
      <c r="C2313" s="74" t="s">
        <v>2775</v>
      </c>
      <c r="D2313" s="74">
        <v>619.59</v>
      </c>
    </row>
    <row r="2314" spans="1:4">
      <c r="A2314" t="s">
        <v>40</v>
      </c>
      <c r="B2314" s="73" t="s">
        <v>510</v>
      </c>
      <c r="C2314" s="74" t="s">
        <v>2776</v>
      </c>
      <c r="D2314" s="74">
        <v>134.99</v>
      </c>
    </row>
    <row r="2315" spans="1:4">
      <c r="A2315" t="s">
        <v>40</v>
      </c>
      <c r="B2315" s="73" t="s">
        <v>510</v>
      </c>
      <c r="C2315" s="74" t="s">
        <v>2777</v>
      </c>
      <c r="D2315" s="74">
        <v>382</v>
      </c>
    </row>
    <row r="2316" spans="1:4">
      <c r="A2316" t="s">
        <v>40</v>
      </c>
      <c r="B2316" s="73" t="s">
        <v>523</v>
      </c>
      <c r="C2316" s="74" t="s">
        <v>2778</v>
      </c>
      <c r="D2316" s="74">
        <v>218.49</v>
      </c>
    </row>
    <row r="2317" spans="1:4">
      <c r="A2317" t="s">
        <v>40</v>
      </c>
      <c r="B2317" s="73" t="s">
        <v>579</v>
      </c>
      <c r="C2317" s="74" t="s">
        <v>2402</v>
      </c>
      <c r="D2317" s="74">
        <v>304.99</v>
      </c>
    </row>
    <row r="2318" spans="1:4">
      <c r="A2318" t="s">
        <v>40</v>
      </c>
      <c r="B2318" s="73" t="s">
        <v>510</v>
      </c>
      <c r="C2318" s="74" t="s">
        <v>2779</v>
      </c>
      <c r="D2318" s="74">
        <v>304.99</v>
      </c>
    </row>
    <row r="2319" spans="1:4">
      <c r="A2319" t="s">
        <v>40</v>
      </c>
      <c r="B2319" s="73" t="s">
        <v>505</v>
      </c>
      <c r="C2319" s="74" t="s">
        <v>2780</v>
      </c>
      <c r="D2319" s="74">
        <v>147</v>
      </c>
    </row>
    <row r="2320" spans="1:4">
      <c r="A2320" t="s">
        <v>40</v>
      </c>
      <c r="B2320" s="73" t="s">
        <v>510</v>
      </c>
      <c r="C2320" s="74" t="s">
        <v>2781</v>
      </c>
      <c r="D2320" s="74">
        <v>380.99</v>
      </c>
    </row>
    <row r="2321" spans="1:4">
      <c r="A2321" t="s">
        <v>40</v>
      </c>
      <c r="B2321" s="73" t="s">
        <v>505</v>
      </c>
      <c r="C2321" s="74" t="s">
        <v>2782</v>
      </c>
      <c r="D2321" s="74">
        <v>74.989999999999995</v>
      </c>
    </row>
    <row r="2322" spans="1:4">
      <c r="A2322" t="s">
        <v>40</v>
      </c>
      <c r="B2322" s="73" t="s">
        <v>505</v>
      </c>
      <c r="C2322" s="74" t="s">
        <v>2783</v>
      </c>
      <c r="D2322" s="74">
        <v>609.49</v>
      </c>
    </row>
    <row r="2323" spans="1:4">
      <c r="A2323" t="s">
        <v>40</v>
      </c>
      <c r="B2323" s="73" t="s">
        <v>510</v>
      </c>
      <c r="C2323" s="74" t="s">
        <v>2784</v>
      </c>
      <c r="D2323" s="74">
        <v>104.89</v>
      </c>
    </row>
    <row r="2324" spans="1:4">
      <c r="A2324" t="s">
        <v>40</v>
      </c>
      <c r="B2324" s="73" t="s">
        <v>505</v>
      </c>
      <c r="C2324" s="74" t="s">
        <v>2785</v>
      </c>
      <c r="D2324" s="74">
        <v>114.99</v>
      </c>
    </row>
    <row r="2325" spans="1:4">
      <c r="A2325" t="s">
        <v>40</v>
      </c>
      <c r="B2325" s="73" t="s">
        <v>505</v>
      </c>
      <c r="C2325" s="74" t="s">
        <v>2786</v>
      </c>
      <c r="D2325" s="74">
        <v>189.99</v>
      </c>
    </row>
    <row r="2326" spans="1:4">
      <c r="A2326" t="s">
        <v>40</v>
      </c>
      <c r="B2326" s="73" t="s">
        <v>505</v>
      </c>
      <c r="C2326" s="74" t="s">
        <v>2787</v>
      </c>
      <c r="D2326" s="74">
        <v>169.99</v>
      </c>
    </row>
    <row r="2327" spans="1:4">
      <c r="A2327" t="s">
        <v>40</v>
      </c>
      <c r="B2327" s="73" t="s">
        <v>510</v>
      </c>
      <c r="C2327" s="74" t="s">
        <v>2788</v>
      </c>
      <c r="D2327" s="74">
        <v>129.99</v>
      </c>
    </row>
    <row r="2328" spans="1:4">
      <c r="A2328" t="s">
        <v>40</v>
      </c>
      <c r="B2328" s="73" t="s">
        <v>505</v>
      </c>
      <c r="C2328" s="74" t="s">
        <v>2789</v>
      </c>
      <c r="D2328" s="74">
        <v>113.99</v>
      </c>
    </row>
    <row r="2329" spans="1:4">
      <c r="A2329" t="s">
        <v>40</v>
      </c>
      <c r="B2329" s="73" t="s">
        <v>505</v>
      </c>
      <c r="C2329" s="74" t="s">
        <v>2790</v>
      </c>
      <c r="D2329" s="74">
        <v>409.99</v>
      </c>
    </row>
    <row r="2330" spans="1:4">
      <c r="A2330" t="s">
        <v>40</v>
      </c>
      <c r="B2330" s="73" t="s">
        <v>510</v>
      </c>
      <c r="C2330" s="74" t="s">
        <v>1578</v>
      </c>
      <c r="D2330" s="74">
        <v>74.989999999999995</v>
      </c>
    </row>
    <row r="2331" spans="1:4">
      <c r="A2331" t="s">
        <v>40</v>
      </c>
      <c r="B2331" s="73" t="s">
        <v>523</v>
      </c>
      <c r="C2331" s="74" t="s">
        <v>2791</v>
      </c>
      <c r="D2331" s="74">
        <v>701.97</v>
      </c>
    </row>
    <row r="2332" spans="1:4">
      <c r="A2332" t="s">
        <v>40</v>
      </c>
      <c r="B2332" s="73" t="s">
        <v>505</v>
      </c>
      <c r="C2332" s="74" t="s">
        <v>2792</v>
      </c>
      <c r="D2332" s="74">
        <v>304.95</v>
      </c>
    </row>
    <row r="2333" spans="1:4">
      <c r="A2333" t="s">
        <v>40</v>
      </c>
      <c r="B2333" s="73" t="s">
        <v>523</v>
      </c>
      <c r="C2333" s="74" t="s">
        <v>2793</v>
      </c>
      <c r="D2333" s="74">
        <v>81.97</v>
      </c>
    </row>
    <row r="2334" spans="1:4">
      <c r="A2334" t="s">
        <v>40</v>
      </c>
      <c r="B2334" s="73" t="s">
        <v>510</v>
      </c>
      <c r="C2334" s="74" t="s">
        <v>2794</v>
      </c>
      <c r="D2334" s="74">
        <v>739.99</v>
      </c>
    </row>
    <row r="2335" spans="1:4">
      <c r="A2335" t="s">
        <v>40</v>
      </c>
      <c r="B2335" s="73" t="s">
        <v>505</v>
      </c>
      <c r="C2335" s="74" t="s">
        <v>2795</v>
      </c>
      <c r="D2335" s="74">
        <v>429.99</v>
      </c>
    </row>
    <row r="2336" spans="1:4">
      <c r="A2336" t="s">
        <v>40</v>
      </c>
      <c r="B2336" s="73" t="s">
        <v>505</v>
      </c>
      <c r="C2336" s="74" t="s">
        <v>2796</v>
      </c>
      <c r="D2336" s="74">
        <v>299.99</v>
      </c>
    </row>
    <row r="2337" spans="1:4">
      <c r="A2337" t="s">
        <v>40</v>
      </c>
      <c r="B2337" s="73" t="s">
        <v>683</v>
      </c>
      <c r="C2337" s="74" t="s">
        <v>2797</v>
      </c>
      <c r="D2337" s="74">
        <v>109.99</v>
      </c>
    </row>
    <row r="2338" spans="1:4">
      <c r="A2338" t="s">
        <v>40</v>
      </c>
      <c r="B2338" s="73" t="s">
        <v>510</v>
      </c>
      <c r="C2338" s="74" t="s">
        <v>2798</v>
      </c>
      <c r="D2338" s="74">
        <v>429.99</v>
      </c>
    </row>
    <row r="2339" spans="1:4">
      <c r="A2339" t="s">
        <v>40</v>
      </c>
      <c r="B2339" s="73" t="s">
        <v>579</v>
      </c>
      <c r="C2339" s="74" t="s">
        <v>2799</v>
      </c>
      <c r="D2339" s="74">
        <v>330</v>
      </c>
    </row>
    <row r="2340" spans="1:4">
      <c r="A2340" t="s">
        <v>40</v>
      </c>
      <c r="B2340" s="73" t="s">
        <v>510</v>
      </c>
      <c r="C2340" s="74" t="s">
        <v>2800</v>
      </c>
      <c r="D2340" s="74">
        <v>459.99</v>
      </c>
    </row>
    <row r="2341" spans="1:4">
      <c r="A2341" t="s">
        <v>40</v>
      </c>
      <c r="B2341" s="73" t="s">
        <v>546</v>
      </c>
      <c r="C2341" s="74" t="s">
        <v>2801</v>
      </c>
      <c r="D2341" s="74">
        <v>19.989999999999998</v>
      </c>
    </row>
    <row r="2342" spans="1:4">
      <c r="A2342" t="s">
        <v>40</v>
      </c>
      <c r="B2342" s="73" t="s">
        <v>833</v>
      </c>
      <c r="C2342" s="74" t="s">
        <v>2802</v>
      </c>
      <c r="D2342" s="74">
        <v>80.69</v>
      </c>
    </row>
    <row r="2343" spans="1:4">
      <c r="A2343" t="s">
        <v>40</v>
      </c>
      <c r="B2343" s="73" t="s">
        <v>738</v>
      </c>
      <c r="C2343" s="74" t="s">
        <v>2803</v>
      </c>
      <c r="D2343" s="74">
        <v>115</v>
      </c>
    </row>
    <row r="2344" spans="1:4">
      <c r="A2344" t="s">
        <v>40</v>
      </c>
      <c r="B2344" s="73" t="s">
        <v>505</v>
      </c>
      <c r="C2344" s="74" t="s">
        <v>2804</v>
      </c>
      <c r="D2344" s="74">
        <v>331.97</v>
      </c>
    </row>
    <row r="2345" spans="1:4">
      <c r="A2345" t="s">
        <v>40</v>
      </c>
      <c r="B2345" s="73" t="s">
        <v>561</v>
      </c>
      <c r="C2345" s="74" t="s">
        <v>2805</v>
      </c>
      <c r="D2345" s="74">
        <v>294.99</v>
      </c>
    </row>
    <row r="2346" spans="1:4">
      <c r="A2346" t="s">
        <v>40</v>
      </c>
      <c r="B2346" s="73" t="s">
        <v>510</v>
      </c>
      <c r="C2346" s="74" t="s">
        <v>2806</v>
      </c>
      <c r="D2346" s="74">
        <v>709.49</v>
      </c>
    </row>
    <row r="2347" spans="1:4">
      <c r="A2347" t="s">
        <v>40</v>
      </c>
      <c r="B2347" s="73" t="s">
        <v>529</v>
      </c>
      <c r="C2347" s="74" t="s">
        <v>2807</v>
      </c>
      <c r="D2347" s="74">
        <v>79.98</v>
      </c>
    </row>
    <row r="2348" spans="1:4">
      <c r="A2348" t="s">
        <v>40</v>
      </c>
      <c r="B2348" s="73" t="s">
        <v>810</v>
      </c>
      <c r="C2348" s="74" t="s">
        <v>2808</v>
      </c>
      <c r="D2348" s="74">
        <v>114.99</v>
      </c>
    </row>
    <row r="2349" spans="1:4">
      <c r="A2349" t="s">
        <v>40</v>
      </c>
      <c r="B2349" s="73" t="s">
        <v>995</v>
      </c>
      <c r="C2349" s="74" t="s">
        <v>2809</v>
      </c>
      <c r="D2349" s="74">
        <v>67.69</v>
      </c>
    </row>
    <row r="2350" spans="1:4">
      <c r="A2350" t="s">
        <v>40</v>
      </c>
      <c r="B2350" s="73" t="s">
        <v>505</v>
      </c>
      <c r="C2350" s="74" t="s">
        <v>2810</v>
      </c>
      <c r="D2350" s="74">
        <v>899</v>
      </c>
    </row>
    <row r="2351" spans="1:4">
      <c r="A2351" t="s">
        <v>40</v>
      </c>
      <c r="B2351" s="73" t="s">
        <v>510</v>
      </c>
      <c r="C2351" s="74" t="s">
        <v>2811</v>
      </c>
      <c r="D2351" s="74">
        <v>99.99</v>
      </c>
    </row>
    <row r="2352" spans="1:4">
      <c r="A2352" t="s">
        <v>40</v>
      </c>
      <c r="B2352" s="73" t="s">
        <v>510</v>
      </c>
      <c r="C2352" s="74" t="s">
        <v>2812</v>
      </c>
      <c r="D2352" s="74">
        <v>789.99</v>
      </c>
    </row>
    <row r="2353" spans="1:4">
      <c r="A2353" t="s">
        <v>40</v>
      </c>
      <c r="B2353" s="73" t="s">
        <v>505</v>
      </c>
      <c r="C2353" s="74" t="s">
        <v>2813</v>
      </c>
      <c r="D2353" s="74">
        <v>69.989999999999995</v>
      </c>
    </row>
    <row r="2354" spans="1:4">
      <c r="A2354" t="s">
        <v>40</v>
      </c>
      <c r="B2354" s="73" t="s">
        <v>505</v>
      </c>
      <c r="C2354" s="74" t="s">
        <v>2814</v>
      </c>
      <c r="D2354" s="74">
        <v>399.99</v>
      </c>
    </row>
    <row r="2355" spans="1:4">
      <c r="A2355" t="s">
        <v>40</v>
      </c>
      <c r="B2355" s="73" t="s">
        <v>529</v>
      </c>
      <c r="C2355" s="74" t="s">
        <v>2815</v>
      </c>
      <c r="D2355" s="74">
        <v>46.49</v>
      </c>
    </row>
    <row r="2356" spans="1:4">
      <c r="A2356" t="s">
        <v>40</v>
      </c>
      <c r="B2356" s="73" t="s">
        <v>510</v>
      </c>
      <c r="C2356" s="74" t="s">
        <v>2816</v>
      </c>
      <c r="D2356" s="74">
        <v>839.69</v>
      </c>
    </row>
    <row r="2357" spans="1:4">
      <c r="A2357" t="s">
        <v>40</v>
      </c>
      <c r="B2357" s="73" t="s">
        <v>510</v>
      </c>
      <c r="C2357" s="74" t="s">
        <v>2227</v>
      </c>
      <c r="D2357" s="74">
        <v>914.69</v>
      </c>
    </row>
    <row r="2358" spans="1:4">
      <c r="A2358" t="s">
        <v>40</v>
      </c>
      <c r="B2358" s="73" t="s">
        <v>510</v>
      </c>
      <c r="C2358" s="74" t="s">
        <v>2817</v>
      </c>
      <c r="D2358" s="74">
        <v>603</v>
      </c>
    </row>
    <row r="2359" spans="1:4">
      <c r="A2359" t="s">
        <v>40</v>
      </c>
      <c r="B2359" s="73" t="s">
        <v>505</v>
      </c>
      <c r="C2359" s="74" t="s">
        <v>2818</v>
      </c>
      <c r="D2359" s="74">
        <v>609.49</v>
      </c>
    </row>
    <row r="2360" spans="1:4">
      <c r="A2360" t="s">
        <v>40</v>
      </c>
      <c r="B2360" s="73" t="s">
        <v>510</v>
      </c>
      <c r="C2360" s="74" t="s">
        <v>2819</v>
      </c>
      <c r="D2360" s="74">
        <v>79.5</v>
      </c>
    </row>
    <row r="2361" spans="1:4">
      <c r="A2361" t="s">
        <v>40</v>
      </c>
      <c r="B2361" s="73" t="s">
        <v>505</v>
      </c>
      <c r="C2361" s="74" t="s">
        <v>2820</v>
      </c>
      <c r="D2361" s="74">
        <v>271.98</v>
      </c>
    </row>
    <row r="2362" spans="1:4">
      <c r="A2362" t="s">
        <v>40</v>
      </c>
      <c r="B2362" s="73" t="s">
        <v>510</v>
      </c>
      <c r="C2362" s="74" t="s">
        <v>2821</v>
      </c>
      <c r="D2362" s="74">
        <v>644.49</v>
      </c>
    </row>
    <row r="2363" spans="1:4">
      <c r="A2363" t="s">
        <v>40</v>
      </c>
      <c r="B2363" s="73" t="s">
        <v>510</v>
      </c>
      <c r="C2363" s="74" t="s">
        <v>2822</v>
      </c>
      <c r="D2363" s="74">
        <v>189.95</v>
      </c>
    </row>
    <row r="2364" spans="1:4">
      <c r="A2364" t="s">
        <v>40</v>
      </c>
      <c r="B2364" s="73" t="s">
        <v>505</v>
      </c>
      <c r="C2364" s="74" t="s">
        <v>2823</v>
      </c>
      <c r="D2364" s="74">
        <v>279.99</v>
      </c>
    </row>
    <row r="2365" spans="1:4">
      <c r="A2365" t="s">
        <v>40</v>
      </c>
      <c r="B2365" s="73" t="s">
        <v>510</v>
      </c>
      <c r="C2365" s="74" t="s">
        <v>2824</v>
      </c>
      <c r="D2365" s="74">
        <v>249.95</v>
      </c>
    </row>
    <row r="2366" spans="1:4">
      <c r="A2366" t="s">
        <v>40</v>
      </c>
      <c r="B2366" s="73" t="s">
        <v>510</v>
      </c>
      <c r="C2366" s="74" t="s">
        <v>2825</v>
      </c>
      <c r="D2366" s="74">
        <v>208.99</v>
      </c>
    </row>
    <row r="2367" spans="1:4">
      <c r="A2367" t="s">
        <v>40</v>
      </c>
      <c r="B2367" s="73" t="s">
        <v>510</v>
      </c>
      <c r="C2367" s="74" t="s">
        <v>2826</v>
      </c>
      <c r="D2367" s="74">
        <v>779.69</v>
      </c>
    </row>
    <row r="2368" spans="1:4">
      <c r="A2368" t="s">
        <v>40</v>
      </c>
      <c r="B2368" s="73" t="s">
        <v>505</v>
      </c>
      <c r="C2368" s="74" t="s">
        <v>2827</v>
      </c>
      <c r="D2368" s="74">
        <v>729.79</v>
      </c>
    </row>
    <row r="2369" spans="1:4">
      <c r="A2369" t="s">
        <v>40</v>
      </c>
      <c r="B2369" s="73" t="s">
        <v>510</v>
      </c>
      <c r="C2369" s="74" t="s">
        <v>2828</v>
      </c>
      <c r="D2369" s="74">
        <v>284.99</v>
      </c>
    </row>
    <row r="2370" spans="1:4">
      <c r="A2370" t="s">
        <v>40</v>
      </c>
      <c r="B2370" s="73" t="s">
        <v>523</v>
      </c>
      <c r="C2370" s="74" t="s">
        <v>2829</v>
      </c>
      <c r="D2370" s="74">
        <v>129.99</v>
      </c>
    </row>
    <row r="2371" spans="1:4">
      <c r="A2371" t="s">
        <v>40</v>
      </c>
      <c r="B2371" s="73" t="s">
        <v>510</v>
      </c>
      <c r="C2371" s="74" t="s">
        <v>2830</v>
      </c>
      <c r="D2371" s="74">
        <v>119.99</v>
      </c>
    </row>
    <row r="2372" spans="1:4">
      <c r="A2372" t="s">
        <v>40</v>
      </c>
      <c r="B2372" s="73" t="s">
        <v>505</v>
      </c>
      <c r="C2372" s="74" t="s">
        <v>2831</v>
      </c>
      <c r="D2372" s="74">
        <v>98.99</v>
      </c>
    </row>
    <row r="2373" spans="1:4">
      <c r="A2373" t="s">
        <v>40</v>
      </c>
      <c r="B2373" s="73" t="s">
        <v>579</v>
      </c>
      <c r="C2373" s="74" t="s">
        <v>2832</v>
      </c>
      <c r="D2373" s="74">
        <v>174.99</v>
      </c>
    </row>
    <row r="2374" spans="1:4">
      <c r="A2374" t="s">
        <v>40</v>
      </c>
      <c r="B2374" s="73" t="s">
        <v>510</v>
      </c>
      <c r="C2374" s="74" t="s">
        <v>2833</v>
      </c>
      <c r="D2374" s="74">
        <v>471.97</v>
      </c>
    </row>
    <row r="2375" spans="1:4">
      <c r="A2375" t="s">
        <v>40</v>
      </c>
      <c r="B2375" s="73" t="s">
        <v>510</v>
      </c>
      <c r="C2375" s="74" t="s">
        <v>2834</v>
      </c>
      <c r="D2375" s="74">
        <v>49.99</v>
      </c>
    </row>
    <row r="2376" spans="1:4">
      <c r="A2376" t="s">
        <v>40</v>
      </c>
      <c r="B2376" s="73" t="s">
        <v>510</v>
      </c>
      <c r="C2376" s="74" t="s">
        <v>2835</v>
      </c>
      <c r="D2376" s="74">
        <v>159.99</v>
      </c>
    </row>
    <row r="2377" spans="1:4">
      <c r="A2377" t="s">
        <v>40</v>
      </c>
      <c r="B2377" s="73" t="s">
        <v>683</v>
      </c>
      <c r="C2377" s="74" t="s">
        <v>2836</v>
      </c>
      <c r="D2377" s="74">
        <v>359.99</v>
      </c>
    </row>
    <row r="2378" spans="1:4">
      <c r="A2378" t="s">
        <v>40</v>
      </c>
      <c r="B2378" s="73" t="s">
        <v>510</v>
      </c>
      <c r="C2378" s="74" t="s">
        <v>2837</v>
      </c>
      <c r="D2378" s="74">
        <v>109.99</v>
      </c>
    </row>
    <row r="2379" spans="1:4">
      <c r="A2379" t="s">
        <v>40</v>
      </c>
      <c r="B2379" s="73" t="s">
        <v>505</v>
      </c>
      <c r="C2379" s="74" t="s">
        <v>2838</v>
      </c>
      <c r="D2379" s="74">
        <v>721</v>
      </c>
    </row>
    <row r="2380" spans="1:4">
      <c r="A2380" t="s">
        <v>40</v>
      </c>
      <c r="B2380" s="73" t="s">
        <v>510</v>
      </c>
      <c r="C2380" s="74" t="s">
        <v>2839</v>
      </c>
      <c r="D2380" s="74">
        <v>369.95</v>
      </c>
    </row>
    <row r="2381" spans="1:4">
      <c r="A2381" t="s">
        <v>40</v>
      </c>
      <c r="B2381" s="73" t="s">
        <v>510</v>
      </c>
      <c r="C2381" s="74" t="s">
        <v>2840</v>
      </c>
      <c r="D2381" s="74">
        <v>299</v>
      </c>
    </row>
    <row r="2382" spans="1:4">
      <c r="A2382" t="s">
        <v>40</v>
      </c>
      <c r="B2382" s="73" t="s">
        <v>510</v>
      </c>
      <c r="C2382" s="74" t="s">
        <v>2841</v>
      </c>
      <c r="D2382" s="74">
        <v>339.99</v>
      </c>
    </row>
    <row r="2383" spans="1:4">
      <c r="A2383" t="s">
        <v>40</v>
      </c>
      <c r="B2383" s="73" t="s">
        <v>510</v>
      </c>
      <c r="C2383" s="74" t="s">
        <v>2842</v>
      </c>
      <c r="D2383" s="74">
        <v>223.99</v>
      </c>
    </row>
    <row r="2384" spans="1:4">
      <c r="A2384" t="s">
        <v>40</v>
      </c>
      <c r="B2384" s="73" t="s">
        <v>505</v>
      </c>
      <c r="C2384" s="74" t="s">
        <v>2843</v>
      </c>
      <c r="D2384" s="74">
        <v>259</v>
      </c>
    </row>
    <row r="2385" spans="1:4">
      <c r="A2385" t="s">
        <v>40</v>
      </c>
      <c r="B2385" s="73" t="s">
        <v>2844</v>
      </c>
      <c r="C2385" s="74" t="s">
        <v>2845</v>
      </c>
      <c r="D2385" s="74">
        <v>130</v>
      </c>
    </row>
    <row r="2386" spans="1:4">
      <c r="A2386" t="s">
        <v>40</v>
      </c>
      <c r="B2386" s="73" t="s">
        <v>523</v>
      </c>
      <c r="C2386" s="74" t="s">
        <v>2846</v>
      </c>
      <c r="D2386" s="74">
        <v>379</v>
      </c>
    </row>
    <row r="2387" spans="1:4">
      <c r="A2387" t="s">
        <v>40</v>
      </c>
      <c r="B2387" s="73" t="s">
        <v>810</v>
      </c>
      <c r="C2387" s="74" t="s">
        <v>2847</v>
      </c>
      <c r="D2387" s="74">
        <v>244.99</v>
      </c>
    </row>
    <row r="2388" spans="1:4">
      <c r="A2388" t="s">
        <v>40</v>
      </c>
      <c r="B2388" s="73" t="s">
        <v>505</v>
      </c>
      <c r="C2388" s="74" t="s">
        <v>2848</v>
      </c>
      <c r="D2388" s="74">
        <v>486.97</v>
      </c>
    </row>
    <row r="2389" spans="1:4">
      <c r="A2389" t="s">
        <v>40</v>
      </c>
      <c r="B2389" s="73" t="s">
        <v>505</v>
      </c>
      <c r="C2389" s="74" t="s">
        <v>2849</v>
      </c>
      <c r="D2389" s="74">
        <v>293</v>
      </c>
    </row>
    <row r="2390" spans="1:4">
      <c r="A2390" t="s">
        <v>40</v>
      </c>
      <c r="B2390" s="73" t="s">
        <v>510</v>
      </c>
      <c r="C2390" s="74" t="s">
        <v>2850</v>
      </c>
      <c r="D2390" s="74">
        <v>49.99</v>
      </c>
    </row>
    <row r="2391" spans="1:4">
      <c r="A2391" t="s">
        <v>40</v>
      </c>
      <c r="B2391" s="73" t="s">
        <v>810</v>
      </c>
      <c r="C2391" s="74" t="s">
        <v>2851</v>
      </c>
      <c r="D2391" s="74">
        <v>189.99</v>
      </c>
    </row>
    <row r="2392" spans="1:4">
      <c r="A2392" t="s">
        <v>40</v>
      </c>
      <c r="B2392" s="73" t="s">
        <v>505</v>
      </c>
      <c r="C2392" s="74" t="s">
        <v>2852</v>
      </c>
      <c r="D2392" s="74">
        <v>244</v>
      </c>
    </row>
    <row r="2393" spans="1:4">
      <c r="A2393" t="s">
        <v>40</v>
      </c>
      <c r="B2393" s="73" t="s">
        <v>510</v>
      </c>
      <c r="C2393" s="74" t="s">
        <v>2853</v>
      </c>
      <c r="D2393" s="74">
        <v>34.49</v>
      </c>
    </row>
    <row r="2394" spans="1:4">
      <c r="A2394" t="s">
        <v>40</v>
      </c>
      <c r="B2394" s="73" t="s">
        <v>505</v>
      </c>
      <c r="C2394" s="74" t="s">
        <v>2411</v>
      </c>
      <c r="D2394" s="74">
        <v>989.69</v>
      </c>
    </row>
    <row r="2395" spans="1:4">
      <c r="A2395" t="s">
        <v>40</v>
      </c>
      <c r="B2395" s="73" t="s">
        <v>523</v>
      </c>
      <c r="C2395" s="74" t="s">
        <v>2854</v>
      </c>
      <c r="D2395" s="74">
        <v>374.99</v>
      </c>
    </row>
    <row r="2396" spans="1:4">
      <c r="A2396" t="s">
        <v>40</v>
      </c>
      <c r="B2396" s="73" t="s">
        <v>505</v>
      </c>
      <c r="C2396" s="74" t="s">
        <v>2855</v>
      </c>
      <c r="D2396" s="74">
        <v>234.99</v>
      </c>
    </row>
    <row r="2397" spans="1:4">
      <c r="A2397" t="s">
        <v>40</v>
      </c>
      <c r="B2397" s="73" t="s">
        <v>510</v>
      </c>
      <c r="C2397" s="74" t="s">
        <v>1078</v>
      </c>
      <c r="D2397" s="74">
        <v>199.79</v>
      </c>
    </row>
    <row r="2398" spans="1:4">
      <c r="A2398" t="s">
        <v>40</v>
      </c>
      <c r="B2398" s="73" t="s">
        <v>510</v>
      </c>
      <c r="C2398" s="74" t="s">
        <v>2856</v>
      </c>
      <c r="D2398" s="74">
        <v>529.69000000000005</v>
      </c>
    </row>
    <row r="2399" spans="1:4">
      <c r="A2399" t="s">
        <v>40</v>
      </c>
      <c r="B2399" s="73" t="s">
        <v>510</v>
      </c>
      <c r="C2399" s="74" t="s">
        <v>2857</v>
      </c>
      <c r="D2399" s="74">
        <v>315.99</v>
      </c>
    </row>
    <row r="2400" spans="1:4">
      <c r="A2400" t="s">
        <v>40</v>
      </c>
      <c r="B2400" s="73" t="s">
        <v>505</v>
      </c>
      <c r="C2400" s="74" t="s">
        <v>2858</v>
      </c>
      <c r="D2400" s="74">
        <v>119.99</v>
      </c>
    </row>
    <row r="2401" spans="1:4">
      <c r="A2401" t="s">
        <v>40</v>
      </c>
      <c r="B2401" s="73" t="s">
        <v>505</v>
      </c>
      <c r="C2401" s="74" t="s">
        <v>2859</v>
      </c>
      <c r="D2401" s="74">
        <v>499.99</v>
      </c>
    </row>
    <row r="2402" spans="1:4">
      <c r="A2402" t="s">
        <v>40</v>
      </c>
      <c r="B2402" s="73" t="s">
        <v>561</v>
      </c>
      <c r="C2402" s="74" t="s">
        <v>2860</v>
      </c>
      <c r="D2402" s="74">
        <v>80.989999999999995</v>
      </c>
    </row>
    <row r="2403" spans="1:4">
      <c r="A2403" t="s">
        <v>40</v>
      </c>
      <c r="B2403" s="73" t="s">
        <v>510</v>
      </c>
      <c r="C2403" s="74" t="s">
        <v>2861</v>
      </c>
      <c r="D2403" s="74">
        <v>59.95</v>
      </c>
    </row>
    <row r="2404" spans="1:4">
      <c r="A2404" t="s">
        <v>40</v>
      </c>
      <c r="B2404" s="73" t="s">
        <v>510</v>
      </c>
      <c r="C2404" s="74" t="s">
        <v>2862</v>
      </c>
      <c r="D2404" s="74">
        <v>319.99</v>
      </c>
    </row>
    <row r="2405" spans="1:4">
      <c r="A2405" t="s">
        <v>40</v>
      </c>
      <c r="B2405" s="73" t="s">
        <v>510</v>
      </c>
      <c r="C2405" s="74" t="s">
        <v>2863</v>
      </c>
      <c r="D2405" s="74">
        <v>34.29</v>
      </c>
    </row>
    <row r="2406" spans="1:4">
      <c r="A2406" t="s">
        <v>40</v>
      </c>
      <c r="B2406" s="73" t="s">
        <v>683</v>
      </c>
      <c r="C2406" s="74" t="s">
        <v>2864</v>
      </c>
      <c r="D2406" s="74">
        <v>218</v>
      </c>
    </row>
    <row r="2407" spans="1:4">
      <c r="A2407" t="s">
        <v>40</v>
      </c>
      <c r="B2407" s="73" t="s">
        <v>833</v>
      </c>
      <c r="C2407" s="74" t="s">
        <v>2057</v>
      </c>
      <c r="D2407" s="74">
        <v>74.790000000000006</v>
      </c>
    </row>
    <row r="2408" spans="1:4">
      <c r="A2408" t="s">
        <v>40</v>
      </c>
      <c r="B2408" s="73" t="s">
        <v>505</v>
      </c>
      <c r="C2408" s="74" t="s">
        <v>2865</v>
      </c>
      <c r="D2408" s="74">
        <v>429.99</v>
      </c>
    </row>
    <row r="2409" spans="1:4">
      <c r="A2409" t="s">
        <v>40</v>
      </c>
      <c r="B2409" s="73" t="s">
        <v>510</v>
      </c>
      <c r="C2409" s="74" t="s">
        <v>2866</v>
      </c>
      <c r="D2409" s="74">
        <v>301.97000000000003</v>
      </c>
    </row>
    <row r="2410" spans="1:4">
      <c r="A2410" t="s">
        <v>40</v>
      </c>
      <c r="B2410" s="73" t="s">
        <v>510</v>
      </c>
      <c r="C2410" s="74" t="s">
        <v>2867</v>
      </c>
      <c r="D2410" s="74">
        <v>359.99</v>
      </c>
    </row>
    <row r="2411" spans="1:4">
      <c r="A2411" t="s">
        <v>40</v>
      </c>
      <c r="B2411" s="73" t="s">
        <v>523</v>
      </c>
      <c r="C2411" s="74" t="s">
        <v>2868</v>
      </c>
      <c r="D2411" s="74">
        <v>89.99</v>
      </c>
    </row>
    <row r="2412" spans="1:4">
      <c r="A2412" t="s">
        <v>40</v>
      </c>
      <c r="B2412" s="73" t="s">
        <v>505</v>
      </c>
      <c r="C2412" s="74" t="s">
        <v>2869</v>
      </c>
      <c r="D2412" s="74">
        <v>215</v>
      </c>
    </row>
    <row r="2413" spans="1:4">
      <c r="A2413" t="s">
        <v>40</v>
      </c>
      <c r="B2413" s="73" t="s">
        <v>505</v>
      </c>
      <c r="C2413" s="74" t="s">
        <v>2870</v>
      </c>
      <c r="D2413" s="74">
        <v>572</v>
      </c>
    </row>
    <row r="2414" spans="1:4">
      <c r="A2414" t="s">
        <v>40</v>
      </c>
      <c r="B2414" s="73" t="s">
        <v>510</v>
      </c>
      <c r="C2414" s="74" t="s">
        <v>2871</v>
      </c>
      <c r="D2414" s="74">
        <v>369.59</v>
      </c>
    </row>
    <row r="2415" spans="1:4">
      <c r="A2415" t="s">
        <v>40</v>
      </c>
      <c r="B2415" s="73" t="s">
        <v>510</v>
      </c>
      <c r="C2415" s="74" t="s">
        <v>2872</v>
      </c>
      <c r="D2415" s="74">
        <v>219.99</v>
      </c>
    </row>
    <row r="2416" spans="1:4">
      <c r="A2416" t="s">
        <v>40</v>
      </c>
      <c r="B2416" s="73" t="s">
        <v>510</v>
      </c>
      <c r="C2416" s="74" t="s">
        <v>2873</v>
      </c>
      <c r="D2416" s="74">
        <v>509.99</v>
      </c>
    </row>
    <row r="2417" spans="1:4">
      <c r="A2417" t="s">
        <v>40</v>
      </c>
      <c r="B2417" s="73" t="s">
        <v>505</v>
      </c>
      <c r="C2417" s="74" t="s">
        <v>2874</v>
      </c>
      <c r="D2417" s="74">
        <v>424.99</v>
      </c>
    </row>
    <row r="2418" spans="1:4">
      <c r="A2418" t="s">
        <v>40</v>
      </c>
      <c r="B2418" s="73" t="s">
        <v>561</v>
      </c>
      <c r="C2418" s="74" t="s">
        <v>2875</v>
      </c>
      <c r="D2418" s="74">
        <v>64.989999999999995</v>
      </c>
    </row>
    <row r="2419" spans="1:4">
      <c r="A2419" t="s">
        <v>40</v>
      </c>
      <c r="B2419" s="73" t="s">
        <v>505</v>
      </c>
      <c r="C2419" s="74" t="s">
        <v>2876</v>
      </c>
      <c r="D2419" s="74">
        <v>139.99</v>
      </c>
    </row>
    <row r="2420" spans="1:4">
      <c r="A2420" t="s">
        <v>40</v>
      </c>
      <c r="B2420" s="73" t="s">
        <v>510</v>
      </c>
      <c r="C2420" s="74" t="s">
        <v>2877</v>
      </c>
      <c r="D2420" s="74">
        <v>289.99</v>
      </c>
    </row>
    <row r="2421" spans="1:4">
      <c r="A2421" t="s">
        <v>40</v>
      </c>
      <c r="B2421" s="73" t="s">
        <v>864</v>
      </c>
      <c r="C2421" s="74" t="s">
        <v>2878</v>
      </c>
      <c r="D2421" s="74">
        <v>300</v>
      </c>
    </row>
    <row r="2422" spans="1:4">
      <c r="A2422" t="s">
        <v>40</v>
      </c>
      <c r="B2422" s="73" t="s">
        <v>510</v>
      </c>
      <c r="C2422" s="74" t="s">
        <v>2879</v>
      </c>
      <c r="D2422" s="74">
        <v>169.99</v>
      </c>
    </row>
    <row r="2423" spans="1:4">
      <c r="A2423" t="s">
        <v>40</v>
      </c>
      <c r="B2423" s="73" t="s">
        <v>810</v>
      </c>
      <c r="C2423" s="74" t="s">
        <v>2880</v>
      </c>
      <c r="D2423" s="74">
        <v>139.99</v>
      </c>
    </row>
    <row r="2424" spans="1:4">
      <c r="A2424" t="s">
        <v>40</v>
      </c>
      <c r="B2424" s="73" t="s">
        <v>510</v>
      </c>
      <c r="C2424" s="74" t="s">
        <v>2881</v>
      </c>
      <c r="D2424" s="74">
        <v>69.95</v>
      </c>
    </row>
    <row r="2425" spans="1:4">
      <c r="A2425" t="s">
        <v>40</v>
      </c>
      <c r="B2425" s="73" t="s">
        <v>561</v>
      </c>
      <c r="C2425" s="74" t="s">
        <v>2882</v>
      </c>
      <c r="D2425" s="74">
        <v>119.99</v>
      </c>
    </row>
    <row r="2426" spans="1:4">
      <c r="A2426" t="s">
        <v>40</v>
      </c>
      <c r="B2426" s="73" t="s">
        <v>510</v>
      </c>
      <c r="C2426" s="74" t="s">
        <v>2883</v>
      </c>
      <c r="D2426" s="74">
        <v>104.25</v>
      </c>
    </row>
    <row r="2427" spans="1:4">
      <c r="A2427" t="s">
        <v>40</v>
      </c>
      <c r="B2427" s="73" t="s">
        <v>510</v>
      </c>
      <c r="C2427" s="74" t="s">
        <v>2884</v>
      </c>
      <c r="D2427" s="74">
        <v>365.99</v>
      </c>
    </row>
    <row r="2428" spans="1:4">
      <c r="A2428" t="s">
        <v>40</v>
      </c>
      <c r="B2428" s="73" t="s">
        <v>523</v>
      </c>
      <c r="C2428" s="74" t="s">
        <v>2885</v>
      </c>
      <c r="D2428" s="74">
        <v>136.97</v>
      </c>
    </row>
    <row r="2429" spans="1:4">
      <c r="A2429" t="s">
        <v>40</v>
      </c>
      <c r="B2429" s="73" t="s">
        <v>505</v>
      </c>
      <c r="C2429" s="74" t="s">
        <v>2886</v>
      </c>
      <c r="D2429" s="74">
        <v>255.99</v>
      </c>
    </row>
    <row r="2430" spans="1:4">
      <c r="A2430" t="s">
        <v>40</v>
      </c>
      <c r="B2430" s="73" t="s">
        <v>505</v>
      </c>
      <c r="C2430" s="74" t="s">
        <v>2887</v>
      </c>
      <c r="D2430" s="74">
        <v>236.97</v>
      </c>
    </row>
    <row r="2431" spans="1:4">
      <c r="A2431" t="s">
        <v>40</v>
      </c>
      <c r="B2431" s="73" t="s">
        <v>510</v>
      </c>
      <c r="C2431" s="74" t="s">
        <v>572</v>
      </c>
      <c r="D2431" s="74">
        <v>299.99</v>
      </c>
    </row>
    <row r="2432" spans="1:4">
      <c r="A2432" t="s">
        <v>40</v>
      </c>
      <c r="B2432" s="73" t="s">
        <v>510</v>
      </c>
      <c r="C2432" s="74" t="s">
        <v>2888</v>
      </c>
      <c r="D2432" s="74">
        <v>1074.79</v>
      </c>
    </row>
    <row r="2433" spans="1:4">
      <c r="A2433" t="s">
        <v>40</v>
      </c>
      <c r="B2433" s="73" t="s">
        <v>561</v>
      </c>
      <c r="C2433" s="74" t="s">
        <v>2889</v>
      </c>
      <c r="D2433" s="74">
        <v>119.99</v>
      </c>
    </row>
    <row r="2434" spans="1:4">
      <c r="A2434" t="s">
        <v>40</v>
      </c>
      <c r="B2434" s="73" t="s">
        <v>510</v>
      </c>
      <c r="C2434" s="74" t="s">
        <v>2890</v>
      </c>
      <c r="D2434" s="74">
        <v>129.99</v>
      </c>
    </row>
    <row r="2435" spans="1:4">
      <c r="A2435" t="s">
        <v>40</v>
      </c>
      <c r="B2435" s="73" t="s">
        <v>510</v>
      </c>
      <c r="C2435" s="74" t="s">
        <v>2891</v>
      </c>
      <c r="D2435" s="74">
        <v>131.47</v>
      </c>
    </row>
    <row r="2436" spans="1:4">
      <c r="A2436" t="s">
        <v>40</v>
      </c>
      <c r="B2436" s="73" t="s">
        <v>505</v>
      </c>
      <c r="C2436" s="74" t="s">
        <v>2892</v>
      </c>
      <c r="D2436" s="74">
        <v>135.99</v>
      </c>
    </row>
    <row r="2437" spans="1:4">
      <c r="A2437" t="s">
        <v>40</v>
      </c>
      <c r="B2437" s="73" t="s">
        <v>507</v>
      </c>
      <c r="C2437" s="74" t="s">
        <v>2893</v>
      </c>
      <c r="D2437" s="74">
        <v>84.99</v>
      </c>
    </row>
    <row r="2438" spans="1:4">
      <c r="A2438" t="s">
        <v>40</v>
      </c>
      <c r="B2438" s="73" t="s">
        <v>510</v>
      </c>
      <c r="C2438" s="74" t="s">
        <v>2894</v>
      </c>
      <c r="D2438" s="74">
        <v>625</v>
      </c>
    </row>
    <row r="2439" spans="1:4">
      <c r="A2439" t="s">
        <v>40</v>
      </c>
      <c r="B2439" s="73" t="s">
        <v>833</v>
      </c>
      <c r="C2439" s="74" t="s">
        <v>2895</v>
      </c>
      <c r="D2439" s="74">
        <v>109.49</v>
      </c>
    </row>
    <row r="2440" spans="1:4">
      <c r="A2440" t="s">
        <v>40</v>
      </c>
      <c r="B2440" s="73" t="s">
        <v>505</v>
      </c>
      <c r="C2440" s="74" t="s">
        <v>2896</v>
      </c>
      <c r="D2440" s="74">
        <v>286.97000000000003</v>
      </c>
    </row>
    <row r="2441" spans="1:4">
      <c r="A2441" t="s">
        <v>40</v>
      </c>
      <c r="B2441" s="73" t="s">
        <v>505</v>
      </c>
      <c r="C2441" s="74" t="s">
        <v>2897</v>
      </c>
      <c r="D2441" s="74">
        <v>184.47</v>
      </c>
    </row>
    <row r="2442" spans="1:4">
      <c r="A2442" t="s">
        <v>40</v>
      </c>
      <c r="B2442" s="73" t="s">
        <v>561</v>
      </c>
      <c r="C2442" s="74" t="s">
        <v>2898</v>
      </c>
      <c r="D2442" s="74">
        <v>79.989999999999995</v>
      </c>
    </row>
    <row r="2443" spans="1:4">
      <c r="A2443" t="s">
        <v>40</v>
      </c>
      <c r="B2443" s="73" t="s">
        <v>810</v>
      </c>
      <c r="C2443" s="74" t="s">
        <v>2899</v>
      </c>
      <c r="D2443" s="74">
        <v>214.97</v>
      </c>
    </row>
    <row r="2444" spans="1:4">
      <c r="A2444" t="s">
        <v>40</v>
      </c>
      <c r="B2444" s="73" t="s">
        <v>505</v>
      </c>
      <c r="C2444" s="74" t="s">
        <v>2900</v>
      </c>
      <c r="D2444" s="74">
        <v>108</v>
      </c>
    </row>
    <row r="2445" spans="1:4">
      <c r="A2445" t="s">
        <v>40</v>
      </c>
      <c r="B2445" s="73" t="s">
        <v>505</v>
      </c>
      <c r="C2445" s="74" t="s">
        <v>2901</v>
      </c>
      <c r="D2445" s="74">
        <v>236.97</v>
      </c>
    </row>
    <row r="2446" spans="1:4">
      <c r="A2446" t="s">
        <v>40</v>
      </c>
      <c r="B2446" s="73" t="s">
        <v>505</v>
      </c>
      <c r="C2446" s="74" t="s">
        <v>2902</v>
      </c>
      <c r="D2446" s="74">
        <v>379.49</v>
      </c>
    </row>
    <row r="2447" spans="1:4">
      <c r="A2447" t="s">
        <v>40</v>
      </c>
      <c r="B2447" s="73" t="s">
        <v>510</v>
      </c>
      <c r="C2447" s="74" t="s">
        <v>2903</v>
      </c>
      <c r="D2447" s="74">
        <v>65</v>
      </c>
    </row>
    <row r="2448" spans="1:4">
      <c r="A2448" t="s">
        <v>40</v>
      </c>
      <c r="B2448" s="73" t="s">
        <v>510</v>
      </c>
      <c r="C2448" s="74" t="s">
        <v>1377</v>
      </c>
      <c r="D2448" s="74">
        <v>119.49</v>
      </c>
    </row>
    <row r="2449" spans="1:4">
      <c r="A2449" t="s">
        <v>40</v>
      </c>
      <c r="B2449" s="73" t="s">
        <v>510</v>
      </c>
      <c r="C2449" s="74" t="s">
        <v>2904</v>
      </c>
      <c r="D2449" s="74">
        <v>969.99</v>
      </c>
    </row>
    <row r="2450" spans="1:4">
      <c r="A2450" t="s">
        <v>40</v>
      </c>
      <c r="B2450" s="73" t="s">
        <v>561</v>
      </c>
      <c r="C2450" s="74" t="s">
        <v>2905</v>
      </c>
      <c r="D2450" s="74">
        <v>139.99</v>
      </c>
    </row>
    <row r="2451" spans="1:4">
      <c r="A2451" t="s">
        <v>40</v>
      </c>
      <c r="B2451" s="73" t="s">
        <v>510</v>
      </c>
      <c r="C2451" s="74" t="s">
        <v>2906</v>
      </c>
      <c r="D2451" s="74">
        <v>149.49</v>
      </c>
    </row>
    <row r="2452" spans="1:4">
      <c r="A2452" t="s">
        <v>40</v>
      </c>
      <c r="B2452" s="73" t="s">
        <v>505</v>
      </c>
      <c r="C2452" s="74" t="s">
        <v>2907</v>
      </c>
      <c r="D2452" s="74">
        <v>339.49</v>
      </c>
    </row>
    <row r="2453" spans="1:4">
      <c r="A2453" t="s">
        <v>40</v>
      </c>
      <c r="B2453" s="73" t="s">
        <v>510</v>
      </c>
      <c r="C2453" s="74" t="s">
        <v>2908</v>
      </c>
      <c r="D2453" s="74">
        <v>203.97</v>
      </c>
    </row>
    <row r="2454" spans="1:4">
      <c r="A2454" t="s">
        <v>40</v>
      </c>
      <c r="B2454" s="73" t="s">
        <v>510</v>
      </c>
      <c r="C2454" s="74" t="s">
        <v>2909</v>
      </c>
      <c r="D2454" s="74">
        <v>924.79</v>
      </c>
    </row>
    <row r="2455" spans="1:4">
      <c r="A2455" t="s">
        <v>40</v>
      </c>
      <c r="B2455" s="73" t="s">
        <v>505</v>
      </c>
      <c r="C2455" s="74" t="s">
        <v>2446</v>
      </c>
      <c r="D2455" s="74">
        <v>399.29</v>
      </c>
    </row>
    <row r="2456" spans="1:4">
      <c r="A2456" t="s">
        <v>40</v>
      </c>
      <c r="B2456" s="73" t="s">
        <v>505</v>
      </c>
      <c r="C2456" s="74" t="s">
        <v>2910</v>
      </c>
      <c r="D2456" s="74">
        <v>349.99</v>
      </c>
    </row>
    <row r="2457" spans="1:4">
      <c r="A2457" t="s">
        <v>40</v>
      </c>
      <c r="B2457" s="73" t="s">
        <v>505</v>
      </c>
      <c r="C2457" s="74" t="s">
        <v>2911</v>
      </c>
      <c r="D2457" s="74">
        <v>79.989999999999995</v>
      </c>
    </row>
    <row r="2458" spans="1:4">
      <c r="A2458" t="s">
        <v>40</v>
      </c>
      <c r="B2458" s="73" t="s">
        <v>510</v>
      </c>
      <c r="C2458" s="74" t="s">
        <v>2912</v>
      </c>
      <c r="D2458" s="74">
        <v>393</v>
      </c>
    </row>
    <row r="2459" spans="1:4">
      <c r="A2459" t="s">
        <v>40</v>
      </c>
      <c r="B2459" s="73" t="s">
        <v>505</v>
      </c>
      <c r="C2459" s="74" t="s">
        <v>2913</v>
      </c>
      <c r="D2459" s="74">
        <v>503</v>
      </c>
    </row>
    <row r="2460" spans="1:4">
      <c r="A2460" t="s">
        <v>40</v>
      </c>
      <c r="B2460" s="73" t="s">
        <v>505</v>
      </c>
      <c r="C2460" s="74" t="s">
        <v>2914</v>
      </c>
      <c r="D2460" s="74">
        <v>199.97</v>
      </c>
    </row>
    <row r="2461" spans="1:4">
      <c r="A2461" t="s">
        <v>40</v>
      </c>
      <c r="B2461" s="73" t="s">
        <v>505</v>
      </c>
      <c r="C2461" s="74" t="s">
        <v>2915</v>
      </c>
      <c r="D2461" s="74">
        <v>256.49</v>
      </c>
    </row>
    <row r="2462" spans="1:4">
      <c r="A2462" t="s">
        <v>40</v>
      </c>
      <c r="B2462" s="73" t="s">
        <v>505</v>
      </c>
      <c r="C2462" s="74" t="s">
        <v>2916</v>
      </c>
      <c r="D2462" s="74">
        <v>34.99</v>
      </c>
    </row>
    <row r="2463" spans="1:4">
      <c r="A2463" t="s">
        <v>40</v>
      </c>
      <c r="B2463" s="73" t="s">
        <v>505</v>
      </c>
      <c r="C2463" s="74" t="s">
        <v>2917</v>
      </c>
      <c r="D2463" s="74">
        <v>89.99</v>
      </c>
    </row>
    <row r="2464" spans="1:4">
      <c r="A2464" t="s">
        <v>40</v>
      </c>
      <c r="B2464" s="73" t="s">
        <v>2918</v>
      </c>
      <c r="C2464" s="74" t="s">
        <v>2919</v>
      </c>
      <c r="D2464" s="74">
        <v>25</v>
      </c>
    </row>
    <row r="2465" spans="1:4">
      <c r="A2465" t="s">
        <v>40</v>
      </c>
      <c r="B2465" s="73" t="s">
        <v>505</v>
      </c>
      <c r="C2465" s="74" t="s">
        <v>2920</v>
      </c>
      <c r="D2465" s="74">
        <v>75</v>
      </c>
    </row>
    <row r="2466" spans="1:4">
      <c r="A2466" t="s">
        <v>40</v>
      </c>
      <c r="B2466" s="73" t="s">
        <v>505</v>
      </c>
      <c r="C2466" s="74" t="s">
        <v>2921</v>
      </c>
      <c r="D2466" s="74">
        <v>249.99</v>
      </c>
    </row>
    <row r="2467" spans="1:4">
      <c r="A2467" t="s">
        <v>40</v>
      </c>
      <c r="B2467" s="73" t="s">
        <v>745</v>
      </c>
      <c r="C2467" s="74" t="s">
        <v>2922</v>
      </c>
      <c r="D2467" s="74">
        <v>104.05</v>
      </c>
    </row>
    <row r="2468" spans="1:4">
      <c r="A2468" t="s">
        <v>40</v>
      </c>
      <c r="B2468" s="73" t="s">
        <v>505</v>
      </c>
      <c r="C2468" s="74" t="s">
        <v>2923</v>
      </c>
      <c r="D2468" s="74">
        <v>299.52999999999997</v>
      </c>
    </row>
    <row r="2469" spans="1:4">
      <c r="A2469" t="s">
        <v>40</v>
      </c>
      <c r="B2469" s="73" t="s">
        <v>529</v>
      </c>
      <c r="C2469" s="74" t="s">
        <v>2924</v>
      </c>
      <c r="D2469" s="74">
        <v>149.99</v>
      </c>
    </row>
    <row r="2470" spans="1:4">
      <c r="A2470" t="s">
        <v>40</v>
      </c>
      <c r="B2470" s="73" t="s">
        <v>505</v>
      </c>
      <c r="C2470" s="74" t="s">
        <v>2925</v>
      </c>
      <c r="D2470" s="74">
        <v>251.99</v>
      </c>
    </row>
    <row r="2471" spans="1:4">
      <c r="A2471" t="s">
        <v>40</v>
      </c>
      <c r="B2471" s="73" t="s">
        <v>510</v>
      </c>
      <c r="C2471" s="74" t="s">
        <v>2926</v>
      </c>
      <c r="D2471" s="74">
        <v>69.989999999999995</v>
      </c>
    </row>
    <row r="2472" spans="1:4">
      <c r="A2472" t="s">
        <v>40</v>
      </c>
      <c r="B2472" s="73" t="s">
        <v>510</v>
      </c>
      <c r="C2472" s="74" t="s">
        <v>2927</v>
      </c>
      <c r="D2472" s="74">
        <v>289.99</v>
      </c>
    </row>
    <row r="2473" spans="1:4">
      <c r="A2473" t="s">
        <v>40</v>
      </c>
      <c r="B2473" s="73" t="s">
        <v>738</v>
      </c>
      <c r="C2473" s="74" t="s">
        <v>2928</v>
      </c>
      <c r="D2473" s="74">
        <v>105</v>
      </c>
    </row>
    <row r="2474" spans="1:4">
      <c r="A2474" t="s">
        <v>40</v>
      </c>
      <c r="B2474" s="73" t="s">
        <v>569</v>
      </c>
      <c r="C2474" s="74" t="s">
        <v>2929</v>
      </c>
      <c r="D2474" s="74">
        <v>89.95</v>
      </c>
    </row>
    <row r="2475" spans="1:4">
      <c r="A2475" t="s">
        <v>40</v>
      </c>
      <c r="B2475" s="73" t="s">
        <v>510</v>
      </c>
      <c r="C2475" s="74" t="s">
        <v>2930</v>
      </c>
      <c r="D2475" s="74">
        <v>164.99</v>
      </c>
    </row>
    <row r="2476" spans="1:4">
      <c r="A2476" t="s">
        <v>40</v>
      </c>
      <c r="B2476" s="73" t="s">
        <v>505</v>
      </c>
      <c r="C2476" s="74" t="s">
        <v>2931</v>
      </c>
      <c r="D2476" s="74">
        <v>242.99</v>
      </c>
    </row>
    <row r="2477" spans="1:4">
      <c r="A2477" t="s">
        <v>40</v>
      </c>
      <c r="B2477" s="73" t="s">
        <v>505</v>
      </c>
      <c r="C2477" s="74" t="s">
        <v>2932</v>
      </c>
      <c r="D2477" s="74">
        <v>699.99</v>
      </c>
    </row>
    <row r="2478" spans="1:4">
      <c r="A2478" t="s">
        <v>40</v>
      </c>
      <c r="B2478" s="73" t="s">
        <v>1642</v>
      </c>
      <c r="C2478" s="74" t="s">
        <v>2933</v>
      </c>
      <c r="D2478" s="74">
        <v>64.989999999999995</v>
      </c>
    </row>
    <row r="2479" spans="1:4">
      <c r="A2479" t="s">
        <v>40</v>
      </c>
      <c r="B2479" s="73" t="s">
        <v>510</v>
      </c>
      <c r="C2479" s="74" t="s">
        <v>2934</v>
      </c>
      <c r="D2479" s="74">
        <v>274.49</v>
      </c>
    </row>
    <row r="2480" spans="1:4">
      <c r="A2480" t="s">
        <v>40</v>
      </c>
      <c r="B2480" s="73" t="s">
        <v>505</v>
      </c>
      <c r="C2480" s="74" t="s">
        <v>2935</v>
      </c>
      <c r="D2480" s="74">
        <v>369.99</v>
      </c>
    </row>
    <row r="2481" spans="1:4">
      <c r="A2481" t="s">
        <v>40</v>
      </c>
      <c r="B2481" s="73" t="s">
        <v>510</v>
      </c>
      <c r="C2481" s="74" t="s">
        <v>2936</v>
      </c>
      <c r="D2481" s="74">
        <v>159.99</v>
      </c>
    </row>
    <row r="2482" spans="1:4">
      <c r="A2482" t="s">
        <v>40</v>
      </c>
      <c r="B2482" s="53"/>
      <c r="C2482" s="74" t="s">
        <v>2937</v>
      </c>
      <c r="D2482" s="74">
        <v>159.99</v>
      </c>
    </row>
    <row r="2483" spans="1:4">
      <c r="A2483" t="s">
        <v>40</v>
      </c>
      <c r="B2483" s="73" t="s">
        <v>738</v>
      </c>
      <c r="C2483" s="74" t="s">
        <v>2938</v>
      </c>
      <c r="D2483" s="74">
        <v>195</v>
      </c>
    </row>
    <row r="2484" spans="1:4">
      <c r="A2484" t="s">
        <v>40</v>
      </c>
      <c r="B2484" s="73" t="s">
        <v>505</v>
      </c>
      <c r="C2484" s="74" t="s">
        <v>2939</v>
      </c>
      <c r="D2484" s="74">
        <v>121.49</v>
      </c>
    </row>
    <row r="2485" spans="1:4">
      <c r="A2485" t="s">
        <v>40</v>
      </c>
      <c r="B2485" s="73" t="s">
        <v>529</v>
      </c>
      <c r="C2485" s="74" t="s">
        <v>2940</v>
      </c>
      <c r="D2485" s="74">
        <v>49.99</v>
      </c>
    </row>
    <row r="2486" spans="1:4">
      <c r="A2486" t="s">
        <v>40</v>
      </c>
      <c r="B2486" s="73" t="s">
        <v>510</v>
      </c>
      <c r="C2486" s="74" t="s">
        <v>2941</v>
      </c>
      <c r="D2486" s="74">
        <v>589.99</v>
      </c>
    </row>
    <row r="2487" spans="1:4">
      <c r="A2487" t="s">
        <v>40</v>
      </c>
      <c r="B2487" s="73" t="s">
        <v>510</v>
      </c>
      <c r="C2487" s="74" t="s">
        <v>2942</v>
      </c>
      <c r="D2487" s="74">
        <v>457.99</v>
      </c>
    </row>
    <row r="2488" spans="1:4">
      <c r="A2488" t="s">
        <v>40</v>
      </c>
      <c r="B2488" s="73" t="s">
        <v>810</v>
      </c>
      <c r="C2488" s="74" t="s">
        <v>2943</v>
      </c>
      <c r="D2488" s="74">
        <v>299</v>
      </c>
    </row>
    <row r="2489" spans="1:4">
      <c r="A2489" t="s">
        <v>40</v>
      </c>
      <c r="B2489" s="73" t="s">
        <v>810</v>
      </c>
      <c r="C2489" s="74" t="s">
        <v>2944</v>
      </c>
      <c r="D2489" s="74">
        <v>211.49</v>
      </c>
    </row>
    <row r="2490" spans="1:4">
      <c r="A2490" t="s">
        <v>40</v>
      </c>
      <c r="B2490" s="73" t="s">
        <v>529</v>
      </c>
      <c r="C2490" s="74" t="s">
        <v>2945</v>
      </c>
      <c r="D2490" s="74">
        <v>119.99</v>
      </c>
    </row>
    <row r="2491" spans="1:4">
      <c r="A2491" t="s">
        <v>40</v>
      </c>
      <c r="B2491" s="73" t="s">
        <v>505</v>
      </c>
      <c r="C2491" s="74" t="s">
        <v>2946</v>
      </c>
      <c r="D2491" s="74">
        <v>149</v>
      </c>
    </row>
    <row r="2492" spans="1:4">
      <c r="A2492" t="s">
        <v>40</v>
      </c>
      <c r="B2492" s="73" t="s">
        <v>505</v>
      </c>
      <c r="C2492" s="74" t="s">
        <v>2947</v>
      </c>
      <c r="D2492" s="74">
        <v>299.54000000000002</v>
      </c>
    </row>
    <row r="2493" spans="1:4">
      <c r="A2493" t="s">
        <v>40</v>
      </c>
      <c r="B2493" s="73" t="s">
        <v>546</v>
      </c>
      <c r="C2493" s="74" t="s">
        <v>2948</v>
      </c>
      <c r="D2493" s="74">
        <v>24.99</v>
      </c>
    </row>
    <row r="2494" spans="1:4">
      <c r="A2494" t="s">
        <v>40</v>
      </c>
      <c r="B2494" s="73" t="s">
        <v>1683</v>
      </c>
      <c r="C2494" s="74" t="s">
        <v>2949</v>
      </c>
      <c r="D2494" s="74">
        <v>165.9</v>
      </c>
    </row>
    <row r="2495" spans="1:4">
      <c r="A2495" t="s">
        <v>40</v>
      </c>
      <c r="B2495" s="73" t="s">
        <v>523</v>
      </c>
      <c r="C2495" s="74" t="s">
        <v>2950</v>
      </c>
      <c r="D2495" s="74">
        <v>680.4</v>
      </c>
    </row>
    <row r="2496" spans="1:4">
      <c r="A2496" t="s">
        <v>40</v>
      </c>
      <c r="B2496" s="73" t="s">
        <v>529</v>
      </c>
      <c r="C2496" s="74" t="s">
        <v>2951</v>
      </c>
      <c r="D2496" s="74">
        <v>116.99</v>
      </c>
    </row>
    <row r="2497" spans="1:4">
      <c r="A2497" t="s">
        <v>40</v>
      </c>
      <c r="B2497" s="73" t="s">
        <v>569</v>
      </c>
      <c r="C2497" s="74" t="s">
        <v>2952</v>
      </c>
      <c r="D2497" s="74">
        <v>65</v>
      </c>
    </row>
    <row r="2498" spans="1:4" ht="21">
      <c r="A2498" t="s">
        <v>40</v>
      </c>
      <c r="B2498" s="73" t="s">
        <v>505</v>
      </c>
      <c r="C2498" s="74" t="s">
        <v>1975</v>
      </c>
      <c r="D2498" s="74">
        <v>72.89</v>
      </c>
    </row>
    <row r="2499" spans="1:4">
      <c r="A2499" t="s">
        <v>40</v>
      </c>
      <c r="B2499" s="73" t="s">
        <v>505</v>
      </c>
      <c r="C2499" s="74" t="s">
        <v>2953</v>
      </c>
      <c r="D2499" s="74">
        <v>189.99</v>
      </c>
    </row>
    <row r="2500" spans="1:4">
      <c r="A2500" t="s">
        <v>40</v>
      </c>
      <c r="B2500" s="73" t="s">
        <v>505</v>
      </c>
      <c r="C2500" s="74" t="s">
        <v>2954</v>
      </c>
      <c r="D2500" s="74">
        <v>264.52</v>
      </c>
    </row>
    <row r="2501" spans="1:4">
      <c r="A2501" t="s">
        <v>40</v>
      </c>
      <c r="B2501" s="73" t="s">
        <v>810</v>
      </c>
      <c r="C2501" s="74" t="s">
        <v>2955</v>
      </c>
      <c r="D2501" s="74">
        <v>149.99</v>
      </c>
    </row>
    <row r="2502" spans="1:4">
      <c r="A2502" t="s">
        <v>40</v>
      </c>
      <c r="B2502" s="73" t="s">
        <v>1683</v>
      </c>
      <c r="C2502" s="74" t="s">
        <v>2956</v>
      </c>
      <c r="D2502" s="74">
        <v>523.95000000000005</v>
      </c>
    </row>
    <row r="2503" spans="1:4">
      <c r="A2503" t="s">
        <v>40</v>
      </c>
      <c r="B2503" s="73" t="s">
        <v>561</v>
      </c>
      <c r="C2503" s="74" t="s">
        <v>2957</v>
      </c>
      <c r="D2503" s="74">
        <v>169.9</v>
      </c>
    </row>
    <row r="2504" spans="1:4">
      <c r="A2504" t="s">
        <v>40</v>
      </c>
      <c r="B2504" s="73" t="s">
        <v>510</v>
      </c>
      <c r="C2504" s="74" t="s">
        <v>2958</v>
      </c>
      <c r="D2504" s="74">
        <v>215.99</v>
      </c>
    </row>
    <row r="2505" spans="1:4">
      <c r="A2505" t="s">
        <v>40</v>
      </c>
      <c r="B2505" s="73" t="s">
        <v>529</v>
      </c>
      <c r="C2505" s="74" t="s">
        <v>2959</v>
      </c>
      <c r="D2505" s="74">
        <v>219.99</v>
      </c>
    </row>
    <row r="2506" spans="1:4">
      <c r="A2506" t="s">
        <v>40</v>
      </c>
      <c r="B2506" s="73" t="s">
        <v>505</v>
      </c>
      <c r="C2506" s="74" t="s">
        <v>2960</v>
      </c>
      <c r="D2506" s="74">
        <v>184.53</v>
      </c>
    </row>
    <row r="2507" spans="1:4">
      <c r="A2507" t="s">
        <v>40</v>
      </c>
      <c r="B2507" s="73" t="s">
        <v>546</v>
      </c>
      <c r="C2507" s="74" t="s">
        <v>2961</v>
      </c>
      <c r="D2507" s="74">
        <v>19.95</v>
      </c>
    </row>
    <row r="2508" spans="1:4">
      <c r="A2508" t="s">
        <v>40</v>
      </c>
      <c r="B2508" s="73" t="s">
        <v>505</v>
      </c>
      <c r="C2508" s="74" t="s">
        <v>2962</v>
      </c>
      <c r="D2508" s="74">
        <v>124.19</v>
      </c>
    </row>
    <row r="2509" spans="1:4">
      <c r="A2509" t="s">
        <v>40</v>
      </c>
      <c r="B2509" s="73" t="s">
        <v>529</v>
      </c>
      <c r="C2509" s="74" t="s">
        <v>2963</v>
      </c>
      <c r="D2509" s="74">
        <v>184.99</v>
      </c>
    </row>
    <row r="2510" spans="1:4">
      <c r="A2510" t="s">
        <v>40</v>
      </c>
      <c r="B2510" s="73" t="s">
        <v>510</v>
      </c>
      <c r="C2510" s="74" t="s">
        <v>2964</v>
      </c>
      <c r="D2510" s="74">
        <v>660.45</v>
      </c>
    </row>
    <row r="2511" spans="1:4">
      <c r="A2511" t="s">
        <v>40</v>
      </c>
      <c r="B2511" s="73" t="s">
        <v>505</v>
      </c>
      <c r="C2511" s="74" t="s">
        <v>2965</v>
      </c>
      <c r="D2511" s="74">
        <v>279.99</v>
      </c>
    </row>
    <row r="2512" spans="1:4">
      <c r="A2512" t="s">
        <v>40</v>
      </c>
      <c r="B2512" s="73" t="s">
        <v>505</v>
      </c>
      <c r="C2512" s="74" t="s">
        <v>2966</v>
      </c>
      <c r="D2512" s="74">
        <v>159.99</v>
      </c>
    </row>
    <row r="2513" spans="1:4">
      <c r="A2513" t="s">
        <v>40</v>
      </c>
      <c r="B2513" s="73" t="s">
        <v>510</v>
      </c>
      <c r="C2513" s="74" t="s">
        <v>2967</v>
      </c>
      <c r="D2513" s="74">
        <v>324.99</v>
      </c>
    </row>
    <row r="2514" spans="1:4">
      <c r="A2514" t="s">
        <v>40</v>
      </c>
      <c r="B2514" s="73" t="s">
        <v>505</v>
      </c>
      <c r="C2514" s="74" t="s">
        <v>2968</v>
      </c>
      <c r="D2514" s="74">
        <v>287.99</v>
      </c>
    </row>
    <row r="2515" spans="1:4">
      <c r="A2515" t="s">
        <v>40</v>
      </c>
      <c r="B2515" s="73" t="s">
        <v>810</v>
      </c>
      <c r="C2515" s="74" t="s">
        <v>2969</v>
      </c>
      <c r="D2515" s="74">
        <v>406.94</v>
      </c>
    </row>
    <row r="2516" spans="1:4">
      <c r="A2516" t="s">
        <v>40</v>
      </c>
      <c r="B2516" s="73" t="s">
        <v>505</v>
      </c>
      <c r="C2516" s="74" t="s">
        <v>2970</v>
      </c>
      <c r="D2516" s="74">
        <v>242.99</v>
      </c>
    </row>
    <row r="2517" spans="1:4">
      <c r="A2517" t="s">
        <v>40</v>
      </c>
      <c r="B2517" s="73" t="s">
        <v>833</v>
      </c>
      <c r="C2517" s="74" t="s">
        <v>2971</v>
      </c>
      <c r="D2517" s="74">
        <v>85</v>
      </c>
    </row>
    <row r="2518" spans="1:4">
      <c r="A2518" t="s">
        <v>40</v>
      </c>
      <c r="B2518" s="73" t="s">
        <v>529</v>
      </c>
      <c r="C2518" s="74" t="s">
        <v>2972</v>
      </c>
      <c r="D2518" s="74">
        <v>229.99</v>
      </c>
    </row>
    <row r="2519" spans="1:4">
      <c r="A2519" t="s">
        <v>40</v>
      </c>
      <c r="B2519" s="73" t="s">
        <v>505</v>
      </c>
      <c r="C2519" s="74" t="s">
        <v>2973</v>
      </c>
      <c r="D2519" s="74">
        <v>219.99</v>
      </c>
    </row>
    <row r="2520" spans="1:4">
      <c r="A2520" t="s">
        <v>40</v>
      </c>
      <c r="B2520" s="73" t="s">
        <v>505</v>
      </c>
      <c r="C2520" s="74" t="s">
        <v>2974</v>
      </c>
      <c r="D2520" s="74">
        <v>202.81</v>
      </c>
    </row>
    <row r="2521" spans="1:4">
      <c r="A2521" t="s">
        <v>40</v>
      </c>
      <c r="B2521" s="73" t="s">
        <v>510</v>
      </c>
      <c r="C2521" s="74" t="s">
        <v>2975</v>
      </c>
      <c r="D2521" s="74">
        <v>449.99</v>
      </c>
    </row>
    <row r="2522" spans="1:4">
      <c r="A2522" t="s">
        <v>40</v>
      </c>
      <c r="B2522" s="73" t="s">
        <v>505</v>
      </c>
      <c r="C2522" s="74" t="s">
        <v>2976</v>
      </c>
      <c r="D2522" s="74">
        <v>311.97000000000003</v>
      </c>
    </row>
    <row r="2523" spans="1:4">
      <c r="A2523" t="s">
        <v>40</v>
      </c>
      <c r="B2523" s="73" t="s">
        <v>510</v>
      </c>
      <c r="C2523" s="74" t="s">
        <v>2750</v>
      </c>
      <c r="D2523" s="74">
        <v>339.99</v>
      </c>
    </row>
    <row r="2524" spans="1:4">
      <c r="A2524" t="s">
        <v>40</v>
      </c>
      <c r="B2524" t="s">
        <v>2977</v>
      </c>
      <c r="C2524" t="s">
        <v>2978</v>
      </c>
      <c r="D2524">
        <v>94.99</v>
      </c>
    </row>
    <row r="2525" spans="1:4">
      <c r="A2525" t="s">
        <v>40</v>
      </c>
      <c r="B2525" t="s">
        <v>1337</v>
      </c>
      <c r="C2525" t="s">
        <v>2979</v>
      </c>
      <c r="D2525">
        <v>294.76</v>
      </c>
    </row>
    <row r="2526" spans="1:4">
      <c r="A2526" t="s">
        <v>40</v>
      </c>
      <c r="B2526" t="s">
        <v>2980</v>
      </c>
      <c r="C2526" t="s">
        <v>2981</v>
      </c>
      <c r="D2526">
        <v>119.99</v>
      </c>
    </row>
    <row r="2527" spans="1:4">
      <c r="A2527" t="s">
        <v>40</v>
      </c>
      <c r="B2527" t="s">
        <v>2980</v>
      </c>
      <c r="C2527" t="s">
        <v>2982</v>
      </c>
      <c r="D2527">
        <v>180</v>
      </c>
    </row>
    <row r="2528" spans="1:4">
      <c r="A2528" t="s">
        <v>40</v>
      </c>
      <c r="B2528" t="s">
        <v>2983</v>
      </c>
      <c r="C2528" t="s">
        <v>2984</v>
      </c>
      <c r="D2528">
        <v>119.99</v>
      </c>
    </row>
    <row r="2529" spans="1:4">
      <c r="A2529" t="s">
        <v>40</v>
      </c>
      <c r="B2529" t="s">
        <v>1337</v>
      </c>
      <c r="C2529" t="s">
        <v>2985</v>
      </c>
      <c r="D2529">
        <v>189.99</v>
      </c>
    </row>
    <row r="2530" spans="1:4">
      <c r="A2530" t="s">
        <v>40</v>
      </c>
      <c r="B2530" t="s">
        <v>2986</v>
      </c>
      <c r="C2530" t="s">
        <v>2987</v>
      </c>
      <c r="D2530">
        <v>99.94</v>
      </c>
    </row>
    <row r="2531" spans="1:4">
      <c r="A2531" t="s">
        <v>40</v>
      </c>
      <c r="B2531" t="s">
        <v>2988</v>
      </c>
      <c r="C2531" t="s">
        <v>2989</v>
      </c>
      <c r="D2531">
        <v>69.989999999999995</v>
      </c>
    </row>
    <row r="2532" spans="1:4">
      <c r="A2532" t="s">
        <v>40</v>
      </c>
      <c r="B2532" t="s">
        <v>2990</v>
      </c>
      <c r="C2532" t="s">
        <v>2991</v>
      </c>
      <c r="D2532">
        <v>99.99</v>
      </c>
    </row>
    <row r="2533" spans="1:4">
      <c r="A2533" t="s">
        <v>40</v>
      </c>
      <c r="B2533" t="s">
        <v>2992</v>
      </c>
      <c r="C2533" t="s">
        <v>2993</v>
      </c>
      <c r="D2533">
        <v>89.99</v>
      </c>
    </row>
    <row r="2534" spans="1:4">
      <c r="A2534" t="s">
        <v>40</v>
      </c>
      <c r="B2534" t="s">
        <v>2994</v>
      </c>
      <c r="C2534" t="s">
        <v>2995</v>
      </c>
      <c r="D2534">
        <v>64.989999999999995</v>
      </c>
    </row>
    <row r="2535" spans="1:4">
      <c r="A2535" t="s">
        <v>40</v>
      </c>
      <c r="B2535" t="s">
        <v>2980</v>
      </c>
      <c r="C2535" t="s">
        <v>2996</v>
      </c>
      <c r="D2535">
        <v>349</v>
      </c>
    </row>
    <row r="2536" spans="1:4">
      <c r="A2536" t="s">
        <v>40</v>
      </c>
      <c r="B2536" t="s">
        <v>2983</v>
      </c>
      <c r="C2536" t="s">
        <v>2997</v>
      </c>
      <c r="D2536">
        <v>169</v>
      </c>
    </row>
    <row r="2537" spans="1:4">
      <c r="A2537" t="s">
        <v>40</v>
      </c>
      <c r="B2537" t="s">
        <v>2980</v>
      </c>
      <c r="C2537" t="s">
        <v>2998</v>
      </c>
      <c r="D2537">
        <v>164.95</v>
      </c>
    </row>
    <row r="2538" spans="1:4">
      <c r="A2538" t="s">
        <v>40</v>
      </c>
      <c r="B2538" t="s">
        <v>2999</v>
      </c>
      <c r="C2538" t="s">
        <v>3000</v>
      </c>
      <c r="D2538">
        <v>59.99</v>
      </c>
    </row>
    <row r="2539" spans="1:4">
      <c r="A2539" t="s">
        <v>40</v>
      </c>
      <c r="B2539" t="s">
        <v>2980</v>
      </c>
      <c r="C2539" t="s">
        <v>3001</v>
      </c>
      <c r="D2539">
        <v>199.95</v>
      </c>
    </row>
    <row r="2540" spans="1:4">
      <c r="A2540" t="s">
        <v>40</v>
      </c>
      <c r="B2540" t="s">
        <v>2980</v>
      </c>
      <c r="C2540" t="s">
        <v>3002</v>
      </c>
      <c r="D2540">
        <v>264.99</v>
      </c>
    </row>
    <row r="2541" spans="1:4">
      <c r="A2541" t="s">
        <v>40</v>
      </c>
      <c r="B2541" t="s">
        <v>2980</v>
      </c>
      <c r="C2541" t="s">
        <v>3003</v>
      </c>
      <c r="D2541">
        <v>89.99</v>
      </c>
    </row>
    <row r="2542" spans="1:4">
      <c r="A2542" t="s">
        <v>40</v>
      </c>
      <c r="B2542" t="s">
        <v>2980</v>
      </c>
      <c r="C2542" t="s">
        <v>3004</v>
      </c>
      <c r="D2542">
        <v>134.99</v>
      </c>
    </row>
    <row r="2543" spans="1:4">
      <c r="A2543" t="s">
        <v>40</v>
      </c>
      <c r="B2543" t="s">
        <v>2983</v>
      </c>
      <c r="C2543" t="s">
        <v>3005</v>
      </c>
      <c r="D2543">
        <v>399.99</v>
      </c>
    </row>
    <row r="2544" spans="1:4">
      <c r="A2544" t="s">
        <v>40</v>
      </c>
      <c r="B2544" t="s">
        <v>3006</v>
      </c>
      <c r="C2544" t="s">
        <v>3007</v>
      </c>
      <c r="D2544">
        <v>104.99</v>
      </c>
    </row>
    <row r="2545" spans="1:4">
      <c r="A2545" t="s">
        <v>40</v>
      </c>
      <c r="B2545" t="s">
        <v>3006</v>
      </c>
      <c r="C2545" t="s">
        <v>3008</v>
      </c>
      <c r="D2545">
        <v>119.99</v>
      </c>
    </row>
    <row r="2546" spans="1:4">
      <c r="A2546" t="s">
        <v>40</v>
      </c>
      <c r="B2546" t="s">
        <v>3009</v>
      </c>
      <c r="C2546" t="s">
        <v>3010</v>
      </c>
      <c r="D2546">
        <v>125.74</v>
      </c>
    </row>
    <row r="2547" spans="1:4">
      <c r="A2547" t="s">
        <v>40</v>
      </c>
      <c r="B2547" t="s">
        <v>2983</v>
      </c>
      <c r="C2547" t="s">
        <v>3011</v>
      </c>
      <c r="D2547">
        <v>324.99</v>
      </c>
    </row>
    <row r="2548" spans="1:4">
      <c r="A2548" t="s">
        <v>40</v>
      </c>
      <c r="B2548" t="s">
        <v>1337</v>
      </c>
      <c r="C2548" t="s">
        <v>3012</v>
      </c>
      <c r="D2548">
        <v>124.99</v>
      </c>
    </row>
    <row r="2549" spans="1:4">
      <c r="A2549" t="s">
        <v>40</v>
      </c>
      <c r="B2549" t="s">
        <v>2994</v>
      </c>
      <c r="C2549" t="s">
        <v>3013</v>
      </c>
      <c r="D2549">
        <v>63.99</v>
      </c>
    </row>
    <row r="2550" spans="1:4">
      <c r="A2550" t="s">
        <v>40</v>
      </c>
      <c r="B2550" t="s">
        <v>3014</v>
      </c>
      <c r="C2550" t="s">
        <v>3015</v>
      </c>
      <c r="D2550">
        <v>209.99</v>
      </c>
    </row>
    <row r="2551" spans="1:4">
      <c r="A2551" t="s">
        <v>40</v>
      </c>
      <c r="B2551" t="s">
        <v>1337</v>
      </c>
      <c r="C2551" t="s">
        <v>3016</v>
      </c>
      <c r="D2551">
        <v>139.99</v>
      </c>
    </row>
    <row r="2552" spans="1:4">
      <c r="A2552" t="s">
        <v>40</v>
      </c>
      <c r="B2552" t="s">
        <v>3006</v>
      </c>
      <c r="C2552" t="s">
        <v>3017</v>
      </c>
      <c r="D2552">
        <v>299.99</v>
      </c>
    </row>
    <row r="2553" spans="1:4">
      <c r="A2553" t="s">
        <v>40</v>
      </c>
      <c r="B2553" t="s">
        <v>2980</v>
      </c>
      <c r="C2553" t="s">
        <v>3018</v>
      </c>
      <c r="D2553">
        <v>165</v>
      </c>
    </row>
    <row r="2554" spans="1:4">
      <c r="A2554" t="s">
        <v>40</v>
      </c>
      <c r="B2554" t="s">
        <v>2980</v>
      </c>
      <c r="C2554" t="s">
        <v>3019</v>
      </c>
      <c r="D2554">
        <v>149.99</v>
      </c>
    </row>
    <row r="2555" spans="1:4">
      <c r="A2555" t="s">
        <v>40</v>
      </c>
      <c r="B2555" t="s">
        <v>3006</v>
      </c>
      <c r="C2555" t="s">
        <v>3020</v>
      </c>
      <c r="D2555">
        <v>329.99</v>
      </c>
    </row>
    <row r="2556" spans="1:4">
      <c r="A2556" t="s">
        <v>40</v>
      </c>
      <c r="B2556" t="s">
        <v>2983</v>
      </c>
      <c r="C2556" t="s">
        <v>3021</v>
      </c>
      <c r="D2556">
        <v>169.99</v>
      </c>
    </row>
    <row r="2557" spans="1:4">
      <c r="A2557" t="s">
        <v>40</v>
      </c>
      <c r="B2557" t="s">
        <v>3014</v>
      </c>
      <c r="C2557" t="s">
        <v>3022</v>
      </c>
      <c r="D2557">
        <v>85.99</v>
      </c>
    </row>
    <row r="2558" spans="1:4">
      <c r="A2558" t="s">
        <v>40</v>
      </c>
      <c r="B2558" t="s">
        <v>2986</v>
      </c>
      <c r="C2558" t="s">
        <v>3023</v>
      </c>
      <c r="D2558">
        <v>84.94</v>
      </c>
    </row>
    <row r="2559" spans="1:4">
      <c r="A2559" t="s">
        <v>40</v>
      </c>
      <c r="B2559" t="s">
        <v>2983</v>
      </c>
      <c r="C2559" t="s">
        <v>3024</v>
      </c>
      <c r="D2559">
        <v>109.99</v>
      </c>
    </row>
    <row r="2560" spans="1:4">
      <c r="A2560" t="s">
        <v>40</v>
      </c>
      <c r="B2560" t="s">
        <v>2980</v>
      </c>
      <c r="C2560" t="s">
        <v>3025</v>
      </c>
      <c r="D2560">
        <v>169.99</v>
      </c>
    </row>
    <row r="2561" spans="1:4">
      <c r="A2561" t="s">
        <v>40</v>
      </c>
      <c r="B2561" t="s">
        <v>3006</v>
      </c>
      <c r="C2561" t="s">
        <v>3026</v>
      </c>
      <c r="D2561">
        <v>299.99</v>
      </c>
    </row>
    <row r="2562" spans="1:4">
      <c r="A2562" t="s">
        <v>40</v>
      </c>
      <c r="B2562" t="s">
        <v>2980</v>
      </c>
      <c r="C2562" t="s">
        <v>3027</v>
      </c>
      <c r="D2562">
        <v>154.99</v>
      </c>
    </row>
    <row r="2563" spans="1:4">
      <c r="A2563" t="s">
        <v>40</v>
      </c>
      <c r="B2563" t="s">
        <v>2980</v>
      </c>
      <c r="C2563" t="s">
        <v>3028</v>
      </c>
      <c r="D2563">
        <v>169.99</v>
      </c>
    </row>
    <row r="2564" spans="1:4">
      <c r="A2564" t="s">
        <v>40</v>
      </c>
      <c r="B2564" t="s">
        <v>2983</v>
      </c>
      <c r="C2564" t="s">
        <v>3029</v>
      </c>
      <c r="D2564">
        <v>72.989999999999995</v>
      </c>
    </row>
    <row r="2565" spans="1:4">
      <c r="A2565" t="s">
        <v>40</v>
      </c>
      <c r="B2565" t="s">
        <v>3030</v>
      </c>
      <c r="C2565" t="s">
        <v>3031</v>
      </c>
      <c r="D2565">
        <v>349.99</v>
      </c>
    </row>
    <row r="2566" spans="1:4">
      <c r="A2566" t="s">
        <v>40</v>
      </c>
      <c r="B2566" t="s">
        <v>2980</v>
      </c>
      <c r="C2566" t="s">
        <v>3032</v>
      </c>
      <c r="D2566">
        <v>157.94999999999999</v>
      </c>
    </row>
    <row r="2567" spans="1:4">
      <c r="A2567" t="s">
        <v>40</v>
      </c>
      <c r="B2567" t="s">
        <v>2983</v>
      </c>
      <c r="C2567" t="s">
        <v>3033</v>
      </c>
      <c r="D2567">
        <v>349.95</v>
      </c>
    </row>
    <row r="2568" spans="1:4">
      <c r="A2568" t="s">
        <v>40</v>
      </c>
      <c r="B2568" t="s">
        <v>2980</v>
      </c>
      <c r="C2568" t="s">
        <v>3034</v>
      </c>
      <c r="D2568">
        <v>124.99</v>
      </c>
    </row>
    <row r="2569" spans="1:4">
      <c r="A2569" t="s">
        <v>40</v>
      </c>
      <c r="B2569" t="s">
        <v>3006</v>
      </c>
      <c r="C2569" t="s">
        <v>3035</v>
      </c>
      <c r="D2569">
        <v>139.99</v>
      </c>
    </row>
    <row r="2570" spans="1:4">
      <c r="A2570" t="s">
        <v>40</v>
      </c>
      <c r="B2570" t="s">
        <v>2980</v>
      </c>
      <c r="C2570" t="s">
        <v>3036</v>
      </c>
      <c r="D2570">
        <v>699.95</v>
      </c>
    </row>
    <row r="2571" spans="1:4">
      <c r="A2571" t="s">
        <v>40</v>
      </c>
      <c r="B2571" t="s">
        <v>2980</v>
      </c>
      <c r="C2571" t="s">
        <v>3037</v>
      </c>
      <c r="D2571">
        <v>399.99</v>
      </c>
    </row>
    <row r="2572" spans="1:4">
      <c r="A2572" t="s">
        <v>40</v>
      </c>
      <c r="B2572" t="s">
        <v>505</v>
      </c>
      <c r="C2572" t="s">
        <v>3038</v>
      </c>
      <c r="D2572">
        <v>69.95</v>
      </c>
    </row>
    <row r="2573" spans="1:4">
      <c r="A2573" t="s">
        <v>40</v>
      </c>
      <c r="B2573" t="s">
        <v>3039</v>
      </c>
      <c r="C2573" t="s">
        <v>3040</v>
      </c>
      <c r="D2573">
        <v>123.75</v>
      </c>
    </row>
    <row r="2574" spans="1:4">
      <c r="A2574" t="s">
        <v>40</v>
      </c>
      <c r="B2574" t="s">
        <v>3006</v>
      </c>
      <c r="C2574" t="s">
        <v>3041</v>
      </c>
      <c r="D2574">
        <v>190</v>
      </c>
    </row>
    <row r="2575" spans="1:4">
      <c r="A2575" t="s">
        <v>40</v>
      </c>
      <c r="B2575" t="s">
        <v>3042</v>
      </c>
      <c r="C2575" t="s">
        <v>3043</v>
      </c>
      <c r="D2575">
        <v>54.99</v>
      </c>
    </row>
    <row r="2576" spans="1:4">
      <c r="A2576" t="s">
        <v>40</v>
      </c>
      <c r="B2576" t="s">
        <v>1337</v>
      </c>
      <c r="C2576" t="s">
        <v>3044</v>
      </c>
      <c r="D2576">
        <v>275</v>
      </c>
    </row>
    <row r="2577" spans="1:4">
      <c r="A2577" t="s">
        <v>40</v>
      </c>
      <c r="B2577" t="s">
        <v>2983</v>
      </c>
      <c r="C2577" t="s">
        <v>3045</v>
      </c>
      <c r="D2577">
        <v>49</v>
      </c>
    </row>
    <row r="2578" spans="1:4">
      <c r="A2578" t="s">
        <v>40</v>
      </c>
      <c r="B2578" t="s">
        <v>2980</v>
      </c>
      <c r="C2578" t="s">
        <v>3046</v>
      </c>
      <c r="D2578">
        <v>89.99</v>
      </c>
    </row>
    <row r="2579" spans="1:4">
      <c r="A2579" t="s">
        <v>40</v>
      </c>
      <c r="B2579" t="s">
        <v>2980</v>
      </c>
      <c r="C2579" t="s">
        <v>3047</v>
      </c>
      <c r="D2579">
        <v>160</v>
      </c>
    </row>
    <row r="2580" spans="1:4">
      <c r="A2580" t="s">
        <v>40</v>
      </c>
      <c r="B2580" t="s">
        <v>3006</v>
      </c>
      <c r="C2580" t="s">
        <v>3048</v>
      </c>
      <c r="D2580">
        <v>244.99</v>
      </c>
    </row>
    <row r="2581" spans="1:4">
      <c r="A2581" t="s">
        <v>40</v>
      </c>
      <c r="B2581" t="s">
        <v>3006</v>
      </c>
      <c r="C2581" t="s">
        <v>3049</v>
      </c>
      <c r="D2581">
        <v>319.99</v>
      </c>
    </row>
    <row r="2582" spans="1:4">
      <c r="A2582" t="s">
        <v>40</v>
      </c>
      <c r="B2582" t="s">
        <v>3006</v>
      </c>
      <c r="C2582" t="s">
        <v>3050</v>
      </c>
      <c r="D2582">
        <v>74.989999999999995</v>
      </c>
    </row>
    <row r="2583" spans="1:4">
      <c r="A2583" t="s">
        <v>40</v>
      </c>
      <c r="B2583" t="s">
        <v>3006</v>
      </c>
      <c r="C2583" t="s">
        <v>3051</v>
      </c>
      <c r="D2583">
        <v>425</v>
      </c>
    </row>
    <row r="2584" spans="1:4">
      <c r="A2584" t="s">
        <v>40</v>
      </c>
      <c r="B2584" t="s">
        <v>3009</v>
      </c>
      <c r="C2584" t="s">
        <v>3052</v>
      </c>
      <c r="D2584">
        <v>113.79</v>
      </c>
    </row>
    <row r="2585" spans="1:4">
      <c r="A2585" t="s">
        <v>40</v>
      </c>
      <c r="B2585" t="s">
        <v>3006</v>
      </c>
      <c r="C2585" t="s">
        <v>3053</v>
      </c>
      <c r="D2585">
        <v>210</v>
      </c>
    </row>
    <row r="2586" spans="1:4">
      <c r="A2586" t="s">
        <v>40</v>
      </c>
      <c r="B2586" t="s">
        <v>2983</v>
      </c>
      <c r="C2586" t="s">
        <v>3054</v>
      </c>
      <c r="D2586">
        <v>249.99</v>
      </c>
    </row>
    <row r="2587" spans="1:4">
      <c r="A2587" t="s">
        <v>40</v>
      </c>
      <c r="B2587" t="s">
        <v>2980</v>
      </c>
      <c r="C2587" t="s">
        <v>3055</v>
      </c>
      <c r="D2587">
        <v>169.99</v>
      </c>
    </row>
    <row r="2588" spans="1:4">
      <c r="A2588" t="s">
        <v>40</v>
      </c>
      <c r="B2588" t="s">
        <v>2980</v>
      </c>
      <c r="C2588" t="s">
        <v>3056</v>
      </c>
      <c r="D2588">
        <v>119.99</v>
      </c>
    </row>
    <row r="2589" spans="1:4">
      <c r="A2589" t="s">
        <v>40</v>
      </c>
      <c r="B2589" t="s">
        <v>2980</v>
      </c>
      <c r="C2589" t="s">
        <v>3057</v>
      </c>
      <c r="D2589">
        <v>329.95</v>
      </c>
    </row>
    <row r="2590" spans="1:4">
      <c r="A2590" t="s">
        <v>40</v>
      </c>
      <c r="B2590" t="s">
        <v>2983</v>
      </c>
      <c r="C2590" t="s">
        <v>3058</v>
      </c>
      <c r="D2590">
        <v>149.85</v>
      </c>
    </row>
    <row r="2591" spans="1:4">
      <c r="A2591" t="s">
        <v>40</v>
      </c>
      <c r="B2591" t="s">
        <v>3006</v>
      </c>
      <c r="C2591" t="s">
        <v>3059</v>
      </c>
      <c r="D2591">
        <v>83</v>
      </c>
    </row>
    <row r="2592" spans="1:4">
      <c r="A2592" t="s">
        <v>40</v>
      </c>
      <c r="B2592" t="s">
        <v>2983</v>
      </c>
      <c r="C2592" t="s">
        <v>3060</v>
      </c>
      <c r="D2592">
        <v>244.53</v>
      </c>
    </row>
    <row r="2593" spans="1:4">
      <c r="A2593" t="s">
        <v>40</v>
      </c>
      <c r="B2593" t="s">
        <v>2980</v>
      </c>
      <c r="C2593" t="s">
        <v>3061</v>
      </c>
      <c r="D2593">
        <v>120</v>
      </c>
    </row>
    <row r="2594" spans="1:4">
      <c r="A2594" t="s">
        <v>40</v>
      </c>
      <c r="B2594" t="s">
        <v>2983</v>
      </c>
      <c r="C2594" t="s">
        <v>3062</v>
      </c>
      <c r="D2594">
        <v>124.99</v>
      </c>
    </row>
    <row r="2595" spans="1:4">
      <c r="A2595" t="s">
        <v>40</v>
      </c>
      <c r="B2595" t="s">
        <v>2980</v>
      </c>
      <c r="C2595" t="s">
        <v>3063</v>
      </c>
      <c r="D2595">
        <v>134.99</v>
      </c>
    </row>
    <row r="2596" spans="1:4">
      <c r="A2596" t="s">
        <v>40</v>
      </c>
      <c r="B2596" t="s">
        <v>2980</v>
      </c>
      <c r="C2596" t="s">
        <v>3064</v>
      </c>
      <c r="D2596">
        <v>124.85</v>
      </c>
    </row>
    <row r="2597" spans="1:4">
      <c r="A2597" t="s">
        <v>40</v>
      </c>
      <c r="B2597" t="s">
        <v>2983</v>
      </c>
      <c r="C2597" t="s">
        <v>3065</v>
      </c>
      <c r="D2597">
        <v>119.99</v>
      </c>
    </row>
    <row r="2598" spans="1:4">
      <c r="A2598" t="s">
        <v>40</v>
      </c>
      <c r="B2598" t="s">
        <v>2980</v>
      </c>
      <c r="C2598" t="s">
        <v>3066</v>
      </c>
      <c r="D2598">
        <v>114.99</v>
      </c>
    </row>
    <row r="2599" spans="1:4">
      <c r="A2599" t="s">
        <v>40</v>
      </c>
      <c r="B2599" t="s">
        <v>3006</v>
      </c>
      <c r="C2599" t="s">
        <v>3067</v>
      </c>
      <c r="D2599">
        <v>200</v>
      </c>
    </row>
    <row r="2600" spans="1:4">
      <c r="A2600" t="s">
        <v>40</v>
      </c>
      <c r="B2600" t="s">
        <v>3068</v>
      </c>
      <c r="C2600" t="s">
        <v>3069</v>
      </c>
      <c r="D2600">
        <v>64.989999999999995</v>
      </c>
    </row>
    <row r="2601" spans="1:4">
      <c r="A2601" t="s">
        <v>40</v>
      </c>
      <c r="B2601" t="s">
        <v>2983</v>
      </c>
      <c r="C2601" t="s">
        <v>3070</v>
      </c>
      <c r="D2601">
        <v>349.99</v>
      </c>
    </row>
    <row r="2602" spans="1:4">
      <c r="A2602" t="s">
        <v>40</v>
      </c>
      <c r="B2602" t="s">
        <v>2980</v>
      </c>
      <c r="C2602" t="s">
        <v>3071</v>
      </c>
      <c r="D2602">
        <v>164.99</v>
      </c>
    </row>
    <row r="2603" spans="1:4">
      <c r="A2603" t="s">
        <v>40</v>
      </c>
      <c r="B2603" t="s">
        <v>2983</v>
      </c>
      <c r="C2603" t="s">
        <v>3072</v>
      </c>
      <c r="D2603">
        <v>219.99</v>
      </c>
    </row>
    <row r="2604" spans="1:4">
      <c r="A2604" t="s">
        <v>40</v>
      </c>
      <c r="B2604" t="s">
        <v>510</v>
      </c>
      <c r="C2604" t="s">
        <v>3073</v>
      </c>
      <c r="D2604">
        <v>399.99</v>
      </c>
    </row>
    <row r="2605" spans="1:4">
      <c r="A2605" t="s">
        <v>40</v>
      </c>
      <c r="B2605" t="s">
        <v>3014</v>
      </c>
      <c r="C2605" t="s">
        <v>3074</v>
      </c>
      <c r="D2605">
        <v>119.99</v>
      </c>
    </row>
    <row r="2606" spans="1:4">
      <c r="A2606" t="s">
        <v>40</v>
      </c>
      <c r="B2606" t="s">
        <v>2983</v>
      </c>
      <c r="C2606" t="s">
        <v>3075</v>
      </c>
      <c r="D2606">
        <v>299.99</v>
      </c>
    </row>
    <row r="2607" spans="1:4">
      <c r="A2607" t="s">
        <v>40</v>
      </c>
      <c r="B2607" t="s">
        <v>3014</v>
      </c>
      <c r="C2607" t="s">
        <v>3076</v>
      </c>
      <c r="D2607">
        <v>119.99</v>
      </c>
    </row>
    <row r="2608" spans="1:4">
      <c r="A2608" t="s">
        <v>40</v>
      </c>
      <c r="B2608" t="s">
        <v>2994</v>
      </c>
      <c r="C2608" t="s">
        <v>3077</v>
      </c>
      <c r="D2608">
        <v>40</v>
      </c>
    </row>
    <row r="2609" spans="1:4">
      <c r="A2609" t="s">
        <v>40</v>
      </c>
      <c r="B2609" t="s">
        <v>1337</v>
      </c>
      <c r="C2609" t="s">
        <v>3078</v>
      </c>
      <c r="D2609">
        <v>289.5</v>
      </c>
    </row>
    <row r="2610" spans="1:4">
      <c r="A2610" t="s">
        <v>40</v>
      </c>
      <c r="B2610" t="s">
        <v>2980</v>
      </c>
      <c r="C2610" t="s">
        <v>3079</v>
      </c>
      <c r="D2610">
        <v>109.99</v>
      </c>
    </row>
    <row r="2611" spans="1:4">
      <c r="A2611" t="s">
        <v>40</v>
      </c>
      <c r="B2611" t="s">
        <v>3006</v>
      </c>
      <c r="C2611" t="s">
        <v>3080</v>
      </c>
      <c r="D2611">
        <v>119.99</v>
      </c>
    </row>
    <row r="2612" spans="1:4">
      <c r="A2612" t="s">
        <v>40</v>
      </c>
      <c r="B2612" t="s">
        <v>3081</v>
      </c>
      <c r="C2612" t="s">
        <v>3082</v>
      </c>
      <c r="D2612">
        <v>99.99</v>
      </c>
    </row>
    <row r="2613" spans="1:4">
      <c r="A2613" t="s">
        <v>40</v>
      </c>
      <c r="B2613" t="s">
        <v>3006</v>
      </c>
      <c r="C2613" t="s">
        <v>3083</v>
      </c>
      <c r="D2613">
        <v>139.99</v>
      </c>
    </row>
    <row r="2614" spans="1:4">
      <c r="A2614" t="s">
        <v>40</v>
      </c>
      <c r="B2614" t="s">
        <v>2980</v>
      </c>
      <c r="C2614" t="s">
        <v>3084</v>
      </c>
      <c r="D2614">
        <v>229.99</v>
      </c>
    </row>
    <row r="2615" spans="1:4">
      <c r="A2615" t="s">
        <v>40</v>
      </c>
      <c r="B2615" t="s">
        <v>2980</v>
      </c>
      <c r="C2615" t="s">
        <v>3085</v>
      </c>
      <c r="D2615">
        <v>149.99</v>
      </c>
    </row>
    <row r="2616" spans="1:4">
      <c r="A2616" t="s">
        <v>40</v>
      </c>
      <c r="B2616" t="s">
        <v>3006</v>
      </c>
      <c r="C2616" t="s">
        <v>3086</v>
      </c>
      <c r="D2616">
        <v>269.99</v>
      </c>
    </row>
    <row r="2617" spans="1:4">
      <c r="A2617" t="s">
        <v>40</v>
      </c>
      <c r="B2617" t="s">
        <v>2983</v>
      </c>
      <c r="C2617" t="s">
        <v>3087</v>
      </c>
      <c r="D2617">
        <v>159.99</v>
      </c>
    </row>
    <row r="2618" spans="1:4">
      <c r="A2618" t="s">
        <v>40</v>
      </c>
      <c r="B2618" t="s">
        <v>3006</v>
      </c>
      <c r="C2618" t="s">
        <v>3088</v>
      </c>
      <c r="D2618">
        <v>65</v>
      </c>
    </row>
    <row r="2619" spans="1:4">
      <c r="A2619" t="s">
        <v>40</v>
      </c>
      <c r="B2619" t="s">
        <v>2980</v>
      </c>
      <c r="C2619" t="s">
        <v>3089</v>
      </c>
      <c r="D2619">
        <v>249.95</v>
      </c>
    </row>
    <row r="2620" spans="1:4">
      <c r="A2620" t="s">
        <v>40</v>
      </c>
      <c r="B2620" t="s">
        <v>3014</v>
      </c>
      <c r="C2620" t="s">
        <v>3090</v>
      </c>
      <c r="D2620">
        <v>129.99</v>
      </c>
    </row>
    <row r="2621" spans="1:4">
      <c r="A2621" t="s">
        <v>40</v>
      </c>
      <c r="B2621" t="s">
        <v>3006</v>
      </c>
      <c r="C2621" t="s">
        <v>3091</v>
      </c>
      <c r="D2621">
        <v>144.99</v>
      </c>
    </row>
    <row r="2622" spans="1:4">
      <c r="A2622" t="s">
        <v>40</v>
      </c>
      <c r="B2622" t="s">
        <v>3081</v>
      </c>
      <c r="C2622" t="s">
        <v>3092</v>
      </c>
      <c r="D2622">
        <v>189.99</v>
      </c>
    </row>
    <row r="2623" spans="1:4">
      <c r="A2623" t="s">
        <v>40</v>
      </c>
      <c r="B2623" t="s">
        <v>3006</v>
      </c>
      <c r="C2623" t="s">
        <v>3093</v>
      </c>
      <c r="D2623">
        <v>109.99</v>
      </c>
    </row>
    <row r="2624" spans="1:4">
      <c r="A2624" t="s">
        <v>40</v>
      </c>
      <c r="B2624" t="s">
        <v>2980</v>
      </c>
      <c r="C2624" t="s">
        <v>3094</v>
      </c>
      <c r="D2624">
        <v>299.99</v>
      </c>
    </row>
    <row r="2625" spans="1:4">
      <c r="A2625" t="s">
        <v>40</v>
      </c>
      <c r="B2625" t="s">
        <v>3006</v>
      </c>
      <c r="C2625" t="s">
        <v>3095</v>
      </c>
      <c r="D2625">
        <v>119.99</v>
      </c>
    </row>
    <row r="2626" spans="1:4">
      <c r="A2626" t="s">
        <v>40</v>
      </c>
      <c r="B2626" t="s">
        <v>2983</v>
      </c>
      <c r="C2626" t="s">
        <v>3096</v>
      </c>
      <c r="D2626">
        <v>119</v>
      </c>
    </row>
    <row r="2627" spans="1:4">
      <c r="A2627" t="s">
        <v>40</v>
      </c>
      <c r="B2627" t="s">
        <v>2983</v>
      </c>
      <c r="C2627" t="s">
        <v>3097</v>
      </c>
      <c r="D2627">
        <v>119.99</v>
      </c>
    </row>
    <row r="2628" spans="1:4">
      <c r="A2628" t="s">
        <v>40</v>
      </c>
      <c r="B2628" t="s">
        <v>3006</v>
      </c>
      <c r="C2628" t="s">
        <v>3098</v>
      </c>
      <c r="D2628">
        <v>129.99</v>
      </c>
    </row>
    <row r="2629" spans="1:4">
      <c r="A2629" t="s">
        <v>40</v>
      </c>
      <c r="B2629" t="s">
        <v>3006</v>
      </c>
      <c r="C2629" t="s">
        <v>3099</v>
      </c>
      <c r="D2629">
        <v>174.99</v>
      </c>
    </row>
    <row r="2630" spans="1:4">
      <c r="A2630" t="s">
        <v>40</v>
      </c>
      <c r="B2630" t="s">
        <v>2980</v>
      </c>
      <c r="C2630" t="s">
        <v>3100</v>
      </c>
      <c r="D2630">
        <v>199.95</v>
      </c>
    </row>
    <row r="2631" spans="1:4">
      <c r="A2631" t="s">
        <v>40</v>
      </c>
      <c r="B2631" t="s">
        <v>2980</v>
      </c>
      <c r="C2631" t="s">
        <v>3101</v>
      </c>
      <c r="D2631">
        <v>259.99</v>
      </c>
    </row>
    <row r="2632" spans="1:4">
      <c r="A2632" t="s">
        <v>40</v>
      </c>
      <c r="B2632" t="s">
        <v>2983</v>
      </c>
      <c r="C2632" t="s">
        <v>3102</v>
      </c>
      <c r="D2632">
        <v>249.99</v>
      </c>
    </row>
    <row r="2633" spans="1:4">
      <c r="A2633" t="s">
        <v>40</v>
      </c>
      <c r="B2633" t="s">
        <v>3006</v>
      </c>
      <c r="C2633" t="s">
        <v>3103</v>
      </c>
      <c r="D2633">
        <v>339.99</v>
      </c>
    </row>
    <row r="2634" spans="1:4">
      <c r="A2634" t="s">
        <v>40</v>
      </c>
      <c r="B2634" t="s">
        <v>2983</v>
      </c>
      <c r="C2634" t="s">
        <v>3104</v>
      </c>
      <c r="D2634">
        <v>329.99</v>
      </c>
    </row>
    <row r="2635" spans="1:4">
      <c r="A2635" t="s">
        <v>40</v>
      </c>
      <c r="B2635" t="s">
        <v>1337</v>
      </c>
      <c r="C2635" t="s">
        <v>3105</v>
      </c>
      <c r="D2635">
        <v>300</v>
      </c>
    </row>
    <row r="2636" spans="1:4">
      <c r="A2636" t="s">
        <v>40</v>
      </c>
      <c r="B2636" t="s">
        <v>2983</v>
      </c>
      <c r="C2636" t="s">
        <v>3106</v>
      </c>
      <c r="D2636">
        <v>159.99</v>
      </c>
    </row>
    <row r="2637" spans="1:4">
      <c r="A2637" t="s">
        <v>40</v>
      </c>
      <c r="B2637" t="s">
        <v>3107</v>
      </c>
      <c r="C2637" t="s">
        <v>3108</v>
      </c>
      <c r="D2637">
        <v>769.3</v>
      </c>
    </row>
    <row r="2638" spans="1:4">
      <c r="A2638" t="s">
        <v>40</v>
      </c>
      <c r="B2638" t="s">
        <v>2986</v>
      </c>
      <c r="C2638" t="s">
        <v>3109</v>
      </c>
      <c r="D2638">
        <v>129.97999999999999</v>
      </c>
    </row>
    <row r="2639" spans="1:4">
      <c r="A2639" t="s">
        <v>40</v>
      </c>
      <c r="B2639" t="s">
        <v>2980</v>
      </c>
      <c r="C2639" t="s">
        <v>3110</v>
      </c>
      <c r="D2639">
        <v>119.99</v>
      </c>
    </row>
    <row r="2640" spans="1:4">
      <c r="A2640" t="s">
        <v>40</v>
      </c>
      <c r="B2640" t="s">
        <v>2988</v>
      </c>
      <c r="C2640" t="s">
        <v>3111</v>
      </c>
      <c r="D2640">
        <v>99.99</v>
      </c>
    </row>
    <row r="2641" spans="1:4">
      <c r="A2641" t="s">
        <v>40</v>
      </c>
      <c r="B2641" t="s">
        <v>2980</v>
      </c>
      <c r="C2641" t="s">
        <v>3112</v>
      </c>
      <c r="D2641">
        <v>135</v>
      </c>
    </row>
    <row r="2642" spans="1:4">
      <c r="A2642" t="s">
        <v>40</v>
      </c>
      <c r="B2642" t="s">
        <v>2983</v>
      </c>
      <c r="C2642" t="s">
        <v>3113</v>
      </c>
      <c r="D2642">
        <v>349.99</v>
      </c>
    </row>
    <row r="2643" spans="1:4">
      <c r="A2643" t="s">
        <v>40</v>
      </c>
      <c r="B2643" t="s">
        <v>2980</v>
      </c>
      <c r="C2643" t="s">
        <v>3114</v>
      </c>
      <c r="D2643">
        <v>119.98</v>
      </c>
    </row>
    <row r="2644" spans="1:4">
      <c r="A2644" t="s">
        <v>40</v>
      </c>
      <c r="B2644" t="s">
        <v>2983</v>
      </c>
      <c r="C2644" t="s">
        <v>3115</v>
      </c>
      <c r="D2644">
        <v>199.99</v>
      </c>
    </row>
    <row r="2645" spans="1:4">
      <c r="A2645" t="s">
        <v>40</v>
      </c>
      <c r="B2645" t="s">
        <v>2980</v>
      </c>
      <c r="C2645" t="s">
        <v>3116</v>
      </c>
      <c r="D2645">
        <v>134.99</v>
      </c>
    </row>
    <row r="2646" spans="1:4">
      <c r="A2646" t="s">
        <v>40</v>
      </c>
      <c r="B2646" t="s">
        <v>2983</v>
      </c>
      <c r="C2646" t="s">
        <v>3117</v>
      </c>
      <c r="D2646">
        <v>114.93</v>
      </c>
    </row>
    <row r="2647" spans="1:4">
      <c r="A2647" t="s">
        <v>40</v>
      </c>
      <c r="B2647" t="s">
        <v>3014</v>
      </c>
      <c r="C2647" t="s">
        <v>3118</v>
      </c>
      <c r="D2647">
        <v>109.99</v>
      </c>
    </row>
    <row r="2648" spans="1:4">
      <c r="A2648" t="s">
        <v>40</v>
      </c>
      <c r="B2648" t="s">
        <v>3006</v>
      </c>
      <c r="C2648" t="s">
        <v>3119</v>
      </c>
      <c r="D2648">
        <v>375</v>
      </c>
    </row>
    <row r="2649" spans="1:4">
      <c r="A2649" t="s">
        <v>40</v>
      </c>
      <c r="B2649" t="s">
        <v>2980</v>
      </c>
      <c r="C2649" t="s">
        <v>3120</v>
      </c>
      <c r="D2649">
        <v>345.99</v>
      </c>
    </row>
    <row r="2650" spans="1:4">
      <c r="A2650" t="s">
        <v>40</v>
      </c>
      <c r="B2650" t="s">
        <v>3121</v>
      </c>
      <c r="C2650" t="s">
        <v>3122</v>
      </c>
      <c r="D2650">
        <v>99.99</v>
      </c>
    </row>
    <row r="2651" spans="1:4">
      <c r="A2651" t="s">
        <v>40</v>
      </c>
      <c r="B2651" t="s">
        <v>2983</v>
      </c>
      <c r="C2651" t="s">
        <v>3123</v>
      </c>
      <c r="D2651">
        <v>149.85</v>
      </c>
    </row>
    <row r="2652" spans="1:4">
      <c r="A2652" t="s">
        <v>40</v>
      </c>
      <c r="B2652" t="s">
        <v>2983</v>
      </c>
      <c r="C2652" t="s">
        <v>3124</v>
      </c>
      <c r="D2652">
        <v>249.99</v>
      </c>
    </row>
    <row r="2653" spans="1:4">
      <c r="A2653" t="s">
        <v>40</v>
      </c>
      <c r="B2653" t="s">
        <v>2980</v>
      </c>
      <c r="C2653" t="s">
        <v>3125</v>
      </c>
      <c r="D2653">
        <v>89.99</v>
      </c>
    </row>
    <row r="2654" spans="1:4">
      <c r="A2654" t="s">
        <v>40</v>
      </c>
      <c r="B2654" t="s">
        <v>2983</v>
      </c>
      <c r="C2654" t="s">
        <v>3126</v>
      </c>
      <c r="D2654">
        <v>299.99</v>
      </c>
    </row>
    <row r="2655" spans="1:4">
      <c r="A2655" t="s">
        <v>40</v>
      </c>
      <c r="B2655" t="s">
        <v>2983</v>
      </c>
      <c r="C2655" t="s">
        <v>3127</v>
      </c>
      <c r="D2655">
        <v>179.99</v>
      </c>
    </row>
    <row r="2656" spans="1:4">
      <c r="A2656" t="s">
        <v>40</v>
      </c>
      <c r="B2656" t="s">
        <v>2980</v>
      </c>
      <c r="C2656" t="s">
        <v>3128</v>
      </c>
      <c r="D2656">
        <v>129.99</v>
      </c>
    </row>
    <row r="2657" spans="1:4">
      <c r="A2657" t="s">
        <v>40</v>
      </c>
      <c r="B2657" t="s">
        <v>2980</v>
      </c>
      <c r="C2657" t="s">
        <v>3129</v>
      </c>
      <c r="D2657">
        <v>169.99</v>
      </c>
    </row>
    <row r="2658" spans="1:4">
      <c r="A2658" t="s">
        <v>40</v>
      </c>
      <c r="B2658" t="s">
        <v>2983</v>
      </c>
      <c r="C2658" t="s">
        <v>3130</v>
      </c>
      <c r="D2658">
        <v>279.99</v>
      </c>
    </row>
    <row r="2659" spans="1:4">
      <c r="A2659" t="s">
        <v>40</v>
      </c>
      <c r="B2659" t="s">
        <v>3081</v>
      </c>
      <c r="C2659" t="s">
        <v>3131</v>
      </c>
      <c r="D2659">
        <v>189.99</v>
      </c>
    </row>
    <row r="2660" spans="1:4">
      <c r="A2660" t="s">
        <v>40</v>
      </c>
      <c r="B2660" t="s">
        <v>2983</v>
      </c>
      <c r="C2660" t="s">
        <v>3132</v>
      </c>
      <c r="D2660">
        <v>110</v>
      </c>
    </row>
    <row r="2661" spans="1:4">
      <c r="A2661" t="s">
        <v>40</v>
      </c>
      <c r="B2661" t="s">
        <v>2980</v>
      </c>
      <c r="C2661" t="s">
        <v>3133</v>
      </c>
      <c r="D2661">
        <v>229.99</v>
      </c>
    </row>
    <row r="2662" spans="1:4">
      <c r="A2662" t="s">
        <v>40</v>
      </c>
      <c r="B2662" t="s">
        <v>2980</v>
      </c>
      <c r="C2662" t="s">
        <v>3134</v>
      </c>
      <c r="D2662">
        <v>259.99</v>
      </c>
    </row>
    <row r="2663" spans="1:4">
      <c r="A2663" t="s">
        <v>40</v>
      </c>
      <c r="B2663" t="s">
        <v>3006</v>
      </c>
      <c r="C2663" t="s">
        <v>3080</v>
      </c>
      <c r="D2663">
        <v>139.99</v>
      </c>
    </row>
    <row r="2664" spans="1:4">
      <c r="A2664" t="s">
        <v>40</v>
      </c>
      <c r="B2664" t="s">
        <v>2980</v>
      </c>
      <c r="C2664" t="s">
        <v>3135</v>
      </c>
      <c r="D2664">
        <v>133.19</v>
      </c>
    </row>
    <row r="2665" spans="1:4">
      <c r="A2665" t="s">
        <v>40</v>
      </c>
      <c r="B2665" t="s">
        <v>3081</v>
      </c>
      <c r="C2665" t="s">
        <v>3136</v>
      </c>
      <c r="D2665">
        <v>159.99</v>
      </c>
    </row>
    <row r="2666" spans="1:4">
      <c r="A2666" t="s">
        <v>40</v>
      </c>
      <c r="B2666" t="s">
        <v>2980</v>
      </c>
      <c r="C2666" t="s">
        <v>3137</v>
      </c>
      <c r="D2666">
        <v>299.99</v>
      </c>
    </row>
    <row r="2667" spans="1:4">
      <c r="A2667" t="s">
        <v>40</v>
      </c>
      <c r="B2667" t="s">
        <v>3014</v>
      </c>
      <c r="C2667" t="s">
        <v>3138</v>
      </c>
      <c r="D2667">
        <v>106.99</v>
      </c>
    </row>
    <row r="2668" spans="1:4">
      <c r="A2668" t="s">
        <v>40</v>
      </c>
      <c r="B2668" t="s">
        <v>2983</v>
      </c>
      <c r="C2668" t="s">
        <v>3139</v>
      </c>
      <c r="D2668">
        <v>199.99</v>
      </c>
    </row>
    <row r="2669" spans="1:4">
      <c r="A2669" t="s">
        <v>40</v>
      </c>
      <c r="B2669" t="s">
        <v>3081</v>
      </c>
      <c r="C2669" t="s">
        <v>3140</v>
      </c>
      <c r="D2669">
        <v>224.99</v>
      </c>
    </row>
    <row r="2670" spans="1:4">
      <c r="A2670" t="s">
        <v>40</v>
      </c>
      <c r="B2670" t="s">
        <v>3030</v>
      </c>
      <c r="C2670" t="s">
        <v>3141</v>
      </c>
      <c r="D2670">
        <v>449.99</v>
      </c>
    </row>
    <row r="2671" spans="1:4">
      <c r="A2671" t="s">
        <v>40</v>
      </c>
      <c r="B2671" t="s">
        <v>523</v>
      </c>
      <c r="C2671" t="s">
        <v>3142</v>
      </c>
      <c r="D2671">
        <v>149</v>
      </c>
    </row>
    <row r="2672" spans="1:4">
      <c r="A2672" t="s">
        <v>40</v>
      </c>
      <c r="B2672" t="s">
        <v>2980</v>
      </c>
      <c r="C2672" t="s">
        <v>3143</v>
      </c>
      <c r="D2672">
        <v>179.99</v>
      </c>
    </row>
    <row r="2673" spans="1:4">
      <c r="A2673" t="s">
        <v>40</v>
      </c>
      <c r="B2673" t="s">
        <v>2983</v>
      </c>
      <c r="C2673" t="s">
        <v>3144</v>
      </c>
      <c r="D2673">
        <v>164.99</v>
      </c>
    </row>
    <row r="2674" spans="1:4">
      <c r="A2674" t="s">
        <v>40</v>
      </c>
      <c r="B2674" t="s">
        <v>2983</v>
      </c>
      <c r="C2674" t="s">
        <v>3145</v>
      </c>
      <c r="D2674">
        <v>141.11000000000001</v>
      </c>
    </row>
    <row r="2675" spans="1:4">
      <c r="A2675" t="s">
        <v>40</v>
      </c>
      <c r="B2675" t="s">
        <v>3006</v>
      </c>
      <c r="C2675" t="s">
        <v>3146</v>
      </c>
      <c r="D2675">
        <v>169.99</v>
      </c>
    </row>
    <row r="2676" spans="1:4">
      <c r="A2676" t="s">
        <v>40</v>
      </c>
      <c r="B2676" t="s">
        <v>3081</v>
      </c>
      <c r="C2676" t="s">
        <v>3147</v>
      </c>
      <c r="D2676">
        <v>74.989999999999995</v>
      </c>
    </row>
    <row r="2677" spans="1:4">
      <c r="A2677" t="s">
        <v>40</v>
      </c>
      <c r="B2677" t="s">
        <v>2980</v>
      </c>
      <c r="C2677" t="s">
        <v>3148</v>
      </c>
      <c r="D2677">
        <v>159.99</v>
      </c>
    </row>
    <row r="2678" spans="1:4">
      <c r="A2678" t="s">
        <v>40</v>
      </c>
      <c r="B2678" t="s">
        <v>3149</v>
      </c>
      <c r="C2678" t="s">
        <v>3150</v>
      </c>
      <c r="D2678">
        <v>399.99</v>
      </c>
    </row>
    <row r="2679" spans="1:4">
      <c r="A2679" t="s">
        <v>40</v>
      </c>
      <c r="B2679" t="s">
        <v>2980</v>
      </c>
      <c r="C2679" t="s">
        <v>3151</v>
      </c>
      <c r="D2679">
        <v>264.99</v>
      </c>
    </row>
    <row r="2680" spans="1:4">
      <c r="A2680" t="s">
        <v>40</v>
      </c>
      <c r="B2680" t="s">
        <v>2983</v>
      </c>
      <c r="C2680" t="s">
        <v>3152</v>
      </c>
      <c r="D2680">
        <v>159.99</v>
      </c>
    </row>
    <row r="2681" spans="1:4">
      <c r="A2681" t="s">
        <v>40</v>
      </c>
      <c r="B2681" t="s">
        <v>2983</v>
      </c>
      <c r="C2681" t="s">
        <v>3153</v>
      </c>
      <c r="D2681">
        <v>204.9</v>
      </c>
    </row>
    <row r="2682" spans="1:4">
      <c r="A2682" t="s">
        <v>40</v>
      </c>
      <c r="B2682" t="s">
        <v>2983</v>
      </c>
      <c r="C2682" t="s">
        <v>3154</v>
      </c>
      <c r="D2682">
        <v>164.99</v>
      </c>
    </row>
    <row r="2683" spans="1:4">
      <c r="A2683" t="s">
        <v>40</v>
      </c>
      <c r="B2683" t="s">
        <v>505</v>
      </c>
      <c r="C2683" t="s">
        <v>3155</v>
      </c>
      <c r="D2683">
        <v>148.76</v>
      </c>
    </row>
    <row r="2684" spans="1:4">
      <c r="A2684" t="s">
        <v>40</v>
      </c>
      <c r="B2684" t="s">
        <v>2983</v>
      </c>
      <c r="C2684" t="s">
        <v>3156</v>
      </c>
      <c r="D2684">
        <v>129.99</v>
      </c>
    </row>
    <row r="2685" spans="1:4">
      <c r="A2685" t="s">
        <v>40</v>
      </c>
      <c r="B2685" t="s">
        <v>3006</v>
      </c>
      <c r="C2685" t="s">
        <v>3157</v>
      </c>
      <c r="D2685">
        <v>124.99</v>
      </c>
    </row>
    <row r="2686" spans="1:4">
      <c r="A2686" t="s">
        <v>40</v>
      </c>
      <c r="B2686" t="s">
        <v>2983</v>
      </c>
      <c r="C2686" t="s">
        <v>3158</v>
      </c>
      <c r="D2686">
        <v>249.99</v>
      </c>
    </row>
    <row r="2687" spans="1:4">
      <c r="A2687" t="s">
        <v>40</v>
      </c>
      <c r="B2687" t="s">
        <v>3006</v>
      </c>
      <c r="C2687" t="s">
        <v>3159</v>
      </c>
      <c r="D2687">
        <v>299.99</v>
      </c>
    </row>
    <row r="2688" spans="1:4">
      <c r="A2688" t="s">
        <v>40</v>
      </c>
      <c r="B2688" t="s">
        <v>2983</v>
      </c>
      <c r="C2688" t="s">
        <v>3160</v>
      </c>
      <c r="D2688">
        <v>109.99</v>
      </c>
    </row>
    <row r="2689" spans="1:4">
      <c r="A2689" t="s">
        <v>40</v>
      </c>
      <c r="B2689" t="s">
        <v>2980</v>
      </c>
      <c r="C2689" t="s">
        <v>3161</v>
      </c>
      <c r="D2689">
        <v>159.99</v>
      </c>
    </row>
    <row r="2690" spans="1:4">
      <c r="A2690" t="s">
        <v>40</v>
      </c>
      <c r="B2690" t="s">
        <v>3107</v>
      </c>
      <c r="C2690" t="s">
        <v>3136</v>
      </c>
      <c r="D2690">
        <v>149.99</v>
      </c>
    </row>
    <row r="2691" spans="1:4">
      <c r="A2691" t="s">
        <v>40</v>
      </c>
      <c r="B2691" t="s">
        <v>2980</v>
      </c>
      <c r="C2691" t="s">
        <v>3162</v>
      </c>
      <c r="D2691">
        <v>65</v>
      </c>
    </row>
    <row r="2692" spans="1:4">
      <c r="A2692" t="s">
        <v>40</v>
      </c>
      <c r="B2692" t="s">
        <v>2980</v>
      </c>
      <c r="C2692" t="s">
        <v>3163</v>
      </c>
      <c r="D2692">
        <v>229.99</v>
      </c>
    </row>
    <row r="2693" spans="1:4">
      <c r="A2693" t="s">
        <v>40</v>
      </c>
      <c r="B2693" t="s">
        <v>3006</v>
      </c>
      <c r="C2693" t="s">
        <v>3164</v>
      </c>
      <c r="D2693">
        <v>179.99</v>
      </c>
    </row>
    <row r="2694" spans="1:4">
      <c r="A2694" t="s">
        <v>40</v>
      </c>
      <c r="B2694" t="s">
        <v>2983</v>
      </c>
      <c r="C2694" t="s">
        <v>3165</v>
      </c>
      <c r="D2694">
        <v>221.75</v>
      </c>
    </row>
    <row r="2695" spans="1:4">
      <c r="A2695" t="s">
        <v>40</v>
      </c>
      <c r="B2695" t="s">
        <v>3039</v>
      </c>
      <c r="C2695" t="s">
        <v>3166</v>
      </c>
      <c r="D2695">
        <v>180.95</v>
      </c>
    </row>
    <row r="2696" spans="1:4">
      <c r="A2696" t="s">
        <v>40</v>
      </c>
      <c r="B2696" t="s">
        <v>505</v>
      </c>
      <c r="C2696" t="s">
        <v>3167</v>
      </c>
      <c r="D2696">
        <v>109.79</v>
      </c>
    </row>
    <row r="2697" spans="1:4">
      <c r="A2697" t="s">
        <v>40</v>
      </c>
      <c r="B2697" t="s">
        <v>3006</v>
      </c>
      <c r="C2697" t="s">
        <v>3168</v>
      </c>
      <c r="D2697">
        <v>129.99</v>
      </c>
    </row>
    <row r="2698" spans="1:4">
      <c r="A2698" t="s">
        <v>40</v>
      </c>
      <c r="B2698" t="s">
        <v>2980</v>
      </c>
      <c r="C2698" t="s">
        <v>3169</v>
      </c>
      <c r="D2698">
        <v>150</v>
      </c>
    </row>
    <row r="2699" spans="1:4">
      <c r="A2699" t="s">
        <v>40</v>
      </c>
      <c r="B2699" t="s">
        <v>2980</v>
      </c>
      <c r="C2699" t="s">
        <v>3170</v>
      </c>
      <c r="D2699">
        <v>181.98</v>
      </c>
    </row>
    <row r="2700" spans="1:4">
      <c r="A2700" t="s">
        <v>40</v>
      </c>
      <c r="B2700" t="s">
        <v>3171</v>
      </c>
      <c r="C2700" t="s">
        <v>3172</v>
      </c>
      <c r="D2700">
        <v>109.99</v>
      </c>
    </row>
    <row r="2701" spans="1:4">
      <c r="A2701" t="s">
        <v>40</v>
      </c>
      <c r="B2701" t="s">
        <v>2983</v>
      </c>
      <c r="C2701" t="s">
        <v>3173</v>
      </c>
      <c r="D2701">
        <v>114.99</v>
      </c>
    </row>
    <row r="2702" spans="1:4">
      <c r="A2702" t="s">
        <v>40</v>
      </c>
      <c r="B2702" t="s">
        <v>2983</v>
      </c>
      <c r="C2702" t="s">
        <v>3174</v>
      </c>
      <c r="D2702">
        <v>149.99</v>
      </c>
    </row>
    <row r="2703" spans="1:4">
      <c r="A2703" t="s">
        <v>40</v>
      </c>
      <c r="B2703" t="s">
        <v>3175</v>
      </c>
      <c r="C2703" t="s">
        <v>3176</v>
      </c>
      <c r="D2703">
        <v>89.99</v>
      </c>
    </row>
    <row r="2704" spans="1:4">
      <c r="A2704" t="s">
        <v>40</v>
      </c>
      <c r="B2704" t="s">
        <v>2983</v>
      </c>
      <c r="C2704" t="s">
        <v>3177</v>
      </c>
      <c r="D2704">
        <v>199.99</v>
      </c>
    </row>
    <row r="2705" spans="1:4">
      <c r="A2705" t="s">
        <v>40</v>
      </c>
      <c r="B2705" t="s">
        <v>3006</v>
      </c>
      <c r="C2705" t="s">
        <v>3178</v>
      </c>
      <c r="D2705">
        <v>100</v>
      </c>
    </row>
    <row r="2706" spans="1:4">
      <c r="A2706" t="s">
        <v>40</v>
      </c>
      <c r="B2706" t="s">
        <v>3030</v>
      </c>
      <c r="C2706" t="s">
        <v>3179</v>
      </c>
      <c r="D2706">
        <v>249.99</v>
      </c>
    </row>
    <row r="2707" spans="1:4">
      <c r="A2707" t="s">
        <v>40</v>
      </c>
      <c r="B2707" t="s">
        <v>3180</v>
      </c>
      <c r="C2707" t="s">
        <v>3181</v>
      </c>
      <c r="D2707">
        <v>88.79</v>
      </c>
    </row>
    <row r="2708" spans="1:4">
      <c r="A2708" t="s">
        <v>40</v>
      </c>
      <c r="B2708" t="s">
        <v>2983</v>
      </c>
      <c r="C2708" t="s">
        <v>3182</v>
      </c>
      <c r="D2708">
        <v>129.99</v>
      </c>
    </row>
    <row r="2709" spans="1:4">
      <c r="A2709" t="s">
        <v>40</v>
      </c>
      <c r="B2709" t="s">
        <v>2980</v>
      </c>
      <c r="C2709" t="s">
        <v>3183</v>
      </c>
      <c r="D2709">
        <v>124.99</v>
      </c>
    </row>
    <row r="2710" spans="1:4">
      <c r="A2710" t="s">
        <v>40</v>
      </c>
      <c r="B2710" t="s">
        <v>3184</v>
      </c>
      <c r="C2710" t="s">
        <v>3185</v>
      </c>
      <c r="D2710">
        <v>94.99</v>
      </c>
    </row>
    <row r="2711" spans="1:4">
      <c r="A2711" t="s">
        <v>40</v>
      </c>
      <c r="B2711" t="s">
        <v>2980</v>
      </c>
      <c r="C2711" t="s">
        <v>3186</v>
      </c>
      <c r="D2711">
        <v>279.99</v>
      </c>
    </row>
    <row r="2712" spans="1:4">
      <c r="A2712" t="s">
        <v>40</v>
      </c>
      <c r="B2712" t="s">
        <v>2980</v>
      </c>
      <c r="C2712" t="s">
        <v>3187</v>
      </c>
      <c r="D2712">
        <v>124.99</v>
      </c>
    </row>
    <row r="2713" spans="1:4">
      <c r="A2713" t="s">
        <v>40</v>
      </c>
      <c r="B2713" t="s">
        <v>2983</v>
      </c>
      <c r="C2713" t="s">
        <v>3188</v>
      </c>
      <c r="D2713">
        <v>134.99</v>
      </c>
    </row>
    <row r="2714" spans="1:4">
      <c r="A2714" t="s">
        <v>40</v>
      </c>
      <c r="B2714" t="s">
        <v>3006</v>
      </c>
      <c r="C2714" t="s">
        <v>3189</v>
      </c>
      <c r="D2714">
        <v>124.99</v>
      </c>
    </row>
    <row r="2715" spans="1:4">
      <c r="A2715" t="s">
        <v>40</v>
      </c>
      <c r="B2715" t="s">
        <v>3006</v>
      </c>
      <c r="C2715" t="s">
        <v>3190</v>
      </c>
      <c r="D2715">
        <v>389.99</v>
      </c>
    </row>
    <row r="2716" spans="1:4">
      <c r="A2716" t="s">
        <v>40</v>
      </c>
      <c r="B2716" t="s">
        <v>3014</v>
      </c>
      <c r="C2716" t="s">
        <v>3191</v>
      </c>
      <c r="D2716">
        <v>130.99</v>
      </c>
    </row>
    <row r="2717" spans="1:4">
      <c r="A2717" t="s">
        <v>40</v>
      </c>
      <c r="B2717" t="s">
        <v>2977</v>
      </c>
      <c r="C2717" t="s">
        <v>3192</v>
      </c>
      <c r="D2717">
        <v>94.99</v>
      </c>
    </row>
    <row r="2718" spans="1:4">
      <c r="A2718" t="s">
        <v>40</v>
      </c>
      <c r="B2718" t="s">
        <v>2983</v>
      </c>
      <c r="C2718" t="s">
        <v>3193</v>
      </c>
      <c r="D2718">
        <v>129.99</v>
      </c>
    </row>
    <row r="2719" spans="1:4">
      <c r="A2719" t="s">
        <v>40</v>
      </c>
      <c r="B2719" t="s">
        <v>3006</v>
      </c>
      <c r="C2719" t="s">
        <v>3194</v>
      </c>
      <c r="D2719">
        <v>159.99</v>
      </c>
    </row>
    <row r="2720" spans="1:4">
      <c r="A2720" t="s">
        <v>40</v>
      </c>
      <c r="B2720" t="s">
        <v>2980</v>
      </c>
      <c r="C2720" t="s">
        <v>3195</v>
      </c>
      <c r="D2720">
        <v>181</v>
      </c>
    </row>
    <row r="2721" spans="1:4">
      <c r="A2721" t="s">
        <v>40</v>
      </c>
      <c r="B2721" t="s">
        <v>3039</v>
      </c>
      <c r="C2721" t="s">
        <v>3196</v>
      </c>
      <c r="D2721">
        <v>136.94999999999999</v>
      </c>
    </row>
    <row r="2722" spans="1:4">
      <c r="A2722" t="s">
        <v>40</v>
      </c>
      <c r="B2722" t="s">
        <v>3006</v>
      </c>
      <c r="C2722" t="s">
        <v>3197</v>
      </c>
      <c r="D2722">
        <v>99.99</v>
      </c>
    </row>
    <row r="2723" spans="1:4">
      <c r="A2723" t="s">
        <v>40</v>
      </c>
      <c r="B2723" t="s">
        <v>2983</v>
      </c>
      <c r="C2723" t="s">
        <v>3198</v>
      </c>
      <c r="D2723">
        <v>399.95</v>
      </c>
    </row>
    <row r="2724" spans="1:4">
      <c r="A2724" t="s">
        <v>40</v>
      </c>
      <c r="B2724" t="s">
        <v>2983</v>
      </c>
      <c r="C2724" t="s">
        <v>3199</v>
      </c>
      <c r="D2724">
        <v>141.11000000000001</v>
      </c>
    </row>
    <row r="2725" spans="1:4">
      <c r="A2725" t="s">
        <v>40</v>
      </c>
      <c r="B2725" t="s">
        <v>2983</v>
      </c>
      <c r="C2725" t="s">
        <v>3200</v>
      </c>
      <c r="D2725">
        <v>179.99</v>
      </c>
    </row>
    <row r="2726" spans="1:4">
      <c r="A2726" t="s">
        <v>40</v>
      </c>
      <c r="B2726" t="s">
        <v>3201</v>
      </c>
      <c r="C2726" t="s">
        <v>3202</v>
      </c>
      <c r="D2726">
        <v>119.99</v>
      </c>
    </row>
    <row r="2727" spans="1:4">
      <c r="A2727" t="s">
        <v>40</v>
      </c>
      <c r="B2727" t="s">
        <v>3006</v>
      </c>
      <c r="C2727" t="s">
        <v>3203</v>
      </c>
      <c r="D2727">
        <v>180</v>
      </c>
    </row>
    <row r="2728" spans="1:4">
      <c r="A2728" t="s">
        <v>40</v>
      </c>
      <c r="B2728" t="s">
        <v>3006</v>
      </c>
      <c r="C2728" t="s">
        <v>3204</v>
      </c>
      <c r="D2728">
        <v>159.99</v>
      </c>
    </row>
    <row r="2729" spans="1:4">
      <c r="A2729" t="s">
        <v>40</v>
      </c>
      <c r="B2729" t="s">
        <v>2983</v>
      </c>
      <c r="C2729" t="s">
        <v>3205</v>
      </c>
      <c r="D2729">
        <v>89.99</v>
      </c>
    </row>
    <row r="2730" spans="1:4">
      <c r="A2730" t="s">
        <v>40</v>
      </c>
      <c r="B2730" t="s">
        <v>2983</v>
      </c>
      <c r="C2730" t="s">
        <v>3206</v>
      </c>
      <c r="D2730">
        <v>199.99</v>
      </c>
    </row>
    <row r="2731" spans="1:4">
      <c r="A2731" t="s">
        <v>40</v>
      </c>
      <c r="B2731" t="s">
        <v>2980</v>
      </c>
      <c r="C2731" t="s">
        <v>3207</v>
      </c>
      <c r="D2731">
        <v>134.99</v>
      </c>
    </row>
    <row r="2732" spans="1:4">
      <c r="A2732" t="s">
        <v>40</v>
      </c>
      <c r="B2732" t="s">
        <v>2980</v>
      </c>
      <c r="C2732" t="s">
        <v>3208</v>
      </c>
      <c r="D2732">
        <v>170</v>
      </c>
    </row>
    <row r="2733" spans="1:4">
      <c r="A2733" t="s">
        <v>40</v>
      </c>
      <c r="B2733" t="s">
        <v>2980</v>
      </c>
      <c r="C2733" t="s">
        <v>3209</v>
      </c>
      <c r="D2733">
        <v>209.99</v>
      </c>
    </row>
    <row r="2734" spans="1:4">
      <c r="A2734" t="s">
        <v>40</v>
      </c>
      <c r="B2734" t="s">
        <v>3014</v>
      </c>
      <c r="C2734" t="s">
        <v>3210</v>
      </c>
      <c r="D2734">
        <v>169.5</v>
      </c>
    </row>
    <row r="2735" spans="1:4">
      <c r="A2735" t="s">
        <v>40</v>
      </c>
      <c r="B2735" t="s">
        <v>2983</v>
      </c>
      <c r="C2735" t="s">
        <v>3211</v>
      </c>
      <c r="D2735">
        <v>239.95</v>
      </c>
    </row>
    <row r="2736" spans="1:4">
      <c r="A2736" t="s">
        <v>40</v>
      </c>
      <c r="B2736" t="s">
        <v>2983</v>
      </c>
      <c r="C2736" t="s">
        <v>3212</v>
      </c>
      <c r="D2736">
        <v>189.99</v>
      </c>
    </row>
    <row r="2737" spans="1:4">
      <c r="A2737" t="s">
        <v>40</v>
      </c>
      <c r="B2737" t="s">
        <v>3107</v>
      </c>
      <c r="C2737" t="s">
        <v>3213</v>
      </c>
      <c r="D2737">
        <v>479.99</v>
      </c>
    </row>
    <row r="2738" spans="1:4">
      <c r="A2738" t="s">
        <v>40</v>
      </c>
      <c r="B2738" t="s">
        <v>2980</v>
      </c>
      <c r="C2738" t="s">
        <v>3214</v>
      </c>
      <c r="D2738">
        <v>129.99</v>
      </c>
    </row>
    <row r="2739" spans="1:4">
      <c r="A2739" t="s">
        <v>40</v>
      </c>
      <c r="B2739" t="s">
        <v>3006</v>
      </c>
      <c r="C2739" t="s">
        <v>3215</v>
      </c>
      <c r="D2739">
        <v>139.99</v>
      </c>
    </row>
    <row r="2740" spans="1:4">
      <c r="A2740" t="s">
        <v>40</v>
      </c>
      <c r="B2740" t="s">
        <v>2980</v>
      </c>
      <c r="C2740" t="s">
        <v>3094</v>
      </c>
      <c r="D2740">
        <v>329.99</v>
      </c>
    </row>
    <row r="2741" spans="1:4">
      <c r="A2741" t="s">
        <v>40</v>
      </c>
      <c r="B2741" t="s">
        <v>2980</v>
      </c>
      <c r="C2741" t="s">
        <v>3071</v>
      </c>
      <c r="D2741">
        <v>131.99</v>
      </c>
    </row>
    <row r="2742" spans="1:4">
      <c r="A2742" t="s">
        <v>40</v>
      </c>
      <c r="B2742" t="s">
        <v>3006</v>
      </c>
      <c r="C2742" t="s">
        <v>3216</v>
      </c>
      <c r="D2742">
        <v>399.99</v>
      </c>
    </row>
    <row r="2743" spans="1:4">
      <c r="A2743" t="s">
        <v>40</v>
      </c>
      <c r="B2743" t="s">
        <v>3006</v>
      </c>
      <c r="C2743" t="s">
        <v>3217</v>
      </c>
      <c r="D2743">
        <v>215.99</v>
      </c>
    </row>
    <row r="2744" spans="1:4">
      <c r="A2744" t="s">
        <v>40</v>
      </c>
      <c r="B2744" t="s">
        <v>1337</v>
      </c>
      <c r="C2744" t="s">
        <v>3218</v>
      </c>
      <c r="D2744">
        <v>209.99</v>
      </c>
    </row>
    <row r="2745" spans="1:4">
      <c r="A2745" t="s">
        <v>40</v>
      </c>
      <c r="B2745" t="s">
        <v>3030</v>
      </c>
      <c r="C2745" t="s">
        <v>3219</v>
      </c>
      <c r="D2745">
        <v>425</v>
      </c>
    </row>
    <row r="2746" spans="1:4">
      <c r="A2746" t="s">
        <v>40</v>
      </c>
      <c r="B2746" t="s">
        <v>3006</v>
      </c>
      <c r="C2746" t="s">
        <v>3220</v>
      </c>
      <c r="D2746">
        <v>180.49</v>
      </c>
    </row>
    <row r="2747" spans="1:4">
      <c r="A2747" t="s">
        <v>40</v>
      </c>
      <c r="B2747" t="s">
        <v>2983</v>
      </c>
      <c r="C2747" t="s">
        <v>3221</v>
      </c>
      <c r="D2747">
        <v>319.99</v>
      </c>
    </row>
    <row r="2748" spans="1:4">
      <c r="A2748" t="s">
        <v>40</v>
      </c>
      <c r="B2748" t="s">
        <v>3006</v>
      </c>
      <c r="C2748" t="s">
        <v>3222</v>
      </c>
      <c r="D2748">
        <v>429.99</v>
      </c>
    </row>
    <row r="2749" spans="1:4">
      <c r="A2749" t="s">
        <v>40</v>
      </c>
      <c r="B2749" t="s">
        <v>2980</v>
      </c>
      <c r="C2749" t="s">
        <v>3223</v>
      </c>
      <c r="D2749">
        <v>214.99</v>
      </c>
    </row>
    <row r="2750" spans="1:4">
      <c r="A2750" t="s">
        <v>40</v>
      </c>
      <c r="B2750" t="s">
        <v>2980</v>
      </c>
      <c r="C2750" t="s">
        <v>3224</v>
      </c>
      <c r="D2750">
        <v>279.99</v>
      </c>
    </row>
    <row r="2751" spans="1:4">
      <c r="A2751" t="s">
        <v>40</v>
      </c>
      <c r="B2751" t="s">
        <v>2980</v>
      </c>
      <c r="C2751" t="s">
        <v>3225</v>
      </c>
      <c r="D2751">
        <v>149.99</v>
      </c>
    </row>
    <row r="2752" spans="1:4">
      <c r="A2752" t="s">
        <v>40</v>
      </c>
      <c r="B2752" t="s">
        <v>2983</v>
      </c>
      <c r="C2752" t="s">
        <v>3226</v>
      </c>
      <c r="D2752">
        <v>399.99</v>
      </c>
    </row>
    <row r="2753" spans="1:4">
      <c r="A2753" t="s">
        <v>40</v>
      </c>
      <c r="B2753" t="s">
        <v>2980</v>
      </c>
      <c r="C2753" t="s">
        <v>3227</v>
      </c>
      <c r="D2753">
        <v>149.99</v>
      </c>
    </row>
    <row r="2754" spans="1:4">
      <c r="A2754" t="s">
        <v>40</v>
      </c>
      <c r="B2754" t="s">
        <v>2983</v>
      </c>
      <c r="C2754" t="s">
        <v>3228</v>
      </c>
      <c r="D2754">
        <v>369.95</v>
      </c>
    </row>
    <row r="2755" spans="1:4">
      <c r="A2755" t="s">
        <v>40</v>
      </c>
      <c r="B2755" t="s">
        <v>2983</v>
      </c>
      <c r="C2755" t="s">
        <v>3182</v>
      </c>
      <c r="D2755">
        <v>119.99</v>
      </c>
    </row>
    <row r="2756" spans="1:4">
      <c r="A2756" t="s">
        <v>40</v>
      </c>
      <c r="B2756" t="s">
        <v>2988</v>
      </c>
      <c r="C2756" t="s">
        <v>3229</v>
      </c>
      <c r="D2756">
        <v>199.98</v>
      </c>
    </row>
    <row r="2757" spans="1:4">
      <c r="A2757" t="s">
        <v>40</v>
      </c>
      <c r="B2757" t="s">
        <v>3006</v>
      </c>
      <c r="C2757" t="s">
        <v>3230</v>
      </c>
      <c r="D2757">
        <v>129.99</v>
      </c>
    </row>
    <row r="2758" spans="1:4">
      <c r="A2758" t="s">
        <v>40</v>
      </c>
      <c r="B2758" t="s">
        <v>2980</v>
      </c>
      <c r="C2758" t="s">
        <v>3231</v>
      </c>
      <c r="D2758">
        <v>184.99</v>
      </c>
    </row>
    <row r="2759" spans="1:4">
      <c r="A2759" t="s">
        <v>40</v>
      </c>
      <c r="B2759" t="s">
        <v>2983</v>
      </c>
      <c r="C2759" t="s">
        <v>3232</v>
      </c>
      <c r="D2759">
        <v>899.99</v>
      </c>
    </row>
    <row r="2760" spans="1:4">
      <c r="A2760" t="s">
        <v>40</v>
      </c>
      <c r="B2760" t="s">
        <v>2980</v>
      </c>
      <c r="C2760" t="s">
        <v>3233</v>
      </c>
      <c r="D2760">
        <v>839.99</v>
      </c>
    </row>
    <row r="2761" spans="1:4">
      <c r="A2761" t="s">
        <v>40</v>
      </c>
      <c r="B2761" t="s">
        <v>2983</v>
      </c>
      <c r="C2761" t="s">
        <v>3234</v>
      </c>
      <c r="D2761">
        <v>161.27000000000001</v>
      </c>
    </row>
    <row r="2762" spans="1:4">
      <c r="A2762" t="s">
        <v>40</v>
      </c>
      <c r="B2762" t="s">
        <v>2983</v>
      </c>
      <c r="C2762" t="s">
        <v>3235</v>
      </c>
      <c r="D2762">
        <v>279.99</v>
      </c>
    </row>
    <row r="2763" spans="1:4">
      <c r="A2763" t="s">
        <v>40</v>
      </c>
      <c r="B2763" t="s">
        <v>3039</v>
      </c>
      <c r="C2763" t="s">
        <v>3236</v>
      </c>
      <c r="D2763">
        <v>489.3</v>
      </c>
    </row>
    <row r="2764" spans="1:4">
      <c r="A2764" t="s">
        <v>40</v>
      </c>
      <c r="B2764" t="s">
        <v>2983</v>
      </c>
      <c r="C2764" t="s">
        <v>3237</v>
      </c>
      <c r="D2764">
        <v>142.99</v>
      </c>
    </row>
    <row r="2765" spans="1:4">
      <c r="A2765" t="s">
        <v>40</v>
      </c>
      <c r="B2765" t="s">
        <v>2983</v>
      </c>
      <c r="C2765" t="s">
        <v>3238</v>
      </c>
      <c r="D2765">
        <v>419.99</v>
      </c>
    </row>
    <row r="2766" spans="1:4">
      <c r="A2766" t="s">
        <v>40</v>
      </c>
      <c r="B2766" t="s">
        <v>3239</v>
      </c>
      <c r="C2766" t="s">
        <v>3240</v>
      </c>
      <c r="D2766">
        <v>129.99</v>
      </c>
    </row>
    <row r="2767" spans="1:4">
      <c r="A2767" t="s">
        <v>40</v>
      </c>
      <c r="B2767" t="s">
        <v>3081</v>
      </c>
      <c r="C2767" t="s">
        <v>3241</v>
      </c>
      <c r="D2767">
        <v>395</v>
      </c>
    </row>
    <row r="2768" spans="1:4">
      <c r="A2768" t="s">
        <v>40</v>
      </c>
      <c r="B2768" t="s">
        <v>2983</v>
      </c>
      <c r="C2768" t="s">
        <v>3242</v>
      </c>
      <c r="D2768">
        <v>219.99</v>
      </c>
    </row>
    <row r="2769" spans="1:4">
      <c r="A2769" t="s">
        <v>40</v>
      </c>
      <c r="B2769" t="s">
        <v>3081</v>
      </c>
      <c r="C2769" t="s">
        <v>3243</v>
      </c>
      <c r="D2769">
        <v>100.79</v>
      </c>
    </row>
    <row r="2770" spans="1:4">
      <c r="A2770" t="s">
        <v>40</v>
      </c>
      <c r="B2770" t="s">
        <v>2980</v>
      </c>
      <c r="C2770" t="s">
        <v>3244</v>
      </c>
      <c r="D2770">
        <v>279.99</v>
      </c>
    </row>
    <row r="2771" spans="1:4">
      <c r="A2771" t="s">
        <v>40</v>
      </c>
      <c r="B2771" t="s">
        <v>3006</v>
      </c>
      <c r="C2771" t="s">
        <v>3245</v>
      </c>
      <c r="D2771">
        <v>179.99</v>
      </c>
    </row>
    <row r="2772" spans="1:4">
      <c r="A2772" t="s">
        <v>40</v>
      </c>
      <c r="B2772" t="s">
        <v>2983</v>
      </c>
      <c r="C2772" t="s">
        <v>3246</v>
      </c>
      <c r="D2772">
        <v>449.99</v>
      </c>
    </row>
    <row r="2773" spans="1:4">
      <c r="A2773" t="s">
        <v>40</v>
      </c>
      <c r="B2773" t="s">
        <v>2980</v>
      </c>
      <c r="C2773" t="s">
        <v>3247</v>
      </c>
      <c r="D2773">
        <v>299.99</v>
      </c>
    </row>
    <row r="2774" spans="1:4">
      <c r="A2774" t="s">
        <v>40</v>
      </c>
      <c r="B2774" t="s">
        <v>2980</v>
      </c>
      <c r="C2774" t="s">
        <v>3248</v>
      </c>
      <c r="D2774">
        <v>109.99</v>
      </c>
    </row>
    <row r="2775" spans="1:4">
      <c r="A2775" t="s">
        <v>40</v>
      </c>
      <c r="B2775" t="s">
        <v>3030</v>
      </c>
      <c r="C2775" t="s">
        <v>3249</v>
      </c>
      <c r="D2775">
        <v>375</v>
      </c>
    </row>
    <row r="2776" spans="1:4">
      <c r="A2776" t="s">
        <v>40</v>
      </c>
      <c r="B2776" t="s">
        <v>2980</v>
      </c>
      <c r="C2776" t="s">
        <v>3250</v>
      </c>
      <c r="D2776">
        <v>199.99</v>
      </c>
    </row>
    <row r="2777" spans="1:4">
      <c r="A2777" t="s">
        <v>40</v>
      </c>
      <c r="B2777" t="s">
        <v>3006</v>
      </c>
      <c r="C2777" t="s">
        <v>3251</v>
      </c>
      <c r="D2777">
        <v>449.99</v>
      </c>
    </row>
    <row r="2778" spans="1:4">
      <c r="A2778" t="s">
        <v>40</v>
      </c>
      <c r="B2778" t="s">
        <v>2980</v>
      </c>
      <c r="C2778" t="s">
        <v>3252</v>
      </c>
      <c r="D2778">
        <v>149.99</v>
      </c>
    </row>
    <row r="2779" spans="1:4">
      <c r="A2779" t="s">
        <v>40</v>
      </c>
      <c r="B2779" t="s">
        <v>2980</v>
      </c>
      <c r="C2779" t="s">
        <v>3224</v>
      </c>
      <c r="D2779">
        <v>259.95</v>
      </c>
    </row>
    <row r="2780" spans="1:4">
      <c r="A2780" t="s">
        <v>40</v>
      </c>
      <c r="B2780" t="s">
        <v>2980</v>
      </c>
      <c r="C2780" t="s">
        <v>3253</v>
      </c>
      <c r="D2780">
        <v>139.99</v>
      </c>
    </row>
    <row r="2781" spans="1:4">
      <c r="A2781" t="s">
        <v>40</v>
      </c>
      <c r="B2781" t="s">
        <v>2980</v>
      </c>
      <c r="C2781" t="s">
        <v>3254</v>
      </c>
      <c r="D2781">
        <v>285</v>
      </c>
    </row>
    <row r="2782" spans="1:4">
      <c r="A2782" t="s">
        <v>40</v>
      </c>
      <c r="B2782" t="s">
        <v>2980</v>
      </c>
      <c r="C2782" t="s">
        <v>3255</v>
      </c>
      <c r="D2782">
        <v>154.99</v>
      </c>
    </row>
    <row r="2783" spans="1:4">
      <c r="A2783" t="s">
        <v>40</v>
      </c>
      <c r="B2783" t="s">
        <v>2980</v>
      </c>
      <c r="C2783" t="s">
        <v>3256</v>
      </c>
      <c r="D2783">
        <v>169.99</v>
      </c>
    </row>
    <row r="2784" spans="1:4">
      <c r="A2784" t="s">
        <v>40</v>
      </c>
      <c r="B2784" t="s">
        <v>2983</v>
      </c>
      <c r="C2784" t="s">
        <v>3257</v>
      </c>
      <c r="D2784">
        <v>389.99</v>
      </c>
    </row>
    <row r="2785" spans="1:4">
      <c r="A2785" t="s">
        <v>40</v>
      </c>
      <c r="B2785" t="s">
        <v>2983</v>
      </c>
      <c r="C2785" t="s">
        <v>3258</v>
      </c>
      <c r="D2785">
        <v>279.99</v>
      </c>
    </row>
    <row r="2786" spans="1:4">
      <c r="A2786" t="s">
        <v>40</v>
      </c>
      <c r="B2786" t="s">
        <v>2980</v>
      </c>
      <c r="C2786" t="s">
        <v>3259</v>
      </c>
      <c r="D2786">
        <v>149.99</v>
      </c>
    </row>
    <row r="2787" spans="1:4">
      <c r="A2787" t="s">
        <v>40</v>
      </c>
      <c r="B2787" t="s">
        <v>2983</v>
      </c>
      <c r="C2787" t="s">
        <v>3260</v>
      </c>
      <c r="D2787">
        <v>181.43</v>
      </c>
    </row>
    <row r="2788" spans="1:4">
      <c r="A2788" t="s">
        <v>40</v>
      </c>
      <c r="B2788" t="s">
        <v>2980</v>
      </c>
      <c r="C2788" t="s">
        <v>3261</v>
      </c>
      <c r="D2788">
        <v>141</v>
      </c>
    </row>
    <row r="2789" spans="1:4">
      <c r="A2789" t="s">
        <v>40</v>
      </c>
      <c r="B2789" t="s">
        <v>2983</v>
      </c>
      <c r="C2789" t="s">
        <v>3262</v>
      </c>
      <c r="D2789">
        <v>134.99</v>
      </c>
    </row>
    <row r="2790" spans="1:4">
      <c r="A2790" t="s">
        <v>40</v>
      </c>
      <c r="B2790" t="s">
        <v>2980</v>
      </c>
      <c r="C2790" t="s">
        <v>3263</v>
      </c>
      <c r="D2790">
        <v>184.99</v>
      </c>
    </row>
    <row r="2791" spans="1:4">
      <c r="A2791" t="s">
        <v>40</v>
      </c>
      <c r="B2791" t="s">
        <v>3009</v>
      </c>
      <c r="C2791" t="s">
        <v>3264</v>
      </c>
      <c r="D2791">
        <v>179.99</v>
      </c>
    </row>
    <row r="2792" spans="1:4">
      <c r="A2792" t="s">
        <v>40</v>
      </c>
      <c r="B2792" t="s">
        <v>2983</v>
      </c>
      <c r="C2792" t="s">
        <v>3265</v>
      </c>
      <c r="D2792">
        <v>119.99</v>
      </c>
    </row>
    <row r="2793" spans="1:4">
      <c r="A2793" t="s">
        <v>40</v>
      </c>
      <c r="B2793" t="s">
        <v>2983</v>
      </c>
      <c r="C2793" t="s">
        <v>3266</v>
      </c>
      <c r="D2793">
        <v>499.95</v>
      </c>
    </row>
    <row r="2794" spans="1:4">
      <c r="A2794" t="s">
        <v>40</v>
      </c>
      <c r="B2794" t="s">
        <v>2983</v>
      </c>
      <c r="C2794" t="s">
        <v>3267</v>
      </c>
      <c r="D2794">
        <v>279.99</v>
      </c>
    </row>
    <row r="2795" spans="1:4">
      <c r="A2795" t="s">
        <v>40</v>
      </c>
      <c r="B2795" t="s">
        <v>2983</v>
      </c>
      <c r="C2795" t="s">
        <v>3268</v>
      </c>
      <c r="D2795">
        <v>279.79000000000002</v>
      </c>
    </row>
    <row r="2796" spans="1:4">
      <c r="A2796" t="s">
        <v>40</v>
      </c>
      <c r="B2796" t="s">
        <v>2983</v>
      </c>
      <c r="C2796" t="s">
        <v>3269</v>
      </c>
      <c r="D2796">
        <v>219.99</v>
      </c>
    </row>
    <row r="2797" spans="1:4">
      <c r="A2797" t="s">
        <v>40</v>
      </c>
      <c r="B2797" t="s">
        <v>2983</v>
      </c>
      <c r="C2797" t="s">
        <v>3270</v>
      </c>
      <c r="D2797">
        <v>129.99</v>
      </c>
    </row>
    <row r="2798" spans="1:4">
      <c r="A2798" t="s">
        <v>40</v>
      </c>
      <c r="B2798" t="s">
        <v>2980</v>
      </c>
      <c r="C2798" t="s">
        <v>3271</v>
      </c>
      <c r="D2798">
        <v>137.99</v>
      </c>
    </row>
    <row r="2799" spans="1:4">
      <c r="A2799" t="s">
        <v>40</v>
      </c>
      <c r="B2799" t="s">
        <v>2983</v>
      </c>
      <c r="C2799" t="s">
        <v>3272</v>
      </c>
      <c r="D2799">
        <v>119.99</v>
      </c>
    </row>
    <row r="2800" spans="1:4">
      <c r="A2800" t="s">
        <v>40</v>
      </c>
      <c r="B2800" t="s">
        <v>2983</v>
      </c>
      <c r="C2800" t="s">
        <v>3273</v>
      </c>
      <c r="D2800">
        <v>171.35</v>
      </c>
    </row>
    <row r="2801" spans="1:4">
      <c r="A2801" t="s">
        <v>40</v>
      </c>
      <c r="B2801" t="s">
        <v>3006</v>
      </c>
      <c r="C2801" t="s">
        <v>3274</v>
      </c>
      <c r="D2801">
        <v>73</v>
      </c>
    </row>
    <row r="2802" spans="1:4">
      <c r="A2802" t="s">
        <v>40</v>
      </c>
      <c r="B2802" t="s">
        <v>2983</v>
      </c>
      <c r="C2802" t="s">
        <v>3275</v>
      </c>
      <c r="D2802">
        <v>569.99</v>
      </c>
    </row>
    <row r="2803" spans="1:4">
      <c r="A2803" t="s">
        <v>40</v>
      </c>
      <c r="B2803" t="s">
        <v>505</v>
      </c>
      <c r="C2803" t="s">
        <v>3276</v>
      </c>
      <c r="D2803">
        <v>399.96</v>
      </c>
    </row>
    <row r="2804" spans="1:4">
      <c r="A2804" t="s">
        <v>40</v>
      </c>
      <c r="B2804" t="s">
        <v>1337</v>
      </c>
      <c r="C2804" t="s">
        <v>3277</v>
      </c>
      <c r="D2804">
        <v>409.99</v>
      </c>
    </row>
    <row r="2805" spans="1:4">
      <c r="A2805" t="s">
        <v>40</v>
      </c>
      <c r="B2805" t="s">
        <v>3081</v>
      </c>
      <c r="C2805" t="s">
        <v>3278</v>
      </c>
      <c r="D2805">
        <v>699.99</v>
      </c>
    </row>
    <row r="2806" spans="1:4">
      <c r="A2806" t="s">
        <v>40</v>
      </c>
      <c r="B2806" t="s">
        <v>3006</v>
      </c>
      <c r="C2806" t="s">
        <v>3279</v>
      </c>
      <c r="D2806">
        <v>379.99</v>
      </c>
    </row>
    <row r="2807" spans="1:4">
      <c r="A2807" t="s">
        <v>40</v>
      </c>
      <c r="B2807" t="s">
        <v>3006</v>
      </c>
      <c r="C2807" t="s">
        <v>3280</v>
      </c>
      <c r="D2807">
        <v>249.99</v>
      </c>
    </row>
    <row r="2808" spans="1:4">
      <c r="A2808" t="s">
        <v>40</v>
      </c>
      <c r="B2808" t="s">
        <v>2983</v>
      </c>
      <c r="C2808" t="s">
        <v>3281</v>
      </c>
      <c r="D2808">
        <v>329.99</v>
      </c>
    </row>
    <row r="2809" spans="1:4">
      <c r="A2809" t="s">
        <v>40</v>
      </c>
      <c r="B2809" t="s">
        <v>2983</v>
      </c>
      <c r="C2809" t="s">
        <v>3282</v>
      </c>
      <c r="D2809">
        <v>139.99</v>
      </c>
    </row>
    <row r="2810" spans="1:4">
      <c r="A2810" t="s">
        <v>40</v>
      </c>
      <c r="B2810" t="s">
        <v>3081</v>
      </c>
      <c r="C2810" t="s">
        <v>3283</v>
      </c>
      <c r="D2810">
        <v>699.3</v>
      </c>
    </row>
    <row r="2811" spans="1:4">
      <c r="A2811" t="s">
        <v>40</v>
      </c>
      <c r="B2811" t="s">
        <v>2980</v>
      </c>
      <c r="C2811" t="s">
        <v>3284</v>
      </c>
      <c r="D2811">
        <v>224.99</v>
      </c>
    </row>
    <row r="2812" spans="1:4">
      <c r="A2812" t="s">
        <v>40</v>
      </c>
      <c r="B2812" t="s">
        <v>3285</v>
      </c>
      <c r="C2812" t="s">
        <v>3286</v>
      </c>
      <c r="D2812">
        <v>224.99</v>
      </c>
    </row>
    <row r="2813" spans="1:4">
      <c r="A2813" t="s">
        <v>40</v>
      </c>
      <c r="B2813" t="s">
        <v>3006</v>
      </c>
      <c r="C2813" t="s">
        <v>3287</v>
      </c>
      <c r="D2813">
        <v>189.99</v>
      </c>
    </row>
    <row r="2814" spans="1:4">
      <c r="A2814" t="s">
        <v>40</v>
      </c>
      <c r="B2814" t="s">
        <v>2980</v>
      </c>
      <c r="C2814" t="s">
        <v>3288</v>
      </c>
      <c r="D2814">
        <v>109.99</v>
      </c>
    </row>
    <row r="2815" spans="1:4">
      <c r="A2815" t="s">
        <v>40</v>
      </c>
      <c r="B2815" t="s">
        <v>3006</v>
      </c>
      <c r="C2815" t="s">
        <v>3289</v>
      </c>
      <c r="D2815">
        <v>299.85000000000002</v>
      </c>
    </row>
    <row r="2816" spans="1:4">
      <c r="A2816" t="s">
        <v>40</v>
      </c>
      <c r="B2816" t="s">
        <v>3006</v>
      </c>
      <c r="C2816" t="s">
        <v>3290</v>
      </c>
      <c r="D2816">
        <v>279.99</v>
      </c>
    </row>
    <row r="2817" spans="1:4">
      <c r="A2817" t="s">
        <v>40</v>
      </c>
      <c r="B2817" t="s">
        <v>2983</v>
      </c>
      <c r="C2817" t="s">
        <v>3291</v>
      </c>
      <c r="D2817">
        <v>109.99</v>
      </c>
    </row>
    <row r="2818" spans="1:4">
      <c r="A2818" t="s">
        <v>40</v>
      </c>
      <c r="B2818" t="s">
        <v>2980</v>
      </c>
      <c r="C2818" t="s">
        <v>3292</v>
      </c>
      <c r="D2818">
        <v>349.95</v>
      </c>
    </row>
    <row r="2819" spans="1:4">
      <c r="A2819" t="s">
        <v>40</v>
      </c>
      <c r="B2819" t="s">
        <v>2980</v>
      </c>
      <c r="C2819" t="s">
        <v>3293</v>
      </c>
      <c r="D2819">
        <v>149.99</v>
      </c>
    </row>
    <row r="2820" spans="1:4">
      <c r="A2820" t="s">
        <v>40</v>
      </c>
      <c r="B2820" t="s">
        <v>2983</v>
      </c>
      <c r="C2820" t="s">
        <v>3294</v>
      </c>
      <c r="D2820">
        <v>161.99</v>
      </c>
    </row>
    <row r="2821" spans="1:4">
      <c r="A2821" t="s">
        <v>40</v>
      </c>
      <c r="B2821" t="s">
        <v>2983</v>
      </c>
      <c r="C2821" t="s">
        <v>3295</v>
      </c>
      <c r="D2821">
        <v>299.99</v>
      </c>
    </row>
    <row r="2822" spans="1:4">
      <c r="A2822" t="s">
        <v>40</v>
      </c>
      <c r="B2822" t="s">
        <v>505</v>
      </c>
      <c r="C2822" t="s">
        <v>3167</v>
      </c>
      <c r="D2822">
        <v>109.79</v>
      </c>
    </row>
    <row r="2823" spans="1:4">
      <c r="A2823" t="s">
        <v>40</v>
      </c>
    </row>
    <row r="2824" spans="1:4">
      <c r="A2824" t="s">
        <v>40</v>
      </c>
      <c r="B2824" t="s">
        <v>3006</v>
      </c>
      <c r="C2824" t="s">
        <v>3296</v>
      </c>
      <c r="D2824">
        <v>119.99</v>
      </c>
    </row>
    <row r="2825" spans="1:4">
      <c r="A2825" t="s">
        <v>40</v>
      </c>
      <c r="B2825" t="s">
        <v>3006</v>
      </c>
      <c r="C2825" t="s">
        <v>3297</v>
      </c>
      <c r="D2825">
        <v>199.99</v>
      </c>
    </row>
    <row r="2826" spans="1:4">
      <c r="A2826" t="s">
        <v>40</v>
      </c>
      <c r="B2826" t="s">
        <v>2980</v>
      </c>
      <c r="C2826" t="s">
        <v>3298</v>
      </c>
      <c r="D2826">
        <v>159.99</v>
      </c>
    </row>
    <row r="2827" spans="1:4">
      <c r="A2827" t="s">
        <v>40</v>
      </c>
      <c r="B2827" t="s">
        <v>561</v>
      </c>
      <c r="C2827" t="s">
        <v>3299</v>
      </c>
      <c r="D2827">
        <v>449.99</v>
      </c>
    </row>
    <row r="2828" spans="1:4">
      <c r="A2828" t="s">
        <v>40</v>
      </c>
      <c r="B2828" t="s">
        <v>2983</v>
      </c>
      <c r="C2828" t="s">
        <v>3300</v>
      </c>
      <c r="D2828">
        <v>201.59</v>
      </c>
    </row>
    <row r="2829" spans="1:4">
      <c r="A2829" t="s">
        <v>40</v>
      </c>
      <c r="B2829" t="s">
        <v>3006</v>
      </c>
      <c r="C2829" t="s">
        <v>3301</v>
      </c>
      <c r="D2829">
        <v>849</v>
      </c>
    </row>
    <row r="2830" spans="1:4">
      <c r="A2830" t="s">
        <v>40</v>
      </c>
      <c r="B2830" t="s">
        <v>3006</v>
      </c>
      <c r="C2830" t="s">
        <v>3302</v>
      </c>
      <c r="D2830">
        <v>324.85000000000002</v>
      </c>
    </row>
    <row r="2831" spans="1:4">
      <c r="A2831" t="s">
        <v>40</v>
      </c>
      <c r="B2831" t="s">
        <v>2983</v>
      </c>
      <c r="C2831" t="s">
        <v>3303</v>
      </c>
      <c r="D2831">
        <v>196.55</v>
      </c>
    </row>
    <row r="2832" spans="1:4">
      <c r="A2832" t="s">
        <v>40</v>
      </c>
      <c r="B2832" t="s">
        <v>3039</v>
      </c>
      <c r="C2832" t="s">
        <v>3304</v>
      </c>
      <c r="D2832">
        <v>230.3</v>
      </c>
    </row>
    <row r="2833" spans="1:4">
      <c r="A2833" t="s">
        <v>40</v>
      </c>
      <c r="B2833" t="s">
        <v>2980</v>
      </c>
      <c r="C2833" t="s">
        <v>3305</v>
      </c>
      <c r="D2833">
        <v>129.99</v>
      </c>
    </row>
    <row r="2834" spans="1:4">
      <c r="A2834" t="s">
        <v>40</v>
      </c>
      <c r="B2834" t="s">
        <v>3006</v>
      </c>
      <c r="C2834" t="s">
        <v>3306</v>
      </c>
      <c r="D2834">
        <v>144.94</v>
      </c>
    </row>
    <row r="2835" spans="1:4">
      <c r="A2835" t="s">
        <v>40</v>
      </c>
      <c r="B2835" t="s">
        <v>2983</v>
      </c>
      <c r="C2835" t="s">
        <v>3307</v>
      </c>
      <c r="D2835">
        <v>239.99</v>
      </c>
    </row>
    <row r="2836" spans="1:4">
      <c r="A2836" t="s">
        <v>40</v>
      </c>
      <c r="B2836" t="s">
        <v>2983</v>
      </c>
      <c r="C2836" t="s">
        <v>3272</v>
      </c>
      <c r="D2836">
        <v>134.99</v>
      </c>
    </row>
    <row r="2837" spans="1:4">
      <c r="A2837" t="s">
        <v>40</v>
      </c>
      <c r="B2837" t="s">
        <v>2980</v>
      </c>
      <c r="C2837" t="s">
        <v>3308</v>
      </c>
      <c r="D2837">
        <v>184.98</v>
      </c>
    </row>
    <row r="2838" spans="1:4">
      <c r="A2838" t="s">
        <v>40</v>
      </c>
      <c r="B2838" t="s">
        <v>2983</v>
      </c>
      <c r="C2838" t="s">
        <v>3309</v>
      </c>
      <c r="D2838">
        <v>119.99</v>
      </c>
    </row>
    <row r="2839" spans="1:4">
      <c r="A2839" t="s">
        <v>40</v>
      </c>
      <c r="B2839" t="s">
        <v>3006</v>
      </c>
      <c r="C2839" t="s">
        <v>3310</v>
      </c>
      <c r="D2839">
        <v>315</v>
      </c>
    </row>
    <row r="2840" spans="1:4">
      <c r="A2840" t="s">
        <v>40</v>
      </c>
      <c r="B2840" t="s">
        <v>3006</v>
      </c>
      <c r="C2840" t="s">
        <v>3311</v>
      </c>
      <c r="D2840">
        <v>320</v>
      </c>
    </row>
    <row r="2841" spans="1:4">
      <c r="A2841" t="s">
        <v>40</v>
      </c>
      <c r="B2841" t="s">
        <v>2983</v>
      </c>
      <c r="C2841" t="s">
        <v>3312</v>
      </c>
      <c r="D2841">
        <v>264.99</v>
      </c>
    </row>
    <row r="2842" spans="1:4">
      <c r="A2842" t="s">
        <v>40</v>
      </c>
      <c r="B2842" t="s">
        <v>3039</v>
      </c>
      <c r="C2842" t="s">
        <v>3313</v>
      </c>
      <c r="D2842">
        <v>174.3</v>
      </c>
    </row>
    <row r="2843" spans="1:4">
      <c r="A2843" t="s">
        <v>40</v>
      </c>
      <c r="B2843" t="s">
        <v>2980</v>
      </c>
      <c r="C2843" t="s">
        <v>3314</v>
      </c>
      <c r="D2843">
        <v>650</v>
      </c>
    </row>
    <row r="2844" spans="1:4">
      <c r="A2844" t="s">
        <v>40</v>
      </c>
      <c r="B2844" t="s">
        <v>2980</v>
      </c>
      <c r="C2844" t="s">
        <v>3315</v>
      </c>
      <c r="D2844">
        <v>158.99</v>
      </c>
    </row>
    <row r="2845" spans="1:4">
      <c r="A2845" t="s">
        <v>40</v>
      </c>
      <c r="B2845" t="s">
        <v>3316</v>
      </c>
      <c r="C2845" t="s">
        <v>3317</v>
      </c>
      <c r="D2845">
        <v>699.99</v>
      </c>
    </row>
    <row r="2846" spans="1:4">
      <c r="A2846" t="s">
        <v>40</v>
      </c>
      <c r="B2846" t="s">
        <v>2983</v>
      </c>
      <c r="C2846" t="s">
        <v>3318</v>
      </c>
      <c r="D2846">
        <v>399.99</v>
      </c>
    </row>
    <row r="2847" spans="1:4">
      <c r="A2847" t="s">
        <v>40</v>
      </c>
      <c r="B2847" t="s">
        <v>3006</v>
      </c>
      <c r="C2847" t="s">
        <v>3319</v>
      </c>
      <c r="D2847">
        <v>179.99</v>
      </c>
    </row>
    <row r="2848" spans="1:4">
      <c r="A2848" t="s">
        <v>40</v>
      </c>
      <c r="B2848" t="s">
        <v>3006</v>
      </c>
      <c r="C2848" t="s">
        <v>3320</v>
      </c>
      <c r="D2848">
        <v>324.85000000000002</v>
      </c>
    </row>
    <row r="2849" spans="1:4">
      <c r="A2849" t="s">
        <v>40</v>
      </c>
      <c r="B2849" t="s">
        <v>2983</v>
      </c>
      <c r="C2849" t="s">
        <v>3321</v>
      </c>
      <c r="D2849">
        <v>514.07000000000005</v>
      </c>
    </row>
    <row r="2850" spans="1:4">
      <c r="A2850" t="s">
        <v>40</v>
      </c>
      <c r="B2850" t="s">
        <v>3006</v>
      </c>
      <c r="C2850" t="s">
        <v>3322</v>
      </c>
      <c r="D2850">
        <v>350</v>
      </c>
    </row>
    <row r="2851" spans="1:4">
      <c r="A2851" t="s">
        <v>40</v>
      </c>
      <c r="B2851" t="s">
        <v>2983</v>
      </c>
      <c r="C2851" t="s">
        <v>3323</v>
      </c>
      <c r="D2851">
        <v>295</v>
      </c>
    </row>
    <row r="2852" spans="1:4">
      <c r="A2852" t="s">
        <v>40</v>
      </c>
      <c r="B2852" t="s">
        <v>3006</v>
      </c>
      <c r="C2852" t="s">
        <v>3324</v>
      </c>
      <c r="D2852">
        <v>239.99</v>
      </c>
    </row>
    <row r="2853" spans="1:4">
      <c r="A2853" t="s">
        <v>40</v>
      </c>
      <c r="B2853" t="s">
        <v>3006</v>
      </c>
      <c r="C2853" t="s">
        <v>3325</v>
      </c>
      <c r="D2853">
        <v>149</v>
      </c>
    </row>
    <row r="2854" spans="1:4">
      <c r="A2854" t="s">
        <v>40</v>
      </c>
      <c r="B2854" t="s">
        <v>2980</v>
      </c>
      <c r="C2854" t="s">
        <v>3071</v>
      </c>
      <c r="D2854">
        <v>148.99</v>
      </c>
    </row>
    <row r="2855" spans="1:4">
      <c r="A2855" t="s">
        <v>40</v>
      </c>
      <c r="B2855" t="s">
        <v>2983</v>
      </c>
      <c r="C2855" t="s">
        <v>3326</v>
      </c>
      <c r="D2855">
        <v>149.99</v>
      </c>
    </row>
    <row r="2856" spans="1:4">
      <c r="A2856" t="s">
        <v>40</v>
      </c>
      <c r="B2856" t="s">
        <v>3006</v>
      </c>
      <c r="C2856" t="s">
        <v>3327</v>
      </c>
      <c r="D2856">
        <v>199</v>
      </c>
    </row>
    <row r="2857" spans="1:4">
      <c r="A2857" t="s">
        <v>40</v>
      </c>
      <c r="B2857" t="s">
        <v>3006</v>
      </c>
      <c r="C2857" t="s">
        <v>3328</v>
      </c>
      <c r="D2857">
        <v>159.94</v>
      </c>
    </row>
    <row r="2858" spans="1:4">
      <c r="A2858" t="s">
        <v>40</v>
      </c>
      <c r="B2858" t="s">
        <v>2983</v>
      </c>
      <c r="C2858" t="s">
        <v>3329</v>
      </c>
      <c r="D2858">
        <v>539.95000000000005</v>
      </c>
    </row>
    <row r="2859" spans="1:4">
      <c r="A2859" t="s">
        <v>40</v>
      </c>
      <c r="B2859" t="s">
        <v>3149</v>
      </c>
      <c r="C2859" t="s">
        <v>3330</v>
      </c>
      <c r="D2859">
        <v>130</v>
      </c>
    </row>
    <row r="2860" spans="1:4">
      <c r="A2860" t="s">
        <v>40</v>
      </c>
      <c r="B2860" t="s">
        <v>2980</v>
      </c>
      <c r="C2860" t="s">
        <v>3331</v>
      </c>
      <c r="D2860">
        <v>229.99</v>
      </c>
    </row>
    <row r="2861" spans="1:4">
      <c r="A2861" t="s">
        <v>40</v>
      </c>
      <c r="B2861" t="s">
        <v>2980</v>
      </c>
      <c r="C2861" t="s">
        <v>3332</v>
      </c>
      <c r="D2861">
        <v>165</v>
      </c>
    </row>
    <row r="2862" spans="1:4">
      <c r="A2862" t="s">
        <v>40</v>
      </c>
      <c r="B2862" t="s">
        <v>3081</v>
      </c>
      <c r="C2862" t="s">
        <v>3333</v>
      </c>
      <c r="D2862">
        <v>499.99</v>
      </c>
    </row>
    <row r="2863" spans="1:4">
      <c r="A2863" t="s">
        <v>40</v>
      </c>
      <c r="B2863" t="s">
        <v>2983</v>
      </c>
      <c r="C2863" t="s">
        <v>3334</v>
      </c>
      <c r="D2863">
        <v>279.99</v>
      </c>
    </row>
    <row r="2864" spans="1:4">
      <c r="A2864" t="s">
        <v>40</v>
      </c>
      <c r="B2864" t="s">
        <v>3081</v>
      </c>
      <c r="C2864" t="s">
        <v>3335</v>
      </c>
      <c r="D2864">
        <v>189.99</v>
      </c>
    </row>
    <row r="2865" spans="1:4">
      <c r="A2865" t="s">
        <v>40</v>
      </c>
      <c r="B2865" t="s">
        <v>2983</v>
      </c>
      <c r="C2865" t="s">
        <v>3336</v>
      </c>
      <c r="D2865">
        <v>449.9</v>
      </c>
    </row>
    <row r="2866" spans="1:4">
      <c r="A2866" t="s">
        <v>40</v>
      </c>
      <c r="B2866" t="s">
        <v>2983</v>
      </c>
      <c r="C2866" t="s">
        <v>3337</v>
      </c>
      <c r="D2866">
        <v>499.99</v>
      </c>
    </row>
    <row r="2867" spans="1:4">
      <c r="A2867" t="s">
        <v>40</v>
      </c>
      <c r="B2867" t="s">
        <v>3006</v>
      </c>
      <c r="C2867" t="s">
        <v>3338</v>
      </c>
      <c r="D2867">
        <v>369.99</v>
      </c>
    </row>
    <row r="2868" spans="1:4">
      <c r="A2868" t="s">
        <v>40</v>
      </c>
      <c r="B2868" t="s">
        <v>3039</v>
      </c>
      <c r="C2868" t="s">
        <v>3339</v>
      </c>
      <c r="D2868">
        <v>489.3</v>
      </c>
    </row>
    <row r="2869" spans="1:4">
      <c r="A2869" t="s">
        <v>40</v>
      </c>
      <c r="B2869" t="s">
        <v>3340</v>
      </c>
      <c r="C2869" t="s">
        <v>3341</v>
      </c>
      <c r="D2869">
        <v>184.79</v>
      </c>
    </row>
    <row r="2870" spans="1:4">
      <c r="A2870" t="s">
        <v>40</v>
      </c>
      <c r="B2870" t="s">
        <v>2980</v>
      </c>
      <c r="C2870" t="s">
        <v>3342</v>
      </c>
      <c r="D2870">
        <v>129.99</v>
      </c>
    </row>
    <row r="2871" spans="1:4">
      <c r="A2871" t="s">
        <v>40</v>
      </c>
      <c r="B2871" t="s">
        <v>3081</v>
      </c>
      <c r="C2871" t="s">
        <v>3343</v>
      </c>
      <c r="D2871">
        <v>999.99</v>
      </c>
    </row>
    <row r="2872" spans="1:4">
      <c r="A2872" t="s">
        <v>40</v>
      </c>
      <c r="B2872" t="s">
        <v>2983</v>
      </c>
      <c r="C2872" t="s">
        <v>3344</v>
      </c>
      <c r="D2872">
        <v>369.99</v>
      </c>
    </row>
    <row r="2873" spans="1:4">
      <c r="A2873" t="s">
        <v>40</v>
      </c>
      <c r="B2873" t="s">
        <v>1337</v>
      </c>
      <c r="C2873" t="s">
        <v>3345</v>
      </c>
      <c r="D2873">
        <v>459</v>
      </c>
    </row>
    <row r="2874" spans="1:4">
      <c r="A2874" t="s">
        <v>40</v>
      </c>
      <c r="B2874" t="s">
        <v>3006</v>
      </c>
      <c r="C2874" t="s">
        <v>3346</v>
      </c>
      <c r="D2874">
        <v>149</v>
      </c>
    </row>
    <row r="2875" spans="1:4">
      <c r="A2875" t="s">
        <v>40</v>
      </c>
      <c r="B2875" t="s">
        <v>2980</v>
      </c>
      <c r="C2875" t="s">
        <v>3347</v>
      </c>
      <c r="D2875">
        <v>174.99</v>
      </c>
    </row>
    <row r="2876" spans="1:4">
      <c r="A2876" t="s">
        <v>40</v>
      </c>
      <c r="B2876" t="s">
        <v>3239</v>
      </c>
      <c r="C2876" t="s">
        <v>3348</v>
      </c>
      <c r="D2876">
        <v>74.900000000000006</v>
      </c>
    </row>
    <row r="2877" spans="1:4">
      <c r="A2877" t="s">
        <v>40</v>
      </c>
      <c r="B2877" t="s">
        <v>3171</v>
      </c>
      <c r="C2877" t="s">
        <v>3349</v>
      </c>
      <c r="D2877">
        <v>129.99</v>
      </c>
    </row>
    <row r="2878" spans="1:4">
      <c r="A2878" t="s">
        <v>40</v>
      </c>
      <c r="B2878" t="s">
        <v>2983</v>
      </c>
      <c r="C2878" t="s">
        <v>3350</v>
      </c>
      <c r="D2878">
        <v>499.99</v>
      </c>
    </row>
    <row r="2879" spans="1:4">
      <c r="A2879" t="s">
        <v>40</v>
      </c>
      <c r="B2879" t="s">
        <v>3030</v>
      </c>
      <c r="C2879" t="s">
        <v>3351</v>
      </c>
      <c r="D2879">
        <v>399.99</v>
      </c>
    </row>
    <row r="2880" spans="1:4">
      <c r="A2880" t="s">
        <v>40</v>
      </c>
      <c r="B2880" t="s">
        <v>2980</v>
      </c>
      <c r="C2880" t="s">
        <v>3352</v>
      </c>
      <c r="D2880">
        <v>84.99</v>
      </c>
    </row>
    <row r="2881" spans="1:4">
      <c r="A2881" t="s">
        <v>40</v>
      </c>
      <c r="B2881" t="s">
        <v>3030</v>
      </c>
      <c r="C2881" t="s">
        <v>3353</v>
      </c>
      <c r="D2881">
        <v>349.99</v>
      </c>
    </row>
    <row r="2882" spans="1:4">
      <c r="A2882" t="s">
        <v>40</v>
      </c>
      <c r="B2882" t="s">
        <v>3006</v>
      </c>
      <c r="C2882" t="s">
        <v>3354</v>
      </c>
      <c r="D2882">
        <v>585</v>
      </c>
    </row>
    <row r="2883" spans="1:4">
      <c r="A2883" t="s">
        <v>40</v>
      </c>
      <c r="B2883" t="s">
        <v>2980</v>
      </c>
      <c r="C2883" t="s">
        <v>3355</v>
      </c>
      <c r="D2883">
        <v>374.99</v>
      </c>
    </row>
    <row r="2884" spans="1:4">
      <c r="A2884" t="s">
        <v>40</v>
      </c>
      <c r="B2884" t="s">
        <v>2980</v>
      </c>
      <c r="C2884" t="s">
        <v>3356</v>
      </c>
      <c r="D2884">
        <v>144.99</v>
      </c>
    </row>
    <row r="2885" spans="1:4">
      <c r="A2885" t="s">
        <v>40</v>
      </c>
      <c r="B2885" t="s">
        <v>2983</v>
      </c>
      <c r="C2885" t="s">
        <v>3357</v>
      </c>
      <c r="D2885">
        <v>149.99</v>
      </c>
    </row>
    <row r="2886" spans="1:4">
      <c r="A2886" t="s">
        <v>40</v>
      </c>
      <c r="B2886" t="s">
        <v>2983</v>
      </c>
      <c r="C2886" t="s">
        <v>3358</v>
      </c>
      <c r="D2886">
        <v>185</v>
      </c>
    </row>
    <row r="2887" spans="1:4">
      <c r="A2887" t="s">
        <v>40</v>
      </c>
      <c r="B2887" t="s">
        <v>2983</v>
      </c>
      <c r="C2887" t="s">
        <v>3359</v>
      </c>
      <c r="D2887">
        <v>499.98</v>
      </c>
    </row>
    <row r="2888" spans="1:4">
      <c r="A2888" t="s">
        <v>40</v>
      </c>
      <c r="B2888" t="s">
        <v>2980</v>
      </c>
      <c r="C2888" t="s">
        <v>3360</v>
      </c>
      <c r="D2888">
        <v>99.99</v>
      </c>
    </row>
    <row r="2889" spans="1:4">
      <c r="A2889" t="s">
        <v>40</v>
      </c>
      <c r="B2889" t="s">
        <v>2980</v>
      </c>
      <c r="C2889" t="s">
        <v>3361</v>
      </c>
      <c r="D2889">
        <v>499.99</v>
      </c>
    </row>
    <row r="2890" spans="1:4">
      <c r="A2890" t="s">
        <v>40</v>
      </c>
      <c r="B2890" t="s">
        <v>2983</v>
      </c>
      <c r="C2890" t="s">
        <v>3272</v>
      </c>
      <c r="D2890">
        <v>134.99</v>
      </c>
    </row>
    <row r="2891" spans="1:4">
      <c r="A2891" t="s">
        <v>40</v>
      </c>
      <c r="B2891" t="s">
        <v>3006</v>
      </c>
      <c r="C2891" t="s">
        <v>3190</v>
      </c>
      <c r="D2891">
        <v>349.99</v>
      </c>
    </row>
    <row r="2892" spans="1:4">
      <c r="A2892" t="s">
        <v>40</v>
      </c>
      <c r="B2892" t="s">
        <v>3039</v>
      </c>
      <c r="C2892" t="s">
        <v>3362</v>
      </c>
      <c r="D2892">
        <v>384.3</v>
      </c>
    </row>
    <row r="2893" spans="1:4">
      <c r="A2893" t="s">
        <v>40</v>
      </c>
      <c r="B2893" t="s">
        <v>3081</v>
      </c>
      <c r="C2893" t="s">
        <v>3363</v>
      </c>
      <c r="D2893">
        <v>300</v>
      </c>
    </row>
    <row r="2894" spans="1:4">
      <c r="A2894" t="s">
        <v>40</v>
      </c>
      <c r="B2894" t="s">
        <v>3030</v>
      </c>
      <c r="C2894" t="s">
        <v>3364</v>
      </c>
      <c r="D2894">
        <v>399.99</v>
      </c>
    </row>
    <row r="2895" spans="1:4">
      <c r="A2895" t="s">
        <v>40</v>
      </c>
      <c r="B2895" t="s">
        <v>3006</v>
      </c>
      <c r="C2895" t="s">
        <v>3365</v>
      </c>
      <c r="D2895">
        <v>99.99</v>
      </c>
    </row>
    <row r="2896" spans="1:4">
      <c r="A2896" t="s">
        <v>40</v>
      </c>
      <c r="B2896" t="s">
        <v>2983</v>
      </c>
      <c r="C2896" t="s">
        <v>3366</v>
      </c>
      <c r="D2896">
        <v>330</v>
      </c>
    </row>
    <row r="2897" spans="1:4">
      <c r="A2897" t="s">
        <v>40</v>
      </c>
      <c r="B2897" t="s">
        <v>2983</v>
      </c>
      <c r="C2897" t="s">
        <v>3367</v>
      </c>
      <c r="D2897">
        <v>529.99</v>
      </c>
    </row>
    <row r="2898" spans="1:4">
      <c r="A2898" t="s">
        <v>40</v>
      </c>
      <c r="B2898" t="s">
        <v>2983</v>
      </c>
      <c r="C2898" t="s">
        <v>3368</v>
      </c>
      <c r="D2898">
        <v>100</v>
      </c>
    </row>
    <row r="2899" spans="1:4">
      <c r="A2899" t="s">
        <v>40</v>
      </c>
      <c r="B2899" t="s">
        <v>2980</v>
      </c>
      <c r="C2899" t="s">
        <v>3369</v>
      </c>
      <c r="D2899">
        <v>259.99</v>
      </c>
    </row>
    <row r="2900" spans="1:4">
      <c r="A2900" t="s">
        <v>40</v>
      </c>
      <c r="B2900" t="s">
        <v>2983</v>
      </c>
      <c r="C2900" t="s">
        <v>3370</v>
      </c>
      <c r="D2900">
        <v>239.99</v>
      </c>
    </row>
    <row r="2901" spans="1:4">
      <c r="A2901" t="s">
        <v>40</v>
      </c>
      <c r="B2901" t="s">
        <v>2983</v>
      </c>
      <c r="C2901" t="s">
        <v>3371</v>
      </c>
      <c r="D2901">
        <v>249</v>
      </c>
    </row>
    <row r="2902" spans="1:4">
      <c r="A2902" t="s">
        <v>40</v>
      </c>
      <c r="B2902" t="s">
        <v>2980</v>
      </c>
      <c r="C2902" t="s">
        <v>3372</v>
      </c>
      <c r="D2902">
        <v>439.95</v>
      </c>
    </row>
    <row r="2903" spans="1:4">
      <c r="A2903" t="s">
        <v>40</v>
      </c>
      <c r="B2903" t="s">
        <v>2980</v>
      </c>
      <c r="C2903" t="s">
        <v>3373</v>
      </c>
      <c r="D2903">
        <v>785</v>
      </c>
    </row>
    <row r="2904" spans="1:4">
      <c r="A2904" t="s">
        <v>40</v>
      </c>
      <c r="B2904" t="s">
        <v>3030</v>
      </c>
      <c r="C2904" t="s">
        <v>3374</v>
      </c>
      <c r="D2904">
        <v>350</v>
      </c>
    </row>
    <row r="2905" spans="1:4">
      <c r="A2905" t="s">
        <v>40</v>
      </c>
      <c r="B2905" t="s">
        <v>3006</v>
      </c>
      <c r="C2905" t="s">
        <v>3375</v>
      </c>
      <c r="D2905">
        <v>549.99</v>
      </c>
    </row>
    <row r="2906" spans="1:4">
      <c r="A2906" t="s">
        <v>40</v>
      </c>
      <c r="B2906" t="s">
        <v>2980</v>
      </c>
      <c r="C2906" t="s">
        <v>3376</v>
      </c>
      <c r="D2906">
        <v>149.99</v>
      </c>
    </row>
    <row r="2907" spans="1:4">
      <c r="A2907" t="s">
        <v>40</v>
      </c>
      <c r="B2907" t="s">
        <v>2983</v>
      </c>
      <c r="C2907" t="s">
        <v>3377</v>
      </c>
      <c r="D2907">
        <v>279.99</v>
      </c>
    </row>
    <row r="2908" spans="1:4">
      <c r="A2908" t="s">
        <v>40</v>
      </c>
      <c r="B2908" t="s">
        <v>3107</v>
      </c>
      <c r="C2908" t="s">
        <v>3378</v>
      </c>
      <c r="D2908">
        <v>99.99</v>
      </c>
    </row>
    <row r="2909" spans="1:4">
      <c r="A2909" t="s">
        <v>40</v>
      </c>
      <c r="B2909" t="s">
        <v>2980</v>
      </c>
      <c r="C2909" t="s">
        <v>3379</v>
      </c>
      <c r="D2909">
        <v>749.99</v>
      </c>
    </row>
    <row r="2910" spans="1:4">
      <c r="A2910" t="s">
        <v>40</v>
      </c>
      <c r="B2910" t="s">
        <v>2980</v>
      </c>
      <c r="C2910" t="s">
        <v>3380</v>
      </c>
      <c r="D2910">
        <v>386.99</v>
      </c>
    </row>
    <row r="2911" spans="1:4">
      <c r="A2911" t="s">
        <v>40</v>
      </c>
      <c r="B2911" t="s">
        <v>2980</v>
      </c>
      <c r="C2911" t="s">
        <v>3381</v>
      </c>
      <c r="D2911">
        <v>1349.99</v>
      </c>
    </row>
    <row r="2912" spans="1:4">
      <c r="A2912" t="s">
        <v>40</v>
      </c>
      <c r="B2912" t="s">
        <v>2994</v>
      </c>
      <c r="C2912" t="s">
        <v>3382</v>
      </c>
      <c r="D2912">
        <v>227.99</v>
      </c>
    </row>
    <row r="2913" spans="1:4">
      <c r="A2913" t="s">
        <v>40</v>
      </c>
      <c r="B2913" t="s">
        <v>3006</v>
      </c>
      <c r="C2913" t="s">
        <v>3383</v>
      </c>
      <c r="D2913">
        <v>499.99</v>
      </c>
    </row>
    <row r="2914" spans="1:4">
      <c r="A2914" t="s">
        <v>40</v>
      </c>
      <c r="B2914" t="s">
        <v>3030</v>
      </c>
      <c r="C2914" t="s">
        <v>3384</v>
      </c>
      <c r="D2914">
        <v>299.99</v>
      </c>
    </row>
    <row r="2915" spans="1:4">
      <c r="A2915" t="s">
        <v>40</v>
      </c>
      <c r="B2915" t="s">
        <v>3006</v>
      </c>
      <c r="C2915" t="s">
        <v>3385</v>
      </c>
      <c r="D2915">
        <v>279.94</v>
      </c>
    </row>
    <row r="2916" spans="1:4">
      <c r="A2916" t="s">
        <v>40</v>
      </c>
      <c r="B2916" t="s">
        <v>2980</v>
      </c>
      <c r="C2916" t="s">
        <v>3386</v>
      </c>
      <c r="D2916">
        <v>244.99</v>
      </c>
    </row>
    <row r="2917" spans="1:4">
      <c r="A2917" t="s">
        <v>40</v>
      </c>
      <c r="B2917" t="s">
        <v>2980</v>
      </c>
      <c r="C2917" t="s">
        <v>3387</v>
      </c>
      <c r="D2917">
        <v>309.99</v>
      </c>
    </row>
    <row r="2918" spans="1:4">
      <c r="A2918" t="s">
        <v>40</v>
      </c>
      <c r="B2918" t="s">
        <v>3006</v>
      </c>
      <c r="C2918" t="s">
        <v>3388</v>
      </c>
      <c r="D2918">
        <v>129.99</v>
      </c>
    </row>
    <row r="2919" spans="1:4">
      <c r="A2919" t="s">
        <v>40</v>
      </c>
      <c r="B2919" t="s">
        <v>3006</v>
      </c>
      <c r="C2919" t="s">
        <v>3389</v>
      </c>
      <c r="D2919">
        <v>109.99</v>
      </c>
    </row>
    <row r="2920" spans="1:4">
      <c r="A2920" t="s">
        <v>40</v>
      </c>
      <c r="B2920" t="s">
        <v>3006</v>
      </c>
      <c r="C2920" t="s">
        <v>3390</v>
      </c>
      <c r="D2920">
        <v>129.99</v>
      </c>
    </row>
    <row r="2921" spans="1:4">
      <c r="A2921" t="s">
        <v>40</v>
      </c>
      <c r="B2921" t="s">
        <v>2994</v>
      </c>
      <c r="C2921" t="s">
        <v>3391</v>
      </c>
      <c r="D2921">
        <v>499.99</v>
      </c>
    </row>
    <row r="2922" spans="1:4">
      <c r="A2922" t="s">
        <v>40</v>
      </c>
      <c r="B2922" t="s">
        <v>2980</v>
      </c>
      <c r="C2922" t="s">
        <v>3392</v>
      </c>
      <c r="D2922">
        <v>219.99</v>
      </c>
    </row>
    <row r="2923" spans="1:4">
      <c r="A2923" t="s">
        <v>40</v>
      </c>
      <c r="B2923" t="s">
        <v>2980</v>
      </c>
      <c r="C2923" t="s">
        <v>3393</v>
      </c>
      <c r="D2923">
        <v>149.99</v>
      </c>
    </row>
    <row r="2924" spans="1:4">
      <c r="A2924" t="s">
        <v>40</v>
      </c>
      <c r="B2924" t="s">
        <v>2980</v>
      </c>
      <c r="C2924" t="s">
        <v>3394</v>
      </c>
      <c r="D2924">
        <v>299.99</v>
      </c>
    </row>
    <row r="2925" spans="1:4">
      <c r="A2925" t="s">
        <v>40</v>
      </c>
      <c r="B2925" t="s">
        <v>3006</v>
      </c>
      <c r="C2925" t="s">
        <v>3395</v>
      </c>
      <c r="D2925">
        <v>308.99</v>
      </c>
    </row>
    <row r="2926" spans="1:4">
      <c r="A2926" t="s">
        <v>40</v>
      </c>
      <c r="B2926" t="s">
        <v>2980</v>
      </c>
      <c r="C2926" t="s">
        <v>3396</v>
      </c>
      <c r="D2926">
        <v>445</v>
      </c>
    </row>
    <row r="2927" spans="1:4">
      <c r="A2927" t="s">
        <v>40</v>
      </c>
      <c r="B2927" t="s">
        <v>2983</v>
      </c>
      <c r="C2927" t="s">
        <v>3397</v>
      </c>
      <c r="D2927">
        <v>88.99</v>
      </c>
    </row>
    <row r="2928" spans="1:4">
      <c r="A2928" t="s">
        <v>40</v>
      </c>
      <c r="B2928" t="s">
        <v>2980</v>
      </c>
      <c r="C2928" t="s">
        <v>3398</v>
      </c>
      <c r="D2928">
        <v>699.99</v>
      </c>
    </row>
    <row r="2929" spans="1:4">
      <c r="A2929" t="s">
        <v>40</v>
      </c>
      <c r="B2929" t="s">
        <v>1022</v>
      </c>
      <c r="C2929" t="s">
        <v>3399</v>
      </c>
      <c r="D2929">
        <v>422.99</v>
      </c>
    </row>
    <row r="2930" spans="1:4">
      <c r="A2930" t="s">
        <v>40</v>
      </c>
      <c r="B2930" t="s">
        <v>561</v>
      </c>
      <c r="C2930" t="s">
        <v>3400</v>
      </c>
      <c r="D2930">
        <v>349.99</v>
      </c>
    </row>
    <row r="2931" spans="1:4">
      <c r="A2931" t="s">
        <v>40</v>
      </c>
      <c r="B2931" t="s">
        <v>3006</v>
      </c>
      <c r="C2931" t="s">
        <v>3401</v>
      </c>
      <c r="D2931">
        <v>299.69</v>
      </c>
    </row>
    <row r="2932" spans="1:4">
      <c r="A2932" t="s">
        <v>40</v>
      </c>
      <c r="B2932" t="s">
        <v>2994</v>
      </c>
      <c r="C2932" t="s">
        <v>3402</v>
      </c>
      <c r="D2932">
        <v>179.99</v>
      </c>
    </row>
    <row r="2933" spans="1:4">
      <c r="A2933" t="s">
        <v>40</v>
      </c>
      <c r="B2933" t="s">
        <v>2983</v>
      </c>
      <c r="C2933" t="s">
        <v>3403</v>
      </c>
      <c r="D2933">
        <v>158.99</v>
      </c>
    </row>
    <row r="2934" spans="1:4">
      <c r="A2934" t="s">
        <v>40</v>
      </c>
      <c r="B2934" t="s">
        <v>2983</v>
      </c>
      <c r="C2934" t="s">
        <v>3404</v>
      </c>
      <c r="D2934">
        <v>141.11000000000001</v>
      </c>
    </row>
    <row r="2935" spans="1:4">
      <c r="A2935" t="s">
        <v>40</v>
      </c>
      <c r="B2935" t="s">
        <v>2980</v>
      </c>
      <c r="C2935" t="s">
        <v>3405</v>
      </c>
      <c r="D2935">
        <v>449.99</v>
      </c>
    </row>
    <row r="2936" spans="1:4">
      <c r="A2936" t="s">
        <v>40</v>
      </c>
      <c r="B2936" t="s">
        <v>2983</v>
      </c>
      <c r="C2936" t="s">
        <v>3406</v>
      </c>
      <c r="D2936">
        <v>139.99</v>
      </c>
    </row>
    <row r="2937" spans="1:4">
      <c r="A2937" t="s">
        <v>40</v>
      </c>
      <c r="B2937" t="s">
        <v>3006</v>
      </c>
      <c r="C2937" t="s">
        <v>3407</v>
      </c>
      <c r="D2937">
        <v>174.99</v>
      </c>
    </row>
    <row r="2938" spans="1:4">
      <c r="A2938" t="s">
        <v>40</v>
      </c>
      <c r="B2938" t="s">
        <v>3006</v>
      </c>
      <c r="C2938" t="s">
        <v>3408</v>
      </c>
      <c r="D2938">
        <v>839.99</v>
      </c>
    </row>
    <row r="2939" spans="1:4">
      <c r="A2939" t="s">
        <v>40</v>
      </c>
      <c r="B2939" t="s">
        <v>3409</v>
      </c>
      <c r="C2939" t="s">
        <v>3410</v>
      </c>
      <c r="D2939">
        <v>1299.99</v>
      </c>
    </row>
    <row r="2940" spans="1:4">
      <c r="A2940" t="s">
        <v>40</v>
      </c>
      <c r="B2940" t="s">
        <v>2983</v>
      </c>
      <c r="C2940" t="s">
        <v>3411</v>
      </c>
      <c r="D2940">
        <v>239.9</v>
      </c>
    </row>
    <row r="2941" spans="1:4">
      <c r="A2941" t="s">
        <v>40</v>
      </c>
      <c r="B2941" t="s">
        <v>3006</v>
      </c>
      <c r="C2941" t="s">
        <v>3412</v>
      </c>
      <c r="D2941">
        <v>99.99</v>
      </c>
    </row>
    <row r="2942" spans="1:4">
      <c r="A2942" t="s">
        <v>40</v>
      </c>
      <c r="B2942" t="s">
        <v>505</v>
      </c>
      <c r="C2942" t="s">
        <v>3413</v>
      </c>
      <c r="D2942">
        <v>649.99</v>
      </c>
    </row>
    <row r="2943" spans="1:4">
      <c r="A2943" t="s">
        <v>40</v>
      </c>
      <c r="B2943" t="s">
        <v>2983</v>
      </c>
      <c r="C2943" t="s">
        <v>3414</v>
      </c>
      <c r="D2943">
        <v>409.99</v>
      </c>
    </row>
    <row r="2944" spans="1:4">
      <c r="A2944" t="s">
        <v>40</v>
      </c>
      <c r="B2944" t="s">
        <v>3006</v>
      </c>
      <c r="C2944" t="s">
        <v>3415</v>
      </c>
      <c r="D2944">
        <v>395</v>
      </c>
    </row>
    <row r="2945" spans="1:4">
      <c r="A2945" t="s">
        <v>40</v>
      </c>
      <c r="B2945" t="s">
        <v>3081</v>
      </c>
      <c r="C2945" t="s">
        <v>3416</v>
      </c>
      <c r="D2945">
        <v>300</v>
      </c>
    </row>
    <row r="2946" spans="1:4">
      <c r="A2946" t="s">
        <v>40</v>
      </c>
      <c r="B2946" t="s">
        <v>2980</v>
      </c>
      <c r="C2946" t="s">
        <v>3417</v>
      </c>
      <c r="D2946">
        <v>124.99</v>
      </c>
    </row>
    <row r="2947" spans="1:4">
      <c r="A2947" t="s">
        <v>40</v>
      </c>
      <c r="B2947" t="s">
        <v>3009</v>
      </c>
      <c r="C2947" t="s">
        <v>3418</v>
      </c>
      <c r="D2947">
        <v>164.99</v>
      </c>
    </row>
    <row r="2948" spans="1:4">
      <c r="A2948" t="s">
        <v>40</v>
      </c>
      <c r="B2948" t="s">
        <v>3081</v>
      </c>
      <c r="C2948" t="s">
        <v>3419</v>
      </c>
      <c r="D2948">
        <v>231.99</v>
      </c>
    </row>
    <row r="2949" spans="1:4">
      <c r="A2949" t="s">
        <v>40</v>
      </c>
      <c r="B2949" t="s">
        <v>2980</v>
      </c>
      <c r="C2949" t="s">
        <v>3420</v>
      </c>
      <c r="D2949">
        <v>495</v>
      </c>
    </row>
    <row r="2950" spans="1:4">
      <c r="A2950" t="s">
        <v>40</v>
      </c>
      <c r="B2950" t="s">
        <v>3006</v>
      </c>
      <c r="C2950" t="s">
        <v>3421</v>
      </c>
      <c r="D2950">
        <v>419.99</v>
      </c>
    </row>
    <row r="2951" spans="1:4">
      <c r="A2951" t="s">
        <v>40</v>
      </c>
      <c r="B2951" t="s">
        <v>1337</v>
      </c>
      <c r="C2951" t="s">
        <v>3422</v>
      </c>
      <c r="D2951">
        <v>259.99</v>
      </c>
    </row>
    <row r="2952" spans="1:4">
      <c r="A2952" t="s">
        <v>40</v>
      </c>
      <c r="B2952" t="s">
        <v>3285</v>
      </c>
      <c r="C2952" t="s">
        <v>3423</v>
      </c>
      <c r="D2952">
        <v>199</v>
      </c>
    </row>
    <row r="2953" spans="1:4">
      <c r="A2953" t="s">
        <v>40</v>
      </c>
      <c r="B2953" t="s">
        <v>505</v>
      </c>
      <c r="C2953" t="s">
        <v>3424</v>
      </c>
      <c r="D2953">
        <v>469.99</v>
      </c>
    </row>
    <row r="2954" spans="1:4">
      <c r="A2954" t="s">
        <v>40</v>
      </c>
      <c r="B2954" t="s">
        <v>2983</v>
      </c>
      <c r="C2954" t="s">
        <v>3425</v>
      </c>
      <c r="D2954">
        <v>189.99</v>
      </c>
    </row>
    <row r="2955" spans="1:4">
      <c r="A2955" t="s">
        <v>40</v>
      </c>
      <c r="B2955" t="s">
        <v>3006</v>
      </c>
      <c r="C2955" t="s">
        <v>3426</v>
      </c>
      <c r="D2955">
        <v>149.99</v>
      </c>
    </row>
    <row r="2956" spans="1:4">
      <c r="A2956" t="s">
        <v>40</v>
      </c>
      <c r="B2956" t="s">
        <v>3006</v>
      </c>
      <c r="C2956" t="s">
        <v>3427</v>
      </c>
      <c r="D2956">
        <v>159.99</v>
      </c>
    </row>
    <row r="2957" spans="1:4">
      <c r="A2957" t="s">
        <v>40</v>
      </c>
      <c r="B2957" t="s">
        <v>2983</v>
      </c>
      <c r="C2957" t="s">
        <v>3428</v>
      </c>
      <c r="D2957">
        <v>1259.99</v>
      </c>
    </row>
    <row r="2958" spans="1:4">
      <c r="A2958" t="s">
        <v>40</v>
      </c>
      <c r="B2958" t="s">
        <v>2983</v>
      </c>
      <c r="C2958" t="s">
        <v>3429</v>
      </c>
      <c r="D2958">
        <v>649.99</v>
      </c>
    </row>
    <row r="2959" spans="1:4">
      <c r="A2959" t="s">
        <v>40</v>
      </c>
      <c r="B2959" t="s">
        <v>2977</v>
      </c>
      <c r="C2959" t="s">
        <v>2978</v>
      </c>
      <c r="D2959">
        <v>94.99</v>
      </c>
    </row>
    <row r="2960" spans="1:4">
      <c r="A2960" t="s">
        <v>40</v>
      </c>
      <c r="B2960" t="s">
        <v>2983</v>
      </c>
      <c r="C2960" t="s">
        <v>3430</v>
      </c>
      <c r="D2960">
        <v>179.99</v>
      </c>
    </row>
    <row r="2961" spans="1:4">
      <c r="A2961" t="s">
        <v>40</v>
      </c>
      <c r="B2961" t="s">
        <v>2983</v>
      </c>
      <c r="C2961" t="s">
        <v>3431</v>
      </c>
      <c r="D2961">
        <v>205.19</v>
      </c>
    </row>
    <row r="2962" spans="1:4">
      <c r="A2962" t="s">
        <v>40</v>
      </c>
      <c r="B2962" t="s">
        <v>2994</v>
      </c>
      <c r="C2962" t="s">
        <v>3432</v>
      </c>
      <c r="D2962">
        <v>64.989999999999995</v>
      </c>
    </row>
    <row r="2963" spans="1:4">
      <c r="A2963" t="s">
        <v>40</v>
      </c>
      <c r="B2963" t="s">
        <v>3006</v>
      </c>
      <c r="C2963" t="s">
        <v>3433</v>
      </c>
      <c r="D2963">
        <v>153.99</v>
      </c>
    </row>
    <row r="2964" spans="1:4">
      <c r="A2964" t="s">
        <v>40</v>
      </c>
      <c r="B2964" t="s">
        <v>505</v>
      </c>
      <c r="C2964" t="s">
        <v>3434</v>
      </c>
      <c r="D2964">
        <v>211.99</v>
      </c>
    </row>
    <row r="2965" spans="1:4">
      <c r="A2965" t="s">
        <v>40</v>
      </c>
      <c r="B2965" t="s">
        <v>3107</v>
      </c>
      <c r="C2965" t="s">
        <v>3435</v>
      </c>
      <c r="D2965">
        <v>130.99</v>
      </c>
    </row>
    <row r="2966" spans="1:4">
      <c r="A2966" t="s">
        <v>40</v>
      </c>
      <c r="B2966" t="s">
        <v>3006</v>
      </c>
      <c r="C2966" t="s">
        <v>3436</v>
      </c>
      <c r="D2966">
        <v>150</v>
      </c>
    </row>
    <row r="2967" spans="1:4">
      <c r="A2967" t="s">
        <v>40</v>
      </c>
      <c r="B2967" t="s">
        <v>3006</v>
      </c>
      <c r="C2967" t="s">
        <v>3437</v>
      </c>
      <c r="D2967">
        <v>299.99</v>
      </c>
    </row>
    <row r="2968" spans="1:4">
      <c r="A2968" t="s">
        <v>40</v>
      </c>
      <c r="B2968" t="s">
        <v>2980</v>
      </c>
      <c r="C2968" t="s">
        <v>3438</v>
      </c>
      <c r="D2968">
        <v>355.99</v>
      </c>
    </row>
    <row r="2969" spans="1:4">
      <c r="A2969" t="s">
        <v>40</v>
      </c>
      <c r="B2969" t="s">
        <v>2983</v>
      </c>
      <c r="C2969" t="s">
        <v>3439</v>
      </c>
      <c r="D2969">
        <v>232.19</v>
      </c>
    </row>
    <row r="2970" spans="1:4">
      <c r="A2970" t="s">
        <v>40</v>
      </c>
      <c r="B2970" t="s">
        <v>2977</v>
      </c>
      <c r="C2970" t="s">
        <v>3440</v>
      </c>
      <c r="D2970">
        <v>119.99</v>
      </c>
    </row>
    <row r="2971" spans="1:4">
      <c r="A2971" t="s">
        <v>40</v>
      </c>
      <c r="B2971" t="s">
        <v>2983</v>
      </c>
      <c r="C2971" t="s">
        <v>3441</v>
      </c>
      <c r="D2971">
        <v>899.99</v>
      </c>
    </row>
    <row r="2972" spans="1:4">
      <c r="A2972" t="s">
        <v>40</v>
      </c>
      <c r="B2972" t="s">
        <v>2983</v>
      </c>
      <c r="C2972" t="s">
        <v>3442</v>
      </c>
      <c r="D2972">
        <v>221.75</v>
      </c>
    </row>
    <row r="2973" spans="1:4">
      <c r="A2973" t="s">
        <v>40</v>
      </c>
      <c r="B2973" t="s">
        <v>3006</v>
      </c>
      <c r="C2973" t="s">
        <v>3443</v>
      </c>
      <c r="D2973">
        <v>249.86</v>
      </c>
    </row>
    <row r="2974" spans="1:4">
      <c r="A2974" t="s">
        <v>40</v>
      </c>
      <c r="B2974" t="s">
        <v>2983</v>
      </c>
      <c r="C2974" t="s">
        <v>3444</v>
      </c>
      <c r="D2974">
        <v>674.99</v>
      </c>
    </row>
    <row r="2975" spans="1:4">
      <c r="A2975" t="s">
        <v>40</v>
      </c>
      <c r="B2975" t="s">
        <v>2980</v>
      </c>
      <c r="C2975" t="s">
        <v>3445</v>
      </c>
      <c r="D2975">
        <v>189.99</v>
      </c>
    </row>
    <row r="2976" spans="1:4">
      <c r="A2976" t="s">
        <v>40</v>
      </c>
      <c r="B2976" t="s">
        <v>3006</v>
      </c>
      <c r="C2976" t="s">
        <v>3446</v>
      </c>
      <c r="D2976">
        <v>169.98</v>
      </c>
    </row>
    <row r="2977" spans="1:4">
      <c r="A2977" t="s">
        <v>40</v>
      </c>
      <c r="B2977" t="s">
        <v>3006</v>
      </c>
      <c r="C2977" t="s">
        <v>3447</v>
      </c>
      <c r="D2977">
        <v>499.99</v>
      </c>
    </row>
    <row r="2978" spans="1:4">
      <c r="A2978" t="s">
        <v>40</v>
      </c>
      <c r="B2978" t="s">
        <v>2983</v>
      </c>
      <c r="C2978" t="s">
        <v>3448</v>
      </c>
      <c r="D2978">
        <v>131.03</v>
      </c>
    </row>
    <row r="2979" spans="1:4">
      <c r="A2979" t="s">
        <v>40</v>
      </c>
      <c r="B2979" t="s">
        <v>2980</v>
      </c>
      <c r="C2979" t="s">
        <v>3449</v>
      </c>
      <c r="D2979">
        <v>1099.99</v>
      </c>
    </row>
    <row r="2980" spans="1:4">
      <c r="A2980" t="s">
        <v>40</v>
      </c>
      <c r="B2980" t="s">
        <v>2980</v>
      </c>
      <c r="C2980" t="s">
        <v>3450</v>
      </c>
      <c r="D2980">
        <v>144.99</v>
      </c>
    </row>
    <row r="2981" spans="1:4">
      <c r="A2981" t="s">
        <v>40</v>
      </c>
      <c r="B2981" t="s">
        <v>3081</v>
      </c>
      <c r="C2981" t="s">
        <v>3451</v>
      </c>
      <c r="D2981">
        <v>300</v>
      </c>
    </row>
    <row r="2982" spans="1:4">
      <c r="A2982" t="s">
        <v>40</v>
      </c>
      <c r="B2982" t="s">
        <v>3039</v>
      </c>
      <c r="C2982" t="s">
        <v>3452</v>
      </c>
      <c r="D2982">
        <v>174.3</v>
      </c>
    </row>
    <row r="2983" spans="1:4">
      <c r="A2983" t="s">
        <v>40</v>
      </c>
      <c r="B2983" t="s">
        <v>3039</v>
      </c>
      <c r="C2983" t="s">
        <v>3453</v>
      </c>
      <c r="D2983">
        <v>244.3</v>
      </c>
    </row>
    <row r="2984" spans="1:4">
      <c r="A2984" t="s">
        <v>40</v>
      </c>
      <c r="B2984" t="s">
        <v>2980</v>
      </c>
      <c r="C2984" t="s">
        <v>3454</v>
      </c>
      <c r="D2984">
        <v>679.99</v>
      </c>
    </row>
    <row r="2985" spans="1:4">
      <c r="A2985" t="s">
        <v>40</v>
      </c>
      <c r="B2985" t="s">
        <v>2983</v>
      </c>
      <c r="C2985" t="s">
        <v>3455</v>
      </c>
      <c r="D2985">
        <v>134.97999999999999</v>
      </c>
    </row>
    <row r="2986" spans="1:4">
      <c r="A2986" t="s">
        <v>40</v>
      </c>
      <c r="B2986" t="s">
        <v>2980</v>
      </c>
      <c r="C2986" t="s">
        <v>3456</v>
      </c>
      <c r="D2986">
        <v>229.99</v>
      </c>
    </row>
    <row r="2987" spans="1:4">
      <c r="A2987" t="s">
        <v>40</v>
      </c>
      <c r="B2987" t="s">
        <v>3006</v>
      </c>
      <c r="C2987" t="s">
        <v>3457</v>
      </c>
      <c r="D2987">
        <v>279.99</v>
      </c>
    </row>
    <row r="2988" spans="1:4">
      <c r="A2988" t="s">
        <v>40</v>
      </c>
      <c r="B2988" t="s">
        <v>2980</v>
      </c>
      <c r="C2988" t="s">
        <v>3458</v>
      </c>
      <c r="D2988">
        <v>249.99</v>
      </c>
    </row>
    <row r="2989" spans="1:4">
      <c r="A2989" t="s">
        <v>40</v>
      </c>
      <c r="B2989" t="s">
        <v>1337</v>
      </c>
      <c r="C2989" t="s">
        <v>3459</v>
      </c>
      <c r="D2989">
        <v>424.95</v>
      </c>
    </row>
    <row r="2990" spans="1:4">
      <c r="A2990" t="s">
        <v>40</v>
      </c>
      <c r="B2990" t="s">
        <v>2994</v>
      </c>
      <c r="C2990" t="s">
        <v>3460</v>
      </c>
      <c r="D2990">
        <v>1199.99</v>
      </c>
    </row>
    <row r="2991" spans="1:4">
      <c r="A2991" t="s">
        <v>40</v>
      </c>
      <c r="B2991" t="s">
        <v>2980</v>
      </c>
      <c r="C2991" t="s">
        <v>3461</v>
      </c>
      <c r="D2991">
        <v>169.99</v>
      </c>
    </row>
    <row r="2992" spans="1:4">
      <c r="A2992" t="s">
        <v>40</v>
      </c>
      <c r="B2992" t="s">
        <v>3081</v>
      </c>
      <c r="C2992" t="s">
        <v>3462</v>
      </c>
      <c r="D2992">
        <v>520.99</v>
      </c>
    </row>
    <row r="2993" spans="1:4">
      <c r="A2993" t="s">
        <v>40</v>
      </c>
      <c r="B2993" t="s">
        <v>3006</v>
      </c>
      <c r="C2993" t="s">
        <v>3463</v>
      </c>
      <c r="D2993">
        <v>779.99</v>
      </c>
    </row>
    <row r="2994" spans="1:4">
      <c r="A2994" t="s">
        <v>40</v>
      </c>
      <c r="B2994" t="s">
        <v>3009</v>
      </c>
      <c r="C2994" t="s">
        <v>3464</v>
      </c>
      <c r="D2994">
        <v>149.99</v>
      </c>
    </row>
    <row r="2995" spans="1:4">
      <c r="A2995" t="s">
        <v>40</v>
      </c>
      <c r="B2995" t="s">
        <v>2983</v>
      </c>
      <c r="C2995" t="s">
        <v>3465</v>
      </c>
      <c r="D2995">
        <v>184.95</v>
      </c>
    </row>
    <row r="2996" spans="1:4">
      <c r="A2996" t="s">
        <v>40</v>
      </c>
      <c r="B2996" t="s">
        <v>2983</v>
      </c>
      <c r="C2996" t="s">
        <v>3466</v>
      </c>
      <c r="D2996">
        <v>209.99</v>
      </c>
    </row>
    <row r="2997" spans="1:4">
      <c r="A2997" t="s">
        <v>40</v>
      </c>
      <c r="B2997" t="s">
        <v>3006</v>
      </c>
      <c r="C2997" t="s">
        <v>3467</v>
      </c>
      <c r="D2997">
        <v>189</v>
      </c>
    </row>
    <row r="2998" spans="1:4">
      <c r="A2998" t="s">
        <v>40</v>
      </c>
      <c r="B2998" t="s">
        <v>2980</v>
      </c>
      <c r="C2998" t="s">
        <v>3468</v>
      </c>
      <c r="D2998">
        <v>149.97999999999999</v>
      </c>
    </row>
    <row r="2999" spans="1:4">
      <c r="A2999" t="s">
        <v>40</v>
      </c>
      <c r="B2999" t="s">
        <v>3006</v>
      </c>
      <c r="C2999" t="s">
        <v>3469</v>
      </c>
      <c r="D2999">
        <v>149.99</v>
      </c>
    </row>
    <row r="3000" spans="1:4">
      <c r="A3000" t="s">
        <v>40</v>
      </c>
      <c r="B3000" t="s">
        <v>3175</v>
      </c>
      <c r="C3000" t="s">
        <v>3470</v>
      </c>
      <c r="D3000">
        <v>99.99</v>
      </c>
    </row>
    <row r="3001" spans="1:4">
      <c r="A3001" t="s">
        <v>40</v>
      </c>
      <c r="B3001" t="s">
        <v>3081</v>
      </c>
      <c r="C3001" t="s">
        <v>3471</v>
      </c>
      <c r="D3001">
        <v>489.99</v>
      </c>
    </row>
    <row r="3002" spans="1:4">
      <c r="A3002" t="s">
        <v>40</v>
      </c>
      <c r="B3002" t="s">
        <v>2980</v>
      </c>
      <c r="C3002" t="s">
        <v>3472</v>
      </c>
      <c r="D3002">
        <v>199</v>
      </c>
    </row>
    <row r="3003" spans="1:4">
      <c r="A3003" t="s">
        <v>40</v>
      </c>
      <c r="B3003" t="s">
        <v>2983</v>
      </c>
      <c r="C3003" t="s">
        <v>3473</v>
      </c>
      <c r="D3003">
        <v>225.71</v>
      </c>
    </row>
    <row r="3004" spans="1:4">
      <c r="A3004" t="s">
        <v>40</v>
      </c>
      <c r="B3004" t="s">
        <v>505</v>
      </c>
      <c r="C3004" t="s">
        <v>3474</v>
      </c>
      <c r="D3004">
        <v>169.99</v>
      </c>
    </row>
    <row r="3005" spans="1:4">
      <c r="A3005" t="s">
        <v>40</v>
      </c>
      <c r="B3005" t="s">
        <v>2983</v>
      </c>
      <c r="C3005" t="s">
        <v>3475</v>
      </c>
      <c r="D3005">
        <v>249.99</v>
      </c>
    </row>
    <row r="3006" spans="1:4">
      <c r="A3006" t="s">
        <v>40</v>
      </c>
      <c r="B3006" t="s">
        <v>2980</v>
      </c>
      <c r="C3006" t="s">
        <v>3476</v>
      </c>
      <c r="D3006">
        <v>179.99</v>
      </c>
    </row>
    <row r="3007" spans="1:4">
      <c r="A3007" t="s">
        <v>40</v>
      </c>
      <c r="B3007" t="s">
        <v>3006</v>
      </c>
      <c r="C3007" t="s">
        <v>3477</v>
      </c>
      <c r="D3007">
        <v>184.99</v>
      </c>
    </row>
    <row r="3008" spans="1:4">
      <c r="A3008" t="s">
        <v>40</v>
      </c>
      <c r="B3008" t="s">
        <v>2983</v>
      </c>
      <c r="C3008" t="s">
        <v>3478</v>
      </c>
      <c r="D3008">
        <v>259</v>
      </c>
    </row>
    <row r="3009" spans="1:4">
      <c r="A3009" t="s">
        <v>40</v>
      </c>
      <c r="B3009" t="s">
        <v>2980</v>
      </c>
      <c r="C3009" t="s">
        <v>3479</v>
      </c>
      <c r="D3009">
        <v>229.99</v>
      </c>
    </row>
    <row r="3010" spans="1:4">
      <c r="A3010" t="s">
        <v>40</v>
      </c>
      <c r="B3010" t="s">
        <v>2983</v>
      </c>
      <c r="C3010" t="s">
        <v>3480</v>
      </c>
      <c r="D3010">
        <v>279.95</v>
      </c>
    </row>
    <row r="3011" spans="1:4">
      <c r="A3011" t="s">
        <v>40</v>
      </c>
      <c r="B3011" t="s">
        <v>1337</v>
      </c>
      <c r="C3011" t="s">
        <v>3481</v>
      </c>
      <c r="D3011">
        <v>299.99</v>
      </c>
    </row>
    <row r="3012" spans="1:4">
      <c r="A3012" t="s">
        <v>40</v>
      </c>
      <c r="B3012" t="s">
        <v>3006</v>
      </c>
      <c r="C3012" t="s">
        <v>3482</v>
      </c>
      <c r="D3012">
        <v>229</v>
      </c>
    </row>
    <row r="3013" spans="1:4">
      <c r="A3013" t="s">
        <v>40</v>
      </c>
      <c r="B3013" t="s">
        <v>3285</v>
      </c>
      <c r="C3013" t="s">
        <v>3483</v>
      </c>
      <c r="D3013">
        <v>74.989999999999995</v>
      </c>
    </row>
    <row r="3014" spans="1:4">
      <c r="A3014" t="s">
        <v>40</v>
      </c>
      <c r="B3014" t="s">
        <v>2980</v>
      </c>
      <c r="C3014" t="s">
        <v>3484</v>
      </c>
      <c r="D3014">
        <v>159.99</v>
      </c>
    </row>
    <row r="3015" spans="1:4">
      <c r="A3015" t="s">
        <v>40</v>
      </c>
      <c r="B3015" t="s">
        <v>2983</v>
      </c>
      <c r="C3015" t="s">
        <v>3485</v>
      </c>
      <c r="D3015">
        <v>99.99</v>
      </c>
    </row>
    <row r="3016" spans="1:4">
      <c r="A3016" t="s">
        <v>40</v>
      </c>
      <c r="B3016" t="s">
        <v>3081</v>
      </c>
      <c r="C3016" t="s">
        <v>3486</v>
      </c>
      <c r="D3016">
        <v>185</v>
      </c>
    </row>
    <row r="3017" spans="1:4">
      <c r="A3017" t="s">
        <v>40</v>
      </c>
      <c r="B3017" t="s">
        <v>3068</v>
      </c>
      <c r="C3017" t="s">
        <v>3487</v>
      </c>
      <c r="D3017">
        <v>64.989999999999995</v>
      </c>
    </row>
    <row r="3018" spans="1:4">
      <c r="A3018" t="s">
        <v>40</v>
      </c>
      <c r="B3018" t="s">
        <v>2983</v>
      </c>
      <c r="C3018" t="s">
        <v>3488</v>
      </c>
      <c r="D3018">
        <v>199.99</v>
      </c>
    </row>
    <row r="3019" spans="1:4">
      <c r="A3019" t="s">
        <v>40</v>
      </c>
      <c r="B3019" t="s">
        <v>2994</v>
      </c>
      <c r="C3019" t="s">
        <v>3489</v>
      </c>
      <c r="D3019">
        <v>149.97999999999999</v>
      </c>
    </row>
    <row r="3020" spans="1:4">
      <c r="A3020" t="s">
        <v>40</v>
      </c>
      <c r="B3020" t="s">
        <v>2980</v>
      </c>
      <c r="C3020" t="s">
        <v>3490</v>
      </c>
      <c r="D3020">
        <v>269.99</v>
      </c>
    </row>
    <row r="3021" spans="1:4">
      <c r="A3021" t="s">
        <v>40</v>
      </c>
      <c r="B3021" t="s">
        <v>2980</v>
      </c>
      <c r="C3021" t="s">
        <v>3491</v>
      </c>
      <c r="D3021">
        <v>138.97999999999999</v>
      </c>
    </row>
    <row r="3022" spans="1:4">
      <c r="A3022" t="s">
        <v>40</v>
      </c>
      <c r="B3022" t="s">
        <v>2983</v>
      </c>
      <c r="C3022" t="s">
        <v>3492</v>
      </c>
      <c r="D3022">
        <v>299.99</v>
      </c>
    </row>
    <row r="3023" spans="1:4">
      <c r="A3023" t="s">
        <v>40</v>
      </c>
      <c r="B3023" t="s">
        <v>2980</v>
      </c>
      <c r="C3023" t="s">
        <v>3493</v>
      </c>
      <c r="D3023">
        <v>178.99</v>
      </c>
    </row>
    <row r="3024" spans="1:4">
      <c r="A3024" t="s">
        <v>40</v>
      </c>
      <c r="B3024" t="s">
        <v>2983</v>
      </c>
      <c r="C3024" t="s">
        <v>3494</v>
      </c>
      <c r="D3024">
        <v>224.99</v>
      </c>
    </row>
    <row r="3025" spans="1:4">
      <c r="A3025" t="s">
        <v>40</v>
      </c>
      <c r="B3025" t="s">
        <v>3006</v>
      </c>
      <c r="C3025" t="s">
        <v>3495</v>
      </c>
      <c r="D3025">
        <v>179.99</v>
      </c>
    </row>
    <row r="3026" spans="1:4">
      <c r="A3026" t="s">
        <v>40</v>
      </c>
      <c r="B3026" t="s">
        <v>2983</v>
      </c>
      <c r="C3026" t="s">
        <v>3496</v>
      </c>
      <c r="D3026">
        <v>399.99</v>
      </c>
    </row>
    <row r="3027" spans="1:4">
      <c r="A3027" t="s">
        <v>40</v>
      </c>
      <c r="B3027" t="s">
        <v>2983</v>
      </c>
      <c r="C3027" t="s">
        <v>3497</v>
      </c>
      <c r="D3027">
        <v>119.99</v>
      </c>
    </row>
    <row r="3028" spans="1:4">
      <c r="A3028" t="s">
        <v>40</v>
      </c>
      <c r="B3028" t="s">
        <v>2980</v>
      </c>
      <c r="C3028" t="s">
        <v>3498</v>
      </c>
      <c r="D3028">
        <v>568.99</v>
      </c>
    </row>
    <row r="3029" spans="1:4">
      <c r="A3029" t="s">
        <v>40</v>
      </c>
      <c r="B3029" t="s">
        <v>3006</v>
      </c>
      <c r="C3029" t="s">
        <v>3499</v>
      </c>
      <c r="D3029">
        <v>199.98</v>
      </c>
    </row>
    <row r="3030" spans="1:4">
      <c r="A3030" t="s">
        <v>40</v>
      </c>
      <c r="B3030" t="s">
        <v>2983</v>
      </c>
      <c r="C3030" t="s">
        <v>3500</v>
      </c>
      <c r="D3030">
        <v>249.99</v>
      </c>
    </row>
    <row r="3031" spans="1:4">
      <c r="A3031" t="s">
        <v>40</v>
      </c>
      <c r="B3031" t="s">
        <v>2983</v>
      </c>
      <c r="C3031" t="s">
        <v>3501</v>
      </c>
      <c r="D3031">
        <v>179.99</v>
      </c>
    </row>
    <row r="3032" spans="1:4">
      <c r="A3032" t="s">
        <v>40</v>
      </c>
      <c r="B3032" t="s">
        <v>2983</v>
      </c>
      <c r="C3032" t="s">
        <v>3502</v>
      </c>
      <c r="D3032">
        <v>317.89</v>
      </c>
    </row>
    <row r="3033" spans="1:4">
      <c r="A3033" t="s">
        <v>40</v>
      </c>
      <c r="B3033" t="s">
        <v>3006</v>
      </c>
      <c r="C3033" t="s">
        <v>3503</v>
      </c>
      <c r="D3033">
        <v>449.99</v>
      </c>
    </row>
    <row r="3034" spans="1:4">
      <c r="A3034" t="s">
        <v>40</v>
      </c>
      <c r="B3034" t="s">
        <v>2980</v>
      </c>
      <c r="C3034" t="s">
        <v>3504</v>
      </c>
      <c r="D3034">
        <v>169.98</v>
      </c>
    </row>
    <row r="3035" spans="1:4">
      <c r="A3035" t="s">
        <v>40</v>
      </c>
      <c r="B3035" t="s">
        <v>2983</v>
      </c>
      <c r="C3035" t="s">
        <v>3505</v>
      </c>
      <c r="D3035">
        <v>119</v>
      </c>
    </row>
    <row r="3036" spans="1:4">
      <c r="A3036" t="s">
        <v>40</v>
      </c>
      <c r="B3036" t="s">
        <v>3030</v>
      </c>
      <c r="C3036" t="s">
        <v>3506</v>
      </c>
      <c r="D3036">
        <v>350</v>
      </c>
    </row>
    <row r="3037" spans="1:4">
      <c r="A3037" t="s">
        <v>40</v>
      </c>
      <c r="B3037" t="s">
        <v>2980</v>
      </c>
      <c r="C3037" t="s">
        <v>3507</v>
      </c>
      <c r="D3037">
        <v>289.95</v>
      </c>
    </row>
    <row r="3038" spans="1:4">
      <c r="A3038" t="s">
        <v>40</v>
      </c>
      <c r="B3038" t="s">
        <v>561</v>
      </c>
      <c r="C3038" t="s">
        <v>3508</v>
      </c>
      <c r="D3038">
        <v>379.99</v>
      </c>
    </row>
    <row r="3039" spans="1:4">
      <c r="A3039" t="s">
        <v>40</v>
      </c>
      <c r="B3039" t="s">
        <v>3006</v>
      </c>
      <c r="C3039" t="s">
        <v>3509</v>
      </c>
      <c r="D3039">
        <v>474</v>
      </c>
    </row>
    <row r="3040" spans="1:4">
      <c r="A3040" t="s">
        <v>40</v>
      </c>
      <c r="B3040" t="s">
        <v>3006</v>
      </c>
      <c r="C3040" t="s">
        <v>3510</v>
      </c>
      <c r="D3040">
        <v>349.99</v>
      </c>
    </row>
    <row r="3041" spans="1:4">
      <c r="A3041" t="s">
        <v>40</v>
      </c>
      <c r="B3041" t="s">
        <v>3006</v>
      </c>
      <c r="C3041" t="s">
        <v>3511</v>
      </c>
      <c r="D3041">
        <v>444.97</v>
      </c>
    </row>
    <row r="3042" spans="1:4">
      <c r="A3042" t="s">
        <v>40</v>
      </c>
      <c r="B3042" t="s">
        <v>3081</v>
      </c>
      <c r="C3042" t="s">
        <v>3512</v>
      </c>
      <c r="D3042">
        <v>399.99</v>
      </c>
    </row>
    <row r="3043" spans="1:4">
      <c r="A3043" t="s">
        <v>40</v>
      </c>
      <c r="B3043" t="s">
        <v>2983</v>
      </c>
      <c r="C3043" t="s">
        <v>3513</v>
      </c>
      <c r="D3043">
        <v>131.57</v>
      </c>
    </row>
    <row r="3044" spans="1:4">
      <c r="A3044" t="s">
        <v>40</v>
      </c>
      <c r="B3044" t="s">
        <v>2983</v>
      </c>
      <c r="C3044" t="s">
        <v>3514</v>
      </c>
      <c r="D3044">
        <v>119.99</v>
      </c>
    </row>
    <row r="3045" spans="1:4">
      <c r="A3045" t="s">
        <v>40</v>
      </c>
      <c r="B3045" t="s">
        <v>2980</v>
      </c>
      <c r="C3045" t="s">
        <v>3515</v>
      </c>
      <c r="D3045">
        <v>107.98</v>
      </c>
    </row>
    <row r="3046" spans="1:4">
      <c r="A3046" t="s">
        <v>40</v>
      </c>
      <c r="B3046" t="s">
        <v>2983</v>
      </c>
      <c r="C3046" t="s">
        <v>3516</v>
      </c>
      <c r="D3046">
        <v>159.99</v>
      </c>
    </row>
    <row r="3047" spans="1:4">
      <c r="A3047" t="s">
        <v>40</v>
      </c>
      <c r="B3047" t="s">
        <v>2994</v>
      </c>
      <c r="C3047" t="s">
        <v>3517</v>
      </c>
      <c r="D3047">
        <v>119.99</v>
      </c>
    </row>
    <row r="3048" spans="1:4">
      <c r="A3048" t="s">
        <v>40</v>
      </c>
      <c r="B3048" t="s">
        <v>2983</v>
      </c>
      <c r="C3048" t="s">
        <v>3518</v>
      </c>
      <c r="D3048">
        <v>89.99</v>
      </c>
    </row>
    <row r="3049" spans="1:4">
      <c r="A3049" t="s">
        <v>40</v>
      </c>
      <c r="B3049" t="s">
        <v>2980</v>
      </c>
      <c r="C3049" t="s">
        <v>3519</v>
      </c>
      <c r="D3049">
        <v>225</v>
      </c>
    </row>
    <row r="3050" spans="1:4">
      <c r="A3050" t="s">
        <v>40</v>
      </c>
      <c r="B3050" t="s">
        <v>2980</v>
      </c>
      <c r="C3050" t="s">
        <v>3520</v>
      </c>
      <c r="D3050">
        <v>149</v>
      </c>
    </row>
    <row r="3051" spans="1:4">
      <c r="A3051" t="s">
        <v>40</v>
      </c>
      <c r="B3051" t="s">
        <v>2980</v>
      </c>
      <c r="C3051" t="s">
        <v>3521</v>
      </c>
      <c r="D3051">
        <v>159</v>
      </c>
    </row>
    <row r="3052" spans="1:4">
      <c r="A3052" t="s">
        <v>40</v>
      </c>
      <c r="B3052" t="s">
        <v>3006</v>
      </c>
      <c r="C3052" t="s">
        <v>3522</v>
      </c>
      <c r="D3052">
        <v>399.99</v>
      </c>
    </row>
    <row r="3053" spans="1:4">
      <c r="A3053" t="s">
        <v>40</v>
      </c>
      <c r="B3053" t="s">
        <v>2980</v>
      </c>
      <c r="C3053" t="s">
        <v>3523</v>
      </c>
      <c r="D3053">
        <v>399.99</v>
      </c>
    </row>
    <row r="3054" spans="1:4">
      <c r="A3054" t="s">
        <v>40</v>
      </c>
      <c r="B3054" t="s">
        <v>3006</v>
      </c>
      <c r="C3054" t="s">
        <v>3524</v>
      </c>
      <c r="D3054">
        <v>549.99</v>
      </c>
    </row>
    <row r="3055" spans="1:4">
      <c r="A3055" t="s">
        <v>40</v>
      </c>
      <c r="B3055" t="s">
        <v>3006</v>
      </c>
      <c r="C3055" t="s">
        <v>3525</v>
      </c>
      <c r="D3055">
        <v>599.94000000000005</v>
      </c>
    </row>
    <row r="3056" spans="1:4">
      <c r="A3056" t="s">
        <v>40</v>
      </c>
      <c r="B3056" t="s">
        <v>2980</v>
      </c>
      <c r="C3056" t="s">
        <v>3526</v>
      </c>
      <c r="D3056">
        <v>259.95</v>
      </c>
    </row>
    <row r="3057" spans="1:4">
      <c r="A3057" t="s">
        <v>40</v>
      </c>
      <c r="B3057" t="s">
        <v>2983</v>
      </c>
      <c r="C3057" t="s">
        <v>3527</v>
      </c>
      <c r="D3057">
        <v>139.99</v>
      </c>
    </row>
    <row r="3058" spans="1:4">
      <c r="A3058" t="s">
        <v>40</v>
      </c>
      <c r="B3058" t="s">
        <v>3006</v>
      </c>
      <c r="C3058" t="s">
        <v>3528</v>
      </c>
      <c r="D3058">
        <v>339</v>
      </c>
    </row>
    <row r="3059" spans="1:4">
      <c r="A3059" t="s">
        <v>40</v>
      </c>
      <c r="B3059" t="s">
        <v>3006</v>
      </c>
      <c r="C3059" t="s">
        <v>3529</v>
      </c>
      <c r="D3059">
        <v>379.99</v>
      </c>
    </row>
    <row r="3060" spans="1:4">
      <c r="A3060" t="s">
        <v>40</v>
      </c>
      <c r="B3060" t="s">
        <v>2994</v>
      </c>
      <c r="C3060" t="s">
        <v>3530</v>
      </c>
      <c r="D3060">
        <v>169.99</v>
      </c>
    </row>
    <row r="3061" spans="1:4">
      <c r="A3061" t="s">
        <v>40</v>
      </c>
      <c r="B3061" t="s">
        <v>2980</v>
      </c>
      <c r="C3061" t="s">
        <v>3531</v>
      </c>
      <c r="D3061">
        <v>129.99</v>
      </c>
    </row>
    <row r="3062" spans="1:4">
      <c r="A3062" t="s">
        <v>40</v>
      </c>
      <c r="B3062" t="s">
        <v>505</v>
      </c>
      <c r="C3062" t="s">
        <v>3532</v>
      </c>
      <c r="D3062">
        <v>617.99</v>
      </c>
    </row>
    <row r="3063" spans="1:4">
      <c r="A3063" t="s">
        <v>40</v>
      </c>
      <c r="B3063" t="s">
        <v>2980</v>
      </c>
      <c r="C3063" t="s">
        <v>3533</v>
      </c>
      <c r="D3063">
        <v>499.99</v>
      </c>
    </row>
    <row r="3064" spans="1:4">
      <c r="A3064" t="s">
        <v>40</v>
      </c>
      <c r="B3064" t="s">
        <v>2980</v>
      </c>
      <c r="C3064" t="s">
        <v>3534</v>
      </c>
      <c r="D3064">
        <v>269.99</v>
      </c>
    </row>
    <row r="3065" spans="1:4">
      <c r="A3065" t="s">
        <v>40</v>
      </c>
      <c r="B3065" t="s">
        <v>2980</v>
      </c>
      <c r="C3065" t="s">
        <v>3535</v>
      </c>
      <c r="D3065">
        <v>419.99</v>
      </c>
    </row>
    <row r="3066" spans="1:4">
      <c r="A3066" t="s">
        <v>40</v>
      </c>
      <c r="B3066" t="s">
        <v>2980</v>
      </c>
      <c r="C3066" t="s">
        <v>3536</v>
      </c>
      <c r="D3066">
        <v>399</v>
      </c>
    </row>
    <row r="3067" spans="1:4">
      <c r="A3067" t="s">
        <v>40</v>
      </c>
      <c r="B3067" t="s">
        <v>2980</v>
      </c>
      <c r="C3067" t="s">
        <v>3537</v>
      </c>
      <c r="D3067">
        <v>119</v>
      </c>
    </row>
    <row r="3068" spans="1:4">
      <c r="A3068" t="s">
        <v>40</v>
      </c>
      <c r="B3068" t="s">
        <v>3030</v>
      </c>
      <c r="C3068" t="s">
        <v>3538</v>
      </c>
      <c r="D3068">
        <v>525</v>
      </c>
    </row>
    <row r="3069" spans="1:4">
      <c r="A3069" t="s">
        <v>40</v>
      </c>
      <c r="B3069" t="s">
        <v>3030</v>
      </c>
      <c r="C3069" t="s">
        <v>3539</v>
      </c>
      <c r="D3069">
        <v>375</v>
      </c>
    </row>
    <row r="3070" spans="1:4">
      <c r="A3070" t="s">
        <v>40</v>
      </c>
      <c r="B3070" t="s">
        <v>2980</v>
      </c>
      <c r="C3070" t="s">
        <v>3540</v>
      </c>
      <c r="D3070">
        <v>163.25</v>
      </c>
    </row>
    <row r="3071" spans="1:4">
      <c r="A3071" t="s">
        <v>40</v>
      </c>
      <c r="B3071" t="s">
        <v>2980</v>
      </c>
      <c r="C3071" t="s">
        <v>3541</v>
      </c>
      <c r="D3071">
        <v>174.99</v>
      </c>
    </row>
    <row r="3072" spans="1:4">
      <c r="A3072" t="s">
        <v>40</v>
      </c>
      <c r="B3072" t="s">
        <v>3006</v>
      </c>
      <c r="C3072" t="s">
        <v>3542</v>
      </c>
      <c r="D3072">
        <v>169.98</v>
      </c>
    </row>
    <row r="3073" spans="1:4">
      <c r="A3073" t="s">
        <v>40</v>
      </c>
      <c r="B3073" t="s">
        <v>2980</v>
      </c>
      <c r="C3073" t="s">
        <v>3543</v>
      </c>
      <c r="D3073">
        <v>111.18</v>
      </c>
    </row>
    <row r="3074" spans="1:4">
      <c r="A3074" t="s">
        <v>40</v>
      </c>
      <c r="B3074" t="s">
        <v>2980</v>
      </c>
      <c r="C3074" t="s">
        <v>3544</v>
      </c>
      <c r="D3074">
        <v>829.99</v>
      </c>
    </row>
    <row r="3075" spans="1:4">
      <c r="A3075" t="s">
        <v>40</v>
      </c>
      <c r="B3075" t="s">
        <v>2980</v>
      </c>
      <c r="C3075" t="s">
        <v>3545</v>
      </c>
      <c r="D3075">
        <v>219.99</v>
      </c>
    </row>
    <row r="3076" spans="1:4">
      <c r="A3076" t="s">
        <v>40</v>
      </c>
      <c r="B3076" t="s">
        <v>505</v>
      </c>
      <c r="C3076" t="s">
        <v>3546</v>
      </c>
      <c r="D3076">
        <v>699.99</v>
      </c>
    </row>
    <row r="3077" spans="1:4">
      <c r="A3077" t="s">
        <v>40</v>
      </c>
      <c r="B3077" t="s">
        <v>2983</v>
      </c>
      <c r="C3077" t="s">
        <v>3547</v>
      </c>
      <c r="D3077">
        <v>152.97999999999999</v>
      </c>
    </row>
    <row r="3078" spans="1:4">
      <c r="A3078" t="s">
        <v>40</v>
      </c>
      <c r="B3078" t="s">
        <v>2980</v>
      </c>
      <c r="C3078" t="s">
        <v>3548</v>
      </c>
      <c r="D3078">
        <v>974.99</v>
      </c>
    </row>
    <row r="3079" spans="1:4">
      <c r="A3079" t="s">
        <v>40</v>
      </c>
      <c r="B3079" t="s">
        <v>510</v>
      </c>
      <c r="C3079" t="s">
        <v>3549</v>
      </c>
      <c r="D3079">
        <v>260</v>
      </c>
    </row>
    <row r="3080" spans="1:4">
      <c r="A3080" t="s">
        <v>40</v>
      </c>
      <c r="B3080" t="s">
        <v>2980</v>
      </c>
      <c r="C3080" t="s">
        <v>3550</v>
      </c>
      <c r="D3080">
        <v>169.99</v>
      </c>
    </row>
    <row r="3081" spans="1:4">
      <c r="A3081" t="s">
        <v>40</v>
      </c>
      <c r="B3081" t="s">
        <v>2980</v>
      </c>
      <c r="C3081" t="s">
        <v>3551</v>
      </c>
      <c r="D3081">
        <v>159.99</v>
      </c>
    </row>
    <row r="3082" spans="1:4">
      <c r="A3082" t="s">
        <v>40</v>
      </c>
      <c r="B3082" t="s">
        <v>2980</v>
      </c>
      <c r="C3082" t="s">
        <v>3552</v>
      </c>
      <c r="D3082">
        <v>329.99</v>
      </c>
    </row>
    <row r="3083" spans="1:4">
      <c r="A3083" t="s">
        <v>40</v>
      </c>
      <c r="B3083" t="s">
        <v>3006</v>
      </c>
      <c r="C3083" t="s">
        <v>3553</v>
      </c>
      <c r="D3083">
        <v>129.99</v>
      </c>
    </row>
    <row r="3084" spans="1:4">
      <c r="A3084" t="s">
        <v>40</v>
      </c>
      <c r="B3084" t="s">
        <v>2983</v>
      </c>
      <c r="C3084" t="s">
        <v>3554</v>
      </c>
      <c r="D3084">
        <v>128.99</v>
      </c>
    </row>
    <row r="3085" spans="1:4">
      <c r="A3085" t="s">
        <v>40</v>
      </c>
      <c r="B3085" t="s">
        <v>2980</v>
      </c>
      <c r="C3085" t="s">
        <v>3555</v>
      </c>
      <c r="D3085">
        <v>179.99</v>
      </c>
    </row>
    <row r="3086" spans="1:4">
      <c r="A3086" t="s">
        <v>40</v>
      </c>
      <c r="B3086" t="s">
        <v>3006</v>
      </c>
      <c r="C3086" t="s">
        <v>3556</v>
      </c>
      <c r="D3086">
        <v>149.99</v>
      </c>
    </row>
    <row r="3087" spans="1:4">
      <c r="A3087" t="s">
        <v>40</v>
      </c>
      <c r="B3087" t="s">
        <v>2983</v>
      </c>
      <c r="C3087" t="s">
        <v>3557</v>
      </c>
      <c r="D3087">
        <v>195</v>
      </c>
    </row>
    <row r="3088" spans="1:4">
      <c r="A3088" t="s">
        <v>40</v>
      </c>
      <c r="B3088" t="s">
        <v>3006</v>
      </c>
      <c r="C3088" t="s">
        <v>3558</v>
      </c>
      <c r="D3088">
        <v>99.99</v>
      </c>
    </row>
    <row r="3089" spans="1:4">
      <c r="A3089" t="s">
        <v>40</v>
      </c>
      <c r="B3089" t="s">
        <v>3006</v>
      </c>
      <c r="C3089" t="s">
        <v>3559</v>
      </c>
      <c r="D3089">
        <v>350</v>
      </c>
    </row>
    <row r="3090" spans="1:4">
      <c r="A3090" t="s">
        <v>40</v>
      </c>
      <c r="B3090" t="s">
        <v>2980</v>
      </c>
      <c r="C3090" t="s">
        <v>3560</v>
      </c>
      <c r="D3090">
        <v>169.99</v>
      </c>
    </row>
    <row r="3091" spans="1:4">
      <c r="A3091" t="s">
        <v>40</v>
      </c>
      <c r="B3091" t="s">
        <v>2980</v>
      </c>
      <c r="C3091" t="s">
        <v>3561</v>
      </c>
      <c r="D3091">
        <v>159.99</v>
      </c>
    </row>
    <row r="3092" spans="1:4">
      <c r="A3092" t="s">
        <v>40</v>
      </c>
      <c r="B3092" t="s">
        <v>2980</v>
      </c>
      <c r="C3092" t="s">
        <v>3562</v>
      </c>
      <c r="D3092">
        <v>219.99</v>
      </c>
    </row>
    <row r="3093" spans="1:4">
      <c r="A3093" t="s">
        <v>40</v>
      </c>
      <c r="B3093" t="s">
        <v>3006</v>
      </c>
      <c r="C3093" t="s">
        <v>3563</v>
      </c>
      <c r="D3093">
        <v>109.99</v>
      </c>
    </row>
    <row r="3094" spans="1:4">
      <c r="A3094" t="s">
        <v>40</v>
      </c>
      <c r="B3094" t="s">
        <v>3081</v>
      </c>
      <c r="C3094" t="s">
        <v>3564</v>
      </c>
      <c r="D3094">
        <v>350</v>
      </c>
    </row>
    <row r="3095" spans="1:4">
      <c r="A3095" t="s">
        <v>40</v>
      </c>
      <c r="B3095" t="s">
        <v>2994</v>
      </c>
      <c r="C3095" t="s">
        <v>3565</v>
      </c>
      <c r="D3095">
        <v>449.99</v>
      </c>
    </row>
    <row r="3096" spans="1:4">
      <c r="A3096" t="s">
        <v>40</v>
      </c>
      <c r="B3096" t="s">
        <v>2980</v>
      </c>
      <c r="C3096" t="s">
        <v>3566</v>
      </c>
      <c r="D3096">
        <v>499.99</v>
      </c>
    </row>
    <row r="3097" spans="1:4">
      <c r="A3097" t="s">
        <v>40</v>
      </c>
      <c r="B3097" t="s">
        <v>2980</v>
      </c>
      <c r="C3097" t="s">
        <v>3567</v>
      </c>
      <c r="D3097">
        <v>114.38</v>
      </c>
    </row>
    <row r="3098" spans="1:4">
      <c r="A3098" t="s">
        <v>40</v>
      </c>
      <c r="B3098" t="s">
        <v>2983</v>
      </c>
      <c r="C3098" t="s">
        <v>3568</v>
      </c>
      <c r="D3098">
        <v>279.99</v>
      </c>
    </row>
    <row r="3099" spans="1:4">
      <c r="A3099" t="s">
        <v>40</v>
      </c>
      <c r="B3099" t="s">
        <v>2980</v>
      </c>
      <c r="C3099" t="s">
        <v>3569</v>
      </c>
      <c r="D3099">
        <v>133.19</v>
      </c>
    </row>
    <row r="3100" spans="1:4">
      <c r="A3100" t="s">
        <v>40</v>
      </c>
      <c r="B3100" t="s">
        <v>2994</v>
      </c>
      <c r="C3100" t="s">
        <v>3570</v>
      </c>
      <c r="D3100">
        <v>749.99</v>
      </c>
    </row>
    <row r="3101" spans="1:4">
      <c r="A3101" t="s">
        <v>40</v>
      </c>
      <c r="B3101" t="s">
        <v>3006</v>
      </c>
      <c r="C3101" t="s">
        <v>3571</v>
      </c>
      <c r="D3101">
        <v>159.99</v>
      </c>
    </row>
    <row r="3102" spans="1:4">
      <c r="A3102" t="s">
        <v>40</v>
      </c>
      <c r="B3102" t="s">
        <v>2980</v>
      </c>
      <c r="C3102" t="s">
        <v>3572</v>
      </c>
      <c r="D3102">
        <v>149.97999999999999</v>
      </c>
    </row>
    <row r="3103" spans="1:4">
      <c r="A3103" t="s">
        <v>40</v>
      </c>
      <c r="B3103" t="s">
        <v>2983</v>
      </c>
      <c r="C3103" t="s">
        <v>3573</v>
      </c>
      <c r="D3103">
        <v>164.99</v>
      </c>
    </row>
    <row r="3104" spans="1:4">
      <c r="A3104" t="s">
        <v>40</v>
      </c>
      <c r="B3104" t="s">
        <v>3006</v>
      </c>
      <c r="C3104" t="s">
        <v>3574</v>
      </c>
      <c r="D3104">
        <v>199.99</v>
      </c>
    </row>
    <row r="3105" spans="1:4">
      <c r="A3105" t="s">
        <v>40</v>
      </c>
      <c r="B3105" t="s">
        <v>2983</v>
      </c>
      <c r="C3105" t="s">
        <v>3575</v>
      </c>
      <c r="D3105">
        <v>399.99</v>
      </c>
    </row>
    <row r="3106" spans="1:4">
      <c r="A3106" t="s">
        <v>40</v>
      </c>
      <c r="B3106" t="s">
        <v>3081</v>
      </c>
      <c r="C3106" t="s">
        <v>3576</v>
      </c>
      <c r="D3106">
        <v>89.99</v>
      </c>
    </row>
    <row r="3107" spans="1:4">
      <c r="A3107" t="s">
        <v>40</v>
      </c>
      <c r="B3107" t="s">
        <v>3006</v>
      </c>
      <c r="C3107" t="s">
        <v>3577</v>
      </c>
      <c r="D3107">
        <v>799.99</v>
      </c>
    </row>
    <row r="3108" spans="1:4">
      <c r="A3108" t="s">
        <v>40</v>
      </c>
      <c r="B3108" t="s">
        <v>2983</v>
      </c>
      <c r="C3108" t="s">
        <v>3578</v>
      </c>
      <c r="D3108">
        <v>179.99</v>
      </c>
    </row>
    <row r="3109" spans="1:4">
      <c r="A3109" t="s">
        <v>40</v>
      </c>
      <c r="B3109" t="s">
        <v>2983</v>
      </c>
      <c r="C3109" t="s">
        <v>3579</v>
      </c>
      <c r="D3109">
        <v>299.99</v>
      </c>
    </row>
    <row r="3110" spans="1:4">
      <c r="A3110" t="s">
        <v>40</v>
      </c>
      <c r="B3110" t="s">
        <v>2980</v>
      </c>
      <c r="C3110" t="s">
        <v>3580</v>
      </c>
      <c r="D3110">
        <v>329.99</v>
      </c>
    </row>
    <row r="3111" spans="1:4">
      <c r="A3111" t="s">
        <v>40</v>
      </c>
      <c r="B3111" t="s">
        <v>2983</v>
      </c>
      <c r="C3111" t="s">
        <v>3581</v>
      </c>
      <c r="D3111">
        <v>877.99</v>
      </c>
    </row>
    <row r="3112" spans="1:4">
      <c r="A3112" t="s">
        <v>40</v>
      </c>
      <c r="B3112" t="s">
        <v>2983</v>
      </c>
      <c r="C3112" t="s">
        <v>3582</v>
      </c>
      <c r="D3112">
        <v>164.99</v>
      </c>
    </row>
    <row r="3113" spans="1:4">
      <c r="A3113" t="s">
        <v>40</v>
      </c>
      <c r="B3113" t="s">
        <v>3006</v>
      </c>
      <c r="C3113" t="s">
        <v>3583</v>
      </c>
      <c r="D3113">
        <v>169.98</v>
      </c>
    </row>
    <row r="3114" spans="1:4">
      <c r="A3114" t="s">
        <v>40</v>
      </c>
      <c r="B3114" t="s">
        <v>3081</v>
      </c>
      <c r="C3114" t="s">
        <v>3584</v>
      </c>
      <c r="D3114">
        <v>199.99</v>
      </c>
    </row>
    <row r="3115" spans="1:4">
      <c r="A3115" t="s">
        <v>40</v>
      </c>
      <c r="B3115" t="s">
        <v>2980</v>
      </c>
      <c r="C3115" t="s">
        <v>3585</v>
      </c>
      <c r="D3115">
        <v>359</v>
      </c>
    </row>
    <row r="3116" spans="1:4">
      <c r="A3116" t="s">
        <v>40</v>
      </c>
      <c r="B3116" t="s">
        <v>2983</v>
      </c>
      <c r="C3116" t="s">
        <v>3586</v>
      </c>
      <c r="D3116">
        <v>185</v>
      </c>
    </row>
    <row r="3117" spans="1:4">
      <c r="A3117" t="s">
        <v>40</v>
      </c>
      <c r="B3117" t="s">
        <v>3006</v>
      </c>
      <c r="C3117" t="s">
        <v>3587</v>
      </c>
      <c r="D3117">
        <v>1299.99</v>
      </c>
    </row>
    <row r="3118" spans="1:4">
      <c r="A3118" t="s">
        <v>40</v>
      </c>
      <c r="B3118" t="s">
        <v>2983</v>
      </c>
      <c r="C3118" t="s">
        <v>3588</v>
      </c>
      <c r="D3118">
        <v>349.99</v>
      </c>
    </row>
    <row r="3119" spans="1:4">
      <c r="A3119" t="s">
        <v>40</v>
      </c>
      <c r="B3119" t="s">
        <v>2980</v>
      </c>
      <c r="C3119" t="s">
        <v>3589</v>
      </c>
      <c r="D3119">
        <v>174.95</v>
      </c>
    </row>
    <row r="3120" spans="1:4">
      <c r="A3120" t="s">
        <v>40</v>
      </c>
      <c r="B3120" t="s">
        <v>2983</v>
      </c>
      <c r="C3120" t="s">
        <v>3590</v>
      </c>
      <c r="D3120">
        <v>329.99</v>
      </c>
    </row>
    <row r="3121" spans="1:4">
      <c r="A3121" t="s">
        <v>40</v>
      </c>
      <c r="B3121" t="s">
        <v>561</v>
      </c>
      <c r="C3121" t="s">
        <v>3591</v>
      </c>
      <c r="D3121">
        <v>329.99</v>
      </c>
    </row>
    <row r="3122" spans="1:4">
      <c r="A3122" t="s">
        <v>40</v>
      </c>
      <c r="B3122" t="s">
        <v>3107</v>
      </c>
      <c r="C3122" t="s">
        <v>3592</v>
      </c>
      <c r="D3122">
        <v>274.99</v>
      </c>
    </row>
    <row r="3123" spans="1:4">
      <c r="A3123" t="s">
        <v>40</v>
      </c>
      <c r="B3123" t="s">
        <v>2980</v>
      </c>
      <c r="C3123" t="s">
        <v>3593</v>
      </c>
      <c r="D3123">
        <v>139.99</v>
      </c>
    </row>
    <row r="3124" spans="1:4">
      <c r="A3124" t="s">
        <v>40</v>
      </c>
      <c r="B3124" t="s">
        <v>2983</v>
      </c>
      <c r="C3124" t="s">
        <v>3594</v>
      </c>
      <c r="D3124">
        <v>2849.99</v>
      </c>
    </row>
    <row r="3125" spans="1:4">
      <c r="A3125" t="s">
        <v>40</v>
      </c>
      <c r="B3125" t="s">
        <v>2980</v>
      </c>
      <c r="C3125" t="s">
        <v>3595</v>
      </c>
      <c r="D3125">
        <v>123.99</v>
      </c>
    </row>
    <row r="3126" spans="1:4">
      <c r="A3126" t="s">
        <v>40</v>
      </c>
      <c r="B3126" t="s">
        <v>505</v>
      </c>
      <c r="C3126" t="s">
        <v>3596</v>
      </c>
      <c r="D3126">
        <v>365</v>
      </c>
    </row>
    <row r="3127" spans="1:4">
      <c r="A3127" t="s">
        <v>40</v>
      </c>
      <c r="B3127" t="s">
        <v>1337</v>
      </c>
      <c r="C3127" t="s">
        <v>3597</v>
      </c>
      <c r="D3127">
        <v>329.99</v>
      </c>
    </row>
    <row r="3128" spans="1:4">
      <c r="A3128" t="s">
        <v>40</v>
      </c>
      <c r="B3128" t="s">
        <v>3107</v>
      </c>
      <c r="C3128" t="s">
        <v>3598</v>
      </c>
      <c r="D3128">
        <v>2399.9899999999998</v>
      </c>
    </row>
    <row r="3129" spans="1:4">
      <c r="A3129" t="s">
        <v>40</v>
      </c>
      <c r="B3129" t="s">
        <v>2983</v>
      </c>
      <c r="C3129" t="s">
        <v>3599</v>
      </c>
      <c r="D3129">
        <v>149.99</v>
      </c>
    </row>
    <row r="3130" spans="1:4">
      <c r="A3130" t="s">
        <v>40</v>
      </c>
      <c r="B3130" t="s">
        <v>2983</v>
      </c>
      <c r="C3130" t="s">
        <v>3600</v>
      </c>
      <c r="D3130">
        <v>269.99</v>
      </c>
    </row>
    <row r="3131" spans="1:4">
      <c r="A3131" t="s">
        <v>40</v>
      </c>
      <c r="B3131" t="s">
        <v>3006</v>
      </c>
      <c r="C3131" t="s">
        <v>3601</v>
      </c>
      <c r="D3131">
        <v>99.99</v>
      </c>
    </row>
    <row r="3132" spans="1:4">
      <c r="A3132" t="s">
        <v>40</v>
      </c>
      <c r="B3132" t="s">
        <v>2983</v>
      </c>
      <c r="C3132" t="s">
        <v>3554</v>
      </c>
      <c r="D3132">
        <v>123.99</v>
      </c>
    </row>
    <row r="3133" spans="1:4">
      <c r="A3133" t="s">
        <v>40</v>
      </c>
      <c r="B3133" t="s">
        <v>2994</v>
      </c>
      <c r="C3133" t="s">
        <v>3602</v>
      </c>
      <c r="D3133">
        <v>199.99</v>
      </c>
    </row>
    <row r="3134" spans="1:4">
      <c r="A3134" t="s">
        <v>40</v>
      </c>
      <c r="B3134" t="s">
        <v>3081</v>
      </c>
      <c r="C3134" t="s">
        <v>3603</v>
      </c>
      <c r="D3134">
        <v>299.99</v>
      </c>
    </row>
    <row r="3135" spans="1:4">
      <c r="A3135" t="s">
        <v>40</v>
      </c>
      <c r="B3135" t="s">
        <v>2994</v>
      </c>
      <c r="C3135" t="s">
        <v>3604</v>
      </c>
      <c r="D3135">
        <v>151.97999999999999</v>
      </c>
    </row>
    <row r="3136" spans="1:4">
      <c r="A3136" t="s">
        <v>40</v>
      </c>
      <c r="B3136" t="s">
        <v>3006</v>
      </c>
      <c r="C3136" t="s">
        <v>3605</v>
      </c>
      <c r="D3136">
        <v>129.99</v>
      </c>
    </row>
    <row r="3137" spans="1:4">
      <c r="A3137" t="s">
        <v>40</v>
      </c>
      <c r="B3137" t="s">
        <v>3006</v>
      </c>
      <c r="C3137" t="s">
        <v>3606</v>
      </c>
      <c r="D3137">
        <v>449.99</v>
      </c>
    </row>
    <row r="3138" spans="1:4">
      <c r="A3138" t="s">
        <v>40</v>
      </c>
      <c r="B3138" t="s">
        <v>2983</v>
      </c>
      <c r="C3138" t="s">
        <v>3607</v>
      </c>
      <c r="D3138">
        <v>221.75</v>
      </c>
    </row>
    <row r="3139" spans="1:4">
      <c r="A3139" t="s">
        <v>40</v>
      </c>
      <c r="B3139" t="s">
        <v>2980</v>
      </c>
      <c r="C3139" t="s">
        <v>3608</v>
      </c>
      <c r="D3139">
        <v>819.99</v>
      </c>
    </row>
    <row r="3140" spans="1:4">
      <c r="A3140" t="s">
        <v>40</v>
      </c>
      <c r="B3140" t="s">
        <v>3006</v>
      </c>
      <c r="C3140" t="s">
        <v>3609</v>
      </c>
      <c r="D3140">
        <v>299.99</v>
      </c>
    </row>
    <row r="3141" spans="1:4">
      <c r="A3141" t="s">
        <v>40</v>
      </c>
      <c r="B3141" t="s">
        <v>3009</v>
      </c>
      <c r="C3141" t="s">
        <v>3610</v>
      </c>
      <c r="D3141">
        <v>119.99</v>
      </c>
    </row>
    <row r="3142" spans="1:4">
      <c r="A3142" t="s">
        <v>40</v>
      </c>
      <c r="B3142" t="s">
        <v>3081</v>
      </c>
      <c r="C3142" t="s">
        <v>3611</v>
      </c>
      <c r="D3142">
        <v>499.99</v>
      </c>
    </row>
    <row r="3143" spans="1:4">
      <c r="A3143" t="s">
        <v>40</v>
      </c>
      <c r="B3143" t="s">
        <v>2980</v>
      </c>
      <c r="C3143" t="s">
        <v>3612</v>
      </c>
      <c r="D3143">
        <v>999.99</v>
      </c>
    </row>
    <row r="3144" spans="1:4">
      <c r="A3144" t="s">
        <v>40</v>
      </c>
      <c r="B3144" t="s">
        <v>3006</v>
      </c>
      <c r="C3144" t="s">
        <v>3613</v>
      </c>
      <c r="D3144">
        <v>399</v>
      </c>
    </row>
    <row r="3145" spans="1:4">
      <c r="A3145" t="s">
        <v>40</v>
      </c>
      <c r="B3145" t="s">
        <v>2980</v>
      </c>
      <c r="C3145" t="s">
        <v>3614</v>
      </c>
      <c r="D3145">
        <v>230</v>
      </c>
    </row>
    <row r="3146" spans="1:4">
      <c r="A3146" t="s">
        <v>40</v>
      </c>
      <c r="B3146" t="s">
        <v>2983</v>
      </c>
      <c r="C3146" t="s">
        <v>3615</v>
      </c>
      <c r="D3146">
        <v>599.99</v>
      </c>
    </row>
    <row r="3147" spans="1:4">
      <c r="A3147" t="s">
        <v>40</v>
      </c>
      <c r="B3147" t="s">
        <v>2980</v>
      </c>
      <c r="C3147" t="s">
        <v>3616</v>
      </c>
      <c r="D3147">
        <v>450</v>
      </c>
    </row>
    <row r="3148" spans="1:4">
      <c r="A3148" t="s">
        <v>40</v>
      </c>
      <c r="B3148" t="s">
        <v>2980</v>
      </c>
      <c r="C3148" t="s">
        <v>3617</v>
      </c>
      <c r="D3148">
        <v>299</v>
      </c>
    </row>
    <row r="3149" spans="1:4">
      <c r="A3149" t="s">
        <v>40</v>
      </c>
      <c r="B3149" t="s">
        <v>2983</v>
      </c>
      <c r="C3149" t="s">
        <v>3618</v>
      </c>
      <c r="D3149">
        <v>299</v>
      </c>
    </row>
    <row r="3150" spans="1:4">
      <c r="A3150" t="s">
        <v>40</v>
      </c>
      <c r="B3150" t="s">
        <v>2994</v>
      </c>
      <c r="C3150" t="s">
        <v>3619</v>
      </c>
      <c r="D3150">
        <v>299.99</v>
      </c>
    </row>
    <row r="3151" spans="1:4">
      <c r="A3151" t="s">
        <v>40</v>
      </c>
      <c r="B3151" t="s">
        <v>2983</v>
      </c>
      <c r="C3151" t="s">
        <v>3620</v>
      </c>
      <c r="D3151">
        <v>139.97999999999999</v>
      </c>
    </row>
    <row r="3152" spans="1:4">
      <c r="A3152" t="s">
        <v>40</v>
      </c>
      <c r="B3152" t="s">
        <v>2983</v>
      </c>
      <c r="C3152" t="s">
        <v>3621</v>
      </c>
      <c r="D3152">
        <v>104.99</v>
      </c>
    </row>
    <row r="3153" spans="1:4">
      <c r="A3153" t="s">
        <v>40</v>
      </c>
      <c r="B3153" t="s">
        <v>3006</v>
      </c>
      <c r="C3153" t="s">
        <v>3622</v>
      </c>
      <c r="D3153">
        <v>134.97999999999999</v>
      </c>
    </row>
    <row r="3154" spans="1:4">
      <c r="A3154" t="s">
        <v>40</v>
      </c>
      <c r="B3154" t="s">
        <v>2980</v>
      </c>
      <c r="C3154" t="s">
        <v>3623</v>
      </c>
      <c r="D3154">
        <v>280</v>
      </c>
    </row>
    <row r="3155" spans="1:4">
      <c r="A3155" t="s">
        <v>40</v>
      </c>
      <c r="B3155" t="s">
        <v>2983</v>
      </c>
      <c r="C3155" t="s">
        <v>3624</v>
      </c>
      <c r="D3155">
        <v>131.99</v>
      </c>
    </row>
    <row r="3156" spans="1:4">
      <c r="A3156" t="s">
        <v>40</v>
      </c>
      <c r="B3156" t="s">
        <v>2980</v>
      </c>
      <c r="C3156" t="s">
        <v>3625</v>
      </c>
      <c r="D3156">
        <v>299.99</v>
      </c>
    </row>
    <row r="3157" spans="1:4">
      <c r="A3157" t="s">
        <v>40</v>
      </c>
      <c r="B3157" t="s">
        <v>2983</v>
      </c>
      <c r="C3157" t="s">
        <v>3626</v>
      </c>
      <c r="D3157">
        <v>259.99</v>
      </c>
    </row>
    <row r="3158" spans="1:4">
      <c r="A3158" t="s">
        <v>40</v>
      </c>
      <c r="B3158" t="s">
        <v>3006</v>
      </c>
      <c r="C3158" t="s">
        <v>3627</v>
      </c>
      <c r="D3158">
        <v>699.97</v>
      </c>
    </row>
    <row r="3159" spans="1:4">
      <c r="A3159" t="s">
        <v>40</v>
      </c>
      <c r="B3159" t="s">
        <v>2980</v>
      </c>
      <c r="C3159" t="s">
        <v>3628</v>
      </c>
      <c r="D3159">
        <v>249.99</v>
      </c>
    </row>
    <row r="3160" spans="1:4">
      <c r="A3160" t="s">
        <v>40</v>
      </c>
      <c r="B3160" t="s">
        <v>2980</v>
      </c>
      <c r="C3160" t="s">
        <v>3629</v>
      </c>
      <c r="D3160">
        <v>190</v>
      </c>
    </row>
    <row r="3161" spans="1:4">
      <c r="A3161" t="s">
        <v>40</v>
      </c>
      <c r="B3161" t="s">
        <v>3006</v>
      </c>
      <c r="C3161" t="s">
        <v>3197</v>
      </c>
      <c r="D3161">
        <v>89.99</v>
      </c>
    </row>
    <row r="3162" spans="1:4">
      <c r="A3162" t="s">
        <v>40</v>
      </c>
      <c r="B3162" t="s">
        <v>2983</v>
      </c>
      <c r="C3162" t="s">
        <v>3630</v>
      </c>
      <c r="D3162">
        <v>159.9</v>
      </c>
    </row>
    <row r="3163" spans="1:4">
      <c r="A3163" t="s">
        <v>40</v>
      </c>
      <c r="B3163" t="s">
        <v>3006</v>
      </c>
      <c r="C3163" t="s">
        <v>3613</v>
      </c>
      <c r="D3163">
        <v>549</v>
      </c>
    </row>
    <row r="3164" spans="1:4">
      <c r="A3164" t="s">
        <v>40</v>
      </c>
      <c r="B3164" t="s">
        <v>2983</v>
      </c>
      <c r="C3164" t="s">
        <v>3631</v>
      </c>
      <c r="D3164">
        <v>599.99</v>
      </c>
    </row>
    <row r="3165" spans="1:4">
      <c r="A3165" t="s">
        <v>40</v>
      </c>
      <c r="B3165" t="s">
        <v>3006</v>
      </c>
      <c r="C3165" t="s">
        <v>3632</v>
      </c>
      <c r="D3165">
        <v>209.99</v>
      </c>
    </row>
    <row r="3166" spans="1:4">
      <c r="A3166" t="s">
        <v>40</v>
      </c>
      <c r="B3166" t="s">
        <v>3107</v>
      </c>
      <c r="C3166" t="s">
        <v>3633</v>
      </c>
      <c r="D3166">
        <v>219.99</v>
      </c>
    </row>
    <row r="3167" spans="1:4">
      <c r="A3167" t="s">
        <v>40</v>
      </c>
      <c r="B3167" t="s">
        <v>2980</v>
      </c>
      <c r="C3167" t="s">
        <v>3634</v>
      </c>
      <c r="D3167">
        <v>195</v>
      </c>
    </row>
    <row r="3168" spans="1:4">
      <c r="A3168" t="s">
        <v>40</v>
      </c>
      <c r="B3168" t="s">
        <v>2983</v>
      </c>
      <c r="C3168" t="s">
        <v>3635</v>
      </c>
      <c r="D3168">
        <v>419.99</v>
      </c>
    </row>
    <row r="3169" spans="1:4">
      <c r="A3169" t="s">
        <v>40</v>
      </c>
      <c r="B3169" t="s">
        <v>2983</v>
      </c>
      <c r="C3169" t="s">
        <v>3636</v>
      </c>
      <c r="D3169">
        <v>249.99</v>
      </c>
    </row>
    <row r="3170" spans="1:4">
      <c r="A3170" t="s">
        <v>40</v>
      </c>
      <c r="B3170" t="s">
        <v>2980</v>
      </c>
      <c r="C3170" t="s">
        <v>3637</v>
      </c>
      <c r="D3170">
        <v>125</v>
      </c>
    </row>
    <row r="3171" spans="1:4">
      <c r="A3171" t="s">
        <v>40</v>
      </c>
      <c r="B3171" t="s">
        <v>2980</v>
      </c>
      <c r="C3171" t="s">
        <v>3638</v>
      </c>
      <c r="D3171">
        <v>199.99</v>
      </c>
    </row>
    <row r="3172" spans="1:4">
      <c r="A3172" t="s">
        <v>40</v>
      </c>
      <c r="B3172" t="s">
        <v>2983</v>
      </c>
      <c r="C3172" t="s">
        <v>3639</v>
      </c>
      <c r="D3172">
        <v>209.99</v>
      </c>
    </row>
    <row r="3173" spans="1:4">
      <c r="A3173" t="s">
        <v>40</v>
      </c>
      <c r="B3173" t="s">
        <v>2983</v>
      </c>
      <c r="C3173" t="s">
        <v>3640</v>
      </c>
      <c r="D3173">
        <v>149.99</v>
      </c>
    </row>
    <row r="3174" spans="1:4">
      <c r="A3174" t="s">
        <v>40</v>
      </c>
      <c r="B3174" t="s">
        <v>3014</v>
      </c>
      <c r="C3174" t="s">
        <v>3641</v>
      </c>
      <c r="D3174">
        <v>259.99</v>
      </c>
    </row>
    <row r="3175" spans="1:4">
      <c r="A3175" t="s">
        <v>40</v>
      </c>
      <c r="B3175" t="s">
        <v>2983</v>
      </c>
      <c r="C3175" t="s">
        <v>3642</v>
      </c>
      <c r="D3175">
        <v>279</v>
      </c>
    </row>
    <row r="3176" spans="1:4">
      <c r="A3176" t="s">
        <v>40</v>
      </c>
      <c r="B3176" t="s">
        <v>510</v>
      </c>
      <c r="C3176" t="s">
        <v>3643</v>
      </c>
      <c r="D3176">
        <v>450</v>
      </c>
    </row>
    <row r="3177" spans="1:4">
      <c r="A3177" t="s">
        <v>40</v>
      </c>
      <c r="B3177" t="s">
        <v>3006</v>
      </c>
      <c r="C3177" t="s">
        <v>3644</v>
      </c>
      <c r="D3177">
        <v>589.99</v>
      </c>
    </row>
    <row r="3178" spans="1:4">
      <c r="A3178" t="s">
        <v>40</v>
      </c>
      <c r="B3178" t="s">
        <v>2980</v>
      </c>
      <c r="C3178" t="s">
        <v>3645</v>
      </c>
      <c r="D3178">
        <v>559</v>
      </c>
    </row>
    <row r="3179" spans="1:4">
      <c r="A3179" t="s">
        <v>40</v>
      </c>
      <c r="B3179" t="s">
        <v>2994</v>
      </c>
      <c r="C3179" t="s">
        <v>3646</v>
      </c>
      <c r="D3179">
        <v>184.98</v>
      </c>
    </row>
    <row r="3180" spans="1:4">
      <c r="A3180" t="s">
        <v>40</v>
      </c>
      <c r="B3180" t="s">
        <v>2994</v>
      </c>
      <c r="C3180" t="s">
        <v>3647</v>
      </c>
      <c r="D3180">
        <v>224.99</v>
      </c>
    </row>
    <row r="3181" spans="1:4">
      <c r="A3181" t="s">
        <v>40</v>
      </c>
      <c r="B3181" t="s">
        <v>2983</v>
      </c>
      <c r="C3181" t="s">
        <v>3648</v>
      </c>
      <c r="D3181">
        <v>153.99</v>
      </c>
    </row>
    <row r="3182" spans="1:4">
      <c r="A3182" t="s">
        <v>40</v>
      </c>
      <c r="B3182" t="s">
        <v>2980</v>
      </c>
      <c r="C3182" t="s">
        <v>3649</v>
      </c>
      <c r="D3182">
        <v>144.99</v>
      </c>
    </row>
    <row r="3183" spans="1:4">
      <c r="A3183" t="s">
        <v>40</v>
      </c>
      <c r="B3183" t="s">
        <v>3006</v>
      </c>
      <c r="C3183" t="s">
        <v>3650</v>
      </c>
      <c r="D3183">
        <v>99.99</v>
      </c>
    </row>
    <row r="3184" spans="1:4">
      <c r="A3184" t="s">
        <v>40</v>
      </c>
      <c r="B3184" t="s">
        <v>2983</v>
      </c>
      <c r="C3184" t="s">
        <v>3651</v>
      </c>
      <c r="D3184">
        <v>130</v>
      </c>
    </row>
    <row r="3185" spans="1:4">
      <c r="A3185" t="s">
        <v>40</v>
      </c>
      <c r="B3185" t="s">
        <v>2980</v>
      </c>
      <c r="C3185" t="s">
        <v>3652</v>
      </c>
      <c r="D3185">
        <v>749.95</v>
      </c>
    </row>
    <row r="3186" spans="1:4">
      <c r="A3186" t="s">
        <v>40</v>
      </c>
      <c r="B3186" t="s">
        <v>3006</v>
      </c>
      <c r="C3186" t="s">
        <v>3653</v>
      </c>
      <c r="D3186">
        <v>299.85000000000002</v>
      </c>
    </row>
    <row r="3187" spans="1:4">
      <c r="A3187" t="s">
        <v>40</v>
      </c>
      <c r="B3187" t="s">
        <v>2983</v>
      </c>
      <c r="C3187" t="s">
        <v>3654</v>
      </c>
      <c r="D3187">
        <v>174.99</v>
      </c>
    </row>
    <row r="3188" spans="1:4">
      <c r="A3188" t="s">
        <v>40</v>
      </c>
      <c r="B3188" t="s">
        <v>2980</v>
      </c>
      <c r="C3188" t="s">
        <v>3655</v>
      </c>
      <c r="D3188">
        <v>350</v>
      </c>
    </row>
    <row r="3189" spans="1:4">
      <c r="A3189" t="s">
        <v>40</v>
      </c>
      <c r="B3189" t="s">
        <v>2994</v>
      </c>
      <c r="C3189" t="s">
        <v>3656</v>
      </c>
      <c r="D3189">
        <v>179.98</v>
      </c>
    </row>
    <row r="3190" spans="1:4">
      <c r="A3190" t="s">
        <v>40</v>
      </c>
      <c r="B3190" t="s">
        <v>3006</v>
      </c>
      <c r="C3190" t="s">
        <v>3657</v>
      </c>
      <c r="D3190">
        <v>390</v>
      </c>
    </row>
    <row r="3191" spans="1:4">
      <c r="A3191" t="s">
        <v>40</v>
      </c>
      <c r="B3191" t="s">
        <v>2983</v>
      </c>
      <c r="C3191" t="s">
        <v>3658</v>
      </c>
      <c r="D3191">
        <v>133.99</v>
      </c>
    </row>
    <row r="3192" spans="1:4">
      <c r="A3192" t="s">
        <v>40</v>
      </c>
      <c r="B3192" t="s">
        <v>2983</v>
      </c>
      <c r="C3192" t="s">
        <v>3659</v>
      </c>
      <c r="D3192">
        <v>369.99</v>
      </c>
    </row>
    <row r="3193" spans="1:4">
      <c r="A3193" t="s">
        <v>40</v>
      </c>
      <c r="B3193" t="s">
        <v>561</v>
      </c>
      <c r="C3193" t="s">
        <v>3660</v>
      </c>
      <c r="D3193">
        <v>799.99</v>
      </c>
    </row>
    <row r="3194" spans="1:4">
      <c r="A3194" t="s">
        <v>40</v>
      </c>
      <c r="B3194" t="s">
        <v>3030</v>
      </c>
      <c r="C3194" t="s">
        <v>3661</v>
      </c>
      <c r="D3194">
        <v>275</v>
      </c>
    </row>
    <row r="3195" spans="1:4">
      <c r="A3195" t="s">
        <v>40</v>
      </c>
      <c r="B3195" t="s">
        <v>3039</v>
      </c>
      <c r="C3195" t="s">
        <v>3662</v>
      </c>
      <c r="D3195">
        <v>230.3</v>
      </c>
    </row>
    <row r="3196" spans="1:4">
      <c r="A3196" t="s">
        <v>40</v>
      </c>
      <c r="B3196" t="s">
        <v>2983</v>
      </c>
      <c r="C3196" t="s">
        <v>3663</v>
      </c>
      <c r="D3196">
        <v>122.54</v>
      </c>
    </row>
    <row r="3197" spans="1:4">
      <c r="A3197" t="s">
        <v>40</v>
      </c>
      <c r="B3197" t="s">
        <v>3006</v>
      </c>
      <c r="C3197" t="s">
        <v>3664</v>
      </c>
      <c r="D3197">
        <v>189.99</v>
      </c>
    </row>
    <row r="3198" spans="1:4">
      <c r="A3198" t="s">
        <v>40</v>
      </c>
      <c r="B3198" t="s">
        <v>2983</v>
      </c>
      <c r="C3198" t="s">
        <v>3665</v>
      </c>
      <c r="D3198">
        <v>117.79</v>
      </c>
    </row>
    <row r="3199" spans="1:4">
      <c r="A3199" t="s">
        <v>40</v>
      </c>
      <c r="B3199" t="s">
        <v>2980</v>
      </c>
      <c r="C3199" t="s">
        <v>3666</v>
      </c>
      <c r="D3199">
        <v>169.99</v>
      </c>
    </row>
    <row r="3200" spans="1:4">
      <c r="A3200" t="s">
        <v>40</v>
      </c>
      <c r="B3200" t="s">
        <v>3006</v>
      </c>
      <c r="C3200" t="s">
        <v>3667</v>
      </c>
      <c r="D3200">
        <v>599.95000000000005</v>
      </c>
    </row>
    <row r="3201" spans="1:4">
      <c r="A3201" t="s">
        <v>40</v>
      </c>
      <c r="B3201" t="s">
        <v>2980</v>
      </c>
      <c r="C3201" t="s">
        <v>3668</v>
      </c>
      <c r="D3201">
        <v>209.9</v>
      </c>
    </row>
    <row r="3202" spans="1:4">
      <c r="A3202" t="s">
        <v>40</v>
      </c>
      <c r="B3202" t="s">
        <v>3006</v>
      </c>
      <c r="C3202" t="s">
        <v>3669</v>
      </c>
      <c r="D3202">
        <v>150</v>
      </c>
    </row>
    <row r="3203" spans="1:4">
      <c r="A3203" t="s">
        <v>40</v>
      </c>
      <c r="B3203" t="s">
        <v>2980</v>
      </c>
      <c r="C3203" t="s">
        <v>3670</v>
      </c>
      <c r="D3203">
        <v>779.99</v>
      </c>
    </row>
    <row r="3204" spans="1:4">
      <c r="A3204" t="s">
        <v>40</v>
      </c>
      <c r="B3204" t="s">
        <v>2983</v>
      </c>
      <c r="C3204" t="s">
        <v>3524</v>
      </c>
      <c r="D3204">
        <v>499.99</v>
      </c>
    </row>
    <row r="3205" spans="1:4">
      <c r="A3205" t="s">
        <v>40</v>
      </c>
      <c r="B3205" t="s">
        <v>2980</v>
      </c>
      <c r="C3205" t="s">
        <v>3671</v>
      </c>
      <c r="D3205">
        <v>669.95</v>
      </c>
    </row>
    <row r="3206" spans="1:4">
      <c r="A3206" t="s">
        <v>40</v>
      </c>
      <c r="B3206" t="s">
        <v>3009</v>
      </c>
      <c r="C3206" t="s">
        <v>3672</v>
      </c>
      <c r="D3206">
        <v>229.99</v>
      </c>
    </row>
    <row r="3207" spans="1:4">
      <c r="A3207" t="s">
        <v>40</v>
      </c>
      <c r="B3207" t="s">
        <v>3006</v>
      </c>
      <c r="C3207" t="s">
        <v>3673</v>
      </c>
      <c r="D3207">
        <v>299.85000000000002</v>
      </c>
    </row>
    <row r="3208" spans="1:4">
      <c r="A3208" t="s">
        <v>40</v>
      </c>
      <c r="B3208" t="s">
        <v>3006</v>
      </c>
      <c r="C3208" t="s">
        <v>3674</v>
      </c>
      <c r="D3208">
        <v>142.99</v>
      </c>
    </row>
    <row r="3209" spans="1:4">
      <c r="A3209" t="s">
        <v>40</v>
      </c>
      <c r="B3209" t="s">
        <v>3107</v>
      </c>
      <c r="C3209" t="s">
        <v>3675</v>
      </c>
      <c r="D3209">
        <v>359.99</v>
      </c>
    </row>
    <row r="3210" spans="1:4">
      <c r="A3210" t="s">
        <v>40</v>
      </c>
      <c r="B3210" t="s">
        <v>3009</v>
      </c>
      <c r="C3210" t="s">
        <v>3676</v>
      </c>
      <c r="D3210">
        <v>229.99</v>
      </c>
    </row>
    <row r="3211" spans="1:4">
      <c r="A3211" t="s">
        <v>40</v>
      </c>
      <c r="B3211" t="s">
        <v>510</v>
      </c>
      <c r="C3211" t="s">
        <v>3677</v>
      </c>
      <c r="D3211">
        <v>825</v>
      </c>
    </row>
    <row r="3212" spans="1:4">
      <c r="A3212" t="s">
        <v>40</v>
      </c>
      <c r="B3212" t="s">
        <v>505</v>
      </c>
      <c r="C3212" t="s">
        <v>3678</v>
      </c>
      <c r="D3212">
        <v>334.99</v>
      </c>
    </row>
    <row r="3213" spans="1:4">
      <c r="A3213" t="s">
        <v>40</v>
      </c>
      <c r="B3213" t="s">
        <v>2980</v>
      </c>
      <c r="C3213" t="s">
        <v>3679</v>
      </c>
      <c r="D3213">
        <v>149.99</v>
      </c>
    </row>
    <row r="3214" spans="1:4">
      <c r="A3214" t="s">
        <v>40</v>
      </c>
      <c r="B3214" t="s">
        <v>2983</v>
      </c>
      <c r="C3214" t="s">
        <v>3680</v>
      </c>
      <c r="D3214">
        <v>75.59</v>
      </c>
    </row>
    <row r="3215" spans="1:4">
      <c r="A3215" t="s">
        <v>40</v>
      </c>
      <c r="B3215" t="s">
        <v>2988</v>
      </c>
      <c r="C3215" t="s">
        <v>3681</v>
      </c>
      <c r="D3215">
        <v>154.99</v>
      </c>
    </row>
    <row r="3216" spans="1:4">
      <c r="A3216" t="s">
        <v>40</v>
      </c>
      <c r="B3216" t="s">
        <v>2983</v>
      </c>
      <c r="C3216" t="s">
        <v>3682</v>
      </c>
      <c r="D3216">
        <v>245</v>
      </c>
    </row>
    <row r="3217" spans="1:4">
      <c r="A3217" t="s">
        <v>40</v>
      </c>
      <c r="B3217" t="s">
        <v>2980</v>
      </c>
      <c r="C3217" t="s">
        <v>3683</v>
      </c>
      <c r="D3217">
        <v>224.99</v>
      </c>
    </row>
    <row r="3218" spans="1:4">
      <c r="A3218" t="s">
        <v>40</v>
      </c>
      <c r="B3218" t="s">
        <v>3006</v>
      </c>
      <c r="C3218" t="s">
        <v>3684</v>
      </c>
      <c r="D3218">
        <v>829.58</v>
      </c>
    </row>
    <row r="3219" spans="1:4">
      <c r="A3219" t="s">
        <v>40</v>
      </c>
      <c r="B3219" t="s">
        <v>3081</v>
      </c>
      <c r="C3219" t="s">
        <v>3685</v>
      </c>
      <c r="D3219">
        <v>189.99</v>
      </c>
    </row>
    <row r="3220" spans="1:4">
      <c r="A3220" t="s">
        <v>40</v>
      </c>
      <c r="B3220" t="s">
        <v>3006</v>
      </c>
      <c r="C3220" t="s">
        <v>3686</v>
      </c>
      <c r="D3220">
        <v>164.99</v>
      </c>
    </row>
    <row r="3221" spans="1:4">
      <c r="A3221" t="s">
        <v>40</v>
      </c>
      <c r="B3221" t="s">
        <v>2994</v>
      </c>
      <c r="C3221" t="s">
        <v>3687</v>
      </c>
      <c r="D3221">
        <v>154.97999999999999</v>
      </c>
    </row>
    <row r="3222" spans="1:4">
      <c r="A3222" t="s">
        <v>40</v>
      </c>
      <c r="B3222" t="s">
        <v>2983</v>
      </c>
      <c r="C3222" t="s">
        <v>3688</v>
      </c>
      <c r="D3222">
        <v>129.99</v>
      </c>
    </row>
    <row r="3223" spans="1:4">
      <c r="A3223" t="s">
        <v>40</v>
      </c>
      <c r="B3223" t="s">
        <v>3006</v>
      </c>
      <c r="C3223" t="s">
        <v>3689</v>
      </c>
      <c r="D3223">
        <v>174.99</v>
      </c>
    </row>
    <row r="3224" spans="1:4">
      <c r="A3224" t="s">
        <v>40</v>
      </c>
      <c r="B3224" t="s">
        <v>3340</v>
      </c>
      <c r="C3224" t="s">
        <v>3690</v>
      </c>
      <c r="D3224">
        <v>359.4</v>
      </c>
    </row>
    <row r="3225" spans="1:4">
      <c r="A3225" t="s">
        <v>40</v>
      </c>
      <c r="B3225" t="s">
        <v>3081</v>
      </c>
      <c r="C3225" t="s">
        <v>3691</v>
      </c>
      <c r="D3225">
        <v>160.99</v>
      </c>
    </row>
    <row r="3226" spans="1:4">
      <c r="A3226" t="s">
        <v>40</v>
      </c>
      <c r="B3226" t="s">
        <v>2983</v>
      </c>
      <c r="C3226" t="s">
        <v>3692</v>
      </c>
      <c r="D3226">
        <v>269.89999999999998</v>
      </c>
    </row>
    <row r="3227" spans="1:4">
      <c r="A3227" t="s">
        <v>40</v>
      </c>
      <c r="B3227" t="s">
        <v>3081</v>
      </c>
      <c r="C3227" t="s">
        <v>3693</v>
      </c>
      <c r="D3227">
        <v>719.4</v>
      </c>
    </row>
    <row r="3228" spans="1:4">
      <c r="A3228" t="s">
        <v>40</v>
      </c>
      <c r="B3228" t="s">
        <v>2983</v>
      </c>
      <c r="C3228" t="s">
        <v>3694</v>
      </c>
      <c r="D3228">
        <v>514.99</v>
      </c>
    </row>
    <row r="3229" spans="1:4">
      <c r="A3229" t="s">
        <v>40</v>
      </c>
      <c r="B3229" t="s">
        <v>3006</v>
      </c>
      <c r="C3229" t="s">
        <v>3695</v>
      </c>
      <c r="D3229">
        <v>224.98</v>
      </c>
    </row>
    <row r="3230" spans="1:4">
      <c r="A3230" t="s">
        <v>40</v>
      </c>
      <c r="B3230" t="s">
        <v>2983</v>
      </c>
      <c r="C3230" t="s">
        <v>3696</v>
      </c>
      <c r="D3230">
        <v>249.99</v>
      </c>
    </row>
    <row r="3231" spans="1:4">
      <c r="A3231" t="s">
        <v>40</v>
      </c>
      <c r="B3231" t="s">
        <v>3107</v>
      </c>
      <c r="C3231" t="s">
        <v>3697</v>
      </c>
      <c r="D3231">
        <v>244.99</v>
      </c>
    </row>
    <row r="3232" spans="1:4">
      <c r="A3232" t="s">
        <v>40</v>
      </c>
      <c r="B3232" t="s">
        <v>3006</v>
      </c>
      <c r="C3232" t="s">
        <v>3698</v>
      </c>
      <c r="D3232">
        <v>114.99</v>
      </c>
    </row>
    <row r="3233" spans="1:4">
      <c r="A3233" t="s">
        <v>40</v>
      </c>
      <c r="B3233" t="s">
        <v>2980</v>
      </c>
      <c r="C3233" t="s">
        <v>3699</v>
      </c>
      <c r="D3233">
        <v>329.99</v>
      </c>
    </row>
    <row r="3234" spans="1:4">
      <c r="A3234" t="s">
        <v>40</v>
      </c>
      <c r="B3234" t="s">
        <v>3006</v>
      </c>
      <c r="C3234" t="s">
        <v>3700</v>
      </c>
      <c r="D3234">
        <v>124.99</v>
      </c>
    </row>
    <row r="3235" spans="1:4">
      <c r="A3235" t="s">
        <v>40</v>
      </c>
      <c r="B3235" t="s">
        <v>2980</v>
      </c>
      <c r="C3235" t="s">
        <v>3701</v>
      </c>
      <c r="D3235">
        <v>259.99</v>
      </c>
    </row>
    <row r="3236" spans="1:4">
      <c r="A3236" t="s">
        <v>40</v>
      </c>
      <c r="B3236" t="s">
        <v>3006</v>
      </c>
      <c r="C3236" t="s">
        <v>3702</v>
      </c>
      <c r="D3236">
        <v>169.98</v>
      </c>
    </row>
    <row r="3237" spans="1:4">
      <c r="A3237" t="s">
        <v>40</v>
      </c>
      <c r="B3237" t="s">
        <v>2980</v>
      </c>
      <c r="C3237" t="s">
        <v>3703</v>
      </c>
      <c r="D3237">
        <v>269</v>
      </c>
    </row>
    <row r="3238" spans="1:4">
      <c r="A3238" t="s">
        <v>40</v>
      </c>
      <c r="B3238" t="s">
        <v>2980</v>
      </c>
      <c r="C3238" t="s">
        <v>3704</v>
      </c>
      <c r="D3238">
        <v>249.99</v>
      </c>
    </row>
    <row r="3239" spans="1:4">
      <c r="A3239" t="s">
        <v>40</v>
      </c>
      <c r="B3239" t="s">
        <v>2980</v>
      </c>
      <c r="C3239" t="s">
        <v>3705</v>
      </c>
      <c r="D3239">
        <v>1569.99</v>
      </c>
    </row>
    <row r="3240" spans="1:4">
      <c r="A3240" t="s">
        <v>40</v>
      </c>
      <c r="B3240" t="s">
        <v>3006</v>
      </c>
      <c r="C3240" t="s">
        <v>3706</v>
      </c>
      <c r="D3240">
        <v>189.99</v>
      </c>
    </row>
    <row r="3241" spans="1:4">
      <c r="A3241" t="s">
        <v>40</v>
      </c>
      <c r="B3241" t="s">
        <v>3006</v>
      </c>
      <c r="C3241" t="s">
        <v>3707</v>
      </c>
      <c r="D3241">
        <v>349.99</v>
      </c>
    </row>
    <row r="3242" spans="1:4">
      <c r="A3242" t="s">
        <v>40</v>
      </c>
      <c r="B3242" t="s">
        <v>2980</v>
      </c>
      <c r="C3242" t="s">
        <v>3708</v>
      </c>
      <c r="D3242">
        <v>129.94999999999999</v>
      </c>
    </row>
    <row r="3243" spans="1:4">
      <c r="A3243" t="s">
        <v>40</v>
      </c>
      <c r="B3243" t="s">
        <v>3006</v>
      </c>
      <c r="C3243" t="s">
        <v>3709</v>
      </c>
      <c r="D3243">
        <v>169.99</v>
      </c>
    </row>
    <row r="3244" spans="1:4">
      <c r="A3244" t="s">
        <v>40</v>
      </c>
      <c r="B3244" t="s">
        <v>3006</v>
      </c>
      <c r="C3244" t="s">
        <v>3710</v>
      </c>
      <c r="D3244">
        <v>699.99</v>
      </c>
    </row>
    <row r="3245" spans="1:4">
      <c r="A3245" t="s">
        <v>40</v>
      </c>
      <c r="B3245" t="s">
        <v>3711</v>
      </c>
      <c r="C3245" t="s">
        <v>3712</v>
      </c>
      <c r="D3245">
        <v>1399.95</v>
      </c>
    </row>
    <row r="3246" spans="1:4">
      <c r="A3246" t="s">
        <v>40</v>
      </c>
      <c r="B3246" t="s">
        <v>3009</v>
      </c>
      <c r="C3246" t="s">
        <v>3713</v>
      </c>
      <c r="D3246">
        <v>135</v>
      </c>
    </row>
    <row r="3247" spans="1:4">
      <c r="A3247" t="s">
        <v>40</v>
      </c>
      <c r="B3247" t="s">
        <v>505</v>
      </c>
      <c r="C3247" t="s">
        <v>3714</v>
      </c>
      <c r="D3247">
        <v>749.99</v>
      </c>
    </row>
    <row r="3248" spans="1:4">
      <c r="A3248" t="s">
        <v>40</v>
      </c>
      <c r="B3248" t="s">
        <v>2983</v>
      </c>
      <c r="C3248" t="s">
        <v>3715</v>
      </c>
      <c r="D3248">
        <v>749.99</v>
      </c>
    </row>
    <row r="3249" spans="1:4">
      <c r="A3249" t="s">
        <v>40</v>
      </c>
      <c r="B3249" t="s">
        <v>1337</v>
      </c>
      <c r="C3249" t="s">
        <v>3716</v>
      </c>
      <c r="D3249">
        <v>359.99</v>
      </c>
    </row>
    <row r="3250" spans="1:4">
      <c r="A3250" t="s">
        <v>40</v>
      </c>
      <c r="B3250" t="s">
        <v>2980</v>
      </c>
      <c r="C3250" t="s">
        <v>3569</v>
      </c>
      <c r="D3250">
        <v>138.74</v>
      </c>
    </row>
    <row r="3251" spans="1:4">
      <c r="A3251" t="s">
        <v>40</v>
      </c>
      <c r="B3251" t="s">
        <v>3006</v>
      </c>
      <c r="C3251" t="s">
        <v>3717</v>
      </c>
      <c r="D3251">
        <v>169.98</v>
      </c>
    </row>
    <row r="3252" spans="1:4">
      <c r="A3252" t="s">
        <v>40</v>
      </c>
      <c r="B3252" t="s">
        <v>2980</v>
      </c>
      <c r="C3252" t="s">
        <v>3718</v>
      </c>
      <c r="D3252">
        <v>184.99</v>
      </c>
    </row>
    <row r="3253" spans="1:4">
      <c r="A3253" t="s">
        <v>40</v>
      </c>
      <c r="B3253" t="s">
        <v>2980</v>
      </c>
      <c r="C3253" t="s">
        <v>3719</v>
      </c>
      <c r="D3253">
        <v>229.99</v>
      </c>
    </row>
    <row r="3254" spans="1:4">
      <c r="A3254" t="s">
        <v>40</v>
      </c>
      <c r="B3254" t="s">
        <v>3006</v>
      </c>
      <c r="C3254" t="s">
        <v>3720</v>
      </c>
      <c r="D3254">
        <v>689.99</v>
      </c>
    </row>
    <row r="3255" spans="1:4">
      <c r="A3255" t="s">
        <v>40</v>
      </c>
      <c r="B3255" t="s">
        <v>3006</v>
      </c>
      <c r="C3255" t="s">
        <v>3721</v>
      </c>
      <c r="D3255">
        <v>159.99</v>
      </c>
    </row>
    <row r="3256" spans="1:4">
      <c r="A3256" t="s">
        <v>40</v>
      </c>
      <c r="B3256" t="s">
        <v>3006</v>
      </c>
      <c r="C3256" t="s">
        <v>3722</v>
      </c>
      <c r="D3256">
        <v>299.99</v>
      </c>
    </row>
    <row r="3257" spans="1:4">
      <c r="A3257" t="s">
        <v>40</v>
      </c>
      <c r="B3257" t="s">
        <v>2980</v>
      </c>
      <c r="C3257" t="s">
        <v>3723</v>
      </c>
      <c r="D3257">
        <v>131</v>
      </c>
    </row>
    <row r="3258" spans="1:4">
      <c r="A3258" t="s">
        <v>40</v>
      </c>
      <c r="B3258" t="s">
        <v>3006</v>
      </c>
      <c r="C3258" t="s">
        <v>3724</v>
      </c>
      <c r="D3258">
        <v>179.99</v>
      </c>
    </row>
    <row r="3259" spans="1:4">
      <c r="A3259" t="s">
        <v>40</v>
      </c>
      <c r="B3259" t="s">
        <v>2983</v>
      </c>
      <c r="C3259" t="s">
        <v>3513</v>
      </c>
      <c r="D3259">
        <v>131.57</v>
      </c>
    </row>
    <row r="3260" spans="1:4">
      <c r="A3260" t="s">
        <v>40</v>
      </c>
      <c r="B3260" t="s">
        <v>2983</v>
      </c>
      <c r="C3260" t="s">
        <v>3725</v>
      </c>
      <c r="D3260">
        <v>99.99</v>
      </c>
    </row>
    <row r="3261" spans="1:4">
      <c r="A3261" t="s">
        <v>40</v>
      </c>
      <c r="B3261" t="s">
        <v>2980</v>
      </c>
      <c r="C3261" t="s">
        <v>3726</v>
      </c>
      <c r="D3261">
        <v>449.99</v>
      </c>
    </row>
    <row r="3262" spans="1:4">
      <c r="A3262" t="s">
        <v>40</v>
      </c>
      <c r="B3262" t="s">
        <v>2994</v>
      </c>
      <c r="C3262" t="s">
        <v>3727</v>
      </c>
      <c r="D3262">
        <v>633.99</v>
      </c>
    </row>
    <row r="3263" spans="1:4">
      <c r="A3263" t="s">
        <v>40</v>
      </c>
      <c r="B3263" t="s">
        <v>2983</v>
      </c>
      <c r="C3263" t="s">
        <v>3728</v>
      </c>
      <c r="D3263">
        <v>449.99</v>
      </c>
    </row>
    <row r="3264" spans="1:4">
      <c r="A3264" t="s">
        <v>40</v>
      </c>
      <c r="B3264" t="s">
        <v>3006</v>
      </c>
      <c r="C3264" t="s">
        <v>3729</v>
      </c>
      <c r="D3264">
        <v>455.99</v>
      </c>
    </row>
    <row r="3265" spans="1:4">
      <c r="A3265" t="s">
        <v>40</v>
      </c>
      <c r="B3265" t="s">
        <v>2980</v>
      </c>
      <c r="C3265" t="s">
        <v>3730</v>
      </c>
      <c r="D3265">
        <v>799.95</v>
      </c>
    </row>
    <row r="3266" spans="1:4">
      <c r="A3266" t="s">
        <v>40</v>
      </c>
      <c r="B3266" t="s">
        <v>2983</v>
      </c>
      <c r="C3266" t="s">
        <v>3663</v>
      </c>
      <c r="D3266">
        <v>132.04</v>
      </c>
    </row>
    <row r="3267" spans="1:4">
      <c r="A3267" t="s">
        <v>40</v>
      </c>
      <c r="B3267" t="s">
        <v>2983</v>
      </c>
      <c r="C3267" t="s">
        <v>3731</v>
      </c>
      <c r="D3267">
        <v>174.99</v>
      </c>
    </row>
    <row r="3268" spans="1:4">
      <c r="A3268" t="s">
        <v>40</v>
      </c>
      <c r="B3268" t="s">
        <v>3107</v>
      </c>
      <c r="C3268" t="s">
        <v>3732</v>
      </c>
      <c r="D3268">
        <v>199.99</v>
      </c>
    </row>
    <row r="3269" spans="1:4">
      <c r="A3269" t="s">
        <v>40</v>
      </c>
      <c r="B3269" t="s">
        <v>2980</v>
      </c>
      <c r="C3269" t="s">
        <v>3733</v>
      </c>
      <c r="D3269">
        <v>549.99</v>
      </c>
    </row>
    <row r="3270" spans="1:4">
      <c r="A3270" t="s">
        <v>40</v>
      </c>
      <c r="B3270" t="s">
        <v>2983</v>
      </c>
      <c r="C3270" t="s">
        <v>3734</v>
      </c>
      <c r="D3270">
        <v>374.99</v>
      </c>
    </row>
    <row r="3271" spans="1:4">
      <c r="A3271" t="s">
        <v>40</v>
      </c>
      <c r="B3271" t="s">
        <v>2983</v>
      </c>
      <c r="C3271" t="s">
        <v>3735</v>
      </c>
      <c r="D3271">
        <v>119.95</v>
      </c>
    </row>
    <row r="3272" spans="1:4">
      <c r="A3272" t="s">
        <v>40</v>
      </c>
      <c r="B3272" t="s">
        <v>3081</v>
      </c>
      <c r="C3272" t="s">
        <v>3736</v>
      </c>
      <c r="D3272">
        <v>659.99</v>
      </c>
    </row>
    <row r="3273" spans="1:4">
      <c r="A3273" t="s">
        <v>40</v>
      </c>
      <c r="B3273" t="s">
        <v>3081</v>
      </c>
      <c r="C3273" t="s">
        <v>3737</v>
      </c>
      <c r="D3273">
        <v>659.99</v>
      </c>
    </row>
    <row r="3274" spans="1:4">
      <c r="A3274" t="s">
        <v>40</v>
      </c>
      <c r="B3274" t="s">
        <v>2983</v>
      </c>
      <c r="C3274" t="s">
        <v>3738</v>
      </c>
      <c r="D3274">
        <v>179.99</v>
      </c>
    </row>
    <row r="3275" spans="1:4">
      <c r="A3275" t="s">
        <v>40</v>
      </c>
      <c r="B3275" t="s">
        <v>1337</v>
      </c>
      <c r="C3275" t="s">
        <v>3739</v>
      </c>
      <c r="D3275">
        <v>249.98</v>
      </c>
    </row>
    <row r="3276" spans="1:4">
      <c r="A3276" t="s">
        <v>40</v>
      </c>
      <c r="B3276" t="s">
        <v>2980</v>
      </c>
      <c r="C3276" t="s">
        <v>3740</v>
      </c>
      <c r="D3276">
        <v>499.99</v>
      </c>
    </row>
    <row r="3277" spans="1:4">
      <c r="A3277" t="s">
        <v>40</v>
      </c>
      <c r="B3277" t="s">
        <v>3006</v>
      </c>
      <c r="C3277" t="s">
        <v>3741</v>
      </c>
      <c r="D3277">
        <v>299.99</v>
      </c>
    </row>
    <row r="3278" spans="1:4">
      <c r="A3278" t="s">
        <v>40</v>
      </c>
      <c r="B3278" t="s">
        <v>3107</v>
      </c>
      <c r="C3278" t="s">
        <v>3742</v>
      </c>
      <c r="D3278">
        <v>849.99</v>
      </c>
    </row>
    <row r="3279" spans="1:4">
      <c r="A3279" t="s">
        <v>40</v>
      </c>
      <c r="B3279" t="s">
        <v>2983</v>
      </c>
      <c r="C3279" t="s">
        <v>3743</v>
      </c>
      <c r="D3279">
        <v>149.99</v>
      </c>
    </row>
    <row r="3280" spans="1:4">
      <c r="A3280" t="s">
        <v>40</v>
      </c>
      <c r="B3280" t="s">
        <v>3006</v>
      </c>
      <c r="C3280" t="s">
        <v>3744</v>
      </c>
      <c r="D3280">
        <v>249.99</v>
      </c>
    </row>
    <row r="3281" spans="1:4">
      <c r="A3281" t="s">
        <v>40</v>
      </c>
      <c r="B3281" t="s">
        <v>3149</v>
      </c>
      <c r="C3281" t="s">
        <v>3745</v>
      </c>
      <c r="D3281">
        <v>161</v>
      </c>
    </row>
    <row r="3282" spans="1:4">
      <c r="A3282" t="s">
        <v>40</v>
      </c>
      <c r="B3282" t="s">
        <v>2980</v>
      </c>
      <c r="C3282" t="s">
        <v>3746</v>
      </c>
      <c r="D3282">
        <v>119.95</v>
      </c>
    </row>
    <row r="3283" spans="1:4">
      <c r="A3283" t="s">
        <v>40</v>
      </c>
      <c r="B3283" t="s">
        <v>2980</v>
      </c>
      <c r="C3283" t="s">
        <v>3670</v>
      </c>
      <c r="D3283">
        <v>809.99</v>
      </c>
    </row>
    <row r="3284" spans="1:4">
      <c r="A3284" t="s">
        <v>40</v>
      </c>
      <c r="B3284" t="s">
        <v>2980</v>
      </c>
      <c r="C3284" t="s">
        <v>3747</v>
      </c>
      <c r="D3284">
        <v>229.99</v>
      </c>
    </row>
    <row r="3285" spans="1:4">
      <c r="A3285" t="s">
        <v>40</v>
      </c>
      <c r="B3285" t="s">
        <v>505</v>
      </c>
      <c r="C3285" t="s">
        <v>3748</v>
      </c>
      <c r="D3285">
        <v>715.99</v>
      </c>
    </row>
    <row r="3286" spans="1:4">
      <c r="A3286" t="s">
        <v>40</v>
      </c>
      <c r="B3286" t="s">
        <v>2980</v>
      </c>
      <c r="C3286" t="s">
        <v>3749</v>
      </c>
      <c r="D3286">
        <v>132.12</v>
      </c>
    </row>
    <row r="3287" spans="1:4">
      <c r="A3287" t="s">
        <v>40</v>
      </c>
      <c r="B3287" t="s">
        <v>2980</v>
      </c>
      <c r="C3287" t="s">
        <v>3750</v>
      </c>
      <c r="D3287">
        <v>899</v>
      </c>
    </row>
    <row r="3288" spans="1:4">
      <c r="A3288" t="s">
        <v>40</v>
      </c>
      <c r="B3288" t="s">
        <v>2980</v>
      </c>
      <c r="C3288" t="s">
        <v>3751</v>
      </c>
      <c r="D3288">
        <v>299</v>
      </c>
    </row>
    <row r="3289" spans="1:4">
      <c r="A3289" t="s">
        <v>40</v>
      </c>
      <c r="B3289" t="s">
        <v>2983</v>
      </c>
      <c r="C3289" t="s">
        <v>3752</v>
      </c>
      <c r="D3289">
        <v>349.99</v>
      </c>
    </row>
    <row r="3290" spans="1:4">
      <c r="A3290" t="s">
        <v>40</v>
      </c>
      <c r="B3290" t="s">
        <v>2983</v>
      </c>
      <c r="C3290" t="s">
        <v>3753</v>
      </c>
      <c r="D3290">
        <v>185</v>
      </c>
    </row>
    <row r="3291" spans="1:4">
      <c r="A3291" t="s">
        <v>40</v>
      </c>
      <c r="B3291" t="s">
        <v>2983</v>
      </c>
      <c r="C3291" t="s">
        <v>3754</v>
      </c>
      <c r="D3291">
        <v>151.04</v>
      </c>
    </row>
    <row r="3292" spans="1:4">
      <c r="A3292" t="s">
        <v>40</v>
      </c>
      <c r="B3292" t="s">
        <v>2980</v>
      </c>
      <c r="C3292" t="s">
        <v>3755</v>
      </c>
      <c r="D3292">
        <v>230</v>
      </c>
    </row>
    <row r="3293" spans="1:4">
      <c r="A3293" t="s">
        <v>40</v>
      </c>
      <c r="B3293" t="s">
        <v>2983</v>
      </c>
      <c r="C3293" t="s">
        <v>3756</v>
      </c>
      <c r="D3293">
        <v>129.99</v>
      </c>
    </row>
    <row r="3294" spans="1:4">
      <c r="A3294" t="s">
        <v>40</v>
      </c>
      <c r="B3294" t="s">
        <v>2983</v>
      </c>
      <c r="C3294" t="s">
        <v>3757</v>
      </c>
      <c r="D3294">
        <v>129.99</v>
      </c>
    </row>
    <row r="3295" spans="1:4">
      <c r="A3295" t="s">
        <v>40</v>
      </c>
      <c r="B3295" t="s">
        <v>505</v>
      </c>
      <c r="C3295" t="s">
        <v>3758</v>
      </c>
      <c r="D3295">
        <v>399.99</v>
      </c>
    </row>
    <row r="3296" spans="1:4">
      <c r="A3296" t="s">
        <v>40</v>
      </c>
      <c r="B3296" t="s">
        <v>2983</v>
      </c>
      <c r="C3296" t="s">
        <v>3759</v>
      </c>
      <c r="D3296">
        <v>499.99</v>
      </c>
    </row>
    <row r="3297" spans="1:4">
      <c r="A3297" t="s">
        <v>40</v>
      </c>
      <c r="B3297" t="s">
        <v>2983</v>
      </c>
      <c r="C3297" t="s">
        <v>3760</v>
      </c>
      <c r="D3297">
        <v>349.99</v>
      </c>
    </row>
    <row r="3298" spans="1:4">
      <c r="A3298" t="s">
        <v>40</v>
      </c>
      <c r="B3298" t="s">
        <v>3006</v>
      </c>
      <c r="C3298" t="s">
        <v>3761</v>
      </c>
      <c r="D3298">
        <v>289.99</v>
      </c>
    </row>
    <row r="3299" spans="1:4">
      <c r="A3299" t="s">
        <v>40</v>
      </c>
      <c r="B3299" t="s">
        <v>3006</v>
      </c>
      <c r="C3299" t="s">
        <v>3762</v>
      </c>
      <c r="D3299">
        <v>195.99</v>
      </c>
    </row>
    <row r="3300" spans="1:4">
      <c r="A3300" t="s">
        <v>40</v>
      </c>
      <c r="B3300" t="s">
        <v>2983</v>
      </c>
      <c r="C3300" t="s">
        <v>3763</v>
      </c>
      <c r="D3300">
        <v>269.89999999999998</v>
      </c>
    </row>
    <row r="3301" spans="1:4">
      <c r="A3301" t="s">
        <v>40</v>
      </c>
      <c r="B3301" t="s">
        <v>2983</v>
      </c>
      <c r="C3301" t="s">
        <v>3764</v>
      </c>
      <c r="D3301">
        <v>139.99</v>
      </c>
    </row>
    <row r="3302" spans="1:4">
      <c r="A3302" t="s">
        <v>40</v>
      </c>
      <c r="B3302" t="s">
        <v>3006</v>
      </c>
      <c r="C3302" t="s">
        <v>3765</v>
      </c>
      <c r="D3302">
        <v>89.99</v>
      </c>
    </row>
    <row r="3303" spans="1:4">
      <c r="A3303" t="s">
        <v>40</v>
      </c>
      <c r="B3303" t="s">
        <v>2980</v>
      </c>
      <c r="C3303" t="s">
        <v>3766</v>
      </c>
      <c r="D3303">
        <v>141.54</v>
      </c>
    </row>
    <row r="3304" spans="1:4">
      <c r="A3304" t="s">
        <v>40</v>
      </c>
      <c r="B3304" t="s">
        <v>2980</v>
      </c>
      <c r="C3304" t="s">
        <v>3767</v>
      </c>
      <c r="D3304">
        <v>108.99</v>
      </c>
    </row>
    <row r="3305" spans="1:4">
      <c r="A3305" t="s">
        <v>40</v>
      </c>
      <c r="B3305" t="s">
        <v>3081</v>
      </c>
      <c r="C3305" t="s">
        <v>3768</v>
      </c>
      <c r="D3305">
        <v>2099.3000000000002</v>
      </c>
    </row>
    <row r="3306" spans="1:4">
      <c r="A3306" t="s">
        <v>40</v>
      </c>
      <c r="B3306" t="s">
        <v>2983</v>
      </c>
      <c r="C3306" t="s">
        <v>3769</v>
      </c>
      <c r="D3306">
        <v>189.99</v>
      </c>
    </row>
    <row r="3307" spans="1:4">
      <c r="A3307" t="s">
        <v>40</v>
      </c>
      <c r="B3307" t="s">
        <v>2983</v>
      </c>
      <c r="C3307" t="s">
        <v>3770</v>
      </c>
      <c r="D3307">
        <v>199.99</v>
      </c>
    </row>
    <row r="3308" spans="1:4">
      <c r="A3308" t="s">
        <v>40</v>
      </c>
      <c r="B3308" t="s">
        <v>2983</v>
      </c>
      <c r="C3308" t="s">
        <v>3771</v>
      </c>
      <c r="D3308">
        <v>345</v>
      </c>
    </row>
    <row r="3309" spans="1:4">
      <c r="A3309" t="s">
        <v>40</v>
      </c>
      <c r="B3309" t="s">
        <v>2980</v>
      </c>
      <c r="C3309" t="s">
        <v>3772</v>
      </c>
      <c r="D3309">
        <v>495</v>
      </c>
    </row>
    <row r="3310" spans="1:4">
      <c r="A3310" t="s">
        <v>40</v>
      </c>
      <c r="B3310" t="s">
        <v>3006</v>
      </c>
      <c r="C3310" t="s">
        <v>3773</v>
      </c>
      <c r="D3310">
        <v>399.97</v>
      </c>
    </row>
    <row r="3311" spans="1:4">
      <c r="A3311" t="s">
        <v>40</v>
      </c>
      <c r="B3311" t="s">
        <v>3006</v>
      </c>
      <c r="C3311" t="s">
        <v>3774</v>
      </c>
      <c r="D3311">
        <v>489.3</v>
      </c>
    </row>
    <row r="3312" spans="1:4">
      <c r="A3312" t="s">
        <v>40</v>
      </c>
      <c r="B3312" t="s">
        <v>2983</v>
      </c>
      <c r="C3312" t="s">
        <v>3775</v>
      </c>
      <c r="D3312">
        <v>219.99</v>
      </c>
    </row>
    <row r="3313" spans="1:4">
      <c r="A3313" t="s">
        <v>40</v>
      </c>
      <c r="B3313" t="s">
        <v>2980</v>
      </c>
      <c r="C3313" t="s">
        <v>3776</v>
      </c>
      <c r="D3313">
        <v>469</v>
      </c>
    </row>
    <row r="3314" spans="1:4">
      <c r="A3314" t="s">
        <v>40</v>
      </c>
      <c r="B3314" t="s">
        <v>3006</v>
      </c>
      <c r="C3314" t="s">
        <v>3777</v>
      </c>
      <c r="D3314">
        <v>224.98</v>
      </c>
    </row>
    <row r="3315" spans="1:4">
      <c r="A3315" t="s">
        <v>40</v>
      </c>
      <c r="B3315" t="s">
        <v>2980</v>
      </c>
      <c r="C3315" t="s">
        <v>3778</v>
      </c>
      <c r="D3315">
        <v>224.99</v>
      </c>
    </row>
    <row r="3316" spans="1:4">
      <c r="A3316" t="s">
        <v>40</v>
      </c>
      <c r="B3316" t="s">
        <v>2994</v>
      </c>
      <c r="C3316" t="s">
        <v>3779</v>
      </c>
      <c r="D3316">
        <v>399.99</v>
      </c>
    </row>
    <row r="3317" spans="1:4">
      <c r="A3317" t="s">
        <v>40</v>
      </c>
      <c r="B3317" t="s">
        <v>2980</v>
      </c>
      <c r="C3317" t="s">
        <v>3780</v>
      </c>
      <c r="D3317">
        <v>185</v>
      </c>
    </row>
    <row r="3318" spans="1:4">
      <c r="A3318" t="s">
        <v>40</v>
      </c>
      <c r="B3318" t="s">
        <v>3006</v>
      </c>
      <c r="C3318" t="s">
        <v>3781</v>
      </c>
      <c r="D3318">
        <v>229.99</v>
      </c>
    </row>
    <row r="3319" spans="1:4">
      <c r="A3319" t="s">
        <v>40</v>
      </c>
      <c r="B3319" t="s">
        <v>3030</v>
      </c>
      <c r="C3319" t="s">
        <v>3782</v>
      </c>
      <c r="D3319">
        <v>599.99</v>
      </c>
    </row>
    <row r="3320" spans="1:4">
      <c r="A3320" t="s">
        <v>40</v>
      </c>
      <c r="B3320" t="s">
        <v>1337</v>
      </c>
      <c r="C3320" t="s">
        <v>3783</v>
      </c>
      <c r="D3320">
        <v>399.94</v>
      </c>
    </row>
    <row r="3321" spans="1:4">
      <c r="A3321" t="s">
        <v>40</v>
      </c>
      <c r="B3321" t="s">
        <v>3006</v>
      </c>
      <c r="C3321" t="s">
        <v>3784</v>
      </c>
      <c r="D3321">
        <v>499.97</v>
      </c>
    </row>
    <row r="3322" spans="1:4">
      <c r="A3322" t="s">
        <v>40</v>
      </c>
      <c r="B3322" t="s">
        <v>3006</v>
      </c>
      <c r="C3322" t="s">
        <v>3785</v>
      </c>
      <c r="D3322">
        <v>569.99</v>
      </c>
    </row>
    <row r="3323" spans="1:4">
      <c r="A3323" t="s">
        <v>40</v>
      </c>
      <c r="B3323" t="s">
        <v>2980</v>
      </c>
      <c r="C3323" t="s">
        <v>3786</v>
      </c>
      <c r="D3323">
        <v>445</v>
      </c>
    </row>
    <row r="3324" spans="1:4">
      <c r="A3324" t="s">
        <v>40</v>
      </c>
      <c r="B3324" t="s">
        <v>3006</v>
      </c>
      <c r="C3324" t="s">
        <v>3787</v>
      </c>
      <c r="D3324">
        <v>269.99</v>
      </c>
    </row>
    <row r="3325" spans="1:4">
      <c r="A3325" t="s">
        <v>40</v>
      </c>
      <c r="B3325" t="s">
        <v>3030</v>
      </c>
      <c r="C3325" t="s">
        <v>3788</v>
      </c>
      <c r="D3325">
        <v>649.99</v>
      </c>
    </row>
    <row r="3326" spans="1:4">
      <c r="A3326" t="s">
        <v>40</v>
      </c>
      <c r="B3326" t="s">
        <v>2980</v>
      </c>
      <c r="C3326" t="s">
        <v>3789</v>
      </c>
      <c r="D3326">
        <v>179.99</v>
      </c>
    </row>
    <row r="3327" spans="1:4">
      <c r="A3327" t="s">
        <v>40</v>
      </c>
      <c r="B3327" t="s">
        <v>2983</v>
      </c>
      <c r="C3327" t="s">
        <v>3790</v>
      </c>
      <c r="D3327">
        <v>122.54</v>
      </c>
    </row>
    <row r="3328" spans="1:4">
      <c r="A3328" t="s">
        <v>40</v>
      </c>
      <c r="B3328" t="s">
        <v>3107</v>
      </c>
      <c r="C3328" t="s">
        <v>3791</v>
      </c>
      <c r="D3328">
        <v>239.99</v>
      </c>
    </row>
    <row r="3329" spans="1:4">
      <c r="A3329" t="s">
        <v>40</v>
      </c>
      <c r="B3329" t="s">
        <v>3006</v>
      </c>
      <c r="C3329" t="s">
        <v>3792</v>
      </c>
      <c r="D3329">
        <v>279.99</v>
      </c>
    </row>
    <row r="3330" spans="1:4">
      <c r="A3330" t="s">
        <v>40</v>
      </c>
      <c r="B3330" t="s">
        <v>2980</v>
      </c>
      <c r="C3330" t="s">
        <v>3793</v>
      </c>
      <c r="D3330">
        <v>109.99</v>
      </c>
    </row>
    <row r="3331" spans="1:4">
      <c r="A3331" t="s">
        <v>40</v>
      </c>
      <c r="B3331" t="s">
        <v>2983</v>
      </c>
      <c r="C3331" t="s">
        <v>3794</v>
      </c>
      <c r="D3331">
        <v>599.99</v>
      </c>
    </row>
    <row r="3332" spans="1:4">
      <c r="A3332" t="s">
        <v>40</v>
      </c>
      <c r="B3332" t="s">
        <v>2980</v>
      </c>
      <c r="C3332" t="s">
        <v>3795</v>
      </c>
      <c r="D3332">
        <v>429.99</v>
      </c>
    </row>
    <row r="3333" spans="1:4">
      <c r="A3333" t="s">
        <v>40</v>
      </c>
      <c r="B3333" t="s">
        <v>2994</v>
      </c>
      <c r="C3333" t="s">
        <v>3796</v>
      </c>
      <c r="D3333">
        <v>149.97999999999999</v>
      </c>
    </row>
    <row r="3334" spans="1:4">
      <c r="A3334" t="s">
        <v>40</v>
      </c>
      <c r="B3334" t="s">
        <v>3006</v>
      </c>
      <c r="C3334" t="s">
        <v>3797</v>
      </c>
      <c r="D3334">
        <v>199.99</v>
      </c>
    </row>
    <row r="3335" spans="1:4">
      <c r="A3335" t="s">
        <v>40</v>
      </c>
      <c r="B3335" t="s">
        <v>3006</v>
      </c>
      <c r="C3335" t="s">
        <v>3798</v>
      </c>
      <c r="D3335">
        <v>450</v>
      </c>
    </row>
    <row r="3336" spans="1:4">
      <c r="A3336" t="s">
        <v>40</v>
      </c>
      <c r="B3336" t="s">
        <v>2983</v>
      </c>
      <c r="C3336" t="s">
        <v>3799</v>
      </c>
      <c r="D3336">
        <v>499.99</v>
      </c>
    </row>
    <row r="3337" spans="1:4">
      <c r="A3337" t="s">
        <v>40</v>
      </c>
      <c r="B3337" t="s">
        <v>2980</v>
      </c>
      <c r="C3337" t="s">
        <v>3800</v>
      </c>
      <c r="D3337">
        <v>149.99</v>
      </c>
    </row>
    <row r="3338" spans="1:4">
      <c r="A3338" t="s">
        <v>40</v>
      </c>
      <c r="B3338" t="s">
        <v>2980</v>
      </c>
      <c r="C3338" t="s">
        <v>3801</v>
      </c>
      <c r="D3338">
        <v>699.99</v>
      </c>
    </row>
    <row r="3339" spans="1:4">
      <c r="A3339" t="s">
        <v>40</v>
      </c>
      <c r="B3339" t="s">
        <v>3081</v>
      </c>
      <c r="C3339" t="s">
        <v>3802</v>
      </c>
      <c r="D3339">
        <v>2199.9899999999998</v>
      </c>
    </row>
    <row r="3340" spans="1:4">
      <c r="A3340" t="s">
        <v>40</v>
      </c>
      <c r="B3340" t="s">
        <v>3803</v>
      </c>
      <c r="C3340" t="s">
        <v>3804</v>
      </c>
      <c r="D3340">
        <v>139.97999999999999</v>
      </c>
    </row>
    <row r="3341" spans="1:4">
      <c r="A3341" t="s">
        <v>40</v>
      </c>
      <c r="B3341" t="s">
        <v>2983</v>
      </c>
      <c r="C3341" t="s">
        <v>3805</v>
      </c>
      <c r="D3341">
        <v>148.99</v>
      </c>
    </row>
    <row r="3342" spans="1:4">
      <c r="A3342" t="s">
        <v>40</v>
      </c>
      <c r="B3342" t="s">
        <v>2994</v>
      </c>
      <c r="C3342" t="s">
        <v>3806</v>
      </c>
      <c r="D3342">
        <v>184.98</v>
      </c>
    </row>
    <row r="3343" spans="1:4">
      <c r="A3343" t="s">
        <v>40</v>
      </c>
      <c r="B3343" t="s">
        <v>2983</v>
      </c>
      <c r="C3343" t="s">
        <v>3807</v>
      </c>
      <c r="D3343">
        <v>219.99</v>
      </c>
    </row>
    <row r="3344" spans="1:4">
      <c r="A3344" t="s">
        <v>40</v>
      </c>
      <c r="B3344" t="s">
        <v>2983</v>
      </c>
      <c r="C3344" t="s">
        <v>3808</v>
      </c>
      <c r="D3344">
        <v>349.99</v>
      </c>
    </row>
    <row r="3345" spans="1:4">
      <c r="A3345" t="s">
        <v>40</v>
      </c>
      <c r="B3345" t="s">
        <v>2983</v>
      </c>
      <c r="C3345" t="s">
        <v>3182</v>
      </c>
      <c r="D3345">
        <v>137.99</v>
      </c>
    </row>
    <row r="3346" spans="1:4">
      <c r="A3346" t="s">
        <v>40</v>
      </c>
      <c r="B3346" t="s">
        <v>2983</v>
      </c>
      <c r="C3346" t="s">
        <v>3809</v>
      </c>
      <c r="D3346">
        <v>199.9</v>
      </c>
    </row>
    <row r="3347" spans="1:4">
      <c r="A3347" t="s">
        <v>40</v>
      </c>
      <c r="B3347" t="s">
        <v>3006</v>
      </c>
      <c r="C3347" t="s">
        <v>3810</v>
      </c>
      <c r="D3347">
        <v>346</v>
      </c>
    </row>
    <row r="3348" spans="1:4">
      <c r="A3348" t="s">
        <v>40</v>
      </c>
      <c r="B3348" t="s">
        <v>2980</v>
      </c>
      <c r="C3348" t="s">
        <v>3811</v>
      </c>
      <c r="D3348">
        <v>399.95</v>
      </c>
    </row>
    <row r="3349" spans="1:4">
      <c r="A3349" t="s">
        <v>40</v>
      </c>
      <c r="B3349" t="s">
        <v>3812</v>
      </c>
      <c r="C3349" t="s">
        <v>3813</v>
      </c>
      <c r="D3349">
        <v>129.99</v>
      </c>
    </row>
    <row r="3350" spans="1:4">
      <c r="A3350" t="s">
        <v>40</v>
      </c>
      <c r="B3350" t="s">
        <v>3006</v>
      </c>
      <c r="C3350" t="s">
        <v>3017</v>
      </c>
      <c r="D3350">
        <v>304.99</v>
      </c>
    </row>
    <row r="3351" spans="1:4">
      <c r="A3351" t="s">
        <v>40</v>
      </c>
      <c r="B3351" t="s">
        <v>2994</v>
      </c>
      <c r="C3351" t="s">
        <v>3814</v>
      </c>
      <c r="D3351">
        <v>549.99</v>
      </c>
    </row>
    <row r="3352" spans="1:4">
      <c r="A3352" t="s">
        <v>40</v>
      </c>
      <c r="B3352" t="s">
        <v>2983</v>
      </c>
      <c r="C3352" t="s">
        <v>3513</v>
      </c>
      <c r="D3352">
        <v>122.73</v>
      </c>
    </row>
    <row r="3353" spans="1:4">
      <c r="A3353" t="s">
        <v>40</v>
      </c>
      <c r="B3353" t="s">
        <v>3006</v>
      </c>
      <c r="C3353" t="s">
        <v>3815</v>
      </c>
      <c r="D3353">
        <v>439.99</v>
      </c>
    </row>
    <row r="3354" spans="1:4">
      <c r="A3354" t="s">
        <v>40</v>
      </c>
      <c r="B3354" t="s">
        <v>2994</v>
      </c>
      <c r="C3354" t="s">
        <v>3816</v>
      </c>
      <c r="D3354">
        <v>819.99</v>
      </c>
    </row>
    <row r="3355" spans="1:4">
      <c r="A3355" t="s">
        <v>40</v>
      </c>
      <c r="B3355" t="s">
        <v>3006</v>
      </c>
      <c r="C3355" t="s">
        <v>3817</v>
      </c>
      <c r="D3355">
        <v>1399.99</v>
      </c>
    </row>
    <row r="3356" spans="1:4">
      <c r="A3356" t="s">
        <v>40</v>
      </c>
      <c r="B3356" t="s">
        <v>2980</v>
      </c>
      <c r="C3356" t="s">
        <v>3818</v>
      </c>
      <c r="D3356">
        <v>122.98</v>
      </c>
    </row>
    <row r="3357" spans="1:4">
      <c r="A3357" t="s">
        <v>40</v>
      </c>
      <c r="B3357" t="s">
        <v>2983</v>
      </c>
      <c r="C3357" t="s">
        <v>3819</v>
      </c>
      <c r="D3357">
        <v>229.99</v>
      </c>
    </row>
    <row r="3358" spans="1:4">
      <c r="A3358" t="s">
        <v>40</v>
      </c>
      <c r="B3358" t="s">
        <v>3006</v>
      </c>
      <c r="C3358" t="s">
        <v>3820</v>
      </c>
      <c r="D3358">
        <v>413.99</v>
      </c>
    </row>
    <row r="3359" spans="1:4">
      <c r="A3359" t="s">
        <v>40</v>
      </c>
      <c r="B3359" t="s">
        <v>561</v>
      </c>
      <c r="C3359" t="s">
        <v>3821</v>
      </c>
      <c r="D3359">
        <v>541.99</v>
      </c>
    </row>
    <row r="3360" spans="1:4">
      <c r="A3360" t="s">
        <v>40</v>
      </c>
      <c r="B3360" t="s">
        <v>2983</v>
      </c>
      <c r="C3360" t="s">
        <v>3822</v>
      </c>
      <c r="D3360">
        <v>829.99</v>
      </c>
    </row>
    <row r="3361" spans="1:4">
      <c r="A3361" t="s">
        <v>40</v>
      </c>
      <c r="B3361" t="s">
        <v>3006</v>
      </c>
      <c r="C3361" t="s">
        <v>3823</v>
      </c>
      <c r="D3361">
        <v>209.99</v>
      </c>
    </row>
    <row r="3362" spans="1:4">
      <c r="A3362" t="s">
        <v>40</v>
      </c>
      <c r="B3362" t="s">
        <v>3006</v>
      </c>
      <c r="C3362" t="s">
        <v>3824</v>
      </c>
      <c r="D3362">
        <v>199.99</v>
      </c>
    </row>
    <row r="3363" spans="1:4">
      <c r="A3363" t="s">
        <v>40</v>
      </c>
      <c r="B3363" t="s">
        <v>2980</v>
      </c>
      <c r="C3363" t="s">
        <v>3484</v>
      </c>
      <c r="D3363">
        <v>139.99</v>
      </c>
    </row>
    <row r="3364" spans="1:4">
      <c r="A3364" t="s">
        <v>40</v>
      </c>
      <c r="B3364" t="s">
        <v>2980</v>
      </c>
      <c r="C3364" t="s">
        <v>3825</v>
      </c>
      <c r="D3364">
        <v>359.99</v>
      </c>
    </row>
    <row r="3365" spans="1:4">
      <c r="A3365" t="s">
        <v>40</v>
      </c>
      <c r="B3365" t="s">
        <v>2980</v>
      </c>
      <c r="C3365" t="s">
        <v>3826</v>
      </c>
      <c r="D3365">
        <v>125</v>
      </c>
    </row>
    <row r="3366" spans="1:4">
      <c r="A3366" t="s">
        <v>40</v>
      </c>
      <c r="B3366" t="s">
        <v>2980</v>
      </c>
      <c r="C3366" t="s">
        <v>3827</v>
      </c>
      <c r="D3366">
        <v>379.95</v>
      </c>
    </row>
    <row r="3367" spans="1:4">
      <c r="A3367" t="s">
        <v>40</v>
      </c>
      <c r="B3367" t="s">
        <v>2994</v>
      </c>
      <c r="C3367" t="s">
        <v>3828</v>
      </c>
      <c r="D3367">
        <v>111.99</v>
      </c>
    </row>
    <row r="3368" spans="1:4">
      <c r="A3368" t="s">
        <v>40</v>
      </c>
      <c r="B3368" t="s">
        <v>2994</v>
      </c>
      <c r="C3368" t="s">
        <v>3829</v>
      </c>
      <c r="D3368">
        <v>299.99</v>
      </c>
    </row>
    <row r="3369" spans="1:4">
      <c r="A3369" t="s">
        <v>40</v>
      </c>
      <c r="B3369" t="s">
        <v>3030</v>
      </c>
      <c r="C3369" t="s">
        <v>3830</v>
      </c>
      <c r="D3369">
        <v>450</v>
      </c>
    </row>
    <row r="3370" spans="1:4">
      <c r="A3370" t="s">
        <v>40</v>
      </c>
      <c r="B3370" t="s">
        <v>510</v>
      </c>
      <c r="C3370" t="s">
        <v>3831</v>
      </c>
      <c r="D3370">
        <v>330</v>
      </c>
    </row>
    <row r="3371" spans="1:4">
      <c r="A3371" t="s">
        <v>40</v>
      </c>
      <c r="B3371" t="s">
        <v>2980</v>
      </c>
      <c r="C3371" t="s">
        <v>3832</v>
      </c>
      <c r="D3371">
        <v>395</v>
      </c>
    </row>
    <row r="3372" spans="1:4">
      <c r="A3372" t="s">
        <v>40</v>
      </c>
      <c r="B3372" t="s">
        <v>2980</v>
      </c>
      <c r="C3372" t="s">
        <v>3833</v>
      </c>
      <c r="D3372">
        <v>449.99</v>
      </c>
    </row>
    <row r="3373" spans="1:4">
      <c r="A3373" t="s">
        <v>40</v>
      </c>
      <c r="B3373" t="s">
        <v>3006</v>
      </c>
      <c r="C3373" t="s">
        <v>3834</v>
      </c>
      <c r="D3373">
        <v>244.99</v>
      </c>
    </row>
    <row r="3374" spans="1:4">
      <c r="A3374" t="s">
        <v>40</v>
      </c>
      <c r="B3374" t="s">
        <v>2983</v>
      </c>
      <c r="C3374" t="s">
        <v>3835</v>
      </c>
      <c r="D3374">
        <v>144.99</v>
      </c>
    </row>
    <row r="3375" spans="1:4">
      <c r="A3375" t="s">
        <v>40</v>
      </c>
      <c r="B3375" t="s">
        <v>3081</v>
      </c>
      <c r="C3375" t="s">
        <v>3836</v>
      </c>
      <c r="D3375">
        <v>189.99</v>
      </c>
    </row>
    <row r="3376" spans="1:4">
      <c r="A3376" t="s">
        <v>40</v>
      </c>
      <c r="B3376" t="s">
        <v>2983</v>
      </c>
      <c r="C3376" t="s">
        <v>3837</v>
      </c>
      <c r="D3376">
        <v>159.99</v>
      </c>
    </row>
    <row r="3377" spans="1:4">
      <c r="A3377" t="s">
        <v>40</v>
      </c>
      <c r="B3377" t="s">
        <v>2983</v>
      </c>
      <c r="C3377" t="s">
        <v>3838</v>
      </c>
      <c r="D3377">
        <v>123.99</v>
      </c>
    </row>
    <row r="3378" spans="1:4">
      <c r="A3378" t="s">
        <v>40</v>
      </c>
      <c r="B3378" t="s">
        <v>3006</v>
      </c>
      <c r="C3378" t="s">
        <v>3839</v>
      </c>
      <c r="D3378">
        <v>379.99</v>
      </c>
    </row>
    <row r="3379" spans="1:4">
      <c r="A3379" t="s">
        <v>40</v>
      </c>
      <c r="B3379" t="s">
        <v>3006</v>
      </c>
      <c r="C3379" t="s">
        <v>3840</v>
      </c>
      <c r="D3379">
        <v>449.99</v>
      </c>
    </row>
    <row r="3380" spans="1:4">
      <c r="A3380" t="s">
        <v>40</v>
      </c>
      <c r="B3380" t="s">
        <v>2980</v>
      </c>
      <c r="C3380" t="s">
        <v>3841</v>
      </c>
      <c r="D3380">
        <v>99.99</v>
      </c>
    </row>
    <row r="3381" spans="1:4">
      <c r="A3381" t="s">
        <v>40</v>
      </c>
      <c r="B3381" t="s">
        <v>2980</v>
      </c>
      <c r="C3381" t="s">
        <v>3842</v>
      </c>
      <c r="D3381">
        <v>199.99</v>
      </c>
    </row>
    <row r="3382" spans="1:4">
      <c r="A3382" t="s">
        <v>40</v>
      </c>
      <c r="B3382" t="s">
        <v>2983</v>
      </c>
      <c r="C3382" t="s">
        <v>3439</v>
      </c>
      <c r="D3382">
        <v>205.19</v>
      </c>
    </row>
    <row r="3383" spans="1:4">
      <c r="A3383" t="s">
        <v>40</v>
      </c>
      <c r="B3383" t="s">
        <v>2980</v>
      </c>
      <c r="C3383" t="s">
        <v>3569</v>
      </c>
      <c r="D3383">
        <v>129.86000000000001</v>
      </c>
    </row>
    <row r="3384" spans="1:4">
      <c r="A3384" t="s">
        <v>40</v>
      </c>
      <c r="B3384" t="s">
        <v>3039</v>
      </c>
      <c r="C3384" t="s">
        <v>3843</v>
      </c>
      <c r="D3384">
        <v>109.45</v>
      </c>
    </row>
    <row r="3385" spans="1:4">
      <c r="A3385" t="s">
        <v>40</v>
      </c>
      <c r="B3385" t="s">
        <v>2980</v>
      </c>
      <c r="C3385" t="s">
        <v>3844</v>
      </c>
      <c r="D3385">
        <v>319.94</v>
      </c>
    </row>
    <row r="3386" spans="1:4">
      <c r="A3386" t="s">
        <v>40</v>
      </c>
      <c r="B3386" t="s">
        <v>3006</v>
      </c>
      <c r="C3386" t="s">
        <v>3845</v>
      </c>
      <c r="D3386">
        <v>119.99</v>
      </c>
    </row>
    <row r="3387" spans="1:4">
      <c r="A3387" t="s">
        <v>40</v>
      </c>
      <c r="B3387" t="s">
        <v>2980</v>
      </c>
      <c r="C3387" t="s">
        <v>3846</v>
      </c>
      <c r="D3387">
        <v>285</v>
      </c>
    </row>
    <row r="3388" spans="1:4">
      <c r="A3388" t="s">
        <v>40</v>
      </c>
      <c r="B3388" t="s">
        <v>1337</v>
      </c>
      <c r="C3388" t="s">
        <v>3847</v>
      </c>
      <c r="D3388">
        <v>244.99</v>
      </c>
    </row>
    <row r="3389" spans="1:4">
      <c r="A3389" t="s">
        <v>40</v>
      </c>
      <c r="B3389" t="s">
        <v>3068</v>
      </c>
      <c r="C3389" t="s">
        <v>3848</v>
      </c>
      <c r="D3389">
        <v>179.98</v>
      </c>
    </row>
    <row r="3390" spans="1:4">
      <c r="A3390" t="s">
        <v>40</v>
      </c>
      <c r="B3390" t="s">
        <v>3006</v>
      </c>
      <c r="C3390" t="s">
        <v>3849</v>
      </c>
      <c r="D3390">
        <v>159.99</v>
      </c>
    </row>
    <row r="3391" spans="1:4">
      <c r="A3391" t="s">
        <v>40</v>
      </c>
      <c r="B3391" t="s">
        <v>2983</v>
      </c>
      <c r="C3391" t="s">
        <v>3850</v>
      </c>
      <c r="D3391">
        <v>219.99</v>
      </c>
    </row>
    <row r="3392" spans="1:4">
      <c r="A3392" t="s">
        <v>40</v>
      </c>
      <c r="B3392" t="s">
        <v>2980</v>
      </c>
      <c r="C3392" t="s">
        <v>3851</v>
      </c>
      <c r="D3392">
        <v>329.99</v>
      </c>
    </row>
    <row r="3393" spans="1:4">
      <c r="A3393" t="s">
        <v>40</v>
      </c>
      <c r="B3393" t="s">
        <v>3006</v>
      </c>
      <c r="C3393" t="s">
        <v>3852</v>
      </c>
      <c r="D3393">
        <v>399.99</v>
      </c>
    </row>
    <row r="3394" spans="1:4">
      <c r="A3394" t="s">
        <v>40</v>
      </c>
      <c r="B3394" t="s">
        <v>3081</v>
      </c>
      <c r="C3394" t="s">
        <v>3853</v>
      </c>
      <c r="D3394">
        <v>399.99</v>
      </c>
    </row>
    <row r="3395" spans="1:4">
      <c r="A3395" t="s">
        <v>40</v>
      </c>
      <c r="B3395" t="s">
        <v>2980</v>
      </c>
      <c r="C3395" t="s">
        <v>3854</v>
      </c>
      <c r="D3395">
        <v>474.98</v>
      </c>
    </row>
    <row r="3396" spans="1:4">
      <c r="A3396" t="s">
        <v>40</v>
      </c>
      <c r="B3396" t="s">
        <v>2983</v>
      </c>
      <c r="C3396" t="s">
        <v>3855</v>
      </c>
      <c r="D3396">
        <v>199.99</v>
      </c>
    </row>
    <row r="3397" spans="1:4">
      <c r="A3397" t="s">
        <v>40</v>
      </c>
      <c r="B3397" t="s">
        <v>2983</v>
      </c>
      <c r="C3397" t="s">
        <v>3337</v>
      </c>
      <c r="D3397">
        <v>549.99</v>
      </c>
    </row>
    <row r="3398" spans="1:4">
      <c r="A3398" t="s">
        <v>40</v>
      </c>
      <c r="B3398" t="s">
        <v>3006</v>
      </c>
      <c r="C3398" t="s">
        <v>3856</v>
      </c>
      <c r="D3398">
        <v>119.99</v>
      </c>
    </row>
    <row r="3399" spans="1:4">
      <c r="A3399" t="s">
        <v>40</v>
      </c>
      <c r="B3399" t="s">
        <v>3006</v>
      </c>
      <c r="C3399" t="s">
        <v>3857</v>
      </c>
      <c r="D3399">
        <v>369.99</v>
      </c>
    </row>
    <row r="3400" spans="1:4">
      <c r="A3400" t="s">
        <v>40</v>
      </c>
      <c r="B3400" t="s">
        <v>3081</v>
      </c>
      <c r="C3400" t="s">
        <v>3858</v>
      </c>
      <c r="D3400">
        <v>134.99</v>
      </c>
    </row>
    <row r="3401" spans="1:4">
      <c r="A3401" t="s">
        <v>40</v>
      </c>
      <c r="B3401" t="s">
        <v>3006</v>
      </c>
      <c r="C3401" t="s">
        <v>3859</v>
      </c>
      <c r="D3401">
        <v>299.99</v>
      </c>
    </row>
    <row r="3402" spans="1:4">
      <c r="A3402" t="s">
        <v>40</v>
      </c>
      <c r="B3402" t="s">
        <v>2980</v>
      </c>
      <c r="C3402" t="s">
        <v>3860</v>
      </c>
      <c r="D3402">
        <v>349.99</v>
      </c>
    </row>
    <row r="3403" spans="1:4">
      <c r="A3403" t="s">
        <v>40</v>
      </c>
      <c r="B3403" t="s">
        <v>2980</v>
      </c>
      <c r="C3403" t="s">
        <v>3861</v>
      </c>
      <c r="D3403">
        <v>214.98</v>
      </c>
    </row>
    <row r="3404" spans="1:4">
      <c r="A3404" t="s">
        <v>40</v>
      </c>
      <c r="B3404" t="s">
        <v>2983</v>
      </c>
      <c r="C3404" t="s">
        <v>3862</v>
      </c>
      <c r="D3404">
        <v>269.98</v>
      </c>
    </row>
    <row r="3405" spans="1:4">
      <c r="A3405" t="s">
        <v>40</v>
      </c>
      <c r="B3405" t="s">
        <v>2980</v>
      </c>
      <c r="C3405" t="s">
        <v>3863</v>
      </c>
      <c r="D3405">
        <v>263.99</v>
      </c>
    </row>
    <row r="3406" spans="1:4">
      <c r="A3406" t="s">
        <v>40</v>
      </c>
      <c r="B3406" t="s">
        <v>2980</v>
      </c>
      <c r="C3406" t="s">
        <v>3864</v>
      </c>
      <c r="D3406">
        <v>449.99</v>
      </c>
    </row>
    <row r="3407" spans="1:4">
      <c r="A3407" t="s">
        <v>40</v>
      </c>
      <c r="B3407" t="s">
        <v>2980</v>
      </c>
      <c r="C3407" t="s">
        <v>3865</v>
      </c>
      <c r="D3407">
        <v>124.99</v>
      </c>
    </row>
    <row r="3408" spans="1:4">
      <c r="A3408" t="s">
        <v>40</v>
      </c>
      <c r="B3408" t="s">
        <v>3006</v>
      </c>
      <c r="C3408" t="s">
        <v>3866</v>
      </c>
      <c r="D3408">
        <v>479.99</v>
      </c>
    </row>
    <row r="3409" spans="1:4">
      <c r="A3409" t="s">
        <v>40</v>
      </c>
      <c r="B3409" t="s">
        <v>3030</v>
      </c>
      <c r="C3409" t="s">
        <v>3867</v>
      </c>
      <c r="D3409">
        <v>599.99</v>
      </c>
    </row>
    <row r="3410" spans="1:4">
      <c r="A3410" t="s">
        <v>40</v>
      </c>
      <c r="B3410" t="s">
        <v>3006</v>
      </c>
      <c r="C3410" t="s">
        <v>3868</v>
      </c>
      <c r="D3410">
        <v>279</v>
      </c>
    </row>
    <row r="3411" spans="1:4">
      <c r="A3411" t="s">
        <v>40</v>
      </c>
      <c r="B3411" t="s">
        <v>3009</v>
      </c>
      <c r="C3411" t="s">
        <v>3676</v>
      </c>
      <c r="D3411">
        <v>199.99</v>
      </c>
    </row>
    <row r="3412" spans="1:4">
      <c r="A3412" t="s">
        <v>40</v>
      </c>
      <c r="B3412" t="s">
        <v>3006</v>
      </c>
      <c r="C3412" t="s">
        <v>3869</v>
      </c>
      <c r="D3412">
        <v>625</v>
      </c>
    </row>
    <row r="3413" spans="1:4">
      <c r="A3413" t="s">
        <v>40</v>
      </c>
      <c r="B3413" t="s">
        <v>2983</v>
      </c>
      <c r="C3413" t="s">
        <v>3870</v>
      </c>
      <c r="D3413">
        <v>799.99</v>
      </c>
    </row>
    <row r="3414" spans="1:4">
      <c r="A3414" t="s">
        <v>40</v>
      </c>
      <c r="B3414" t="s">
        <v>3006</v>
      </c>
      <c r="C3414" t="s">
        <v>3871</v>
      </c>
      <c r="D3414">
        <v>149.99</v>
      </c>
    </row>
    <row r="3415" spans="1:4">
      <c r="A3415" t="s">
        <v>40</v>
      </c>
      <c r="B3415" t="s">
        <v>2980</v>
      </c>
      <c r="C3415" t="s">
        <v>3872</v>
      </c>
      <c r="D3415">
        <v>499.99</v>
      </c>
    </row>
    <row r="3416" spans="1:4">
      <c r="A3416" t="s">
        <v>40</v>
      </c>
      <c r="B3416" t="s">
        <v>3006</v>
      </c>
      <c r="C3416" t="s">
        <v>3873</v>
      </c>
      <c r="D3416">
        <v>149.99</v>
      </c>
    </row>
    <row r="3417" spans="1:4">
      <c r="A3417" t="s">
        <v>40</v>
      </c>
      <c r="B3417" t="s">
        <v>561</v>
      </c>
      <c r="C3417" t="s">
        <v>3874</v>
      </c>
      <c r="D3417">
        <v>299.99</v>
      </c>
    </row>
    <row r="3418" spans="1:4">
      <c r="A3418" t="s">
        <v>40</v>
      </c>
      <c r="B3418" t="s">
        <v>3006</v>
      </c>
      <c r="C3418" t="s">
        <v>3875</v>
      </c>
      <c r="D3418">
        <v>219.99</v>
      </c>
    </row>
    <row r="3419" spans="1:4">
      <c r="A3419" t="s">
        <v>40</v>
      </c>
      <c r="B3419" t="s">
        <v>3006</v>
      </c>
      <c r="C3419" t="s">
        <v>3876</v>
      </c>
      <c r="D3419">
        <v>113.04</v>
      </c>
    </row>
    <row r="3420" spans="1:4">
      <c r="A3420" t="s">
        <v>40</v>
      </c>
      <c r="B3420" t="s">
        <v>3006</v>
      </c>
      <c r="C3420" t="s">
        <v>3877</v>
      </c>
      <c r="D3420">
        <v>249.99</v>
      </c>
    </row>
    <row r="3421" spans="1:4">
      <c r="A3421" t="s">
        <v>40</v>
      </c>
      <c r="B3421" t="s">
        <v>561</v>
      </c>
      <c r="C3421" t="s">
        <v>3878</v>
      </c>
      <c r="D3421">
        <v>399.99</v>
      </c>
    </row>
    <row r="3422" spans="1:4">
      <c r="A3422" t="s">
        <v>40</v>
      </c>
      <c r="B3422" t="s">
        <v>2994</v>
      </c>
      <c r="C3422" t="s">
        <v>3879</v>
      </c>
      <c r="D3422">
        <v>269.99</v>
      </c>
    </row>
    <row r="3423" spans="1:4">
      <c r="A3423" t="s">
        <v>40</v>
      </c>
      <c r="B3423" t="s">
        <v>3006</v>
      </c>
      <c r="C3423" t="s">
        <v>3880</v>
      </c>
      <c r="D3423">
        <v>369.99</v>
      </c>
    </row>
    <row r="3424" spans="1:4">
      <c r="A3424" t="s">
        <v>40</v>
      </c>
      <c r="B3424" t="s">
        <v>3006</v>
      </c>
      <c r="C3424" t="s">
        <v>3881</v>
      </c>
      <c r="D3424">
        <v>619.99</v>
      </c>
    </row>
    <row r="3425" spans="1:4">
      <c r="A3425" t="s">
        <v>40</v>
      </c>
      <c r="B3425" t="s">
        <v>2980</v>
      </c>
      <c r="C3425" t="s">
        <v>3882</v>
      </c>
      <c r="D3425">
        <v>599.99</v>
      </c>
    </row>
    <row r="3426" spans="1:4">
      <c r="A3426" t="s">
        <v>40</v>
      </c>
      <c r="B3426" t="s">
        <v>3285</v>
      </c>
      <c r="C3426" t="s">
        <v>3883</v>
      </c>
      <c r="D3426">
        <v>159.99</v>
      </c>
    </row>
    <row r="3427" spans="1:4">
      <c r="A3427" t="s">
        <v>40</v>
      </c>
      <c r="B3427" t="s">
        <v>2983</v>
      </c>
      <c r="C3427" t="s">
        <v>3884</v>
      </c>
      <c r="D3427">
        <v>129.99</v>
      </c>
    </row>
    <row r="3428" spans="1:4">
      <c r="A3428" t="s">
        <v>40</v>
      </c>
      <c r="B3428" t="s">
        <v>3039</v>
      </c>
      <c r="C3428" t="s">
        <v>3885</v>
      </c>
      <c r="D3428">
        <v>384.3</v>
      </c>
    </row>
    <row r="3429" spans="1:4">
      <c r="A3429" t="s">
        <v>40</v>
      </c>
      <c r="B3429" t="s">
        <v>2994</v>
      </c>
      <c r="C3429" t="s">
        <v>3886</v>
      </c>
      <c r="D3429">
        <v>129.97999999999999</v>
      </c>
    </row>
    <row r="3430" spans="1:4">
      <c r="A3430" t="s">
        <v>40</v>
      </c>
      <c r="B3430" t="s">
        <v>2980</v>
      </c>
      <c r="C3430" t="s">
        <v>3887</v>
      </c>
      <c r="D3430">
        <v>499.99</v>
      </c>
    </row>
    <row r="3431" spans="1:4">
      <c r="A3431" t="s">
        <v>40</v>
      </c>
      <c r="B3431" t="s">
        <v>2980</v>
      </c>
      <c r="C3431" t="s">
        <v>3888</v>
      </c>
      <c r="D3431">
        <v>124.99</v>
      </c>
    </row>
    <row r="3432" spans="1:4">
      <c r="A3432" t="s">
        <v>40</v>
      </c>
      <c r="B3432" t="s">
        <v>2983</v>
      </c>
      <c r="C3432" t="s">
        <v>3889</v>
      </c>
      <c r="D3432">
        <v>115.98</v>
      </c>
    </row>
    <row r="3433" spans="1:4">
      <c r="A3433" t="s">
        <v>40</v>
      </c>
      <c r="B3433" t="s">
        <v>2983</v>
      </c>
      <c r="C3433" t="s">
        <v>3890</v>
      </c>
      <c r="D3433">
        <v>149.94999999999999</v>
      </c>
    </row>
    <row r="3434" spans="1:4">
      <c r="A3434" t="s">
        <v>40</v>
      </c>
      <c r="B3434" t="s">
        <v>3285</v>
      </c>
      <c r="C3434" t="s">
        <v>3891</v>
      </c>
      <c r="D3434">
        <v>109.99</v>
      </c>
    </row>
    <row r="3435" spans="1:4">
      <c r="A3435" t="s">
        <v>40</v>
      </c>
      <c r="B3435" t="s">
        <v>2983</v>
      </c>
      <c r="C3435" t="s">
        <v>3892</v>
      </c>
      <c r="D3435">
        <v>249.99</v>
      </c>
    </row>
    <row r="3436" spans="1:4">
      <c r="A3436" t="s">
        <v>40</v>
      </c>
      <c r="B3436" t="s">
        <v>2980</v>
      </c>
      <c r="C3436" t="s">
        <v>3893</v>
      </c>
      <c r="D3436">
        <v>199.99</v>
      </c>
    </row>
    <row r="3437" spans="1:4">
      <c r="A3437" t="s">
        <v>40</v>
      </c>
      <c r="B3437" t="s">
        <v>3006</v>
      </c>
      <c r="C3437" t="s">
        <v>3894</v>
      </c>
      <c r="D3437">
        <v>219.99</v>
      </c>
    </row>
    <row r="3438" spans="1:4">
      <c r="A3438" t="s">
        <v>40</v>
      </c>
      <c r="B3438" t="s">
        <v>2980</v>
      </c>
      <c r="C3438" t="s">
        <v>3895</v>
      </c>
      <c r="D3438">
        <v>2149.9899999999998</v>
      </c>
    </row>
    <row r="3439" spans="1:4">
      <c r="A3439" t="s">
        <v>40</v>
      </c>
      <c r="B3439" t="s">
        <v>3006</v>
      </c>
      <c r="C3439" t="s">
        <v>3896</v>
      </c>
      <c r="D3439">
        <v>143.99</v>
      </c>
    </row>
    <row r="3440" spans="1:4">
      <c r="A3440" t="s">
        <v>40</v>
      </c>
      <c r="B3440" t="s">
        <v>2980</v>
      </c>
      <c r="C3440" t="s">
        <v>3897</v>
      </c>
      <c r="D3440">
        <v>899.95</v>
      </c>
    </row>
    <row r="3441" spans="1:4">
      <c r="A3441" t="s">
        <v>40</v>
      </c>
      <c r="B3441" t="s">
        <v>3006</v>
      </c>
      <c r="C3441" t="s">
        <v>3898</v>
      </c>
      <c r="D3441">
        <v>399.99</v>
      </c>
    </row>
    <row r="3442" spans="1:4">
      <c r="A3442" t="s">
        <v>40</v>
      </c>
      <c r="B3442" t="s">
        <v>2980</v>
      </c>
      <c r="C3442" t="s">
        <v>3899</v>
      </c>
      <c r="D3442">
        <v>179.99</v>
      </c>
    </row>
    <row r="3443" spans="1:4">
      <c r="A3443" t="s">
        <v>40</v>
      </c>
      <c r="B3443" t="s">
        <v>2980</v>
      </c>
      <c r="C3443" t="s">
        <v>3900</v>
      </c>
      <c r="D3443">
        <v>122.73</v>
      </c>
    </row>
    <row r="3444" spans="1:4">
      <c r="A3444" t="s">
        <v>40</v>
      </c>
      <c r="B3444" t="s">
        <v>2983</v>
      </c>
      <c r="C3444" t="s">
        <v>3901</v>
      </c>
      <c r="D3444">
        <v>135</v>
      </c>
    </row>
    <row r="3445" spans="1:4">
      <c r="A3445" t="s">
        <v>40</v>
      </c>
      <c r="B3445" t="s">
        <v>2983</v>
      </c>
      <c r="C3445" t="s">
        <v>3902</v>
      </c>
      <c r="D3445">
        <v>109.99</v>
      </c>
    </row>
    <row r="3446" spans="1:4">
      <c r="A3446" t="s">
        <v>40</v>
      </c>
      <c r="B3446" t="s">
        <v>2983</v>
      </c>
      <c r="C3446" t="s">
        <v>3903</v>
      </c>
      <c r="D3446">
        <v>169.99</v>
      </c>
    </row>
    <row r="3447" spans="1:4">
      <c r="A3447" t="s">
        <v>40</v>
      </c>
      <c r="B3447" t="s">
        <v>2983</v>
      </c>
      <c r="C3447" t="s">
        <v>3663</v>
      </c>
      <c r="D3447">
        <v>122.54</v>
      </c>
    </row>
    <row r="3448" spans="1:4">
      <c r="A3448" t="s">
        <v>40</v>
      </c>
      <c r="B3448" t="s">
        <v>2980</v>
      </c>
      <c r="C3448" t="s">
        <v>3904</v>
      </c>
      <c r="D3448">
        <v>154.94999999999999</v>
      </c>
    </row>
    <row r="3449" spans="1:4">
      <c r="A3449" t="s">
        <v>40</v>
      </c>
      <c r="B3449" t="s">
        <v>2983</v>
      </c>
      <c r="C3449" t="s">
        <v>3905</v>
      </c>
      <c r="D3449">
        <v>152.97999999999999</v>
      </c>
    </row>
    <row r="3450" spans="1:4">
      <c r="A3450" t="s">
        <v>40</v>
      </c>
      <c r="B3450" t="s">
        <v>2983</v>
      </c>
      <c r="C3450" t="s">
        <v>3906</v>
      </c>
      <c r="D3450">
        <v>181.43</v>
      </c>
    </row>
    <row r="3451" spans="1:4">
      <c r="A3451" t="s">
        <v>40</v>
      </c>
      <c r="B3451" t="s">
        <v>2983</v>
      </c>
      <c r="C3451" t="s">
        <v>3907</v>
      </c>
      <c r="D3451">
        <v>445</v>
      </c>
    </row>
    <row r="3452" spans="1:4">
      <c r="A3452" t="s">
        <v>40</v>
      </c>
      <c r="B3452" t="s">
        <v>2980</v>
      </c>
      <c r="C3452" t="s">
        <v>3908</v>
      </c>
      <c r="D3452">
        <v>144.99</v>
      </c>
    </row>
    <row r="3453" spans="1:4">
      <c r="A3453" t="s">
        <v>40</v>
      </c>
      <c r="B3453" t="s">
        <v>3006</v>
      </c>
      <c r="C3453" t="s">
        <v>3909</v>
      </c>
      <c r="D3453">
        <v>184.99</v>
      </c>
    </row>
    <row r="3454" spans="1:4">
      <c r="A3454" t="s">
        <v>40</v>
      </c>
      <c r="B3454" t="s">
        <v>2980</v>
      </c>
      <c r="C3454" t="s">
        <v>3910</v>
      </c>
      <c r="D3454">
        <v>119.99</v>
      </c>
    </row>
    <row r="3455" spans="1:4">
      <c r="A3455" t="s">
        <v>40</v>
      </c>
      <c r="B3455" t="s">
        <v>3107</v>
      </c>
      <c r="C3455" t="s">
        <v>3911</v>
      </c>
      <c r="D3455">
        <v>299.99</v>
      </c>
    </row>
    <row r="3456" spans="1:4">
      <c r="A3456" t="s">
        <v>40</v>
      </c>
      <c r="B3456" t="s">
        <v>2983</v>
      </c>
      <c r="C3456" t="s">
        <v>3912</v>
      </c>
      <c r="D3456">
        <v>109</v>
      </c>
    </row>
    <row r="3457" spans="1:4">
      <c r="A3457" t="s">
        <v>40</v>
      </c>
      <c r="B3457" t="s">
        <v>3107</v>
      </c>
      <c r="C3457" t="s">
        <v>3913</v>
      </c>
      <c r="D3457">
        <v>1019.99</v>
      </c>
    </row>
    <row r="3458" spans="1:4">
      <c r="A3458" t="s">
        <v>40</v>
      </c>
      <c r="B3458" t="s">
        <v>2983</v>
      </c>
      <c r="C3458" t="s">
        <v>3914</v>
      </c>
      <c r="D3458">
        <v>109.99</v>
      </c>
    </row>
    <row r="3459" spans="1:4">
      <c r="A3459" t="s">
        <v>40</v>
      </c>
      <c r="B3459" t="s">
        <v>3107</v>
      </c>
      <c r="C3459" t="s">
        <v>3915</v>
      </c>
      <c r="D3459">
        <v>149.99</v>
      </c>
    </row>
    <row r="3460" spans="1:4">
      <c r="A3460" t="s">
        <v>40</v>
      </c>
      <c r="B3460" t="s">
        <v>2983</v>
      </c>
      <c r="C3460" t="s">
        <v>3916</v>
      </c>
      <c r="D3460">
        <v>141.11000000000001</v>
      </c>
    </row>
    <row r="3461" spans="1:4">
      <c r="A3461" t="s">
        <v>40</v>
      </c>
      <c r="B3461" t="s">
        <v>2980</v>
      </c>
      <c r="C3461" t="s">
        <v>3917</v>
      </c>
      <c r="D3461">
        <v>90.81</v>
      </c>
    </row>
    <row r="3462" spans="1:4">
      <c r="A3462" t="s">
        <v>40</v>
      </c>
      <c r="B3462" t="s">
        <v>3006</v>
      </c>
      <c r="C3462" t="s">
        <v>3918</v>
      </c>
      <c r="D3462">
        <v>139.99</v>
      </c>
    </row>
    <row r="3463" spans="1:4">
      <c r="A3463" t="s">
        <v>40</v>
      </c>
      <c r="B3463" t="s">
        <v>2980</v>
      </c>
      <c r="C3463" t="s">
        <v>3919</v>
      </c>
      <c r="D3463">
        <v>299</v>
      </c>
    </row>
    <row r="3464" spans="1:4">
      <c r="A3464" t="s">
        <v>40</v>
      </c>
      <c r="B3464" t="s">
        <v>3920</v>
      </c>
      <c r="C3464" t="s">
        <v>3921</v>
      </c>
      <c r="D3464">
        <v>129.97999999999999</v>
      </c>
    </row>
    <row r="3465" spans="1:4">
      <c r="A3465" t="s">
        <v>40</v>
      </c>
      <c r="B3465" t="s">
        <v>2980</v>
      </c>
      <c r="C3465" t="s">
        <v>3922</v>
      </c>
      <c r="D3465">
        <v>379.99</v>
      </c>
    </row>
    <row r="3466" spans="1:4">
      <c r="A3466" t="s">
        <v>40</v>
      </c>
      <c r="B3466" t="s">
        <v>2980</v>
      </c>
      <c r="C3466" t="s">
        <v>3923</v>
      </c>
      <c r="D3466">
        <v>379.99</v>
      </c>
    </row>
    <row r="3467" spans="1:4">
      <c r="A3467" t="s">
        <v>40</v>
      </c>
      <c r="B3467" t="s">
        <v>2980</v>
      </c>
      <c r="C3467" t="s">
        <v>3924</v>
      </c>
      <c r="D3467">
        <v>299.99</v>
      </c>
    </row>
    <row r="3468" spans="1:4">
      <c r="A3468" t="s">
        <v>40</v>
      </c>
      <c r="B3468" t="s">
        <v>2980</v>
      </c>
      <c r="C3468" t="s">
        <v>3925</v>
      </c>
      <c r="D3468">
        <v>169.99</v>
      </c>
    </row>
    <row r="3469" spans="1:4">
      <c r="A3469" t="s">
        <v>40</v>
      </c>
      <c r="B3469" t="s">
        <v>2983</v>
      </c>
      <c r="C3469" t="s">
        <v>3926</v>
      </c>
      <c r="D3469">
        <v>110.03</v>
      </c>
    </row>
    <row r="3470" spans="1:4">
      <c r="A3470" t="s">
        <v>40</v>
      </c>
      <c r="B3470" t="s">
        <v>3006</v>
      </c>
      <c r="C3470" t="s">
        <v>3927</v>
      </c>
      <c r="D3470">
        <v>149.97999999999999</v>
      </c>
    </row>
    <row r="3471" spans="1:4">
      <c r="A3471" t="s">
        <v>40</v>
      </c>
      <c r="B3471" t="s">
        <v>2983</v>
      </c>
      <c r="C3471" t="s">
        <v>3117</v>
      </c>
      <c r="D3471">
        <v>123.9</v>
      </c>
    </row>
    <row r="3472" spans="1:4">
      <c r="A3472" t="s">
        <v>40</v>
      </c>
      <c r="B3472" t="s">
        <v>2980</v>
      </c>
      <c r="C3472" t="s">
        <v>3928</v>
      </c>
      <c r="D3472">
        <v>299.99</v>
      </c>
    </row>
    <row r="3473" spans="1:4">
      <c r="A3473" t="s">
        <v>40</v>
      </c>
      <c r="B3473" t="s">
        <v>2983</v>
      </c>
      <c r="C3473" t="s">
        <v>3929</v>
      </c>
      <c r="D3473">
        <v>159.99</v>
      </c>
    </row>
    <row r="3474" spans="1:4">
      <c r="A3474" t="s">
        <v>40</v>
      </c>
      <c r="B3474" t="s">
        <v>2983</v>
      </c>
      <c r="C3474" t="s">
        <v>3930</v>
      </c>
      <c r="D3474">
        <v>122.54</v>
      </c>
    </row>
    <row r="3475" spans="1:4">
      <c r="A3475" t="s">
        <v>40</v>
      </c>
      <c r="B3475" t="s">
        <v>1337</v>
      </c>
      <c r="C3475" t="s">
        <v>3931</v>
      </c>
      <c r="D3475">
        <v>439</v>
      </c>
    </row>
    <row r="3476" spans="1:4">
      <c r="A3476" t="s">
        <v>40</v>
      </c>
      <c r="B3476" t="s">
        <v>2980</v>
      </c>
      <c r="C3476" t="s">
        <v>3932</v>
      </c>
      <c r="D3476">
        <v>164.99</v>
      </c>
    </row>
    <row r="3477" spans="1:4">
      <c r="A3477" t="s">
        <v>40</v>
      </c>
      <c r="B3477" t="s">
        <v>2983</v>
      </c>
      <c r="C3477" t="s">
        <v>3933</v>
      </c>
      <c r="D3477">
        <v>142.99</v>
      </c>
    </row>
    <row r="3478" spans="1:4">
      <c r="A3478" t="s">
        <v>40</v>
      </c>
      <c r="B3478" t="s">
        <v>2983</v>
      </c>
      <c r="C3478" t="s">
        <v>3934</v>
      </c>
      <c r="D3478">
        <v>139.99</v>
      </c>
    </row>
    <row r="3479" spans="1:4">
      <c r="A3479" t="s">
        <v>40</v>
      </c>
      <c r="B3479" t="s">
        <v>3006</v>
      </c>
      <c r="C3479" t="s">
        <v>3935</v>
      </c>
      <c r="D3479">
        <v>129.99</v>
      </c>
    </row>
    <row r="3480" spans="1:4">
      <c r="A3480" t="s">
        <v>40</v>
      </c>
      <c r="B3480" t="s">
        <v>2980</v>
      </c>
      <c r="C3480" t="s">
        <v>3936</v>
      </c>
      <c r="D3480">
        <v>1899.99</v>
      </c>
    </row>
    <row r="3481" spans="1:4">
      <c r="A3481" t="s">
        <v>40</v>
      </c>
      <c r="B3481" t="s">
        <v>3006</v>
      </c>
      <c r="C3481" t="s">
        <v>3937</v>
      </c>
      <c r="D3481">
        <v>449.99</v>
      </c>
    </row>
    <row r="3482" spans="1:4">
      <c r="A3482" t="s">
        <v>40</v>
      </c>
      <c r="B3482" t="s">
        <v>3006</v>
      </c>
      <c r="C3482" t="s">
        <v>3938</v>
      </c>
      <c r="D3482">
        <v>614.99</v>
      </c>
    </row>
    <row r="3483" spans="1:4">
      <c r="A3483" t="s">
        <v>40</v>
      </c>
      <c r="B3483" t="s">
        <v>2980</v>
      </c>
      <c r="C3483" t="s">
        <v>3939</v>
      </c>
      <c r="D3483">
        <v>194.99</v>
      </c>
    </row>
    <row r="3484" spans="1:4">
      <c r="A3484" t="s">
        <v>40</v>
      </c>
      <c r="B3484" t="s">
        <v>3006</v>
      </c>
      <c r="C3484" t="s">
        <v>3940</v>
      </c>
      <c r="D3484">
        <v>250</v>
      </c>
    </row>
    <row r="3485" spans="1:4">
      <c r="A3485" t="s">
        <v>40</v>
      </c>
      <c r="B3485" t="s">
        <v>2980</v>
      </c>
      <c r="C3485" t="s">
        <v>3941</v>
      </c>
      <c r="D3485">
        <v>89.29</v>
      </c>
    </row>
    <row r="3486" spans="1:4">
      <c r="A3486" t="s">
        <v>40</v>
      </c>
      <c r="B3486" t="s">
        <v>2983</v>
      </c>
      <c r="C3486" t="s">
        <v>3942</v>
      </c>
      <c r="D3486">
        <v>153.99</v>
      </c>
    </row>
    <row r="3487" spans="1:4">
      <c r="A3487" t="s">
        <v>40</v>
      </c>
      <c r="B3487" t="s">
        <v>3006</v>
      </c>
      <c r="C3487" t="s">
        <v>3943</v>
      </c>
      <c r="D3487">
        <v>189</v>
      </c>
    </row>
    <row r="3488" spans="1:4">
      <c r="A3488" t="s">
        <v>40</v>
      </c>
      <c r="B3488" t="s">
        <v>3006</v>
      </c>
      <c r="C3488" t="s">
        <v>3944</v>
      </c>
      <c r="D3488">
        <v>132.04</v>
      </c>
    </row>
    <row r="3489" spans="1:4">
      <c r="A3489" t="s">
        <v>40</v>
      </c>
      <c r="B3489" t="s">
        <v>2983</v>
      </c>
      <c r="C3489" t="s">
        <v>3945</v>
      </c>
      <c r="D3489">
        <v>443.51</v>
      </c>
    </row>
    <row r="3490" spans="1:4">
      <c r="A3490" t="s">
        <v>40</v>
      </c>
      <c r="B3490" t="s">
        <v>3285</v>
      </c>
      <c r="C3490" t="s">
        <v>3946</v>
      </c>
      <c r="D3490">
        <v>284.99</v>
      </c>
    </row>
    <row r="3491" spans="1:4">
      <c r="A3491" t="s">
        <v>40</v>
      </c>
      <c r="B3491" t="s">
        <v>2994</v>
      </c>
      <c r="C3491" t="s">
        <v>3947</v>
      </c>
      <c r="D3491">
        <v>999.99</v>
      </c>
    </row>
    <row r="3492" spans="1:4">
      <c r="A3492" t="s">
        <v>40</v>
      </c>
      <c r="B3492" t="s">
        <v>2980</v>
      </c>
      <c r="C3492" t="s">
        <v>3948</v>
      </c>
      <c r="D3492">
        <v>539</v>
      </c>
    </row>
    <row r="3493" spans="1:4">
      <c r="A3493" t="s">
        <v>40</v>
      </c>
      <c r="B3493" t="s">
        <v>2983</v>
      </c>
      <c r="C3493" t="s">
        <v>3949</v>
      </c>
      <c r="D3493">
        <v>119.99</v>
      </c>
    </row>
    <row r="3494" spans="1:4">
      <c r="A3494" t="s">
        <v>40</v>
      </c>
      <c r="B3494" t="s">
        <v>3006</v>
      </c>
      <c r="C3494" t="s">
        <v>3848</v>
      </c>
      <c r="D3494">
        <v>189.97</v>
      </c>
    </row>
    <row r="3495" spans="1:4">
      <c r="A3495" t="s">
        <v>40</v>
      </c>
      <c r="B3495" t="s">
        <v>3107</v>
      </c>
      <c r="C3495" t="s">
        <v>3950</v>
      </c>
      <c r="D3495">
        <v>849.99</v>
      </c>
    </row>
    <row r="3496" spans="1:4">
      <c r="A3496" t="s">
        <v>40</v>
      </c>
      <c r="B3496" t="s">
        <v>3006</v>
      </c>
      <c r="C3496" t="s">
        <v>3951</v>
      </c>
      <c r="D3496">
        <v>215</v>
      </c>
    </row>
    <row r="3497" spans="1:4">
      <c r="A3497" t="s">
        <v>40</v>
      </c>
      <c r="B3497" t="s">
        <v>2980</v>
      </c>
      <c r="C3497" t="s">
        <v>3952</v>
      </c>
      <c r="D3497">
        <v>345</v>
      </c>
    </row>
    <row r="3498" spans="1:4">
      <c r="A3498" t="s">
        <v>40</v>
      </c>
      <c r="B3498" t="s">
        <v>2983</v>
      </c>
      <c r="C3498" t="s">
        <v>3953</v>
      </c>
      <c r="D3498">
        <v>169.99</v>
      </c>
    </row>
    <row r="3499" spans="1:4">
      <c r="A3499" t="s">
        <v>40</v>
      </c>
      <c r="B3499" t="s">
        <v>3006</v>
      </c>
      <c r="C3499" t="s">
        <v>3954</v>
      </c>
      <c r="D3499">
        <v>584.99</v>
      </c>
    </row>
    <row r="3500" spans="1:4">
      <c r="A3500" t="s">
        <v>40</v>
      </c>
      <c r="B3500" t="s">
        <v>1337</v>
      </c>
      <c r="C3500" t="s">
        <v>3955</v>
      </c>
      <c r="D3500">
        <v>919.99</v>
      </c>
    </row>
    <row r="3501" spans="1:4">
      <c r="A3501" t="s">
        <v>40</v>
      </c>
      <c r="B3501" t="s">
        <v>2983</v>
      </c>
      <c r="C3501" t="s">
        <v>3337</v>
      </c>
      <c r="D3501">
        <v>599.99</v>
      </c>
    </row>
    <row r="3502" spans="1:4">
      <c r="A3502" t="s">
        <v>40</v>
      </c>
      <c r="B3502" t="s">
        <v>3812</v>
      </c>
      <c r="C3502" t="s">
        <v>3956</v>
      </c>
      <c r="D3502">
        <v>109.99</v>
      </c>
    </row>
    <row r="3503" spans="1:4">
      <c r="A3503" t="s">
        <v>40</v>
      </c>
      <c r="B3503" t="s">
        <v>3006</v>
      </c>
      <c r="C3503" t="s">
        <v>3957</v>
      </c>
      <c r="D3503">
        <v>129.99</v>
      </c>
    </row>
    <row r="3504" spans="1:4">
      <c r="A3504" t="s">
        <v>40</v>
      </c>
      <c r="B3504" t="s">
        <v>1337</v>
      </c>
      <c r="C3504" t="s">
        <v>3958</v>
      </c>
      <c r="D3504">
        <v>299.98</v>
      </c>
    </row>
    <row r="3505" spans="1:4">
      <c r="A3505" t="s">
        <v>40</v>
      </c>
      <c r="B3505" t="s">
        <v>2983</v>
      </c>
      <c r="C3505" t="s">
        <v>3959</v>
      </c>
      <c r="D3505">
        <v>191.51</v>
      </c>
    </row>
    <row r="3506" spans="1:4">
      <c r="A3506" t="s">
        <v>40</v>
      </c>
      <c r="B3506" t="s">
        <v>2994</v>
      </c>
      <c r="C3506" t="s">
        <v>3960</v>
      </c>
      <c r="D3506">
        <v>199.99</v>
      </c>
    </row>
    <row r="3507" spans="1:4">
      <c r="A3507" t="s">
        <v>40</v>
      </c>
      <c r="B3507" t="s">
        <v>3961</v>
      </c>
      <c r="C3507" t="s">
        <v>3962</v>
      </c>
      <c r="D3507">
        <v>419.99</v>
      </c>
    </row>
    <row r="3508" spans="1:4">
      <c r="A3508" t="s">
        <v>40</v>
      </c>
      <c r="B3508" t="s">
        <v>2980</v>
      </c>
      <c r="C3508" t="s">
        <v>3963</v>
      </c>
      <c r="D3508">
        <v>455</v>
      </c>
    </row>
    <row r="3509" spans="1:4">
      <c r="A3509" t="s">
        <v>40</v>
      </c>
      <c r="B3509" t="s">
        <v>2983</v>
      </c>
      <c r="C3509" t="s">
        <v>3964</v>
      </c>
      <c r="D3509">
        <v>249</v>
      </c>
    </row>
    <row r="3510" spans="1:4">
      <c r="A3510" t="s">
        <v>40</v>
      </c>
      <c r="B3510" t="s">
        <v>3006</v>
      </c>
      <c r="C3510" t="s">
        <v>3965</v>
      </c>
      <c r="D3510">
        <v>239.95</v>
      </c>
    </row>
    <row r="3511" spans="1:4">
      <c r="A3511" t="s">
        <v>40</v>
      </c>
      <c r="B3511" t="s">
        <v>3006</v>
      </c>
      <c r="C3511" t="s">
        <v>3966</v>
      </c>
      <c r="D3511">
        <v>199.99</v>
      </c>
    </row>
    <row r="3512" spans="1:4">
      <c r="A3512" t="s">
        <v>40</v>
      </c>
      <c r="B3512" t="s">
        <v>3009</v>
      </c>
      <c r="C3512" t="s">
        <v>3967</v>
      </c>
      <c r="D3512">
        <v>159.99</v>
      </c>
    </row>
    <row r="3513" spans="1:4">
      <c r="A3513" t="s">
        <v>40</v>
      </c>
      <c r="B3513" t="s">
        <v>505</v>
      </c>
      <c r="C3513" t="s">
        <v>3968</v>
      </c>
      <c r="D3513">
        <v>149.99</v>
      </c>
    </row>
    <row r="3514" spans="1:4">
      <c r="A3514" t="s">
        <v>40</v>
      </c>
      <c r="B3514" t="s">
        <v>3006</v>
      </c>
      <c r="C3514" t="s">
        <v>3969</v>
      </c>
      <c r="D3514">
        <v>189.99</v>
      </c>
    </row>
    <row r="3515" spans="1:4">
      <c r="A3515" t="s">
        <v>40</v>
      </c>
      <c r="B3515" t="s">
        <v>2994</v>
      </c>
      <c r="C3515" t="s">
        <v>3970</v>
      </c>
      <c r="D3515">
        <v>222.99</v>
      </c>
    </row>
    <row r="3516" spans="1:4">
      <c r="A3516" t="s">
        <v>40</v>
      </c>
      <c r="B3516" t="s">
        <v>3006</v>
      </c>
      <c r="C3516" t="s">
        <v>3971</v>
      </c>
      <c r="D3516">
        <v>229.99</v>
      </c>
    </row>
    <row r="3517" spans="1:4">
      <c r="A3517" t="s">
        <v>40</v>
      </c>
      <c r="B3517" t="s">
        <v>3006</v>
      </c>
      <c r="C3517" t="s">
        <v>3972</v>
      </c>
      <c r="D3517">
        <v>369.99</v>
      </c>
    </row>
    <row r="3518" spans="1:4">
      <c r="A3518" t="s">
        <v>40</v>
      </c>
      <c r="B3518" t="s">
        <v>2983</v>
      </c>
      <c r="C3518" t="s">
        <v>3973</v>
      </c>
      <c r="D3518">
        <v>529.99</v>
      </c>
    </row>
    <row r="3519" spans="1:4">
      <c r="A3519" t="s">
        <v>40</v>
      </c>
      <c r="B3519" t="s">
        <v>2980</v>
      </c>
      <c r="C3519" t="s">
        <v>3974</v>
      </c>
      <c r="D3519">
        <v>197.98</v>
      </c>
    </row>
    <row r="3520" spans="1:4">
      <c r="A3520" t="s">
        <v>40</v>
      </c>
      <c r="B3520" t="s">
        <v>2980</v>
      </c>
      <c r="C3520" t="s">
        <v>3975</v>
      </c>
      <c r="D3520">
        <v>199.95</v>
      </c>
    </row>
    <row r="3521" spans="1:4">
      <c r="A3521" t="s">
        <v>40</v>
      </c>
      <c r="B3521" t="s">
        <v>2980</v>
      </c>
      <c r="C3521" t="s">
        <v>3976</v>
      </c>
      <c r="D3521">
        <v>449.99</v>
      </c>
    </row>
    <row r="3522" spans="1:4">
      <c r="A3522" t="s">
        <v>40</v>
      </c>
      <c r="B3522" t="s">
        <v>2983</v>
      </c>
      <c r="C3522" t="s">
        <v>3977</v>
      </c>
      <c r="D3522">
        <v>208.82</v>
      </c>
    </row>
    <row r="3523" spans="1:4">
      <c r="A3523" t="s">
        <v>40</v>
      </c>
      <c r="B3523" t="s">
        <v>2980</v>
      </c>
      <c r="C3523" t="s">
        <v>3978</v>
      </c>
      <c r="D3523">
        <v>119.99</v>
      </c>
    </row>
    <row r="3524" spans="1:4">
      <c r="A3524" t="s">
        <v>40</v>
      </c>
      <c r="B3524" t="s">
        <v>3006</v>
      </c>
      <c r="C3524" t="s">
        <v>3979</v>
      </c>
      <c r="D3524">
        <v>350</v>
      </c>
    </row>
    <row r="3525" spans="1:4">
      <c r="A3525" t="s">
        <v>40</v>
      </c>
      <c r="B3525" t="s">
        <v>2980</v>
      </c>
      <c r="C3525" t="s">
        <v>3980</v>
      </c>
      <c r="D3525">
        <v>185</v>
      </c>
    </row>
    <row r="3526" spans="1:4">
      <c r="A3526" t="s">
        <v>40</v>
      </c>
      <c r="B3526" t="s">
        <v>3006</v>
      </c>
      <c r="C3526" t="s">
        <v>3981</v>
      </c>
      <c r="D3526">
        <v>879.99</v>
      </c>
    </row>
    <row r="3527" spans="1:4">
      <c r="A3527" t="s">
        <v>40</v>
      </c>
      <c r="B3527" t="s">
        <v>1337</v>
      </c>
      <c r="C3527" t="s">
        <v>3982</v>
      </c>
      <c r="D3527">
        <v>244.95</v>
      </c>
    </row>
    <row r="3528" spans="1:4">
      <c r="A3528" t="s">
        <v>40</v>
      </c>
      <c r="B3528" t="s">
        <v>2983</v>
      </c>
      <c r="C3528" t="s">
        <v>3983</v>
      </c>
      <c r="D3528">
        <v>429.99</v>
      </c>
    </row>
    <row r="3529" spans="1:4">
      <c r="A3529" t="s">
        <v>40</v>
      </c>
      <c r="B3529" t="s">
        <v>2980</v>
      </c>
      <c r="C3529" t="s">
        <v>3984</v>
      </c>
      <c r="D3529">
        <v>1649.99</v>
      </c>
    </row>
    <row r="3530" spans="1:4">
      <c r="A3530" t="s">
        <v>40</v>
      </c>
      <c r="B3530" t="s">
        <v>3009</v>
      </c>
      <c r="C3530" t="s">
        <v>3985</v>
      </c>
      <c r="D3530">
        <v>141.54</v>
      </c>
    </row>
    <row r="3531" spans="1:4">
      <c r="A3531" t="s">
        <v>40</v>
      </c>
      <c r="B3531" t="s">
        <v>2980</v>
      </c>
      <c r="C3531" t="s">
        <v>3986</v>
      </c>
      <c r="D3531">
        <v>95.98</v>
      </c>
    </row>
    <row r="3532" spans="1:4">
      <c r="A3532" t="s">
        <v>40</v>
      </c>
      <c r="B3532" t="s">
        <v>2983</v>
      </c>
      <c r="C3532" t="s">
        <v>3987</v>
      </c>
      <c r="D3532">
        <v>279.99</v>
      </c>
    </row>
    <row r="3533" spans="1:4">
      <c r="A3533" t="s">
        <v>40</v>
      </c>
      <c r="B3533" t="s">
        <v>2980</v>
      </c>
      <c r="C3533" t="s">
        <v>3988</v>
      </c>
      <c r="D3533">
        <v>379.99</v>
      </c>
    </row>
    <row r="3534" spans="1:4">
      <c r="A3534" t="s">
        <v>40</v>
      </c>
      <c r="B3534" t="s">
        <v>3006</v>
      </c>
      <c r="C3534" t="s">
        <v>3989</v>
      </c>
      <c r="D3534">
        <v>179.99</v>
      </c>
    </row>
    <row r="3535" spans="1:4">
      <c r="A3535" t="s">
        <v>40</v>
      </c>
      <c r="B3535" t="s">
        <v>2980</v>
      </c>
      <c r="C3535" t="s">
        <v>3990</v>
      </c>
      <c r="D3535">
        <v>79.989999999999995</v>
      </c>
    </row>
    <row r="3536" spans="1:4">
      <c r="A3536" t="s">
        <v>40</v>
      </c>
      <c r="B3536" t="s">
        <v>2983</v>
      </c>
      <c r="C3536" t="s">
        <v>3991</v>
      </c>
      <c r="D3536">
        <v>469.99</v>
      </c>
    </row>
    <row r="3537" spans="1:4">
      <c r="A3537" t="s">
        <v>40</v>
      </c>
      <c r="B3537" t="s">
        <v>3006</v>
      </c>
      <c r="C3537" t="s">
        <v>3992</v>
      </c>
      <c r="D3537">
        <v>239.69</v>
      </c>
    </row>
    <row r="3538" spans="1:4">
      <c r="A3538" t="s">
        <v>40</v>
      </c>
      <c r="B3538" t="s">
        <v>3009</v>
      </c>
      <c r="C3538" t="s">
        <v>3993</v>
      </c>
      <c r="D3538">
        <v>119.99</v>
      </c>
    </row>
    <row r="3539" spans="1:4">
      <c r="A3539" t="s">
        <v>40</v>
      </c>
      <c r="B3539" t="s">
        <v>2980</v>
      </c>
      <c r="C3539" t="s">
        <v>3994</v>
      </c>
      <c r="D3539">
        <v>124.99</v>
      </c>
    </row>
    <row r="3540" spans="1:4">
      <c r="A3540" t="s">
        <v>40</v>
      </c>
      <c r="B3540" t="s">
        <v>2983</v>
      </c>
      <c r="C3540" t="s">
        <v>3995</v>
      </c>
      <c r="D3540">
        <v>199.99</v>
      </c>
    </row>
    <row r="3541" spans="1:4">
      <c r="A3541" t="s">
        <v>40</v>
      </c>
      <c r="B3541" t="s">
        <v>2980</v>
      </c>
      <c r="C3541" t="s">
        <v>3996</v>
      </c>
      <c r="D3541">
        <v>249.99</v>
      </c>
    </row>
    <row r="3542" spans="1:4">
      <c r="A3542" t="s">
        <v>40</v>
      </c>
      <c r="B3542" t="s">
        <v>2980</v>
      </c>
      <c r="C3542" t="s">
        <v>3997</v>
      </c>
      <c r="D3542">
        <v>1149.99</v>
      </c>
    </row>
    <row r="3543" spans="1:4">
      <c r="A3543" t="s">
        <v>40</v>
      </c>
      <c r="B3543" t="s">
        <v>2988</v>
      </c>
      <c r="C3543" t="s">
        <v>3998</v>
      </c>
      <c r="D3543">
        <v>74.989999999999995</v>
      </c>
    </row>
    <row r="3544" spans="1:4">
      <c r="A3544" t="s">
        <v>40</v>
      </c>
      <c r="B3544" t="s">
        <v>2983</v>
      </c>
      <c r="C3544" t="s">
        <v>3999</v>
      </c>
      <c r="D3544">
        <v>161.27000000000001</v>
      </c>
    </row>
    <row r="3545" spans="1:4">
      <c r="A3545" t="s">
        <v>40</v>
      </c>
      <c r="B3545" t="s">
        <v>2980</v>
      </c>
      <c r="C3545" t="s">
        <v>4000</v>
      </c>
      <c r="D3545">
        <v>449.99</v>
      </c>
    </row>
    <row r="3546" spans="1:4">
      <c r="A3546" t="s">
        <v>40</v>
      </c>
      <c r="B3546" t="s">
        <v>3006</v>
      </c>
      <c r="C3546" t="s">
        <v>4001</v>
      </c>
      <c r="D3546">
        <v>139.99</v>
      </c>
    </row>
    <row r="3547" spans="1:4">
      <c r="A3547" t="s">
        <v>40</v>
      </c>
      <c r="B3547" t="s">
        <v>2983</v>
      </c>
      <c r="C3547" t="s">
        <v>4002</v>
      </c>
      <c r="D3547">
        <v>169.98</v>
      </c>
    </row>
    <row r="3548" spans="1:4">
      <c r="A3548" t="s">
        <v>40</v>
      </c>
      <c r="B3548" t="s">
        <v>4003</v>
      </c>
      <c r="C3548" t="s">
        <v>4004</v>
      </c>
      <c r="D3548">
        <v>162.58000000000001</v>
      </c>
    </row>
    <row r="3549" spans="1:4">
      <c r="A3549" t="s">
        <v>40</v>
      </c>
      <c r="B3549" t="s">
        <v>569</v>
      </c>
      <c r="C3549" t="s">
        <v>4005</v>
      </c>
      <c r="D3549">
        <v>179.99</v>
      </c>
    </row>
    <row r="3550" spans="1:4">
      <c r="A3550" t="s">
        <v>40</v>
      </c>
      <c r="B3550" t="s">
        <v>3006</v>
      </c>
      <c r="C3550" t="s">
        <v>4006</v>
      </c>
      <c r="D3550">
        <v>99</v>
      </c>
    </row>
    <row r="3551" spans="1:4">
      <c r="A3551" t="s">
        <v>40</v>
      </c>
      <c r="B3551" t="s">
        <v>3006</v>
      </c>
      <c r="C3551" t="s">
        <v>4007</v>
      </c>
      <c r="D3551">
        <v>169.99</v>
      </c>
    </row>
    <row r="3552" spans="1:4">
      <c r="A3552" t="s">
        <v>40</v>
      </c>
      <c r="B3552" t="s">
        <v>3006</v>
      </c>
      <c r="C3552" t="s">
        <v>4008</v>
      </c>
      <c r="D3552">
        <v>649.99</v>
      </c>
    </row>
    <row r="3553" spans="1:4">
      <c r="A3553" t="s">
        <v>40</v>
      </c>
      <c r="B3553" t="s">
        <v>3006</v>
      </c>
      <c r="C3553" t="s">
        <v>4009</v>
      </c>
      <c r="D3553">
        <v>769.99</v>
      </c>
    </row>
    <row r="3554" spans="1:4">
      <c r="A3554" t="s">
        <v>40</v>
      </c>
      <c r="B3554" t="s">
        <v>2983</v>
      </c>
      <c r="C3554" t="s">
        <v>4010</v>
      </c>
      <c r="D3554">
        <v>152.97999999999999</v>
      </c>
    </row>
    <row r="3555" spans="1:4">
      <c r="A3555" t="s">
        <v>40</v>
      </c>
      <c r="B3555" t="s">
        <v>3107</v>
      </c>
      <c r="C3555" t="s">
        <v>4011</v>
      </c>
      <c r="D3555">
        <v>179.98</v>
      </c>
    </row>
    <row r="3556" spans="1:4">
      <c r="A3556" t="s">
        <v>40</v>
      </c>
      <c r="B3556" t="s">
        <v>2983</v>
      </c>
      <c r="C3556" t="s">
        <v>4012</v>
      </c>
      <c r="D3556">
        <v>629.99</v>
      </c>
    </row>
    <row r="3557" spans="1:4">
      <c r="A3557" t="s">
        <v>40</v>
      </c>
      <c r="B3557" t="s">
        <v>3006</v>
      </c>
      <c r="C3557" t="s">
        <v>4013</v>
      </c>
      <c r="D3557">
        <v>273</v>
      </c>
    </row>
    <row r="3558" spans="1:4">
      <c r="A3558" t="s">
        <v>40</v>
      </c>
      <c r="B3558" t="s">
        <v>3081</v>
      </c>
      <c r="C3558" t="s">
        <v>4014</v>
      </c>
      <c r="D3558">
        <v>169.99</v>
      </c>
    </row>
    <row r="3559" spans="1:4">
      <c r="A3559" t="s">
        <v>40</v>
      </c>
      <c r="B3559" t="s">
        <v>3081</v>
      </c>
      <c r="C3559" t="s">
        <v>4015</v>
      </c>
      <c r="D3559">
        <v>259.99</v>
      </c>
    </row>
    <row r="3560" spans="1:4">
      <c r="A3560" t="s">
        <v>40</v>
      </c>
      <c r="B3560" t="s">
        <v>3006</v>
      </c>
      <c r="C3560" t="s">
        <v>4016</v>
      </c>
      <c r="D3560">
        <v>369.99</v>
      </c>
    </row>
    <row r="3561" spans="1:4">
      <c r="A3561" t="s">
        <v>40</v>
      </c>
      <c r="B3561" t="s">
        <v>3030</v>
      </c>
      <c r="C3561" t="s">
        <v>4017</v>
      </c>
      <c r="D3561">
        <v>294.99</v>
      </c>
    </row>
    <row r="3562" spans="1:4">
      <c r="A3562" t="s">
        <v>40</v>
      </c>
      <c r="B3562" t="s">
        <v>2980</v>
      </c>
      <c r="C3562" t="s">
        <v>4018</v>
      </c>
      <c r="D3562">
        <v>159.99</v>
      </c>
    </row>
    <row r="3563" spans="1:4">
      <c r="A3563" t="s">
        <v>40</v>
      </c>
      <c r="B3563" t="s">
        <v>2983</v>
      </c>
      <c r="C3563" t="s">
        <v>3663</v>
      </c>
      <c r="D3563">
        <v>127.29</v>
      </c>
    </row>
    <row r="3564" spans="1:4">
      <c r="A3564" t="s">
        <v>40</v>
      </c>
      <c r="B3564" t="s">
        <v>2980</v>
      </c>
      <c r="C3564" t="s">
        <v>4019</v>
      </c>
      <c r="D3564">
        <v>569.99</v>
      </c>
    </row>
    <row r="3565" spans="1:4">
      <c r="A3565" t="s">
        <v>40</v>
      </c>
      <c r="B3565" t="s">
        <v>2983</v>
      </c>
      <c r="C3565" t="s">
        <v>4020</v>
      </c>
      <c r="D3565">
        <v>449.99</v>
      </c>
    </row>
    <row r="3566" spans="1:4">
      <c r="A3566" t="s">
        <v>40</v>
      </c>
      <c r="B3566" t="s">
        <v>2983</v>
      </c>
      <c r="C3566" t="s">
        <v>4021</v>
      </c>
      <c r="D3566">
        <v>739</v>
      </c>
    </row>
    <row r="3567" spans="1:4">
      <c r="A3567" t="s">
        <v>40</v>
      </c>
      <c r="B3567" t="s">
        <v>2983</v>
      </c>
      <c r="C3567" t="s">
        <v>4022</v>
      </c>
      <c r="D3567">
        <v>199.99</v>
      </c>
    </row>
    <row r="3568" spans="1:4">
      <c r="A3568" t="s">
        <v>40</v>
      </c>
      <c r="B3568" t="s">
        <v>2980</v>
      </c>
      <c r="C3568" t="s">
        <v>4023</v>
      </c>
      <c r="D3568">
        <v>560</v>
      </c>
    </row>
    <row r="3569" spans="1:4">
      <c r="A3569" t="s">
        <v>40</v>
      </c>
      <c r="B3569" t="s">
        <v>3006</v>
      </c>
      <c r="C3569" t="s">
        <v>4024</v>
      </c>
      <c r="D3569">
        <v>296.99</v>
      </c>
    </row>
    <row r="3570" spans="1:4">
      <c r="A3570" t="s">
        <v>40</v>
      </c>
      <c r="B3570" t="s">
        <v>2980</v>
      </c>
      <c r="C3570" t="s">
        <v>4025</v>
      </c>
      <c r="D3570">
        <v>179.99</v>
      </c>
    </row>
    <row r="3571" spans="1:4">
      <c r="A3571" t="s">
        <v>40</v>
      </c>
      <c r="B3571" t="s">
        <v>3006</v>
      </c>
      <c r="C3571" t="s">
        <v>4026</v>
      </c>
      <c r="D3571">
        <v>274.98</v>
      </c>
    </row>
    <row r="3572" spans="1:4">
      <c r="A3572" t="s">
        <v>40</v>
      </c>
      <c r="B3572" t="s">
        <v>3006</v>
      </c>
      <c r="C3572" t="s">
        <v>4027</v>
      </c>
      <c r="D3572">
        <v>999.99</v>
      </c>
    </row>
    <row r="3573" spans="1:4">
      <c r="A3573" t="s">
        <v>40</v>
      </c>
      <c r="B3573" t="s">
        <v>3081</v>
      </c>
      <c r="C3573" t="s">
        <v>4028</v>
      </c>
      <c r="D3573">
        <v>149.4</v>
      </c>
    </row>
    <row r="3574" spans="1:4">
      <c r="A3574" t="s">
        <v>40</v>
      </c>
      <c r="B3574" t="s">
        <v>2983</v>
      </c>
      <c r="C3574" t="s">
        <v>3165</v>
      </c>
      <c r="D3574">
        <v>221.75</v>
      </c>
    </row>
    <row r="3575" spans="1:4">
      <c r="A3575" t="s">
        <v>40</v>
      </c>
      <c r="B3575" t="s">
        <v>2980</v>
      </c>
      <c r="C3575" t="s">
        <v>4029</v>
      </c>
      <c r="D3575">
        <v>179.08</v>
      </c>
    </row>
    <row r="3576" spans="1:4">
      <c r="A3576" t="s">
        <v>40</v>
      </c>
      <c r="B3576" t="s">
        <v>3006</v>
      </c>
      <c r="C3576" t="s">
        <v>4030</v>
      </c>
      <c r="D3576">
        <v>109.95</v>
      </c>
    </row>
    <row r="3577" spans="1:4">
      <c r="A3577" t="s">
        <v>40</v>
      </c>
      <c r="B3577" t="s">
        <v>2994</v>
      </c>
      <c r="C3577" t="s">
        <v>4031</v>
      </c>
      <c r="D3577">
        <v>199.99</v>
      </c>
    </row>
    <row r="3578" spans="1:4">
      <c r="A3578" t="s">
        <v>40</v>
      </c>
      <c r="B3578" t="s">
        <v>2983</v>
      </c>
      <c r="C3578" t="s">
        <v>4032</v>
      </c>
      <c r="D3578">
        <v>359.99</v>
      </c>
    </row>
    <row r="3579" spans="1:4">
      <c r="A3579" t="s">
        <v>40</v>
      </c>
      <c r="B3579" t="s">
        <v>3081</v>
      </c>
      <c r="C3579" t="s">
        <v>4033</v>
      </c>
      <c r="D3579">
        <v>449.99</v>
      </c>
    </row>
    <row r="3580" spans="1:4">
      <c r="A3580" t="s">
        <v>40</v>
      </c>
      <c r="B3580" t="s">
        <v>2980</v>
      </c>
      <c r="C3580" t="s">
        <v>4034</v>
      </c>
      <c r="D3580">
        <v>969.99</v>
      </c>
    </row>
    <row r="3581" spans="1:4">
      <c r="A3581" t="s">
        <v>40</v>
      </c>
      <c r="B3581" t="s">
        <v>2983</v>
      </c>
      <c r="C3581" t="s">
        <v>4035</v>
      </c>
      <c r="D3581">
        <v>149.99</v>
      </c>
    </row>
    <row r="3582" spans="1:4">
      <c r="A3582" t="s">
        <v>40</v>
      </c>
      <c r="B3582" t="s">
        <v>2983</v>
      </c>
      <c r="C3582" t="s">
        <v>4036</v>
      </c>
      <c r="D3582">
        <v>319.89999999999998</v>
      </c>
    </row>
    <row r="3583" spans="1:4">
      <c r="A3583" t="s">
        <v>40</v>
      </c>
      <c r="B3583" t="s">
        <v>2983</v>
      </c>
      <c r="C3583" t="s">
        <v>3257</v>
      </c>
      <c r="D3583">
        <v>399.99</v>
      </c>
    </row>
    <row r="3584" spans="1:4">
      <c r="A3584" t="s">
        <v>40</v>
      </c>
      <c r="B3584" t="s">
        <v>3081</v>
      </c>
      <c r="C3584" t="s">
        <v>4037</v>
      </c>
      <c r="D3584">
        <v>169.99</v>
      </c>
    </row>
    <row r="3585" spans="1:4">
      <c r="A3585" t="s">
        <v>40</v>
      </c>
      <c r="B3585" t="s">
        <v>2980</v>
      </c>
      <c r="C3585" t="s">
        <v>4038</v>
      </c>
      <c r="D3585">
        <v>499</v>
      </c>
    </row>
    <row r="3586" spans="1:4">
      <c r="A3586" t="s">
        <v>40</v>
      </c>
      <c r="B3586" t="s">
        <v>2983</v>
      </c>
      <c r="C3586" t="s">
        <v>4039</v>
      </c>
      <c r="D3586">
        <v>194.39</v>
      </c>
    </row>
    <row r="3587" spans="1:4">
      <c r="A3587" t="s">
        <v>40</v>
      </c>
      <c r="B3587" t="s">
        <v>2983</v>
      </c>
      <c r="C3587" t="s">
        <v>4040</v>
      </c>
      <c r="D3587">
        <v>129.99</v>
      </c>
    </row>
    <row r="3588" spans="1:4">
      <c r="A3588" t="s">
        <v>40</v>
      </c>
      <c r="B3588" t="s">
        <v>3006</v>
      </c>
      <c r="C3588" t="s">
        <v>4041</v>
      </c>
      <c r="D3588">
        <v>229.99</v>
      </c>
    </row>
    <row r="3589" spans="1:4">
      <c r="A3589" t="s">
        <v>40</v>
      </c>
      <c r="B3589" t="s">
        <v>4042</v>
      </c>
      <c r="C3589" t="s">
        <v>4043</v>
      </c>
      <c r="D3589">
        <v>109.98</v>
      </c>
    </row>
    <row r="3590" spans="1:4">
      <c r="A3590" t="s">
        <v>40</v>
      </c>
      <c r="B3590" t="s">
        <v>2980</v>
      </c>
      <c r="C3590" t="s">
        <v>4044</v>
      </c>
      <c r="D3590">
        <v>399.99</v>
      </c>
    </row>
    <row r="3591" spans="1:4">
      <c r="A3591" t="s">
        <v>40</v>
      </c>
      <c r="B3591" t="s">
        <v>3409</v>
      </c>
      <c r="C3591" t="s">
        <v>4045</v>
      </c>
      <c r="D3591">
        <v>1349.99</v>
      </c>
    </row>
    <row r="3592" spans="1:4">
      <c r="A3592" t="s">
        <v>40</v>
      </c>
      <c r="B3592" t="s">
        <v>2983</v>
      </c>
      <c r="C3592" t="s">
        <v>4046</v>
      </c>
      <c r="D3592">
        <v>269.99</v>
      </c>
    </row>
    <row r="3593" spans="1:4">
      <c r="A3593" t="s">
        <v>40</v>
      </c>
      <c r="B3593" t="s">
        <v>2983</v>
      </c>
      <c r="C3593" t="s">
        <v>3835</v>
      </c>
      <c r="D3593">
        <v>139.99</v>
      </c>
    </row>
    <row r="3594" spans="1:4">
      <c r="A3594" t="s">
        <v>40</v>
      </c>
      <c r="B3594" t="s">
        <v>2983</v>
      </c>
      <c r="C3594" t="s">
        <v>4047</v>
      </c>
      <c r="D3594">
        <v>429.99</v>
      </c>
    </row>
    <row r="3595" spans="1:4">
      <c r="A3595" t="s">
        <v>40</v>
      </c>
      <c r="B3595" t="s">
        <v>3006</v>
      </c>
      <c r="C3595" t="s">
        <v>4048</v>
      </c>
      <c r="D3595">
        <v>529.99</v>
      </c>
    </row>
    <row r="3596" spans="1:4">
      <c r="A3596" t="s">
        <v>40</v>
      </c>
      <c r="B3596" t="s">
        <v>3006</v>
      </c>
      <c r="C3596" t="s">
        <v>4049</v>
      </c>
      <c r="D3596">
        <v>129.99</v>
      </c>
    </row>
    <row r="3597" spans="1:4">
      <c r="A3597" t="s">
        <v>40</v>
      </c>
      <c r="B3597" t="s">
        <v>3239</v>
      </c>
      <c r="C3597" t="s">
        <v>4050</v>
      </c>
      <c r="D3597">
        <v>169.99</v>
      </c>
    </row>
    <row r="3598" spans="1:4">
      <c r="A3598" t="s">
        <v>40</v>
      </c>
      <c r="B3598" t="s">
        <v>2980</v>
      </c>
      <c r="C3598" t="s">
        <v>4051</v>
      </c>
      <c r="D3598">
        <v>849.99</v>
      </c>
    </row>
    <row r="3599" spans="1:4">
      <c r="A3599" t="s">
        <v>40</v>
      </c>
      <c r="B3599" t="s">
        <v>3006</v>
      </c>
      <c r="C3599" t="s">
        <v>4052</v>
      </c>
      <c r="D3599">
        <v>399.94</v>
      </c>
    </row>
    <row r="3600" spans="1:4">
      <c r="A3600" t="s">
        <v>40</v>
      </c>
      <c r="B3600" t="s">
        <v>3006</v>
      </c>
      <c r="C3600" t="s">
        <v>4053</v>
      </c>
      <c r="D3600">
        <v>615</v>
      </c>
    </row>
    <row r="3601" spans="1:4">
      <c r="A3601" t="s">
        <v>40</v>
      </c>
      <c r="B3601" t="s">
        <v>3107</v>
      </c>
      <c r="C3601" t="s">
        <v>4054</v>
      </c>
      <c r="D3601">
        <v>129.97999999999999</v>
      </c>
    </row>
    <row r="3602" spans="1:4">
      <c r="A3602" t="s">
        <v>40</v>
      </c>
      <c r="B3602" t="s">
        <v>2983</v>
      </c>
      <c r="C3602" t="s">
        <v>4055</v>
      </c>
      <c r="D3602">
        <v>249.99</v>
      </c>
    </row>
    <row r="3603" spans="1:4">
      <c r="A3603" t="s">
        <v>40</v>
      </c>
      <c r="B3603" t="s">
        <v>2980</v>
      </c>
      <c r="C3603" t="s">
        <v>4056</v>
      </c>
      <c r="D3603">
        <v>769.99</v>
      </c>
    </row>
    <row r="3604" spans="1:4">
      <c r="A3604" t="s">
        <v>40</v>
      </c>
      <c r="B3604" t="s">
        <v>2983</v>
      </c>
      <c r="C3604" t="s">
        <v>4057</v>
      </c>
      <c r="D3604">
        <v>174.99</v>
      </c>
    </row>
    <row r="3605" spans="1:4">
      <c r="A3605" t="s">
        <v>40</v>
      </c>
      <c r="B3605" t="s">
        <v>3006</v>
      </c>
      <c r="C3605" t="s">
        <v>4058</v>
      </c>
      <c r="D3605">
        <v>229.97</v>
      </c>
    </row>
    <row r="3606" spans="1:4">
      <c r="A3606" t="s">
        <v>40</v>
      </c>
      <c r="B3606" t="s">
        <v>2994</v>
      </c>
      <c r="C3606" t="s">
        <v>4059</v>
      </c>
      <c r="D3606">
        <v>429.99</v>
      </c>
    </row>
    <row r="3607" spans="1:4">
      <c r="A3607" t="s">
        <v>40</v>
      </c>
      <c r="B3607" t="s">
        <v>2983</v>
      </c>
      <c r="C3607" t="s">
        <v>4060</v>
      </c>
      <c r="D3607">
        <v>139.99</v>
      </c>
    </row>
    <row r="3608" spans="1:4">
      <c r="A3608" t="s">
        <v>40</v>
      </c>
      <c r="B3608" t="s">
        <v>3006</v>
      </c>
      <c r="C3608" t="s">
        <v>4061</v>
      </c>
      <c r="D3608">
        <v>569</v>
      </c>
    </row>
    <row r="3609" spans="1:4">
      <c r="A3609" t="s">
        <v>40</v>
      </c>
      <c r="B3609" t="s">
        <v>2980</v>
      </c>
      <c r="C3609" t="s">
        <v>4062</v>
      </c>
      <c r="D3609">
        <v>249.95</v>
      </c>
    </row>
    <row r="3610" spans="1:4">
      <c r="A3610" t="s">
        <v>40</v>
      </c>
      <c r="B3610" t="s">
        <v>3285</v>
      </c>
      <c r="C3610" t="s">
        <v>4063</v>
      </c>
      <c r="D3610">
        <v>109.99</v>
      </c>
    </row>
    <row r="3611" spans="1:4">
      <c r="A3611" t="s">
        <v>40</v>
      </c>
      <c r="B3611" t="s">
        <v>3006</v>
      </c>
      <c r="C3611" t="s">
        <v>4064</v>
      </c>
      <c r="D3611">
        <v>145</v>
      </c>
    </row>
    <row r="3612" spans="1:4">
      <c r="A3612" t="s">
        <v>40</v>
      </c>
      <c r="B3612" t="s">
        <v>2980</v>
      </c>
      <c r="C3612" t="s">
        <v>4065</v>
      </c>
      <c r="D3612">
        <v>119.99</v>
      </c>
    </row>
    <row r="3613" spans="1:4">
      <c r="A3613" t="s">
        <v>40</v>
      </c>
      <c r="B3613" t="s">
        <v>3006</v>
      </c>
      <c r="C3613" t="s">
        <v>4066</v>
      </c>
      <c r="D3613">
        <v>219.98</v>
      </c>
    </row>
    <row r="3614" spans="1:4">
      <c r="A3614" t="s">
        <v>40</v>
      </c>
      <c r="B3614" t="s">
        <v>3006</v>
      </c>
      <c r="C3614" t="s">
        <v>4067</v>
      </c>
      <c r="D3614">
        <v>120</v>
      </c>
    </row>
    <row r="3615" spans="1:4">
      <c r="A3615" t="s">
        <v>40</v>
      </c>
      <c r="B3615" t="s">
        <v>3006</v>
      </c>
      <c r="C3615" t="s">
        <v>4068</v>
      </c>
      <c r="D3615">
        <v>239.99</v>
      </c>
    </row>
    <row r="3616" spans="1:4">
      <c r="A3616" t="s">
        <v>40</v>
      </c>
      <c r="B3616" t="s">
        <v>3081</v>
      </c>
      <c r="C3616" t="s">
        <v>4069</v>
      </c>
      <c r="D3616">
        <v>629.29999999999995</v>
      </c>
    </row>
    <row r="3617" spans="1:4">
      <c r="A3617" t="s">
        <v>40</v>
      </c>
      <c r="B3617" t="s">
        <v>2983</v>
      </c>
      <c r="C3617" t="s">
        <v>4070</v>
      </c>
      <c r="D3617">
        <v>122.46</v>
      </c>
    </row>
    <row r="3618" spans="1:4">
      <c r="A3618" t="s">
        <v>40</v>
      </c>
      <c r="B3618" t="s">
        <v>3006</v>
      </c>
      <c r="C3618" t="s">
        <v>4071</v>
      </c>
      <c r="D3618">
        <v>369.99</v>
      </c>
    </row>
    <row r="3619" spans="1:4">
      <c r="A3619" t="s">
        <v>40</v>
      </c>
      <c r="B3619" t="s">
        <v>2983</v>
      </c>
      <c r="C3619" t="s">
        <v>4072</v>
      </c>
      <c r="D3619">
        <v>153.99</v>
      </c>
    </row>
    <row r="3620" spans="1:4">
      <c r="A3620" t="s">
        <v>40</v>
      </c>
      <c r="B3620" t="s">
        <v>4073</v>
      </c>
      <c r="C3620" t="s">
        <v>4074</v>
      </c>
      <c r="D3620">
        <v>399.99</v>
      </c>
    </row>
    <row r="3621" spans="1:4">
      <c r="A3621" t="s">
        <v>40</v>
      </c>
      <c r="B3621" t="s">
        <v>2980</v>
      </c>
      <c r="C3621" t="s">
        <v>4075</v>
      </c>
      <c r="D3621">
        <v>229.99</v>
      </c>
    </row>
    <row r="3622" spans="1:4">
      <c r="A3622" t="s">
        <v>40</v>
      </c>
      <c r="B3622" t="s">
        <v>2994</v>
      </c>
      <c r="C3622" t="s">
        <v>4076</v>
      </c>
      <c r="D3622">
        <v>389.95</v>
      </c>
    </row>
    <row r="3623" spans="1:4">
      <c r="A3623" t="s">
        <v>40</v>
      </c>
      <c r="B3623" t="s">
        <v>3107</v>
      </c>
      <c r="C3623" t="s">
        <v>4077</v>
      </c>
      <c r="D3623">
        <v>159.99</v>
      </c>
    </row>
    <row r="3624" spans="1:4">
      <c r="A3624" t="s">
        <v>40</v>
      </c>
      <c r="B3624" t="s">
        <v>2980</v>
      </c>
      <c r="C3624" t="s">
        <v>3186</v>
      </c>
      <c r="D3624">
        <v>274.95</v>
      </c>
    </row>
    <row r="3625" spans="1:4">
      <c r="A3625" t="s">
        <v>40</v>
      </c>
      <c r="B3625" t="s">
        <v>2983</v>
      </c>
      <c r="C3625" t="s">
        <v>4078</v>
      </c>
      <c r="D3625">
        <v>144.99</v>
      </c>
    </row>
    <row r="3626" spans="1:4">
      <c r="A3626" t="s">
        <v>40</v>
      </c>
      <c r="B3626" t="s">
        <v>2983</v>
      </c>
      <c r="C3626" t="s">
        <v>4079</v>
      </c>
      <c r="D3626">
        <v>189.99</v>
      </c>
    </row>
    <row r="3627" spans="1:4">
      <c r="A3627" t="s">
        <v>40</v>
      </c>
      <c r="B3627" t="s">
        <v>2983</v>
      </c>
      <c r="C3627" t="s">
        <v>4080</v>
      </c>
      <c r="D3627">
        <v>529.99</v>
      </c>
    </row>
    <row r="3628" spans="1:4">
      <c r="A3628" t="s">
        <v>40</v>
      </c>
      <c r="B3628" t="s">
        <v>2980</v>
      </c>
      <c r="C3628" t="s">
        <v>4081</v>
      </c>
      <c r="D3628">
        <v>349.99</v>
      </c>
    </row>
    <row r="3629" spans="1:4">
      <c r="A3629" t="s">
        <v>40</v>
      </c>
      <c r="B3629" t="s">
        <v>2983</v>
      </c>
      <c r="C3629" t="s">
        <v>4082</v>
      </c>
      <c r="D3629">
        <v>110</v>
      </c>
    </row>
    <row r="3630" spans="1:4">
      <c r="A3630" t="s">
        <v>40</v>
      </c>
      <c r="B3630" t="s">
        <v>3006</v>
      </c>
      <c r="C3630" t="s">
        <v>4083</v>
      </c>
      <c r="D3630">
        <v>249.99</v>
      </c>
    </row>
    <row r="3631" spans="1:4">
      <c r="A3631" t="s">
        <v>40</v>
      </c>
      <c r="B3631" t="s">
        <v>3006</v>
      </c>
      <c r="C3631" t="s">
        <v>4084</v>
      </c>
      <c r="D3631">
        <v>129.99</v>
      </c>
    </row>
    <row r="3632" spans="1:4">
      <c r="A3632" t="s">
        <v>40</v>
      </c>
      <c r="B3632" t="s">
        <v>3081</v>
      </c>
      <c r="C3632" t="s">
        <v>4085</v>
      </c>
      <c r="D3632">
        <v>319</v>
      </c>
    </row>
    <row r="3633" spans="1:4">
      <c r="A3633" t="s">
        <v>40</v>
      </c>
      <c r="B3633" t="s">
        <v>2980</v>
      </c>
      <c r="C3633" t="s">
        <v>4086</v>
      </c>
      <c r="D3633">
        <v>251.96</v>
      </c>
    </row>
    <row r="3634" spans="1:4">
      <c r="A3634" t="s">
        <v>40</v>
      </c>
      <c r="B3634" t="s">
        <v>3006</v>
      </c>
      <c r="C3634" t="s">
        <v>4087</v>
      </c>
      <c r="D3634">
        <v>349.99</v>
      </c>
    </row>
    <row r="3635" spans="1:4">
      <c r="A3635" t="s">
        <v>40</v>
      </c>
      <c r="B3635" t="s">
        <v>3006</v>
      </c>
      <c r="C3635" t="s">
        <v>4088</v>
      </c>
      <c r="D3635">
        <v>409.97</v>
      </c>
    </row>
    <row r="3636" spans="1:4">
      <c r="A3636" t="s">
        <v>40</v>
      </c>
      <c r="B3636" t="s">
        <v>2980</v>
      </c>
      <c r="C3636" t="s">
        <v>4089</v>
      </c>
      <c r="D3636">
        <v>234.99</v>
      </c>
    </row>
    <row r="3637" spans="1:4">
      <c r="A3637" t="s">
        <v>40</v>
      </c>
      <c r="B3637" t="s">
        <v>2994</v>
      </c>
      <c r="C3637" t="s">
        <v>4090</v>
      </c>
      <c r="D3637">
        <v>189.98</v>
      </c>
    </row>
    <row r="3638" spans="1:4">
      <c r="A3638" t="s">
        <v>40</v>
      </c>
      <c r="B3638" t="s">
        <v>3006</v>
      </c>
      <c r="C3638" t="s">
        <v>4091</v>
      </c>
      <c r="D3638">
        <v>209.99</v>
      </c>
    </row>
    <row r="3639" spans="1:4">
      <c r="A3639" t="s">
        <v>40</v>
      </c>
      <c r="B3639" t="s">
        <v>3030</v>
      </c>
      <c r="C3639" t="s">
        <v>4092</v>
      </c>
      <c r="D3639">
        <v>450</v>
      </c>
    </row>
    <row r="3640" spans="1:4">
      <c r="A3640" t="s">
        <v>40</v>
      </c>
      <c r="B3640" t="s">
        <v>2983</v>
      </c>
      <c r="C3640" t="s">
        <v>3934</v>
      </c>
      <c r="D3640">
        <v>137.49</v>
      </c>
    </row>
    <row r="3641" spans="1:4">
      <c r="A3641" t="s">
        <v>40</v>
      </c>
      <c r="B3641" t="s">
        <v>2983</v>
      </c>
      <c r="C3641" t="s">
        <v>4093</v>
      </c>
      <c r="D3641">
        <v>399.99</v>
      </c>
    </row>
    <row r="3642" spans="1:4">
      <c r="A3642" t="s">
        <v>40</v>
      </c>
      <c r="B3642" t="s">
        <v>2983</v>
      </c>
      <c r="C3642" t="s">
        <v>4094</v>
      </c>
      <c r="D3642">
        <v>369.99</v>
      </c>
    </row>
    <row r="3643" spans="1:4">
      <c r="A3643" t="s">
        <v>40</v>
      </c>
      <c r="B3643" t="s">
        <v>2983</v>
      </c>
      <c r="C3643" t="s">
        <v>4095</v>
      </c>
      <c r="D3643">
        <v>150</v>
      </c>
    </row>
    <row r="3644" spans="1:4">
      <c r="A3644" t="s">
        <v>40</v>
      </c>
      <c r="B3644" t="s">
        <v>2980</v>
      </c>
      <c r="C3644" t="s">
        <v>4096</v>
      </c>
      <c r="D3644">
        <v>184.99</v>
      </c>
    </row>
    <row r="3645" spans="1:4">
      <c r="A3645" t="s">
        <v>40</v>
      </c>
      <c r="B3645" t="s">
        <v>3068</v>
      </c>
      <c r="C3645" t="s">
        <v>4097</v>
      </c>
      <c r="D3645">
        <v>149.99</v>
      </c>
    </row>
    <row r="3646" spans="1:4">
      <c r="A3646" t="s">
        <v>40</v>
      </c>
      <c r="B3646" t="s">
        <v>505</v>
      </c>
      <c r="C3646" t="s">
        <v>4098</v>
      </c>
      <c r="D3646">
        <v>224.99</v>
      </c>
    </row>
    <row r="3647" spans="1:4">
      <c r="A3647" t="s">
        <v>40</v>
      </c>
      <c r="B3647" t="s">
        <v>3006</v>
      </c>
      <c r="C3647" t="s">
        <v>4099</v>
      </c>
      <c r="D3647">
        <v>299.99</v>
      </c>
    </row>
    <row r="3648" spans="1:4">
      <c r="A3648" t="s">
        <v>40</v>
      </c>
      <c r="B3648" t="s">
        <v>2983</v>
      </c>
      <c r="C3648" t="s">
        <v>4100</v>
      </c>
      <c r="D3648">
        <v>119.99</v>
      </c>
    </row>
    <row r="3649" spans="1:4">
      <c r="A3649" t="s">
        <v>40</v>
      </c>
      <c r="B3649" t="s">
        <v>2983</v>
      </c>
      <c r="C3649" t="s">
        <v>4101</v>
      </c>
      <c r="D3649">
        <v>249.99</v>
      </c>
    </row>
    <row r="3650" spans="1:4">
      <c r="A3650" t="s">
        <v>40</v>
      </c>
      <c r="B3650" t="s">
        <v>2980</v>
      </c>
      <c r="C3650" t="s">
        <v>4102</v>
      </c>
      <c r="D3650">
        <v>769</v>
      </c>
    </row>
    <row r="3651" spans="1:4">
      <c r="A3651" t="s">
        <v>40</v>
      </c>
      <c r="B3651" t="s">
        <v>3006</v>
      </c>
      <c r="C3651" t="s">
        <v>3407</v>
      </c>
      <c r="D3651">
        <v>164.99</v>
      </c>
    </row>
    <row r="3652" spans="1:4">
      <c r="A3652" t="s">
        <v>40</v>
      </c>
      <c r="B3652" t="s">
        <v>561</v>
      </c>
      <c r="C3652" t="s">
        <v>4103</v>
      </c>
      <c r="D3652">
        <v>349.99</v>
      </c>
    </row>
    <row r="3653" spans="1:4">
      <c r="A3653" t="s">
        <v>40</v>
      </c>
      <c r="B3653" t="s">
        <v>3006</v>
      </c>
      <c r="C3653" t="s">
        <v>4104</v>
      </c>
      <c r="D3653">
        <v>199.99</v>
      </c>
    </row>
    <row r="3654" spans="1:4">
      <c r="A3654" t="s">
        <v>40</v>
      </c>
      <c r="B3654" t="s">
        <v>2980</v>
      </c>
      <c r="C3654" t="s">
        <v>4105</v>
      </c>
      <c r="D3654">
        <v>169.99</v>
      </c>
    </row>
    <row r="3655" spans="1:4">
      <c r="A3655" t="s">
        <v>40</v>
      </c>
      <c r="B3655" t="s">
        <v>1337</v>
      </c>
      <c r="C3655" t="s">
        <v>4106</v>
      </c>
      <c r="D3655">
        <v>1219.99</v>
      </c>
    </row>
    <row r="3656" spans="1:4">
      <c r="A3656" t="s">
        <v>40</v>
      </c>
      <c r="B3656" t="s">
        <v>3081</v>
      </c>
      <c r="C3656" t="s">
        <v>4107</v>
      </c>
      <c r="D3656">
        <v>699.99</v>
      </c>
    </row>
    <row r="3657" spans="1:4">
      <c r="A3657" t="s">
        <v>40</v>
      </c>
      <c r="B3657" t="s">
        <v>2980</v>
      </c>
      <c r="C3657" t="s">
        <v>4108</v>
      </c>
      <c r="D3657">
        <v>299.99</v>
      </c>
    </row>
    <row r="3658" spans="1:4">
      <c r="A3658" t="s">
        <v>40</v>
      </c>
      <c r="B3658" t="s">
        <v>3107</v>
      </c>
      <c r="C3658" t="s">
        <v>4109</v>
      </c>
      <c r="D3658">
        <v>184.99</v>
      </c>
    </row>
    <row r="3659" spans="1:4">
      <c r="A3659" t="s">
        <v>40</v>
      </c>
      <c r="B3659" t="s">
        <v>3803</v>
      </c>
      <c r="C3659" t="s">
        <v>4110</v>
      </c>
      <c r="D3659">
        <v>149.97999999999999</v>
      </c>
    </row>
    <row r="3660" spans="1:4">
      <c r="A3660" t="s">
        <v>40</v>
      </c>
      <c r="B3660" t="s">
        <v>2980</v>
      </c>
      <c r="C3660" t="s">
        <v>4111</v>
      </c>
      <c r="D3660">
        <v>199</v>
      </c>
    </row>
    <row r="3661" spans="1:4">
      <c r="A3661" t="s">
        <v>40</v>
      </c>
      <c r="B3661" t="s">
        <v>2980</v>
      </c>
      <c r="C3661" t="s">
        <v>4112</v>
      </c>
      <c r="D3661">
        <v>1049</v>
      </c>
    </row>
    <row r="3662" spans="1:4">
      <c r="A3662" t="s">
        <v>40</v>
      </c>
      <c r="B3662" t="s">
        <v>2980</v>
      </c>
      <c r="C3662" t="s">
        <v>4113</v>
      </c>
      <c r="D3662">
        <v>249</v>
      </c>
    </row>
    <row r="3663" spans="1:4">
      <c r="A3663" t="s">
        <v>40</v>
      </c>
      <c r="B3663" t="s">
        <v>2983</v>
      </c>
      <c r="C3663" t="s">
        <v>4114</v>
      </c>
      <c r="D3663">
        <v>189.99</v>
      </c>
    </row>
    <row r="3664" spans="1:4">
      <c r="A3664" t="s">
        <v>40</v>
      </c>
      <c r="B3664" t="s">
        <v>3006</v>
      </c>
      <c r="C3664" t="s">
        <v>4115</v>
      </c>
      <c r="D3664">
        <v>149.99</v>
      </c>
    </row>
    <row r="3665" spans="1:4">
      <c r="A3665" t="s">
        <v>40</v>
      </c>
      <c r="B3665" t="s">
        <v>2983</v>
      </c>
      <c r="C3665" t="s">
        <v>4116</v>
      </c>
      <c r="D3665">
        <v>429.99</v>
      </c>
    </row>
    <row r="3666" spans="1:4">
      <c r="A3666" t="s">
        <v>40</v>
      </c>
      <c r="B3666" t="s">
        <v>3009</v>
      </c>
      <c r="C3666" t="s">
        <v>4117</v>
      </c>
      <c r="D3666">
        <v>250</v>
      </c>
    </row>
    <row r="3667" spans="1:4">
      <c r="A3667" t="s">
        <v>40</v>
      </c>
      <c r="B3667" t="s">
        <v>2980</v>
      </c>
      <c r="C3667" t="s">
        <v>4118</v>
      </c>
      <c r="D3667">
        <v>899</v>
      </c>
    </row>
    <row r="3668" spans="1:4">
      <c r="A3668" t="s">
        <v>40</v>
      </c>
      <c r="B3668" t="s">
        <v>2980</v>
      </c>
      <c r="C3668" t="s">
        <v>4119</v>
      </c>
      <c r="D3668">
        <v>229</v>
      </c>
    </row>
    <row r="3669" spans="1:4">
      <c r="A3669" t="s">
        <v>40</v>
      </c>
      <c r="B3669" t="s">
        <v>2983</v>
      </c>
      <c r="C3669" t="s">
        <v>3934</v>
      </c>
      <c r="D3669">
        <v>148.49</v>
      </c>
    </row>
    <row r="3670" spans="1:4">
      <c r="A3670" t="s">
        <v>40</v>
      </c>
      <c r="B3670" t="s">
        <v>2983</v>
      </c>
      <c r="C3670" t="s">
        <v>4120</v>
      </c>
      <c r="D3670">
        <v>186.99</v>
      </c>
    </row>
    <row r="3671" spans="1:4">
      <c r="A3671" t="s">
        <v>40</v>
      </c>
      <c r="B3671" t="s">
        <v>3006</v>
      </c>
      <c r="C3671" t="s">
        <v>4121</v>
      </c>
      <c r="D3671">
        <v>1249.99</v>
      </c>
    </row>
    <row r="3672" spans="1:4">
      <c r="A3672" t="s">
        <v>40</v>
      </c>
      <c r="B3672" t="s">
        <v>3006</v>
      </c>
      <c r="C3672" t="s">
        <v>4122</v>
      </c>
      <c r="D3672">
        <v>149.99</v>
      </c>
    </row>
    <row r="3673" spans="1:4">
      <c r="A3673" t="s">
        <v>40</v>
      </c>
      <c r="B3673" t="s">
        <v>3006</v>
      </c>
      <c r="C3673" t="s">
        <v>4123</v>
      </c>
      <c r="D3673">
        <v>229.99</v>
      </c>
    </row>
    <row r="3674" spans="1:4">
      <c r="A3674" t="s">
        <v>40</v>
      </c>
      <c r="B3674" t="s">
        <v>2980</v>
      </c>
      <c r="C3674" t="s">
        <v>4124</v>
      </c>
      <c r="D3674">
        <v>139.99</v>
      </c>
    </row>
    <row r="3675" spans="1:4">
      <c r="A3675" t="s">
        <v>40</v>
      </c>
      <c r="B3675" t="s">
        <v>2980</v>
      </c>
      <c r="C3675" t="s">
        <v>4125</v>
      </c>
      <c r="D3675">
        <v>145.5</v>
      </c>
    </row>
    <row r="3676" spans="1:4">
      <c r="A3676" t="s">
        <v>40</v>
      </c>
      <c r="B3676" t="s">
        <v>2983</v>
      </c>
      <c r="C3676" t="s">
        <v>4126</v>
      </c>
      <c r="D3676">
        <v>299.99</v>
      </c>
    </row>
    <row r="3677" spans="1:4">
      <c r="A3677" t="s">
        <v>40</v>
      </c>
      <c r="B3677" t="s">
        <v>3006</v>
      </c>
      <c r="C3677" t="s">
        <v>4127</v>
      </c>
      <c r="D3677">
        <v>114.95</v>
      </c>
    </row>
    <row r="3678" spans="1:4">
      <c r="A3678" t="s">
        <v>40</v>
      </c>
      <c r="B3678" t="s">
        <v>3009</v>
      </c>
      <c r="C3678" t="s">
        <v>4128</v>
      </c>
      <c r="D3678">
        <v>339.99</v>
      </c>
    </row>
    <row r="3679" spans="1:4">
      <c r="A3679" t="s">
        <v>40</v>
      </c>
      <c r="B3679" t="s">
        <v>3006</v>
      </c>
      <c r="C3679" t="s">
        <v>4129</v>
      </c>
      <c r="D3679">
        <v>179.99</v>
      </c>
    </row>
    <row r="3680" spans="1:4">
      <c r="A3680" t="s">
        <v>40</v>
      </c>
      <c r="B3680" t="s">
        <v>2983</v>
      </c>
      <c r="C3680" t="s">
        <v>4130</v>
      </c>
      <c r="D3680">
        <v>149.99</v>
      </c>
    </row>
    <row r="3681" spans="1:4">
      <c r="A3681" t="s">
        <v>40</v>
      </c>
      <c r="B3681" t="s">
        <v>2983</v>
      </c>
      <c r="C3681" t="s">
        <v>4131</v>
      </c>
      <c r="D3681">
        <v>439.99</v>
      </c>
    </row>
    <row r="3682" spans="1:4">
      <c r="A3682" t="s">
        <v>40</v>
      </c>
      <c r="B3682" t="s">
        <v>3081</v>
      </c>
      <c r="C3682" t="s">
        <v>4132</v>
      </c>
      <c r="D3682">
        <v>1399.99</v>
      </c>
    </row>
    <row r="3683" spans="1:4">
      <c r="A3683" t="s">
        <v>40</v>
      </c>
      <c r="B3683" t="s">
        <v>3006</v>
      </c>
      <c r="C3683" t="s">
        <v>4133</v>
      </c>
      <c r="D3683">
        <v>149.99</v>
      </c>
    </row>
    <row r="3684" spans="1:4">
      <c r="A3684" t="s">
        <v>40</v>
      </c>
      <c r="B3684" t="s">
        <v>2980</v>
      </c>
      <c r="C3684" t="s">
        <v>4134</v>
      </c>
      <c r="D3684">
        <v>119.99</v>
      </c>
    </row>
    <row r="3685" spans="1:4">
      <c r="A3685" t="s">
        <v>40</v>
      </c>
      <c r="B3685" t="s">
        <v>3006</v>
      </c>
      <c r="C3685" t="s">
        <v>4135</v>
      </c>
      <c r="D3685">
        <v>599.99</v>
      </c>
    </row>
    <row r="3686" spans="1:4">
      <c r="A3686" t="s">
        <v>40</v>
      </c>
      <c r="B3686" t="s">
        <v>2983</v>
      </c>
      <c r="C3686" t="s">
        <v>4136</v>
      </c>
      <c r="D3686">
        <v>99.99</v>
      </c>
    </row>
    <row r="3687" spans="1:4">
      <c r="A3687" t="s">
        <v>40</v>
      </c>
      <c r="B3687" t="s">
        <v>2980</v>
      </c>
      <c r="C3687" t="s">
        <v>4137</v>
      </c>
      <c r="D3687">
        <v>90.38</v>
      </c>
    </row>
    <row r="3688" spans="1:4">
      <c r="A3688" t="s">
        <v>40</v>
      </c>
      <c r="B3688" t="s">
        <v>2983</v>
      </c>
      <c r="C3688" t="s">
        <v>4138</v>
      </c>
      <c r="D3688">
        <v>339.98</v>
      </c>
    </row>
    <row r="3689" spans="1:4">
      <c r="A3689" t="s">
        <v>40</v>
      </c>
      <c r="B3689" t="s">
        <v>2983</v>
      </c>
      <c r="C3689" t="s">
        <v>4139</v>
      </c>
      <c r="D3689">
        <v>158.74</v>
      </c>
    </row>
    <row r="3690" spans="1:4">
      <c r="A3690" t="s">
        <v>40</v>
      </c>
      <c r="B3690" t="s">
        <v>2980</v>
      </c>
      <c r="C3690" t="s">
        <v>4140</v>
      </c>
      <c r="D3690">
        <v>439.99</v>
      </c>
    </row>
    <row r="3691" spans="1:4">
      <c r="A3691" t="s">
        <v>40</v>
      </c>
      <c r="B3691" t="s">
        <v>3006</v>
      </c>
      <c r="C3691" t="s">
        <v>3529</v>
      </c>
      <c r="D3691">
        <v>399.99</v>
      </c>
    </row>
    <row r="3692" spans="1:4">
      <c r="A3692" t="s">
        <v>40</v>
      </c>
      <c r="B3692" t="s">
        <v>2980</v>
      </c>
      <c r="C3692" t="s">
        <v>4141</v>
      </c>
      <c r="D3692">
        <v>144.99</v>
      </c>
    </row>
    <row r="3693" spans="1:4">
      <c r="A3693" t="s">
        <v>40</v>
      </c>
      <c r="B3693" t="s">
        <v>3006</v>
      </c>
      <c r="C3693" t="s">
        <v>4142</v>
      </c>
      <c r="D3693">
        <v>215.19</v>
      </c>
    </row>
    <row r="3694" spans="1:4">
      <c r="A3694" t="s">
        <v>40</v>
      </c>
      <c r="B3694" t="s">
        <v>2983</v>
      </c>
      <c r="C3694" t="s">
        <v>4143</v>
      </c>
      <c r="D3694">
        <v>124.99</v>
      </c>
    </row>
    <row r="3695" spans="1:4">
      <c r="A3695" t="s">
        <v>40</v>
      </c>
      <c r="B3695" t="s">
        <v>2983</v>
      </c>
      <c r="C3695" t="s">
        <v>3934</v>
      </c>
      <c r="D3695">
        <v>131.99</v>
      </c>
    </row>
    <row r="3696" spans="1:4">
      <c r="A3696" t="s">
        <v>40</v>
      </c>
      <c r="B3696" t="s">
        <v>561</v>
      </c>
      <c r="C3696" t="s">
        <v>4144</v>
      </c>
      <c r="D3696">
        <v>999.99</v>
      </c>
    </row>
    <row r="3697" spans="1:4">
      <c r="A3697" t="s">
        <v>40</v>
      </c>
      <c r="B3697" t="s">
        <v>3006</v>
      </c>
      <c r="C3697" t="s">
        <v>3467</v>
      </c>
      <c r="D3697">
        <v>199</v>
      </c>
    </row>
    <row r="3698" spans="1:4">
      <c r="A3698" t="s">
        <v>40</v>
      </c>
      <c r="B3698" t="s">
        <v>2980</v>
      </c>
      <c r="C3698" t="s">
        <v>4145</v>
      </c>
      <c r="D3698">
        <v>219.99</v>
      </c>
    </row>
    <row r="3699" spans="1:4">
      <c r="A3699" t="s">
        <v>40</v>
      </c>
      <c r="B3699" t="s">
        <v>2980</v>
      </c>
      <c r="C3699" t="s">
        <v>4146</v>
      </c>
      <c r="D3699">
        <v>219.99</v>
      </c>
    </row>
    <row r="3700" spans="1:4">
      <c r="A3700" t="s">
        <v>40</v>
      </c>
      <c r="B3700" t="s">
        <v>2983</v>
      </c>
      <c r="C3700" t="s">
        <v>4147</v>
      </c>
      <c r="D3700">
        <v>159.99</v>
      </c>
    </row>
    <row r="3701" spans="1:4">
      <c r="A3701" t="s">
        <v>40</v>
      </c>
      <c r="B3701" t="s">
        <v>2980</v>
      </c>
      <c r="C3701" t="s">
        <v>4148</v>
      </c>
      <c r="D3701">
        <v>129.99</v>
      </c>
    </row>
    <row r="3702" spans="1:4">
      <c r="A3702" t="s">
        <v>40</v>
      </c>
      <c r="B3702" t="s">
        <v>3081</v>
      </c>
      <c r="C3702" t="s">
        <v>4149</v>
      </c>
      <c r="D3702">
        <v>269.99</v>
      </c>
    </row>
    <row r="3703" spans="1:4">
      <c r="A3703" t="s">
        <v>40</v>
      </c>
      <c r="B3703" t="s">
        <v>2983</v>
      </c>
      <c r="C3703" t="s">
        <v>3663</v>
      </c>
      <c r="D3703">
        <v>132.04</v>
      </c>
    </row>
    <row r="3704" spans="1:4">
      <c r="A3704" t="s">
        <v>40</v>
      </c>
      <c r="B3704" t="s">
        <v>2983</v>
      </c>
      <c r="C3704" t="s">
        <v>4150</v>
      </c>
      <c r="D3704">
        <v>329.99</v>
      </c>
    </row>
    <row r="3705" spans="1:4">
      <c r="A3705" t="s">
        <v>40</v>
      </c>
      <c r="B3705" t="s">
        <v>3081</v>
      </c>
      <c r="C3705" t="s">
        <v>4151</v>
      </c>
      <c r="D3705">
        <v>124.99</v>
      </c>
    </row>
    <row r="3706" spans="1:4">
      <c r="A3706" t="s">
        <v>40</v>
      </c>
      <c r="B3706" t="s">
        <v>2983</v>
      </c>
      <c r="C3706" t="s">
        <v>4152</v>
      </c>
      <c r="D3706">
        <v>119.99</v>
      </c>
    </row>
    <row r="3707" spans="1:4">
      <c r="A3707" t="s">
        <v>40</v>
      </c>
      <c r="B3707" t="s">
        <v>4153</v>
      </c>
      <c r="C3707" t="s">
        <v>4154</v>
      </c>
      <c r="D3707">
        <v>109.99</v>
      </c>
    </row>
    <row r="3708" spans="1:4">
      <c r="A3708" t="s">
        <v>40</v>
      </c>
      <c r="B3708" t="s">
        <v>3006</v>
      </c>
      <c r="C3708" t="s">
        <v>4155</v>
      </c>
      <c r="D3708">
        <v>84.99</v>
      </c>
    </row>
    <row r="3709" spans="1:4">
      <c r="A3709" t="s">
        <v>40</v>
      </c>
      <c r="B3709" t="s">
        <v>3006</v>
      </c>
      <c r="C3709" t="s">
        <v>4156</v>
      </c>
      <c r="D3709">
        <v>199.99</v>
      </c>
    </row>
    <row r="3710" spans="1:4">
      <c r="A3710" t="s">
        <v>40</v>
      </c>
      <c r="B3710" t="s">
        <v>3006</v>
      </c>
      <c r="C3710" t="s">
        <v>4157</v>
      </c>
      <c r="D3710">
        <v>319.99</v>
      </c>
    </row>
    <row r="3711" spans="1:4">
      <c r="A3711" t="s">
        <v>40</v>
      </c>
      <c r="B3711" t="s">
        <v>2980</v>
      </c>
      <c r="C3711" t="s">
        <v>4158</v>
      </c>
      <c r="D3711">
        <v>729.99</v>
      </c>
    </row>
    <row r="3712" spans="1:4">
      <c r="A3712" t="s">
        <v>40</v>
      </c>
      <c r="B3712" t="s">
        <v>3009</v>
      </c>
      <c r="C3712" t="s">
        <v>4159</v>
      </c>
      <c r="D3712">
        <v>179.99</v>
      </c>
    </row>
    <row r="3713" spans="1:4">
      <c r="A3713" t="s">
        <v>40</v>
      </c>
      <c r="B3713" t="s">
        <v>505</v>
      </c>
      <c r="C3713" t="s">
        <v>4160</v>
      </c>
      <c r="D3713">
        <v>119.99</v>
      </c>
    </row>
    <row r="3714" spans="1:4">
      <c r="A3714" t="s">
        <v>40</v>
      </c>
      <c r="B3714" t="s">
        <v>3006</v>
      </c>
      <c r="C3714" t="s">
        <v>4161</v>
      </c>
      <c r="D3714">
        <v>109.99</v>
      </c>
    </row>
    <row r="3715" spans="1:4">
      <c r="A3715" t="s">
        <v>40</v>
      </c>
      <c r="B3715" t="s">
        <v>2983</v>
      </c>
      <c r="C3715" t="s">
        <v>4162</v>
      </c>
      <c r="D3715">
        <v>239.99</v>
      </c>
    </row>
    <row r="3716" spans="1:4">
      <c r="A3716" t="s">
        <v>40</v>
      </c>
      <c r="B3716" t="s">
        <v>2983</v>
      </c>
      <c r="C3716" t="s">
        <v>4163</v>
      </c>
      <c r="D3716">
        <v>134.99</v>
      </c>
    </row>
    <row r="3717" spans="1:4">
      <c r="A3717" t="s">
        <v>40</v>
      </c>
      <c r="B3717" t="s">
        <v>4164</v>
      </c>
      <c r="C3717" t="s">
        <v>4165</v>
      </c>
      <c r="D3717">
        <v>199.97</v>
      </c>
    </row>
    <row r="3718" spans="1:4">
      <c r="A3718" t="s">
        <v>40</v>
      </c>
      <c r="B3718" t="s">
        <v>3006</v>
      </c>
      <c r="C3718" t="s">
        <v>4166</v>
      </c>
      <c r="D3718">
        <v>169.99</v>
      </c>
    </row>
    <row r="3719" spans="1:4">
      <c r="A3719" t="s">
        <v>40</v>
      </c>
      <c r="B3719" t="s">
        <v>3316</v>
      </c>
      <c r="C3719" t="s">
        <v>4167</v>
      </c>
      <c r="D3719">
        <v>1899.99</v>
      </c>
    </row>
    <row r="3720" spans="1:4">
      <c r="A3720" t="s">
        <v>40</v>
      </c>
      <c r="B3720" t="s">
        <v>3006</v>
      </c>
      <c r="C3720" t="s">
        <v>3706</v>
      </c>
      <c r="D3720">
        <v>189.99</v>
      </c>
    </row>
    <row r="3721" spans="1:4">
      <c r="A3721" t="s">
        <v>40</v>
      </c>
      <c r="B3721" t="s">
        <v>2983</v>
      </c>
      <c r="C3721" t="s">
        <v>3554</v>
      </c>
      <c r="D3721">
        <v>133.99</v>
      </c>
    </row>
    <row r="3722" spans="1:4">
      <c r="A3722" t="s">
        <v>40</v>
      </c>
      <c r="B3722" t="s">
        <v>2983</v>
      </c>
      <c r="C3722" t="s">
        <v>3934</v>
      </c>
      <c r="D3722">
        <v>142.99</v>
      </c>
    </row>
    <row r="3723" spans="1:4">
      <c r="A3723" t="s">
        <v>40</v>
      </c>
      <c r="B3723" t="s">
        <v>2983</v>
      </c>
      <c r="C3723" t="s">
        <v>4168</v>
      </c>
      <c r="D3723">
        <v>245</v>
      </c>
    </row>
    <row r="3724" spans="1:4">
      <c r="A3724" t="s">
        <v>40</v>
      </c>
      <c r="B3724" t="s">
        <v>2980</v>
      </c>
      <c r="C3724" t="s">
        <v>4169</v>
      </c>
      <c r="D3724">
        <v>599.95000000000005</v>
      </c>
    </row>
    <row r="3725" spans="1:4">
      <c r="A3725" t="s">
        <v>40</v>
      </c>
      <c r="B3725" t="s">
        <v>2980</v>
      </c>
      <c r="C3725" t="s">
        <v>4170</v>
      </c>
      <c r="D3725">
        <v>164.99</v>
      </c>
    </row>
    <row r="3726" spans="1:4">
      <c r="A3726" t="s">
        <v>40</v>
      </c>
      <c r="B3726" t="s">
        <v>3009</v>
      </c>
      <c r="C3726" t="s">
        <v>4171</v>
      </c>
      <c r="D3726">
        <v>149.97999999999999</v>
      </c>
    </row>
    <row r="3727" spans="1:4">
      <c r="A3727" t="s">
        <v>40</v>
      </c>
      <c r="B3727" t="s">
        <v>4172</v>
      </c>
      <c r="C3727" t="s">
        <v>4173</v>
      </c>
      <c r="D3727">
        <v>69.989999999999995</v>
      </c>
    </row>
    <row r="3728" spans="1:4">
      <c r="A3728" t="s">
        <v>40</v>
      </c>
      <c r="B3728" t="s">
        <v>2983</v>
      </c>
      <c r="C3728" t="s">
        <v>4174</v>
      </c>
      <c r="D3728">
        <v>229.99</v>
      </c>
    </row>
    <row r="3729" spans="1:4">
      <c r="A3729" t="s">
        <v>40</v>
      </c>
      <c r="B3729" t="s">
        <v>3006</v>
      </c>
      <c r="C3729" t="s">
        <v>4175</v>
      </c>
      <c r="D3729">
        <v>180</v>
      </c>
    </row>
    <row r="3730" spans="1:4">
      <c r="A3730" t="s">
        <v>40</v>
      </c>
      <c r="B3730" t="s">
        <v>3030</v>
      </c>
      <c r="C3730" t="s">
        <v>4176</v>
      </c>
      <c r="D3730">
        <v>299.99</v>
      </c>
    </row>
    <row r="3731" spans="1:4">
      <c r="A3731" t="s">
        <v>40</v>
      </c>
      <c r="B3731" t="s">
        <v>3006</v>
      </c>
      <c r="C3731" t="s">
        <v>4177</v>
      </c>
      <c r="D3731">
        <v>369.99</v>
      </c>
    </row>
    <row r="3732" spans="1:4">
      <c r="A3732" t="s">
        <v>40</v>
      </c>
      <c r="B3732" t="s">
        <v>2983</v>
      </c>
      <c r="C3732" t="s">
        <v>4178</v>
      </c>
      <c r="D3732">
        <v>169.99</v>
      </c>
    </row>
    <row r="3733" spans="1:4">
      <c r="A3733" t="s">
        <v>40</v>
      </c>
      <c r="B3733" t="s">
        <v>2980</v>
      </c>
      <c r="C3733" t="s">
        <v>4179</v>
      </c>
      <c r="D3733">
        <v>199.99</v>
      </c>
    </row>
    <row r="3734" spans="1:4">
      <c r="A3734" t="s">
        <v>40</v>
      </c>
      <c r="B3734" t="s">
        <v>2983</v>
      </c>
      <c r="C3734" t="s">
        <v>4180</v>
      </c>
      <c r="D3734">
        <v>494.99</v>
      </c>
    </row>
    <row r="3735" spans="1:4">
      <c r="A3735" t="s">
        <v>40</v>
      </c>
      <c r="B3735" t="s">
        <v>3006</v>
      </c>
      <c r="C3735" t="s">
        <v>4181</v>
      </c>
      <c r="D3735">
        <v>279</v>
      </c>
    </row>
    <row r="3736" spans="1:4">
      <c r="A3736" t="s">
        <v>40</v>
      </c>
      <c r="B3736" t="s">
        <v>2994</v>
      </c>
      <c r="C3736" t="s">
        <v>4182</v>
      </c>
      <c r="D3736">
        <v>199.99</v>
      </c>
    </row>
    <row r="3737" spans="1:4">
      <c r="A3737" t="s">
        <v>40</v>
      </c>
      <c r="B3737" t="s">
        <v>2983</v>
      </c>
      <c r="C3737" t="s">
        <v>4183</v>
      </c>
      <c r="D3737">
        <v>224.99</v>
      </c>
    </row>
    <row r="3738" spans="1:4">
      <c r="A3738" t="s">
        <v>40</v>
      </c>
      <c r="B3738" t="s">
        <v>3006</v>
      </c>
      <c r="C3738" t="s">
        <v>4184</v>
      </c>
      <c r="D3738">
        <v>639.99</v>
      </c>
    </row>
    <row r="3739" spans="1:4">
      <c r="A3739" t="s">
        <v>40</v>
      </c>
      <c r="B3739" t="s">
        <v>2980</v>
      </c>
      <c r="C3739" t="s">
        <v>4185</v>
      </c>
      <c r="D3739">
        <v>949.99</v>
      </c>
    </row>
    <row r="3740" spans="1:4">
      <c r="A3740" t="s">
        <v>40</v>
      </c>
      <c r="B3740" t="s">
        <v>2980</v>
      </c>
      <c r="C3740" t="s">
        <v>4186</v>
      </c>
      <c r="D3740">
        <v>369.99</v>
      </c>
    </row>
    <row r="3741" spans="1:4">
      <c r="A3741" t="s">
        <v>40</v>
      </c>
      <c r="B3741" t="s">
        <v>3006</v>
      </c>
      <c r="C3741" t="s">
        <v>4187</v>
      </c>
      <c r="D3741">
        <v>332.63</v>
      </c>
    </row>
    <row r="3742" spans="1:4">
      <c r="A3742" t="s">
        <v>40</v>
      </c>
      <c r="B3742" t="s">
        <v>3030</v>
      </c>
      <c r="C3742" t="s">
        <v>4188</v>
      </c>
      <c r="D3742">
        <v>325</v>
      </c>
    </row>
    <row r="3743" spans="1:4">
      <c r="A3743" t="s">
        <v>40</v>
      </c>
      <c r="B3743" t="s">
        <v>3081</v>
      </c>
      <c r="C3743" t="s">
        <v>4189</v>
      </c>
      <c r="D3743">
        <v>149.99</v>
      </c>
    </row>
    <row r="3744" spans="1:4">
      <c r="A3744" t="s">
        <v>40</v>
      </c>
      <c r="B3744" t="s">
        <v>3081</v>
      </c>
      <c r="C3744" t="s">
        <v>4190</v>
      </c>
      <c r="D3744">
        <v>89.99</v>
      </c>
    </row>
    <row r="3745" spans="1:4">
      <c r="A3745" t="s">
        <v>40</v>
      </c>
      <c r="B3745" t="s">
        <v>3039</v>
      </c>
      <c r="C3745" t="s">
        <v>4191</v>
      </c>
      <c r="D3745">
        <v>195.3</v>
      </c>
    </row>
    <row r="3746" spans="1:4">
      <c r="A3746" t="s">
        <v>40</v>
      </c>
      <c r="B3746" t="s">
        <v>3039</v>
      </c>
      <c r="C3746" t="s">
        <v>4192</v>
      </c>
      <c r="D3746">
        <v>629.29999999999995</v>
      </c>
    </row>
    <row r="3747" spans="1:4">
      <c r="A3747" t="s">
        <v>40</v>
      </c>
      <c r="B3747" t="s">
        <v>3285</v>
      </c>
      <c r="C3747" t="s">
        <v>3483</v>
      </c>
      <c r="D3747">
        <v>79.989999999999995</v>
      </c>
    </row>
    <row r="3748" spans="1:4">
      <c r="A3748" t="s">
        <v>40</v>
      </c>
      <c r="B3748" t="s">
        <v>3006</v>
      </c>
      <c r="C3748" t="s">
        <v>4193</v>
      </c>
      <c r="D3748">
        <v>1069.99</v>
      </c>
    </row>
    <row r="3749" spans="1:4">
      <c r="A3749" t="s">
        <v>40</v>
      </c>
      <c r="B3749" t="s">
        <v>2980</v>
      </c>
      <c r="C3749" t="s">
        <v>4194</v>
      </c>
      <c r="D3749">
        <v>149</v>
      </c>
    </row>
    <row r="3750" spans="1:4">
      <c r="A3750" t="s">
        <v>40</v>
      </c>
      <c r="B3750" t="s">
        <v>2980</v>
      </c>
      <c r="C3750" t="s">
        <v>4195</v>
      </c>
      <c r="D3750">
        <v>695</v>
      </c>
    </row>
    <row r="3751" spans="1:4">
      <c r="A3751" t="s">
        <v>40</v>
      </c>
      <c r="B3751" t="s">
        <v>3081</v>
      </c>
      <c r="C3751" t="s">
        <v>4196</v>
      </c>
      <c r="D3751">
        <v>619.99</v>
      </c>
    </row>
    <row r="3752" spans="1:4">
      <c r="A3752" t="s">
        <v>40</v>
      </c>
      <c r="B3752" t="s">
        <v>2980</v>
      </c>
      <c r="C3752" t="s">
        <v>4197</v>
      </c>
      <c r="D3752">
        <v>499.95</v>
      </c>
    </row>
    <row r="3753" spans="1:4">
      <c r="A3753" t="s">
        <v>40</v>
      </c>
      <c r="B3753" t="s">
        <v>2983</v>
      </c>
      <c r="C3753" t="s">
        <v>4198</v>
      </c>
      <c r="D3753">
        <v>141.11000000000001</v>
      </c>
    </row>
    <row r="3754" spans="1:4">
      <c r="A3754" t="s">
        <v>40</v>
      </c>
      <c r="B3754" t="s">
        <v>2983</v>
      </c>
      <c r="C3754" t="s">
        <v>4199</v>
      </c>
      <c r="D3754">
        <v>250</v>
      </c>
    </row>
    <row r="3755" spans="1:4">
      <c r="A3755" t="s">
        <v>40</v>
      </c>
      <c r="B3755" t="s">
        <v>2980</v>
      </c>
      <c r="C3755" t="s">
        <v>4200</v>
      </c>
      <c r="D3755">
        <v>499.95</v>
      </c>
    </row>
    <row r="3756" spans="1:4">
      <c r="A3756" t="s">
        <v>40</v>
      </c>
      <c r="B3756" t="s">
        <v>3006</v>
      </c>
      <c r="C3756" t="s">
        <v>4201</v>
      </c>
      <c r="D3756">
        <v>799.97</v>
      </c>
    </row>
    <row r="3757" spans="1:4">
      <c r="A3757" t="s">
        <v>40</v>
      </c>
      <c r="B3757" t="s">
        <v>2983</v>
      </c>
      <c r="C3757" t="s">
        <v>4202</v>
      </c>
      <c r="D3757">
        <v>199.94</v>
      </c>
    </row>
    <row r="3758" spans="1:4">
      <c r="A3758" t="s">
        <v>40</v>
      </c>
      <c r="B3758" t="s">
        <v>2983</v>
      </c>
      <c r="C3758" t="s">
        <v>4203</v>
      </c>
      <c r="D3758">
        <v>138.19999999999999</v>
      </c>
    </row>
    <row r="3759" spans="1:4">
      <c r="A3759" t="s">
        <v>40</v>
      </c>
      <c r="B3759" t="s">
        <v>2983</v>
      </c>
      <c r="C3759" t="s">
        <v>3431</v>
      </c>
      <c r="D3759">
        <v>183.59</v>
      </c>
    </row>
    <row r="3760" spans="1:4">
      <c r="A3760" t="s">
        <v>40</v>
      </c>
      <c r="B3760" t="s">
        <v>2983</v>
      </c>
      <c r="C3760" t="s">
        <v>4204</v>
      </c>
      <c r="D3760">
        <v>159.49</v>
      </c>
    </row>
    <row r="3761" spans="1:4">
      <c r="A3761" t="s">
        <v>40</v>
      </c>
      <c r="B3761" t="s">
        <v>2983</v>
      </c>
      <c r="C3761" t="s">
        <v>4205</v>
      </c>
      <c r="D3761">
        <v>459</v>
      </c>
    </row>
    <row r="3762" spans="1:4">
      <c r="A3762" t="s">
        <v>40</v>
      </c>
      <c r="B3762" t="s">
        <v>2980</v>
      </c>
      <c r="C3762" t="s">
        <v>4206</v>
      </c>
      <c r="D3762">
        <v>459.99</v>
      </c>
    </row>
    <row r="3763" spans="1:4">
      <c r="A3763" t="s">
        <v>40</v>
      </c>
      <c r="B3763" t="s">
        <v>3006</v>
      </c>
      <c r="C3763" t="s">
        <v>4207</v>
      </c>
      <c r="D3763">
        <v>249</v>
      </c>
    </row>
    <row r="3764" spans="1:4">
      <c r="A3764" t="s">
        <v>40</v>
      </c>
      <c r="B3764" t="s">
        <v>3285</v>
      </c>
      <c r="C3764" t="s">
        <v>3891</v>
      </c>
      <c r="D3764">
        <v>109.99</v>
      </c>
    </row>
    <row r="3765" spans="1:4">
      <c r="A3765" t="s">
        <v>40</v>
      </c>
      <c r="B3765" t="s">
        <v>2983</v>
      </c>
      <c r="C3765" t="s">
        <v>4208</v>
      </c>
      <c r="D3765">
        <v>1299</v>
      </c>
    </row>
    <row r="3766" spans="1:4">
      <c r="A3766" t="s">
        <v>40</v>
      </c>
      <c r="B3766" t="s">
        <v>2983</v>
      </c>
      <c r="C3766" t="s">
        <v>4209</v>
      </c>
      <c r="D3766">
        <v>249.9</v>
      </c>
    </row>
    <row r="3767" spans="1:4">
      <c r="A3767" t="s">
        <v>40</v>
      </c>
      <c r="B3767" t="s">
        <v>2980</v>
      </c>
      <c r="C3767" t="s">
        <v>4210</v>
      </c>
      <c r="D3767">
        <v>199.99</v>
      </c>
    </row>
    <row r="3768" spans="1:4">
      <c r="A3768" t="s">
        <v>40</v>
      </c>
      <c r="B3768" t="s">
        <v>2980</v>
      </c>
      <c r="C3768" t="s">
        <v>4211</v>
      </c>
      <c r="D3768">
        <v>146.29</v>
      </c>
    </row>
    <row r="3769" spans="1:4">
      <c r="A3769" t="s">
        <v>40</v>
      </c>
      <c r="B3769" t="s">
        <v>2983</v>
      </c>
      <c r="C3769" t="s">
        <v>4212</v>
      </c>
      <c r="D3769">
        <v>199.99</v>
      </c>
    </row>
    <row r="3770" spans="1:4">
      <c r="A3770" t="s">
        <v>40</v>
      </c>
      <c r="B3770" t="s">
        <v>3006</v>
      </c>
      <c r="C3770" t="s">
        <v>4213</v>
      </c>
      <c r="D3770">
        <v>284.99</v>
      </c>
    </row>
    <row r="3771" spans="1:4">
      <c r="A3771" t="s">
        <v>40</v>
      </c>
      <c r="B3771" t="s">
        <v>2983</v>
      </c>
      <c r="C3771" t="s">
        <v>4214</v>
      </c>
      <c r="D3771">
        <v>216.71</v>
      </c>
    </row>
    <row r="3772" spans="1:4">
      <c r="A3772" t="s">
        <v>40</v>
      </c>
      <c r="B3772" t="s">
        <v>2980</v>
      </c>
      <c r="C3772" t="s">
        <v>4211</v>
      </c>
      <c r="D3772">
        <v>136.79</v>
      </c>
    </row>
    <row r="3773" spans="1:4">
      <c r="A3773" t="s">
        <v>40</v>
      </c>
      <c r="B3773" t="s">
        <v>3006</v>
      </c>
      <c r="C3773" t="s">
        <v>4215</v>
      </c>
      <c r="D3773">
        <v>699.99</v>
      </c>
    </row>
    <row r="3774" spans="1:4">
      <c r="A3774" t="s">
        <v>40</v>
      </c>
      <c r="B3774" t="s">
        <v>3006</v>
      </c>
      <c r="C3774" t="s">
        <v>4216</v>
      </c>
      <c r="D3774">
        <v>189.99</v>
      </c>
    </row>
    <row r="3775" spans="1:4">
      <c r="A3775" t="s">
        <v>40</v>
      </c>
      <c r="B3775" t="s">
        <v>2983</v>
      </c>
      <c r="C3775" t="s">
        <v>4217</v>
      </c>
      <c r="D3775">
        <v>454.99</v>
      </c>
    </row>
    <row r="3776" spans="1:4">
      <c r="A3776" t="s">
        <v>40</v>
      </c>
      <c r="B3776" t="s">
        <v>3006</v>
      </c>
      <c r="C3776" t="s">
        <v>4218</v>
      </c>
      <c r="D3776">
        <v>164.99</v>
      </c>
    </row>
    <row r="3777" spans="1:4">
      <c r="A3777" t="s">
        <v>40</v>
      </c>
      <c r="B3777" t="s">
        <v>2980</v>
      </c>
      <c r="C3777" t="s">
        <v>4219</v>
      </c>
      <c r="D3777">
        <v>235</v>
      </c>
    </row>
    <row r="3778" spans="1:4">
      <c r="A3778" t="s">
        <v>40</v>
      </c>
      <c r="B3778" t="s">
        <v>2980</v>
      </c>
      <c r="C3778" t="s">
        <v>4220</v>
      </c>
      <c r="D3778">
        <v>159.99</v>
      </c>
    </row>
    <row r="3779" spans="1:4">
      <c r="A3779" t="s">
        <v>40</v>
      </c>
      <c r="B3779" t="s">
        <v>3006</v>
      </c>
      <c r="C3779" t="s">
        <v>4221</v>
      </c>
      <c r="D3779">
        <v>539.99</v>
      </c>
    </row>
    <row r="3780" spans="1:4">
      <c r="A3780" t="s">
        <v>40</v>
      </c>
      <c r="B3780" t="s">
        <v>3006</v>
      </c>
      <c r="C3780" t="s">
        <v>4222</v>
      </c>
      <c r="D3780">
        <v>229.99</v>
      </c>
    </row>
    <row r="3781" spans="1:4">
      <c r="A3781" t="s">
        <v>40</v>
      </c>
      <c r="B3781" t="s">
        <v>3006</v>
      </c>
      <c r="C3781" t="s">
        <v>4223</v>
      </c>
      <c r="D3781">
        <v>549.99</v>
      </c>
    </row>
    <row r="3782" spans="1:4">
      <c r="A3782" t="s">
        <v>40</v>
      </c>
      <c r="B3782" t="s">
        <v>3030</v>
      </c>
      <c r="C3782" t="s">
        <v>4224</v>
      </c>
      <c r="D3782">
        <v>475</v>
      </c>
    </row>
    <row r="3783" spans="1:4">
      <c r="A3783" t="s">
        <v>40</v>
      </c>
      <c r="B3783" t="s">
        <v>3039</v>
      </c>
      <c r="C3783" t="s">
        <v>4225</v>
      </c>
      <c r="D3783">
        <v>230.3</v>
      </c>
    </row>
    <row r="3784" spans="1:4">
      <c r="A3784" t="s">
        <v>40</v>
      </c>
      <c r="B3784" t="s">
        <v>3006</v>
      </c>
      <c r="C3784" t="s">
        <v>4226</v>
      </c>
      <c r="D3784">
        <v>799.99</v>
      </c>
    </row>
    <row r="3785" spans="1:4">
      <c r="A3785" t="s">
        <v>40</v>
      </c>
      <c r="B3785" t="s">
        <v>2980</v>
      </c>
      <c r="C3785" t="s">
        <v>4227</v>
      </c>
      <c r="D3785">
        <v>499.99</v>
      </c>
    </row>
    <row r="3786" spans="1:4">
      <c r="A3786" t="s">
        <v>40</v>
      </c>
      <c r="B3786" t="s">
        <v>2980</v>
      </c>
      <c r="C3786" t="s">
        <v>4228</v>
      </c>
      <c r="D3786">
        <v>239.99</v>
      </c>
    </row>
    <row r="3787" spans="1:4">
      <c r="A3787" t="s">
        <v>40</v>
      </c>
      <c r="B3787" t="s">
        <v>3081</v>
      </c>
      <c r="C3787" t="s">
        <v>4229</v>
      </c>
      <c r="D3787">
        <v>164.99</v>
      </c>
    </row>
    <row r="3788" spans="1:4">
      <c r="A3788" t="s">
        <v>40</v>
      </c>
      <c r="B3788" t="s">
        <v>3006</v>
      </c>
      <c r="C3788" t="s">
        <v>4230</v>
      </c>
      <c r="D3788">
        <v>249.99</v>
      </c>
    </row>
    <row r="3789" spans="1:4">
      <c r="A3789" t="s">
        <v>40</v>
      </c>
      <c r="B3789" t="s">
        <v>2980</v>
      </c>
      <c r="C3789" t="s">
        <v>4231</v>
      </c>
      <c r="D3789">
        <v>649.99</v>
      </c>
    </row>
    <row r="3790" spans="1:4">
      <c r="A3790" t="s">
        <v>40</v>
      </c>
      <c r="B3790" t="s">
        <v>3006</v>
      </c>
      <c r="C3790" t="s">
        <v>4232</v>
      </c>
      <c r="D3790">
        <v>209.99</v>
      </c>
    </row>
    <row r="3791" spans="1:4">
      <c r="A3791" t="s">
        <v>40</v>
      </c>
      <c r="B3791" t="s">
        <v>3006</v>
      </c>
      <c r="C3791" t="s">
        <v>4233</v>
      </c>
      <c r="D3791">
        <v>185</v>
      </c>
    </row>
    <row r="3792" spans="1:4">
      <c r="A3792" t="s">
        <v>40</v>
      </c>
      <c r="B3792" t="s">
        <v>2980</v>
      </c>
      <c r="C3792" t="s">
        <v>4234</v>
      </c>
      <c r="D3792">
        <v>349.95</v>
      </c>
    </row>
    <row r="3793" spans="1:4">
      <c r="A3793" t="s">
        <v>40</v>
      </c>
      <c r="B3793" t="s">
        <v>2983</v>
      </c>
      <c r="C3793" t="s">
        <v>4235</v>
      </c>
      <c r="D3793">
        <v>131.03</v>
      </c>
    </row>
    <row r="3794" spans="1:4">
      <c r="A3794" t="s">
        <v>40</v>
      </c>
      <c r="B3794" t="s">
        <v>3009</v>
      </c>
      <c r="C3794" t="s">
        <v>4236</v>
      </c>
      <c r="D3794">
        <v>234.99</v>
      </c>
    </row>
    <row r="3795" spans="1:4">
      <c r="A3795" t="s">
        <v>40</v>
      </c>
      <c r="B3795" t="s">
        <v>2983</v>
      </c>
      <c r="C3795" t="s">
        <v>4072</v>
      </c>
      <c r="D3795">
        <v>159.99</v>
      </c>
    </row>
    <row r="3796" spans="1:4">
      <c r="A3796" t="s">
        <v>40</v>
      </c>
      <c r="B3796" t="s">
        <v>3006</v>
      </c>
      <c r="C3796" t="s">
        <v>4237</v>
      </c>
      <c r="D3796">
        <v>400</v>
      </c>
    </row>
    <row r="3797" spans="1:4">
      <c r="A3797" t="s">
        <v>40</v>
      </c>
      <c r="B3797" t="s">
        <v>2980</v>
      </c>
      <c r="C3797" t="s">
        <v>4238</v>
      </c>
      <c r="D3797">
        <v>326.69</v>
      </c>
    </row>
    <row r="3798" spans="1:4">
      <c r="A3798" t="s">
        <v>40</v>
      </c>
      <c r="B3798" t="s">
        <v>2983</v>
      </c>
      <c r="C3798" t="s">
        <v>4239</v>
      </c>
      <c r="D3798">
        <v>199</v>
      </c>
    </row>
    <row r="3799" spans="1:4">
      <c r="A3799" t="s">
        <v>40</v>
      </c>
      <c r="B3799" t="s">
        <v>2980</v>
      </c>
      <c r="C3799" t="s">
        <v>4240</v>
      </c>
      <c r="D3799">
        <v>151.04</v>
      </c>
    </row>
    <row r="3800" spans="1:4">
      <c r="A3800" t="s">
        <v>40</v>
      </c>
      <c r="B3800" t="s">
        <v>3006</v>
      </c>
      <c r="C3800" t="s">
        <v>4241</v>
      </c>
      <c r="D3800">
        <v>579.99</v>
      </c>
    </row>
    <row r="3801" spans="1:4">
      <c r="A3801" t="s">
        <v>40</v>
      </c>
      <c r="B3801" t="s">
        <v>2983</v>
      </c>
      <c r="C3801" t="s">
        <v>4242</v>
      </c>
      <c r="D3801">
        <v>179.98</v>
      </c>
    </row>
    <row r="3802" spans="1:4">
      <c r="A3802" t="s">
        <v>40</v>
      </c>
      <c r="B3802" t="s">
        <v>2983</v>
      </c>
      <c r="C3802" t="s">
        <v>4243</v>
      </c>
      <c r="D3802">
        <v>129.94999999999999</v>
      </c>
    </row>
    <row r="3803" spans="1:4">
      <c r="A3803" t="s">
        <v>40</v>
      </c>
      <c r="B3803" t="s">
        <v>1337</v>
      </c>
      <c r="C3803" t="s">
        <v>4244</v>
      </c>
      <c r="D3803">
        <v>229.98</v>
      </c>
    </row>
    <row r="3804" spans="1:4">
      <c r="A3804" t="s">
        <v>40</v>
      </c>
      <c r="B3804" t="s">
        <v>2983</v>
      </c>
      <c r="C3804" t="s">
        <v>4245</v>
      </c>
      <c r="D3804">
        <v>319.99</v>
      </c>
    </row>
    <row r="3805" spans="1:4">
      <c r="A3805" t="s">
        <v>40</v>
      </c>
      <c r="B3805" t="s">
        <v>3006</v>
      </c>
      <c r="C3805" t="s">
        <v>4246</v>
      </c>
      <c r="D3805">
        <v>860</v>
      </c>
    </row>
    <row r="3806" spans="1:4">
      <c r="A3806" t="s">
        <v>40</v>
      </c>
      <c r="B3806" t="s">
        <v>2980</v>
      </c>
      <c r="C3806" t="s">
        <v>4247</v>
      </c>
      <c r="D3806">
        <v>289</v>
      </c>
    </row>
    <row r="3807" spans="1:4">
      <c r="A3807" t="s">
        <v>40</v>
      </c>
      <c r="B3807" t="s">
        <v>2980</v>
      </c>
      <c r="C3807" t="s">
        <v>4248</v>
      </c>
      <c r="D3807">
        <v>1369.99</v>
      </c>
    </row>
    <row r="3808" spans="1:4">
      <c r="A3808" t="s">
        <v>40</v>
      </c>
      <c r="B3808" t="s">
        <v>3030</v>
      </c>
      <c r="C3808" t="s">
        <v>4249</v>
      </c>
      <c r="D3808">
        <v>219.99</v>
      </c>
    </row>
    <row r="3809" spans="1:4">
      <c r="A3809" t="s">
        <v>40</v>
      </c>
      <c r="B3809" t="s">
        <v>3006</v>
      </c>
      <c r="C3809" t="s">
        <v>4250</v>
      </c>
      <c r="D3809">
        <v>273</v>
      </c>
    </row>
    <row r="3810" spans="1:4">
      <c r="A3810" t="s">
        <v>40</v>
      </c>
      <c r="B3810" t="s">
        <v>2980</v>
      </c>
      <c r="C3810" t="s">
        <v>4251</v>
      </c>
      <c r="D3810">
        <v>131.57</v>
      </c>
    </row>
    <row r="3811" spans="1:4">
      <c r="A3811" t="s">
        <v>40</v>
      </c>
      <c r="B3811" t="s">
        <v>2983</v>
      </c>
      <c r="C3811" t="s">
        <v>4252</v>
      </c>
      <c r="D3811">
        <v>149.99</v>
      </c>
    </row>
    <row r="3812" spans="1:4">
      <c r="A3812" t="s">
        <v>40</v>
      </c>
      <c r="B3812" t="s">
        <v>2980</v>
      </c>
      <c r="C3812" t="s">
        <v>4253</v>
      </c>
      <c r="D3812">
        <v>333.99</v>
      </c>
    </row>
    <row r="3813" spans="1:4">
      <c r="A3813" t="s">
        <v>40</v>
      </c>
      <c r="B3813" t="s">
        <v>3006</v>
      </c>
      <c r="C3813" t="s">
        <v>4254</v>
      </c>
      <c r="D3813">
        <v>469.99</v>
      </c>
    </row>
    <row r="3814" spans="1:4">
      <c r="A3814" t="s">
        <v>40</v>
      </c>
      <c r="B3814" t="s">
        <v>2983</v>
      </c>
      <c r="C3814" t="s">
        <v>4255</v>
      </c>
      <c r="D3814">
        <v>205.19</v>
      </c>
    </row>
    <row r="3815" spans="1:4">
      <c r="A3815" t="s">
        <v>40</v>
      </c>
      <c r="B3815" t="s">
        <v>2983</v>
      </c>
      <c r="C3815" t="s">
        <v>4256</v>
      </c>
      <c r="D3815">
        <v>454.99</v>
      </c>
    </row>
    <row r="3816" spans="1:4">
      <c r="A3816" t="s">
        <v>40</v>
      </c>
      <c r="B3816" t="s">
        <v>1337</v>
      </c>
      <c r="C3816" t="s">
        <v>4257</v>
      </c>
      <c r="D3816">
        <v>415.99</v>
      </c>
    </row>
    <row r="3817" spans="1:4">
      <c r="A3817" t="s">
        <v>40</v>
      </c>
      <c r="B3817" t="s">
        <v>2980</v>
      </c>
      <c r="C3817" t="s">
        <v>4258</v>
      </c>
      <c r="D3817">
        <v>879.99</v>
      </c>
    </row>
    <row r="3818" spans="1:4">
      <c r="A3818" t="s">
        <v>40</v>
      </c>
      <c r="B3818" t="s">
        <v>3006</v>
      </c>
      <c r="C3818" t="s">
        <v>4259</v>
      </c>
      <c r="D3818">
        <v>629.99</v>
      </c>
    </row>
    <row r="3819" spans="1:4">
      <c r="A3819" t="s">
        <v>40</v>
      </c>
      <c r="B3819" t="s">
        <v>2980</v>
      </c>
      <c r="C3819" t="s">
        <v>4260</v>
      </c>
      <c r="D3819">
        <v>749</v>
      </c>
    </row>
    <row r="3820" spans="1:4">
      <c r="A3820" t="s">
        <v>40</v>
      </c>
      <c r="B3820" t="s">
        <v>3030</v>
      </c>
      <c r="C3820" t="s">
        <v>4261</v>
      </c>
      <c r="D3820">
        <v>425</v>
      </c>
    </row>
    <row r="3821" spans="1:4">
      <c r="A3821" t="s">
        <v>40</v>
      </c>
      <c r="B3821" t="s">
        <v>2980</v>
      </c>
      <c r="C3821" t="s">
        <v>4262</v>
      </c>
      <c r="D3821">
        <v>189.9</v>
      </c>
    </row>
    <row r="3822" spans="1:4">
      <c r="A3822" t="s">
        <v>40</v>
      </c>
      <c r="B3822" t="s">
        <v>2980</v>
      </c>
      <c r="C3822" t="s">
        <v>4263</v>
      </c>
      <c r="D3822">
        <v>427</v>
      </c>
    </row>
    <row r="3823" spans="1:4">
      <c r="A3823" t="s">
        <v>40</v>
      </c>
      <c r="B3823" t="s">
        <v>2980</v>
      </c>
      <c r="C3823" t="s">
        <v>4264</v>
      </c>
      <c r="D3823">
        <v>129.99</v>
      </c>
    </row>
    <row r="3824" spans="1:4">
      <c r="A3824" t="s">
        <v>40</v>
      </c>
      <c r="B3824" t="s">
        <v>2983</v>
      </c>
      <c r="C3824" t="s">
        <v>4265</v>
      </c>
      <c r="D3824">
        <v>299.99</v>
      </c>
    </row>
    <row r="3825" spans="1:4">
      <c r="A3825" t="s">
        <v>40</v>
      </c>
      <c r="B3825" t="s">
        <v>2983</v>
      </c>
      <c r="C3825" t="s">
        <v>4266</v>
      </c>
      <c r="D3825">
        <v>399</v>
      </c>
    </row>
    <row r="3826" spans="1:4">
      <c r="A3826" t="s">
        <v>40</v>
      </c>
      <c r="B3826" t="s">
        <v>3006</v>
      </c>
      <c r="C3826" t="s">
        <v>4267</v>
      </c>
      <c r="D3826">
        <v>125.99</v>
      </c>
    </row>
    <row r="3827" spans="1:4">
      <c r="A3827" t="s">
        <v>40</v>
      </c>
      <c r="B3827" t="s">
        <v>2980</v>
      </c>
      <c r="C3827" t="s">
        <v>4268</v>
      </c>
      <c r="D3827">
        <v>499.95</v>
      </c>
    </row>
    <row r="3828" spans="1:4">
      <c r="A3828" t="s">
        <v>40</v>
      </c>
      <c r="B3828" t="s">
        <v>2983</v>
      </c>
      <c r="C3828" t="s">
        <v>4269</v>
      </c>
      <c r="D3828">
        <v>399.95</v>
      </c>
    </row>
    <row r="3829" spans="1:4">
      <c r="A3829" t="s">
        <v>40</v>
      </c>
      <c r="B3829" t="s">
        <v>3006</v>
      </c>
      <c r="C3829" t="s">
        <v>4270</v>
      </c>
      <c r="D3829">
        <v>134.94</v>
      </c>
    </row>
    <row r="3830" spans="1:4">
      <c r="A3830" t="s">
        <v>40</v>
      </c>
      <c r="B3830" t="s">
        <v>2983</v>
      </c>
      <c r="C3830" t="s">
        <v>4204</v>
      </c>
      <c r="D3830">
        <v>142.99</v>
      </c>
    </row>
    <row r="3831" spans="1:4">
      <c r="A3831" t="s">
        <v>40</v>
      </c>
      <c r="B3831" t="s">
        <v>2994</v>
      </c>
      <c r="C3831" t="s">
        <v>4271</v>
      </c>
      <c r="D3831">
        <v>179.95</v>
      </c>
    </row>
    <row r="3832" spans="1:4">
      <c r="A3832" t="s">
        <v>40</v>
      </c>
      <c r="B3832" t="s">
        <v>1337</v>
      </c>
      <c r="C3832" t="s">
        <v>4272</v>
      </c>
      <c r="D3832">
        <v>349</v>
      </c>
    </row>
    <row r="3833" spans="1:4">
      <c r="A3833" t="s">
        <v>40</v>
      </c>
      <c r="B3833" t="s">
        <v>3006</v>
      </c>
      <c r="C3833" t="s">
        <v>4273</v>
      </c>
      <c r="D3833">
        <v>189.99</v>
      </c>
    </row>
    <row r="3834" spans="1:4">
      <c r="A3834" t="s">
        <v>40</v>
      </c>
      <c r="B3834" t="s">
        <v>1337</v>
      </c>
      <c r="C3834" t="s">
        <v>4274</v>
      </c>
      <c r="D3834">
        <v>239.99</v>
      </c>
    </row>
    <row r="3835" spans="1:4">
      <c r="A3835" t="s">
        <v>40</v>
      </c>
      <c r="B3835" t="s">
        <v>2983</v>
      </c>
      <c r="C3835" t="s">
        <v>4275</v>
      </c>
      <c r="D3835">
        <v>146.15</v>
      </c>
    </row>
    <row r="3836" spans="1:4">
      <c r="A3836" t="s">
        <v>40</v>
      </c>
      <c r="B3836" t="s">
        <v>3006</v>
      </c>
      <c r="C3836" t="s">
        <v>4276</v>
      </c>
      <c r="D3836">
        <v>159</v>
      </c>
    </row>
    <row r="3837" spans="1:4">
      <c r="A3837" t="s">
        <v>40</v>
      </c>
      <c r="B3837" t="s">
        <v>1337</v>
      </c>
      <c r="C3837" t="s">
        <v>4277</v>
      </c>
      <c r="D3837">
        <v>484.99</v>
      </c>
    </row>
    <row r="3838" spans="1:4">
      <c r="A3838" t="s">
        <v>40</v>
      </c>
      <c r="B3838" t="s">
        <v>3006</v>
      </c>
      <c r="C3838" t="s">
        <v>4278</v>
      </c>
      <c r="D3838">
        <v>149.99</v>
      </c>
    </row>
    <row r="3839" spans="1:4">
      <c r="A3839" t="s">
        <v>40</v>
      </c>
      <c r="B3839" t="s">
        <v>3006</v>
      </c>
      <c r="C3839" t="s">
        <v>4279</v>
      </c>
      <c r="D3839">
        <v>449.99</v>
      </c>
    </row>
    <row r="3840" spans="1:4">
      <c r="A3840" t="s">
        <v>40</v>
      </c>
      <c r="B3840" t="s">
        <v>2983</v>
      </c>
      <c r="C3840" t="s">
        <v>4280</v>
      </c>
      <c r="D3840">
        <v>114.99</v>
      </c>
    </row>
    <row r="3841" spans="1:4">
      <c r="A3841" t="s">
        <v>40</v>
      </c>
      <c r="B3841" t="s">
        <v>3006</v>
      </c>
      <c r="C3841" t="s">
        <v>4281</v>
      </c>
      <c r="D3841">
        <v>559</v>
      </c>
    </row>
    <row r="3842" spans="1:4">
      <c r="A3842" t="s">
        <v>40</v>
      </c>
      <c r="B3842" t="s">
        <v>2980</v>
      </c>
      <c r="C3842" t="s">
        <v>4282</v>
      </c>
      <c r="D3842">
        <v>229.9</v>
      </c>
    </row>
    <row r="3843" spans="1:4">
      <c r="A3843" t="s">
        <v>40</v>
      </c>
      <c r="B3843" t="s">
        <v>3006</v>
      </c>
      <c r="C3843" t="s">
        <v>4283</v>
      </c>
      <c r="D3843">
        <v>729.99</v>
      </c>
    </row>
    <row r="3844" spans="1:4">
      <c r="A3844" t="s">
        <v>40</v>
      </c>
      <c r="B3844" t="s">
        <v>2983</v>
      </c>
      <c r="C3844" t="s">
        <v>4284</v>
      </c>
      <c r="D3844">
        <v>239.99</v>
      </c>
    </row>
    <row r="3845" spans="1:4">
      <c r="A3845" t="s">
        <v>40</v>
      </c>
      <c r="B3845" t="s">
        <v>2983</v>
      </c>
      <c r="C3845" t="s">
        <v>4285</v>
      </c>
      <c r="D3845">
        <v>589.99</v>
      </c>
    </row>
    <row r="3846" spans="1:4">
      <c r="A3846" t="s">
        <v>40</v>
      </c>
      <c r="B3846" t="s">
        <v>2983</v>
      </c>
      <c r="C3846" t="s">
        <v>4286</v>
      </c>
      <c r="D3846">
        <v>141.11000000000001</v>
      </c>
    </row>
    <row r="3847" spans="1:4">
      <c r="A3847" t="s">
        <v>40</v>
      </c>
      <c r="B3847" t="s">
        <v>2980</v>
      </c>
      <c r="C3847" t="s">
        <v>4287</v>
      </c>
      <c r="D3847">
        <v>269</v>
      </c>
    </row>
    <row r="3848" spans="1:4">
      <c r="A3848" t="s">
        <v>40</v>
      </c>
      <c r="B3848" t="s">
        <v>2994</v>
      </c>
      <c r="C3848" t="s">
        <v>4288</v>
      </c>
      <c r="D3848">
        <v>159.99</v>
      </c>
    </row>
    <row r="3849" spans="1:4">
      <c r="A3849" t="s">
        <v>40</v>
      </c>
      <c r="B3849" t="s">
        <v>2983</v>
      </c>
      <c r="C3849" t="s">
        <v>3513</v>
      </c>
      <c r="D3849">
        <v>122.73</v>
      </c>
    </row>
    <row r="3850" spans="1:4">
      <c r="A3850" t="s">
        <v>40</v>
      </c>
      <c r="B3850" t="s">
        <v>3107</v>
      </c>
      <c r="C3850" t="s">
        <v>4289</v>
      </c>
      <c r="D3850">
        <v>899.99</v>
      </c>
    </row>
    <row r="3851" spans="1:4">
      <c r="A3851" t="s">
        <v>40</v>
      </c>
      <c r="B3851" t="s">
        <v>3009</v>
      </c>
      <c r="C3851" t="s">
        <v>4290</v>
      </c>
      <c r="D3851">
        <v>149.97999999999999</v>
      </c>
    </row>
    <row r="3852" spans="1:4">
      <c r="A3852" t="s">
        <v>40</v>
      </c>
      <c r="B3852" t="s">
        <v>2994</v>
      </c>
      <c r="C3852" t="s">
        <v>4291</v>
      </c>
      <c r="D3852">
        <v>164.98</v>
      </c>
    </row>
    <row r="3853" spans="1:4">
      <c r="A3853" t="s">
        <v>40</v>
      </c>
      <c r="B3853" t="s">
        <v>2983</v>
      </c>
      <c r="C3853" t="s">
        <v>4292</v>
      </c>
      <c r="D3853">
        <v>499.99</v>
      </c>
    </row>
    <row r="3854" spans="1:4">
      <c r="A3854" t="s">
        <v>40</v>
      </c>
      <c r="B3854" t="s">
        <v>505</v>
      </c>
      <c r="C3854" t="s">
        <v>4293</v>
      </c>
      <c r="D3854">
        <v>1119.99</v>
      </c>
    </row>
    <row r="3855" spans="1:4">
      <c r="A3855" t="s">
        <v>40</v>
      </c>
      <c r="B3855" t="s">
        <v>2983</v>
      </c>
      <c r="C3855" t="s">
        <v>4294</v>
      </c>
      <c r="D3855">
        <v>165.07</v>
      </c>
    </row>
    <row r="3856" spans="1:4">
      <c r="A3856" t="s">
        <v>40</v>
      </c>
      <c r="B3856" t="s">
        <v>2983</v>
      </c>
      <c r="C3856" t="s">
        <v>4295</v>
      </c>
      <c r="D3856">
        <v>171.35</v>
      </c>
    </row>
    <row r="3857" spans="1:4">
      <c r="A3857" t="s">
        <v>40</v>
      </c>
      <c r="B3857" t="s">
        <v>2983</v>
      </c>
      <c r="C3857" t="s">
        <v>4296</v>
      </c>
      <c r="D3857">
        <v>144.99</v>
      </c>
    </row>
    <row r="3858" spans="1:4">
      <c r="A3858" t="s">
        <v>40</v>
      </c>
      <c r="B3858" t="s">
        <v>2980</v>
      </c>
      <c r="C3858" t="s">
        <v>4297</v>
      </c>
      <c r="D3858">
        <v>449.99</v>
      </c>
    </row>
    <row r="3859" spans="1:4">
      <c r="A3859" t="s">
        <v>40</v>
      </c>
      <c r="B3859" t="s">
        <v>2983</v>
      </c>
      <c r="C3859" t="s">
        <v>4298</v>
      </c>
      <c r="D3859">
        <v>299.98</v>
      </c>
    </row>
    <row r="3860" spans="1:4">
      <c r="A3860" t="s">
        <v>40</v>
      </c>
      <c r="B3860" t="s">
        <v>2983</v>
      </c>
      <c r="C3860" t="s">
        <v>3554</v>
      </c>
      <c r="D3860">
        <v>118.99</v>
      </c>
    </row>
    <row r="3861" spans="1:4">
      <c r="A3861" t="s">
        <v>40</v>
      </c>
      <c r="B3861" t="s">
        <v>3006</v>
      </c>
      <c r="C3861" t="s">
        <v>4299</v>
      </c>
      <c r="D3861">
        <v>589.99</v>
      </c>
    </row>
    <row r="3862" spans="1:4">
      <c r="A3862" t="s">
        <v>40</v>
      </c>
      <c r="B3862" t="s">
        <v>2983</v>
      </c>
      <c r="C3862" t="s">
        <v>4300</v>
      </c>
      <c r="D3862">
        <v>99.99</v>
      </c>
    </row>
    <row r="3863" spans="1:4">
      <c r="A3863" t="s">
        <v>40</v>
      </c>
      <c r="B3863" t="s">
        <v>3081</v>
      </c>
      <c r="C3863" t="s">
        <v>4301</v>
      </c>
      <c r="D3863">
        <v>124.99</v>
      </c>
    </row>
    <row r="3864" spans="1:4">
      <c r="A3864" t="s">
        <v>40</v>
      </c>
      <c r="B3864" t="s">
        <v>2983</v>
      </c>
      <c r="C3864" t="s">
        <v>4302</v>
      </c>
      <c r="D3864">
        <v>239.99</v>
      </c>
    </row>
    <row r="3865" spans="1:4">
      <c r="A3865" t="s">
        <v>40</v>
      </c>
      <c r="B3865" t="s">
        <v>3006</v>
      </c>
      <c r="C3865" t="s">
        <v>4303</v>
      </c>
      <c r="D3865">
        <v>1329.99</v>
      </c>
    </row>
    <row r="3866" spans="1:4">
      <c r="A3866" t="s">
        <v>40</v>
      </c>
      <c r="B3866" t="s">
        <v>3006</v>
      </c>
      <c r="C3866" t="s">
        <v>4304</v>
      </c>
      <c r="D3866">
        <v>199.98</v>
      </c>
    </row>
    <row r="3867" spans="1:4">
      <c r="A3867" t="s">
        <v>40</v>
      </c>
      <c r="B3867" t="s">
        <v>2983</v>
      </c>
      <c r="C3867" t="s">
        <v>4305</v>
      </c>
      <c r="D3867">
        <v>269.99</v>
      </c>
    </row>
    <row r="3868" spans="1:4">
      <c r="A3868" t="s">
        <v>40</v>
      </c>
      <c r="B3868" t="s">
        <v>2983</v>
      </c>
      <c r="C3868" t="s">
        <v>4306</v>
      </c>
      <c r="D3868">
        <v>224.99</v>
      </c>
    </row>
    <row r="3869" spans="1:4">
      <c r="A3869" t="s">
        <v>40</v>
      </c>
      <c r="B3869" t="s">
        <v>2983</v>
      </c>
      <c r="C3869" t="s">
        <v>4307</v>
      </c>
      <c r="D3869">
        <v>144.99</v>
      </c>
    </row>
    <row r="3870" spans="1:4">
      <c r="A3870" t="s">
        <v>40</v>
      </c>
      <c r="B3870" t="s">
        <v>2980</v>
      </c>
      <c r="C3870" t="s">
        <v>4308</v>
      </c>
      <c r="D3870">
        <v>147.99</v>
      </c>
    </row>
    <row r="3871" spans="1:4">
      <c r="A3871" t="s">
        <v>40</v>
      </c>
      <c r="B3871" t="s">
        <v>2980</v>
      </c>
      <c r="C3871" t="s">
        <v>4309</v>
      </c>
      <c r="D3871">
        <v>469</v>
      </c>
    </row>
    <row r="3872" spans="1:4">
      <c r="A3872" t="s">
        <v>40</v>
      </c>
      <c r="B3872" t="s">
        <v>3030</v>
      </c>
      <c r="C3872" t="s">
        <v>4310</v>
      </c>
      <c r="D3872">
        <v>499.99</v>
      </c>
    </row>
    <row r="3873" spans="1:4">
      <c r="A3873" t="s">
        <v>40</v>
      </c>
      <c r="B3873" t="s">
        <v>2983</v>
      </c>
      <c r="C3873" t="s">
        <v>4311</v>
      </c>
      <c r="D3873">
        <v>149.99</v>
      </c>
    </row>
    <row r="3874" spans="1:4">
      <c r="A3874" t="s">
        <v>40</v>
      </c>
      <c r="B3874" t="s">
        <v>2983</v>
      </c>
      <c r="C3874" t="s">
        <v>4312</v>
      </c>
      <c r="D3874">
        <v>169.99</v>
      </c>
    </row>
    <row r="3875" spans="1:4">
      <c r="A3875" t="s">
        <v>40</v>
      </c>
      <c r="B3875" t="s">
        <v>3285</v>
      </c>
      <c r="C3875" t="s">
        <v>4313</v>
      </c>
      <c r="D3875">
        <v>159.99</v>
      </c>
    </row>
    <row r="3876" spans="1:4">
      <c r="A3876" t="s">
        <v>40</v>
      </c>
      <c r="B3876" t="s">
        <v>2983</v>
      </c>
      <c r="C3876" t="s">
        <v>4314</v>
      </c>
      <c r="D3876">
        <v>219.99</v>
      </c>
    </row>
    <row r="3877" spans="1:4">
      <c r="A3877" t="s">
        <v>40</v>
      </c>
      <c r="B3877" t="s">
        <v>3006</v>
      </c>
      <c r="C3877" t="s">
        <v>4315</v>
      </c>
      <c r="D3877">
        <v>599.99</v>
      </c>
    </row>
    <row r="3878" spans="1:4">
      <c r="A3878" t="s">
        <v>40</v>
      </c>
      <c r="B3878" t="s">
        <v>2983</v>
      </c>
      <c r="C3878" t="s">
        <v>4316</v>
      </c>
      <c r="D3878">
        <v>144.99</v>
      </c>
    </row>
    <row r="3879" spans="1:4">
      <c r="A3879" t="s">
        <v>40</v>
      </c>
      <c r="B3879" t="s">
        <v>3006</v>
      </c>
      <c r="C3879" t="s">
        <v>4317</v>
      </c>
      <c r="D3879">
        <v>379.99</v>
      </c>
    </row>
    <row r="3880" spans="1:4">
      <c r="A3880" t="s">
        <v>40</v>
      </c>
      <c r="B3880" t="s">
        <v>2980</v>
      </c>
      <c r="C3880" t="s">
        <v>4318</v>
      </c>
      <c r="D3880">
        <v>299.99</v>
      </c>
    </row>
    <row r="3881" spans="1:4">
      <c r="A3881" t="s">
        <v>40</v>
      </c>
      <c r="B3881" t="s">
        <v>2983</v>
      </c>
      <c r="C3881" t="s">
        <v>3554</v>
      </c>
      <c r="D3881">
        <v>122.54</v>
      </c>
    </row>
    <row r="3882" spans="1:4">
      <c r="A3882" t="s">
        <v>40</v>
      </c>
      <c r="B3882" t="s">
        <v>2980</v>
      </c>
      <c r="C3882" t="s">
        <v>4319</v>
      </c>
      <c r="D3882">
        <v>859.99</v>
      </c>
    </row>
    <row r="3883" spans="1:4">
      <c r="A3883" t="s">
        <v>40</v>
      </c>
      <c r="B3883" t="s">
        <v>4320</v>
      </c>
      <c r="C3883" t="s">
        <v>4321</v>
      </c>
      <c r="D3883">
        <v>249.99</v>
      </c>
    </row>
    <row r="3884" spans="1:4">
      <c r="A3884" t="s">
        <v>40</v>
      </c>
      <c r="B3884" t="s">
        <v>2994</v>
      </c>
      <c r="C3884" t="s">
        <v>4322</v>
      </c>
      <c r="D3884">
        <v>174.99</v>
      </c>
    </row>
    <row r="3885" spans="1:4">
      <c r="A3885" t="s">
        <v>40</v>
      </c>
      <c r="B3885" t="s">
        <v>2980</v>
      </c>
      <c r="C3885" t="s">
        <v>4323</v>
      </c>
      <c r="D3885">
        <v>395</v>
      </c>
    </row>
    <row r="3886" spans="1:4">
      <c r="A3886" t="s">
        <v>40</v>
      </c>
      <c r="B3886" t="s">
        <v>2980</v>
      </c>
      <c r="C3886" t="s">
        <v>4324</v>
      </c>
      <c r="D3886">
        <v>1849.99</v>
      </c>
    </row>
    <row r="3887" spans="1:4">
      <c r="A3887" t="s">
        <v>40</v>
      </c>
      <c r="B3887" t="s">
        <v>2980</v>
      </c>
      <c r="C3887" t="s">
        <v>4325</v>
      </c>
      <c r="D3887">
        <v>399.99</v>
      </c>
    </row>
    <row r="3888" spans="1:4">
      <c r="A3888" t="s">
        <v>40</v>
      </c>
      <c r="B3888" t="s">
        <v>2994</v>
      </c>
      <c r="C3888" t="s">
        <v>4326</v>
      </c>
      <c r="D3888">
        <v>319.99</v>
      </c>
    </row>
    <row r="3889" spans="1:4">
      <c r="A3889" t="s">
        <v>40</v>
      </c>
      <c r="B3889" t="s">
        <v>2983</v>
      </c>
      <c r="C3889" t="s">
        <v>4327</v>
      </c>
      <c r="D3889">
        <v>139.99</v>
      </c>
    </row>
    <row r="3890" spans="1:4">
      <c r="A3890" t="s">
        <v>40</v>
      </c>
      <c r="B3890" t="s">
        <v>3239</v>
      </c>
      <c r="C3890" t="s">
        <v>4328</v>
      </c>
      <c r="D3890">
        <v>119.99</v>
      </c>
    </row>
    <row r="3891" spans="1:4">
      <c r="A3891" t="s">
        <v>40</v>
      </c>
      <c r="B3891" t="s">
        <v>2983</v>
      </c>
      <c r="C3891" t="s">
        <v>4329</v>
      </c>
      <c r="D3891">
        <v>279.98</v>
      </c>
    </row>
    <row r="3892" spans="1:4">
      <c r="A3892" t="s">
        <v>40</v>
      </c>
      <c r="B3892" t="s">
        <v>3285</v>
      </c>
      <c r="C3892" t="s">
        <v>4330</v>
      </c>
      <c r="D3892">
        <v>108.99</v>
      </c>
    </row>
    <row r="3893" spans="1:4">
      <c r="A3893" t="s">
        <v>40</v>
      </c>
      <c r="B3893" t="s">
        <v>2983</v>
      </c>
      <c r="C3893" t="s">
        <v>4331</v>
      </c>
      <c r="D3893">
        <v>275</v>
      </c>
    </row>
    <row r="3894" spans="1:4">
      <c r="A3894" t="s">
        <v>40</v>
      </c>
      <c r="B3894" t="s">
        <v>2980</v>
      </c>
      <c r="C3894" t="s">
        <v>4332</v>
      </c>
      <c r="D3894">
        <v>128.99</v>
      </c>
    </row>
    <row r="3895" spans="1:4">
      <c r="A3895" t="s">
        <v>40</v>
      </c>
      <c r="B3895" t="s">
        <v>4333</v>
      </c>
      <c r="C3895" t="s">
        <v>4334</v>
      </c>
      <c r="D3895">
        <v>249.99</v>
      </c>
    </row>
    <row r="3896" spans="1:4">
      <c r="A3896" t="s">
        <v>40</v>
      </c>
      <c r="B3896" t="s">
        <v>3006</v>
      </c>
      <c r="C3896" t="s">
        <v>4335</v>
      </c>
      <c r="D3896">
        <v>819.99</v>
      </c>
    </row>
    <row r="3897" spans="1:4">
      <c r="A3897" t="s">
        <v>40</v>
      </c>
      <c r="B3897" t="s">
        <v>2983</v>
      </c>
      <c r="C3897" t="s">
        <v>4336</v>
      </c>
      <c r="D3897">
        <v>139.99</v>
      </c>
    </row>
    <row r="3898" spans="1:4">
      <c r="A3898" t="s">
        <v>40</v>
      </c>
      <c r="B3898" t="s">
        <v>2980</v>
      </c>
      <c r="C3898" t="s">
        <v>4337</v>
      </c>
      <c r="D3898">
        <v>249.99</v>
      </c>
    </row>
    <row r="3899" spans="1:4">
      <c r="A3899" t="s">
        <v>40</v>
      </c>
      <c r="B3899" t="s">
        <v>2980</v>
      </c>
      <c r="C3899" t="s">
        <v>4338</v>
      </c>
      <c r="D3899">
        <v>229.99</v>
      </c>
    </row>
    <row r="3900" spans="1:4">
      <c r="A3900" t="s">
        <v>40</v>
      </c>
      <c r="B3900" t="s">
        <v>2983</v>
      </c>
      <c r="C3900" t="s">
        <v>3934</v>
      </c>
      <c r="D3900">
        <v>142.99</v>
      </c>
    </row>
    <row r="3901" spans="1:4">
      <c r="A3901" t="s">
        <v>40</v>
      </c>
      <c r="B3901" t="s">
        <v>2983</v>
      </c>
      <c r="C3901" t="s">
        <v>4339</v>
      </c>
      <c r="D3901">
        <v>108.29</v>
      </c>
    </row>
    <row r="3902" spans="1:4">
      <c r="A3902" t="s">
        <v>40</v>
      </c>
      <c r="B3902" t="s">
        <v>3006</v>
      </c>
      <c r="C3902" t="s">
        <v>4340</v>
      </c>
      <c r="D3902">
        <v>319.99</v>
      </c>
    </row>
    <row r="3903" spans="1:4">
      <c r="A3903" t="s">
        <v>40</v>
      </c>
      <c r="B3903" t="s">
        <v>2983</v>
      </c>
      <c r="C3903" t="s">
        <v>4341</v>
      </c>
      <c r="D3903">
        <v>325</v>
      </c>
    </row>
    <row r="3904" spans="1:4">
      <c r="A3904" t="s">
        <v>40</v>
      </c>
      <c r="B3904" t="s">
        <v>2980</v>
      </c>
      <c r="C3904" t="s">
        <v>4342</v>
      </c>
      <c r="D3904">
        <v>529.99</v>
      </c>
    </row>
    <row r="3905" spans="1:4">
      <c r="A3905" t="s">
        <v>40</v>
      </c>
      <c r="B3905" t="s">
        <v>3039</v>
      </c>
      <c r="C3905" t="s">
        <v>4343</v>
      </c>
      <c r="D3905">
        <v>195.3</v>
      </c>
    </row>
    <row r="3906" spans="1:4">
      <c r="A3906" t="s">
        <v>40</v>
      </c>
      <c r="B3906" t="s">
        <v>2980</v>
      </c>
      <c r="C3906" t="s">
        <v>4344</v>
      </c>
      <c r="D3906">
        <v>184.99</v>
      </c>
    </row>
    <row r="3907" spans="1:4">
      <c r="A3907" t="s">
        <v>40</v>
      </c>
      <c r="B3907" t="s">
        <v>2980</v>
      </c>
      <c r="C3907" t="s">
        <v>4345</v>
      </c>
      <c r="D3907">
        <v>449.99</v>
      </c>
    </row>
    <row r="3908" spans="1:4">
      <c r="A3908" t="s">
        <v>40</v>
      </c>
      <c r="B3908" t="s">
        <v>3006</v>
      </c>
      <c r="C3908" t="s">
        <v>4346</v>
      </c>
      <c r="D3908">
        <v>124.99</v>
      </c>
    </row>
    <row r="3909" spans="1:4">
      <c r="A3909" t="s">
        <v>40</v>
      </c>
      <c r="B3909" t="s">
        <v>2983</v>
      </c>
      <c r="C3909" t="s">
        <v>4347</v>
      </c>
      <c r="D3909">
        <v>205.19</v>
      </c>
    </row>
    <row r="3910" spans="1:4">
      <c r="A3910" t="s">
        <v>40</v>
      </c>
      <c r="B3910" t="s">
        <v>2980</v>
      </c>
      <c r="C3910" t="s">
        <v>4348</v>
      </c>
      <c r="D3910">
        <v>299.99</v>
      </c>
    </row>
    <row r="3911" spans="1:4">
      <c r="A3911" t="s">
        <v>40</v>
      </c>
      <c r="B3911" t="s">
        <v>2994</v>
      </c>
      <c r="C3911" t="s">
        <v>4349</v>
      </c>
      <c r="D3911">
        <v>399.97</v>
      </c>
    </row>
    <row r="3912" spans="1:4">
      <c r="A3912" t="s">
        <v>40</v>
      </c>
      <c r="B3912" t="s">
        <v>2994</v>
      </c>
      <c r="C3912" t="s">
        <v>4350</v>
      </c>
      <c r="D3912">
        <v>379.99</v>
      </c>
    </row>
    <row r="3913" spans="1:4">
      <c r="A3913" t="s">
        <v>40</v>
      </c>
      <c r="B3913" t="s">
        <v>2983</v>
      </c>
      <c r="C3913" t="s">
        <v>3554</v>
      </c>
      <c r="D3913">
        <v>123.99</v>
      </c>
    </row>
    <row r="3914" spans="1:4">
      <c r="A3914" t="s">
        <v>40</v>
      </c>
      <c r="B3914" t="s">
        <v>2980</v>
      </c>
      <c r="C3914" t="s">
        <v>4351</v>
      </c>
      <c r="D3914">
        <v>124.99</v>
      </c>
    </row>
    <row r="3915" spans="1:4">
      <c r="A3915" t="s">
        <v>40</v>
      </c>
      <c r="B3915" t="s">
        <v>3030</v>
      </c>
      <c r="C3915" t="s">
        <v>4352</v>
      </c>
      <c r="D3915">
        <v>299.99</v>
      </c>
    </row>
    <row r="3916" spans="1:4">
      <c r="A3916" t="s">
        <v>40</v>
      </c>
      <c r="B3916" t="s">
        <v>2980</v>
      </c>
      <c r="C3916" t="s">
        <v>4353</v>
      </c>
      <c r="D3916">
        <v>239.99</v>
      </c>
    </row>
    <row r="3917" spans="1:4">
      <c r="A3917" t="s">
        <v>40</v>
      </c>
      <c r="B3917" t="s">
        <v>2980</v>
      </c>
      <c r="C3917" t="s">
        <v>4354</v>
      </c>
      <c r="D3917">
        <v>349.99</v>
      </c>
    </row>
    <row r="3918" spans="1:4">
      <c r="A3918" t="s">
        <v>40</v>
      </c>
      <c r="B3918" t="s">
        <v>3285</v>
      </c>
      <c r="C3918" t="s">
        <v>4355</v>
      </c>
      <c r="D3918">
        <v>159.99</v>
      </c>
    </row>
    <row r="3919" spans="1:4">
      <c r="A3919" t="s">
        <v>40</v>
      </c>
      <c r="B3919" t="s">
        <v>3006</v>
      </c>
      <c r="C3919" t="s">
        <v>4356</v>
      </c>
      <c r="D3919">
        <v>439.99</v>
      </c>
    </row>
    <row r="3920" spans="1:4">
      <c r="A3920" t="s">
        <v>40</v>
      </c>
      <c r="B3920" t="s">
        <v>2983</v>
      </c>
      <c r="C3920" t="s">
        <v>4357</v>
      </c>
      <c r="D3920">
        <v>195</v>
      </c>
    </row>
    <row r="3921" spans="1:4">
      <c r="A3921" t="s">
        <v>40</v>
      </c>
      <c r="B3921" t="s">
        <v>2983</v>
      </c>
      <c r="C3921" t="s">
        <v>4358</v>
      </c>
      <c r="D3921">
        <v>249.99</v>
      </c>
    </row>
    <row r="3922" spans="1:4">
      <c r="A3922" t="s">
        <v>40</v>
      </c>
      <c r="B3922" t="s">
        <v>3039</v>
      </c>
      <c r="C3922" t="s">
        <v>4359</v>
      </c>
      <c r="D3922">
        <v>279.3</v>
      </c>
    </row>
    <row r="3923" spans="1:4">
      <c r="A3923" t="s">
        <v>40</v>
      </c>
      <c r="B3923" t="s">
        <v>2983</v>
      </c>
      <c r="C3923" t="s">
        <v>4360</v>
      </c>
      <c r="D3923">
        <v>384.99</v>
      </c>
    </row>
    <row r="3924" spans="1:4">
      <c r="A3924" t="s">
        <v>40</v>
      </c>
      <c r="B3924" t="s">
        <v>2980</v>
      </c>
      <c r="C3924" t="s">
        <v>4361</v>
      </c>
      <c r="D3924">
        <v>669.99</v>
      </c>
    </row>
    <row r="3925" spans="1:4">
      <c r="A3925" t="s">
        <v>40</v>
      </c>
      <c r="B3925" t="s">
        <v>2983</v>
      </c>
      <c r="C3925" t="s">
        <v>4362</v>
      </c>
      <c r="D3925">
        <v>1499</v>
      </c>
    </row>
    <row r="3926" spans="1:4">
      <c r="A3926" t="s">
        <v>40</v>
      </c>
      <c r="B3926" t="s">
        <v>2980</v>
      </c>
      <c r="C3926" t="s">
        <v>4363</v>
      </c>
      <c r="D3926">
        <v>1149.99</v>
      </c>
    </row>
    <row r="3927" spans="1:4">
      <c r="A3927" t="s">
        <v>40</v>
      </c>
      <c r="B3927" t="s">
        <v>3006</v>
      </c>
      <c r="C3927" t="s">
        <v>4364</v>
      </c>
      <c r="D3927">
        <v>349.99</v>
      </c>
    </row>
    <row r="3928" spans="1:4">
      <c r="A3928" t="s">
        <v>40</v>
      </c>
      <c r="B3928" t="s">
        <v>1337</v>
      </c>
      <c r="C3928" t="s">
        <v>4365</v>
      </c>
      <c r="D3928">
        <v>349.95</v>
      </c>
    </row>
    <row r="3929" spans="1:4">
      <c r="A3929" t="s">
        <v>40</v>
      </c>
      <c r="B3929" t="s">
        <v>3006</v>
      </c>
      <c r="C3929" t="s">
        <v>4366</v>
      </c>
      <c r="D3929">
        <v>299</v>
      </c>
    </row>
    <row r="3930" spans="1:4">
      <c r="A3930" t="s">
        <v>40</v>
      </c>
      <c r="B3930" t="s">
        <v>3006</v>
      </c>
      <c r="C3930" t="s">
        <v>4367</v>
      </c>
      <c r="D3930">
        <v>140</v>
      </c>
    </row>
    <row r="3931" spans="1:4">
      <c r="A3931" t="s">
        <v>40</v>
      </c>
      <c r="B3931" t="s">
        <v>2980</v>
      </c>
      <c r="C3931" t="s">
        <v>4368</v>
      </c>
      <c r="D3931">
        <v>349</v>
      </c>
    </row>
    <row r="3932" spans="1:4">
      <c r="A3932" t="s">
        <v>40</v>
      </c>
      <c r="B3932" t="s">
        <v>2983</v>
      </c>
      <c r="C3932" t="s">
        <v>4369</v>
      </c>
      <c r="D3932">
        <v>349.99</v>
      </c>
    </row>
    <row r="3933" spans="1:4">
      <c r="A3933" t="s">
        <v>40</v>
      </c>
      <c r="B3933" t="s">
        <v>2980</v>
      </c>
      <c r="C3933" t="s">
        <v>4370</v>
      </c>
      <c r="D3933">
        <v>450</v>
      </c>
    </row>
    <row r="3934" spans="1:4">
      <c r="A3934" t="s">
        <v>40</v>
      </c>
      <c r="B3934" t="s">
        <v>3149</v>
      </c>
      <c r="C3934" t="s">
        <v>4371</v>
      </c>
      <c r="D3934">
        <v>165</v>
      </c>
    </row>
    <row r="3935" spans="1:4">
      <c r="A3935" t="s">
        <v>40</v>
      </c>
      <c r="B3935" t="s">
        <v>2980</v>
      </c>
      <c r="C3935" t="s">
        <v>4372</v>
      </c>
      <c r="D3935">
        <v>139.99</v>
      </c>
    </row>
    <row r="3936" spans="1:4">
      <c r="A3936" t="s">
        <v>40</v>
      </c>
      <c r="B3936" t="s">
        <v>3409</v>
      </c>
      <c r="C3936" t="s">
        <v>4373</v>
      </c>
      <c r="D3936">
        <v>1599.99</v>
      </c>
    </row>
    <row r="3937" spans="1:4">
      <c r="A3937" t="s">
        <v>40</v>
      </c>
      <c r="B3937" t="s">
        <v>2980</v>
      </c>
      <c r="C3937" t="s">
        <v>4374</v>
      </c>
      <c r="D3937">
        <v>179.99</v>
      </c>
    </row>
    <row r="3938" spans="1:4">
      <c r="A3938" t="s">
        <v>40</v>
      </c>
      <c r="B3938" t="s">
        <v>561</v>
      </c>
      <c r="C3938" t="s">
        <v>4375</v>
      </c>
      <c r="D3938">
        <v>1499.99</v>
      </c>
    </row>
    <row r="3939" spans="1:4">
      <c r="A3939" t="s">
        <v>40</v>
      </c>
      <c r="B3939" t="s">
        <v>3006</v>
      </c>
      <c r="C3939" t="s">
        <v>4376</v>
      </c>
      <c r="D3939">
        <v>129.99</v>
      </c>
    </row>
    <row r="3940" spans="1:4">
      <c r="A3940" t="s">
        <v>40</v>
      </c>
      <c r="B3940" t="s">
        <v>2980</v>
      </c>
      <c r="C3940" t="s">
        <v>4377</v>
      </c>
      <c r="D3940">
        <v>159.99</v>
      </c>
    </row>
    <row r="3941" spans="1:4">
      <c r="A3941" t="s">
        <v>40</v>
      </c>
      <c r="B3941" t="s">
        <v>3039</v>
      </c>
      <c r="C3941" t="s">
        <v>4378</v>
      </c>
      <c r="D3941">
        <v>174.3</v>
      </c>
    </row>
    <row r="3942" spans="1:4">
      <c r="A3942" t="s">
        <v>40</v>
      </c>
      <c r="B3942" t="s">
        <v>2980</v>
      </c>
      <c r="C3942" t="s">
        <v>4379</v>
      </c>
      <c r="D3942">
        <v>179.99</v>
      </c>
    </row>
    <row r="3943" spans="1:4">
      <c r="A3943" t="s">
        <v>40</v>
      </c>
      <c r="B3943" t="s">
        <v>2980</v>
      </c>
      <c r="C3943" t="s">
        <v>4380</v>
      </c>
      <c r="D3943">
        <v>120</v>
      </c>
    </row>
    <row r="3944" spans="1:4">
      <c r="A3944" t="s">
        <v>40</v>
      </c>
      <c r="B3944" t="s">
        <v>2983</v>
      </c>
      <c r="C3944" t="s">
        <v>4381</v>
      </c>
      <c r="D3944">
        <v>161.27000000000001</v>
      </c>
    </row>
    <row r="3945" spans="1:4">
      <c r="A3945" t="s">
        <v>40</v>
      </c>
      <c r="B3945" t="s">
        <v>3039</v>
      </c>
      <c r="C3945" t="s">
        <v>4382</v>
      </c>
      <c r="D3945">
        <v>209.3</v>
      </c>
    </row>
    <row r="3946" spans="1:4">
      <c r="A3946" t="s">
        <v>40</v>
      </c>
      <c r="B3946" t="s">
        <v>2983</v>
      </c>
      <c r="C3946" t="s">
        <v>4383</v>
      </c>
      <c r="D3946">
        <v>899.99</v>
      </c>
    </row>
    <row r="3947" spans="1:4">
      <c r="A3947" t="s">
        <v>40</v>
      </c>
      <c r="B3947" t="s">
        <v>2980</v>
      </c>
      <c r="C3947" t="s">
        <v>4384</v>
      </c>
      <c r="D3947">
        <v>1299</v>
      </c>
    </row>
    <row r="3948" spans="1:4">
      <c r="A3948" t="s">
        <v>40</v>
      </c>
      <c r="B3948" t="s">
        <v>2983</v>
      </c>
      <c r="C3948" t="s">
        <v>4385</v>
      </c>
      <c r="D3948">
        <v>299.99</v>
      </c>
    </row>
    <row r="3949" spans="1:4">
      <c r="A3949" t="s">
        <v>40</v>
      </c>
      <c r="B3949" t="s">
        <v>3081</v>
      </c>
      <c r="C3949" t="s">
        <v>4386</v>
      </c>
      <c r="D3949">
        <v>124.99</v>
      </c>
    </row>
    <row r="3950" spans="1:4">
      <c r="A3950" t="s">
        <v>40</v>
      </c>
      <c r="B3950" t="s">
        <v>2980</v>
      </c>
      <c r="C3950" t="s">
        <v>4387</v>
      </c>
      <c r="D3950">
        <v>749.99</v>
      </c>
    </row>
    <row r="3951" spans="1:4">
      <c r="A3951" t="s">
        <v>40</v>
      </c>
      <c r="B3951" t="s">
        <v>3006</v>
      </c>
      <c r="C3951" t="s">
        <v>4388</v>
      </c>
      <c r="D3951">
        <v>469.99</v>
      </c>
    </row>
    <row r="3952" spans="1:4">
      <c r="A3952" t="s">
        <v>40</v>
      </c>
      <c r="B3952" t="s">
        <v>2983</v>
      </c>
      <c r="C3952" t="s">
        <v>4389</v>
      </c>
      <c r="D3952">
        <v>210.59</v>
      </c>
    </row>
    <row r="3953" spans="1:4">
      <c r="A3953" t="s">
        <v>40</v>
      </c>
      <c r="B3953" t="s">
        <v>2983</v>
      </c>
      <c r="C3953" t="s">
        <v>4390</v>
      </c>
      <c r="D3953">
        <v>255</v>
      </c>
    </row>
    <row r="3954" spans="1:4">
      <c r="A3954" t="s">
        <v>40</v>
      </c>
      <c r="B3954" t="s">
        <v>2983</v>
      </c>
      <c r="C3954" t="s">
        <v>4391</v>
      </c>
      <c r="D3954">
        <v>719.95</v>
      </c>
    </row>
    <row r="3955" spans="1:4">
      <c r="A3955" t="s">
        <v>40</v>
      </c>
      <c r="B3955" t="s">
        <v>3006</v>
      </c>
      <c r="C3955" t="s">
        <v>3943</v>
      </c>
      <c r="D3955">
        <v>189</v>
      </c>
    </row>
    <row r="3956" spans="1:4">
      <c r="A3956" t="s">
        <v>40</v>
      </c>
      <c r="B3956" t="s">
        <v>2980</v>
      </c>
      <c r="C3956" t="s">
        <v>4392</v>
      </c>
      <c r="D3956">
        <v>159</v>
      </c>
    </row>
    <row r="3957" spans="1:4">
      <c r="A3957" t="s">
        <v>40</v>
      </c>
      <c r="B3957" t="s">
        <v>2983</v>
      </c>
      <c r="C3957" t="s">
        <v>4314</v>
      </c>
      <c r="D3957">
        <v>219.99</v>
      </c>
    </row>
    <row r="3958" spans="1:4">
      <c r="A3958" t="s">
        <v>40</v>
      </c>
      <c r="B3958" t="s">
        <v>2983</v>
      </c>
      <c r="C3958" t="s">
        <v>4393</v>
      </c>
      <c r="D3958">
        <v>899.99</v>
      </c>
    </row>
    <row r="3959" spans="1:4">
      <c r="A3959" t="s">
        <v>40</v>
      </c>
      <c r="B3959" t="s">
        <v>2983</v>
      </c>
      <c r="C3959" t="s">
        <v>4394</v>
      </c>
      <c r="D3959">
        <v>119.99</v>
      </c>
    </row>
    <row r="3960" spans="1:4">
      <c r="A3960" t="s">
        <v>40</v>
      </c>
      <c r="B3960" t="s">
        <v>2980</v>
      </c>
      <c r="C3960" t="s">
        <v>4395</v>
      </c>
      <c r="D3960">
        <v>199.99</v>
      </c>
    </row>
    <row r="3961" spans="1:4">
      <c r="A3961" t="s">
        <v>40</v>
      </c>
      <c r="B3961" t="s">
        <v>2983</v>
      </c>
      <c r="C3961" t="s">
        <v>3934</v>
      </c>
      <c r="D3961">
        <v>131.99</v>
      </c>
    </row>
    <row r="3962" spans="1:4">
      <c r="A3962" t="s">
        <v>40</v>
      </c>
      <c r="B3962" t="s">
        <v>2994</v>
      </c>
      <c r="C3962" t="s">
        <v>4396</v>
      </c>
      <c r="D3962">
        <v>113.99</v>
      </c>
    </row>
    <row r="3963" spans="1:4">
      <c r="A3963" t="s">
        <v>40</v>
      </c>
      <c r="B3963" t="s">
        <v>2983</v>
      </c>
      <c r="C3963" t="s">
        <v>4397</v>
      </c>
      <c r="D3963">
        <v>134.99</v>
      </c>
    </row>
    <row r="3964" spans="1:4">
      <c r="A3964" t="s">
        <v>40</v>
      </c>
      <c r="B3964" t="s">
        <v>2983</v>
      </c>
      <c r="C3964" t="s">
        <v>4398</v>
      </c>
      <c r="D3964">
        <v>297.98</v>
      </c>
    </row>
    <row r="3965" spans="1:4">
      <c r="A3965" t="s">
        <v>40</v>
      </c>
      <c r="B3965" t="s">
        <v>2980</v>
      </c>
      <c r="C3965" t="s">
        <v>4399</v>
      </c>
      <c r="D3965">
        <v>249</v>
      </c>
    </row>
    <row r="3966" spans="1:4">
      <c r="A3966" t="s">
        <v>40</v>
      </c>
      <c r="B3966" t="s">
        <v>2983</v>
      </c>
      <c r="C3966" t="s">
        <v>4400</v>
      </c>
      <c r="D3966">
        <v>999.99</v>
      </c>
    </row>
    <row r="3967" spans="1:4">
      <c r="A3967" t="s">
        <v>40</v>
      </c>
      <c r="B3967" t="s">
        <v>2980</v>
      </c>
      <c r="C3967" t="s">
        <v>4401</v>
      </c>
      <c r="D3967">
        <v>749.95</v>
      </c>
    </row>
    <row r="3968" spans="1:4">
      <c r="A3968" t="s">
        <v>40</v>
      </c>
      <c r="B3968" t="s">
        <v>3006</v>
      </c>
      <c r="C3968" t="s">
        <v>4207</v>
      </c>
      <c r="D3968">
        <v>250</v>
      </c>
    </row>
    <row r="3969" spans="1:4">
      <c r="A3969" t="s">
        <v>40</v>
      </c>
      <c r="B3969" t="s">
        <v>1337</v>
      </c>
      <c r="C3969" t="s">
        <v>4402</v>
      </c>
      <c r="D3969">
        <v>399.99</v>
      </c>
    </row>
    <row r="3970" spans="1:4">
      <c r="A3970" t="s">
        <v>40</v>
      </c>
      <c r="B3970" t="s">
        <v>2980</v>
      </c>
      <c r="C3970" t="s">
        <v>4403</v>
      </c>
      <c r="D3970">
        <v>260</v>
      </c>
    </row>
    <row r="3971" spans="1:4">
      <c r="A3971" t="s">
        <v>40</v>
      </c>
      <c r="B3971" t="s">
        <v>2980</v>
      </c>
      <c r="C3971" t="s">
        <v>4404</v>
      </c>
      <c r="D3971">
        <v>629.95000000000005</v>
      </c>
    </row>
    <row r="3972" spans="1:4">
      <c r="A3972" t="s">
        <v>40</v>
      </c>
      <c r="B3972" t="s">
        <v>2980</v>
      </c>
      <c r="C3972" t="s">
        <v>4405</v>
      </c>
      <c r="D3972">
        <v>249.99</v>
      </c>
    </row>
    <row r="3973" spans="1:4">
      <c r="A3973" t="s">
        <v>40</v>
      </c>
      <c r="B3973" t="s">
        <v>3081</v>
      </c>
      <c r="C3973" t="s">
        <v>4406</v>
      </c>
      <c r="D3973">
        <v>289.99</v>
      </c>
    </row>
    <row r="3974" spans="1:4">
      <c r="A3974" t="s">
        <v>40</v>
      </c>
      <c r="B3974" t="s">
        <v>2980</v>
      </c>
      <c r="C3974" t="s">
        <v>4407</v>
      </c>
      <c r="D3974">
        <v>689.95</v>
      </c>
    </row>
    <row r="3975" spans="1:4">
      <c r="A3975" t="s">
        <v>40</v>
      </c>
      <c r="B3975" t="s">
        <v>3006</v>
      </c>
      <c r="C3975" t="s">
        <v>4408</v>
      </c>
      <c r="D3975">
        <v>119.99</v>
      </c>
    </row>
    <row r="3976" spans="1:4">
      <c r="A3976" t="s">
        <v>40</v>
      </c>
      <c r="B3976" t="s">
        <v>505</v>
      </c>
      <c r="C3976" t="s">
        <v>4409</v>
      </c>
      <c r="D3976">
        <v>699.99</v>
      </c>
    </row>
    <row r="3977" spans="1:4">
      <c r="A3977" t="s">
        <v>40</v>
      </c>
      <c r="B3977" t="s">
        <v>2983</v>
      </c>
      <c r="C3977" t="s">
        <v>4314</v>
      </c>
      <c r="D3977">
        <v>189.99</v>
      </c>
    </row>
    <row r="3978" spans="1:4">
      <c r="A3978" t="s">
        <v>40</v>
      </c>
      <c r="B3978" t="s">
        <v>3009</v>
      </c>
      <c r="C3978" t="s">
        <v>4410</v>
      </c>
      <c r="D3978">
        <v>134.97999999999999</v>
      </c>
    </row>
    <row r="3979" spans="1:4">
      <c r="A3979" t="s">
        <v>40</v>
      </c>
      <c r="B3979" t="s">
        <v>2980</v>
      </c>
      <c r="C3979" t="s">
        <v>4411</v>
      </c>
      <c r="D3979">
        <v>999</v>
      </c>
    </row>
    <row r="3980" spans="1:4">
      <c r="A3980" t="s">
        <v>40</v>
      </c>
      <c r="B3980" t="s">
        <v>3081</v>
      </c>
      <c r="C3980" t="s">
        <v>4412</v>
      </c>
      <c r="D3980">
        <v>249.99</v>
      </c>
    </row>
    <row r="3981" spans="1:4">
      <c r="A3981" t="s">
        <v>40</v>
      </c>
      <c r="B3981" t="s">
        <v>3006</v>
      </c>
      <c r="C3981" t="s">
        <v>4413</v>
      </c>
      <c r="D3981">
        <v>499.99</v>
      </c>
    </row>
    <row r="3982" spans="1:4">
      <c r="A3982" t="s">
        <v>40</v>
      </c>
      <c r="B3982" t="s">
        <v>2980</v>
      </c>
      <c r="C3982" t="s">
        <v>4414</v>
      </c>
      <c r="D3982">
        <v>629.95000000000005</v>
      </c>
    </row>
    <row r="3983" spans="1:4">
      <c r="A3983" t="s">
        <v>40</v>
      </c>
      <c r="B3983" t="s">
        <v>2983</v>
      </c>
      <c r="C3983" t="s">
        <v>4415</v>
      </c>
      <c r="D3983">
        <v>195</v>
      </c>
    </row>
    <row r="3984" spans="1:4">
      <c r="A3984" t="s">
        <v>40</v>
      </c>
      <c r="B3984" t="s">
        <v>3006</v>
      </c>
      <c r="C3984" t="s">
        <v>3866</v>
      </c>
      <c r="D3984">
        <v>529.99</v>
      </c>
    </row>
    <row r="3985" spans="1:4">
      <c r="A3985" t="s">
        <v>40</v>
      </c>
      <c r="B3985" t="s">
        <v>3006</v>
      </c>
      <c r="C3985" t="s">
        <v>4416</v>
      </c>
      <c r="D3985">
        <v>449.99</v>
      </c>
    </row>
    <row r="3986" spans="1:4">
      <c r="A3986" t="s">
        <v>40</v>
      </c>
      <c r="B3986" t="s">
        <v>3006</v>
      </c>
      <c r="C3986" t="s">
        <v>4417</v>
      </c>
      <c r="D3986">
        <v>299.99</v>
      </c>
    </row>
    <row r="3987" spans="1:4">
      <c r="A3987" t="s">
        <v>40</v>
      </c>
      <c r="B3987" t="s">
        <v>2983</v>
      </c>
      <c r="C3987" t="s">
        <v>3934</v>
      </c>
      <c r="D3987">
        <v>142.99</v>
      </c>
    </row>
    <row r="3988" spans="1:4">
      <c r="A3988" t="s">
        <v>40</v>
      </c>
      <c r="B3988" t="s">
        <v>2983</v>
      </c>
      <c r="C3988" t="s">
        <v>4418</v>
      </c>
      <c r="D3988">
        <v>399.99</v>
      </c>
    </row>
    <row r="3989" spans="1:4">
      <c r="A3989" t="s">
        <v>40</v>
      </c>
      <c r="B3989" t="s">
        <v>2980</v>
      </c>
      <c r="C3989" t="s">
        <v>4419</v>
      </c>
      <c r="D3989">
        <v>197.98</v>
      </c>
    </row>
    <row r="3990" spans="1:4">
      <c r="A3990" t="s">
        <v>40</v>
      </c>
      <c r="B3990" t="s">
        <v>2983</v>
      </c>
      <c r="C3990" t="s">
        <v>3934</v>
      </c>
      <c r="D3990">
        <v>142.99</v>
      </c>
    </row>
    <row r="3991" spans="1:4">
      <c r="A3991" t="s">
        <v>40</v>
      </c>
      <c r="B3991" t="s">
        <v>2980</v>
      </c>
      <c r="C3991" t="s">
        <v>4420</v>
      </c>
      <c r="D3991">
        <v>1149</v>
      </c>
    </row>
    <row r="3992" spans="1:4">
      <c r="A3992" t="s">
        <v>40</v>
      </c>
      <c r="B3992" t="s">
        <v>2983</v>
      </c>
      <c r="C3992" t="s">
        <v>4421</v>
      </c>
      <c r="D3992">
        <v>149.99</v>
      </c>
    </row>
    <row r="3993" spans="1:4">
      <c r="A3993" t="s">
        <v>40</v>
      </c>
      <c r="B3993" t="s">
        <v>3006</v>
      </c>
      <c r="C3993" t="s">
        <v>4422</v>
      </c>
      <c r="D3993">
        <v>149.94</v>
      </c>
    </row>
    <row r="3994" spans="1:4">
      <c r="A3994" t="s">
        <v>40</v>
      </c>
      <c r="B3994" t="s">
        <v>2983</v>
      </c>
      <c r="C3994" t="s">
        <v>4423</v>
      </c>
      <c r="D3994">
        <v>249.95</v>
      </c>
    </row>
    <row r="3995" spans="1:4">
      <c r="A3995" t="s">
        <v>40</v>
      </c>
      <c r="B3995" t="s">
        <v>2983</v>
      </c>
      <c r="C3995" t="s">
        <v>4424</v>
      </c>
      <c r="D3995">
        <v>235.19</v>
      </c>
    </row>
    <row r="3996" spans="1:4">
      <c r="A3996" t="s">
        <v>40</v>
      </c>
      <c r="B3996" t="s">
        <v>3006</v>
      </c>
      <c r="C3996" t="s">
        <v>4425</v>
      </c>
      <c r="D3996">
        <v>159.99</v>
      </c>
    </row>
    <row r="3997" spans="1:4">
      <c r="A3997" t="s">
        <v>40</v>
      </c>
      <c r="B3997" t="s">
        <v>2983</v>
      </c>
      <c r="C3997" t="s">
        <v>4426</v>
      </c>
      <c r="D3997">
        <v>129.99</v>
      </c>
    </row>
    <row r="3998" spans="1:4">
      <c r="A3998" t="s">
        <v>40</v>
      </c>
      <c r="B3998" t="s">
        <v>3006</v>
      </c>
      <c r="C3998" t="s">
        <v>4427</v>
      </c>
      <c r="D3998">
        <v>125</v>
      </c>
    </row>
    <row r="3999" spans="1:4">
      <c r="A3999" t="s">
        <v>40</v>
      </c>
      <c r="B3999" t="s">
        <v>3006</v>
      </c>
      <c r="C3999" t="s">
        <v>4428</v>
      </c>
      <c r="D3999">
        <v>229.99</v>
      </c>
    </row>
    <row r="4000" spans="1:4">
      <c r="A4000" t="s">
        <v>40</v>
      </c>
      <c r="B4000" t="s">
        <v>3009</v>
      </c>
      <c r="C4000" t="s">
        <v>4429</v>
      </c>
      <c r="D4000">
        <v>159.99</v>
      </c>
    </row>
    <row r="4001" spans="1:4">
      <c r="A4001" t="s">
        <v>40</v>
      </c>
      <c r="B4001" t="s">
        <v>2983</v>
      </c>
      <c r="C4001" t="s">
        <v>4430</v>
      </c>
      <c r="D4001">
        <v>145</v>
      </c>
    </row>
    <row r="4002" spans="1:4">
      <c r="A4002" t="s">
        <v>40</v>
      </c>
      <c r="B4002" t="s">
        <v>3039</v>
      </c>
      <c r="C4002" t="s">
        <v>4431</v>
      </c>
      <c r="D4002">
        <v>524.29999999999995</v>
      </c>
    </row>
    <row r="4003" spans="1:4">
      <c r="A4003" t="s">
        <v>40</v>
      </c>
      <c r="B4003" t="s">
        <v>2980</v>
      </c>
      <c r="C4003" t="s">
        <v>4432</v>
      </c>
      <c r="D4003">
        <v>399.99</v>
      </c>
    </row>
    <row r="4004" spans="1:4">
      <c r="A4004" t="s">
        <v>40</v>
      </c>
      <c r="B4004" t="s">
        <v>3285</v>
      </c>
      <c r="C4004" t="s">
        <v>4433</v>
      </c>
      <c r="D4004">
        <v>94.04</v>
      </c>
    </row>
    <row r="4005" spans="1:4">
      <c r="A4005" t="s">
        <v>40</v>
      </c>
      <c r="B4005" t="s">
        <v>2980</v>
      </c>
      <c r="C4005" t="s">
        <v>4434</v>
      </c>
      <c r="D4005">
        <v>234.99</v>
      </c>
    </row>
    <row r="4006" spans="1:4">
      <c r="A4006" t="s">
        <v>40</v>
      </c>
      <c r="B4006" t="s">
        <v>2983</v>
      </c>
      <c r="C4006" t="s">
        <v>4435</v>
      </c>
      <c r="D4006">
        <v>275</v>
      </c>
    </row>
    <row r="4007" spans="1:4">
      <c r="A4007" t="s">
        <v>40</v>
      </c>
      <c r="B4007" t="s">
        <v>3006</v>
      </c>
      <c r="C4007" t="s">
        <v>4436</v>
      </c>
      <c r="D4007">
        <v>341.99</v>
      </c>
    </row>
    <row r="4008" spans="1:4">
      <c r="A4008" t="s">
        <v>40</v>
      </c>
      <c r="B4008" t="s">
        <v>505</v>
      </c>
      <c r="C4008" t="s">
        <v>4437</v>
      </c>
      <c r="D4008">
        <v>999.99</v>
      </c>
    </row>
    <row r="4009" spans="1:4">
      <c r="A4009" t="s">
        <v>40</v>
      </c>
      <c r="B4009" t="s">
        <v>3081</v>
      </c>
      <c r="C4009" t="s">
        <v>4438</v>
      </c>
      <c r="D4009">
        <v>799.59</v>
      </c>
    </row>
    <row r="4010" spans="1:4">
      <c r="A4010" t="s">
        <v>40</v>
      </c>
      <c r="B4010" t="s">
        <v>2994</v>
      </c>
      <c r="C4010" t="s">
        <v>4439</v>
      </c>
      <c r="D4010">
        <v>179.99</v>
      </c>
    </row>
    <row r="4011" spans="1:4">
      <c r="A4011" t="s">
        <v>40</v>
      </c>
      <c r="B4011" t="s">
        <v>3006</v>
      </c>
      <c r="C4011" t="s">
        <v>4440</v>
      </c>
      <c r="D4011">
        <v>499</v>
      </c>
    </row>
    <row r="4012" spans="1:4">
      <c r="A4012" t="s">
        <v>40</v>
      </c>
      <c r="B4012" t="s">
        <v>3006</v>
      </c>
      <c r="C4012" t="s">
        <v>4441</v>
      </c>
      <c r="D4012">
        <v>399.99</v>
      </c>
    </row>
    <row r="4013" spans="1:4">
      <c r="A4013" t="s">
        <v>40</v>
      </c>
      <c r="B4013" t="s">
        <v>3006</v>
      </c>
      <c r="C4013" t="s">
        <v>4442</v>
      </c>
      <c r="D4013">
        <v>424.99</v>
      </c>
    </row>
    <row r="4014" spans="1:4">
      <c r="A4014" t="s">
        <v>40</v>
      </c>
      <c r="B4014" t="s">
        <v>3107</v>
      </c>
      <c r="C4014" t="s">
        <v>4443</v>
      </c>
      <c r="D4014">
        <v>124.99</v>
      </c>
    </row>
    <row r="4015" spans="1:4">
      <c r="A4015" t="s">
        <v>40</v>
      </c>
      <c r="B4015" t="s">
        <v>2983</v>
      </c>
      <c r="C4015" t="s">
        <v>3439</v>
      </c>
      <c r="D4015">
        <v>199.99</v>
      </c>
    </row>
    <row r="4016" spans="1:4">
      <c r="A4016" t="s">
        <v>40</v>
      </c>
      <c r="B4016" t="s">
        <v>3081</v>
      </c>
      <c r="C4016" t="s">
        <v>4444</v>
      </c>
      <c r="D4016">
        <v>229.99</v>
      </c>
    </row>
    <row r="4017" spans="1:4">
      <c r="A4017" t="s">
        <v>40</v>
      </c>
      <c r="B4017" t="s">
        <v>1337</v>
      </c>
      <c r="C4017" t="s">
        <v>4445</v>
      </c>
      <c r="D4017">
        <v>397.98</v>
      </c>
    </row>
    <row r="4018" spans="1:4">
      <c r="A4018" t="s">
        <v>40</v>
      </c>
      <c r="B4018" t="s">
        <v>2980</v>
      </c>
      <c r="C4018" t="s">
        <v>4446</v>
      </c>
      <c r="D4018">
        <v>199.99</v>
      </c>
    </row>
    <row r="4019" spans="1:4">
      <c r="A4019" t="s">
        <v>40</v>
      </c>
      <c r="B4019" t="s">
        <v>2983</v>
      </c>
      <c r="C4019" t="s">
        <v>4447</v>
      </c>
      <c r="D4019">
        <v>159.99</v>
      </c>
    </row>
    <row r="4020" spans="1:4">
      <c r="A4020" t="s">
        <v>40</v>
      </c>
      <c r="B4020" t="s">
        <v>3006</v>
      </c>
      <c r="C4020" t="s">
        <v>4448</v>
      </c>
      <c r="D4020">
        <v>429.99</v>
      </c>
    </row>
    <row r="4021" spans="1:4">
      <c r="A4021" t="s">
        <v>40</v>
      </c>
      <c r="B4021" t="s">
        <v>2983</v>
      </c>
      <c r="C4021" t="s">
        <v>4449</v>
      </c>
      <c r="D4021">
        <v>109.95</v>
      </c>
    </row>
    <row r="4022" spans="1:4">
      <c r="A4022" t="s">
        <v>40</v>
      </c>
      <c r="B4022" t="s">
        <v>2983</v>
      </c>
      <c r="C4022" t="s">
        <v>3934</v>
      </c>
      <c r="D4022">
        <v>153.99</v>
      </c>
    </row>
    <row r="4023" spans="1:4">
      <c r="A4023" t="s">
        <v>40</v>
      </c>
      <c r="B4023" t="s">
        <v>3006</v>
      </c>
      <c r="C4023" t="s">
        <v>4450</v>
      </c>
      <c r="D4023">
        <v>279.99</v>
      </c>
    </row>
    <row r="4024" spans="1:4">
      <c r="A4024" t="s">
        <v>40</v>
      </c>
      <c r="B4024" t="s">
        <v>2983</v>
      </c>
      <c r="C4024" t="s">
        <v>4451</v>
      </c>
      <c r="D4024">
        <v>249.99</v>
      </c>
    </row>
    <row r="4025" spans="1:4">
      <c r="A4025" t="s">
        <v>40</v>
      </c>
      <c r="B4025" t="s">
        <v>3006</v>
      </c>
      <c r="C4025" t="s">
        <v>4452</v>
      </c>
      <c r="D4025">
        <v>349.99</v>
      </c>
    </row>
    <row r="4026" spans="1:4">
      <c r="A4026" t="s">
        <v>40</v>
      </c>
      <c r="B4026" t="s">
        <v>3009</v>
      </c>
      <c r="C4026" t="s">
        <v>4453</v>
      </c>
      <c r="D4026">
        <v>219.99</v>
      </c>
    </row>
    <row r="4027" spans="1:4">
      <c r="A4027" t="s">
        <v>40</v>
      </c>
      <c r="B4027" t="s">
        <v>505</v>
      </c>
      <c r="C4027" t="s">
        <v>4454</v>
      </c>
      <c r="D4027">
        <v>799.99</v>
      </c>
    </row>
    <row r="4028" spans="1:4">
      <c r="A4028" t="s">
        <v>40</v>
      </c>
      <c r="B4028" t="s">
        <v>2980</v>
      </c>
      <c r="C4028" t="s">
        <v>4455</v>
      </c>
      <c r="D4028">
        <v>124.99</v>
      </c>
    </row>
    <row r="4029" spans="1:4">
      <c r="A4029" t="s">
        <v>40</v>
      </c>
      <c r="B4029" t="s">
        <v>3009</v>
      </c>
      <c r="C4029" t="s">
        <v>4456</v>
      </c>
      <c r="D4029">
        <v>164.99</v>
      </c>
    </row>
    <row r="4030" spans="1:4">
      <c r="A4030" t="s">
        <v>40</v>
      </c>
      <c r="B4030" t="s">
        <v>3030</v>
      </c>
      <c r="C4030" t="s">
        <v>4457</v>
      </c>
      <c r="D4030">
        <v>249.99</v>
      </c>
    </row>
    <row r="4031" spans="1:4">
      <c r="A4031" t="s">
        <v>40</v>
      </c>
      <c r="B4031" t="s">
        <v>2983</v>
      </c>
      <c r="C4031" t="s">
        <v>4458</v>
      </c>
      <c r="D4031">
        <v>148.49</v>
      </c>
    </row>
    <row r="4032" spans="1:4">
      <c r="A4032" t="s">
        <v>40</v>
      </c>
      <c r="B4032" t="s">
        <v>2983</v>
      </c>
      <c r="C4032" t="s">
        <v>4459</v>
      </c>
      <c r="D4032">
        <v>829.99</v>
      </c>
    </row>
    <row r="4033" spans="1:4">
      <c r="A4033" t="s">
        <v>40</v>
      </c>
      <c r="B4033" t="s">
        <v>2980</v>
      </c>
      <c r="C4033" t="s">
        <v>4460</v>
      </c>
      <c r="D4033">
        <v>249.99</v>
      </c>
    </row>
    <row r="4034" spans="1:4">
      <c r="A4034" t="s">
        <v>40</v>
      </c>
      <c r="B4034" t="s">
        <v>1337</v>
      </c>
      <c r="C4034" t="s">
        <v>4461</v>
      </c>
      <c r="D4034">
        <v>605</v>
      </c>
    </row>
    <row r="4035" spans="1:4">
      <c r="A4035" t="s">
        <v>40</v>
      </c>
      <c r="B4035" t="s">
        <v>2983</v>
      </c>
      <c r="C4035" t="s">
        <v>3934</v>
      </c>
      <c r="D4035">
        <v>137.99</v>
      </c>
    </row>
    <row r="4036" spans="1:4">
      <c r="A4036" t="s">
        <v>40</v>
      </c>
      <c r="B4036" t="s">
        <v>2983</v>
      </c>
      <c r="C4036" t="s">
        <v>4462</v>
      </c>
      <c r="D4036">
        <v>139.99</v>
      </c>
    </row>
    <row r="4037" spans="1:4">
      <c r="A4037" t="s">
        <v>40</v>
      </c>
      <c r="B4037" t="s">
        <v>2980</v>
      </c>
      <c r="C4037" t="s">
        <v>4463</v>
      </c>
      <c r="D4037">
        <v>225</v>
      </c>
    </row>
    <row r="4038" spans="1:4">
      <c r="A4038" t="s">
        <v>40</v>
      </c>
      <c r="B4038" t="s">
        <v>2994</v>
      </c>
      <c r="C4038" t="s">
        <v>4464</v>
      </c>
      <c r="D4038">
        <v>599.99</v>
      </c>
    </row>
    <row r="4039" spans="1:4">
      <c r="A4039" t="s">
        <v>40</v>
      </c>
      <c r="B4039" t="s">
        <v>3006</v>
      </c>
      <c r="C4039" t="s">
        <v>4465</v>
      </c>
      <c r="D4039">
        <v>147.99</v>
      </c>
    </row>
    <row r="4040" spans="1:4">
      <c r="A4040" t="s">
        <v>40</v>
      </c>
      <c r="B4040" t="s">
        <v>2983</v>
      </c>
      <c r="C4040" t="s">
        <v>3154</v>
      </c>
      <c r="D4040">
        <v>189.99</v>
      </c>
    </row>
    <row r="4041" spans="1:4">
      <c r="A4041" t="s">
        <v>40</v>
      </c>
      <c r="B4041" t="s">
        <v>2980</v>
      </c>
      <c r="C4041" t="s">
        <v>4466</v>
      </c>
      <c r="D4041">
        <v>199.99</v>
      </c>
    </row>
    <row r="4042" spans="1:4">
      <c r="A4042" t="s">
        <v>40</v>
      </c>
      <c r="B4042" t="s">
        <v>3030</v>
      </c>
      <c r="C4042" t="s">
        <v>4467</v>
      </c>
      <c r="D4042">
        <v>419</v>
      </c>
    </row>
    <row r="4043" spans="1:4">
      <c r="A4043" t="s">
        <v>40</v>
      </c>
      <c r="B4043" t="s">
        <v>3006</v>
      </c>
      <c r="C4043" t="s">
        <v>3190</v>
      </c>
      <c r="D4043">
        <v>359.99</v>
      </c>
    </row>
    <row r="4044" spans="1:4">
      <c r="A4044" t="s">
        <v>40</v>
      </c>
      <c r="B4044" t="s">
        <v>2983</v>
      </c>
      <c r="C4044" t="s">
        <v>4468</v>
      </c>
      <c r="D4044">
        <v>459.99</v>
      </c>
    </row>
    <row r="4045" spans="1:4">
      <c r="A4045" t="s">
        <v>40</v>
      </c>
      <c r="B4045" t="s">
        <v>2980</v>
      </c>
      <c r="C4045" t="s">
        <v>4469</v>
      </c>
      <c r="D4045">
        <v>123.11</v>
      </c>
    </row>
    <row r="4046" spans="1:4">
      <c r="A4046" t="s">
        <v>40</v>
      </c>
      <c r="B4046" t="s">
        <v>3006</v>
      </c>
      <c r="C4046" t="s">
        <v>4470</v>
      </c>
      <c r="D4046">
        <v>449.99</v>
      </c>
    </row>
    <row r="4047" spans="1:4">
      <c r="A4047" t="s">
        <v>40</v>
      </c>
      <c r="B4047" t="s">
        <v>2983</v>
      </c>
      <c r="C4047" t="s">
        <v>4471</v>
      </c>
      <c r="D4047">
        <v>149.99</v>
      </c>
    </row>
    <row r="4048" spans="1:4">
      <c r="A4048" t="s">
        <v>40</v>
      </c>
      <c r="B4048" t="s">
        <v>3006</v>
      </c>
      <c r="C4048" t="s">
        <v>4048</v>
      </c>
      <c r="D4048">
        <v>579.99</v>
      </c>
    </row>
    <row r="4049" spans="1:4">
      <c r="A4049" t="s">
        <v>40</v>
      </c>
      <c r="B4049" t="s">
        <v>3081</v>
      </c>
      <c r="C4049" t="s">
        <v>4472</v>
      </c>
      <c r="D4049">
        <v>185</v>
      </c>
    </row>
    <row r="4050" spans="1:4">
      <c r="A4050" t="s">
        <v>40</v>
      </c>
      <c r="B4050" t="s">
        <v>2983</v>
      </c>
      <c r="C4050" t="s">
        <v>4473</v>
      </c>
      <c r="D4050">
        <v>249.99</v>
      </c>
    </row>
    <row r="4051" spans="1:4">
      <c r="A4051" t="s">
        <v>40</v>
      </c>
      <c r="B4051" t="s">
        <v>3006</v>
      </c>
      <c r="C4051" t="s">
        <v>4230</v>
      </c>
      <c r="D4051">
        <v>279.99</v>
      </c>
    </row>
    <row r="4052" spans="1:4">
      <c r="A4052" t="s">
        <v>40</v>
      </c>
      <c r="B4052" t="s">
        <v>2980</v>
      </c>
      <c r="C4052" t="s">
        <v>4474</v>
      </c>
      <c r="D4052">
        <v>199.9</v>
      </c>
    </row>
    <row r="4053" spans="1:4">
      <c r="A4053" t="s">
        <v>40</v>
      </c>
      <c r="B4053" t="s">
        <v>3812</v>
      </c>
      <c r="C4053" t="s">
        <v>4475</v>
      </c>
      <c r="D4053">
        <v>109.99</v>
      </c>
    </row>
    <row r="4054" spans="1:4">
      <c r="A4054" t="s">
        <v>40</v>
      </c>
      <c r="B4054" t="s">
        <v>2980</v>
      </c>
      <c r="C4054" t="s">
        <v>4476</v>
      </c>
      <c r="D4054">
        <v>799.95</v>
      </c>
    </row>
    <row r="4055" spans="1:4">
      <c r="A4055" t="s">
        <v>40</v>
      </c>
      <c r="B4055" t="s">
        <v>4153</v>
      </c>
      <c r="C4055" t="s">
        <v>4477</v>
      </c>
      <c r="D4055">
        <v>119.99</v>
      </c>
    </row>
    <row r="4056" spans="1:4">
      <c r="A4056" t="s">
        <v>40</v>
      </c>
      <c r="B4056" t="s">
        <v>2983</v>
      </c>
      <c r="C4056" t="s">
        <v>4478</v>
      </c>
      <c r="D4056">
        <v>171.35</v>
      </c>
    </row>
    <row r="4057" spans="1:4">
      <c r="A4057" t="s">
        <v>40</v>
      </c>
      <c r="B4057" t="s">
        <v>2980</v>
      </c>
      <c r="C4057" t="s">
        <v>4479</v>
      </c>
      <c r="D4057">
        <v>1199.99</v>
      </c>
    </row>
    <row r="4058" spans="1:4">
      <c r="A4058" t="s">
        <v>40</v>
      </c>
      <c r="B4058" t="s">
        <v>2983</v>
      </c>
      <c r="C4058" t="s">
        <v>4480</v>
      </c>
      <c r="D4058">
        <v>205.19</v>
      </c>
    </row>
    <row r="4059" spans="1:4">
      <c r="A4059" t="s">
        <v>40</v>
      </c>
      <c r="B4059" t="s">
        <v>3006</v>
      </c>
      <c r="C4059" t="s">
        <v>4481</v>
      </c>
      <c r="D4059">
        <v>463.67</v>
      </c>
    </row>
    <row r="4060" spans="1:4">
      <c r="A4060" t="s">
        <v>40</v>
      </c>
      <c r="B4060" t="s">
        <v>2980</v>
      </c>
      <c r="C4060" t="s">
        <v>4482</v>
      </c>
      <c r="D4060">
        <v>219.99</v>
      </c>
    </row>
    <row r="4061" spans="1:4">
      <c r="A4061" t="s">
        <v>40</v>
      </c>
      <c r="B4061" t="s">
        <v>2983</v>
      </c>
      <c r="C4061" t="s">
        <v>4483</v>
      </c>
      <c r="D4061">
        <v>199.99</v>
      </c>
    </row>
    <row r="4062" spans="1:4">
      <c r="A4062" t="s">
        <v>40</v>
      </c>
      <c r="B4062" t="s">
        <v>2983</v>
      </c>
      <c r="C4062" t="s">
        <v>3257</v>
      </c>
      <c r="D4062">
        <v>389.99</v>
      </c>
    </row>
    <row r="4063" spans="1:4">
      <c r="A4063" t="s">
        <v>40</v>
      </c>
      <c r="B4063" t="s">
        <v>3006</v>
      </c>
      <c r="C4063" t="s">
        <v>4259</v>
      </c>
      <c r="D4063">
        <v>679.99</v>
      </c>
    </row>
    <row r="4064" spans="1:4">
      <c r="A4064" t="s">
        <v>40</v>
      </c>
      <c r="B4064" t="s">
        <v>2980</v>
      </c>
      <c r="C4064" t="s">
        <v>4484</v>
      </c>
      <c r="D4064">
        <v>639</v>
      </c>
    </row>
    <row r="4065" spans="1:4">
      <c r="A4065" t="s">
        <v>40</v>
      </c>
      <c r="B4065" t="s">
        <v>2980</v>
      </c>
      <c r="C4065" t="s">
        <v>4485</v>
      </c>
      <c r="D4065">
        <v>599.99</v>
      </c>
    </row>
    <row r="4066" spans="1:4">
      <c r="A4066" t="s">
        <v>40</v>
      </c>
      <c r="B4066" t="s">
        <v>2994</v>
      </c>
      <c r="C4066" t="s">
        <v>4486</v>
      </c>
      <c r="D4066">
        <v>134.49</v>
      </c>
    </row>
    <row r="4067" spans="1:4">
      <c r="A4067" t="s">
        <v>40</v>
      </c>
      <c r="B4067" t="s">
        <v>2980</v>
      </c>
      <c r="C4067" t="s">
        <v>4487</v>
      </c>
      <c r="D4067">
        <v>299.89999999999998</v>
      </c>
    </row>
    <row r="4068" spans="1:4">
      <c r="A4068" t="s">
        <v>40</v>
      </c>
      <c r="B4068" t="s">
        <v>2983</v>
      </c>
      <c r="C4068" t="s">
        <v>4488</v>
      </c>
      <c r="D4068">
        <v>229.99</v>
      </c>
    </row>
    <row r="4069" spans="1:4">
      <c r="A4069" t="s">
        <v>40</v>
      </c>
      <c r="B4069" t="s">
        <v>3175</v>
      </c>
      <c r="C4069" t="s">
        <v>4489</v>
      </c>
      <c r="D4069">
        <v>139.99</v>
      </c>
    </row>
    <row r="4070" spans="1:4">
      <c r="A4070" t="s">
        <v>40</v>
      </c>
      <c r="B4070" t="s">
        <v>2983</v>
      </c>
      <c r="C4070" t="s">
        <v>4490</v>
      </c>
      <c r="D4070">
        <v>99.99</v>
      </c>
    </row>
    <row r="4071" spans="1:4">
      <c r="A4071" t="s">
        <v>40</v>
      </c>
      <c r="B4071" t="s">
        <v>2983</v>
      </c>
      <c r="C4071" t="s">
        <v>4491</v>
      </c>
      <c r="D4071">
        <v>649.99</v>
      </c>
    </row>
    <row r="4072" spans="1:4">
      <c r="A4072" t="s">
        <v>40</v>
      </c>
      <c r="B4072" t="s">
        <v>3006</v>
      </c>
      <c r="C4072" t="s">
        <v>4492</v>
      </c>
      <c r="D4072">
        <v>199.9</v>
      </c>
    </row>
    <row r="4073" spans="1:4">
      <c r="A4073" t="s">
        <v>40</v>
      </c>
      <c r="B4073" t="s">
        <v>2980</v>
      </c>
      <c r="C4073" t="s">
        <v>4493</v>
      </c>
      <c r="D4073">
        <v>699</v>
      </c>
    </row>
    <row r="4074" spans="1:4">
      <c r="A4074" t="s">
        <v>40</v>
      </c>
      <c r="B4074" t="s">
        <v>2980</v>
      </c>
      <c r="C4074" t="s">
        <v>4494</v>
      </c>
      <c r="D4074">
        <v>199.99</v>
      </c>
    </row>
    <row r="4075" spans="1:4">
      <c r="A4075" t="s">
        <v>40</v>
      </c>
      <c r="B4075" t="s">
        <v>2983</v>
      </c>
      <c r="C4075" t="s">
        <v>4495</v>
      </c>
      <c r="D4075">
        <v>199.9</v>
      </c>
    </row>
    <row r="4076" spans="1:4">
      <c r="A4076" t="s">
        <v>40</v>
      </c>
      <c r="B4076" t="s">
        <v>3006</v>
      </c>
      <c r="C4076" t="s">
        <v>4496</v>
      </c>
      <c r="D4076">
        <v>679.99</v>
      </c>
    </row>
    <row r="4077" spans="1:4">
      <c r="A4077" t="s">
        <v>40</v>
      </c>
      <c r="B4077" t="s">
        <v>3006</v>
      </c>
      <c r="C4077" t="s">
        <v>4497</v>
      </c>
      <c r="D4077">
        <v>119.99</v>
      </c>
    </row>
    <row r="4078" spans="1:4">
      <c r="A4078" t="s">
        <v>40</v>
      </c>
      <c r="B4078" t="s">
        <v>2983</v>
      </c>
      <c r="C4078" t="s">
        <v>4498</v>
      </c>
      <c r="D4078">
        <v>199.9</v>
      </c>
    </row>
    <row r="4079" spans="1:4">
      <c r="A4079" t="s">
        <v>40</v>
      </c>
      <c r="B4079" t="s">
        <v>2980</v>
      </c>
      <c r="C4079" t="s">
        <v>4499</v>
      </c>
      <c r="D4079">
        <v>339</v>
      </c>
    </row>
    <row r="4080" spans="1:4">
      <c r="A4080" t="s">
        <v>40</v>
      </c>
      <c r="B4080" t="s">
        <v>2983</v>
      </c>
      <c r="C4080" t="s">
        <v>4500</v>
      </c>
      <c r="D4080">
        <v>269.99</v>
      </c>
    </row>
    <row r="4081" spans="1:4">
      <c r="A4081" t="s">
        <v>40</v>
      </c>
      <c r="B4081" t="s">
        <v>2983</v>
      </c>
      <c r="C4081" t="s">
        <v>4501</v>
      </c>
      <c r="D4081">
        <v>249.99</v>
      </c>
    </row>
    <row r="4082" spans="1:4">
      <c r="A4082" t="s">
        <v>40</v>
      </c>
      <c r="B4082" t="s">
        <v>2980</v>
      </c>
      <c r="C4082" t="s">
        <v>4502</v>
      </c>
      <c r="D4082">
        <v>549.99</v>
      </c>
    </row>
    <row r="4083" spans="1:4">
      <c r="A4083" t="s">
        <v>40</v>
      </c>
      <c r="B4083" t="s">
        <v>2983</v>
      </c>
      <c r="C4083" t="s">
        <v>4503</v>
      </c>
      <c r="D4083">
        <v>449.99</v>
      </c>
    </row>
    <row r="4084" spans="1:4">
      <c r="A4084" t="s">
        <v>40</v>
      </c>
      <c r="B4084" t="s">
        <v>3081</v>
      </c>
      <c r="C4084" t="s">
        <v>4504</v>
      </c>
      <c r="D4084">
        <v>999.99</v>
      </c>
    </row>
    <row r="4085" spans="1:4">
      <c r="A4085" t="s">
        <v>40</v>
      </c>
      <c r="B4085" t="s">
        <v>3081</v>
      </c>
      <c r="C4085" t="s">
        <v>4505</v>
      </c>
      <c r="D4085">
        <v>399</v>
      </c>
    </row>
    <row r="4086" spans="1:4">
      <c r="A4086" t="s">
        <v>40</v>
      </c>
      <c r="B4086" t="s">
        <v>510</v>
      </c>
      <c r="C4086" t="s">
        <v>4506</v>
      </c>
      <c r="D4086">
        <v>599</v>
      </c>
    </row>
    <row r="4087" spans="1:4">
      <c r="A4087" t="s">
        <v>40</v>
      </c>
      <c r="B4087" t="s">
        <v>2983</v>
      </c>
      <c r="C4087" t="s">
        <v>4507</v>
      </c>
      <c r="D4087">
        <v>699.99</v>
      </c>
    </row>
    <row r="4088" spans="1:4">
      <c r="A4088" t="s">
        <v>40</v>
      </c>
      <c r="B4088" t="s">
        <v>2994</v>
      </c>
      <c r="C4088" t="s">
        <v>4508</v>
      </c>
      <c r="D4088">
        <v>285</v>
      </c>
    </row>
    <row r="4089" spans="1:4">
      <c r="A4089" t="s">
        <v>40</v>
      </c>
      <c r="B4089" t="s">
        <v>3006</v>
      </c>
      <c r="C4089" t="s">
        <v>4509</v>
      </c>
      <c r="D4089">
        <v>356</v>
      </c>
    </row>
    <row r="4090" spans="1:4">
      <c r="A4090" t="s">
        <v>40</v>
      </c>
      <c r="B4090" t="s">
        <v>3006</v>
      </c>
      <c r="C4090" t="s">
        <v>3197</v>
      </c>
      <c r="D4090">
        <v>89.99</v>
      </c>
    </row>
    <row r="4091" spans="1:4">
      <c r="A4091" t="s">
        <v>40</v>
      </c>
      <c r="B4091" t="s">
        <v>2983</v>
      </c>
      <c r="C4091" t="s">
        <v>4510</v>
      </c>
      <c r="D4091">
        <v>239.9</v>
      </c>
    </row>
    <row r="4092" spans="1:4">
      <c r="A4092" t="s">
        <v>40</v>
      </c>
      <c r="B4092" t="s">
        <v>2983</v>
      </c>
      <c r="C4092" t="s">
        <v>4296</v>
      </c>
      <c r="D4092">
        <v>144.99</v>
      </c>
    </row>
    <row r="4093" spans="1:4">
      <c r="A4093" t="s">
        <v>40</v>
      </c>
      <c r="B4093" t="s">
        <v>2980</v>
      </c>
      <c r="C4093" t="s">
        <v>4511</v>
      </c>
      <c r="D4093">
        <v>279.99</v>
      </c>
    </row>
    <row r="4094" spans="1:4">
      <c r="A4094" t="s">
        <v>40</v>
      </c>
      <c r="B4094" t="s">
        <v>3006</v>
      </c>
      <c r="C4094" t="s">
        <v>4512</v>
      </c>
      <c r="D4094">
        <v>237.3</v>
      </c>
    </row>
    <row r="4095" spans="1:4">
      <c r="A4095" t="s">
        <v>40</v>
      </c>
      <c r="B4095" t="s">
        <v>2980</v>
      </c>
      <c r="C4095" t="s">
        <v>4513</v>
      </c>
      <c r="D4095">
        <v>629</v>
      </c>
    </row>
    <row r="4096" spans="1:4">
      <c r="A4096" t="s">
        <v>40</v>
      </c>
      <c r="B4096" t="s">
        <v>2980</v>
      </c>
      <c r="C4096" t="s">
        <v>4514</v>
      </c>
      <c r="D4096">
        <v>739.99</v>
      </c>
    </row>
    <row r="4097" spans="1:4">
      <c r="A4097" t="s">
        <v>40</v>
      </c>
      <c r="B4097" t="s">
        <v>2983</v>
      </c>
      <c r="C4097" t="s">
        <v>4515</v>
      </c>
      <c r="D4097">
        <v>139.99</v>
      </c>
    </row>
    <row r="4098" spans="1:4">
      <c r="A4098" t="s">
        <v>40</v>
      </c>
      <c r="B4098" t="s">
        <v>2980</v>
      </c>
      <c r="C4098" t="s">
        <v>4516</v>
      </c>
      <c r="D4098">
        <v>231.99</v>
      </c>
    </row>
    <row r="4099" spans="1:4">
      <c r="A4099" t="s">
        <v>40</v>
      </c>
      <c r="B4099" t="s">
        <v>3006</v>
      </c>
      <c r="C4099" t="s">
        <v>4517</v>
      </c>
      <c r="D4099">
        <v>899.99</v>
      </c>
    </row>
    <row r="4100" spans="1:4">
      <c r="A4100" t="s">
        <v>40</v>
      </c>
      <c r="B4100" t="s">
        <v>3006</v>
      </c>
      <c r="C4100" t="s">
        <v>4366</v>
      </c>
      <c r="D4100">
        <v>325</v>
      </c>
    </row>
    <row r="4101" spans="1:4">
      <c r="A4101" t="s">
        <v>40</v>
      </c>
      <c r="B4101" t="s">
        <v>2983</v>
      </c>
      <c r="C4101" t="s">
        <v>3934</v>
      </c>
      <c r="D4101">
        <v>142.99</v>
      </c>
    </row>
    <row r="4102" spans="1:4">
      <c r="A4102" t="s">
        <v>40</v>
      </c>
      <c r="B4102" t="s">
        <v>1337</v>
      </c>
      <c r="C4102" t="s">
        <v>4518</v>
      </c>
      <c r="D4102">
        <v>679.99</v>
      </c>
    </row>
    <row r="4103" spans="1:4">
      <c r="A4103" t="s">
        <v>40</v>
      </c>
      <c r="B4103" t="s">
        <v>3006</v>
      </c>
      <c r="C4103" t="s">
        <v>3935</v>
      </c>
      <c r="D4103">
        <v>159.99</v>
      </c>
    </row>
    <row r="4104" spans="1:4">
      <c r="A4104" t="s">
        <v>40</v>
      </c>
      <c r="B4104" t="s">
        <v>2980</v>
      </c>
      <c r="C4104" t="s">
        <v>4519</v>
      </c>
      <c r="D4104">
        <v>119.99</v>
      </c>
    </row>
    <row r="4105" spans="1:4">
      <c r="A4105" t="s">
        <v>40</v>
      </c>
      <c r="B4105" t="s">
        <v>2980</v>
      </c>
      <c r="C4105" t="s">
        <v>4520</v>
      </c>
      <c r="D4105">
        <v>649</v>
      </c>
    </row>
    <row r="4106" spans="1:4">
      <c r="A4106" t="s">
        <v>40</v>
      </c>
      <c r="B4106" t="s">
        <v>2980</v>
      </c>
      <c r="C4106" t="s">
        <v>4521</v>
      </c>
      <c r="D4106">
        <v>150.49</v>
      </c>
    </row>
    <row r="4107" spans="1:4">
      <c r="A4107" t="s">
        <v>40</v>
      </c>
      <c r="B4107" t="s">
        <v>2983</v>
      </c>
      <c r="C4107" t="s">
        <v>4522</v>
      </c>
      <c r="D4107">
        <v>465.99</v>
      </c>
    </row>
    <row r="4108" spans="1:4">
      <c r="A4108" t="s">
        <v>40</v>
      </c>
      <c r="B4108" t="s">
        <v>2983</v>
      </c>
      <c r="C4108" t="s">
        <v>4523</v>
      </c>
      <c r="D4108">
        <v>349.9</v>
      </c>
    </row>
    <row r="4109" spans="1:4">
      <c r="A4109" t="s">
        <v>40</v>
      </c>
      <c r="B4109" t="s">
        <v>2983</v>
      </c>
      <c r="C4109" t="s">
        <v>4524</v>
      </c>
      <c r="D4109">
        <v>148.99</v>
      </c>
    </row>
    <row r="4110" spans="1:4">
      <c r="A4110" t="s">
        <v>40</v>
      </c>
      <c r="B4110" t="s">
        <v>3039</v>
      </c>
      <c r="C4110" t="s">
        <v>4525</v>
      </c>
      <c r="D4110">
        <v>219.98</v>
      </c>
    </row>
    <row r="4111" spans="1:4">
      <c r="A4111" t="s">
        <v>40</v>
      </c>
      <c r="B4111" t="s">
        <v>3006</v>
      </c>
      <c r="C4111" t="s">
        <v>4526</v>
      </c>
      <c r="D4111">
        <v>419.99</v>
      </c>
    </row>
    <row r="4112" spans="1:4">
      <c r="A4112" t="s">
        <v>40</v>
      </c>
      <c r="B4112" t="s">
        <v>3006</v>
      </c>
      <c r="C4112" t="s">
        <v>4527</v>
      </c>
      <c r="D4112">
        <v>429.99</v>
      </c>
    </row>
    <row r="4113" spans="1:4">
      <c r="A4113" t="s">
        <v>40</v>
      </c>
      <c r="B4113" t="s">
        <v>3081</v>
      </c>
      <c r="C4113" t="s">
        <v>4528</v>
      </c>
      <c r="D4113">
        <v>349.99</v>
      </c>
    </row>
    <row r="4114" spans="1:4">
      <c r="A4114" t="s">
        <v>40</v>
      </c>
      <c r="B4114" t="s">
        <v>3081</v>
      </c>
      <c r="C4114" t="s">
        <v>4529</v>
      </c>
      <c r="D4114">
        <v>299.99</v>
      </c>
    </row>
    <row r="4115" spans="1:4">
      <c r="A4115" t="s">
        <v>40</v>
      </c>
      <c r="B4115" t="s">
        <v>3006</v>
      </c>
      <c r="C4115" t="s">
        <v>4530</v>
      </c>
      <c r="D4115">
        <v>120</v>
      </c>
    </row>
    <row r="4116" spans="1:4">
      <c r="A4116" t="s">
        <v>40</v>
      </c>
      <c r="B4116" t="s">
        <v>3006</v>
      </c>
      <c r="C4116" t="s">
        <v>4531</v>
      </c>
      <c r="D4116">
        <v>359.99</v>
      </c>
    </row>
    <row r="4117" spans="1:4">
      <c r="A4117" t="s">
        <v>40</v>
      </c>
      <c r="B4117" t="s">
        <v>2980</v>
      </c>
      <c r="C4117" t="s">
        <v>4532</v>
      </c>
      <c r="D4117">
        <v>579.95000000000005</v>
      </c>
    </row>
    <row r="4118" spans="1:4">
      <c r="A4118" t="s">
        <v>40</v>
      </c>
      <c r="B4118" t="s">
        <v>3006</v>
      </c>
      <c r="C4118" t="s">
        <v>4533</v>
      </c>
      <c r="D4118">
        <v>129.99</v>
      </c>
    </row>
    <row r="4119" spans="1:4">
      <c r="A4119" t="s">
        <v>40</v>
      </c>
      <c r="B4119" t="s">
        <v>2983</v>
      </c>
      <c r="C4119" t="s">
        <v>4534</v>
      </c>
      <c r="D4119">
        <v>249.99</v>
      </c>
    </row>
    <row r="4120" spans="1:4">
      <c r="A4120" t="s">
        <v>40</v>
      </c>
      <c r="B4120" t="s">
        <v>2983</v>
      </c>
      <c r="C4120" t="s">
        <v>4535</v>
      </c>
      <c r="D4120">
        <v>489.97</v>
      </c>
    </row>
    <row r="4121" spans="1:4">
      <c r="A4121" t="s">
        <v>40</v>
      </c>
      <c r="B4121" t="s">
        <v>3006</v>
      </c>
      <c r="C4121" t="s">
        <v>4536</v>
      </c>
      <c r="D4121">
        <v>479.99</v>
      </c>
    </row>
    <row r="4122" spans="1:4">
      <c r="A4122" t="s">
        <v>40</v>
      </c>
      <c r="B4122" t="s">
        <v>3030</v>
      </c>
      <c r="C4122" t="s">
        <v>4537</v>
      </c>
      <c r="D4122">
        <v>475</v>
      </c>
    </row>
    <row r="4123" spans="1:4">
      <c r="A4123" t="s">
        <v>40</v>
      </c>
      <c r="B4123" t="s">
        <v>3285</v>
      </c>
      <c r="C4123" t="s">
        <v>4538</v>
      </c>
      <c r="D4123">
        <v>149.99</v>
      </c>
    </row>
    <row r="4124" spans="1:4">
      <c r="A4124" t="s">
        <v>40</v>
      </c>
      <c r="B4124" t="s">
        <v>3006</v>
      </c>
      <c r="C4124" t="s">
        <v>4539</v>
      </c>
      <c r="D4124">
        <v>379.99</v>
      </c>
    </row>
    <row r="4125" spans="1:4">
      <c r="A4125" t="s">
        <v>40</v>
      </c>
      <c r="B4125" t="s">
        <v>2983</v>
      </c>
      <c r="C4125" t="s">
        <v>4540</v>
      </c>
      <c r="D4125">
        <v>229.95</v>
      </c>
    </row>
    <row r="4126" spans="1:4">
      <c r="A4126" t="s">
        <v>40</v>
      </c>
      <c r="B4126" t="s">
        <v>3081</v>
      </c>
      <c r="C4126" t="s">
        <v>4541</v>
      </c>
      <c r="D4126">
        <v>169.99</v>
      </c>
    </row>
    <row r="4127" spans="1:4">
      <c r="A4127" t="s">
        <v>40</v>
      </c>
      <c r="B4127" t="s">
        <v>505</v>
      </c>
      <c r="C4127" t="s">
        <v>4542</v>
      </c>
      <c r="D4127">
        <v>599.99</v>
      </c>
    </row>
    <row r="4128" spans="1:4">
      <c r="A4128" t="s">
        <v>40</v>
      </c>
      <c r="B4128" t="s">
        <v>3006</v>
      </c>
      <c r="C4128" t="s">
        <v>4543</v>
      </c>
      <c r="D4128">
        <v>1299.99</v>
      </c>
    </row>
    <row r="4129" spans="1:4">
      <c r="A4129" t="s">
        <v>40</v>
      </c>
      <c r="B4129" t="s">
        <v>3006</v>
      </c>
      <c r="C4129" t="s">
        <v>4544</v>
      </c>
      <c r="D4129">
        <v>1099.99</v>
      </c>
    </row>
    <row r="4130" spans="1:4">
      <c r="A4130" t="s">
        <v>40</v>
      </c>
      <c r="B4130" t="s">
        <v>2983</v>
      </c>
      <c r="C4130" t="s">
        <v>4545</v>
      </c>
      <c r="D4130">
        <v>169.99</v>
      </c>
    </row>
    <row r="4131" spans="1:4">
      <c r="A4131" t="s">
        <v>40</v>
      </c>
      <c r="B4131" t="s">
        <v>4546</v>
      </c>
      <c r="C4131" t="s">
        <v>4547</v>
      </c>
      <c r="D4131">
        <v>595</v>
      </c>
    </row>
    <row r="4132" spans="1:4">
      <c r="A4132" t="s">
        <v>40</v>
      </c>
      <c r="B4132" t="s">
        <v>3006</v>
      </c>
      <c r="C4132" t="s">
        <v>4548</v>
      </c>
      <c r="D4132">
        <v>395</v>
      </c>
    </row>
    <row r="4133" spans="1:4">
      <c r="A4133" t="s">
        <v>40</v>
      </c>
      <c r="B4133" t="s">
        <v>3081</v>
      </c>
      <c r="C4133" t="s">
        <v>4549</v>
      </c>
      <c r="D4133">
        <v>1599.99</v>
      </c>
    </row>
    <row r="4134" spans="1:4">
      <c r="A4134" t="s">
        <v>40</v>
      </c>
      <c r="B4134" t="s">
        <v>3006</v>
      </c>
      <c r="C4134" t="s">
        <v>4550</v>
      </c>
      <c r="D4134">
        <v>399.99</v>
      </c>
    </row>
    <row r="4135" spans="1:4">
      <c r="A4135" t="s">
        <v>40</v>
      </c>
      <c r="B4135" t="s">
        <v>3006</v>
      </c>
      <c r="C4135" t="s">
        <v>4551</v>
      </c>
      <c r="D4135">
        <v>119.99</v>
      </c>
    </row>
    <row r="4136" spans="1:4">
      <c r="A4136" t="s">
        <v>40</v>
      </c>
      <c r="B4136" t="s">
        <v>3039</v>
      </c>
      <c r="C4136" t="s">
        <v>4552</v>
      </c>
      <c r="D4136">
        <v>209.3</v>
      </c>
    </row>
    <row r="4137" spans="1:4">
      <c r="A4137" t="s">
        <v>40</v>
      </c>
      <c r="B4137" t="s">
        <v>3175</v>
      </c>
      <c r="C4137" t="s">
        <v>4553</v>
      </c>
      <c r="D4137">
        <v>99.99</v>
      </c>
    </row>
    <row r="4138" spans="1:4">
      <c r="A4138" t="s">
        <v>40</v>
      </c>
      <c r="B4138" t="s">
        <v>2983</v>
      </c>
      <c r="C4138" t="s">
        <v>4554</v>
      </c>
      <c r="D4138">
        <v>214.95</v>
      </c>
    </row>
    <row r="4139" spans="1:4">
      <c r="A4139" t="s">
        <v>40</v>
      </c>
      <c r="B4139" t="s">
        <v>2983</v>
      </c>
      <c r="C4139" t="s">
        <v>4555</v>
      </c>
      <c r="D4139">
        <v>269</v>
      </c>
    </row>
    <row r="4140" spans="1:4">
      <c r="A4140" t="s">
        <v>40</v>
      </c>
      <c r="B4140" t="s">
        <v>2980</v>
      </c>
      <c r="C4140" t="s">
        <v>4556</v>
      </c>
      <c r="D4140">
        <v>780</v>
      </c>
    </row>
    <row r="4141" spans="1:4">
      <c r="A4141" t="s">
        <v>40</v>
      </c>
      <c r="B4141" t="s">
        <v>2983</v>
      </c>
      <c r="C4141" t="s">
        <v>4557</v>
      </c>
      <c r="D4141">
        <v>166.31</v>
      </c>
    </row>
    <row r="4142" spans="1:4">
      <c r="A4142" t="s">
        <v>40</v>
      </c>
      <c r="B4142" t="s">
        <v>2983</v>
      </c>
      <c r="C4142" t="s">
        <v>4558</v>
      </c>
      <c r="D4142">
        <v>179</v>
      </c>
    </row>
    <row r="4143" spans="1:4">
      <c r="A4143" t="s">
        <v>40</v>
      </c>
      <c r="B4143" t="s">
        <v>2983</v>
      </c>
      <c r="C4143" t="s">
        <v>4559</v>
      </c>
      <c r="D4143">
        <v>199.99</v>
      </c>
    </row>
    <row r="4144" spans="1:4">
      <c r="A4144" t="s">
        <v>40</v>
      </c>
      <c r="B4144" t="s">
        <v>3006</v>
      </c>
      <c r="C4144" t="s">
        <v>4560</v>
      </c>
      <c r="D4144">
        <v>649.99</v>
      </c>
    </row>
    <row r="4145" spans="1:4">
      <c r="A4145" t="s">
        <v>40</v>
      </c>
      <c r="B4145" t="s">
        <v>2994</v>
      </c>
      <c r="C4145" t="s">
        <v>4561</v>
      </c>
      <c r="D4145">
        <v>229.99</v>
      </c>
    </row>
    <row r="4146" spans="1:4">
      <c r="A4146" t="s">
        <v>40</v>
      </c>
      <c r="B4146" t="s">
        <v>505</v>
      </c>
      <c r="C4146" t="s">
        <v>4562</v>
      </c>
      <c r="D4146">
        <v>679.99</v>
      </c>
    </row>
    <row r="4147" spans="1:4">
      <c r="A4147" t="s">
        <v>40</v>
      </c>
      <c r="B4147" t="s">
        <v>3030</v>
      </c>
      <c r="C4147" t="s">
        <v>4563</v>
      </c>
      <c r="D4147">
        <v>425</v>
      </c>
    </row>
    <row r="4148" spans="1:4">
      <c r="A4148" t="s">
        <v>40</v>
      </c>
      <c r="B4148" t="s">
        <v>3006</v>
      </c>
      <c r="C4148" t="s">
        <v>4564</v>
      </c>
      <c r="D4148">
        <v>135</v>
      </c>
    </row>
    <row r="4149" spans="1:4">
      <c r="A4149" t="s">
        <v>40</v>
      </c>
      <c r="B4149" t="s">
        <v>2983</v>
      </c>
      <c r="C4149" t="s">
        <v>4565</v>
      </c>
      <c r="D4149">
        <v>179.99</v>
      </c>
    </row>
    <row r="4150" spans="1:4">
      <c r="A4150" t="s">
        <v>40</v>
      </c>
      <c r="B4150" t="s">
        <v>2983</v>
      </c>
      <c r="C4150" t="s">
        <v>4566</v>
      </c>
      <c r="D4150">
        <v>569.99</v>
      </c>
    </row>
    <row r="4151" spans="1:4">
      <c r="A4151" t="s">
        <v>40</v>
      </c>
      <c r="B4151" t="s">
        <v>561</v>
      </c>
      <c r="C4151" t="s">
        <v>4567</v>
      </c>
      <c r="D4151">
        <v>799</v>
      </c>
    </row>
    <row r="4152" spans="1:4">
      <c r="A4152" t="s">
        <v>40</v>
      </c>
      <c r="B4152" t="s">
        <v>3239</v>
      </c>
      <c r="C4152" t="s">
        <v>4568</v>
      </c>
      <c r="D4152">
        <v>129.99</v>
      </c>
    </row>
    <row r="4153" spans="1:4">
      <c r="A4153" t="s">
        <v>40</v>
      </c>
      <c r="B4153" t="s">
        <v>2980</v>
      </c>
      <c r="C4153" t="s">
        <v>4569</v>
      </c>
      <c r="D4153">
        <v>499</v>
      </c>
    </row>
    <row r="4154" spans="1:4">
      <c r="A4154" t="s">
        <v>40</v>
      </c>
      <c r="B4154" t="s">
        <v>2980</v>
      </c>
      <c r="C4154" t="s">
        <v>4570</v>
      </c>
      <c r="D4154">
        <v>469</v>
      </c>
    </row>
    <row r="4155" spans="1:4">
      <c r="A4155" t="s">
        <v>40</v>
      </c>
      <c r="B4155" t="s">
        <v>3030</v>
      </c>
      <c r="C4155" t="s">
        <v>4571</v>
      </c>
      <c r="D4155">
        <v>419.99</v>
      </c>
    </row>
    <row r="4156" spans="1:4">
      <c r="A4156" t="s">
        <v>40</v>
      </c>
      <c r="B4156" t="s">
        <v>3006</v>
      </c>
      <c r="C4156" t="s">
        <v>3190</v>
      </c>
      <c r="D4156">
        <v>369.99</v>
      </c>
    </row>
    <row r="4157" spans="1:4">
      <c r="A4157" t="s">
        <v>40</v>
      </c>
      <c r="B4157" t="s">
        <v>3285</v>
      </c>
      <c r="C4157" t="s">
        <v>4572</v>
      </c>
      <c r="D4157">
        <v>108.29</v>
      </c>
    </row>
    <row r="4158" spans="1:4">
      <c r="A4158" t="s">
        <v>40</v>
      </c>
      <c r="B4158" t="s">
        <v>2980</v>
      </c>
      <c r="C4158" t="s">
        <v>4573</v>
      </c>
      <c r="D4158">
        <v>243.15</v>
      </c>
    </row>
    <row r="4159" spans="1:4">
      <c r="A4159" t="s">
        <v>40</v>
      </c>
      <c r="B4159" t="s">
        <v>3006</v>
      </c>
      <c r="C4159" t="s">
        <v>4574</v>
      </c>
      <c r="D4159">
        <v>329.99</v>
      </c>
    </row>
    <row r="4160" spans="1:4">
      <c r="A4160" t="s">
        <v>40</v>
      </c>
      <c r="B4160" t="s">
        <v>2980</v>
      </c>
      <c r="C4160" t="s">
        <v>4575</v>
      </c>
      <c r="D4160">
        <v>449.99</v>
      </c>
    </row>
    <row r="4161" spans="1:4">
      <c r="A4161" t="s">
        <v>40</v>
      </c>
      <c r="B4161" t="s">
        <v>2980</v>
      </c>
      <c r="C4161" t="s">
        <v>4576</v>
      </c>
      <c r="D4161">
        <v>499.99</v>
      </c>
    </row>
    <row r="4162" spans="1:4">
      <c r="A4162" t="s">
        <v>40</v>
      </c>
      <c r="B4162" t="s">
        <v>2980</v>
      </c>
      <c r="C4162" t="s">
        <v>4577</v>
      </c>
      <c r="D4162">
        <v>459.99</v>
      </c>
    </row>
    <row r="4163" spans="1:4">
      <c r="A4163" t="s">
        <v>40</v>
      </c>
      <c r="B4163" t="s">
        <v>2980</v>
      </c>
      <c r="C4163" t="s">
        <v>4578</v>
      </c>
      <c r="D4163">
        <v>679.95</v>
      </c>
    </row>
    <row r="4164" spans="1:4">
      <c r="A4164" t="s">
        <v>40</v>
      </c>
      <c r="B4164" t="s">
        <v>2980</v>
      </c>
      <c r="C4164" t="s">
        <v>4579</v>
      </c>
      <c r="D4164">
        <v>429</v>
      </c>
    </row>
    <row r="4165" spans="1:4">
      <c r="A4165" t="s">
        <v>40</v>
      </c>
      <c r="B4165" t="s">
        <v>2983</v>
      </c>
      <c r="C4165" t="s">
        <v>4524</v>
      </c>
      <c r="D4165">
        <v>138.99</v>
      </c>
    </row>
    <row r="4166" spans="1:4">
      <c r="A4166" t="s">
        <v>40</v>
      </c>
      <c r="B4166" t="s">
        <v>4580</v>
      </c>
      <c r="C4166" t="s">
        <v>4581</v>
      </c>
      <c r="D4166">
        <v>109.99</v>
      </c>
    </row>
    <row r="4167" spans="1:4">
      <c r="A4167" t="s">
        <v>40</v>
      </c>
      <c r="B4167" t="s">
        <v>3006</v>
      </c>
      <c r="C4167" t="s">
        <v>4582</v>
      </c>
      <c r="D4167">
        <v>299</v>
      </c>
    </row>
    <row r="4168" spans="1:4">
      <c r="A4168" t="s">
        <v>40</v>
      </c>
      <c r="B4168" t="s">
        <v>2980</v>
      </c>
      <c r="C4168" t="s">
        <v>4211</v>
      </c>
      <c r="D4168">
        <v>141.54</v>
      </c>
    </row>
    <row r="4169" spans="1:4">
      <c r="A4169" t="s">
        <v>40</v>
      </c>
      <c r="B4169" t="s">
        <v>3006</v>
      </c>
      <c r="C4169" t="s">
        <v>4583</v>
      </c>
      <c r="D4169">
        <v>979.97</v>
      </c>
    </row>
    <row r="4170" spans="1:4">
      <c r="A4170" t="s">
        <v>40</v>
      </c>
      <c r="B4170" t="s">
        <v>2980</v>
      </c>
      <c r="C4170" t="s">
        <v>4584</v>
      </c>
      <c r="D4170">
        <v>149.99</v>
      </c>
    </row>
    <row r="4171" spans="1:4">
      <c r="A4171" t="s">
        <v>40</v>
      </c>
      <c r="B4171" t="s">
        <v>2983</v>
      </c>
      <c r="C4171" t="s">
        <v>4585</v>
      </c>
      <c r="D4171">
        <v>549.99</v>
      </c>
    </row>
    <row r="4172" spans="1:4">
      <c r="A4172" t="s">
        <v>40</v>
      </c>
      <c r="B4172" t="s">
        <v>2980</v>
      </c>
      <c r="C4172" t="s">
        <v>4586</v>
      </c>
      <c r="D4172">
        <v>429.99</v>
      </c>
    </row>
    <row r="4173" spans="1:4">
      <c r="A4173" t="s">
        <v>40</v>
      </c>
      <c r="B4173" t="s">
        <v>2994</v>
      </c>
      <c r="C4173" t="s">
        <v>4587</v>
      </c>
      <c r="D4173">
        <v>179.99</v>
      </c>
    </row>
    <row r="4174" spans="1:4">
      <c r="A4174" t="s">
        <v>40</v>
      </c>
      <c r="B4174" t="s">
        <v>3006</v>
      </c>
      <c r="C4174" t="s">
        <v>4588</v>
      </c>
      <c r="D4174">
        <v>399.99</v>
      </c>
    </row>
    <row r="4175" spans="1:4">
      <c r="A4175" t="s">
        <v>40</v>
      </c>
      <c r="B4175" t="s">
        <v>2983</v>
      </c>
      <c r="C4175" t="s">
        <v>4589</v>
      </c>
      <c r="D4175">
        <v>1349</v>
      </c>
    </row>
    <row r="4176" spans="1:4">
      <c r="A4176" t="s">
        <v>40</v>
      </c>
      <c r="B4176" t="s">
        <v>2983</v>
      </c>
      <c r="C4176" t="s">
        <v>4590</v>
      </c>
      <c r="D4176">
        <v>199.99</v>
      </c>
    </row>
    <row r="4177" spans="1:4">
      <c r="A4177" t="s">
        <v>40</v>
      </c>
      <c r="B4177" t="s">
        <v>3006</v>
      </c>
      <c r="C4177" t="s">
        <v>3482</v>
      </c>
      <c r="D4177">
        <v>229</v>
      </c>
    </row>
    <row r="4178" spans="1:4">
      <c r="A4178" t="s">
        <v>40</v>
      </c>
      <c r="B4178" t="s">
        <v>3107</v>
      </c>
      <c r="C4178" t="s">
        <v>4591</v>
      </c>
      <c r="D4178">
        <v>119.99</v>
      </c>
    </row>
    <row r="4179" spans="1:4">
      <c r="A4179" t="s">
        <v>40</v>
      </c>
      <c r="B4179" t="s">
        <v>3006</v>
      </c>
      <c r="C4179" t="s">
        <v>4592</v>
      </c>
      <c r="D4179">
        <v>579.95000000000005</v>
      </c>
    </row>
    <row r="4180" spans="1:4">
      <c r="A4180" t="s">
        <v>40</v>
      </c>
      <c r="B4180" t="s">
        <v>4153</v>
      </c>
      <c r="C4180" t="s">
        <v>4593</v>
      </c>
      <c r="D4180">
        <v>119.99</v>
      </c>
    </row>
    <row r="4181" spans="1:4">
      <c r="A4181" t="s">
        <v>40</v>
      </c>
      <c r="B4181" t="s">
        <v>3081</v>
      </c>
      <c r="C4181" t="s">
        <v>4594</v>
      </c>
      <c r="D4181">
        <v>250</v>
      </c>
    </row>
    <row r="4182" spans="1:4">
      <c r="A4182" t="s">
        <v>40</v>
      </c>
      <c r="B4182" t="s">
        <v>3006</v>
      </c>
      <c r="C4182" t="s">
        <v>4595</v>
      </c>
      <c r="D4182">
        <v>299.99</v>
      </c>
    </row>
    <row r="4183" spans="1:4">
      <c r="A4183" t="s">
        <v>40</v>
      </c>
      <c r="B4183" t="s">
        <v>2983</v>
      </c>
      <c r="C4183" t="s">
        <v>4596</v>
      </c>
      <c r="D4183">
        <v>329.99</v>
      </c>
    </row>
    <row r="4184" spans="1:4">
      <c r="A4184" t="s">
        <v>40</v>
      </c>
      <c r="B4184" t="s">
        <v>2980</v>
      </c>
      <c r="C4184" t="s">
        <v>4597</v>
      </c>
      <c r="D4184">
        <v>349.95</v>
      </c>
    </row>
    <row r="4185" spans="1:4">
      <c r="A4185" t="s">
        <v>40</v>
      </c>
      <c r="B4185" t="s">
        <v>2983</v>
      </c>
      <c r="C4185" t="s">
        <v>4598</v>
      </c>
      <c r="D4185">
        <v>121.4</v>
      </c>
    </row>
    <row r="4186" spans="1:4">
      <c r="A4186" t="s">
        <v>40</v>
      </c>
      <c r="B4186" t="s">
        <v>3081</v>
      </c>
      <c r="C4186" t="s">
        <v>4599</v>
      </c>
      <c r="D4186">
        <v>149.99</v>
      </c>
    </row>
    <row r="4187" spans="1:4">
      <c r="A4187" t="s">
        <v>40</v>
      </c>
      <c r="B4187" t="s">
        <v>2983</v>
      </c>
      <c r="C4187" t="s">
        <v>4600</v>
      </c>
      <c r="D4187">
        <v>699.99</v>
      </c>
    </row>
    <row r="4188" spans="1:4">
      <c r="A4188" t="s">
        <v>40</v>
      </c>
      <c r="B4188" t="s">
        <v>4601</v>
      </c>
      <c r="C4188" t="s">
        <v>4602</v>
      </c>
      <c r="D4188">
        <v>499.96</v>
      </c>
    </row>
    <row r="4189" spans="1:4">
      <c r="A4189" t="s">
        <v>40</v>
      </c>
      <c r="B4189" t="s">
        <v>2983</v>
      </c>
      <c r="C4189" t="s">
        <v>4603</v>
      </c>
      <c r="D4189">
        <v>1899.99</v>
      </c>
    </row>
    <row r="4190" spans="1:4">
      <c r="A4190" t="s">
        <v>40</v>
      </c>
      <c r="B4190" t="s">
        <v>2983</v>
      </c>
      <c r="C4190" t="s">
        <v>4604</v>
      </c>
      <c r="D4190">
        <v>699.99</v>
      </c>
    </row>
    <row r="4191" spans="1:4">
      <c r="A4191" t="s">
        <v>40</v>
      </c>
      <c r="B4191" t="s">
        <v>3006</v>
      </c>
      <c r="C4191" t="s">
        <v>4605</v>
      </c>
      <c r="D4191">
        <v>332.99</v>
      </c>
    </row>
    <row r="4192" spans="1:4">
      <c r="A4192" t="s">
        <v>40</v>
      </c>
      <c r="B4192" t="s">
        <v>2980</v>
      </c>
      <c r="C4192" t="s">
        <v>4606</v>
      </c>
      <c r="D4192">
        <v>699.99</v>
      </c>
    </row>
    <row r="4193" spans="1:4">
      <c r="A4193" t="s">
        <v>40</v>
      </c>
      <c r="B4193" t="s">
        <v>2983</v>
      </c>
      <c r="C4193" t="s">
        <v>4607</v>
      </c>
      <c r="D4193">
        <v>269.99</v>
      </c>
    </row>
    <row r="4194" spans="1:4">
      <c r="A4194" t="s">
        <v>40</v>
      </c>
      <c r="B4194" t="s">
        <v>2980</v>
      </c>
      <c r="C4194" t="s">
        <v>4608</v>
      </c>
      <c r="D4194">
        <v>889.99</v>
      </c>
    </row>
    <row r="4195" spans="1:4">
      <c r="A4195" t="s">
        <v>40</v>
      </c>
      <c r="B4195" t="s">
        <v>3006</v>
      </c>
      <c r="C4195" t="s">
        <v>4609</v>
      </c>
      <c r="D4195">
        <v>324.99</v>
      </c>
    </row>
    <row r="4196" spans="1:4">
      <c r="A4196" t="s">
        <v>40</v>
      </c>
      <c r="B4196" t="s">
        <v>2980</v>
      </c>
      <c r="C4196" t="s">
        <v>4610</v>
      </c>
      <c r="D4196">
        <v>131.57</v>
      </c>
    </row>
    <row r="4197" spans="1:4">
      <c r="A4197" t="s">
        <v>40</v>
      </c>
      <c r="B4197" t="s">
        <v>2983</v>
      </c>
      <c r="C4197" t="s">
        <v>4611</v>
      </c>
      <c r="D4197">
        <v>169.98</v>
      </c>
    </row>
    <row r="4198" spans="1:4">
      <c r="A4198" t="s">
        <v>40</v>
      </c>
      <c r="B4198" t="s">
        <v>2980</v>
      </c>
      <c r="C4198" t="s">
        <v>4612</v>
      </c>
      <c r="D4198">
        <v>139.99</v>
      </c>
    </row>
    <row r="4199" spans="1:4">
      <c r="A4199" t="s">
        <v>40</v>
      </c>
      <c r="B4199" t="s">
        <v>2983</v>
      </c>
      <c r="C4199" t="s">
        <v>4613</v>
      </c>
      <c r="D4199">
        <v>799.99</v>
      </c>
    </row>
    <row r="4200" spans="1:4">
      <c r="A4200" t="s">
        <v>40</v>
      </c>
      <c r="B4200" t="s">
        <v>3006</v>
      </c>
      <c r="C4200" t="s">
        <v>4614</v>
      </c>
      <c r="D4200">
        <v>229</v>
      </c>
    </row>
    <row r="4201" spans="1:4">
      <c r="A4201" t="s">
        <v>40</v>
      </c>
      <c r="B4201" t="s">
        <v>2983</v>
      </c>
      <c r="C4201" t="s">
        <v>4615</v>
      </c>
      <c r="D4201">
        <v>499.99</v>
      </c>
    </row>
    <row r="4202" spans="1:4">
      <c r="A4202" t="s">
        <v>40</v>
      </c>
      <c r="B4202" t="s">
        <v>3009</v>
      </c>
      <c r="C4202" t="s">
        <v>4616</v>
      </c>
      <c r="D4202">
        <v>149.99</v>
      </c>
    </row>
    <row r="4203" spans="1:4">
      <c r="A4203" t="s">
        <v>40</v>
      </c>
      <c r="B4203" t="s">
        <v>2980</v>
      </c>
      <c r="C4203" t="s">
        <v>4617</v>
      </c>
      <c r="D4203">
        <v>349</v>
      </c>
    </row>
    <row r="4204" spans="1:4">
      <c r="A4204" t="s">
        <v>40</v>
      </c>
      <c r="B4204" t="s">
        <v>3006</v>
      </c>
      <c r="C4204" t="s">
        <v>4618</v>
      </c>
      <c r="D4204">
        <v>550.99</v>
      </c>
    </row>
    <row r="4205" spans="1:4">
      <c r="A4205" t="s">
        <v>40</v>
      </c>
      <c r="B4205" t="s">
        <v>2983</v>
      </c>
      <c r="C4205" t="s">
        <v>3934</v>
      </c>
      <c r="D4205">
        <v>137.49</v>
      </c>
    </row>
    <row r="4206" spans="1:4">
      <c r="A4206" t="s">
        <v>40</v>
      </c>
      <c r="B4206" t="s">
        <v>3006</v>
      </c>
      <c r="C4206" t="s">
        <v>4619</v>
      </c>
      <c r="D4206">
        <v>429.99</v>
      </c>
    </row>
    <row r="4207" spans="1:4">
      <c r="A4207" t="s">
        <v>40</v>
      </c>
      <c r="B4207" t="s">
        <v>3006</v>
      </c>
      <c r="C4207" t="s">
        <v>4620</v>
      </c>
      <c r="D4207">
        <v>159.99</v>
      </c>
    </row>
    <row r="4208" spans="1:4">
      <c r="A4208" t="s">
        <v>40</v>
      </c>
      <c r="B4208" t="s">
        <v>1337</v>
      </c>
      <c r="C4208" t="s">
        <v>4621</v>
      </c>
      <c r="D4208">
        <v>459.99</v>
      </c>
    </row>
    <row r="4209" spans="1:4">
      <c r="A4209" t="s">
        <v>40</v>
      </c>
      <c r="B4209" t="s">
        <v>4622</v>
      </c>
      <c r="C4209" t="s">
        <v>4623</v>
      </c>
      <c r="D4209">
        <v>799.99</v>
      </c>
    </row>
    <row r="4210" spans="1:4">
      <c r="A4210" t="s">
        <v>40</v>
      </c>
      <c r="B4210" t="s">
        <v>1337</v>
      </c>
      <c r="C4210" t="s">
        <v>4624</v>
      </c>
      <c r="D4210">
        <v>499</v>
      </c>
    </row>
    <row r="4211" spans="1:4">
      <c r="A4211" t="s">
        <v>40</v>
      </c>
      <c r="B4211" t="s">
        <v>2980</v>
      </c>
      <c r="C4211" t="s">
        <v>4625</v>
      </c>
      <c r="D4211">
        <v>134.99</v>
      </c>
    </row>
    <row r="4212" spans="1:4">
      <c r="A4212" t="s">
        <v>40</v>
      </c>
      <c r="B4212" t="s">
        <v>2983</v>
      </c>
      <c r="C4212" t="s">
        <v>4626</v>
      </c>
      <c r="D4212">
        <v>137.49</v>
      </c>
    </row>
    <row r="4213" spans="1:4">
      <c r="A4213" t="s">
        <v>40</v>
      </c>
      <c r="B4213" t="s">
        <v>3006</v>
      </c>
      <c r="C4213" t="s">
        <v>4627</v>
      </c>
      <c r="D4213">
        <v>215</v>
      </c>
    </row>
    <row r="4214" spans="1:4">
      <c r="A4214" t="s">
        <v>40</v>
      </c>
      <c r="B4214" t="s">
        <v>3006</v>
      </c>
      <c r="C4214" t="s">
        <v>3412</v>
      </c>
      <c r="D4214">
        <v>119.99</v>
      </c>
    </row>
    <row r="4215" spans="1:4">
      <c r="A4215" t="s">
        <v>40</v>
      </c>
      <c r="B4215" t="s">
        <v>3006</v>
      </c>
      <c r="C4215" t="s">
        <v>4628</v>
      </c>
      <c r="D4215">
        <v>469.99</v>
      </c>
    </row>
    <row r="4216" spans="1:4">
      <c r="A4216" t="s">
        <v>40</v>
      </c>
      <c r="B4216" t="s">
        <v>2983</v>
      </c>
      <c r="C4216" t="s">
        <v>4629</v>
      </c>
      <c r="D4216">
        <v>139.99</v>
      </c>
    </row>
    <row r="4217" spans="1:4">
      <c r="A4217" t="s">
        <v>40</v>
      </c>
      <c r="B4217" t="s">
        <v>3006</v>
      </c>
      <c r="C4217" t="s">
        <v>3710</v>
      </c>
      <c r="D4217">
        <v>659.99</v>
      </c>
    </row>
    <row r="4218" spans="1:4">
      <c r="A4218" t="s">
        <v>40</v>
      </c>
      <c r="B4218" t="s">
        <v>3030</v>
      </c>
      <c r="C4218" t="s">
        <v>4630</v>
      </c>
      <c r="D4218">
        <v>999.99</v>
      </c>
    </row>
    <row r="4219" spans="1:4">
      <c r="A4219" t="s">
        <v>40</v>
      </c>
      <c r="B4219" t="s">
        <v>1337</v>
      </c>
      <c r="C4219" t="s">
        <v>4631</v>
      </c>
      <c r="D4219">
        <v>799.99</v>
      </c>
    </row>
    <row r="4220" spans="1:4">
      <c r="A4220" t="s">
        <v>40</v>
      </c>
      <c r="B4220" t="s">
        <v>3081</v>
      </c>
      <c r="C4220" t="s">
        <v>4632</v>
      </c>
      <c r="D4220">
        <v>749.99</v>
      </c>
    </row>
    <row r="4221" spans="1:4">
      <c r="A4221" t="s">
        <v>40</v>
      </c>
      <c r="B4221" t="s">
        <v>3006</v>
      </c>
      <c r="C4221" t="s">
        <v>4633</v>
      </c>
      <c r="D4221">
        <v>500</v>
      </c>
    </row>
    <row r="4222" spans="1:4">
      <c r="A4222" t="s">
        <v>40</v>
      </c>
      <c r="B4222" t="s">
        <v>2980</v>
      </c>
      <c r="C4222" t="s">
        <v>4634</v>
      </c>
      <c r="D4222">
        <v>175</v>
      </c>
    </row>
    <row r="4223" spans="1:4">
      <c r="A4223" t="s">
        <v>40</v>
      </c>
      <c r="B4223" t="s">
        <v>3006</v>
      </c>
      <c r="C4223" t="s">
        <v>4635</v>
      </c>
      <c r="D4223">
        <v>219</v>
      </c>
    </row>
    <row r="4224" spans="1:4">
      <c r="A4224" t="s">
        <v>40</v>
      </c>
      <c r="B4224" t="s">
        <v>3081</v>
      </c>
      <c r="C4224" t="s">
        <v>4636</v>
      </c>
      <c r="D4224">
        <v>139.99</v>
      </c>
    </row>
    <row r="4225" spans="1:4">
      <c r="A4225" t="s">
        <v>40</v>
      </c>
      <c r="B4225" t="s">
        <v>2980</v>
      </c>
      <c r="C4225" t="s">
        <v>4637</v>
      </c>
      <c r="D4225">
        <v>299.99</v>
      </c>
    </row>
    <row r="4226" spans="1:4">
      <c r="A4226" t="s">
        <v>40</v>
      </c>
      <c r="B4226" t="s">
        <v>3006</v>
      </c>
      <c r="C4226" t="s">
        <v>4638</v>
      </c>
      <c r="D4226">
        <v>519.99</v>
      </c>
    </row>
    <row r="4227" spans="1:4">
      <c r="A4227" t="s">
        <v>40</v>
      </c>
      <c r="B4227" t="s">
        <v>2983</v>
      </c>
      <c r="C4227" t="s">
        <v>4639</v>
      </c>
      <c r="D4227">
        <v>279.99</v>
      </c>
    </row>
    <row r="4228" spans="1:4">
      <c r="A4228" t="s">
        <v>40</v>
      </c>
      <c r="B4228" t="s">
        <v>3006</v>
      </c>
      <c r="C4228" t="s">
        <v>3935</v>
      </c>
      <c r="D4228">
        <v>144.99</v>
      </c>
    </row>
    <row r="4229" spans="1:4">
      <c r="A4229" t="s">
        <v>40</v>
      </c>
      <c r="B4229" t="s">
        <v>3006</v>
      </c>
      <c r="C4229" t="s">
        <v>4640</v>
      </c>
      <c r="D4229">
        <v>799.99</v>
      </c>
    </row>
    <row r="4230" spans="1:4">
      <c r="A4230" t="s">
        <v>40</v>
      </c>
      <c r="B4230" t="s">
        <v>3030</v>
      </c>
      <c r="C4230" t="s">
        <v>4641</v>
      </c>
      <c r="D4230">
        <v>349.99</v>
      </c>
    </row>
    <row r="4231" spans="1:4">
      <c r="A4231" t="s">
        <v>40</v>
      </c>
      <c r="B4231" t="s">
        <v>2980</v>
      </c>
      <c r="C4231" t="s">
        <v>4642</v>
      </c>
      <c r="D4231">
        <v>789.99</v>
      </c>
    </row>
    <row r="4232" spans="1:4">
      <c r="A4232" t="s">
        <v>40</v>
      </c>
      <c r="B4232" t="s">
        <v>3006</v>
      </c>
      <c r="C4232" t="s">
        <v>4643</v>
      </c>
      <c r="D4232">
        <v>474.99</v>
      </c>
    </row>
    <row r="4233" spans="1:4">
      <c r="A4233" t="s">
        <v>40</v>
      </c>
      <c r="B4233" t="s">
        <v>3006</v>
      </c>
      <c r="C4233" t="s">
        <v>4644</v>
      </c>
      <c r="D4233">
        <v>499.99</v>
      </c>
    </row>
    <row r="4234" spans="1:4">
      <c r="A4234" t="s">
        <v>40</v>
      </c>
      <c r="B4234" t="s">
        <v>2980</v>
      </c>
      <c r="C4234" t="s">
        <v>4645</v>
      </c>
      <c r="D4234">
        <v>399.99</v>
      </c>
    </row>
    <row r="4235" spans="1:4">
      <c r="A4235" t="s">
        <v>40</v>
      </c>
      <c r="B4235" t="s">
        <v>2983</v>
      </c>
      <c r="C4235" t="s">
        <v>4646</v>
      </c>
      <c r="D4235">
        <v>249.99</v>
      </c>
    </row>
    <row r="4236" spans="1:4">
      <c r="A4236" t="s">
        <v>40</v>
      </c>
      <c r="B4236" t="s">
        <v>2980</v>
      </c>
      <c r="C4236" t="s">
        <v>4647</v>
      </c>
      <c r="D4236">
        <v>249.99</v>
      </c>
    </row>
    <row r="4237" spans="1:4">
      <c r="A4237" t="s">
        <v>40</v>
      </c>
      <c r="B4237" t="s">
        <v>2983</v>
      </c>
      <c r="C4237" t="s">
        <v>4648</v>
      </c>
      <c r="D4237">
        <v>151.19</v>
      </c>
    </row>
    <row r="4238" spans="1:4">
      <c r="A4238" t="s">
        <v>40</v>
      </c>
      <c r="B4238" t="s">
        <v>3081</v>
      </c>
      <c r="C4238" t="s">
        <v>4649</v>
      </c>
      <c r="D4238">
        <v>305.99</v>
      </c>
    </row>
    <row r="4239" spans="1:4">
      <c r="A4239" t="s">
        <v>40</v>
      </c>
      <c r="B4239" t="s">
        <v>2980</v>
      </c>
      <c r="C4239" t="s">
        <v>4650</v>
      </c>
      <c r="D4239">
        <v>689.99</v>
      </c>
    </row>
    <row r="4240" spans="1:4">
      <c r="A4240" t="s">
        <v>40</v>
      </c>
      <c r="B4240" t="s">
        <v>3006</v>
      </c>
      <c r="C4240" t="s">
        <v>4651</v>
      </c>
      <c r="D4240">
        <v>119</v>
      </c>
    </row>
    <row r="4241" spans="1:4">
      <c r="A4241" t="s">
        <v>40</v>
      </c>
      <c r="B4241" t="s">
        <v>3006</v>
      </c>
      <c r="C4241" t="s">
        <v>4652</v>
      </c>
      <c r="D4241">
        <v>1070.3800000000001</v>
      </c>
    </row>
    <row r="4242" spans="1:4">
      <c r="A4242" t="s">
        <v>40</v>
      </c>
      <c r="B4242" t="s">
        <v>2980</v>
      </c>
      <c r="C4242" t="s">
        <v>4653</v>
      </c>
      <c r="D4242">
        <v>179</v>
      </c>
    </row>
    <row r="4243" spans="1:4">
      <c r="A4243" t="s">
        <v>40</v>
      </c>
      <c r="B4243" t="s">
        <v>4654</v>
      </c>
      <c r="C4243" t="s">
        <v>4655</v>
      </c>
      <c r="D4243">
        <v>138.19999999999999</v>
      </c>
    </row>
    <row r="4244" spans="1:4">
      <c r="A4244" t="s">
        <v>40</v>
      </c>
      <c r="B4244" t="s">
        <v>2983</v>
      </c>
      <c r="C4244" t="s">
        <v>4656</v>
      </c>
      <c r="D4244">
        <v>419.99</v>
      </c>
    </row>
    <row r="4245" spans="1:4">
      <c r="A4245" t="s">
        <v>40</v>
      </c>
      <c r="B4245" t="s">
        <v>3030</v>
      </c>
      <c r="C4245" t="s">
        <v>4657</v>
      </c>
      <c r="D4245">
        <v>399.99</v>
      </c>
    </row>
    <row r="4246" spans="1:4">
      <c r="A4246" t="s">
        <v>40</v>
      </c>
      <c r="B4246" t="s">
        <v>2980</v>
      </c>
      <c r="C4246" t="s">
        <v>4658</v>
      </c>
      <c r="D4246">
        <v>599</v>
      </c>
    </row>
    <row r="4247" spans="1:4">
      <c r="A4247" t="s">
        <v>40</v>
      </c>
      <c r="B4247" t="s">
        <v>3006</v>
      </c>
      <c r="C4247" t="s">
        <v>4659</v>
      </c>
      <c r="D4247">
        <v>499.99</v>
      </c>
    </row>
    <row r="4248" spans="1:4">
      <c r="A4248" t="s">
        <v>40</v>
      </c>
      <c r="B4248" t="s">
        <v>2980</v>
      </c>
      <c r="C4248" t="s">
        <v>4660</v>
      </c>
      <c r="D4248">
        <v>249.99</v>
      </c>
    </row>
    <row r="4249" spans="1:4">
      <c r="A4249" t="s">
        <v>40</v>
      </c>
      <c r="B4249" t="s">
        <v>2983</v>
      </c>
      <c r="C4249" t="s">
        <v>4661</v>
      </c>
      <c r="D4249">
        <v>319.99</v>
      </c>
    </row>
    <row r="4250" spans="1:4">
      <c r="A4250" t="s">
        <v>40</v>
      </c>
      <c r="B4250" t="s">
        <v>2983</v>
      </c>
      <c r="C4250" t="s">
        <v>4662</v>
      </c>
      <c r="D4250">
        <v>140.77000000000001</v>
      </c>
    </row>
    <row r="4251" spans="1:4">
      <c r="A4251" t="s">
        <v>40</v>
      </c>
      <c r="B4251" t="s">
        <v>2983</v>
      </c>
      <c r="C4251" t="s">
        <v>4663</v>
      </c>
      <c r="D4251">
        <v>199.99</v>
      </c>
    </row>
    <row r="4252" spans="1:4">
      <c r="A4252" t="s">
        <v>40</v>
      </c>
      <c r="B4252" t="s">
        <v>2983</v>
      </c>
      <c r="C4252" t="s">
        <v>4664</v>
      </c>
      <c r="D4252">
        <v>599.99</v>
      </c>
    </row>
    <row r="4253" spans="1:4">
      <c r="A4253" t="s">
        <v>40</v>
      </c>
      <c r="B4253" t="s">
        <v>3006</v>
      </c>
      <c r="C4253" t="s">
        <v>3365</v>
      </c>
      <c r="D4253">
        <v>94.99</v>
      </c>
    </row>
    <row r="4254" spans="1:4">
      <c r="A4254" t="s">
        <v>40</v>
      </c>
      <c r="B4254" t="s">
        <v>2983</v>
      </c>
      <c r="C4254" t="s">
        <v>4665</v>
      </c>
      <c r="D4254">
        <v>399.99</v>
      </c>
    </row>
    <row r="4255" spans="1:4">
      <c r="A4255" t="s">
        <v>40</v>
      </c>
      <c r="B4255" t="s">
        <v>3006</v>
      </c>
      <c r="C4255" t="s">
        <v>4666</v>
      </c>
      <c r="D4255">
        <v>579.99</v>
      </c>
    </row>
    <row r="4256" spans="1:4">
      <c r="A4256" t="s">
        <v>40</v>
      </c>
      <c r="B4256" t="s">
        <v>3006</v>
      </c>
      <c r="C4256" t="s">
        <v>4667</v>
      </c>
      <c r="D4256">
        <v>329.99</v>
      </c>
    </row>
    <row r="4257" spans="1:4">
      <c r="A4257" t="s">
        <v>40</v>
      </c>
      <c r="B4257" t="s">
        <v>2980</v>
      </c>
      <c r="C4257" t="s">
        <v>4668</v>
      </c>
      <c r="D4257">
        <v>999</v>
      </c>
    </row>
    <row r="4258" spans="1:4">
      <c r="A4258" t="s">
        <v>40</v>
      </c>
      <c r="B4258" t="s">
        <v>2983</v>
      </c>
      <c r="C4258" t="s">
        <v>4072</v>
      </c>
      <c r="D4258">
        <v>153.99</v>
      </c>
    </row>
    <row r="4259" spans="1:4">
      <c r="A4259" t="s">
        <v>40</v>
      </c>
      <c r="B4259" t="s">
        <v>2980</v>
      </c>
      <c r="C4259" t="s">
        <v>4669</v>
      </c>
      <c r="D4259">
        <v>359.99</v>
      </c>
    </row>
    <row r="4260" spans="1:4">
      <c r="A4260" t="s">
        <v>40</v>
      </c>
      <c r="B4260" t="s">
        <v>2983</v>
      </c>
      <c r="C4260" t="s">
        <v>4670</v>
      </c>
      <c r="D4260">
        <v>379.99</v>
      </c>
    </row>
    <row r="4261" spans="1:4">
      <c r="A4261" t="s">
        <v>40</v>
      </c>
      <c r="B4261" t="s">
        <v>2980</v>
      </c>
      <c r="C4261" t="s">
        <v>4671</v>
      </c>
      <c r="D4261">
        <v>169.99</v>
      </c>
    </row>
    <row r="4262" spans="1:4">
      <c r="A4262" t="s">
        <v>40</v>
      </c>
      <c r="B4262" t="s">
        <v>1337</v>
      </c>
      <c r="C4262" t="s">
        <v>4672</v>
      </c>
      <c r="D4262">
        <v>384.99</v>
      </c>
    </row>
    <row r="4263" spans="1:4">
      <c r="A4263" t="s">
        <v>40</v>
      </c>
      <c r="B4263" t="s">
        <v>2980</v>
      </c>
      <c r="C4263" t="s">
        <v>4673</v>
      </c>
      <c r="D4263">
        <v>949.99</v>
      </c>
    </row>
    <row r="4264" spans="1:4">
      <c r="A4264" t="s">
        <v>40</v>
      </c>
      <c r="B4264" t="s">
        <v>3006</v>
      </c>
      <c r="C4264" t="s">
        <v>4674</v>
      </c>
      <c r="D4264">
        <v>559.99</v>
      </c>
    </row>
    <row r="4265" spans="1:4">
      <c r="A4265" t="s">
        <v>40</v>
      </c>
      <c r="B4265" t="s">
        <v>2980</v>
      </c>
      <c r="C4265" t="s">
        <v>4675</v>
      </c>
      <c r="D4265">
        <v>275</v>
      </c>
    </row>
    <row r="4266" spans="1:4">
      <c r="A4266" t="s">
        <v>40</v>
      </c>
      <c r="B4266" t="s">
        <v>2980</v>
      </c>
      <c r="C4266" t="s">
        <v>4676</v>
      </c>
      <c r="D4266">
        <v>139.99</v>
      </c>
    </row>
    <row r="4267" spans="1:4">
      <c r="A4267" t="s">
        <v>40</v>
      </c>
      <c r="B4267" t="s">
        <v>3081</v>
      </c>
      <c r="C4267" t="s">
        <v>4677</v>
      </c>
      <c r="D4267">
        <v>349.99</v>
      </c>
    </row>
    <row r="4268" spans="1:4">
      <c r="A4268" t="s">
        <v>40</v>
      </c>
      <c r="B4268" t="s">
        <v>3006</v>
      </c>
      <c r="C4268" t="s">
        <v>4678</v>
      </c>
      <c r="D4268">
        <v>269.89999999999998</v>
      </c>
    </row>
    <row r="4269" spans="1:4">
      <c r="A4269" t="s">
        <v>40</v>
      </c>
      <c r="B4269" t="s">
        <v>2983</v>
      </c>
      <c r="C4269" t="s">
        <v>4679</v>
      </c>
      <c r="D4269">
        <v>149.99</v>
      </c>
    </row>
    <row r="4270" spans="1:4">
      <c r="A4270" t="s">
        <v>40</v>
      </c>
      <c r="B4270" t="s">
        <v>3006</v>
      </c>
      <c r="C4270" t="s">
        <v>4680</v>
      </c>
      <c r="D4270">
        <v>249.99</v>
      </c>
    </row>
    <row r="4271" spans="1:4">
      <c r="A4271" t="s">
        <v>40</v>
      </c>
      <c r="B4271" t="s">
        <v>2983</v>
      </c>
      <c r="C4271" t="s">
        <v>4681</v>
      </c>
      <c r="D4271">
        <v>879</v>
      </c>
    </row>
    <row r="4272" spans="1:4">
      <c r="A4272" t="s">
        <v>40</v>
      </c>
      <c r="B4272" t="s">
        <v>2983</v>
      </c>
      <c r="C4272" t="s">
        <v>4682</v>
      </c>
      <c r="D4272">
        <v>849</v>
      </c>
    </row>
    <row r="4273" spans="1:4">
      <c r="A4273" t="s">
        <v>40</v>
      </c>
      <c r="B4273" t="s">
        <v>3006</v>
      </c>
      <c r="C4273" t="s">
        <v>4683</v>
      </c>
      <c r="D4273">
        <v>719</v>
      </c>
    </row>
    <row r="4274" spans="1:4">
      <c r="A4274" t="s">
        <v>40</v>
      </c>
      <c r="B4274" t="s">
        <v>3285</v>
      </c>
      <c r="C4274" t="s">
        <v>4684</v>
      </c>
      <c r="D4274">
        <v>215</v>
      </c>
    </row>
    <row r="4275" spans="1:4">
      <c r="A4275" t="s">
        <v>40</v>
      </c>
      <c r="B4275" t="s">
        <v>2980</v>
      </c>
      <c r="C4275" t="s">
        <v>4685</v>
      </c>
      <c r="D4275">
        <v>999.99</v>
      </c>
    </row>
    <row r="4276" spans="1:4">
      <c r="A4276" t="s">
        <v>40</v>
      </c>
      <c r="B4276" t="s">
        <v>2980</v>
      </c>
      <c r="C4276" t="s">
        <v>4686</v>
      </c>
      <c r="D4276">
        <v>499.99</v>
      </c>
    </row>
    <row r="4277" spans="1:4">
      <c r="A4277" t="s">
        <v>40</v>
      </c>
      <c r="B4277" t="s">
        <v>2983</v>
      </c>
      <c r="C4277" t="s">
        <v>4687</v>
      </c>
      <c r="D4277">
        <v>205</v>
      </c>
    </row>
    <row r="4278" spans="1:4">
      <c r="A4278" t="s">
        <v>40</v>
      </c>
      <c r="B4278" t="s">
        <v>2983</v>
      </c>
      <c r="C4278" t="s">
        <v>4688</v>
      </c>
      <c r="D4278">
        <v>112.66</v>
      </c>
    </row>
    <row r="4279" spans="1:4">
      <c r="A4279" t="s">
        <v>40</v>
      </c>
      <c r="B4279" t="s">
        <v>2983</v>
      </c>
      <c r="C4279" t="s">
        <v>4689</v>
      </c>
      <c r="D4279">
        <v>604.79</v>
      </c>
    </row>
    <row r="4280" spans="1:4">
      <c r="A4280" t="s">
        <v>40</v>
      </c>
      <c r="B4280" t="s">
        <v>2983</v>
      </c>
      <c r="C4280" t="s">
        <v>4690</v>
      </c>
      <c r="D4280">
        <v>399.99</v>
      </c>
    </row>
    <row r="4281" spans="1:4">
      <c r="A4281" t="s">
        <v>40</v>
      </c>
      <c r="B4281" t="s">
        <v>510</v>
      </c>
      <c r="C4281" t="s">
        <v>4691</v>
      </c>
      <c r="D4281">
        <v>159.99</v>
      </c>
    </row>
    <row r="4282" spans="1:4">
      <c r="A4282" t="s">
        <v>40</v>
      </c>
      <c r="B4282" t="s">
        <v>2980</v>
      </c>
      <c r="C4282" t="s">
        <v>4374</v>
      </c>
      <c r="D4282">
        <v>168.99</v>
      </c>
    </row>
    <row r="4283" spans="1:4">
      <c r="A4283" t="s">
        <v>40</v>
      </c>
      <c r="B4283" t="s">
        <v>2983</v>
      </c>
      <c r="C4283" t="s">
        <v>4692</v>
      </c>
      <c r="D4283">
        <v>229.9</v>
      </c>
    </row>
    <row r="4284" spans="1:4">
      <c r="A4284" t="s">
        <v>40</v>
      </c>
      <c r="B4284" t="s">
        <v>3107</v>
      </c>
      <c r="C4284" t="s">
        <v>4693</v>
      </c>
      <c r="D4284">
        <v>264.99</v>
      </c>
    </row>
    <row r="4285" spans="1:4">
      <c r="A4285" t="s">
        <v>40</v>
      </c>
      <c r="B4285" t="s">
        <v>2980</v>
      </c>
      <c r="C4285" t="s">
        <v>4694</v>
      </c>
      <c r="D4285">
        <v>424.99</v>
      </c>
    </row>
    <row r="4286" spans="1:4">
      <c r="A4286" t="s">
        <v>40</v>
      </c>
      <c r="B4286" t="s">
        <v>2980</v>
      </c>
      <c r="C4286" t="s">
        <v>4695</v>
      </c>
      <c r="D4286">
        <v>1399.99</v>
      </c>
    </row>
    <row r="4287" spans="1:4">
      <c r="A4287" t="s">
        <v>40</v>
      </c>
      <c r="B4287" t="s">
        <v>3006</v>
      </c>
      <c r="C4287" t="s">
        <v>4696</v>
      </c>
      <c r="D4287">
        <v>549.99</v>
      </c>
    </row>
    <row r="4288" spans="1:4">
      <c r="A4288" t="s">
        <v>40</v>
      </c>
      <c r="B4288" t="s">
        <v>3006</v>
      </c>
      <c r="C4288" t="s">
        <v>4697</v>
      </c>
      <c r="D4288">
        <v>499.99</v>
      </c>
    </row>
    <row r="4289" spans="1:4">
      <c r="A4289" t="s">
        <v>40</v>
      </c>
      <c r="B4289" t="s">
        <v>2983</v>
      </c>
      <c r="C4289" t="s">
        <v>3934</v>
      </c>
      <c r="D4289">
        <v>159.49</v>
      </c>
    </row>
    <row r="4290" spans="1:4">
      <c r="A4290" t="s">
        <v>40</v>
      </c>
      <c r="B4290" t="s">
        <v>2983</v>
      </c>
      <c r="C4290" t="s">
        <v>4698</v>
      </c>
      <c r="D4290">
        <v>122.54</v>
      </c>
    </row>
    <row r="4291" spans="1:4">
      <c r="A4291" t="s">
        <v>40</v>
      </c>
      <c r="B4291" t="s">
        <v>2983</v>
      </c>
      <c r="C4291" t="s">
        <v>4699</v>
      </c>
      <c r="D4291">
        <v>229.99</v>
      </c>
    </row>
    <row r="4292" spans="1:4">
      <c r="A4292" t="s">
        <v>40</v>
      </c>
      <c r="B4292" t="s">
        <v>2983</v>
      </c>
      <c r="C4292" t="s">
        <v>4700</v>
      </c>
      <c r="D4292">
        <v>719.99</v>
      </c>
    </row>
    <row r="4293" spans="1:4">
      <c r="A4293" t="s">
        <v>40</v>
      </c>
      <c r="B4293" t="s">
        <v>2983</v>
      </c>
      <c r="C4293" t="s">
        <v>4701</v>
      </c>
      <c r="D4293">
        <v>454.99</v>
      </c>
    </row>
    <row r="4294" spans="1:4">
      <c r="A4294" t="s">
        <v>40</v>
      </c>
      <c r="B4294" t="s">
        <v>3006</v>
      </c>
      <c r="C4294" t="s">
        <v>4702</v>
      </c>
      <c r="D4294">
        <v>295</v>
      </c>
    </row>
    <row r="4295" spans="1:4">
      <c r="A4295" t="s">
        <v>40</v>
      </c>
      <c r="B4295" t="s">
        <v>2983</v>
      </c>
      <c r="C4295" t="s">
        <v>4703</v>
      </c>
      <c r="D4295">
        <v>719.99</v>
      </c>
    </row>
    <row r="4296" spans="1:4">
      <c r="A4296" t="s">
        <v>40</v>
      </c>
      <c r="B4296" t="s">
        <v>3149</v>
      </c>
      <c r="C4296" t="s">
        <v>4704</v>
      </c>
      <c r="D4296">
        <v>1499.99</v>
      </c>
    </row>
    <row r="4297" spans="1:4">
      <c r="A4297" t="s">
        <v>40</v>
      </c>
      <c r="B4297" t="s">
        <v>3006</v>
      </c>
      <c r="C4297" t="s">
        <v>4705</v>
      </c>
      <c r="D4297">
        <v>679.95</v>
      </c>
    </row>
    <row r="4298" spans="1:4">
      <c r="A4298" t="s">
        <v>40</v>
      </c>
      <c r="B4298" t="s">
        <v>3081</v>
      </c>
      <c r="C4298" t="s">
        <v>4706</v>
      </c>
      <c r="D4298">
        <v>449.99</v>
      </c>
    </row>
    <row r="4299" spans="1:4">
      <c r="A4299" t="s">
        <v>40</v>
      </c>
      <c r="B4299" t="s">
        <v>3006</v>
      </c>
      <c r="C4299" t="s">
        <v>4707</v>
      </c>
      <c r="D4299">
        <v>519.99</v>
      </c>
    </row>
    <row r="4300" spans="1:4">
      <c r="A4300" t="s">
        <v>40</v>
      </c>
      <c r="B4300" t="s">
        <v>2983</v>
      </c>
      <c r="C4300" t="s">
        <v>4708</v>
      </c>
      <c r="D4300">
        <v>229.9</v>
      </c>
    </row>
    <row r="4301" spans="1:4">
      <c r="A4301" t="s">
        <v>40</v>
      </c>
      <c r="B4301" t="s">
        <v>3006</v>
      </c>
      <c r="C4301" t="s">
        <v>3951</v>
      </c>
      <c r="D4301">
        <v>249</v>
      </c>
    </row>
    <row r="4302" spans="1:4">
      <c r="A4302" t="s">
        <v>40</v>
      </c>
      <c r="B4302" t="s">
        <v>2980</v>
      </c>
      <c r="C4302" t="s">
        <v>4709</v>
      </c>
      <c r="D4302">
        <v>1249.99</v>
      </c>
    </row>
    <row r="4303" spans="1:4">
      <c r="A4303" t="s">
        <v>40</v>
      </c>
      <c r="B4303" t="s">
        <v>3006</v>
      </c>
      <c r="C4303" t="s">
        <v>4710</v>
      </c>
      <c r="D4303">
        <v>399.99</v>
      </c>
    </row>
    <row r="4304" spans="1:4">
      <c r="A4304" t="s">
        <v>40</v>
      </c>
      <c r="B4304" t="s">
        <v>2980</v>
      </c>
      <c r="C4304" t="s">
        <v>4711</v>
      </c>
      <c r="D4304">
        <v>549.99</v>
      </c>
    </row>
    <row r="4305" spans="1:4">
      <c r="A4305" t="s">
        <v>40</v>
      </c>
      <c r="B4305" t="s">
        <v>2983</v>
      </c>
      <c r="C4305" t="s">
        <v>4712</v>
      </c>
      <c r="D4305">
        <v>159.99</v>
      </c>
    </row>
    <row r="4306" spans="1:4">
      <c r="A4306" t="s">
        <v>40</v>
      </c>
      <c r="B4306" t="s">
        <v>3006</v>
      </c>
      <c r="C4306" t="s">
        <v>4713</v>
      </c>
      <c r="D4306">
        <v>339.99</v>
      </c>
    </row>
    <row r="4307" spans="1:4">
      <c r="A4307" t="s">
        <v>40</v>
      </c>
      <c r="B4307" t="s">
        <v>2983</v>
      </c>
      <c r="C4307" t="s">
        <v>4714</v>
      </c>
      <c r="D4307">
        <v>169</v>
      </c>
    </row>
    <row r="4308" spans="1:4">
      <c r="A4308" t="s">
        <v>40</v>
      </c>
      <c r="B4308" t="s">
        <v>2980</v>
      </c>
      <c r="C4308" t="s">
        <v>4715</v>
      </c>
      <c r="D4308">
        <v>276.91000000000003</v>
      </c>
    </row>
    <row r="4309" spans="1:4">
      <c r="A4309" t="s">
        <v>40</v>
      </c>
      <c r="B4309" t="s">
        <v>2980</v>
      </c>
      <c r="C4309" t="s">
        <v>4716</v>
      </c>
      <c r="D4309">
        <v>2499.9899999999998</v>
      </c>
    </row>
    <row r="4310" spans="1:4">
      <c r="A4310" t="s">
        <v>40</v>
      </c>
      <c r="B4310" t="s">
        <v>2983</v>
      </c>
      <c r="C4310" t="s">
        <v>4717</v>
      </c>
      <c r="D4310">
        <v>132.04</v>
      </c>
    </row>
    <row r="4311" spans="1:4">
      <c r="A4311" t="s">
        <v>40</v>
      </c>
      <c r="B4311" t="s">
        <v>3006</v>
      </c>
      <c r="C4311" t="s">
        <v>4718</v>
      </c>
      <c r="D4311">
        <v>119.99</v>
      </c>
    </row>
    <row r="4312" spans="1:4">
      <c r="A4312" t="s">
        <v>40</v>
      </c>
      <c r="B4312" t="s">
        <v>3107</v>
      </c>
      <c r="C4312" t="s">
        <v>4719</v>
      </c>
      <c r="D4312">
        <v>599.99</v>
      </c>
    </row>
    <row r="4313" spans="1:4">
      <c r="A4313" t="s">
        <v>40</v>
      </c>
      <c r="B4313" t="s">
        <v>2980</v>
      </c>
      <c r="C4313" t="s">
        <v>4720</v>
      </c>
      <c r="D4313">
        <v>1349.99</v>
      </c>
    </row>
    <row r="4314" spans="1:4">
      <c r="A4314" t="s">
        <v>40</v>
      </c>
      <c r="B4314" t="s">
        <v>2980</v>
      </c>
      <c r="C4314" t="s">
        <v>4721</v>
      </c>
      <c r="D4314">
        <v>499</v>
      </c>
    </row>
    <row r="4315" spans="1:4">
      <c r="A4315" t="s">
        <v>40</v>
      </c>
      <c r="B4315" t="s">
        <v>2983</v>
      </c>
      <c r="C4315" t="s">
        <v>4722</v>
      </c>
      <c r="D4315">
        <v>261.39999999999998</v>
      </c>
    </row>
    <row r="4316" spans="1:4">
      <c r="A4316" t="s">
        <v>40</v>
      </c>
      <c r="B4316" t="s">
        <v>2983</v>
      </c>
      <c r="C4316" t="s">
        <v>4723</v>
      </c>
      <c r="D4316">
        <v>849</v>
      </c>
    </row>
    <row r="4317" spans="1:4">
      <c r="A4317" t="s">
        <v>40</v>
      </c>
      <c r="B4317" t="s">
        <v>2983</v>
      </c>
      <c r="C4317" t="s">
        <v>4724</v>
      </c>
      <c r="D4317">
        <v>229.99</v>
      </c>
    </row>
    <row r="4318" spans="1:4">
      <c r="A4318" t="s">
        <v>40</v>
      </c>
      <c r="B4318" t="s">
        <v>2983</v>
      </c>
      <c r="C4318" t="s">
        <v>4725</v>
      </c>
      <c r="D4318">
        <v>449.99</v>
      </c>
    </row>
    <row r="4319" spans="1:4">
      <c r="A4319" t="s">
        <v>40</v>
      </c>
      <c r="B4319" t="s">
        <v>3081</v>
      </c>
      <c r="C4319" t="s">
        <v>4726</v>
      </c>
      <c r="D4319">
        <v>150.99</v>
      </c>
    </row>
    <row r="4320" spans="1:4">
      <c r="A4320" t="s">
        <v>40</v>
      </c>
      <c r="B4320" t="s">
        <v>3081</v>
      </c>
      <c r="C4320" t="s">
        <v>4727</v>
      </c>
      <c r="D4320">
        <v>309.99</v>
      </c>
    </row>
    <row r="4321" spans="1:4">
      <c r="A4321" t="s">
        <v>40</v>
      </c>
      <c r="B4321" t="s">
        <v>3006</v>
      </c>
      <c r="C4321" t="s">
        <v>4728</v>
      </c>
      <c r="D4321">
        <v>499.99</v>
      </c>
    </row>
    <row r="4322" spans="1:4">
      <c r="A4322" t="s">
        <v>40</v>
      </c>
      <c r="B4322" t="s">
        <v>3006</v>
      </c>
      <c r="C4322" t="s">
        <v>4729</v>
      </c>
      <c r="D4322">
        <v>619.99</v>
      </c>
    </row>
    <row r="4323" spans="1:4">
      <c r="A4323" t="s">
        <v>40</v>
      </c>
      <c r="B4323" t="s">
        <v>505</v>
      </c>
      <c r="C4323" t="s">
        <v>4730</v>
      </c>
      <c r="D4323">
        <v>439.99</v>
      </c>
    </row>
    <row r="4324" spans="1:4">
      <c r="A4324" t="s">
        <v>40</v>
      </c>
      <c r="B4324" t="s">
        <v>2983</v>
      </c>
      <c r="C4324" t="s">
        <v>4731</v>
      </c>
      <c r="D4324">
        <v>619</v>
      </c>
    </row>
    <row r="4325" spans="1:4">
      <c r="A4325" t="s">
        <v>40</v>
      </c>
      <c r="B4325" t="s">
        <v>3006</v>
      </c>
      <c r="C4325" t="s">
        <v>4732</v>
      </c>
      <c r="D4325">
        <v>159</v>
      </c>
    </row>
    <row r="4326" spans="1:4">
      <c r="A4326" t="s">
        <v>40</v>
      </c>
      <c r="B4326" t="s">
        <v>3006</v>
      </c>
      <c r="C4326" t="s">
        <v>4733</v>
      </c>
      <c r="D4326">
        <v>159.99</v>
      </c>
    </row>
    <row r="4327" spans="1:4">
      <c r="A4327" t="s">
        <v>40</v>
      </c>
      <c r="B4327" t="s">
        <v>2983</v>
      </c>
      <c r="C4327" t="s">
        <v>4734</v>
      </c>
      <c r="D4327">
        <v>164.99</v>
      </c>
    </row>
    <row r="4328" spans="1:4">
      <c r="A4328" t="s">
        <v>40</v>
      </c>
      <c r="B4328" t="s">
        <v>2983</v>
      </c>
      <c r="C4328" t="s">
        <v>4735</v>
      </c>
      <c r="D4328">
        <v>2699</v>
      </c>
    </row>
    <row r="4329" spans="1:4">
      <c r="A4329" t="s">
        <v>40</v>
      </c>
      <c r="B4329" t="s">
        <v>2980</v>
      </c>
      <c r="C4329" t="s">
        <v>4736</v>
      </c>
      <c r="D4329">
        <v>999.99</v>
      </c>
    </row>
    <row r="4330" spans="1:4">
      <c r="A4330" t="s">
        <v>40</v>
      </c>
      <c r="B4330" t="s">
        <v>2980</v>
      </c>
      <c r="C4330" t="s">
        <v>4737</v>
      </c>
      <c r="D4330">
        <v>1249.99</v>
      </c>
    </row>
    <row r="4331" spans="1:4">
      <c r="A4331" t="s">
        <v>40</v>
      </c>
      <c r="B4331" t="s">
        <v>2983</v>
      </c>
      <c r="C4331" t="s">
        <v>4738</v>
      </c>
      <c r="D4331">
        <v>229.99</v>
      </c>
    </row>
    <row r="4332" spans="1:4">
      <c r="A4332" t="s">
        <v>40</v>
      </c>
      <c r="B4332" t="s">
        <v>3006</v>
      </c>
      <c r="C4332" t="s">
        <v>4739</v>
      </c>
      <c r="D4332">
        <v>376</v>
      </c>
    </row>
    <row r="4333" spans="1:4">
      <c r="A4333" t="s">
        <v>40</v>
      </c>
      <c r="B4333" t="s">
        <v>3081</v>
      </c>
      <c r="C4333" t="s">
        <v>4740</v>
      </c>
      <c r="D4333">
        <v>300</v>
      </c>
    </row>
    <row r="4334" spans="1:4">
      <c r="A4334" t="s">
        <v>40</v>
      </c>
      <c r="B4334" t="s">
        <v>3006</v>
      </c>
      <c r="C4334" t="s">
        <v>4741</v>
      </c>
      <c r="D4334">
        <v>539</v>
      </c>
    </row>
    <row r="4335" spans="1:4">
      <c r="A4335" t="s">
        <v>40</v>
      </c>
      <c r="B4335" t="s">
        <v>3006</v>
      </c>
      <c r="C4335" t="s">
        <v>4742</v>
      </c>
      <c r="D4335">
        <v>449.99</v>
      </c>
    </row>
    <row r="4336" spans="1:4">
      <c r="A4336" t="s">
        <v>40</v>
      </c>
      <c r="B4336" t="s">
        <v>2983</v>
      </c>
      <c r="C4336" t="s">
        <v>4743</v>
      </c>
      <c r="D4336">
        <v>469.99</v>
      </c>
    </row>
    <row r="4337" spans="1:4">
      <c r="A4337" t="s">
        <v>40</v>
      </c>
      <c r="B4337" t="s">
        <v>2983</v>
      </c>
      <c r="C4337" t="s">
        <v>4744</v>
      </c>
      <c r="D4337">
        <v>374.95</v>
      </c>
    </row>
    <row r="4338" spans="1:4">
      <c r="A4338" t="s">
        <v>40</v>
      </c>
      <c r="B4338" t="s">
        <v>3006</v>
      </c>
      <c r="C4338" t="s">
        <v>4745</v>
      </c>
      <c r="D4338">
        <v>299.99</v>
      </c>
    </row>
    <row r="4339" spans="1:4">
      <c r="A4339" t="s">
        <v>40</v>
      </c>
      <c r="B4339" t="s">
        <v>2983</v>
      </c>
      <c r="C4339" t="s">
        <v>4746</v>
      </c>
      <c r="D4339">
        <v>229.99</v>
      </c>
    </row>
    <row r="4340" spans="1:4">
      <c r="A4340" t="s">
        <v>40</v>
      </c>
      <c r="B4340" t="s">
        <v>2983</v>
      </c>
      <c r="C4340" t="s">
        <v>4747</v>
      </c>
      <c r="D4340">
        <v>599.99</v>
      </c>
    </row>
    <row r="4341" spans="1:4">
      <c r="A4341" t="s">
        <v>40</v>
      </c>
      <c r="B4341" t="s">
        <v>2980</v>
      </c>
      <c r="C4341" t="s">
        <v>4748</v>
      </c>
      <c r="D4341">
        <v>595</v>
      </c>
    </row>
    <row r="4342" spans="1:4">
      <c r="A4342" t="s">
        <v>40</v>
      </c>
      <c r="B4342" t="s">
        <v>2980</v>
      </c>
      <c r="C4342" t="s">
        <v>4749</v>
      </c>
      <c r="D4342">
        <v>249.99</v>
      </c>
    </row>
    <row r="4343" spans="1:4">
      <c r="A4343" t="s">
        <v>40</v>
      </c>
      <c r="B4343" t="s">
        <v>3006</v>
      </c>
      <c r="C4343" t="s">
        <v>4750</v>
      </c>
      <c r="D4343">
        <v>799.95</v>
      </c>
    </row>
    <row r="4344" spans="1:4">
      <c r="A4344" t="s">
        <v>40</v>
      </c>
      <c r="B4344" t="s">
        <v>2983</v>
      </c>
      <c r="C4344" t="s">
        <v>4751</v>
      </c>
      <c r="D4344">
        <v>499.99</v>
      </c>
    </row>
    <row r="4345" spans="1:4">
      <c r="A4345" t="s">
        <v>40</v>
      </c>
      <c r="B4345" t="s">
        <v>2980</v>
      </c>
      <c r="C4345" t="s">
        <v>4752</v>
      </c>
      <c r="D4345">
        <v>107.5</v>
      </c>
    </row>
    <row r="4346" spans="1:4">
      <c r="A4346" t="s">
        <v>40</v>
      </c>
      <c r="B4346" t="s">
        <v>2983</v>
      </c>
      <c r="C4346" t="s">
        <v>4753</v>
      </c>
      <c r="D4346">
        <v>399.99</v>
      </c>
    </row>
    <row r="4347" spans="1:4">
      <c r="A4347" t="s">
        <v>40</v>
      </c>
      <c r="B4347" t="s">
        <v>2983</v>
      </c>
      <c r="C4347" t="s">
        <v>4754</v>
      </c>
      <c r="D4347">
        <v>169.99</v>
      </c>
    </row>
    <row r="4348" spans="1:4">
      <c r="A4348" t="s">
        <v>40</v>
      </c>
      <c r="B4348" t="s">
        <v>3006</v>
      </c>
      <c r="C4348" t="s">
        <v>4755</v>
      </c>
      <c r="D4348">
        <v>122.73</v>
      </c>
    </row>
    <row r="4349" spans="1:4">
      <c r="A4349" t="s">
        <v>40</v>
      </c>
      <c r="B4349" t="s">
        <v>2983</v>
      </c>
      <c r="C4349" t="s">
        <v>4756</v>
      </c>
      <c r="D4349">
        <v>399.99</v>
      </c>
    </row>
    <row r="4350" spans="1:4">
      <c r="A4350" t="s">
        <v>40</v>
      </c>
      <c r="B4350" t="s">
        <v>3081</v>
      </c>
      <c r="C4350" t="s">
        <v>4757</v>
      </c>
      <c r="D4350">
        <v>1899.99</v>
      </c>
    </row>
    <row r="4351" spans="1:4">
      <c r="A4351" t="s">
        <v>40</v>
      </c>
      <c r="B4351" t="s">
        <v>3006</v>
      </c>
      <c r="C4351" t="s">
        <v>4758</v>
      </c>
      <c r="D4351">
        <v>699.99</v>
      </c>
    </row>
    <row r="4352" spans="1:4">
      <c r="A4352" t="s">
        <v>40</v>
      </c>
      <c r="B4352" t="s">
        <v>2980</v>
      </c>
      <c r="C4352" t="s">
        <v>4759</v>
      </c>
      <c r="D4352">
        <v>1799.99</v>
      </c>
    </row>
    <row r="4353" spans="1:4">
      <c r="A4353" t="s">
        <v>40</v>
      </c>
      <c r="B4353" t="s">
        <v>505</v>
      </c>
      <c r="C4353" t="s">
        <v>4760</v>
      </c>
      <c r="D4353">
        <v>449.99</v>
      </c>
    </row>
    <row r="4354" spans="1:4">
      <c r="A4354" t="s">
        <v>40</v>
      </c>
      <c r="B4354" t="s">
        <v>3006</v>
      </c>
      <c r="C4354" t="s">
        <v>4761</v>
      </c>
      <c r="D4354">
        <v>366</v>
      </c>
    </row>
    <row r="4355" spans="1:4">
      <c r="A4355" t="s">
        <v>40</v>
      </c>
      <c r="B4355" t="s">
        <v>2983</v>
      </c>
      <c r="C4355" t="s">
        <v>4762</v>
      </c>
      <c r="D4355">
        <v>211.67</v>
      </c>
    </row>
    <row r="4356" spans="1:4">
      <c r="A4356" t="s">
        <v>40</v>
      </c>
      <c r="B4356" t="s">
        <v>2983</v>
      </c>
      <c r="C4356" t="s">
        <v>4763</v>
      </c>
      <c r="D4356">
        <v>221.6</v>
      </c>
    </row>
    <row r="4357" spans="1:4">
      <c r="A4357" t="s">
        <v>40</v>
      </c>
      <c r="B4357" t="s">
        <v>3107</v>
      </c>
      <c r="C4357" t="s">
        <v>4764</v>
      </c>
      <c r="D4357">
        <v>649.99</v>
      </c>
    </row>
    <row r="4358" spans="1:4">
      <c r="A4358" t="s">
        <v>40</v>
      </c>
      <c r="B4358" t="s">
        <v>2983</v>
      </c>
      <c r="C4358" t="s">
        <v>4765</v>
      </c>
      <c r="D4358">
        <v>625</v>
      </c>
    </row>
    <row r="4359" spans="1:4">
      <c r="A4359" t="s">
        <v>40</v>
      </c>
      <c r="B4359" t="s">
        <v>2983</v>
      </c>
      <c r="C4359" t="s">
        <v>4766</v>
      </c>
      <c r="D4359">
        <v>799.99</v>
      </c>
    </row>
    <row r="4360" spans="1:4">
      <c r="A4360" t="s">
        <v>40</v>
      </c>
      <c r="B4360" t="s">
        <v>3812</v>
      </c>
      <c r="C4360" t="s">
        <v>4767</v>
      </c>
      <c r="D4360">
        <v>799.99</v>
      </c>
    </row>
    <row r="4361" spans="1:4">
      <c r="A4361" t="s">
        <v>40</v>
      </c>
      <c r="B4361" t="s">
        <v>2994</v>
      </c>
      <c r="C4361" t="s">
        <v>4768</v>
      </c>
      <c r="D4361">
        <v>239.9</v>
      </c>
    </row>
    <row r="4362" spans="1:4">
      <c r="A4362" t="s">
        <v>40</v>
      </c>
      <c r="B4362" t="s">
        <v>2980</v>
      </c>
      <c r="C4362" t="s">
        <v>4769</v>
      </c>
      <c r="D4362">
        <v>99.99</v>
      </c>
    </row>
    <row r="4363" spans="1:4">
      <c r="A4363" t="s">
        <v>40</v>
      </c>
      <c r="B4363" t="s">
        <v>2983</v>
      </c>
      <c r="C4363" t="s">
        <v>4770</v>
      </c>
      <c r="D4363">
        <v>249.99</v>
      </c>
    </row>
    <row r="4364" spans="1:4">
      <c r="A4364" t="s">
        <v>40</v>
      </c>
      <c r="B4364" t="s">
        <v>2994</v>
      </c>
      <c r="C4364" t="s">
        <v>4771</v>
      </c>
      <c r="D4364">
        <v>849</v>
      </c>
    </row>
    <row r="4365" spans="1:4">
      <c r="A4365" t="s">
        <v>40</v>
      </c>
      <c r="B4365" t="s">
        <v>3081</v>
      </c>
      <c r="C4365" t="s">
        <v>4772</v>
      </c>
      <c r="D4365">
        <v>159.99</v>
      </c>
    </row>
    <row r="4366" spans="1:4">
      <c r="A4366" t="s">
        <v>40</v>
      </c>
      <c r="B4366" t="s">
        <v>3006</v>
      </c>
      <c r="C4366" t="s">
        <v>4773</v>
      </c>
      <c r="D4366">
        <v>159</v>
      </c>
    </row>
    <row r="4367" spans="1:4">
      <c r="A4367" t="s">
        <v>40</v>
      </c>
      <c r="B4367" t="s">
        <v>2983</v>
      </c>
      <c r="C4367" t="s">
        <v>4774</v>
      </c>
      <c r="D4367">
        <v>649.98</v>
      </c>
    </row>
    <row r="4368" spans="1:4">
      <c r="A4368" t="s">
        <v>40</v>
      </c>
      <c r="B4368" t="s">
        <v>3014</v>
      </c>
      <c r="C4368" t="s">
        <v>4775</v>
      </c>
      <c r="D4368">
        <v>118.94</v>
      </c>
    </row>
    <row r="4369" spans="1:4">
      <c r="A4369" t="s">
        <v>40</v>
      </c>
      <c r="B4369" t="s">
        <v>2983</v>
      </c>
      <c r="C4369" t="s">
        <v>4776</v>
      </c>
      <c r="D4369">
        <v>649.99</v>
      </c>
    </row>
    <row r="4370" spans="1:4">
      <c r="A4370" t="s">
        <v>40</v>
      </c>
      <c r="B4370" t="s">
        <v>2980</v>
      </c>
      <c r="C4370" t="s">
        <v>4777</v>
      </c>
      <c r="D4370">
        <v>255</v>
      </c>
    </row>
    <row r="4371" spans="1:4">
      <c r="A4371" t="s">
        <v>40</v>
      </c>
      <c r="B4371" t="s">
        <v>2983</v>
      </c>
      <c r="C4371" t="s">
        <v>4778</v>
      </c>
      <c r="D4371">
        <v>191.51</v>
      </c>
    </row>
    <row r="4372" spans="1:4">
      <c r="A4372" t="s">
        <v>40</v>
      </c>
      <c r="B4372" t="s">
        <v>3081</v>
      </c>
      <c r="C4372" t="s">
        <v>4779</v>
      </c>
      <c r="D4372">
        <v>159.99</v>
      </c>
    </row>
    <row r="4373" spans="1:4">
      <c r="A4373" t="s">
        <v>40</v>
      </c>
      <c r="B4373" t="s">
        <v>2980</v>
      </c>
      <c r="C4373" t="s">
        <v>4780</v>
      </c>
      <c r="D4373">
        <v>1249.99</v>
      </c>
    </row>
    <row r="4374" spans="1:4">
      <c r="A4374" t="s">
        <v>40</v>
      </c>
      <c r="B4374" t="s">
        <v>3081</v>
      </c>
      <c r="C4374" t="s">
        <v>4781</v>
      </c>
      <c r="D4374">
        <v>949.99</v>
      </c>
    </row>
    <row r="4375" spans="1:4">
      <c r="A4375" t="s">
        <v>40</v>
      </c>
      <c r="B4375" t="s">
        <v>2980</v>
      </c>
      <c r="C4375" t="s">
        <v>4782</v>
      </c>
      <c r="D4375">
        <v>549</v>
      </c>
    </row>
    <row r="4376" spans="1:4">
      <c r="A4376" t="s">
        <v>40</v>
      </c>
      <c r="B4376" t="s">
        <v>2980</v>
      </c>
      <c r="C4376" t="s">
        <v>4783</v>
      </c>
      <c r="D4376">
        <v>285</v>
      </c>
    </row>
    <row r="4377" spans="1:4">
      <c r="A4377" t="s">
        <v>40</v>
      </c>
      <c r="B4377" t="s">
        <v>3006</v>
      </c>
      <c r="C4377" t="s">
        <v>4784</v>
      </c>
      <c r="D4377">
        <v>382.99</v>
      </c>
    </row>
    <row r="4378" spans="1:4">
      <c r="A4378" t="s">
        <v>40</v>
      </c>
      <c r="B4378" t="s">
        <v>2980</v>
      </c>
      <c r="C4378" t="s">
        <v>4785</v>
      </c>
      <c r="D4378">
        <v>1599.99</v>
      </c>
    </row>
    <row r="4379" spans="1:4">
      <c r="A4379" t="s">
        <v>40</v>
      </c>
      <c r="B4379" t="s">
        <v>3107</v>
      </c>
      <c r="C4379" t="s">
        <v>4786</v>
      </c>
      <c r="D4379">
        <v>599.99</v>
      </c>
    </row>
    <row r="4380" spans="1:4">
      <c r="A4380" t="s">
        <v>40</v>
      </c>
      <c r="B4380" t="s">
        <v>2983</v>
      </c>
      <c r="C4380" t="s">
        <v>4787</v>
      </c>
      <c r="D4380">
        <v>219.9</v>
      </c>
    </row>
    <row r="4381" spans="1:4">
      <c r="A4381" t="s">
        <v>40</v>
      </c>
      <c r="B4381" t="s">
        <v>3107</v>
      </c>
      <c r="C4381" t="s">
        <v>4788</v>
      </c>
      <c r="D4381">
        <v>499.99</v>
      </c>
    </row>
    <row r="4382" spans="1:4">
      <c r="A4382" t="s">
        <v>40</v>
      </c>
      <c r="B4382" t="s">
        <v>3006</v>
      </c>
      <c r="C4382" t="s">
        <v>4789</v>
      </c>
      <c r="D4382">
        <v>1395</v>
      </c>
    </row>
    <row r="4383" spans="1:4">
      <c r="A4383" t="s">
        <v>40</v>
      </c>
      <c r="B4383" t="s">
        <v>2994</v>
      </c>
      <c r="C4383" t="s">
        <v>4790</v>
      </c>
      <c r="D4383">
        <v>489.99</v>
      </c>
    </row>
    <row r="4384" spans="1:4">
      <c r="A4384" t="s">
        <v>40</v>
      </c>
      <c r="B4384" t="s">
        <v>2994</v>
      </c>
      <c r="C4384" t="s">
        <v>4791</v>
      </c>
      <c r="D4384">
        <v>309.99</v>
      </c>
    </row>
    <row r="4385" spans="1:4">
      <c r="A4385" t="s">
        <v>40</v>
      </c>
      <c r="B4385" t="s">
        <v>3006</v>
      </c>
      <c r="C4385" t="s">
        <v>4792</v>
      </c>
      <c r="D4385">
        <v>235</v>
      </c>
    </row>
    <row r="4386" spans="1:4">
      <c r="A4386" t="s">
        <v>40</v>
      </c>
      <c r="B4386" t="s">
        <v>1337</v>
      </c>
      <c r="C4386" t="s">
        <v>4793</v>
      </c>
      <c r="D4386">
        <v>220</v>
      </c>
    </row>
    <row r="4387" spans="1:4">
      <c r="A4387" t="s">
        <v>40</v>
      </c>
      <c r="B4387" t="s">
        <v>3006</v>
      </c>
      <c r="C4387" t="s">
        <v>4340</v>
      </c>
      <c r="D4387">
        <v>379.99</v>
      </c>
    </row>
    <row r="4388" spans="1:4">
      <c r="A4388" t="s">
        <v>40</v>
      </c>
      <c r="B4388" t="s">
        <v>3006</v>
      </c>
      <c r="C4388" t="s">
        <v>4794</v>
      </c>
      <c r="D4388">
        <v>209.99</v>
      </c>
    </row>
    <row r="4389" spans="1:4">
      <c r="A4389" t="s">
        <v>40</v>
      </c>
      <c r="B4389" t="s">
        <v>3081</v>
      </c>
      <c r="C4389" t="s">
        <v>4795</v>
      </c>
      <c r="D4389">
        <v>309</v>
      </c>
    </row>
    <row r="4390" spans="1:4">
      <c r="A4390" t="s">
        <v>40</v>
      </c>
      <c r="B4390" t="s">
        <v>2983</v>
      </c>
      <c r="C4390" t="s">
        <v>4796</v>
      </c>
      <c r="D4390">
        <v>259.89999999999998</v>
      </c>
    </row>
    <row r="4391" spans="1:4">
      <c r="A4391" t="s">
        <v>40</v>
      </c>
      <c r="B4391" t="s">
        <v>510</v>
      </c>
      <c r="C4391" t="s">
        <v>4797</v>
      </c>
      <c r="D4391">
        <v>220</v>
      </c>
    </row>
    <row r="4392" spans="1:4">
      <c r="A4392" t="s">
        <v>40</v>
      </c>
      <c r="B4392" t="s">
        <v>3006</v>
      </c>
      <c r="C4392" t="s">
        <v>4798</v>
      </c>
      <c r="D4392">
        <v>159.99</v>
      </c>
    </row>
    <row r="4393" spans="1:4">
      <c r="A4393" t="s">
        <v>40</v>
      </c>
      <c r="B4393" t="s">
        <v>2983</v>
      </c>
      <c r="C4393" t="s">
        <v>4799</v>
      </c>
      <c r="D4393">
        <v>769</v>
      </c>
    </row>
    <row r="4394" spans="1:4">
      <c r="A4394" t="s">
        <v>40</v>
      </c>
      <c r="B4394" t="s">
        <v>2980</v>
      </c>
      <c r="C4394" t="s">
        <v>4800</v>
      </c>
      <c r="D4394">
        <v>319.99</v>
      </c>
    </row>
    <row r="4395" spans="1:4">
      <c r="A4395" t="s">
        <v>40</v>
      </c>
      <c r="B4395" t="s">
        <v>3006</v>
      </c>
      <c r="C4395" t="s">
        <v>4801</v>
      </c>
      <c r="D4395">
        <v>599.99</v>
      </c>
    </row>
    <row r="4396" spans="1:4">
      <c r="A4396" t="s">
        <v>40</v>
      </c>
      <c r="B4396" t="s">
        <v>2983</v>
      </c>
      <c r="C4396" t="s">
        <v>4802</v>
      </c>
      <c r="D4396">
        <v>200</v>
      </c>
    </row>
    <row r="4397" spans="1:4">
      <c r="A4397" t="s">
        <v>40</v>
      </c>
      <c r="B4397" t="s">
        <v>3409</v>
      </c>
      <c r="C4397" t="s">
        <v>4803</v>
      </c>
      <c r="D4397">
        <v>709.99</v>
      </c>
    </row>
    <row r="4398" spans="1:4">
      <c r="A4398" t="s">
        <v>40</v>
      </c>
      <c r="B4398" t="s">
        <v>3081</v>
      </c>
      <c r="C4398" t="s">
        <v>4804</v>
      </c>
      <c r="D4398">
        <v>579.99</v>
      </c>
    </row>
    <row r="4399" spans="1:4">
      <c r="A4399" t="s">
        <v>40</v>
      </c>
      <c r="B4399" t="s">
        <v>3006</v>
      </c>
      <c r="C4399" t="s">
        <v>3881</v>
      </c>
      <c r="D4399">
        <v>579.99</v>
      </c>
    </row>
    <row r="4400" spans="1:4">
      <c r="A4400" t="s">
        <v>40</v>
      </c>
      <c r="B4400" t="s">
        <v>3006</v>
      </c>
      <c r="C4400" t="s">
        <v>4805</v>
      </c>
      <c r="D4400">
        <v>1359.99</v>
      </c>
    </row>
    <row r="4401" spans="1:4">
      <c r="A4401" t="s">
        <v>40</v>
      </c>
      <c r="B4401" t="s">
        <v>3006</v>
      </c>
      <c r="C4401" t="s">
        <v>4806</v>
      </c>
      <c r="D4401">
        <v>169.95</v>
      </c>
    </row>
    <row r="4402" spans="1:4">
      <c r="A4402" t="s">
        <v>40</v>
      </c>
      <c r="B4402" t="s">
        <v>2983</v>
      </c>
      <c r="C4402" t="s">
        <v>4807</v>
      </c>
      <c r="D4402">
        <v>269</v>
      </c>
    </row>
    <row r="4403" spans="1:4">
      <c r="A4403" t="s">
        <v>40</v>
      </c>
      <c r="B4403" t="s">
        <v>2980</v>
      </c>
      <c r="C4403" t="s">
        <v>4808</v>
      </c>
      <c r="D4403">
        <v>925</v>
      </c>
    </row>
    <row r="4404" spans="1:4">
      <c r="A4404" t="s">
        <v>40</v>
      </c>
      <c r="B4404" t="s">
        <v>2980</v>
      </c>
      <c r="C4404" t="s">
        <v>4809</v>
      </c>
      <c r="D4404">
        <v>749.99</v>
      </c>
    </row>
    <row r="4405" spans="1:4">
      <c r="A4405" t="s">
        <v>40</v>
      </c>
      <c r="C4405" t="s">
        <v>4810</v>
      </c>
      <c r="D4405">
        <v>491.41</v>
      </c>
    </row>
    <row r="4406" spans="1:4">
      <c r="A4406" t="s">
        <v>40</v>
      </c>
      <c r="C4406" t="s">
        <v>4811</v>
      </c>
      <c r="D4406">
        <v>502.6</v>
      </c>
    </row>
    <row r="4407" spans="1:4">
      <c r="A4407" t="s">
        <v>40</v>
      </c>
      <c r="C4407" t="s">
        <v>4812</v>
      </c>
      <c r="D4407">
        <v>301.27999999999997</v>
      </c>
    </row>
    <row r="4408" spans="1:4">
      <c r="A4408" t="s">
        <v>40</v>
      </c>
      <c r="C4408" t="s">
        <v>4813</v>
      </c>
      <c r="D4408">
        <v>502.88</v>
      </c>
    </row>
    <row r="4409" spans="1:4">
      <c r="A4409" t="s">
        <v>40</v>
      </c>
      <c r="B4409" t="s">
        <v>3030</v>
      </c>
      <c r="C4409" t="s">
        <v>4814</v>
      </c>
      <c r="D4409">
        <v>149</v>
      </c>
    </row>
    <row r="4410" spans="1:4">
      <c r="A4410" t="s">
        <v>40</v>
      </c>
      <c r="B4410" t="s">
        <v>3030</v>
      </c>
      <c r="C4410" t="s">
        <v>4815</v>
      </c>
      <c r="D4410">
        <v>157</v>
      </c>
    </row>
    <row r="4411" spans="1:4">
      <c r="A4411" t="s">
        <v>40</v>
      </c>
      <c r="C4411" t="s">
        <v>4816</v>
      </c>
      <c r="D4411">
        <v>1231.99</v>
      </c>
    </row>
    <row r="4412" spans="1:4">
      <c r="A4412" t="s">
        <v>40</v>
      </c>
      <c r="C4412" t="s">
        <v>4817</v>
      </c>
      <c r="D4412">
        <v>1615.59</v>
      </c>
    </row>
    <row r="4413" spans="1:4">
      <c r="A4413" t="s">
        <v>40</v>
      </c>
      <c r="C4413" t="s">
        <v>4818</v>
      </c>
      <c r="D4413">
        <v>459.21</v>
      </c>
    </row>
    <row r="4414" spans="1:4">
      <c r="A4414" t="s">
        <v>40</v>
      </c>
      <c r="B4414" t="s">
        <v>3030</v>
      </c>
      <c r="C4414" t="s">
        <v>4819</v>
      </c>
      <c r="D4414">
        <v>399</v>
      </c>
    </row>
    <row r="4415" spans="1:4">
      <c r="A4415" t="s">
        <v>40</v>
      </c>
      <c r="C4415" t="s">
        <v>4820</v>
      </c>
      <c r="D4415">
        <v>610.38</v>
      </c>
    </row>
    <row r="4416" spans="1:4">
      <c r="A4416" t="s">
        <v>40</v>
      </c>
      <c r="B4416" t="s">
        <v>2983</v>
      </c>
      <c r="C4416" t="s">
        <v>4821</v>
      </c>
      <c r="D4416">
        <v>179</v>
      </c>
    </row>
    <row r="4417" spans="1:4">
      <c r="A4417" t="s">
        <v>40</v>
      </c>
      <c r="B4417" t="s">
        <v>2980</v>
      </c>
      <c r="C4417" t="s">
        <v>4822</v>
      </c>
      <c r="D4417">
        <v>224.99</v>
      </c>
    </row>
    <row r="4418" spans="1:4">
      <c r="A4418" t="s">
        <v>40</v>
      </c>
      <c r="B4418" t="s">
        <v>2980</v>
      </c>
      <c r="C4418" t="s">
        <v>4823</v>
      </c>
      <c r="D4418">
        <v>169.99</v>
      </c>
    </row>
    <row r="4419" spans="1:4">
      <c r="A4419" t="s">
        <v>40</v>
      </c>
      <c r="B4419" t="s">
        <v>2980</v>
      </c>
      <c r="C4419" t="s">
        <v>4824</v>
      </c>
      <c r="D4419">
        <v>172</v>
      </c>
    </row>
    <row r="4420" spans="1:4">
      <c r="A4420" t="s">
        <v>40</v>
      </c>
      <c r="B4420" t="s">
        <v>1337</v>
      </c>
      <c r="C4420" t="s">
        <v>4825</v>
      </c>
      <c r="D4420">
        <v>499.99</v>
      </c>
    </row>
    <row r="4421" spans="1:4">
      <c r="A4421" t="s">
        <v>40</v>
      </c>
      <c r="C4421" t="s">
        <v>4826</v>
      </c>
      <c r="D4421">
        <v>894.88</v>
      </c>
    </row>
    <row r="4422" spans="1:4">
      <c r="A4422" t="s">
        <v>40</v>
      </c>
      <c r="C4422" t="s">
        <v>4827</v>
      </c>
      <c r="D4422">
        <v>484.42</v>
      </c>
    </row>
    <row r="4423" spans="1:4">
      <c r="A4423" t="s">
        <v>40</v>
      </c>
      <c r="B4423" t="s">
        <v>3030</v>
      </c>
      <c r="C4423" t="s">
        <v>4828</v>
      </c>
      <c r="D4423">
        <v>396</v>
      </c>
    </row>
    <row r="4424" spans="1:4">
      <c r="A4424" t="s">
        <v>40</v>
      </c>
      <c r="C4424" t="s">
        <v>4829</v>
      </c>
      <c r="D4424">
        <v>411.59</v>
      </c>
    </row>
    <row r="4425" spans="1:4">
      <c r="A4425" t="s">
        <v>40</v>
      </c>
      <c r="C4425" t="s">
        <v>4830</v>
      </c>
      <c r="D4425">
        <v>390.89</v>
      </c>
    </row>
    <row r="4426" spans="1:4">
      <c r="A4426" t="s">
        <v>40</v>
      </c>
      <c r="C4426" t="s">
        <v>4831</v>
      </c>
      <c r="D4426">
        <v>518</v>
      </c>
    </row>
    <row r="4427" spans="1:4">
      <c r="A4427" t="s">
        <v>40</v>
      </c>
      <c r="B4427" t="s">
        <v>2980</v>
      </c>
      <c r="C4427" t="s">
        <v>4832</v>
      </c>
      <c r="D4427">
        <v>172</v>
      </c>
    </row>
    <row r="4428" spans="1:4">
      <c r="A4428" t="s">
        <v>40</v>
      </c>
      <c r="C4428" t="s">
        <v>4833</v>
      </c>
      <c r="D4428">
        <v>402.08</v>
      </c>
    </row>
    <row r="4429" spans="1:4">
      <c r="A4429" t="s">
        <v>40</v>
      </c>
      <c r="C4429" t="s">
        <v>4834</v>
      </c>
      <c r="D4429">
        <v>338.8</v>
      </c>
    </row>
    <row r="4430" spans="1:4">
      <c r="A4430" t="s">
        <v>40</v>
      </c>
      <c r="B4430" t="s">
        <v>2994</v>
      </c>
      <c r="C4430" t="s">
        <v>4835</v>
      </c>
      <c r="D4430">
        <v>249.99</v>
      </c>
    </row>
    <row r="4431" spans="1:4">
      <c r="A4431" t="s">
        <v>40</v>
      </c>
      <c r="B4431" t="s">
        <v>2983</v>
      </c>
      <c r="C4431" t="s">
        <v>4836</v>
      </c>
      <c r="D4431">
        <v>127.29</v>
      </c>
    </row>
    <row r="4432" spans="1:4">
      <c r="A4432" t="s">
        <v>40</v>
      </c>
      <c r="B4432" t="s">
        <v>2980</v>
      </c>
      <c r="C4432" t="s">
        <v>4374</v>
      </c>
      <c r="D4432">
        <v>138.99</v>
      </c>
    </row>
    <row r="4433" spans="1:4">
      <c r="A4433" t="s">
        <v>40</v>
      </c>
      <c r="C4433" t="s">
        <v>4837</v>
      </c>
      <c r="D4433">
        <v>1044.3800000000001</v>
      </c>
    </row>
    <row r="4434" spans="1:4">
      <c r="A4434" t="s">
        <v>40</v>
      </c>
      <c r="C4434" t="s">
        <v>4838</v>
      </c>
      <c r="D4434">
        <v>974.39</v>
      </c>
    </row>
    <row r="4435" spans="1:4">
      <c r="A4435" t="s">
        <v>40</v>
      </c>
      <c r="C4435" t="s">
        <v>4839</v>
      </c>
      <c r="D4435">
        <v>726.6</v>
      </c>
    </row>
    <row r="4436" spans="1:4">
      <c r="A4436" t="s">
        <v>40</v>
      </c>
      <c r="C4436" t="s">
        <v>4840</v>
      </c>
      <c r="D4436">
        <v>564.20000000000005</v>
      </c>
    </row>
    <row r="4437" spans="1:4">
      <c r="A4437" t="s">
        <v>40</v>
      </c>
      <c r="C4437" t="s">
        <v>4841</v>
      </c>
      <c r="D4437">
        <v>251.43</v>
      </c>
    </row>
    <row r="4438" spans="1:4">
      <c r="A4438" t="s">
        <v>40</v>
      </c>
      <c r="C4438" t="s">
        <v>4842</v>
      </c>
      <c r="D4438">
        <v>723.52</v>
      </c>
    </row>
    <row r="4439" spans="1:4">
      <c r="A4439" t="s">
        <v>40</v>
      </c>
      <c r="C4439" t="s">
        <v>4843</v>
      </c>
      <c r="D4439">
        <v>570.09</v>
      </c>
    </row>
    <row r="4440" spans="1:4">
      <c r="A4440" t="s">
        <v>40</v>
      </c>
      <c r="C4440" t="s">
        <v>4844</v>
      </c>
      <c r="D4440">
        <v>301.27999999999997</v>
      </c>
    </row>
    <row r="4441" spans="1:4">
      <c r="A4441" t="s">
        <v>40</v>
      </c>
      <c r="B4441" t="s">
        <v>2983</v>
      </c>
      <c r="C4441" t="s">
        <v>4845</v>
      </c>
      <c r="D4441">
        <v>105.06</v>
      </c>
    </row>
    <row r="4442" spans="1:4">
      <c r="A4442" t="s">
        <v>40</v>
      </c>
      <c r="B4442" t="s">
        <v>2983</v>
      </c>
      <c r="C4442" t="s">
        <v>4846</v>
      </c>
      <c r="D4442">
        <v>234.99</v>
      </c>
    </row>
    <row r="4443" spans="1:4">
      <c r="A4443" t="s">
        <v>40</v>
      </c>
      <c r="B4443" t="s">
        <v>3006</v>
      </c>
      <c r="C4443" t="s">
        <v>4847</v>
      </c>
      <c r="D4443">
        <v>264.99</v>
      </c>
    </row>
    <row r="4444" spans="1:4">
      <c r="A4444" t="s">
        <v>40</v>
      </c>
      <c r="B4444" t="s">
        <v>2983</v>
      </c>
      <c r="C4444" t="s">
        <v>4848</v>
      </c>
      <c r="D4444">
        <v>599.99</v>
      </c>
    </row>
    <row r="4445" spans="1:4">
      <c r="A4445" t="s">
        <v>40</v>
      </c>
      <c r="B4445" t="s">
        <v>2994</v>
      </c>
      <c r="C4445" t="s">
        <v>4849</v>
      </c>
      <c r="D4445">
        <v>549.99</v>
      </c>
    </row>
    <row r="4446" spans="1:4">
      <c r="A4446" t="s">
        <v>40</v>
      </c>
      <c r="B4446" t="s">
        <v>2980</v>
      </c>
      <c r="C4446" t="s">
        <v>4850</v>
      </c>
      <c r="D4446">
        <v>495</v>
      </c>
    </row>
    <row r="4447" spans="1:4">
      <c r="A4447" t="s">
        <v>40</v>
      </c>
      <c r="B4447" t="s">
        <v>2983</v>
      </c>
      <c r="C4447" t="s">
        <v>4851</v>
      </c>
      <c r="D4447">
        <v>249.99</v>
      </c>
    </row>
    <row r="4448" spans="1:4">
      <c r="A4448" t="s">
        <v>40</v>
      </c>
      <c r="B4448" t="s">
        <v>3316</v>
      </c>
      <c r="C4448" t="s">
        <v>4852</v>
      </c>
      <c r="D4448">
        <v>1499.99</v>
      </c>
    </row>
    <row r="4449" spans="1:4">
      <c r="A4449" t="s">
        <v>40</v>
      </c>
      <c r="B4449" t="s">
        <v>3006</v>
      </c>
      <c r="C4449" t="s">
        <v>4853</v>
      </c>
      <c r="D4449">
        <v>109.99</v>
      </c>
    </row>
    <row r="4450" spans="1:4">
      <c r="A4450" t="s">
        <v>40</v>
      </c>
      <c r="B4450" t="s">
        <v>3006</v>
      </c>
      <c r="C4450" t="s">
        <v>4854</v>
      </c>
      <c r="D4450">
        <v>153.99</v>
      </c>
    </row>
    <row r="4451" spans="1:4">
      <c r="A4451" t="s">
        <v>40</v>
      </c>
      <c r="B4451" t="s">
        <v>2980</v>
      </c>
      <c r="C4451" t="s">
        <v>4855</v>
      </c>
      <c r="D4451">
        <v>689</v>
      </c>
    </row>
    <row r="4452" spans="1:4">
      <c r="A4452" t="s">
        <v>40</v>
      </c>
      <c r="B4452" t="s">
        <v>3006</v>
      </c>
      <c r="C4452" t="s">
        <v>4856</v>
      </c>
      <c r="D4452">
        <v>219.99</v>
      </c>
    </row>
    <row r="4453" spans="1:4">
      <c r="A4453" t="s">
        <v>40</v>
      </c>
      <c r="B4453" t="s">
        <v>3961</v>
      </c>
      <c r="C4453" t="s">
        <v>4857</v>
      </c>
      <c r="D4453">
        <v>399.99</v>
      </c>
    </row>
    <row r="4454" spans="1:4">
      <c r="A4454" t="s">
        <v>40</v>
      </c>
      <c r="B4454" t="s">
        <v>3006</v>
      </c>
      <c r="C4454" t="s">
        <v>4858</v>
      </c>
      <c r="D4454">
        <v>229</v>
      </c>
    </row>
    <row r="4455" spans="1:4">
      <c r="A4455" t="s">
        <v>40</v>
      </c>
      <c r="B4455" t="s">
        <v>3006</v>
      </c>
      <c r="C4455" t="s">
        <v>4859</v>
      </c>
      <c r="D4455">
        <v>388</v>
      </c>
    </row>
    <row r="4456" spans="1:4">
      <c r="A4456" t="s">
        <v>40</v>
      </c>
      <c r="B4456" t="s">
        <v>561</v>
      </c>
      <c r="C4456" t="s">
        <v>4860</v>
      </c>
      <c r="D4456">
        <v>649.99</v>
      </c>
    </row>
    <row r="4457" spans="1:4">
      <c r="A4457" t="s">
        <v>40</v>
      </c>
      <c r="B4457" t="s">
        <v>3081</v>
      </c>
      <c r="C4457" t="s">
        <v>4861</v>
      </c>
      <c r="D4457">
        <v>399.99</v>
      </c>
    </row>
    <row r="4458" spans="1:4">
      <c r="A4458" t="s">
        <v>40</v>
      </c>
      <c r="B4458" t="s">
        <v>3006</v>
      </c>
      <c r="C4458" t="s">
        <v>4862</v>
      </c>
      <c r="D4458">
        <v>249</v>
      </c>
    </row>
    <row r="4459" spans="1:4">
      <c r="A4459" t="s">
        <v>40</v>
      </c>
      <c r="B4459" t="s">
        <v>2980</v>
      </c>
      <c r="C4459" t="s">
        <v>4863</v>
      </c>
      <c r="D4459">
        <v>399.99</v>
      </c>
    </row>
    <row r="4460" spans="1:4">
      <c r="A4460" t="s">
        <v>40</v>
      </c>
      <c r="B4460" t="s">
        <v>3006</v>
      </c>
      <c r="C4460" t="s">
        <v>4864</v>
      </c>
      <c r="D4460">
        <v>369.99</v>
      </c>
    </row>
    <row r="4461" spans="1:4">
      <c r="A4461" t="s">
        <v>40</v>
      </c>
      <c r="B4461" t="s">
        <v>3081</v>
      </c>
      <c r="C4461" t="s">
        <v>4865</v>
      </c>
      <c r="D4461">
        <v>269.99</v>
      </c>
    </row>
    <row r="4462" spans="1:4">
      <c r="A4462" t="s">
        <v>40</v>
      </c>
      <c r="B4462" t="s">
        <v>2983</v>
      </c>
      <c r="C4462" t="s">
        <v>4866</v>
      </c>
      <c r="D4462">
        <v>127.15</v>
      </c>
    </row>
    <row r="4463" spans="1:4">
      <c r="A4463" t="s">
        <v>40</v>
      </c>
      <c r="B4463" t="s">
        <v>3039</v>
      </c>
      <c r="C4463" t="s">
        <v>4867</v>
      </c>
      <c r="D4463">
        <v>454.3</v>
      </c>
    </row>
    <row r="4464" spans="1:4">
      <c r="A4464" t="s">
        <v>40</v>
      </c>
      <c r="B4464" t="s">
        <v>2980</v>
      </c>
      <c r="C4464" t="s">
        <v>4868</v>
      </c>
      <c r="D4464">
        <v>244.99</v>
      </c>
    </row>
    <row r="4465" spans="1:4">
      <c r="A4465" t="s">
        <v>40</v>
      </c>
      <c r="B4465" t="s">
        <v>2980</v>
      </c>
      <c r="C4465" t="s">
        <v>4869</v>
      </c>
      <c r="D4465">
        <v>799.99</v>
      </c>
    </row>
    <row r="4466" spans="1:4">
      <c r="A4466" t="s">
        <v>40</v>
      </c>
      <c r="B4466" t="s">
        <v>2983</v>
      </c>
      <c r="C4466" t="s">
        <v>4870</v>
      </c>
      <c r="D4466">
        <v>179.99</v>
      </c>
    </row>
    <row r="4467" spans="1:4">
      <c r="A4467" t="s">
        <v>40</v>
      </c>
      <c r="B4467" t="s">
        <v>3006</v>
      </c>
      <c r="C4467" t="s">
        <v>4871</v>
      </c>
      <c r="D4467">
        <v>299.99</v>
      </c>
    </row>
    <row r="4468" spans="1:4">
      <c r="A4468" t="s">
        <v>40</v>
      </c>
      <c r="B4468" t="s">
        <v>3006</v>
      </c>
      <c r="C4468" t="s">
        <v>4872</v>
      </c>
      <c r="D4468">
        <v>1295</v>
      </c>
    </row>
    <row r="4469" spans="1:4">
      <c r="A4469" t="s">
        <v>40</v>
      </c>
      <c r="B4469" t="s">
        <v>2980</v>
      </c>
      <c r="C4469" t="s">
        <v>4873</v>
      </c>
      <c r="D4469">
        <v>549.99</v>
      </c>
    </row>
    <row r="4470" spans="1:4">
      <c r="A4470" t="s">
        <v>40</v>
      </c>
      <c r="B4470" t="s">
        <v>2983</v>
      </c>
      <c r="C4470" t="s">
        <v>4874</v>
      </c>
      <c r="D4470">
        <v>649.99</v>
      </c>
    </row>
    <row r="4471" spans="1:4">
      <c r="A4471" t="s">
        <v>40</v>
      </c>
      <c r="B4471" t="s">
        <v>2983</v>
      </c>
      <c r="C4471" t="s">
        <v>4875</v>
      </c>
      <c r="D4471">
        <v>499.99</v>
      </c>
    </row>
    <row r="4472" spans="1:4">
      <c r="A4472" t="s">
        <v>40</v>
      </c>
      <c r="B4472" t="s">
        <v>2980</v>
      </c>
      <c r="C4472" t="s">
        <v>4876</v>
      </c>
      <c r="D4472">
        <v>799.99</v>
      </c>
    </row>
    <row r="4473" spans="1:4">
      <c r="A4473" t="s">
        <v>40</v>
      </c>
      <c r="B4473" t="s">
        <v>3039</v>
      </c>
      <c r="C4473" t="s">
        <v>4877</v>
      </c>
      <c r="D4473">
        <v>139.30000000000001</v>
      </c>
    </row>
    <row r="4474" spans="1:4">
      <c r="A4474" t="s">
        <v>40</v>
      </c>
      <c r="B4474" t="s">
        <v>2980</v>
      </c>
      <c r="C4474" t="s">
        <v>4878</v>
      </c>
      <c r="D4474">
        <v>1395</v>
      </c>
    </row>
    <row r="4475" spans="1:4">
      <c r="A4475" t="s">
        <v>40</v>
      </c>
      <c r="B4475" t="s">
        <v>2980</v>
      </c>
      <c r="C4475" t="s">
        <v>4879</v>
      </c>
      <c r="D4475">
        <v>499.99</v>
      </c>
    </row>
    <row r="4476" spans="1:4">
      <c r="A4476" t="s">
        <v>40</v>
      </c>
      <c r="B4476" t="s">
        <v>2980</v>
      </c>
      <c r="C4476" t="s">
        <v>4880</v>
      </c>
      <c r="D4476">
        <v>549.99</v>
      </c>
    </row>
    <row r="4477" spans="1:4">
      <c r="A4477" t="s">
        <v>40</v>
      </c>
      <c r="B4477" t="s">
        <v>3006</v>
      </c>
      <c r="C4477" t="s">
        <v>4881</v>
      </c>
      <c r="D4477">
        <v>899.99</v>
      </c>
    </row>
    <row r="4478" spans="1:4">
      <c r="A4478" t="s">
        <v>40</v>
      </c>
      <c r="B4478" t="s">
        <v>2980</v>
      </c>
      <c r="C4478" t="s">
        <v>4882</v>
      </c>
      <c r="D4478">
        <v>499.99</v>
      </c>
    </row>
    <row r="4479" spans="1:4">
      <c r="A4479" t="s">
        <v>40</v>
      </c>
      <c r="B4479" t="s">
        <v>3006</v>
      </c>
      <c r="C4479" t="s">
        <v>4883</v>
      </c>
      <c r="D4479">
        <v>479.99</v>
      </c>
    </row>
    <row r="4480" spans="1:4">
      <c r="A4480" t="s">
        <v>40</v>
      </c>
      <c r="B4480" t="s">
        <v>3030</v>
      </c>
      <c r="C4480" t="s">
        <v>4884</v>
      </c>
      <c r="D4480">
        <v>525</v>
      </c>
    </row>
    <row r="4481" spans="1:4">
      <c r="A4481" t="s">
        <v>40</v>
      </c>
      <c r="B4481" t="s">
        <v>3006</v>
      </c>
      <c r="C4481" t="s">
        <v>4885</v>
      </c>
      <c r="D4481">
        <v>879.99</v>
      </c>
    </row>
    <row r="4482" spans="1:4">
      <c r="A4482" t="s">
        <v>40</v>
      </c>
      <c r="B4482" t="s">
        <v>3081</v>
      </c>
      <c r="C4482" t="s">
        <v>4886</v>
      </c>
      <c r="D4482">
        <v>175</v>
      </c>
    </row>
    <row r="4483" spans="1:4">
      <c r="A4483" t="s">
        <v>40</v>
      </c>
      <c r="B4483" t="s">
        <v>3006</v>
      </c>
      <c r="C4483" t="s">
        <v>4582</v>
      </c>
      <c r="D4483">
        <v>299</v>
      </c>
    </row>
    <row r="4484" spans="1:4">
      <c r="A4484" t="s">
        <v>40</v>
      </c>
      <c r="B4484" t="s">
        <v>2980</v>
      </c>
      <c r="C4484" t="s">
        <v>4887</v>
      </c>
      <c r="D4484">
        <v>1199.99</v>
      </c>
    </row>
    <row r="4485" spans="1:4">
      <c r="A4485" t="s">
        <v>40</v>
      </c>
      <c r="B4485" t="s">
        <v>1337</v>
      </c>
      <c r="C4485" t="s">
        <v>4888</v>
      </c>
      <c r="D4485">
        <v>129.99</v>
      </c>
    </row>
    <row r="4486" spans="1:4">
      <c r="A4486" t="s">
        <v>40</v>
      </c>
      <c r="B4486" t="s">
        <v>3285</v>
      </c>
      <c r="C4486" t="s">
        <v>4889</v>
      </c>
      <c r="D4486">
        <v>149.99</v>
      </c>
    </row>
    <row r="4487" spans="1:4">
      <c r="A4487" t="s">
        <v>40</v>
      </c>
      <c r="B4487" t="s">
        <v>2983</v>
      </c>
      <c r="C4487" t="s">
        <v>4890</v>
      </c>
      <c r="D4487">
        <v>497.98</v>
      </c>
    </row>
    <row r="4488" spans="1:4">
      <c r="A4488" t="s">
        <v>40</v>
      </c>
      <c r="B4488" t="s">
        <v>3006</v>
      </c>
      <c r="C4488" t="s">
        <v>4891</v>
      </c>
      <c r="D4488">
        <v>119.99</v>
      </c>
    </row>
    <row r="4489" spans="1:4">
      <c r="A4489" t="s">
        <v>40</v>
      </c>
      <c r="B4489" t="s">
        <v>3006</v>
      </c>
      <c r="C4489" t="s">
        <v>3787</v>
      </c>
      <c r="D4489">
        <v>384.99</v>
      </c>
    </row>
    <row r="4490" spans="1:4">
      <c r="A4490" t="s">
        <v>40</v>
      </c>
      <c r="B4490" t="s">
        <v>2983</v>
      </c>
      <c r="C4490" t="s">
        <v>4892</v>
      </c>
      <c r="D4490">
        <v>299.99</v>
      </c>
    </row>
    <row r="4491" spans="1:4">
      <c r="A4491" t="s">
        <v>40</v>
      </c>
      <c r="B4491" t="s">
        <v>3081</v>
      </c>
      <c r="C4491" t="s">
        <v>4893</v>
      </c>
      <c r="D4491">
        <v>169.99</v>
      </c>
    </row>
    <row r="4492" spans="1:4">
      <c r="A4492" t="s">
        <v>40</v>
      </c>
      <c r="B4492" t="s">
        <v>561</v>
      </c>
      <c r="C4492" t="s">
        <v>4894</v>
      </c>
      <c r="D4492">
        <v>599.99</v>
      </c>
    </row>
    <row r="4493" spans="1:4">
      <c r="A4493" t="s">
        <v>40</v>
      </c>
      <c r="B4493" t="s">
        <v>3081</v>
      </c>
      <c r="C4493" t="s">
        <v>4895</v>
      </c>
      <c r="D4493">
        <v>379.99</v>
      </c>
    </row>
    <row r="4494" spans="1:4">
      <c r="A4494" t="s">
        <v>40</v>
      </c>
      <c r="B4494" t="s">
        <v>2980</v>
      </c>
      <c r="C4494" t="s">
        <v>4896</v>
      </c>
      <c r="D4494">
        <v>849.99</v>
      </c>
    </row>
    <row r="4495" spans="1:4">
      <c r="A4495" t="s">
        <v>40</v>
      </c>
      <c r="B4495" t="s">
        <v>3006</v>
      </c>
      <c r="C4495" t="s">
        <v>4897</v>
      </c>
      <c r="D4495">
        <v>349.99</v>
      </c>
    </row>
    <row r="4496" spans="1:4">
      <c r="A4496" t="s">
        <v>40</v>
      </c>
      <c r="B4496" t="s">
        <v>2983</v>
      </c>
      <c r="C4496" t="s">
        <v>4898</v>
      </c>
      <c r="D4496">
        <v>239.99</v>
      </c>
    </row>
    <row r="4497" spans="1:4">
      <c r="A4497" t="s">
        <v>40</v>
      </c>
      <c r="B4497" t="s">
        <v>3006</v>
      </c>
      <c r="C4497" t="s">
        <v>4899</v>
      </c>
      <c r="D4497">
        <v>124.99</v>
      </c>
    </row>
    <row r="4498" spans="1:4">
      <c r="A4498" t="s">
        <v>40</v>
      </c>
      <c r="B4498" t="s">
        <v>3081</v>
      </c>
      <c r="C4498" t="s">
        <v>4900</v>
      </c>
      <c r="D4498">
        <v>479</v>
      </c>
    </row>
    <row r="4499" spans="1:4">
      <c r="A4499" t="s">
        <v>40</v>
      </c>
      <c r="B4499" t="s">
        <v>3107</v>
      </c>
      <c r="C4499" t="s">
        <v>4901</v>
      </c>
      <c r="D4499">
        <v>369.99</v>
      </c>
    </row>
    <row r="4500" spans="1:4">
      <c r="A4500" t="s">
        <v>40</v>
      </c>
      <c r="B4500" t="s">
        <v>3006</v>
      </c>
      <c r="C4500" t="s">
        <v>4902</v>
      </c>
      <c r="D4500">
        <v>895</v>
      </c>
    </row>
    <row r="4501" spans="1:4">
      <c r="A4501" t="s">
        <v>40</v>
      </c>
      <c r="B4501" t="s">
        <v>2980</v>
      </c>
      <c r="C4501" t="s">
        <v>4903</v>
      </c>
      <c r="D4501">
        <v>449.99</v>
      </c>
    </row>
    <row r="4502" spans="1:4">
      <c r="A4502" t="s">
        <v>40</v>
      </c>
      <c r="B4502" t="s">
        <v>3107</v>
      </c>
      <c r="C4502" t="s">
        <v>4904</v>
      </c>
      <c r="D4502">
        <v>344.99</v>
      </c>
    </row>
    <row r="4503" spans="1:4">
      <c r="A4503" t="s">
        <v>40</v>
      </c>
      <c r="B4503" t="s">
        <v>2980</v>
      </c>
      <c r="C4503" t="s">
        <v>4905</v>
      </c>
      <c r="D4503">
        <v>449.99</v>
      </c>
    </row>
    <row r="4504" spans="1:4">
      <c r="A4504" t="s">
        <v>40</v>
      </c>
      <c r="B4504" t="s">
        <v>2983</v>
      </c>
      <c r="C4504" t="s">
        <v>4906</v>
      </c>
      <c r="D4504">
        <v>234.99</v>
      </c>
    </row>
    <row r="4505" spans="1:4">
      <c r="A4505" t="s">
        <v>40</v>
      </c>
      <c r="B4505" t="s">
        <v>2983</v>
      </c>
      <c r="C4505" t="s">
        <v>4907</v>
      </c>
      <c r="D4505">
        <v>249.99</v>
      </c>
    </row>
    <row r="4506" spans="1:4">
      <c r="A4506" t="s">
        <v>40</v>
      </c>
      <c r="B4506" t="s">
        <v>3006</v>
      </c>
      <c r="C4506" t="s">
        <v>4908</v>
      </c>
      <c r="D4506">
        <v>119.99</v>
      </c>
    </row>
    <row r="4507" spans="1:4">
      <c r="A4507" t="s">
        <v>40</v>
      </c>
      <c r="B4507" t="s">
        <v>3006</v>
      </c>
      <c r="C4507" t="s">
        <v>3482</v>
      </c>
      <c r="D4507">
        <v>229</v>
      </c>
    </row>
    <row r="4508" spans="1:4">
      <c r="A4508" t="s">
        <v>40</v>
      </c>
      <c r="B4508" t="s">
        <v>3285</v>
      </c>
      <c r="C4508" t="s">
        <v>4909</v>
      </c>
      <c r="D4508">
        <v>96.23</v>
      </c>
    </row>
    <row r="4509" spans="1:4">
      <c r="A4509" t="s">
        <v>40</v>
      </c>
      <c r="B4509" t="s">
        <v>2994</v>
      </c>
      <c r="C4509" t="s">
        <v>4910</v>
      </c>
      <c r="D4509">
        <v>379.99</v>
      </c>
    </row>
    <row r="4510" spans="1:4">
      <c r="A4510" t="s">
        <v>40</v>
      </c>
      <c r="B4510" t="s">
        <v>1337</v>
      </c>
      <c r="C4510" t="s">
        <v>4911</v>
      </c>
      <c r="D4510">
        <v>429.99</v>
      </c>
    </row>
    <row r="4511" spans="1:4">
      <c r="A4511" t="s">
        <v>40</v>
      </c>
      <c r="B4511" t="s">
        <v>3006</v>
      </c>
      <c r="C4511" t="s">
        <v>4912</v>
      </c>
      <c r="D4511">
        <v>539.99</v>
      </c>
    </row>
    <row r="4512" spans="1:4">
      <c r="A4512" t="s">
        <v>40</v>
      </c>
      <c r="B4512" t="s">
        <v>3006</v>
      </c>
      <c r="C4512" t="s">
        <v>4913</v>
      </c>
      <c r="D4512">
        <v>315</v>
      </c>
    </row>
    <row r="4513" spans="1:4">
      <c r="A4513" t="s">
        <v>40</v>
      </c>
      <c r="B4513" t="s">
        <v>2983</v>
      </c>
      <c r="C4513" t="s">
        <v>4914</v>
      </c>
      <c r="D4513">
        <v>469.99</v>
      </c>
    </row>
    <row r="4514" spans="1:4">
      <c r="A4514" t="s">
        <v>40</v>
      </c>
      <c r="B4514" t="s">
        <v>1337</v>
      </c>
      <c r="C4514" t="s">
        <v>4915</v>
      </c>
      <c r="D4514">
        <v>429.99</v>
      </c>
    </row>
    <row r="4515" spans="1:4">
      <c r="A4515" t="s">
        <v>40</v>
      </c>
      <c r="B4515" t="s">
        <v>3009</v>
      </c>
      <c r="C4515" t="s">
        <v>4916</v>
      </c>
      <c r="D4515">
        <v>299.99</v>
      </c>
    </row>
    <row r="4516" spans="1:4">
      <c r="A4516" t="s">
        <v>40</v>
      </c>
      <c r="B4516" t="s">
        <v>3006</v>
      </c>
      <c r="C4516" t="s">
        <v>4917</v>
      </c>
      <c r="D4516">
        <v>979</v>
      </c>
    </row>
    <row r="4517" spans="1:4">
      <c r="A4517" t="s">
        <v>40</v>
      </c>
      <c r="B4517" t="s">
        <v>3006</v>
      </c>
      <c r="C4517" t="s">
        <v>4918</v>
      </c>
      <c r="D4517">
        <v>349.99</v>
      </c>
    </row>
    <row r="4518" spans="1:4">
      <c r="A4518" t="s">
        <v>40</v>
      </c>
      <c r="B4518" t="s">
        <v>2983</v>
      </c>
      <c r="C4518" t="s">
        <v>4919</v>
      </c>
      <c r="D4518">
        <v>178.99</v>
      </c>
    </row>
    <row r="4519" spans="1:4">
      <c r="A4519" t="s">
        <v>40</v>
      </c>
      <c r="B4519" t="s">
        <v>1337</v>
      </c>
      <c r="C4519" t="s">
        <v>4920</v>
      </c>
      <c r="D4519">
        <v>504.99</v>
      </c>
    </row>
    <row r="4520" spans="1:4">
      <c r="A4520" t="s">
        <v>40</v>
      </c>
      <c r="B4520" t="s">
        <v>3006</v>
      </c>
      <c r="C4520" t="s">
        <v>4259</v>
      </c>
      <c r="D4520">
        <v>619.99</v>
      </c>
    </row>
    <row r="4521" spans="1:4">
      <c r="A4521" t="s">
        <v>40</v>
      </c>
      <c r="B4521" t="s">
        <v>2980</v>
      </c>
      <c r="C4521" t="s">
        <v>4921</v>
      </c>
      <c r="D4521">
        <v>199.99</v>
      </c>
    </row>
    <row r="4522" spans="1:4">
      <c r="A4522" t="s">
        <v>40</v>
      </c>
      <c r="B4522" t="s">
        <v>3081</v>
      </c>
      <c r="C4522" t="s">
        <v>4922</v>
      </c>
      <c r="D4522">
        <v>184.99</v>
      </c>
    </row>
    <row r="4523" spans="1:4">
      <c r="A4523" t="s">
        <v>40</v>
      </c>
      <c r="B4523" t="s">
        <v>3006</v>
      </c>
      <c r="C4523" t="s">
        <v>4923</v>
      </c>
      <c r="D4523">
        <v>284.99</v>
      </c>
    </row>
    <row r="4524" spans="1:4">
      <c r="A4524" t="s">
        <v>40</v>
      </c>
      <c r="B4524" t="s">
        <v>3006</v>
      </c>
      <c r="C4524" t="s">
        <v>4924</v>
      </c>
      <c r="D4524">
        <v>300</v>
      </c>
    </row>
    <row r="4525" spans="1:4">
      <c r="A4525" t="s">
        <v>40</v>
      </c>
      <c r="B4525" t="s">
        <v>3006</v>
      </c>
      <c r="C4525" t="s">
        <v>4925</v>
      </c>
      <c r="D4525">
        <v>131.57</v>
      </c>
    </row>
    <row r="4526" spans="1:4">
      <c r="A4526" t="s">
        <v>40</v>
      </c>
      <c r="B4526" t="s">
        <v>2983</v>
      </c>
      <c r="C4526" t="s">
        <v>4926</v>
      </c>
      <c r="D4526">
        <v>329.99</v>
      </c>
    </row>
    <row r="4527" spans="1:4">
      <c r="A4527" t="s">
        <v>40</v>
      </c>
      <c r="B4527" t="s">
        <v>2980</v>
      </c>
      <c r="C4527" t="s">
        <v>4927</v>
      </c>
      <c r="D4527">
        <v>729.99</v>
      </c>
    </row>
    <row r="4528" spans="1:4">
      <c r="A4528" t="s">
        <v>40</v>
      </c>
      <c r="B4528" t="s">
        <v>2983</v>
      </c>
      <c r="C4528" t="s">
        <v>4928</v>
      </c>
      <c r="D4528">
        <v>409.99</v>
      </c>
    </row>
    <row r="4529" spans="1:4">
      <c r="A4529" t="s">
        <v>40</v>
      </c>
      <c r="B4529" t="s">
        <v>2983</v>
      </c>
      <c r="C4529" t="s">
        <v>3554</v>
      </c>
      <c r="D4529">
        <v>128.99</v>
      </c>
    </row>
    <row r="4530" spans="1:4">
      <c r="A4530" t="s">
        <v>40</v>
      </c>
      <c r="B4530" t="s">
        <v>2983</v>
      </c>
      <c r="C4530" t="s">
        <v>4929</v>
      </c>
      <c r="D4530">
        <v>439.99</v>
      </c>
    </row>
    <row r="4531" spans="1:4">
      <c r="A4531" t="s">
        <v>40</v>
      </c>
      <c r="B4531" t="s">
        <v>3006</v>
      </c>
      <c r="C4531" t="s">
        <v>4221</v>
      </c>
      <c r="D4531">
        <v>529.99</v>
      </c>
    </row>
    <row r="4532" spans="1:4">
      <c r="A4532" t="s">
        <v>40</v>
      </c>
      <c r="B4532" t="s">
        <v>2980</v>
      </c>
      <c r="C4532" t="s">
        <v>4930</v>
      </c>
      <c r="D4532">
        <v>249.99</v>
      </c>
    </row>
    <row r="4533" spans="1:4">
      <c r="A4533" t="s">
        <v>40</v>
      </c>
      <c r="B4533" t="s">
        <v>3006</v>
      </c>
      <c r="C4533" t="s">
        <v>4931</v>
      </c>
      <c r="D4533">
        <v>1229</v>
      </c>
    </row>
    <row r="4534" spans="1:4">
      <c r="A4534" t="s">
        <v>40</v>
      </c>
      <c r="B4534" t="s">
        <v>2983</v>
      </c>
      <c r="C4534" t="s">
        <v>4932</v>
      </c>
      <c r="D4534">
        <v>239.99</v>
      </c>
    </row>
    <row r="4535" spans="1:4">
      <c r="A4535" t="s">
        <v>40</v>
      </c>
      <c r="B4535" t="s">
        <v>2980</v>
      </c>
      <c r="C4535" t="s">
        <v>4933</v>
      </c>
      <c r="D4535">
        <v>299</v>
      </c>
    </row>
    <row r="4536" spans="1:4">
      <c r="A4536" t="s">
        <v>40</v>
      </c>
      <c r="B4536" t="s">
        <v>2983</v>
      </c>
      <c r="C4536" t="s">
        <v>4934</v>
      </c>
      <c r="D4536">
        <v>359.99</v>
      </c>
    </row>
    <row r="4537" spans="1:4">
      <c r="A4537" t="s">
        <v>40</v>
      </c>
      <c r="B4537" t="s">
        <v>2980</v>
      </c>
      <c r="C4537" t="s">
        <v>4935</v>
      </c>
      <c r="D4537">
        <v>119.99</v>
      </c>
    </row>
    <row r="4538" spans="1:4">
      <c r="A4538" t="s">
        <v>40</v>
      </c>
      <c r="B4538" t="s">
        <v>1337</v>
      </c>
      <c r="C4538" t="s">
        <v>4936</v>
      </c>
      <c r="D4538">
        <v>299.99</v>
      </c>
    </row>
    <row r="4539" spans="1:4">
      <c r="A4539" t="s">
        <v>40</v>
      </c>
      <c r="B4539" t="s">
        <v>3009</v>
      </c>
      <c r="C4539" t="s">
        <v>4937</v>
      </c>
      <c r="D4539">
        <v>109.99</v>
      </c>
    </row>
    <row r="4540" spans="1:4">
      <c r="A4540" t="s">
        <v>40</v>
      </c>
      <c r="B4540" t="s">
        <v>3006</v>
      </c>
      <c r="C4540" t="s">
        <v>4938</v>
      </c>
      <c r="D4540">
        <v>1495</v>
      </c>
    </row>
    <row r="4541" spans="1:4">
      <c r="A4541" t="s">
        <v>40</v>
      </c>
      <c r="B4541" t="s">
        <v>2983</v>
      </c>
      <c r="C4541" t="s">
        <v>4939</v>
      </c>
      <c r="D4541">
        <v>519.99</v>
      </c>
    </row>
    <row r="4542" spans="1:4">
      <c r="A4542" t="s">
        <v>40</v>
      </c>
      <c r="B4542" t="s">
        <v>3006</v>
      </c>
      <c r="C4542" t="s">
        <v>4940</v>
      </c>
      <c r="D4542">
        <v>329.99</v>
      </c>
    </row>
    <row r="4543" spans="1:4">
      <c r="A4543" t="s">
        <v>40</v>
      </c>
      <c r="B4543" t="s">
        <v>2980</v>
      </c>
      <c r="C4543" t="s">
        <v>4941</v>
      </c>
      <c r="D4543">
        <v>229</v>
      </c>
    </row>
    <row r="4544" spans="1:4">
      <c r="A4544" t="s">
        <v>40</v>
      </c>
      <c r="B4544" t="s">
        <v>3006</v>
      </c>
      <c r="C4544" t="s">
        <v>4942</v>
      </c>
      <c r="D4544">
        <v>429.99</v>
      </c>
    </row>
    <row r="4545" spans="1:4">
      <c r="A4545" t="s">
        <v>40</v>
      </c>
      <c r="B4545" t="s">
        <v>2983</v>
      </c>
      <c r="C4545" t="s">
        <v>4943</v>
      </c>
      <c r="D4545">
        <v>279.99</v>
      </c>
    </row>
    <row r="4546" spans="1:4">
      <c r="A4546" t="s">
        <v>40</v>
      </c>
      <c r="B4546" t="s">
        <v>2980</v>
      </c>
      <c r="C4546" t="s">
        <v>4944</v>
      </c>
      <c r="D4546">
        <v>1099.99</v>
      </c>
    </row>
    <row r="4547" spans="1:4">
      <c r="A4547" t="s">
        <v>40</v>
      </c>
      <c r="B4547" t="s">
        <v>2980</v>
      </c>
      <c r="C4547" t="s">
        <v>4945</v>
      </c>
      <c r="D4547">
        <v>579</v>
      </c>
    </row>
    <row r="4548" spans="1:4">
      <c r="A4548" t="s">
        <v>40</v>
      </c>
      <c r="B4548" t="s">
        <v>3006</v>
      </c>
      <c r="C4548" t="s">
        <v>4946</v>
      </c>
      <c r="D4548">
        <v>289.99</v>
      </c>
    </row>
    <row r="4549" spans="1:4">
      <c r="A4549" t="s">
        <v>40</v>
      </c>
      <c r="B4549" t="s">
        <v>3006</v>
      </c>
      <c r="C4549" t="s">
        <v>4947</v>
      </c>
      <c r="D4549">
        <v>374.95</v>
      </c>
    </row>
    <row r="4550" spans="1:4">
      <c r="A4550" t="s">
        <v>40</v>
      </c>
      <c r="B4550" t="s">
        <v>2983</v>
      </c>
      <c r="C4550" t="s">
        <v>4948</v>
      </c>
      <c r="D4550">
        <v>549.98</v>
      </c>
    </row>
    <row r="4551" spans="1:4">
      <c r="A4551" t="s">
        <v>40</v>
      </c>
      <c r="B4551" t="s">
        <v>3006</v>
      </c>
      <c r="C4551" t="s">
        <v>4949</v>
      </c>
      <c r="D4551">
        <v>725</v>
      </c>
    </row>
    <row r="4552" spans="1:4">
      <c r="A4552" t="s">
        <v>40</v>
      </c>
      <c r="B4552" t="s">
        <v>3006</v>
      </c>
      <c r="C4552" t="s">
        <v>4950</v>
      </c>
      <c r="D4552">
        <v>561.19000000000005</v>
      </c>
    </row>
    <row r="4553" spans="1:4">
      <c r="A4553" t="s">
        <v>40</v>
      </c>
      <c r="B4553" t="s">
        <v>2980</v>
      </c>
      <c r="C4553" t="s">
        <v>4951</v>
      </c>
      <c r="D4553">
        <v>499.99</v>
      </c>
    </row>
    <row r="4554" spans="1:4">
      <c r="A4554" t="s">
        <v>40</v>
      </c>
      <c r="B4554" t="s">
        <v>1337</v>
      </c>
      <c r="C4554" t="s">
        <v>4952</v>
      </c>
      <c r="D4554">
        <v>789.99</v>
      </c>
    </row>
    <row r="4555" spans="1:4">
      <c r="A4555" t="s">
        <v>40</v>
      </c>
      <c r="B4555" t="s">
        <v>3006</v>
      </c>
      <c r="C4555" t="s">
        <v>3482</v>
      </c>
      <c r="D4555">
        <v>249</v>
      </c>
    </row>
    <row r="4556" spans="1:4">
      <c r="A4556" t="s">
        <v>40</v>
      </c>
      <c r="B4556" t="s">
        <v>2983</v>
      </c>
      <c r="C4556" t="s">
        <v>4953</v>
      </c>
      <c r="D4556">
        <v>249.99</v>
      </c>
    </row>
    <row r="4557" spans="1:4">
      <c r="A4557" t="s">
        <v>40</v>
      </c>
      <c r="B4557" t="s">
        <v>3006</v>
      </c>
      <c r="C4557" t="s">
        <v>4954</v>
      </c>
      <c r="D4557">
        <v>336.75</v>
      </c>
    </row>
    <row r="4558" spans="1:4">
      <c r="A4558" t="s">
        <v>40</v>
      </c>
      <c r="B4558" t="s">
        <v>3006</v>
      </c>
      <c r="C4558" t="s">
        <v>4955</v>
      </c>
      <c r="D4558">
        <v>449.99</v>
      </c>
    </row>
    <row r="4559" spans="1:4">
      <c r="A4559" t="s">
        <v>40</v>
      </c>
      <c r="B4559" t="s">
        <v>2980</v>
      </c>
      <c r="C4559" t="s">
        <v>4956</v>
      </c>
      <c r="D4559">
        <v>449.99</v>
      </c>
    </row>
    <row r="4560" spans="1:4">
      <c r="A4560" t="s">
        <v>40</v>
      </c>
      <c r="B4560" t="s">
        <v>3006</v>
      </c>
      <c r="C4560" t="s">
        <v>4181</v>
      </c>
      <c r="D4560">
        <v>325</v>
      </c>
    </row>
    <row r="4561" spans="1:4">
      <c r="A4561" t="s">
        <v>40</v>
      </c>
      <c r="B4561" t="s">
        <v>2980</v>
      </c>
      <c r="C4561" t="s">
        <v>4957</v>
      </c>
      <c r="D4561">
        <v>499.99</v>
      </c>
    </row>
    <row r="4562" spans="1:4">
      <c r="A4562" t="s">
        <v>40</v>
      </c>
      <c r="B4562" t="s">
        <v>2980</v>
      </c>
      <c r="C4562" t="s">
        <v>4958</v>
      </c>
      <c r="D4562">
        <v>265</v>
      </c>
    </row>
    <row r="4563" spans="1:4">
      <c r="A4563" t="s">
        <v>40</v>
      </c>
      <c r="B4563" t="s">
        <v>2980</v>
      </c>
      <c r="C4563" t="s">
        <v>4959</v>
      </c>
      <c r="D4563">
        <v>549.99</v>
      </c>
    </row>
    <row r="4564" spans="1:4">
      <c r="A4564" t="s">
        <v>40</v>
      </c>
      <c r="B4564" t="s">
        <v>2980</v>
      </c>
      <c r="C4564" t="s">
        <v>4960</v>
      </c>
      <c r="D4564">
        <v>499.99</v>
      </c>
    </row>
    <row r="4565" spans="1:4">
      <c r="A4565" t="s">
        <v>40</v>
      </c>
      <c r="B4565" t="s">
        <v>3081</v>
      </c>
      <c r="C4565" t="s">
        <v>4961</v>
      </c>
      <c r="D4565">
        <v>799.99</v>
      </c>
    </row>
    <row r="4566" spans="1:4">
      <c r="A4566" t="s">
        <v>40</v>
      </c>
      <c r="B4566" t="s">
        <v>2980</v>
      </c>
      <c r="C4566" t="s">
        <v>4962</v>
      </c>
      <c r="D4566">
        <v>429</v>
      </c>
    </row>
    <row r="4567" spans="1:4">
      <c r="A4567" t="s">
        <v>40</v>
      </c>
      <c r="B4567" t="s">
        <v>2983</v>
      </c>
      <c r="C4567" t="s">
        <v>4963</v>
      </c>
      <c r="D4567">
        <v>699.99</v>
      </c>
    </row>
    <row r="4568" spans="1:4">
      <c r="A4568" t="s">
        <v>40</v>
      </c>
      <c r="B4568" t="s">
        <v>3006</v>
      </c>
      <c r="C4568" t="s">
        <v>4417</v>
      </c>
      <c r="D4568">
        <v>349.99</v>
      </c>
    </row>
    <row r="4569" spans="1:4">
      <c r="A4569" t="s">
        <v>40</v>
      </c>
      <c r="B4569" t="s">
        <v>2983</v>
      </c>
      <c r="C4569" t="s">
        <v>4964</v>
      </c>
      <c r="D4569">
        <v>399.99</v>
      </c>
    </row>
    <row r="4570" spans="1:4">
      <c r="A4570" t="s">
        <v>40</v>
      </c>
      <c r="B4570" t="s">
        <v>2983</v>
      </c>
      <c r="C4570" t="s">
        <v>4965</v>
      </c>
      <c r="D4570">
        <v>239.99</v>
      </c>
    </row>
    <row r="4571" spans="1:4">
      <c r="A4571" t="s">
        <v>40</v>
      </c>
      <c r="B4571" t="s">
        <v>2994</v>
      </c>
      <c r="C4571" t="s">
        <v>4966</v>
      </c>
      <c r="D4571">
        <v>579.99</v>
      </c>
    </row>
    <row r="4572" spans="1:4">
      <c r="A4572" t="s">
        <v>40</v>
      </c>
      <c r="B4572" t="s">
        <v>2983</v>
      </c>
      <c r="C4572" t="s">
        <v>4967</v>
      </c>
      <c r="D4572">
        <v>289.99</v>
      </c>
    </row>
    <row r="4573" spans="1:4">
      <c r="A4573" t="s">
        <v>40</v>
      </c>
      <c r="B4573" t="s">
        <v>2983</v>
      </c>
      <c r="C4573" t="s">
        <v>4968</v>
      </c>
      <c r="D4573">
        <v>259.99</v>
      </c>
    </row>
    <row r="4574" spans="1:4">
      <c r="A4574" t="s">
        <v>40</v>
      </c>
      <c r="B4574" t="s">
        <v>2983</v>
      </c>
      <c r="C4574" t="s">
        <v>4969</v>
      </c>
      <c r="D4574">
        <v>544.30999999999995</v>
      </c>
    </row>
    <row r="4575" spans="1:4">
      <c r="A4575" t="s">
        <v>40</v>
      </c>
      <c r="C4575" t="s">
        <v>3329</v>
      </c>
    </row>
    <row r="4576" spans="1:4">
      <c r="A4576" t="s">
        <v>40</v>
      </c>
      <c r="B4576" t="s">
        <v>2983</v>
      </c>
      <c r="C4576" t="s">
        <v>4970</v>
      </c>
      <c r="D4576">
        <v>499.99</v>
      </c>
    </row>
    <row r="4577" spans="1:4">
      <c r="A4577" t="s">
        <v>40</v>
      </c>
      <c r="B4577" t="s">
        <v>2980</v>
      </c>
      <c r="C4577" t="s">
        <v>4971</v>
      </c>
      <c r="D4577">
        <v>449.99</v>
      </c>
    </row>
    <row r="4578" spans="1:4">
      <c r="A4578" t="s">
        <v>40</v>
      </c>
      <c r="B4578" t="s">
        <v>2980</v>
      </c>
      <c r="C4578" t="s">
        <v>4972</v>
      </c>
      <c r="D4578">
        <v>399.99</v>
      </c>
    </row>
    <row r="4579" spans="1:4">
      <c r="A4579" t="s">
        <v>40</v>
      </c>
      <c r="B4579" t="s">
        <v>2980</v>
      </c>
      <c r="C4579" t="s">
        <v>4973</v>
      </c>
      <c r="D4579">
        <v>649</v>
      </c>
    </row>
    <row r="4580" spans="1:4">
      <c r="A4580" t="s">
        <v>40</v>
      </c>
      <c r="B4580" t="s">
        <v>3006</v>
      </c>
      <c r="C4580" t="s">
        <v>4974</v>
      </c>
      <c r="D4580">
        <v>449.99</v>
      </c>
    </row>
    <row r="4581" spans="1:4">
      <c r="A4581" t="s">
        <v>40</v>
      </c>
      <c r="B4581" t="s">
        <v>2980</v>
      </c>
      <c r="C4581" t="s">
        <v>4975</v>
      </c>
      <c r="D4581">
        <v>899</v>
      </c>
    </row>
    <row r="4582" spans="1:4">
      <c r="A4582" t="s">
        <v>40</v>
      </c>
      <c r="B4582" t="s">
        <v>3006</v>
      </c>
      <c r="C4582" t="s">
        <v>4976</v>
      </c>
      <c r="D4582">
        <v>469.99</v>
      </c>
    </row>
    <row r="4583" spans="1:4">
      <c r="A4583" t="s">
        <v>40</v>
      </c>
      <c r="B4583" t="s">
        <v>505</v>
      </c>
      <c r="C4583" t="s">
        <v>4977</v>
      </c>
      <c r="D4583">
        <v>899.99</v>
      </c>
    </row>
    <row r="4584" spans="1:4">
      <c r="A4584" t="s">
        <v>40</v>
      </c>
      <c r="B4584" t="s">
        <v>2980</v>
      </c>
      <c r="C4584" t="s">
        <v>4978</v>
      </c>
      <c r="D4584">
        <v>599.99</v>
      </c>
    </row>
    <row r="4585" spans="1:4">
      <c r="A4585" t="s">
        <v>40</v>
      </c>
      <c r="B4585" t="s">
        <v>2980</v>
      </c>
      <c r="C4585" t="s">
        <v>4979</v>
      </c>
      <c r="D4585">
        <v>399.99</v>
      </c>
    </row>
    <row r="4586" spans="1:4">
      <c r="A4586" t="s">
        <v>40</v>
      </c>
      <c r="B4586" t="s">
        <v>3006</v>
      </c>
      <c r="C4586" t="s">
        <v>4980</v>
      </c>
      <c r="D4586">
        <v>249</v>
      </c>
    </row>
    <row r="4587" spans="1:4">
      <c r="A4587" t="s">
        <v>40</v>
      </c>
      <c r="B4587" t="s">
        <v>2980</v>
      </c>
      <c r="C4587" t="s">
        <v>4981</v>
      </c>
      <c r="D4587">
        <v>1649.99</v>
      </c>
    </row>
    <row r="4588" spans="1:4">
      <c r="A4588" t="s">
        <v>40</v>
      </c>
      <c r="B4588" t="s">
        <v>3107</v>
      </c>
      <c r="C4588" t="s">
        <v>4982</v>
      </c>
      <c r="D4588">
        <v>319.99</v>
      </c>
    </row>
    <row r="4589" spans="1:4">
      <c r="A4589" t="s">
        <v>40</v>
      </c>
      <c r="B4589" t="s">
        <v>2980</v>
      </c>
      <c r="C4589" t="s">
        <v>4983</v>
      </c>
      <c r="D4589">
        <v>549</v>
      </c>
    </row>
    <row r="4590" spans="1:4">
      <c r="A4590" t="s">
        <v>40</v>
      </c>
      <c r="B4590" t="s">
        <v>3006</v>
      </c>
      <c r="C4590" t="s">
        <v>4984</v>
      </c>
      <c r="D4590">
        <v>329</v>
      </c>
    </row>
    <row r="4591" spans="1:4">
      <c r="A4591" t="s">
        <v>40</v>
      </c>
      <c r="B4591" t="s">
        <v>3006</v>
      </c>
      <c r="C4591" t="s">
        <v>4985</v>
      </c>
      <c r="D4591">
        <v>319.99</v>
      </c>
    </row>
    <row r="4592" spans="1:4">
      <c r="A4592" t="s">
        <v>40</v>
      </c>
      <c r="B4592" t="s">
        <v>2983</v>
      </c>
      <c r="C4592" t="s">
        <v>4986</v>
      </c>
      <c r="D4592">
        <v>1739</v>
      </c>
    </row>
    <row r="4593" spans="1:4">
      <c r="A4593" t="s">
        <v>40</v>
      </c>
      <c r="B4593" t="s">
        <v>2980</v>
      </c>
      <c r="C4593" t="s">
        <v>4987</v>
      </c>
      <c r="D4593">
        <v>391.99</v>
      </c>
    </row>
    <row r="4594" spans="1:4">
      <c r="A4594" t="s">
        <v>40</v>
      </c>
      <c r="B4594" t="s">
        <v>3006</v>
      </c>
      <c r="C4594" t="s">
        <v>4988</v>
      </c>
      <c r="D4594">
        <v>404.99</v>
      </c>
    </row>
    <row r="4595" spans="1:4">
      <c r="A4595" t="s">
        <v>40</v>
      </c>
      <c r="B4595" t="s">
        <v>3081</v>
      </c>
      <c r="C4595" t="s">
        <v>4989</v>
      </c>
      <c r="D4595">
        <v>549.99</v>
      </c>
    </row>
    <row r="4596" spans="1:4">
      <c r="A4596" t="s">
        <v>40</v>
      </c>
      <c r="B4596" t="s">
        <v>3006</v>
      </c>
      <c r="C4596" t="s">
        <v>4990</v>
      </c>
      <c r="D4596">
        <v>124.99</v>
      </c>
    </row>
    <row r="4597" spans="1:4">
      <c r="A4597" t="s">
        <v>40</v>
      </c>
      <c r="B4597" t="s">
        <v>2980</v>
      </c>
      <c r="C4597" t="s">
        <v>4991</v>
      </c>
      <c r="D4597">
        <v>349.95</v>
      </c>
    </row>
    <row r="4598" spans="1:4">
      <c r="A4598" t="s">
        <v>40</v>
      </c>
      <c r="B4598" t="s">
        <v>2983</v>
      </c>
      <c r="C4598" t="s">
        <v>4498</v>
      </c>
      <c r="D4598">
        <v>289.89999999999998</v>
      </c>
    </row>
    <row r="4599" spans="1:4">
      <c r="A4599" t="s">
        <v>40</v>
      </c>
      <c r="B4599" t="s">
        <v>3006</v>
      </c>
      <c r="C4599" t="s">
        <v>4992</v>
      </c>
      <c r="D4599">
        <v>229.99</v>
      </c>
    </row>
    <row r="4600" spans="1:4">
      <c r="A4600" t="s">
        <v>40</v>
      </c>
      <c r="B4600" t="s">
        <v>2980</v>
      </c>
      <c r="C4600" t="s">
        <v>4993</v>
      </c>
      <c r="D4600">
        <v>599.99</v>
      </c>
    </row>
    <row r="4601" spans="1:4">
      <c r="A4601" t="s">
        <v>40</v>
      </c>
      <c r="B4601" t="s">
        <v>2980</v>
      </c>
      <c r="C4601" t="s">
        <v>4994</v>
      </c>
      <c r="D4601">
        <v>705.99</v>
      </c>
    </row>
    <row r="4602" spans="1:4">
      <c r="A4602" t="s">
        <v>40</v>
      </c>
      <c r="B4602" t="s">
        <v>2980</v>
      </c>
      <c r="C4602" t="s">
        <v>4995</v>
      </c>
      <c r="D4602">
        <v>2699.99</v>
      </c>
    </row>
    <row r="4603" spans="1:4">
      <c r="A4603" t="s">
        <v>40</v>
      </c>
      <c r="B4603" t="s">
        <v>3006</v>
      </c>
      <c r="C4603" t="s">
        <v>4996</v>
      </c>
      <c r="D4603">
        <v>408</v>
      </c>
    </row>
    <row r="4604" spans="1:4">
      <c r="A4604" t="s">
        <v>40</v>
      </c>
      <c r="B4604" t="s">
        <v>2980</v>
      </c>
      <c r="C4604" t="s">
        <v>4997</v>
      </c>
      <c r="D4604">
        <v>279.89999999999998</v>
      </c>
    </row>
    <row r="4605" spans="1:4">
      <c r="A4605" t="s">
        <v>40</v>
      </c>
      <c r="B4605" t="s">
        <v>2983</v>
      </c>
      <c r="C4605" t="s">
        <v>4998</v>
      </c>
      <c r="D4605">
        <v>159.99</v>
      </c>
    </row>
    <row r="4606" spans="1:4">
      <c r="A4606" t="s">
        <v>40</v>
      </c>
      <c r="B4606" t="s">
        <v>3107</v>
      </c>
      <c r="C4606" t="s">
        <v>4999</v>
      </c>
      <c r="D4606">
        <v>429.99</v>
      </c>
    </row>
    <row r="4607" spans="1:4">
      <c r="A4607" t="s">
        <v>40</v>
      </c>
      <c r="B4607" t="s">
        <v>2983</v>
      </c>
      <c r="C4607" t="s">
        <v>5000</v>
      </c>
      <c r="D4607">
        <v>699.99</v>
      </c>
    </row>
    <row r="4608" spans="1:4">
      <c r="A4608" t="s">
        <v>40</v>
      </c>
      <c r="B4608" t="s">
        <v>2980</v>
      </c>
      <c r="C4608" t="s">
        <v>5001</v>
      </c>
      <c r="D4608">
        <v>449.99</v>
      </c>
    </row>
    <row r="4609" spans="1:4">
      <c r="A4609" t="s">
        <v>40</v>
      </c>
      <c r="B4609" t="s">
        <v>2980</v>
      </c>
      <c r="C4609" t="s">
        <v>5002</v>
      </c>
      <c r="D4609">
        <v>499</v>
      </c>
    </row>
    <row r="4610" spans="1:4">
      <c r="A4610" t="s">
        <v>40</v>
      </c>
      <c r="B4610" t="s">
        <v>3006</v>
      </c>
      <c r="C4610" t="s">
        <v>5003</v>
      </c>
      <c r="D4610">
        <v>189</v>
      </c>
    </row>
    <row r="4611" spans="1:4">
      <c r="A4611" t="s">
        <v>40</v>
      </c>
      <c r="B4611" t="s">
        <v>2983</v>
      </c>
      <c r="C4611" t="s">
        <v>5004</v>
      </c>
      <c r="D4611">
        <v>649.95000000000005</v>
      </c>
    </row>
    <row r="4612" spans="1:4">
      <c r="A4612" t="s">
        <v>40</v>
      </c>
      <c r="B4612" t="s">
        <v>3081</v>
      </c>
      <c r="C4612" t="s">
        <v>5005</v>
      </c>
      <c r="D4612">
        <v>275</v>
      </c>
    </row>
    <row r="4613" spans="1:4">
      <c r="A4613" t="s">
        <v>40</v>
      </c>
      <c r="B4613" t="s">
        <v>2980</v>
      </c>
      <c r="C4613" t="s">
        <v>5006</v>
      </c>
      <c r="D4613">
        <v>89.99</v>
      </c>
    </row>
    <row r="4614" spans="1:4">
      <c r="A4614" t="s">
        <v>40</v>
      </c>
      <c r="B4614" t="s">
        <v>3006</v>
      </c>
      <c r="C4614" t="s">
        <v>5007</v>
      </c>
      <c r="D4614">
        <v>229.99</v>
      </c>
    </row>
    <row r="4615" spans="1:4">
      <c r="A4615" t="s">
        <v>40</v>
      </c>
      <c r="B4615" t="s">
        <v>2983</v>
      </c>
      <c r="C4615" t="s">
        <v>5008</v>
      </c>
      <c r="D4615">
        <v>119.99</v>
      </c>
    </row>
    <row r="4616" spans="1:4">
      <c r="A4616" t="s">
        <v>40</v>
      </c>
      <c r="B4616" t="s">
        <v>2983</v>
      </c>
      <c r="C4616" t="s">
        <v>5009</v>
      </c>
      <c r="D4616">
        <v>164.99</v>
      </c>
    </row>
    <row r="4617" spans="1:4">
      <c r="A4617" t="s">
        <v>40</v>
      </c>
      <c r="B4617" t="s">
        <v>3006</v>
      </c>
      <c r="C4617" t="s">
        <v>5010</v>
      </c>
      <c r="D4617">
        <v>273</v>
      </c>
    </row>
    <row r="4618" spans="1:4">
      <c r="A4618" t="s">
        <v>40</v>
      </c>
      <c r="B4618" t="s">
        <v>2983</v>
      </c>
      <c r="C4618" t="s">
        <v>5011</v>
      </c>
      <c r="D4618">
        <v>449.99</v>
      </c>
    </row>
    <row r="4619" spans="1:4">
      <c r="A4619" t="s">
        <v>40</v>
      </c>
      <c r="B4619" t="s">
        <v>1337</v>
      </c>
      <c r="C4619" t="s">
        <v>5012</v>
      </c>
      <c r="D4619">
        <v>597.98</v>
      </c>
    </row>
    <row r="4620" spans="1:4">
      <c r="A4620" t="s">
        <v>40</v>
      </c>
      <c r="B4620" t="s">
        <v>2983</v>
      </c>
      <c r="C4620" t="s">
        <v>5013</v>
      </c>
      <c r="D4620">
        <v>220</v>
      </c>
    </row>
    <row r="4621" spans="1:4">
      <c r="A4621" t="s">
        <v>40</v>
      </c>
      <c r="B4621" t="s">
        <v>2980</v>
      </c>
      <c r="C4621" t="s">
        <v>5014</v>
      </c>
      <c r="D4621">
        <v>289.95</v>
      </c>
    </row>
    <row r="4622" spans="1:4">
      <c r="A4622" t="s">
        <v>40</v>
      </c>
      <c r="B4622" t="s">
        <v>3006</v>
      </c>
      <c r="C4622" t="s">
        <v>5015</v>
      </c>
      <c r="D4622">
        <v>469.99</v>
      </c>
    </row>
    <row r="4623" spans="1:4">
      <c r="A4623" t="s">
        <v>40</v>
      </c>
      <c r="B4623" t="s">
        <v>2983</v>
      </c>
      <c r="C4623" t="s">
        <v>5016</v>
      </c>
      <c r="D4623">
        <v>372.95</v>
      </c>
    </row>
    <row r="4624" spans="1:4">
      <c r="A4624" t="s">
        <v>40</v>
      </c>
      <c r="B4624" t="s">
        <v>2983</v>
      </c>
      <c r="C4624" t="s">
        <v>5017</v>
      </c>
      <c r="D4624">
        <v>499.99</v>
      </c>
    </row>
    <row r="4625" spans="1:4">
      <c r="A4625" t="s">
        <v>40</v>
      </c>
      <c r="B4625" t="s">
        <v>2980</v>
      </c>
      <c r="C4625" t="s">
        <v>5018</v>
      </c>
      <c r="D4625">
        <v>118.99</v>
      </c>
    </row>
    <row r="4626" spans="1:4">
      <c r="A4626" t="s">
        <v>40</v>
      </c>
      <c r="B4626" t="s">
        <v>2983</v>
      </c>
      <c r="C4626" t="s">
        <v>5019</v>
      </c>
      <c r="D4626">
        <v>219.99</v>
      </c>
    </row>
    <row r="4627" spans="1:4">
      <c r="A4627" t="s">
        <v>40</v>
      </c>
      <c r="B4627" t="s">
        <v>3006</v>
      </c>
      <c r="C4627" t="s">
        <v>5020</v>
      </c>
      <c r="D4627">
        <v>1499</v>
      </c>
    </row>
    <row r="4628" spans="1:4">
      <c r="A4628" t="s">
        <v>40</v>
      </c>
      <c r="B4628" t="s">
        <v>3006</v>
      </c>
      <c r="C4628" t="s">
        <v>5021</v>
      </c>
      <c r="D4628">
        <v>925</v>
      </c>
    </row>
    <row r="4629" spans="1:4">
      <c r="A4629" t="s">
        <v>40</v>
      </c>
      <c r="B4629" t="s">
        <v>2980</v>
      </c>
      <c r="C4629" t="s">
        <v>5022</v>
      </c>
      <c r="D4629">
        <v>549.99</v>
      </c>
    </row>
    <row r="4630" spans="1:4">
      <c r="A4630" t="s">
        <v>40</v>
      </c>
      <c r="B4630" t="s">
        <v>561</v>
      </c>
      <c r="C4630" t="s">
        <v>5023</v>
      </c>
      <c r="D4630">
        <v>499</v>
      </c>
    </row>
    <row r="4631" spans="1:4">
      <c r="A4631" t="s">
        <v>40</v>
      </c>
      <c r="B4631" t="s">
        <v>3081</v>
      </c>
      <c r="C4631" t="s">
        <v>5024</v>
      </c>
      <c r="D4631">
        <v>169</v>
      </c>
    </row>
    <row r="4632" spans="1:4">
      <c r="A4632" t="s">
        <v>40</v>
      </c>
      <c r="B4632" t="s">
        <v>3006</v>
      </c>
      <c r="C4632" t="s">
        <v>5025</v>
      </c>
      <c r="D4632">
        <v>149.99</v>
      </c>
    </row>
    <row r="4633" spans="1:4">
      <c r="A4633" t="s">
        <v>40</v>
      </c>
      <c r="B4633" t="s">
        <v>3006</v>
      </c>
      <c r="C4633" t="s">
        <v>5026</v>
      </c>
      <c r="D4633">
        <v>249.99</v>
      </c>
    </row>
    <row r="4634" spans="1:4">
      <c r="A4634" t="s">
        <v>40</v>
      </c>
      <c r="B4634" t="s">
        <v>2980</v>
      </c>
      <c r="C4634" t="s">
        <v>5027</v>
      </c>
      <c r="D4634">
        <v>449.99</v>
      </c>
    </row>
    <row r="4635" spans="1:4">
      <c r="A4635" t="s">
        <v>40</v>
      </c>
      <c r="B4635" t="s">
        <v>2994</v>
      </c>
      <c r="C4635" t="s">
        <v>5028</v>
      </c>
      <c r="D4635">
        <v>599.99</v>
      </c>
    </row>
    <row r="4636" spans="1:4">
      <c r="A4636" t="s">
        <v>40</v>
      </c>
      <c r="B4636" t="s">
        <v>2980</v>
      </c>
      <c r="C4636" t="s">
        <v>5029</v>
      </c>
      <c r="D4636">
        <v>449.99</v>
      </c>
    </row>
    <row r="4637" spans="1:4">
      <c r="A4637" t="s">
        <v>40</v>
      </c>
      <c r="B4637" t="s">
        <v>3175</v>
      </c>
      <c r="C4637" t="s">
        <v>5030</v>
      </c>
      <c r="D4637">
        <v>69.989999999999995</v>
      </c>
    </row>
    <row r="4638" spans="1:4">
      <c r="A4638" t="s">
        <v>40</v>
      </c>
      <c r="B4638" t="s">
        <v>3030</v>
      </c>
      <c r="C4638" t="s">
        <v>5031</v>
      </c>
      <c r="D4638">
        <v>579.99</v>
      </c>
    </row>
    <row r="4639" spans="1:4">
      <c r="A4639" t="s">
        <v>40</v>
      </c>
      <c r="B4639" t="s">
        <v>3039</v>
      </c>
      <c r="C4639" t="s">
        <v>5032</v>
      </c>
      <c r="D4639">
        <v>804.3</v>
      </c>
    </row>
    <row r="4640" spans="1:4">
      <c r="A4640" t="s">
        <v>40</v>
      </c>
      <c r="B4640" t="s">
        <v>2983</v>
      </c>
      <c r="C4640" t="s">
        <v>3257</v>
      </c>
      <c r="D4640">
        <v>429.99</v>
      </c>
    </row>
    <row r="4641" spans="1:4">
      <c r="A4641" t="s">
        <v>40</v>
      </c>
      <c r="B4641" t="s">
        <v>3006</v>
      </c>
      <c r="C4641" t="s">
        <v>5033</v>
      </c>
      <c r="D4641">
        <v>399.99</v>
      </c>
    </row>
    <row r="4642" spans="1:4">
      <c r="A4642" t="s">
        <v>40</v>
      </c>
      <c r="B4642" t="s">
        <v>3006</v>
      </c>
      <c r="C4642" t="s">
        <v>3463</v>
      </c>
      <c r="D4642">
        <v>799.99</v>
      </c>
    </row>
    <row r="4643" spans="1:4">
      <c r="A4643" t="s">
        <v>40</v>
      </c>
      <c r="B4643" t="s">
        <v>2983</v>
      </c>
      <c r="C4643" t="s">
        <v>5034</v>
      </c>
      <c r="D4643">
        <v>314.99</v>
      </c>
    </row>
    <row r="4644" spans="1:4">
      <c r="A4644" t="s">
        <v>40</v>
      </c>
      <c r="B4644" t="s">
        <v>2980</v>
      </c>
      <c r="C4644" t="s">
        <v>5035</v>
      </c>
      <c r="D4644">
        <v>499</v>
      </c>
    </row>
    <row r="4645" spans="1:4">
      <c r="A4645" t="s">
        <v>40</v>
      </c>
      <c r="B4645" t="s">
        <v>3107</v>
      </c>
      <c r="C4645" t="s">
        <v>5036</v>
      </c>
      <c r="D4645">
        <v>1099.98</v>
      </c>
    </row>
    <row r="4646" spans="1:4">
      <c r="A4646" t="s">
        <v>40</v>
      </c>
      <c r="B4646" t="s">
        <v>2980</v>
      </c>
      <c r="C4646" t="s">
        <v>5037</v>
      </c>
      <c r="D4646">
        <v>599</v>
      </c>
    </row>
    <row r="4647" spans="1:4">
      <c r="A4647" t="s">
        <v>40</v>
      </c>
      <c r="B4647" t="s">
        <v>3030</v>
      </c>
      <c r="C4647" t="s">
        <v>5038</v>
      </c>
      <c r="D4647">
        <v>379.99</v>
      </c>
    </row>
    <row r="4648" spans="1:4">
      <c r="A4648" t="s">
        <v>40</v>
      </c>
      <c r="B4648" t="s">
        <v>3006</v>
      </c>
      <c r="C4648" t="s">
        <v>5039</v>
      </c>
      <c r="D4648">
        <v>669.99</v>
      </c>
    </row>
    <row r="4649" spans="1:4">
      <c r="A4649" t="s">
        <v>40</v>
      </c>
      <c r="B4649" t="s">
        <v>2980</v>
      </c>
      <c r="C4649" t="s">
        <v>5040</v>
      </c>
      <c r="D4649">
        <v>239.94</v>
      </c>
    </row>
    <row r="4650" spans="1:4">
      <c r="A4650" t="s">
        <v>40</v>
      </c>
      <c r="B4650" t="s">
        <v>3081</v>
      </c>
      <c r="C4650" t="s">
        <v>5041</v>
      </c>
      <c r="D4650">
        <v>179.99</v>
      </c>
    </row>
    <row r="4651" spans="1:4">
      <c r="A4651" t="s">
        <v>40</v>
      </c>
      <c r="B4651" t="s">
        <v>2980</v>
      </c>
      <c r="C4651" t="s">
        <v>4983</v>
      </c>
      <c r="D4651">
        <v>549</v>
      </c>
    </row>
    <row r="4652" spans="1:4">
      <c r="A4652" t="s">
        <v>40</v>
      </c>
      <c r="B4652" t="s">
        <v>2983</v>
      </c>
      <c r="C4652" t="s">
        <v>5042</v>
      </c>
      <c r="D4652">
        <v>264.99</v>
      </c>
    </row>
    <row r="4653" spans="1:4">
      <c r="A4653" t="s">
        <v>40</v>
      </c>
      <c r="B4653" t="s">
        <v>1337</v>
      </c>
      <c r="C4653" t="s">
        <v>5043</v>
      </c>
      <c r="D4653">
        <v>699.99</v>
      </c>
    </row>
    <row r="4654" spans="1:4">
      <c r="A4654" t="s">
        <v>40</v>
      </c>
      <c r="B4654" t="s">
        <v>3006</v>
      </c>
      <c r="C4654" t="s">
        <v>5044</v>
      </c>
      <c r="D4654">
        <v>529.99</v>
      </c>
    </row>
    <row r="4655" spans="1:4">
      <c r="A4655" t="s">
        <v>40</v>
      </c>
      <c r="B4655" t="s">
        <v>3006</v>
      </c>
      <c r="C4655" t="s">
        <v>5045</v>
      </c>
      <c r="D4655">
        <v>679.99</v>
      </c>
    </row>
    <row r="4656" spans="1:4">
      <c r="A4656" t="s">
        <v>40</v>
      </c>
      <c r="B4656" t="s">
        <v>3006</v>
      </c>
      <c r="C4656" t="s">
        <v>5046</v>
      </c>
      <c r="D4656">
        <v>555</v>
      </c>
    </row>
    <row r="4657" spans="1:4">
      <c r="A4657" t="s">
        <v>40</v>
      </c>
      <c r="B4657" t="s">
        <v>2980</v>
      </c>
      <c r="C4657" t="s">
        <v>5047</v>
      </c>
      <c r="D4657">
        <v>1699.99</v>
      </c>
    </row>
    <row r="4658" spans="1:4">
      <c r="A4658" t="s">
        <v>40</v>
      </c>
      <c r="B4658" t="s">
        <v>2980</v>
      </c>
      <c r="C4658" t="s">
        <v>5048</v>
      </c>
      <c r="D4658">
        <v>359.95</v>
      </c>
    </row>
    <row r="4659" spans="1:4">
      <c r="A4659" t="s">
        <v>40</v>
      </c>
      <c r="B4659" t="s">
        <v>3006</v>
      </c>
      <c r="C4659" t="s">
        <v>5049</v>
      </c>
      <c r="D4659">
        <v>459.99</v>
      </c>
    </row>
    <row r="4660" spans="1:4">
      <c r="A4660" t="s">
        <v>40</v>
      </c>
      <c r="B4660" t="s">
        <v>3006</v>
      </c>
      <c r="C4660" t="s">
        <v>5050</v>
      </c>
      <c r="D4660">
        <v>273</v>
      </c>
    </row>
    <row r="4661" spans="1:4">
      <c r="A4661" t="s">
        <v>40</v>
      </c>
      <c r="B4661" t="s">
        <v>3006</v>
      </c>
      <c r="C4661" t="s">
        <v>5051</v>
      </c>
      <c r="D4661">
        <v>429.99</v>
      </c>
    </row>
    <row r="4662" spans="1:4">
      <c r="A4662" t="s">
        <v>40</v>
      </c>
      <c r="B4662" t="s">
        <v>1337</v>
      </c>
      <c r="C4662" t="s">
        <v>5052</v>
      </c>
      <c r="D4662">
        <v>999.97</v>
      </c>
    </row>
    <row r="4663" spans="1:4">
      <c r="A4663" t="s">
        <v>40</v>
      </c>
      <c r="B4663" t="s">
        <v>3009</v>
      </c>
      <c r="C4663" t="s">
        <v>5053</v>
      </c>
      <c r="D4663">
        <v>159.99</v>
      </c>
    </row>
    <row r="4664" spans="1:4">
      <c r="A4664" t="s">
        <v>40</v>
      </c>
      <c r="B4664" t="s">
        <v>2980</v>
      </c>
      <c r="C4664" t="s">
        <v>5054</v>
      </c>
      <c r="D4664">
        <v>1699.99</v>
      </c>
    </row>
    <row r="4665" spans="1:4">
      <c r="A4665" t="s">
        <v>40</v>
      </c>
      <c r="B4665" t="s">
        <v>2980</v>
      </c>
      <c r="C4665" t="s">
        <v>5055</v>
      </c>
      <c r="D4665">
        <v>539</v>
      </c>
    </row>
    <row r="4666" spans="1:4">
      <c r="A4666" t="s">
        <v>40</v>
      </c>
      <c r="B4666" t="s">
        <v>1337</v>
      </c>
      <c r="C4666" t="s">
        <v>5056</v>
      </c>
      <c r="D4666">
        <v>999.99</v>
      </c>
    </row>
    <row r="4667" spans="1:4">
      <c r="A4667" t="s">
        <v>40</v>
      </c>
      <c r="B4667" t="s">
        <v>2983</v>
      </c>
      <c r="C4667" t="s">
        <v>5057</v>
      </c>
      <c r="D4667">
        <v>269.99</v>
      </c>
    </row>
    <row r="4668" spans="1:4">
      <c r="A4668" t="s">
        <v>40</v>
      </c>
      <c r="B4668" t="s">
        <v>3107</v>
      </c>
      <c r="C4668" t="s">
        <v>5058</v>
      </c>
      <c r="D4668">
        <v>239.99</v>
      </c>
    </row>
    <row r="4669" spans="1:4">
      <c r="A4669" t="s">
        <v>40</v>
      </c>
      <c r="B4669" t="s">
        <v>3006</v>
      </c>
      <c r="C4669" t="s">
        <v>5059</v>
      </c>
      <c r="D4669">
        <v>104.99</v>
      </c>
    </row>
    <row r="4670" spans="1:4">
      <c r="A4670" t="s">
        <v>40</v>
      </c>
      <c r="B4670" t="s">
        <v>3107</v>
      </c>
      <c r="C4670" t="s">
        <v>5060</v>
      </c>
      <c r="D4670">
        <v>429.99</v>
      </c>
    </row>
    <row r="4671" spans="1:4">
      <c r="A4671" t="s">
        <v>40</v>
      </c>
      <c r="B4671" t="s">
        <v>2983</v>
      </c>
      <c r="C4671" t="s">
        <v>5061</v>
      </c>
      <c r="D4671">
        <v>429.99</v>
      </c>
    </row>
    <row r="4672" spans="1:4">
      <c r="A4672" t="s">
        <v>40</v>
      </c>
      <c r="B4672" t="s">
        <v>3030</v>
      </c>
      <c r="C4672" t="s">
        <v>5062</v>
      </c>
      <c r="D4672">
        <v>250</v>
      </c>
    </row>
    <row r="4673" spans="1:4">
      <c r="A4673" t="s">
        <v>40</v>
      </c>
      <c r="B4673" t="s">
        <v>3006</v>
      </c>
      <c r="C4673" t="s">
        <v>5063</v>
      </c>
      <c r="D4673">
        <v>1449</v>
      </c>
    </row>
    <row r="4674" spans="1:4">
      <c r="A4674" t="s">
        <v>40</v>
      </c>
      <c r="B4674" t="s">
        <v>3006</v>
      </c>
      <c r="C4674" t="s">
        <v>5064</v>
      </c>
      <c r="D4674">
        <v>839</v>
      </c>
    </row>
    <row r="4675" spans="1:4">
      <c r="A4675" t="s">
        <v>40</v>
      </c>
      <c r="B4675" t="s">
        <v>2983</v>
      </c>
      <c r="C4675" t="s">
        <v>5065</v>
      </c>
      <c r="D4675">
        <v>669.99</v>
      </c>
    </row>
    <row r="4676" spans="1:4">
      <c r="A4676" t="s">
        <v>40</v>
      </c>
      <c r="B4676" t="s">
        <v>2983</v>
      </c>
      <c r="C4676" t="s">
        <v>3930</v>
      </c>
      <c r="D4676">
        <v>136.79</v>
      </c>
    </row>
    <row r="4677" spans="1:4">
      <c r="A4677" t="s">
        <v>40</v>
      </c>
      <c r="B4677" t="s">
        <v>2980</v>
      </c>
      <c r="C4677" t="s">
        <v>5066</v>
      </c>
      <c r="D4677">
        <v>679.99</v>
      </c>
    </row>
    <row r="4678" spans="1:4">
      <c r="A4678" t="s">
        <v>40</v>
      </c>
      <c r="B4678" t="s">
        <v>3006</v>
      </c>
      <c r="C4678" t="s">
        <v>5067</v>
      </c>
      <c r="D4678">
        <v>395.99</v>
      </c>
    </row>
    <row r="4679" spans="1:4">
      <c r="A4679" t="s">
        <v>40</v>
      </c>
      <c r="B4679" t="s">
        <v>3006</v>
      </c>
      <c r="C4679" t="s">
        <v>5068</v>
      </c>
      <c r="D4679">
        <v>409.99</v>
      </c>
    </row>
    <row r="4680" spans="1:4">
      <c r="A4680" t="s">
        <v>40</v>
      </c>
      <c r="B4680" t="s">
        <v>2980</v>
      </c>
      <c r="C4680" t="s">
        <v>5069</v>
      </c>
      <c r="D4680">
        <v>380</v>
      </c>
    </row>
    <row r="4681" spans="1:4">
      <c r="A4681" t="s">
        <v>40</v>
      </c>
      <c r="B4681" t="s">
        <v>3030</v>
      </c>
      <c r="C4681" t="s">
        <v>3788</v>
      </c>
      <c r="D4681">
        <v>649.99</v>
      </c>
    </row>
    <row r="4682" spans="1:4">
      <c r="A4682" t="s">
        <v>40</v>
      </c>
      <c r="B4682" t="s">
        <v>2994</v>
      </c>
      <c r="C4682" t="s">
        <v>5070</v>
      </c>
      <c r="D4682">
        <v>479.99</v>
      </c>
    </row>
    <row r="4683" spans="1:4">
      <c r="A4683" t="s">
        <v>40</v>
      </c>
      <c r="B4683" t="s">
        <v>1337</v>
      </c>
      <c r="C4683" t="s">
        <v>5071</v>
      </c>
      <c r="D4683">
        <v>309.99</v>
      </c>
    </row>
    <row r="4684" spans="1:4">
      <c r="A4684" t="s">
        <v>40</v>
      </c>
      <c r="B4684" t="s">
        <v>2983</v>
      </c>
      <c r="C4684" t="s">
        <v>5072</v>
      </c>
      <c r="D4684">
        <v>489.99</v>
      </c>
    </row>
    <row r="4685" spans="1:4">
      <c r="A4685" t="s">
        <v>40</v>
      </c>
    </row>
    <row r="4686" spans="1:4">
      <c r="A4686" t="s">
        <v>40</v>
      </c>
      <c r="B4686" t="s">
        <v>2994</v>
      </c>
      <c r="C4686" t="s">
        <v>5073</v>
      </c>
      <c r="D4686">
        <v>289.99</v>
      </c>
    </row>
    <row r="4687" spans="1:4">
      <c r="A4687" t="s">
        <v>40</v>
      </c>
      <c r="B4687" t="s">
        <v>2983</v>
      </c>
      <c r="C4687" t="s">
        <v>5074</v>
      </c>
      <c r="D4687">
        <v>419.99</v>
      </c>
    </row>
    <row r="4688" spans="1:4">
      <c r="A4688" t="s">
        <v>40</v>
      </c>
      <c r="B4688" t="s">
        <v>2983</v>
      </c>
      <c r="C4688" t="s">
        <v>5075</v>
      </c>
      <c r="D4688">
        <v>334.99</v>
      </c>
    </row>
    <row r="4689" spans="1:4">
      <c r="A4689" t="s">
        <v>40</v>
      </c>
      <c r="B4689" t="s">
        <v>3006</v>
      </c>
      <c r="C4689" t="s">
        <v>5076</v>
      </c>
      <c r="D4689">
        <v>170</v>
      </c>
    </row>
    <row r="4690" spans="1:4">
      <c r="A4690" t="s">
        <v>40</v>
      </c>
      <c r="B4690" t="s">
        <v>2980</v>
      </c>
      <c r="C4690" t="s">
        <v>5077</v>
      </c>
      <c r="D4690">
        <v>399.99</v>
      </c>
    </row>
    <row r="4691" spans="1:4">
      <c r="A4691" t="s">
        <v>40</v>
      </c>
      <c r="B4691" t="s">
        <v>3006</v>
      </c>
      <c r="C4691" t="s">
        <v>5078</v>
      </c>
      <c r="D4691">
        <v>379.99</v>
      </c>
    </row>
    <row r="4692" spans="1:4">
      <c r="A4692" t="s">
        <v>40</v>
      </c>
      <c r="B4692" t="s">
        <v>2980</v>
      </c>
      <c r="C4692" t="s">
        <v>5079</v>
      </c>
      <c r="D4692">
        <v>449.99</v>
      </c>
    </row>
    <row r="4693" spans="1:4">
      <c r="A4693" t="s">
        <v>40</v>
      </c>
      <c r="B4693" t="s">
        <v>2980</v>
      </c>
      <c r="C4693" t="s">
        <v>5080</v>
      </c>
      <c r="D4693">
        <v>399.99</v>
      </c>
    </row>
    <row r="4694" spans="1:4">
      <c r="A4694" t="s">
        <v>40</v>
      </c>
      <c r="B4694" t="s">
        <v>3006</v>
      </c>
      <c r="C4694" t="s">
        <v>5081</v>
      </c>
      <c r="D4694">
        <v>269.99</v>
      </c>
    </row>
    <row r="4695" spans="1:4">
      <c r="A4695" t="s">
        <v>40</v>
      </c>
      <c r="B4695" t="s">
        <v>2983</v>
      </c>
      <c r="C4695" t="s">
        <v>5082</v>
      </c>
      <c r="D4695">
        <v>199.99</v>
      </c>
    </row>
    <row r="4696" spans="1:4">
      <c r="A4696" t="s">
        <v>40</v>
      </c>
      <c r="B4696" t="s">
        <v>2980</v>
      </c>
      <c r="C4696" t="s">
        <v>5083</v>
      </c>
      <c r="D4696">
        <v>98.79</v>
      </c>
    </row>
    <row r="4697" spans="1:4">
      <c r="A4697" t="s">
        <v>40</v>
      </c>
      <c r="B4697" t="s">
        <v>2980</v>
      </c>
      <c r="C4697" t="s">
        <v>5084</v>
      </c>
      <c r="D4697">
        <v>449.99</v>
      </c>
    </row>
    <row r="4698" spans="1:4">
      <c r="A4698" t="s">
        <v>40</v>
      </c>
      <c r="B4698" t="s">
        <v>1337</v>
      </c>
      <c r="C4698" t="s">
        <v>5085</v>
      </c>
      <c r="D4698">
        <v>359.95</v>
      </c>
    </row>
    <row r="4699" spans="1:4">
      <c r="A4699" t="s">
        <v>40</v>
      </c>
      <c r="B4699" t="s">
        <v>2983</v>
      </c>
      <c r="C4699" t="s">
        <v>5086</v>
      </c>
      <c r="D4699">
        <v>619.95000000000005</v>
      </c>
    </row>
    <row r="4700" spans="1:4">
      <c r="A4700" t="s">
        <v>40</v>
      </c>
      <c r="B4700" t="s">
        <v>2983</v>
      </c>
      <c r="C4700" t="s">
        <v>5087</v>
      </c>
      <c r="D4700">
        <v>140</v>
      </c>
    </row>
    <row r="4701" spans="1:4">
      <c r="A4701" t="s">
        <v>40</v>
      </c>
      <c r="B4701" t="s">
        <v>1337</v>
      </c>
      <c r="C4701" t="s">
        <v>5088</v>
      </c>
      <c r="D4701">
        <v>374.99</v>
      </c>
    </row>
    <row r="4702" spans="1:4">
      <c r="A4702" t="s">
        <v>40</v>
      </c>
      <c r="B4702" t="s">
        <v>2980</v>
      </c>
      <c r="C4702" t="s">
        <v>5089</v>
      </c>
      <c r="D4702">
        <v>799.99</v>
      </c>
    </row>
    <row r="4703" spans="1:4">
      <c r="A4703" t="s">
        <v>40</v>
      </c>
      <c r="B4703" t="s">
        <v>2983</v>
      </c>
      <c r="C4703" t="s">
        <v>5090</v>
      </c>
      <c r="D4703">
        <v>199.99</v>
      </c>
    </row>
    <row r="4704" spans="1:4">
      <c r="A4704" t="s">
        <v>40</v>
      </c>
      <c r="B4704" t="s">
        <v>3107</v>
      </c>
      <c r="C4704" t="s">
        <v>5091</v>
      </c>
      <c r="D4704">
        <v>2079.9899999999998</v>
      </c>
    </row>
    <row r="4705" spans="1:4">
      <c r="A4705" t="s">
        <v>40</v>
      </c>
      <c r="B4705" t="s">
        <v>2980</v>
      </c>
      <c r="C4705" t="s">
        <v>5092</v>
      </c>
      <c r="D4705">
        <v>315</v>
      </c>
    </row>
    <row r="4706" spans="1:4">
      <c r="A4706" t="s">
        <v>40</v>
      </c>
      <c r="B4706" t="s">
        <v>3006</v>
      </c>
      <c r="C4706" t="s">
        <v>5093</v>
      </c>
      <c r="D4706">
        <v>291.41000000000003</v>
      </c>
    </row>
    <row r="4707" spans="1:4">
      <c r="A4707" t="s">
        <v>40</v>
      </c>
      <c r="B4707" t="s">
        <v>3006</v>
      </c>
      <c r="C4707" t="s">
        <v>5094</v>
      </c>
      <c r="D4707">
        <v>329.99</v>
      </c>
    </row>
    <row r="4708" spans="1:4">
      <c r="A4708" t="s">
        <v>40</v>
      </c>
      <c r="B4708" t="s">
        <v>2980</v>
      </c>
      <c r="C4708" t="s">
        <v>5095</v>
      </c>
      <c r="D4708">
        <v>449.99</v>
      </c>
    </row>
    <row r="4709" spans="1:4">
      <c r="A4709" t="s">
        <v>40</v>
      </c>
      <c r="B4709" t="s">
        <v>3006</v>
      </c>
      <c r="C4709" t="s">
        <v>5096</v>
      </c>
      <c r="D4709">
        <v>239</v>
      </c>
    </row>
    <row r="4710" spans="1:4">
      <c r="A4710" t="s">
        <v>40</v>
      </c>
      <c r="B4710" t="s">
        <v>2994</v>
      </c>
      <c r="C4710" t="s">
        <v>5097</v>
      </c>
      <c r="D4710">
        <v>555.96</v>
      </c>
    </row>
    <row r="4711" spans="1:4">
      <c r="A4711" t="s">
        <v>40</v>
      </c>
      <c r="B4711" t="s">
        <v>2994</v>
      </c>
      <c r="C4711" t="s">
        <v>5098</v>
      </c>
      <c r="D4711">
        <v>175.96</v>
      </c>
    </row>
    <row r="4712" spans="1:4">
      <c r="A4712" t="s">
        <v>40</v>
      </c>
      <c r="B4712" t="s">
        <v>3014</v>
      </c>
      <c r="C4712" t="s">
        <v>5099</v>
      </c>
      <c r="D4712">
        <v>524.99</v>
      </c>
    </row>
    <row r="4713" spans="1:4">
      <c r="A4713" t="s">
        <v>40</v>
      </c>
      <c r="B4713" t="s">
        <v>3285</v>
      </c>
      <c r="C4713" t="s">
        <v>5100</v>
      </c>
      <c r="D4713">
        <v>825.99</v>
      </c>
    </row>
    <row r="4714" spans="1:4">
      <c r="A4714" t="s">
        <v>40</v>
      </c>
      <c r="B4714" t="s">
        <v>3006</v>
      </c>
      <c r="C4714" t="s">
        <v>5101</v>
      </c>
      <c r="D4714">
        <v>139.99</v>
      </c>
    </row>
    <row r="4715" spans="1:4">
      <c r="A4715" t="s">
        <v>40</v>
      </c>
      <c r="B4715" t="s">
        <v>3006</v>
      </c>
      <c r="C4715" t="s">
        <v>5102</v>
      </c>
      <c r="D4715">
        <v>469.99</v>
      </c>
    </row>
    <row r="4716" spans="1:4">
      <c r="A4716" t="s">
        <v>40</v>
      </c>
      <c r="B4716" t="s">
        <v>2980</v>
      </c>
      <c r="C4716" t="s">
        <v>5103</v>
      </c>
      <c r="D4716">
        <v>1179</v>
      </c>
    </row>
    <row r="4717" spans="1:4">
      <c r="A4717" t="s">
        <v>40</v>
      </c>
      <c r="B4717" t="s">
        <v>3006</v>
      </c>
      <c r="C4717" t="s">
        <v>5104</v>
      </c>
      <c r="D4717">
        <v>400</v>
      </c>
    </row>
    <row r="4718" spans="1:4">
      <c r="A4718" t="s">
        <v>40</v>
      </c>
      <c r="B4718" t="s">
        <v>3285</v>
      </c>
      <c r="C4718" t="s">
        <v>4572</v>
      </c>
      <c r="D4718">
        <v>94.04</v>
      </c>
    </row>
    <row r="4719" spans="1:4">
      <c r="A4719" t="s">
        <v>40</v>
      </c>
      <c r="B4719" t="s">
        <v>2980</v>
      </c>
      <c r="C4719" t="s">
        <v>5105</v>
      </c>
      <c r="D4719">
        <v>229</v>
      </c>
    </row>
    <row r="4720" spans="1:4">
      <c r="A4720" t="s">
        <v>40</v>
      </c>
      <c r="B4720" t="s">
        <v>3006</v>
      </c>
      <c r="C4720" t="s">
        <v>5106</v>
      </c>
      <c r="D4720">
        <v>255</v>
      </c>
    </row>
    <row r="4721" spans="1:4">
      <c r="A4721" t="s">
        <v>40</v>
      </c>
      <c r="B4721" t="s">
        <v>3149</v>
      </c>
      <c r="C4721" t="s">
        <v>5107</v>
      </c>
      <c r="D4721">
        <v>999.99</v>
      </c>
    </row>
    <row r="4722" spans="1:4">
      <c r="A4722" t="s">
        <v>40</v>
      </c>
      <c r="B4722" t="s">
        <v>3006</v>
      </c>
      <c r="C4722" t="s">
        <v>5108</v>
      </c>
      <c r="D4722">
        <v>344.25</v>
      </c>
    </row>
    <row r="4723" spans="1:4">
      <c r="A4723" t="s">
        <v>40</v>
      </c>
      <c r="B4723" t="s">
        <v>3006</v>
      </c>
      <c r="C4723" t="s">
        <v>5109</v>
      </c>
      <c r="D4723">
        <v>199.99</v>
      </c>
    </row>
    <row r="4724" spans="1:4">
      <c r="A4724" t="s">
        <v>40</v>
      </c>
      <c r="B4724" t="s">
        <v>3006</v>
      </c>
      <c r="C4724" t="s">
        <v>5110</v>
      </c>
      <c r="D4724">
        <v>649.99</v>
      </c>
    </row>
    <row r="4725" spans="1:4">
      <c r="A4725" t="s">
        <v>40</v>
      </c>
      <c r="B4725" t="s">
        <v>2994</v>
      </c>
      <c r="C4725" t="s">
        <v>5111</v>
      </c>
      <c r="D4725">
        <v>999.99</v>
      </c>
    </row>
    <row r="4726" spans="1:4">
      <c r="A4726" t="s">
        <v>40</v>
      </c>
      <c r="B4726" t="s">
        <v>3006</v>
      </c>
      <c r="C4726" t="s">
        <v>5112</v>
      </c>
      <c r="D4726">
        <v>699</v>
      </c>
    </row>
    <row r="4727" spans="1:4">
      <c r="A4727" t="s">
        <v>40</v>
      </c>
      <c r="B4727" t="s">
        <v>3006</v>
      </c>
      <c r="C4727" t="s">
        <v>5113</v>
      </c>
      <c r="D4727">
        <v>579</v>
      </c>
    </row>
    <row r="4728" spans="1:4">
      <c r="A4728" t="s">
        <v>40</v>
      </c>
      <c r="B4728" t="s">
        <v>2980</v>
      </c>
      <c r="C4728" t="s">
        <v>5114</v>
      </c>
      <c r="D4728">
        <v>9599.4</v>
      </c>
    </row>
    <row r="4729" spans="1:4">
      <c r="A4729" t="s">
        <v>40</v>
      </c>
      <c r="B4729" t="s">
        <v>2980</v>
      </c>
      <c r="C4729" t="s">
        <v>5115</v>
      </c>
      <c r="D4729">
        <v>999.99</v>
      </c>
    </row>
    <row r="4730" spans="1:4">
      <c r="A4730" t="s">
        <v>40</v>
      </c>
      <c r="B4730" t="s">
        <v>3006</v>
      </c>
      <c r="C4730" t="s">
        <v>5116</v>
      </c>
      <c r="D4730">
        <v>73</v>
      </c>
    </row>
    <row r="4731" spans="1:4">
      <c r="A4731" t="s">
        <v>40</v>
      </c>
      <c r="B4731" t="s">
        <v>2980</v>
      </c>
      <c r="C4731" t="s">
        <v>5117</v>
      </c>
      <c r="D4731">
        <v>1799.99</v>
      </c>
    </row>
    <row r="4732" spans="1:4">
      <c r="A4732" t="s">
        <v>40</v>
      </c>
      <c r="B4732" t="s">
        <v>3006</v>
      </c>
      <c r="C4732" t="s">
        <v>5118</v>
      </c>
      <c r="D4732">
        <v>649.99</v>
      </c>
    </row>
    <row r="4733" spans="1:4">
      <c r="A4733" t="s">
        <v>40</v>
      </c>
      <c r="B4733" t="s">
        <v>2994</v>
      </c>
      <c r="C4733" t="s">
        <v>5119</v>
      </c>
      <c r="D4733">
        <v>1249.99</v>
      </c>
    </row>
    <row r="4734" spans="1:4">
      <c r="A4734" t="s">
        <v>40</v>
      </c>
      <c r="B4734" t="s">
        <v>2980</v>
      </c>
      <c r="C4734" t="s">
        <v>5120</v>
      </c>
      <c r="D4734">
        <v>759</v>
      </c>
    </row>
    <row r="4735" spans="1:4">
      <c r="A4735" t="s">
        <v>40</v>
      </c>
      <c r="B4735" t="s">
        <v>3006</v>
      </c>
      <c r="C4735" t="s">
        <v>5121</v>
      </c>
      <c r="D4735">
        <v>114.99</v>
      </c>
    </row>
    <row r="4736" spans="1:4">
      <c r="A4736" t="s">
        <v>40</v>
      </c>
      <c r="B4736" t="s">
        <v>3107</v>
      </c>
      <c r="C4736" t="s">
        <v>5122</v>
      </c>
      <c r="D4736">
        <v>699.99</v>
      </c>
    </row>
    <row r="4737" spans="1:4">
      <c r="A4737" t="s">
        <v>40</v>
      </c>
      <c r="B4737" t="s">
        <v>2980</v>
      </c>
      <c r="C4737" t="s">
        <v>5123</v>
      </c>
      <c r="D4737">
        <v>149.99</v>
      </c>
    </row>
    <row r="4738" spans="1:4">
      <c r="A4738" t="s">
        <v>40</v>
      </c>
      <c r="B4738" t="s">
        <v>3107</v>
      </c>
      <c r="C4738" t="s">
        <v>5124</v>
      </c>
      <c r="D4738">
        <v>779.99</v>
      </c>
    </row>
    <row r="4739" spans="1:4">
      <c r="A4739" t="s">
        <v>40</v>
      </c>
      <c r="B4739" t="s">
        <v>2983</v>
      </c>
      <c r="C4739" t="s">
        <v>5125</v>
      </c>
      <c r="D4739">
        <v>199.99</v>
      </c>
    </row>
    <row r="4740" spans="1:4">
      <c r="A4740" t="s">
        <v>40</v>
      </c>
      <c r="B4740" t="s">
        <v>3006</v>
      </c>
      <c r="C4740" t="s">
        <v>5126</v>
      </c>
      <c r="D4740">
        <v>229.99</v>
      </c>
    </row>
    <row r="4741" spans="1:4">
      <c r="A4741" t="s">
        <v>40</v>
      </c>
      <c r="B4741" t="s">
        <v>3006</v>
      </c>
      <c r="C4741" t="s">
        <v>4181</v>
      </c>
      <c r="D4741">
        <v>325</v>
      </c>
    </row>
    <row r="4742" spans="1:4">
      <c r="A4742" t="s">
        <v>40</v>
      </c>
      <c r="B4742" t="s">
        <v>2980</v>
      </c>
      <c r="C4742" t="s">
        <v>5127</v>
      </c>
      <c r="D4742">
        <v>1999</v>
      </c>
    </row>
    <row r="4743" spans="1:4">
      <c r="A4743" t="s">
        <v>40</v>
      </c>
      <c r="B4743" t="s">
        <v>3081</v>
      </c>
      <c r="C4743" t="s">
        <v>5128</v>
      </c>
      <c r="D4743">
        <v>479.99</v>
      </c>
    </row>
    <row r="4744" spans="1:4">
      <c r="A4744" t="s">
        <v>40</v>
      </c>
      <c r="B4744" t="s">
        <v>2983</v>
      </c>
      <c r="C4744" t="s">
        <v>4202</v>
      </c>
      <c r="D4744">
        <v>209.94</v>
      </c>
    </row>
    <row r="4745" spans="1:4">
      <c r="A4745" t="s">
        <v>40</v>
      </c>
      <c r="B4745" t="s">
        <v>3006</v>
      </c>
      <c r="C4745" t="s">
        <v>5129</v>
      </c>
      <c r="D4745">
        <v>593.99</v>
      </c>
    </row>
    <row r="4746" spans="1:4">
      <c r="A4746" t="s">
        <v>40</v>
      </c>
      <c r="B4746" t="s">
        <v>2980</v>
      </c>
      <c r="C4746" t="s">
        <v>5130</v>
      </c>
      <c r="D4746">
        <v>1799.99</v>
      </c>
    </row>
    <row r="4747" spans="1:4">
      <c r="A4747" t="s">
        <v>40</v>
      </c>
      <c r="B4747" t="s">
        <v>3812</v>
      </c>
      <c r="C4747" t="s">
        <v>5131</v>
      </c>
      <c r="D4747">
        <v>329.99</v>
      </c>
    </row>
    <row r="4748" spans="1:4">
      <c r="A4748" t="s">
        <v>40</v>
      </c>
      <c r="B4748" t="s">
        <v>3081</v>
      </c>
      <c r="C4748" t="s">
        <v>5132</v>
      </c>
      <c r="D4748">
        <v>449</v>
      </c>
    </row>
    <row r="4749" spans="1:4">
      <c r="A4749" t="s">
        <v>40</v>
      </c>
      <c r="B4749" t="s">
        <v>3006</v>
      </c>
      <c r="C4749" t="s">
        <v>5133</v>
      </c>
      <c r="D4749">
        <v>529.99</v>
      </c>
    </row>
    <row r="4750" spans="1:4">
      <c r="A4750" t="s">
        <v>40</v>
      </c>
      <c r="B4750" t="s">
        <v>3081</v>
      </c>
      <c r="C4750" t="s">
        <v>5134</v>
      </c>
      <c r="D4750">
        <v>999.99</v>
      </c>
    </row>
    <row r="4751" spans="1:4">
      <c r="A4751" t="s">
        <v>40</v>
      </c>
      <c r="B4751" t="s">
        <v>2980</v>
      </c>
      <c r="C4751" t="s">
        <v>5135</v>
      </c>
      <c r="D4751">
        <v>499.99</v>
      </c>
    </row>
    <row r="4752" spans="1:4">
      <c r="A4752" t="s">
        <v>40</v>
      </c>
      <c r="B4752" t="s">
        <v>3006</v>
      </c>
      <c r="C4752" t="s">
        <v>5136</v>
      </c>
      <c r="D4752">
        <v>99.99</v>
      </c>
    </row>
    <row r="4753" spans="1:4">
      <c r="A4753" t="s">
        <v>40</v>
      </c>
      <c r="B4753" t="s">
        <v>3006</v>
      </c>
      <c r="C4753" t="s">
        <v>5137</v>
      </c>
      <c r="D4753">
        <v>349.99</v>
      </c>
    </row>
    <row r="4754" spans="1:4">
      <c r="A4754" t="s">
        <v>40</v>
      </c>
      <c r="B4754" t="s">
        <v>2980</v>
      </c>
      <c r="C4754" t="s">
        <v>5138</v>
      </c>
      <c r="D4754">
        <v>1639.99</v>
      </c>
    </row>
    <row r="4755" spans="1:4">
      <c r="A4755" t="s">
        <v>40</v>
      </c>
      <c r="B4755" t="s">
        <v>3081</v>
      </c>
      <c r="C4755" t="s">
        <v>5139</v>
      </c>
      <c r="D4755">
        <v>85.99</v>
      </c>
    </row>
    <row r="4756" spans="1:4">
      <c r="A4756" t="s">
        <v>40</v>
      </c>
      <c r="B4756" t="s">
        <v>2980</v>
      </c>
      <c r="C4756" t="s">
        <v>5140</v>
      </c>
      <c r="D4756">
        <v>549.99</v>
      </c>
    </row>
    <row r="4757" spans="1:4">
      <c r="A4757" t="s">
        <v>40</v>
      </c>
      <c r="B4757" t="s">
        <v>2980</v>
      </c>
      <c r="C4757" t="s">
        <v>5141</v>
      </c>
      <c r="D4757">
        <v>549</v>
      </c>
    </row>
    <row r="4758" spans="1:4">
      <c r="A4758" t="s">
        <v>40</v>
      </c>
      <c r="B4758" t="s">
        <v>3006</v>
      </c>
      <c r="C4758" t="s">
        <v>5142</v>
      </c>
      <c r="D4758">
        <v>899.95</v>
      </c>
    </row>
    <row r="4759" spans="1:4">
      <c r="A4759" t="s">
        <v>40</v>
      </c>
      <c r="B4759" t="s">
        <v>2980</v>
      </c>
      <c r="C4759" t="s">
        <v>5143</v>
      </c>
      <c r="D4759">
        <v>649</v>
      </c>
    </row>
    <row r="4760" spans="1:4">
      <c r="A4760" t="s">
        <v>40</v>
      </c>
      <c r="B4760" t="s">
        <v>3006</v>
      </c>
      <c r="C4760" t="s">
        <v>3943</v>
      </c>
      <c r="D4760">
        <v>235</v>
      </c>
    </row>
    <row r="4761" spans="1:4">
      <c r="A4761" t="s">
        <v>40</v>
      </c>
      <c r="B4761" t="s">
        <v>1337</v>
      </c>
      <c r="C4761" t="s">
        <v>5144</v>
      </c>
      <c r="D4761">
        <v>649.99</v>
      </c>
    </row>
    <row r="4762" spans="1:4">
      <c r="A4762" t="s">
        <v>40</v>
      </c>
      <c r="B4762" t="s">
        <v>2980</v>
      </c>
      <c r="C4762" t="s">
        <v>5145</v>
      </c>
      <c r="D4762">
        <v>299.89999999999998</v>
      </c>
    </row>
    <row r="4763" spans="1:4">
      <c r="A4763" t="s">
        <v>40</v>
      </c>
      <c r="B4763" t="s">
        <v>2983</v>
      </c>
      <c r="C4763" t="s">
        <v>5146</v>
      </c>
      <c r="D4763">
        <v>1779</v>
      </c>
    </row>
    <row r="4764" spans="1:4">
      <c r="A4764" t="s">
        <v>40</v>
      </c>
      <c r="B4764" t="s">
        <v>2983</v>
      </c>
      <c r="C4764" t="s">
        <v>5147</v>
      </c>
      <c r="D4764">
        <v>319.89999999999998</v>
      </c>
    </row>
    <row r="4765" spans="1:4">
      <c r="A4765" t="s">
        <v>40</v>
      </c>
      <c r="B4765" t="s">
        <v>2980</v>
      </c>
      <c r="C4765" t="s">
        <v>5148</v>
      </c>
      <c r="D4765">
        <v>1349.99</v>
      </c>
    </row>
    <row r="4766" spans="1:4">
      <c r="A4766" t="s">
        <v>40</v>
      </c>
      <c r="B4766" t="s">
        <v>1337</v>
      </c>
      <c r="C4766" t="s">
        <v>5149</v>
      </c>
      <c r="D4766">
        <v>424.99</v>
      </c>
    </row>
    <row r="4767" spans="1:4">
      <c r="A4767" t="s">
        <v>40</v>
      </c>
      <c r="B4767" t="s">
        <v>3006</v>
      </c>
      <c r="C4767" t="s">
        <v>5150</v>
      </c>
      <c r="D4767">
        <v>259</v>
      </c>
    </row>
    <row r="4768" spans="1:4">
      <c r="A4768" t="s">
        <v>40</v>
      </c>
      <c r="B4768" t="s">
        <v>3006</v>
      </c>
      <c r="C4768" t="s">
        <v>5151</v>
      </c>
      <c r="D4768">
        <v>449.99</v>
      </c>
    </row>
    <row r="4769" spans="1:4">
      <c r="A4769" t="s">
        <v>40</v>
      </c>
      <c r="B4769" t="s">
        <v>2980</v>
      </c>
      <c r="C4769" t="s">
        <v>5152</v>
      </c>
      <c r="D4769">
        <v>739</v>
      </c>
    </row>
    <row r="4770" spans="1:4">
      <c r="A4770" t="s">
        <v>40</v>
      </c>
      <c r="B4770" t="s">
        <v>3812</v>
      </c>
      <c r="C4770" t="s">
        <v>5153</v>
      </c>
      <c r="D4770">
        <v>499.99</v>
      </c>
    </row>
    <row r="4771" spans="1:4">
      <c r="A4771" t="s">
        <v>40</v>
      </c>
      <c r="B4771" t="s">
        <v>3006</v>
      </c>
      <c r="C4771" t="s">
        <v>5154</v>
      </c>
      <c r="D4771">
        <v>499</v>
      </c>
    </row>
    <row r="4772" spans="1:4">
      <c r="A4772" t="s">
        <v>40</v>
      </c>
      <c r="B4772" t="s">
        <v>2980</v>
      </c>
      <c r="C4772" t="s">
        <v>5155</v>
      </c>
      <c r="D4772">
        <v>219.9</v>
      </c>
    </row>
    <row r="4773" spans="1:4">
      <c r="A4773" t="s">
        <v>40</v>
      </c>
      <c r="B4773" t="s">
        <v>3175</v>
      </c>
      <c r="C4773" t="s">
        <v>5156</v>
      </c>
      <c r="D4773">
        <v>119</v>
      </c>
    </row>
    <row r="4774" spans="1:4">
      <c r="A4774" t="s">
        <v>40</v>
      </c>
      <c r="B4774" t="s">
        <v>2983</v>
      </c>
      <c r="C4774" t="s">
        <v>5157</v>
      </c>
      <c r="D4774">
        <v>499.99</v>
      </c>
    </row>
    <row r="4775" spans="1:4">
      <c r="A4775" t="s">
        <v>40</v>
      </c>
      <c r="B4775" t="s">
        <v>3006</v>
      </c>
      <c r="C4775" t="s">
        <v>5158</v>
      </c>
      <c r="D4775">
        <v>669.99</v>
      </c>
    </row>
    <row r="4776" spans="1:4">
      <c r="A4776" t="s">
        <v>40</v>
      </c>
      <c r="B4776" t="s">
        <v>2983</v>
      </c>
      <c r="C4776" t="s">
        <v>5159</v>
      </c>
      <c r="D4776">
        <v>499</v>
      </c>
    </row>
    <row r="4777" spans="1:4">
      <c r="A4777" t="s">
        <v>40</v>
      </c>
      <c r="B4777" t="s">
        <v>2983</v>
      </c>
      <c r="C4777" t="s">
        <v>5160</v>
      </c>
      <c r="D4777">
        <v>149.99</v>
      </c>
    </row>
    <row r="4778" spans="1:4">
      <c r="A4778" t="s">
        <v>40</v>
      </c>
      <c r="B4778" t="s">
        <v>3006</v>
      </c>
      <c r="C4778" t="s">
        <v>5161</v>
      </c>
      <c r="D4778">
        <v>479.99</v>
      </c>
    </row>
    <row r="4779" spans="1:4">
      <c r="A4779" t="s">
        <v>40</v>
      </c>
      <c r="B4779" t="s">
        <v>2980</v>
      </c>
      <c r="C4779" t="s">
        <v>5162</v>
      </c>
      <c r="D4779">
        <v>499.99</v>
      </c>
    </row>
    <row r="4780" spans="1:4">
      <c r="A4780" t="s">
        <v>40</v>
      </c>
      <c r="B4780" t="s">
        <v>2980</v>
      </c>
      <c r="C4780" t="s">
        <v>5163</v>
      </c>
      <c r="D4780">
        <v>234.99</v>
      </c>
    </row>
    <row r="4781" spans="1:4">
      <c r="A4781" t="s">
        <v>40</v>
      </c>
      <c r="B4781" t="s">
        <v>2983</v>
      </c>
      <c r="C4781" t="s">
        <v>5164</v>
      </c>
      <c r="D4781">
        <v>599.95000000000005</v>
      </c>
    </row>
    <row r="4782" spans="1:4">
      <c r="A4782" t="s">
        <v>40</v>
      </c>
      <c r="B4782" t="s">
        <v>3006</v>
      </c>
      <c r="C4782" t="s">
        <v>5165</v>
      </c>
      <c r="D4782">
        <v>599.99</v>
      </c>
    </row>
    <row r="4783" spans="1:4">
      <c r="A4783" t="s">
        <v>40</v>
      </c>
      <c r="B4783" t="s">
        <v>3006</v>
      </c>
      <c r="C4783" t="s">
        <v>5166</v>
      </c>
      <c r="D4783">
        <v>285</v>
      </c>
    </row>
    <row r="4784" spans="1:4">
      <c r="A4784" t="s">
        <v>40</v>
      </c>
      <c r="B4784" t="s">
        <v>2980</v>
      </c>
      <c r="C4784" t="s">
        <v>5167</v>
      </c>
      <c r="D4784">
        <v>549.99</v>
      </c>
    </row>
    <row r="4785" spans="1:4">
      <c r="A4785" t="s">
        <v>40</v>
      </c>
      <c r="B4785" t="s">
        <v>2983</v>
      </c>
      <c r="C4785" t="s">
        <v>5168</v>
      </c>
      <c r="D4785">
        <v>169.99</v>
      </c>
    </row>
    <row r="4786" spans="1:4">
      <c r="A4786" t="s">
        <v>40</v>
      </c>
      <c r="B4786" t="s">
        <v>2980</v>
      </c>
      <c r="C4786" t="s">
        <v>5169</v>
      </c>
      <c r="D4786">
        <v>385</v>
      </c>
    </row>
    <row r="4787" spans="1:4">
      <c r="A4787" t="s">
        <v>40</v>
      </c>
      <c r="B4787" t="s">
        <v>3081</v>
      </c>
      <c r="C4787" t="s">
        <v>5170</v>
      </c>
      <c r="D4787">
        <v>859.99</v>
      </c>
    </row>
    <row r="4788" spans="1:4">
      <c r="A4788" t="s">
        <v>40</v>
      </c>
      <c r="B4788" t="s">
        <v>3006</v>
      </c>
      <c r="C4788" t="s">
        <v>5171</v>
      </c>
      <c r="D4788">
        <v>189.99</v>
      </c>
    </row>
    <row r="4789" spans="1:4">
      <c r="A4789" t="s">
        <v>40</v>
      </c>
      <c r="B4789" t="s">
        <v>2980</v>
      </c>
      <c r="C4789" t="s">
        <v>5172</v>
      </c>
      <c r="D4789">
        <v>249.9</v>
      </c>
    </row>
    <row r="4790" spans="1:4">
      <c r="A4790" t="s">
        <v>40</v>
      </c>
      <c r="B4790" t="s">
        <v>3006</v>
      </c>
      <c r="C4790" t="s">
        <v>5173</v>
      </c>
      <c r="D4790">
        <v>549.99</v>
      </c>
    </row>
    <row r="4791" spans="1:4">
      <c r="A4791" t="s">
        <v>40</v>
      </c>
      <c r="B4791" t="s">
        <v>2980</v>
      </c>
      <c r="C4791" t="s">
        <v>5174</v>
      </c>
      <c r="D4791">
        <v>279.99</v>
      </c>
    </row>
    <row r="4792" spans="1:4">
      <c r="A4792" t="s">
        <v>40</v>
      </c>
      <c r="B4792" t="s">
        <v>3006</v>
      </c>
      <c r="C4792" t="s">
        <v>5175</v>
      </c>
      <c r="D4792">
        <v>339.99</v>
      </c>
    </row>
    <row r="4793" spans="1:4">
      <c r="A4793" t="s">
        <v>40</v>
      </c>
      <c r="B4793" t="s">
        <v>3006</v>
      </c>
      <c r="C4793" t="s">
        <v>5176</v>
      </c>
      <c r="D4793">
        <v>189.99</v>
      </c>
    </row>
    <row r="4794" spans="1:4">
      <c r="A4794" t="s">
        <v>40</v>
      </c>
      <c r="B4794" t="s">
        <v>2980</v>
      </c>
      <c r="C4794" t="s">
        <v>5177</v>
      </c>
      <c r="D4794">
        <v>225</v>
      </c>
    </row>
    <row r="4795" spans="1:4">
      <c r="A4795" t="s">
        <v>40</v>
      </c>
      <c r="B4795" t="s">
        <v>3006</v>
      </c>
      <c r="C4795" t="s">
        <v>5178</v>
      </c>
      <c r="D4795">
        <v>749</v>
      </c>
    </row>
    <row r="4796" spans="1:4">
      <c r="A4796" t="s">
        <v>40</v>
      </c>
      <c r="B4796" t="s">
        <v>2994</v>
      </c>
      <c r="C4796" t="s">
        <v>5179</v>
      </c>
      <c r="D4796">
        <v>164.99</v>
      </c>
    </row>
    <row r="4797" spans="1:4">
      <c r="A4797" t="s">
        <v>40</v>
      </c>
      <c r="B4797" t="s">
        <v>3081</v>
      </c>
      <c r="C4797" t="s">
        <v>5180</v>
      </c>
      <c r="D4797">
        <v>164.99</v>
      </c>
    </row>
    <row r="4798" spans="1:4">
      <c r="A4798" t="s">
        <v>40</v>
      </c>
      <c r="B4798" t="s">
        <v>505</v>
      </c>
      <c r="C4798" t="s">
        <v>5181</v>
      </c>
      <c r="D4798">
        <v>219.99</v>
      </c>
    </row>
    <row r="4799" spans="1:4">
      <c r="A4799" t="s">
        <v>40</v>
      </c>
      <c r="B4799" t="s">
        <v>1337</v>
      </c>
      <c r="C4799" t="s">
        <v>5182</v>
      </c>
      <c r="D4799">
        <v>199.99</v>
      </c>
    </row>
    <row r="4800" spans="1:4">
      <c r="A4800" t="s">
        <v>40</v>
      </c>
      <c r="B4800" t="s">
        <v>2980</v>
      </c>
      <c r="C4800" t="s">
        <v>5183</v>
      </c>
      <c r="D4800">
        <v>250</v>
      </c>
    </row>
    <row r="4801" spans="1:4">
      <c r="A4801" t="s">
        <v>40</v>
      </c>
      <c r="B4801" t="s">
        <v>3006</v>
      </c>
      <c r="C4801" t="s">
        <v>5184</v>
      </c>
      <c r="D4801">
        <v>119.99</v>
      </c>
    </row>
    <row r="4802" spans="1:4">
      <c r="A4802" t="s">
        <v>40</v>
      </c>
      <c r="B4802" t="s">
        <v>2980</v>
      </c>
      <c r="C4802" t="s">
        <v>5185</v>
      </c>
      <c r="D4802">
        <v>225</v>
      </c>
    </row>
    <row r="4803" spans="1:4">
      <c r="A4803" t="s">
        <v>40</v>
      </c>
      <c r="B4803" t="s">
        <v>2983</v>
      </c>
      <c r="C4803" t="s">
        <v>5186</v>
      </c>
      <c r="D4803">
        <v>549.99</v>
      </c>
    </row>
    <row r="4804" spans="1:4">
      <c r="A4804" t="s">
        <v>40</v>
      </c>
      <c r="B4804" t="s">
        <v>3006</v>
      </c>
      <c r="C4804" t="s">
        <v>5187</v>
      </c>
      <c r="D4804">
        <v>399.99</v>
      </c>
    </row>
    <row r="4805" spans="1:4">
      <c r="A4805" t="s">
        <v>40</v>
      </c>
      <c r="B4805" t="s">
        <v>3081</v>
      </c>
      <c r="C4805" t="s">
        <v>5188</v>
      </c>
      <c r="D4805">
        <v>449.99</v>
      </c>
    </row>
    <row r="4806" spans="1:4">
      <c r="A4806" t="s">
        <v>40</v>
      </c>
      <c r="B4806" t="s">
        <v>561</v>
      </c>
      <c r="C4806" t="s">
        <v>5189</v>
      </c>
      <c r="D4806">
        <v>549.99</v>
      </c>
    </row>
    <row r="4807" spans="1:4">
      <c r="A4807" t="s">
        <v>40</v>
      </c>
      <c r="B4807" t="s">
        <v>2983</v>
      </c>
      <c r="C4807" t="s">
        <v>5190</v>
      </c>
      <c r="D4807">
        <v>349</v>
      </c>
    </row>
    <row r="4808" spans="1:4">
      <c r="A4808" t="s">
        <v>40</v>
      </c>
      <c r="B4808" t="s">
        <v>2983</v>
      </c>
      <c r="C4808" t="s">
        <v>5191</v>
      </c>
      <c r="D4808">
        <v>899.99</v>
      </c>
    </row>
    <row r="4809" spans="1:4">
      <c r="A4809" t="s">
        <v>40</v>
      </c>
      <c r="B4809" t="s">
        <v>1642</v>
      </c>
      <c r="C4809" t="s">
        <v>5192</v>
      </c>
      <c r="D4809">
        <v>899.99</v>
      </c>
    </row>
    <row r="4810" spans="1:4">
      <c r="A4810" t="s">
        <v>40</v>
      </c>
      <c r="B4810" t="s">
        <v>2980</v>
      </c>
      <c r="C4810" t="s">
        <v>5193</v>
      </c>
      <c r="D4810">
        <v>449.99</v>
      </c>
    </row>
    <row r="4811" spans="1:4">
      <c r="A4811" t="s">
        <v>40</v>
      </c>
      <c r="B4811" t="s">
        <v>2983</v>
      </c>
      <c r="C4811" t="s">
        <v>5194</v>
      </c>
      <c r="D4811">
        <v>569.99</v>
      </c>
    </row>
    <row r="4812" spans="1:4">
      <c r="A4812" t="s">
        <v>40</v>
      </c>
      <c r="B4812" t="s">
        <v>3006</v>
      </c>
      <c r="C4812" t="s">
        <v>5195</v>
      </c>
      <c r="D4812">
        <v>385</v>
      </c>
    </row>
    <row r="4813" spans="1:4">
      <c r="A4813" t="s">
        <v>40</v>
      </c>
      <c r="B4813" t="s">
        <v>2980</v>
      </c>
      <c r="C4813" t="s">
        <v>5196</v>
      </c>
      <c r="D4813">
        <v>1499.99</v>
      </c>
    </row>
    <row r="4814" spans="1:4">
      <c r="A4814" t="s">
        <v>40</v>
      </c>
      <c r="B4814" t="s">
        <v>3006</v>
      </c>
      <c r="C4814" t="s">
        <v>5197</v>
      </c>
      <c r="D4814">
        <v>349</v>
      </c>
    </row>
    <row r="4815" spans="1:4">
      <c r="A4815" t="s">
        <v>40</v>
      </c>
      <c r="B4815" t="s">
        <v>3006</v>
      </c>
      <c r="C4815" t="s">
        <v>5198</v>
      </c>
      <c r="D4815">
        <v>206.99</v>
      </c>
    </row>
    <row r="4816" spans="1:4">
      <c r="A4816" t="s">
        <v>40</v>
      </c>
      <c r="B4816" t="s">
        <v>3006</v>
      </c>
      <c r="C4816" t="s">
        <v>5199</v>
      </c>
      <c r="D4816">
        <v>104.99</v>
      </c>
    </row>
    <row r="4817" spans="1:4">
      <c r="A4817" t="s">
        <v>40</v>
      </c>
      <c r="B4817" t="s">
        <v>2994</v>
      </c>
      <c r="C4817" t="s">
        <v>5200</v>
      </c>
      <c r="D4817">
        <v>399.99</v>
      </c>
    </row>
    <row r="4818" spans="1:4">
      <c r="A4818" t="s">
        <v>40</v>
      </c>
      <c r="B4818" t="s">
        <v>3081</v>
      </c>
      <c r="C4818" t="s">
        <v>5201</v>
      </c>
      <c r="D4818">
        <v>549.99</v>
      </c>
    </row>
    <row r="4819" spans="1:4">
      <c r="A4819" t="s">
        <v>40</v>
      </c>
      <c r="B4819" t="s">
        <v>3409</v>
      </c>
      <c r="C4819" t="s">
        <v>5202</v>
      </c>
      <c r="D4819">
        <v>949.99</v>
      </c>
    </row>
    <row r="4820" spans="1:4">
      <c r="A4820" t="s">
        <v>40</v>
      </c>
      <c r="B4820" t="s">
        <v>3006</v>
      </c>
      <c r="C4820" t="s">
        <v>5203</v>
      </c>
      <c r="D4820">
        <v>399</v>
      </c>
    </row>
    <row r="4821" spans="1:4">
      <c r="A4821" t="s">
        <v>40</v>
      </c>
      <c r="B4821" t="s">
        <v>2980</v>
      </c>
      <c r="C4821" t="s">
        <v>5204</v>
      </c>
      <c r="D4821">
        <v>2799.99</v>
      </c>
    </row>
    <row r="4822" spans="1:4">
      <c r="A4822" t="s">
        <v>40</v>
      </c>
      <c r="B4822" t="s">
        <v>2980</v>
      </c>
      <c r="C4822" t="s">
        <v>5205</v>
      </c>
      <c r="D4822">
        <v>849.99</v>
      </c>
    </row>
    <row r="4823" spans="1:4">
      <c r="A4823" t="s">
        <v>40</v>
      </c>
      <c r="B4823" t="s">
        <v>3006</v>
      </c>
      <c r="C4823" t="s">
        <v>3951</v>
      </c>
      <c r="D4823">
        <v>275</v>
      </c>
    </row>
    <row r="4824" spans="1:4">
      <c r="A4824" t="s">
        <v>40</v>
      </c>
      <c r="B4824" t="s">
        <v>2980</v>
      </c>
      <c r="C4824" t="s">
        <v>5206</v>
      </c>
      <c r="D4824">
        <v>999.99</v>
      </c>
    </row>
    <row r="4825" spans="1:4">
      <c r="A4825" t="s">
        <v>40</v>
      </c>
      <c r="B4825" t="s">
        <v>3107</v>
      </c>
      <c r="C4825" t="s">
        <v>5207</v>
      </c>
      <c r="D4825">
        <v>597.98</v>
      </c>
    </row>
    <row r="4826" spans="1:4">
      <c r="A4826" t="s">
        <v>40</v>
      </c>
      <c r="B4826" t="s">
        <v>3006</v>
      </c>
      <c r="C4826" t="s">
        <v>5208</v>
      </c>
      <c r="D4826">
        <v>359</v>
      </c>
    </row>
    <row r="4827" spans="1:4">
      <c r="A4827" t="s">
        <v>40</v>
      </c>
      <c r="B4827" t="s">
        <v>2980</v>
      </c>
      <c r="C4827" t="s">
        <v>5209</v>
      </c>
      <c r="D4827">
        <v>1099</v>
      </c>
    </row>
    <row r="4828" spans="1:4">
      <c r="A4828" t="s">
        <v>40</v>
      </c>
      <c r="B4828" t="s">
        <v>3149</v>
      </c>
      <c r="C4828" t="s">
        <v>5210</v>
      </c>
      <c r="D4828">
        <v>699.99</v>
      </c>
    </row>
    <row r="4829" spans="1:4">
      <c r="A4829" t="s">
        <v>40</v>
      </c>
      <c r="B4829" t="s">
        <v>2980</v>
      </c>
      <c r="C4829" t="s">
        <v>5211</v>
      </c>
      <c r="D4829">
        <v>799.99</v>
      </c>
    </row>
    <row r="4830" spans="1:4">
      <c r="A4830" t="s">
        <v>40</v>
      </c>
      <c r="B4830" t="s">
        <v>510</v>
      </c>
      <c r="C4830" t="s">
        <v>5212</v>
      </c>
      <c r="D4830">
        <v>675</v>
      </c>
    </row>
    <row r="4831" spans="1:4">
      <c r="A4831" t="s">
        <v>40</v>
      </c>
      <c r="B4831" t="s">
        <v>2980</v>
      </c>
      <c r="C4831" t="s">
        <v>5213</v>
      </c>
      <c r="D4831">
        <v>679</v>
      </c>
    </row>
    <row r="4832" spans="1:4">
      <c r="A4832" t="s">
        <v>40</v>
      </c>
      <c r="B4832" t="s">
        <v>2980</v>
      </c>
      <c r="C4832" t="s">
        <v>5214</v>
      </c>
      <c r="D4832">
        <v>499.99</v>
      </c>
    </row>
    <row r="4833" spans="1:4">
      <c r="A4833" t="s">
        <v>40</v>
      </c>
      <c r="B4833" t="s">
        <v>2983</v>
      </c>
      <c r="C4833" t="s">
        <v>5215</v>
      </c>
      <c r="D4833">
        <v>449.94</v>
      </c>
    </row>
    <row r="4834" spans="1:4">
      <c r="A4834" t="s">
        <v>40</v>
      </c>
      <c r="B4834" t="s">
        <v>3006</v>
      </c>
      <c r="C4834" t="s">
        <v>5216</v>
      </c>
      <c r="D4834">
        <v>549.99</v>
      </c>
    </row>
    <row r="4835" spans="1:4">
      <c r="A4835" t="s">
        <v>40</v>
      </c>
      <c r="B4835" t="s">
        <v>2980</v>
      </c>
      <c r="C4835" t="s">
        <v>5217</v>
      </c>
      <c r="D4835">
        <v>349</v>
      </c>
    </row>
    <row r="4836" spans="1:4">
      <c r="A4836" t="s">
        <v>40</v>
      </c>
      <c r="B4836" t="s">
        <v>3006</v>
      </c>
      <c r="C4836" t="s">
        <v>5218</v>
      </c>
      <c r="D4836">
        <v>899.95</v>
      </c>
    </row>
    <row r="4837" spans="1:4">
      <c r="A4837" t="s">
        <v>40</v>
      </c>
      <c r="B4837" t="s">
        <v>3006</v>
      </c>
      <c r="C4837" t="s">
        <v>5219</v>
      </c>
      <c r="D4837">
        <v>299.99</v>
      </c>
    </row>
    <row r="4838" spans="1:4">
      <c r="A4838" t="s">
        <v>40</v>
      </c>
      <c r="B4838" t="s">
        <v>2994</v>
      </c>
      <c r="C4838" t="s">
        <v>5220</v>
      </c>
      <c r="D4838">
        <v>399.99</v>
      </c>
    </row>
    <row r="4839" spans="1:4">
      <c r="A4839" t="s">
        <v>40</v>
      </c>
      <c r="B4839" t="s">
        <v>5221</v>
      </c>
      <c r="C4839" t="s">
        <v>5222</v>
      </c>
      <c r="D4839">
        <v>269.99</v>
      </c>
    </row>
    <row r="4840" spans="1:4">
      <c r="A4840" t="s">
        <v>40</v>
      </c>
      <c r="C4840" t="s">
        <v>5223</v>
      </c>
      <c r="D4840">
        <v>279</v>
      </c>
    </row>
    <row r="4841" spans="1:4">
      <c r="A4841" t="s">
        <v>40</v>
      </c>
      <c r="B4841" t="s">
        <v>3006</v>
      </c>
      <c r="C4841" t="s">
        <v>5224</v>
      </c>
      <c r="D4841">
        <v>224.99</v>
      </c>
    </row>
    <row r="4842" spans="1:4">
      <c r="A4842" t="s">
        <v>40</v>
      </c>
      <c r="C4842" t="s">
        <v>5225</v>
      </c>
      <c r="D4842">
        <v>269</v>
      </c>
    </row>
    <row r="4843" spans="1:4">
      <c r="A4843" t="s">
        <v>40</v>
      </c>
      <c r="C4843" t="s">
        <v>5226</v>
      </c>
      <c r="D4843">
        <v>150</v>
      </c>
    </row>
    <row r="4844" spans="1:4">
      <c r="A4844" t="s">
        <v>40</v>
      </c>
      <c r="C4844" t="s">
        <v>5227</v>
      </c>
      <c r="D4844">
        <v>219</v>
      </c>
    </row>
    <row r="4845" spans="1:4">
      <c r="A4845" t="s">
        <v>40</v>
      </c>
      <c r="B4845" t="s">
        <v>2980</v>
      </c>
      <c r="C4845" t="s">
        <v>5228</v>
      </c>
      <c r="D4845">
        <v>767</v>
      </c>
    </row>
    <row r="4846" spans="1:4">
      <c r="A4846" t="s">
        <v>40</v>
      </c>
      <c r="C4846" t="s">
        <v>5229</v>
      </c>
      <c r="D4846">
        <v>59.95</v>
      </c>
    </row>
    <row r="4847" spans="1:4">
      <c r="A4847" t="s">
        <v>40</v>
      </c>
      <c r="C4847" t="s">
        <v>5230</v>
      </c>
      <c r="D4847">
        <v>349</v>
      </c>
    </row>
    <row r="4848" spans="1:4">
      <c r="A4848" t="s">
        <v>40</v>
      </c>
      <c r="C4848" t="s">
        <v>5231</v>
      </c>
      <c r="D4848">
        <v>323.89999999999998</v>
      </c>
    </row>
    <row r="4849" spans="1:4">
      <c r="A4849" t="s">
        <v>40</v>
      </c>
      <c r="B4849" t="s">
        <v>2980</v>
      </c>
      <c r="C4849" t="s">
        <v>5232</v>
      </c>
      <c r="D4849">
        <v>229</v>
      </c>
    </row>
    <row r="4850" spans="1:4">
      <c r="A4850" t="s">
        <v>40</v>
      </c>
      <c r="C4850" t="s">
        <v>5233</v>
      </c>
      <c r="D4850">
        <v>499</v>
      </c>
    </row>
    <row r="4851" spans="1:4">
      <c r="A4851" t="s">
        <v>40</v>
      </c>
      <c r="B4851" t="s">
        <v>3006</v>
      </c>
      <c r="C4851" t="s">
        <v>5234</v>
      </c>
      <c r="D4851">
        <v>429.99</v>
      </c>
    </row>
    <row r="4852" spans="1:4">
      <c r="A4852" t="s">
        <v>40</v>
      </c>
      <c r="C4852" t="s">
        <v>5235</v>
      </c>
      <c r="D4852">
        <v>449</v>
      </c>
    </row>
    <row r="4853" spans="1:4">
      <c r="A4853" t="s">
        <v>40</v>
      </c>
      <c r="C4853" t="s">
        <v>5236</v>
      </c>
      <c r="D4853">
        <v>489</v>
      </c>
    </row>
    <row r="4854" spans="1:4">
      <c r="A4854" t="s">
        <v>40</v>
      </c>
      <c r="B4854" t="s">
        <v>2980</v>
      </c>
      <c r="C4854" t="s">
        <v>5237</v>
      </c>
      <c r="D4854">
        <v>407</v>
      </c>
    </row>
    <row r="4855" spans="1:4">
      <c r="A4855" t="s">
        <v>40</v>
      </c>
      <c r="C4855" t="s">
        <v>5238</v>
      </c>
      <c r="D4855">
        <v>339</v>
      </c>
    </row>
    <row r="4856" spans="1:4">
      <c r="A4856" t="s">
        <v>40</v>
      </c>
      <c r="C4856" t="s">
        <v>5239</v>
      </c>
      <c r="D4856">
        <v>309.89999999999998</v>
      </c>
    </row>
    <row r="4857" spans="1:4">
      <c r="A4857" t="s">
        <v>40</v>
      </c>
      <c r="B4857" t="s">
        <v>2980</v>
      </c>
      <c r="C4857" t="s">
        <v>5240</v>
      </c>
      <c r="D4857">
        <v>1090</v>
      </c>
    </row>
    <row r="4858" spans="1:4">
      <c r="A4858" t="s">
        <v>40</v>
      </c>
      <c r="B4858" t="s">
        <v>2977</v>
      </c>
      <c r="C4858" t="s">
        <v>5241</v>
      </c>
      <c r="D4858">
        <v>119.99</v>
      </c>
    </row>
    <row r="4859" spans="1:4">
      <c r="A4859" t="s">
        <v>40</v>
      </c>
      <c r="B4859" t="s">
        <v>2980</v>
      </c>
      <c r="C4859" t="s">
        <v>5242</v>
      </c>
      <c r="D4859">
        <v>470</v>
      </c>
    </row>
    <row r="4860" spans="1:4">
      <c r="A4860" t="s">
        <v>40</v>
      </c>
      <c r="C4860" t="s">
        <v>5243</v>
      </c>
      <c r="D4860">
        <v>149</v>
      </c>
    </row>
    <row r="4861" spans="1:4">
      <c r="A4861" t="s">
        <v>40</v>
      </c>
      <c r="C4861" t="s">
        <v>5244</v>
      </c>
      <c r="D4861">
        <v>179.98</v>
      </c>
    </row>
    <row r="4862" spans="1:4">
      <c r="A4862" t="s">
        <v>40</v>
      </c>
      <c r="B4862" t="s">
        <v>2983</v>
      </c>
      <c r="C4862" t="s">
        <v>5245</v>
      </c>
      <c r="D4862">
        <v>450</v>
      </c>
    </row>
    <row r="4863" spans="1:4">
      <c r="A4863" t="s">
        <v>40</v>
      </c>
      <c r="B4863" t="s">
        <v>2980</v>
      </c>
      <c r="C4863" t="s">
        <v>5246</v>
      </c>
      <c r="D4863">
        <v>455</v>
      </c>
    </row>
    <row r="4864" spans="1:4">
      <c r="A4864" t="s">
        <v>40</v>
      </c>
      <c r="C4864" t="s">
        <v>5247</v>
      </c>
      <c r="D4864">
        <v>329</v>
      </c>
    </row>
    <row r="4865" spans="1:4">
      <c r="A4865" t="s">
        <v>40</v>
      </c>
      <c r="C4865" t="s">
        <v>5248</v>
      </c>
      <c r="D4865">
        <v>119.99</v>
      </c>
    </row>
    <row r="4866" spans="1:4">
      <c r="A4866" t="s">
        <v>40</v>
      </c>
      <c r="B4866" t="s">
        <v>2980</v>
      </c>
      <c r="C4866" t="s">
        <v>5249</v>
      </c>
      <c r="D4866">
        <v>1879.99</v>
      </c>
    </row>
    <row r="4867" spans="1:4">
      <c r="A4867" t="s">
        <v>40</v>
      </c>
      <c r="C4867" t="s">
        <v>5250</v>
      </c>
      <c r="D4867">
        <v>139</v>
      </c>
    </row>
    <row r="4868" spans="1:4">
      <c r="A4868" t="s">
        <v>40</v>
      </c>
      <c r="C4868" t="s">
        <v>5251</v>
      </c>
      <c r="D4868">
        <v>320</v>
      </c>
    </row>
    <row r="4869" spans="1:4">
      <c r="A4869" t="s">
        <v>40</v>
      </c>
      <c r="B4869" t="s">
        <v>2980</v>
      </c>
      <c r="C4869" t="s">
        <v>5252</v>
      </c>
      <c r="D4869">
        <v>264.99</v>
      </c>
    </row>
    <row r="4870" spans="1:4">
      <c r="A4870" t="s">
        <v>40</v>
      </c>
      <c r="C4870" t="s">
        <v>5253</v>
      </c>
      <c r="D4870">
        <v>219</v>
      </c>
    </row>
    <row r="4871" spans="1:4">
      <c r="A4871" t="s">
        <v>40</v>
      </c>
      <c r="C4871" t="s">
        <v>5254</v>
      </c>
      <c r="D4871">
        <v>389</v>
      </c>
    </row>
    <row r="4872" spans="1:4">
      <c r="A4872" t="s">
        <v>40</v>
      </c>
      <c r="C4872" t="s">
        <v>5255</v>
      </c>
      <c r="D4872">
        <v>789</v>
      </c>
    </row>
    <row r="4873" spans="1:4">
      <c r="A4873" t="s">
        <v>40</v>
      </c>
      <c r="C4873" t="s">
        <v>5256</v>
      </c>
      <c r="D4873">
        <v>399</v>
      </c>
    </row>
    <row r="4874" spans="1:4">
      <c r="A4874" t="s">
        <v>40</v>
      </c>
      <c r="C4874" t="s">
        <v>5257</v>
      </c>
      <c r="D4874">
        <v>401.65</v>
      </c>
    </row>
    <row r="4875" spans="1:4">
      <c r="A4875" t="s">
        <v>40</v>
      </c>
      <c r="B4875" t="s">
        <v>2980</v>
      </c>
      <c r="C4875" t="s">
        <v>5258</v>
      </c>
      <c r="D4875">
        <v>455</v>
      </c>
    </row>
    <row r="4876" spans="1:4">
      <c r="A4876" t="s">
        <v>40</v>
      </c>
      <c r="C4876" t="s">
        <v>5259</v>
      </c>
      <c r="D4876">
        <v>159</v>
      </c>
    </row>
    <row r="4877" spans="1:4">
      <c r="A4877" t="s">
        <v>40</v>
      </c>
      <c r="C4877" t="s">
        <v>5260</v>
      </c>
      <c r="D4877">
        <v>347</v>
      </c>
    </row>
    <row r="4878" spans="1:4">
      <c r="A4878" t="s">
        <v>40</v>
      </c>
      <c r="B4878" t="s">
        <v>2980</v>
      </c>
      <c r="C4878" t="s">
        <v>5261</v>
      </c>
      <c r="D4878">
        <v>299</v>
      </c>
    </row>
    <row r="4879" spans="1:4">
      <c r="A4879" t="s">
        <v>40</v>
      </c>
      <c r="C4879" t="s">
        <v>5262</v>
      </c>
      <c r="D4879">
        <v>250</v>
      </c>
    </row>
    <row r="4880" spans="1:4">
      <c r="A4880" t="s">
        <v>40</v>
      </c>
      <c r="B4880" t="s">
        <v>3006</v>
      </c>
      <c r="C4880" t="s">
        <v>5263</v>
      </c>
      <c r="D4880">
        <v>426</v>
      </c>
    </row>
    <row r="4881" spans="1:4">
      <c r="A4881" t="s">
        <v>40</v>
      </c>
      <c r="C4881" t="s">
        <v>5264</v>
      </c>
      <c r="D4881">
        <v>329</v>
      </c>
    </row>
    <row r="4882" spans="1:4">
      <c r="A4882" t="s">
        <v>40</v>
      </c>
      <c r="C4882" t="s">
        <v>5265</v>
      </c>
      <c r="D4882">
        <v>299</v>
      </c>
    </row>
    <row r="4883" spans="1:4">
      <c r="A4883" t="s">
        <v>40</v>
      </c>
      <c r="B4883" t="s">
        <v>2980</v>
      </c>
      <c r="C4883" t="s">
        <v>5266</v>
      </c>
      <c r="D4883">
        <v>599</v>
      </c>
    </row>
    <row r="4884" spans="1:4">
      <c r="A4884" t="s">
        <v>40</v>
      </c>
      <c r="B4884" t="s">
        <v>2983</v>
      </c>
      <c r="C4884" t="s">
        <v>5267</v>
      </c>
      <c r="D4884">
        <v>419.99</v>
      </c>
    </row>
    <row r="4885" spans="1:4">
      <c r="A4885" t="s">
        <v>40</v>
      </c>
      <c r="B4885" t="s">
        <v>3030</v>
      </c>
      <c r="C4885" t="s">
        <v>5268</v>
      </c>
      <c r="D4885">
        <v>389.95</v>
      </c>
    </row>
    <row r="4886" spans="1:4">
      <c r="A4886" t="s">
        <v>40</v>
      </c>
      <c r="C4886" t="s">
        <v>5269</v>
      </c>
      <c r="D4886">
        <v>259</v>
      </c>
    </row>
    <row r="4887" spans="1:4">
      <c r="A4887" t="s">
        <v>40</v>
      </c>
      <c r="B4887" t="s">
        <v>2980</v>
      </c>
      <c r="C4887" t="s">
        <v>5270</v>
      </c>
      <c r="D4887">
        <v>379</v>
      </c>
    </row>
    <row r="4888" spans="1:4">
      <c r="A4888" t="s">
        <v>40</v>
      </c>
      <c r="C4888" t="s">
        <v>5271</v>
      </c>
      <c r="D4888">
        <v>569</v>
      </c>
    </row>
    <row r="4889" spans="1:4">
      <c r="A4889" t="s">
        <v>40</v>
      </c>
      <c r="C4889" t="s">
        <v>5272</v>
      </c>
      <c r="D4889">
        <v>89</v>
      </c>
    </row>
    <row r="4890" spans="1:4">
      <c r="A4890" t="s">
        <v>40</v>
      </c>
      <c r="C4890" t="s">
        <v>5273</v>
      </c>
      <c r="D4890">
        <v>235</v>
      </c>
    </row>
    <row r="4891" spans="1:4">
      <c r="A4891" t="s">
        <v>40</v>
      </c>
      <c r="B4891" t="s">
        <v>2983</v>
      </c>
      <c r="C4891" t="s">
        <v>5274</v>
      </c>
      <c r="D4891">
        <v>1364</v>
      </c>
    </row>
    <row r="4892" spans="1:4">
      <c r="A4892" t="s">
        <v>40</v>
      </c>
      <c r="C4892" t="s">
        <v>5271</v>
      </c>
      <c r="D4892">
        <v>549</v>
      </c>
    </row>
    <row r="4893" spans="1:4">
      <c r="A4893" t="s">
        <v>40</v>
      </c>
      <c r="C4893" t="s">
        <v>5236</v>
      </c>
      <c r="D4893">
        <v>449</v>
      </c>
    </row>
    <row r="4894" spans="1:4">
      <c r="A4894" t="s">
        <v>40</v>
      </c>
      <c r="C4894" t="s">
        <v>5275</v>
      </c>
      <c r="D4894">
        <v>401.65</v>
      </c>
    </row>
    <row r="4895" spans="1:4">
      <c r="A4895" t="s">
        <v>40</v>
      </c>
      <c r="B4895" t="s">
        <v>2980</v>
      </c>
      <c r="C4895" t="s">
        <v>5276</v>
      </c>
      <c r="D4895">
        <v>1529.99</v>
      </c>
    </row>
    <row r="4896" spans="1:4">
      <c r="A4896" t="s">
        <v>40</v>
      </c>
      <c r="C4896" t="s">
        <v>5277</v>
      </c>
      <c r="D4896">
        <v>99.99</v>
      </c>
    </row>
    <row r="4897" spans="1:4">
      <c r="A4897" t="s">
        <v>40</v>
      </c>
      <c r="B4897" t="s">
        <v>2980</v>
      </c>
      <c r="C4897" t="s">
        <v>5278</v>
      </c>
      <c r="D4897">
        <v>349</v>
      </c>
    </row>
    <row r="4898" spans="1:4">
      <c r="A4898" t="s">
        <v>40</v>
      </c>
      <c r="B4898" t="s">
        <v>3006</v>
      </c>
      <c r="C4898" t="s">
        <v>5279</v>
      </c>
      <c r="D4898">
        <v>819</v>
      </c>
    </row>
    <row r="4899" spans="1:4">
      <c r="A4899" t="s">
        <v>40</v>
      </c>
      <c r="B4899" t="s">
        <v>3081</v>
      </c>
      <c r="C4899" t="s">
        <v>5280</v>
      </c>
      <c r="D4899">
        <v>1499.99</v>
      </c>
    </row>
    <row r="4900" spans="1:4">
      <c r="A4900" t="s">
        <v>40</v>
      </c>
      <c r="B4900" t="s">
        <v>2994</v>
      </c>
      <c r="C4900" t="s">
        <v>5281</v>
      </c>
      <c r="D4900">
        <v>449.95</v>
      </c>
    </row>
    <row r="4901" spans="1:4">
      <c r="A4901" t="s">
        <v>40</v>
      </c>
      <c r="B4901" t="s">
        <v>2980</v>
      </c>
      <c r="C4901" t="s">
        <v>5282</v>
      </c>
      <c r="D4901">
        <v>179.9</v>
      </c>
    </row>
    <row r="4902" spans="1:4">
      <c r="A4902" t="s">
        <v>40</v>
      </c>
      <c r="B4902" t="s">
        <v>2983</v>
      </c>
      <c r="C4902" t="s">
        <v>5283</v>
      </c>
      <c r="D4902">
        <v>599</v>
      </c>
    </row>
    <row r="4903" spans="1:4">
      <c r="A4903" t="s">
        <v>40</v>
      </c>
      <c r="B4903" t="s">
        <v>2980</v>
      </c>
      <c r="C4903" t="s">
        <v>5284</v>
      </c>
      <c r="D4903">
        <v>899.99</v>
      </c>
    </row>
    <row r="4904" spans="1:4">
      <c r="A4904" t="s">
        <v>40</v>
      </c>
      <c r="B4904" t="s">
        <v>2983</v>
      </c>
      <c r="C4904" t="s">
        <v>5285</v>
      </c>
      <c r="D4904">
        <v>169.95</v>
      </c>
    </row>
    <row r="4905" spans="1:4">
      <c r="A4905" t="s">
        <v>40</v>
      </c>
      <c r="B4905" t="s">
        <v>3006</v>
      </c>
      <c r="C4905" t="s">
        <v>5286</v>
      </c>
      <c r="D4905">
        <v>338</v>
      </c>
    </row>
    <row r="4906" spans="1:4">
      <c r="A4906" t="s">
        <v>40</v>
      </c>
      <c r="B4906" t="s">
        <v>3006</v>
      </c>
      <c r="C4906" t="s">
        <v>5287</v>
      </c>
      <c r="D4906">
        <v>354</v>
      </c>
    </row>
    <row r="4907" spans="1:4">
      <c r="A4907" t="s">
        <v>40</v>
      </c>
      <c r="B4907" t="s">
        <v>505</v>
      </c>
      <c r="C4907" t="s">
        <v>5288</v>
      </c>
      <c r="D4907">
        <v>649.99</v>
      </c>
    </row>
    <row r="4908" spans="1:4">
      <c r="A4908" t="s">
        <v>40</v>
      </c>
      <c r="B4908" t="s">
        <v>3107</v>
      </c>
      <c r="C4908" t="s">
        <v>5289</v>
      </c>
      <c r="D4908">
        <v>199.99</v>
      </c>
    </row>
    <row r="4909" spans="1:4">
      <c r="A4909" t="s">
        <v>40</v>
      </c>
      <c r="B4909" t="s">
        <v>2980</v>
      </c>
      <c r="C4909" t="s">
        <v>3701</v>
      </c>
      <c r="D4909">
        <v>249.99</v>
      </c>
    </row>
    <row r="4910" spans="1:4">
      <c r="A4910" t="s">
        <v>40</v>
      </c>
      <c r="B4910" t="s">
        <v>3081</v>
      </c>
      <c r="C4910" t="s">
        <v>5290</v>
      </c>
      <c r="D4910">
        <v>899.99</v>
      </c>
    </row>
    <row r="4911" spans="1:4">
      <c r="A4911" t="s">
        <v>40</v>
      </c>
      <c r="B4911" t="s">
        <v>2983</v>
      </c>
      <c r="C4911" t="s">
        <v>5291</v>
      </c>
      <c r="D4911">
        <v>779.99</v>
      </c>
    </row>
    <row r="4912" spans="1:4">
      <c r="A4912" t="s">
        <v>40</v>
      </c>
      <c r="B4912" t="s">
        <v>3081</v>
      </c>
      <c r="C4912" t="s">
        <v>5292</v>
      </c>
      <c r="D4912">
        <v>469.99</v>
      </c>
    </row>
    <row r="4913" spans="1:4">
      <c r="A4913" t="s">
        <v>40</v>
      </c>
      <c r="B4913" t="s">
        <v>2983</v>
      </c>
      <c r="C4913" t="s">
        <v>5293</v>
      </c>
      <c r="D4913">
        <v>249.99</v>
      </c>
    </row>
    <row r="4914" spans="1:4">
      <c r="A4914" t="s">
        <v>40</v>
      </c>
      <c r="B4914" t="s">
        <v>2980</v>
      </c>
      <c r="C4914" t="s">
        <v>5294</v>
      </c>
      <c r="D4914">
        <v>749.99</v>
      </c>
    </row>
    <row r="4915" spans="1:4">
      <c r="A4915" t="s">
        <v>40</v>
      </c>
      <c r="B4915" t="s">
        <v>3006</v>
      </c>
      <c r="C4915" t="s">
        <v>5295</v>
      </c>
      <c r="D4915">
        <v>149.99</v>
      </c>
    </row>
    <row r="4916" spans="1:4">
      <c r="A4916" t="s">
        <v>40</v>
      </c>
      <c r="B4916" t="s">
        <v>5296</v>
      </c>
      <c r="C4916" t="s">
        <v>5297</v>
      </c>
      <c r="D4916">
        <v>1475</v>
      </c>
    </row>
    <row r="4917" spans="1:4">
      <c r="A4917" t="s">
        <v>40</v>
      </c>
      <c r="B4917" t="s">
        <v>3006</v>
      </c>
      <c r="C4917" t="s">
        <v>5298</v>
      </c>
      <c r="D4917">
        <v>445</v>
      </c>
    </row>
    <row r="4918" spans="1:4">
      <c r="A4918" t="s">
        <v>40</v>
      </c>
      <c r="B4918" t="s">
        <v>3006</v>
      </c>
      <c r="C4918" t="s">
        <v>5299</v>
      </c>
      <c r="D4918">
        <v>209.99</v>
      </c>
    </row>
    <row r="4919" spans="1:4">
      <c r="A4919" t="s">
        <v>40</v>
      </c>
      <c r="B4919" t="s">
        <v>2980</v>
      </c>
      <c r="C4919" t="s">
        <v>5300</v>
      </c>
      <c r="D4919">
        <v>829</v>
      </c>
    </row>
    <row r="4920" spans="1:4">
      <c r="A4920" t="s">
        <v>40</v>
      </c>
      <c r="B4920" t="s">
        <v>2983</v>
      </c>
      <c r="C4920" t="s">
        <v>5301</v>
      </c>
      <c r="D4920">
        <v>189.99</v>
      </c>
    </row>
    <row r="4921" spans="1:4">
      <c r="A4921" t="s">
        <v>40</v>
      </c>
      <c r="B4921" t="s">
        <v>3107</v>
      </c>
      <c r="C4921" t="s">
        <v>5302</v>
      </c>
      <c r="D4921">
        <v>114.99</v>
      </c>
    </row>
    <row r="4922" spans="1:4">
      <c r="A4922" t="s">
        <v>40</v>
      </c>
      <c r="B4922" t="s">
        <v>3006</v>
      </c>
      <c r="C4922" t="s">
        <v>5303</v>
      </c>
      <c r="D4922">
        <v>249.99</v>
      </c>
    </row>
    <row r="4923" spans="1:4">
      <c r="A4923" t="s">
        <v>40</v>
      </c>
      <c r="B4923" t="s">
        <v>3081</v>
      </c>
      <c r="C4923" t="s">
        <v>5304</v>
      </c>
      <c r="D4923">
        <v>1299.99</v>
      </c>
    </row>
    <row r="4924" spans="1:4">
      <c r="A4924" t="s">
        <v>40</v>
      </c>
      <c r="B4924" t="s">
        <v>3285</v>
      </c>
      <c r="C4924" t="s">
        <v>5305</v>
      </c>
      <c r="D4924">
        <v>94.04</v>
      </c>
    </row>
    <row r="4925" spans="1:4">
      <c r="A4925" t="s">
        <v>40</v>
      </c>
      <c r="B4925" t="s">
        <v>2980</v>
      </c>
      <c r="C4925" t="s">
        <v>5306</v>
      </c>
      <c r="D4925">
        <v>459</v>
      </c>
    </row>
    <row r="4926" spans="1:4">
      <c r="A4926" t="s">
        <v>40</v>
      </c>
      <c r="B4926" t="s">
        <v>3175</v>
      </c>
      <c r="C4926" t="s">
        <v>5307</v>
      </c>
      <c r="D4926">
        <v>129</v>
      </c>
    </row>
    <row r="4927" spans="1:4">
      <c r="A4927" t="s">
        <v>40</v>
      </c>
      <c r="B4927" t="s">
        <v>3006</v>
      </c>
      <c r="C4927" t="s">
        <v>5308</v>
      </c>
      <c r="D4927">
        <v>322.99</v>
      </c>
    </row>
    <row r="4928" spans="1:4">
      <c r="A4928" t="s">
        <v>40</v>
      </c>
      <c r="B4928" t="s">
        <v>3006</v>
      </c>
      <c r="C4928" t="s">
        <v>5309</v>
      </c>
      <c r="D4928">
        <v>413.99</v>
      </c>
    </row>
    <row r="4929" spans="1:4">
      <c r="A4929" t="s">
        <v>40</v>
      </c>
      <c r="B4929" t="s">
        <v>1337</v>
      </c>
      <c r="C4929" t="s">
        <v>5310</v>
      </c>
      <c r="D4929">
        <v>429.99</v>
      </c>
    </row>
    <row r="4930" spans="1:4">
      <c r="A4930" t="s">
        <v>40</v>
      </c>
      <c r="B4930" t="s">
        <v>2994</v>
      </c>
      <c r="C4930" t="s">
        <v>5311</v>
      </c>
      <c r="D4930">
        <v>599.99</v>
      </c>
    </row>
    <row r="4931" spans="1:4">
      <c r="A4931" t="s">
        <v>40</v>
      </c>
      <c r="B4931" t="s">
        <v>2983</v>
      </c>
      <c r="C4931" t="s">
        <v>5312</v>
      </c>
      <c r="D4931">
        <v>189.94</v>
      </c>
    </row>
    <row r="4932" spans="1:4">
      <c r="A4932" t="s">
        <v>40</v>
      </c>
      <c r="B4932" t="s">
        <v>2980</v>
      </c>
      <c r="C4932" t="s">
        <v>5313</v>
      </c>
      <c r="D4932">
        <v>259.89999999999998</v>
      </c>
    </row>
    <row r="4933" spans="1:4">
      <c r="A4933" t="s">
        <v>40</v>
      </c>
      <c r="B4933" t="s">
        <v>3081</v>
      </c>
      <c r="C4933" t="s">
        <v>5314</v>
      </c>
      <c r="D4933">
        <v>1699.99</v>
      </c>
    </row>
    <row r="4934" spans="1:4">
      <c r="A4934" t="s">
        <v>40</v>
      </c>
      <c r="B4934" t="s">
        <v>2980</v>
      </c>
      <c r="C4934" t="s">
        <v>3780</v>
      </c>
      <c r="D4934">
        <v>174.99</v>
      </c>
    </row>
    <row r="4935" spans="1:4">
      <c r="A4935" t="s">
        <v>40</v>
      </c>
      <c r="B4935" t="s">
        <v>2980</v>
      </c>
      <c r="C4935" t="s">
        <v>5315</v>
      </c>
      <c r="D4935">
        <v>1299.99</v>
      </c>
    </row>
    <row r="4936" spans="1:4">
      <c r="A4936" t="s">
        <v>40</v>
      </c>
      <c r="B4936" t="s">
        <v>3107</v>
      </c>
      <c r="C4936" t="s">
        <v>5316</v>
      </c>
      <c r="D4936">
        <v>479.99</v>
      </c>
    </row>
    <row r="4937" spans="1:4">
      <c r="A4937" t="s">
        <v>40</v>
      </c>
      <c r="B4937" t="s">
        <v>3006</v>
      </c>
      <c r="C4937" t="s">
        <v>5317</v>
      </c>
      <c r="D4937">
        <v>209</v>
      </c>
    </row>
    <row r="4938" spans="1:4">
      <c r="A4938" t="s">
        <v>40</v>
      </c>
      <c r="B4938" t="s">
        <v>2980</v>
      </c>
      <c r="C4938" t="s">
        <v>5318</v>
      </c>
      <c r="D4938">
        <v>529</v>
      </c>
    </row>
    <row r="4939" spans="1:4">
      <c r="A4939" t="s">
        <v>40</v>
      </c>
      <c r="B4939" t="s">
        <v>2994</v>
      </c>
      <c r="C4939" t="s">
        <v>5319</v>
      </c>
      <c r="D4939">
        <v>429.99</v>
      </c>
    </row>
    <row r="4940" spans="1:4">
      <c r="A4940" t="s">
        <v>40</v>
      </c>
      <c r="B4940" t="s">
        <v>2980</v>
      </c>
      <c r="C4940" t="s">
        <v>5320</v>
      </c>
      <c r="D4940">
        <v>389.99</v>
      </c>
    </row>
    <row r="4941" spans="1:4">
      <c r="A4941" t="s">
        <v>40</v>
      </c>
      <c r="B4941" t="s">
        <v>3006</v>
      </c>
      <c r="C4941" t="s">
        <v>5321</v>
      </c>
      <c r="D4941">
        <v>474.99</v>
      </c>
    </row>
    <row r="4942" spans="1:4">
      <c r="A4942" t="s">
        <v>40</v>
      </c>
      <c r="B4942" t="s">
        <v>3812</v>
      </c>
      <c r="C4942" t="s">
        <v>5322</v>
      </c>
      <c r="D4942">
        <v>689.99</v>
      </c>
    </row>
    <row r="4943" spans="1:4">
      <c r="A4943" t="s">
        <v>40</v>
      </c>
      <c r="B4943" t="s">
        <v>2980</v>
      </c>
      <c r="C4943" t="s">
        <v>5323</v>
      </c>
      <c r="D4943">
        <v>1399.99</v>
      </c>
    </row>
    <row r="4944" spans="1:4">
      <c r="A4944" t="s">
        <v>40</v>
      </c>
      <c r="B4944" t="s">
        <v>3006</v>
      </c>
      <c r="C4944" t="s">
        <v>5324</v>
      </c>
      <c r="D4944">
        <v>174.95</v>
      </c>
    </row>
    <row r="4945" spans="1:4">
      <c r="A4945" t="s">
        <v>40</v>
      </c>
      <c r="B4945" t="s">
        <v>2980</v>
      </c>
      <c r="C4945" t="s">
        <v>5325</v>
      </c>
      <c r="D4945">
        <v>829</v>
      </c>
    </row>
    <row r="4946" spans="1:4">
      <c r="A4946" t="s">
        <v>40</v>
      </c>
      <c r="B4946" t="s">
        <v>3812</v>
      </c>
      <c r="C4946" t="s">
        <v>5326</v>
      </c>
      <c r="D4946">
        <v>619.99</v>
      </c>
    </row>
    <row r="4947" spans="1:4">
      <c r="A4947" t="s">
        <v>40</v>
      </c>
      <c r="B4947" t="s">
        <v>2980</v>
      </c>
      <c r="C4947" t="s">
        <v>5327</v>
      </c>
      <c r="D4947">
        <v>1399.99</v>
      </c>
    </row>
    <row r="4948" spans="1:4">
      <c r="A4948" t="s">
        <v>40</v>
      </c>
      <c r="B4948" t="s">
        <v>3006</v>
      </c>
      <c r="C4948" t="s">
        <v>5328</v>
      </c>
      <c r="D4948">
        <v>269</v>
      </c>
    </row>
    <row r="4949" spans="1:4">
      <c r="A4949" t="s">
        <v>40</v>
      </c>
      <c r="B4949" t="s">
        <v>3107</v>
      </c>
      <c r="C4949" t="s">
        <v>5329</v>
      </c>
      <c r="D4949">
        <v>195.99</v>
      </c>
    </row>
    <row r="4950" spans="1:4">
      <c r="A4950" t="s">
        <v>40</v>
      </c>
      <c r="B4950" t="s">
        <v>3006</v>
      </c>
      <c r="C4950" t="s">
        <v>4858</v>
      </c>
      <c r="D4950">
        <v>229</v>
      </c>
    </row>
    <row r="4951" spans="1:4">
      <c r="A4951" t="s">
        <v>40</v>
      </c>
      <c r="B4951" t="s">
        <v>2994</v>
      </c>
      <c r="C4951" t="s">
        <v>5330</v>
      </c>
      <c r="D4951">
        <v>479.99</v>
      </c>
    </row>
    <row r="4952" spans="1:4">
      <c r="A4952" t="s">
        <v>40</v>
      </c>
      <c r="B4952" t="s">
        <v>3006</v>
      </c>
      <c r="C4952" t="s">
        <v>5331</v>
      </c>
      <c r="D4952">
        <v>395</v>
      </c>
    </row>
    <row r="4953" spans="1:4">
      <c r="A4953" t="s">
        <v>40</v>
      </c>
      <c r="B4953" t="s">
        <v>3081</v>
      </c>
      <c r="C4953" t="s">
        <v>5332</v>
      </c>
      <c r="D4953">
        <v>699.99</v>
      </c>
    </row>
    <row r="4954" spans="1:4">
      <c r="A4954" t="s">
        <v>40</v>
      </c>
      <c r="B4954" t="s">
        <v>3006</v>
      </c>
      <c r="C4954" t="s">
        <v>5333</v>
      </c>
      <c r="D4954">
        <v>399.99</v>
      </c>
    </row>
    <row r="4955" spans="1:4">
      <c r="A4955" t="s">
        <v>40</v>
      </c>
      <c r="B4955" t="s">
        <v>2994</v>
      </c>
      <c r="C4955" t="s">
        <v>5334</v>
      </c>
      <c r="D4955">
        <v>599.99</v>
      </c>
    </row>
    <row r="4956" spans="1:4">
      <c r="A4956" t="s">
        <v>40</v>
      </c>
      <c r="B4956" t="s">
        <v>3081</v>
      </c>
      <c r="C4956" t="s">
        <v>5335</v>
      </c>
      <c r="D4956">
        <v>89.79</v>
      </c>
    </row>
    <row r="4957" spans="1:4">
      <c r="A4957" t="s">
        <v>40</v>
      </c>
      <c r="B4957" t="s">
        <v>2980</v>
      </c>
      <c r="C4957" t="s">
        <v>5336</v>
      </c>
      <c r="D4957">
        <v>338</v>
      </c>
    </row>
    <row r="4958" spans="1:4">
      <c r="A4958" t="s">
        <v>40</v>
      </c>
      <c r="B4958" t="s">
        <v>2980</v>
      </c>
      <c r="C4958" t="s">
        <v>5337</v>
      </c>
      <c r="D4958">
        <v>1269.99</v>
      </c>
    </row>
    <row r="4959" spans="1:4">
      <c r="A4959" t="s">
        <v>40</v>
      </c>
      <c r="B4959" t="s">
        <v>2983</v>
      </c>
      <c r="C4959" t="s">
        <v>5338</v>
      </c>
      <c r="D4959">
        <v>99.99</v>
      </c>
    </row>
    <row r="4960" spans="1:4">
      <c r="A4960" t="s">
        <v>40</v>
      </c>
      <c r="B4960" t="s">
        <v>2980</v>
      </c>
      <c r="C4960" t="s">
        <v>5339</v>
      </c>
      <c r="D4960">
        <v>529</v>
      </c>
    </row>
    <row r="4961" spans="1:4">
      <c r="A4961" t="s">
        <v>40</v>
      </c>
      <c r="B4961" t="s">
        <v>3006</v>
      </c>
      <c r="C4961" t="s">
        <v>5340</v>
      </c>
      <c r="D4961">
        <v>599.99</v>
      </c>
    </row>
    <row r="4962" spans="1:4">
      <c r="A4962" t="s">
        <v>40</v>
      </c>
      <c r="B4962" t="s">
        <v>3081</v>
      </c>
      <c r="C4962" t="s">
        <v>5341</v>
      </c>
      <c r="D4962">
        <v>1299.99</v>
      </c>
    </row>
    <row r="4963" spans="1:4">
      <c r="A4963" t="s">
        <v>40</v>
      </c>
      <c r="B4963" t="s">
        <v>3006</v>
      </c>
      <c r="C4963" t="s">
        <v>5342</v>
      </c>
      <c r="D4963">
        <v>529.99</v>
      </c>
    </row>
    <row r="4964" spans="1:4">
      <c r="A4964" t="s">
        <v>40</v>
      </c>
      <c r="B4964" t="s">
        <v>2980</v>
      </c>
      <c r="C4964" t="s">
        <v>5343</v>
      </c>
      <c r="D4964">
        <v>499.99</v>
      </c>
    </row>
    <row r="4965" spans="1:4">
      <c r="A4965" t="s">
        <v>40</v>
      </c>
      <c r="B4965" t="s">
        <v>2980</v>
      </c>
      <c r="C4965" t="s">
        <v>5344</v>
      </c>
      <c r="D4965">
        <v>429.95</v>
      </c>
    </row>
    <row r="4966" spans="1:4">
      <c r="A4966" t="s">
        <v>40</v>
      </c>
      <c r="B4966" t="s">
        <v>2980</v>
      </c>
      <c r="C4966" t="s">
        <v>5345</v>
      </c>
      <c r="D4966">
        <v>899.99</v>
      </c>
    </row>
    <row r="4967" spans="1:4">
      <c r="A4967" t="s">
        <v>40</v>
      </c>
      <c r="B4967" t="s">
        <v>2994</v>
      </c>
      <c r="C4967" t="s">
        <v>5346</v>
      </c>
      <c r="D4967">
        <v>509.99</v>
      </c>
    </row>
    <row r="4968" spans="1:4">
      <c r="A4968" t="s">
        <v>40</v>
      </c>
      <c r="B4968" t="s">
        <v>3006</v>
      </c>
      <c r="C4968" t="s">
        <v>4718</v>
      </c>
      <c r="D4968">
        <v>119.99</v>
      </c>
    </row>
    <row r="4969" spans="1:4">
      <c r="A4969" t="s">
        <v>40</v>
      </c>
      <c r="B4969" t="s">
        <v>3081</v>
      </c>
      <c r="C4969" t="s">
        <v>5347</v>
      </c>
      <c r="D4969">
        <v>1449.99</v>
      </c>
    </row>
    <row r="4970" spans="1:4">
      <c r="A4970" t="s">
        <v>40</v>
      </c>
      <c r="B4970" t="s">
        <v>2980</v>
      </c>
      <c r="C4970" t="s">
        <v>5348</v>
      </c>
      <c r="D4970">
        <v>399.99</v>
      </c>
    </row>
    <row r="4971" spans="1:4">
      <c r="A4971" t="s">
        <v>40</v>
      </c>
      <c r="B4971" t="s">
        <v>3006</v>
      </c>
      <c r="C4971" t="s">
        <v>5349</v>
      </c>
      <c r="D4971">
        <v>519.95000000000005</v>
      </c>
    </row>
    <row r="4972" spans="1:4">
      <c r="A4972" t="s">
        <v>40</v>
      </c>
      <c r="B4972" t="s">
        <v>2980</v>
      </c>
      <c r="C4972" t="s">
        <v>5350</v>
      </c>
      <c r="D4972">
        <v>344.99</v>
      </c>
    </row>
    <row r="4973" spans="1:4">
      <c r="A4973" t="s">
        <v>40</v>
      </c>
      <c r="B4973" t="s">
        <v>3006</v>
      </c>
      <c r="C4973" t="s">
        <v>5351</v>
      </c>
      <c r="D4973">
        <v>224.99</v>
      </c>
    </row>
    <row r="4974" spans="1:4">
      <c r="A4974" t="s">
        <v>40</v>
      </c>
      <c r="B4974" t="s">
        <v>2980</v>
      </c>
      <c r="C4974" t="s">
        <v>4219</v>
      </c>
      <c r="D4974">
        <v>235</v>
      </c>
    </row>
    <row r="4975" spans="1:4">
      <c r="A4975" t="s">
        <v>40</v>
      </c>
      <c r="B4975" t="s">
        <v>3006</v>
      </c>
      <c r="C4975" t="s">
        <v>5352</v>
      </c>
      <c r="D4975">
        <v>619.95000000000005</v>
      </c>
    </row>
    <row r="4976" spans="1:4">
      <c r="A4976" t="s">
        <v>40</v>
      </c>
      <c r="B4976" t="s">
        <v>2983</v>
      </c>
      <c r="C4976" t="s">
        <v>5353</v>
      </c>
      <c r="D4976">
        <v>223.99</v>
      </c>
    </row>
    <row r="4977" spans="1:4">
      <c r="A4977" t="s">
        <v>40</v>
      </c>
      <c r="B4977" t="s">
        <v>3006</v>
      </c>
      <c r="C4977" t="s">
        <v>5354</v>
      </c>
      <c r="D4977">
        <v>418</v>
      </c>
    </row>
    <row r="4978" spans="1:4">
      <c r="A4978" t="s">
        <v>40</v>
      </c>
      <c r="B4978" t="s">
        <v>2980</v>
      </c>
      <c r="C4978" t="s">
        <v>5355</v>
      </c>
      <c r="D4978">
        <v>1349.99</v>
      </c>
    </row>
    <row r="4979" spans="1:4">
      <c r="A4979" t="s">
        <v>40</v>
      </c>
      <c r="B4979" t="s">
        <v>2980</v>
      </c>
      <c r="C4979" t="s">
        <v>5356</v>
      </c>
      <c r="D4979">
        <v>340</v>
      </c>
    </row>
    <row r="4980" spans="1:4">
      <c r="A4980" t="s">
        <v>40</v>
      </c>
      <c r="B4980" t="s">
        <v>3009</v>
      </c>
      <c r="C4980" t="s">
        <v>5357</v>
      </c>
      <c r="D4980">
        <v>345</v>
      </c>
    </row>
    <row r="4981" spans="1:4">
      <c r="A4981" t="s">
        <v>40</v>
      </c>
      <c r="B4981" t="s">
        <v>3006</v>
      </c>
      <c r="C4981" t="s">
        <v>5358</v>
      </c>
      <c r="D4981">
        <v>559.99</v>
      </c>
    </row>
    <row r="4982" spans="1:4">
      <c r="A4982" t="s">
        <v>40</v>
      </c>
      <c r="B4982" t="s">
        <v>2983</v>
      </c>
      <c r="C4982" t="s">
        <v>5359</v>
      </c>
      <c r="D4982">
        <v>799.99</v>
      </c>
    </row>
    <row r="4983" spans="1:4">
      <c r="A4983" t="s">
        <v>40</v>
      </c>
      <c r="B4983" t="s">
        <v>505</v>
      </c>
      <c r="C4983" t="s">
        <v>5360</v>
      </c>
      <c r="D4983">
        <v>224.99</v>
      </c>
    </row>
    <row r="4984" spans="1:4">
      <c r="A4984" t="s">
        <v>40</v>
      </c>
      <c r="B4984" t="s">
        <v>4601</v>
      </c>
      <c r="C4984" t="s">
        <v>5361</v>
      </c>
      <c r="D4984">
        <v>479.99</v>
      </c>
    </row>
    <row r="4985" spans="1:4">
      <c r="A4985" t="s">
        <v>40</v>
      </c>
      <c r="B4985" t="s">
        <v>3006</v>
      </c>
      <c r="C4985" t="s">
        <v>5362</v>
      </c>
      <c r="D4985">
        <v>449.99</v>
      </c>
    </row>
    <row r="4986" spans="1:4">
      <c r="A4986" t="s">
        <v>40</v>
      </c>
      <c r="B4986" t="s">
        <v>2980</v>
      </c>
      <c r="C4986" t="s">
        <v>5363</v>
      </c>
      <c r="D4986">
        <v>1099.99</v>
      </c>
    </row>
    <row r="4987" spans="1:4">
      <c r="A4987" t="s">
        <v>40</v>
      </c>
      <c r="B4987" t="s">
        <v>2980</v>
      </c>
      <c r="C4987" t="s">
        <v>5364</v>
      </c>
      <c r="D4987">
        <v>479.99</v>
      </c>
    </row>
    <row r="4988" spans="1:4">
      <c r="A4988" t="s">
        <v>40</v>
      </c>
      <c r="B4988" t="s">
        <v>3006</v>
      </c>
      <c r="C4988" t="s">
        <v>4181</v>
      </c>
      <c r="D4988">
        <v>299</v>
      </c>
    </row>
    <row r="4989" spans="1:4">
      <c r="A4989" t="s">
        <v>40</v>
      </c>
      <c r="B4989" t="s">
        <v>3107</v>
      </c>
      <c r="C4989" t="s">
        <v>5365</v>
      </c>
      <c r="D4989">
        <v>1319.99</v>
      </c>
    </row>
    <row r="4990" spans="1:4">
      <c r="A4990" t="s">
        <v>40</v>
      </c>
      <c r="B4990" t="s">
        <v>2980</v>
      </c>
      <c r="C4990" t="s">
        <v>5366</v>
      </c>
      <c r="D4990">
        <v>389.99</v>
      </c>
    </row>
    <row r="4991" spans="1:4">
      <c r="A4991" t="s">
        <v>40</v>
      </c>
      <c r="B4991" t="s">
        <v>3107</v>
      </c>
      <c r="C4991" t="s">
        <v>5367</v>
      </c>
      <c r="D4991">
        <v>144.99</v>
      </c>
    </row>
    <row r="4992" spans="1:4">
      <c r="A4992" t="s">
        <v>40</v>
      </c>
      <c r="B4992" t="s">
        <v>2983</v>
      </c>
      <c r="C4992" t="s">
        <v>5368</v>
      </c>
      <c r="D4992">
        <v>399.99</v>
      </c>
    </row>
    <row r="4993" spans="1:4">
      <c r="A4993" t="s">
        <v>40</v>
      </c>
      <c r="B4993" t="s">
        <v>3006</v>
      </c>
      <c r="C4993" t="s">
        <v>5369</v>
      </c>
      <c r="D4993">
        <v>499.99</v>
      </c>
    </row>
    <row r="4994" spans="1:4">
      <c r="A4994" t="s">
        <v>40</v>
      </c>
      <c r="B4994" t="s">
        <v>3081</v>
      </c>
      <c r="C4994" t="s">
        <v>5370</v>
      </c>
      <c r="D4994">
        <v>549.99</v>
      </c>
    </row>
    <row r="4995" spans="1:4">
      <c r="A4995" t="s">
        <v>40</v>
      </c>
      <c r="B4995" t="s">
        <v>3006</v>
      </c>
      <c r="C4995" t="s">
        <v>5371</v>
      </c>
      <c r="D4995">
        <v>359.99</v>
      </c>
    </row>
    <row r="4996" spans="1:4">
      <c r="A4996" t="s">
        <v>40</v>
      </c>
      <c r="B4996" t="s">
        <v>3009</v>
      </c>
      <c r="C4996" t="s">
        <v>5372</v>
      </c>
      <c r="D4996">
        <v>345</v>
      </c>
    </row>
    <row r="4997" spans="1:4">
      <c r="A4997" t="s">
        <v>40</v>
      </c>
      <c r="B4997" t="s">
        <v>2994</v>
      </c>
      <c r="C4997" t="s">
        <v>5373</v>
      </c>
      <c r="D4997">
        <v>599</v>
      </c>
    </row>
    <row r="4998" spans="1:4">
      <c r="A4998" t="s">
        <v>40</v>
      </c>
      <c r="B4998" t="s">
        <v>3285</v>
      </c>
      <c r="C4998" t="s">
        <v>5374</v>
      </c>
      <c r="D4998">
        <v>234.99</v>
      </c>
    </row>
    <row r="4999" spans="1:4">
      <c r="A4999" t="s">
        <v>40</v>
      </c>
      <c r="B4999" t="s">
        <v>3006</v>
      </c>
      <c r="C4999" t="s">
        <v>5375</v>
      </c>
      <c r="D4999">
        <v>435</v>
      </c>
    </row>
    <row r="5000" spans="1:4">
      <c r="A5000" t="s">
        <v>40</v>
      </c>
      <c r="B5000" t="s">
        <v>2983</v>
      </c>
      <c r="C5000" t="s">
        <v>5376</v>
      </c>
      <c r="D5000">
        <v>179.99</v>
      </c>
    </row>
    <row r="5001" spans="1:4">
      <c r="A5001" t="s">
        <v>40</v>
      </c>
      <c r="B5001" t="s">
        <v>3009</v>
      </c>
      <c r="C5001" t="s">
        <v>5377</v>
      </c>
      <c r="D5001">
        <v>345</v>
      </c>
    </row>
    <row r="5002" spans="1:4">
      <c r="A5002" t="s">
        <v>40</v>
      </c>
      <c r="B5002" t="s">
        <v>2983</v>
      </c>
      <c r="C5002" t="s">
        <v>5378</v>
      </c>
      <c r="D5002">
        <v>629.99</v>
      </c>
    </row>
    <row r="5003" spans="1:4">
      <c r="A5003" t="s">
        <v>40</v>
      </c>
      <c r="B5003" t="s">
        <v>2983</v>
      </c>
      <c r="C5003" t="s">
        <v>5379</v>
      </c>
      <c r="D5003">
        <v>1099.99</v>
      </c>
    </row>
    <row r="5004" spans="1:4">
      <c r="A5004" t="s">
        <v>40</v>
      </c>
      <c r="B5004" t="s">
        <v>2983</v>
      </c>
      <c r="C5004" t="s">
        <v>5380</v>
      </c>
      <c r="D5004">
        <v>999.99</v>
      </c>
    </row>
    <row r="5005" spans="1:4">
      <c r="A5005" t="s">
        <v>40</v>
      </c>
      <c r="B5005" t="s">
        <v>3081</v>
      </c>
      <c r="C5005" t="s">
        <v>5381</v>
      </c>
      <c r="D5005">
        <v>949</v>
      </c>
    </row>
    <row r="5006" spans="1:4">
      <c r="A5006" t="s">
        <v>40</v>
      </c>
      <c r="B5006" t="s">
        <v>3081</v>
      </c>
      <c r="C5006" t="s">
        <v>5382</v>
      </c>
      <c r="D5006">
        <v>999.99</v>
      </c>
    </row>
    <row r="5007" spans="1:4">
      <c r="A5007" t="s">
        <v>40</v>
      </c>
      <c r="B5007" t="s">
        <v>3006</v>
      </c>
      <c r="C5007" t="s">
        <v>5383</v>
      </c>
      <c r="D5007">
        <v>229.9</v>
      </c>
    </row>
    <row r="5008" spans="1:4">
      <c r="A5008" t="s">
        <v>40</v>
      </c>
      <c r="B5008" t="s">
        <v>510</v>
      </c>
      <c r="C5008" t="s">
        <v>5384</v>
      </c>
      <c r="D5008">
        <v>639</v>
      </c>
    </row>
    <row r="5009" spans="1:4">
      <c r="A5009" t="s">
        <v>40</v>
      </c>
      <c r="B5009" t="s">
        <v>2980</v>
      </c>
      <c r="C5009" t="s">
        <v>5385</v>
      </c>
      <c r="D5009">
        <v>379.95</v>
      </c>
    </row>
    <row r="5010" spans="1:4">
      <c r="A5010" t="s">
        <v>40</v>
      </c>
      <c r="B5010" t="s">
        <v>3006</v>
      </c>
      <c r="C5010" t="s">
        <v>5386</v>
      </c>
      <c r="D5010">
        <v>299.99</v>
      </c>
    </row>
    <row r="5011" spans="1:4">
      <c r="A5011" t="s">
        <v>40</v>
      </c>
      <c r="B5011" t="s">
        <v>3340</v>
      </c>
      <c r="C5011" t="s">
        <v>5387</v>
      </c>
      <c r="D5011">
        <v>439</v>
      </c>
    </row>
    <row r="5012" spans="1:4">
      <c r="A5012" t="s">
        <v>40</v>
      </c>
      <c r="B5012" t="s">
        <v>3006</v>
      </c>
      <c r="C5012" t="s">
        <v>5388</v>
      </c>
      <c r="D5012">
        <v>999.99</v>
      </c>
    </row>
    <row r="5013" spans="1:4">
      <c r="A5013" t="s">
        <v>40</v>
      </c>
      <c r="B5013" t="s">
        <v>3107</v>
      </c>
      <c r="C5013" t="s">
        <v>5389</v>
      </c>
      <c r="D5013">
        <v>299.99</v>
      </c>
    </row>
    <row r="5014" spans="1:4">
      <c r="A5014" t="s">
        <v>40</v>
      </c>
      <c r="B5014" t="s">
        <v>2980</v>
      </c>
      <c r="C5014" t="s">
        <v>5390</v>
      </c>
      <c r="D5014">
        <v>1149.99</v>
      </c>
    </row>
    <row r="5015" spans="1:4">
      <c r="A5015" t="s">
        <v>40</v>
      </c>
      <c r="B5015" t="s">
        <v>2980</v>
      </c>
      <c r="C5015" t="s">
        <v>5391</v>
      </c>
      <c r="D5015">
        <v>539</v>
      </c>
    </row>
    <row r="5016" spans="1:4">
      <c r="A5016" t="s">
        <v>40</v>
      </c>
      <c r="B5016" t="s">
        <v>3006</v>
      </c>
      <c r="C5016" t="s">
        <v>5324</v>
      </c>
      <c r="D5016">
        <v>189.95</v>
      </c>
    </row>
    <row r="5017" spans="1:4">
      <c r="A5017" t="s">
        <v>40</v>
      </c>
      <c r="B5017" t="s">
        <v>5392</v>
      </c>
      <c r="C5017" t="s">
        <v>5393</v>
      </c>
      <c r="D5017">
        <v>1449.99</v>
      </c>
    </row>
    <row r="5018" spans="1:4">
      <c r="A5018" t="s">
        <v>40</v>
      </c>
      <c r="B5018" t="s">
        <v>3006</v>
      </c>
      <c r="C5018" t="s">
        <v>5394</v>
      </c>
      <c r="D5018">
        <v>849.99</v>
      </c>
    </row>
    <row r="5019" spans="1:4">
      <c r="A5019" t="s">
        <v>40</v>
      </c>
      <c r="B5019" t="s">
        <v>3006</v>
      </c>
      <c r="C5019" t="s">
        <v>5395</v>
      </c>
      <c r="D5019">
        <v>449.99</v>
      </c>
    </row>
    <row r="5020" spans="1:4">
      <c r="A5020" t="s">
        <v>40</v>
      </c>
      <c r="B5020" t="s">
        <v>2983</v>
      </c>
      <c r="C5020" t="s">
        <v>5396</v>
      </c>
      <c r="D5020">
        <v>149.99</v>
      </c>
    </row>
    <row r="5021" spans="1:4">
      <c r="A5021" t="s">
        <v>40</v>
      </c>
      <c r="B5021" t="s">
        <v>2980</v>
      </c>
      <c r="C5021" t="s">
        <v>4487</v>
      </c>
      <c r="D5021">
        <v>549.9</v>
      </c>
    </row>
    <row r="5022" spans="1:4">
      <c r="A5022" t="s">
        <v>40</v>
      </c>
      <c r="B5022" t="s">
        <v>3006</v>
      </c>
      <c r="C5022" t="s">
        <v>5397</v>
      </c>
      <c r="D5022">
        <v>1099.99</v>
      </c>
    </row>
    <row r="5023" spans="1:4">
      <c r="A5023" t="s">
        <v>40</v>
      </c>
      <c r="B5023" t="s">
        <v>3006</v>
      </c>
      <c r="C5023" t="s">
        <v>5398</v>
      </c>
      <c r="D5023">
        <v>208.99</v>
      </c>
    </row>
    <row r="5024" spans="1:4">
      <c r="A5024" t="s">
        <v>40</v>
      </c>
      <c r="B5024" t="s">
        <v>1337</v>
      </c>
      <c r="C5024" t="s">
        <v>5399</v>
      </c>
      <c r="D5024">
        <v>489</v>
      </c>
    </row>
    <row r="5025" spans="1:4">
      <c r="A5025" t="s">
        <v>40</v>
      </c>
      <c r="B5025" t="s">
        <v>3006</v>
      </c>
      <c r="C5025" t="s">
        <v>5400</v>
      </c>
      <c r="D5025">
        <v>431.99</v>
      </c>
    </row>
    <row r="5026" spans="1:4">
      <c r="A5026" t="s">
        <v>40</v>
      </c>
      <c r="B5026" t="s">
        <v>2980</v>
      </c>
      <c r="C5026" t="s">
        <v>5401</v>
      </c>
      <c r="D5026">
        <v>1199</v>
      </c>
    </row>
    <row r="5027" spans="1:4">
      <c r="A5027" t="s">
        <v>40</v>
      </c>
      <c r="B5027" t="s">
        <v>2983</v>
      </c>
      <c r="C5027" t="s">
        <v>5402</v>
      </c>
      <c r="D5027">
        <v>439</v>
      </c>
    </row>
    <row r="5028" spans="1:4">
      <c r="A5028" t="s">
        <v>40</v>
      </c>
      <c r="B5028" t="s">
        <v>3285</v>
      </c>
      <c r="C5028" t="s">
        <v>5403</v>
      </c>
      <c r="D5028">
        <v>377</v>
      </c>
    </row>
    <row r="5029" spans="1:4">
      <c r="A5029" t="s">
        <v>40</v>
      </c>
      <c r="B5029" t="s">
        <v>2980</v>
      </c>
      <c r="C5029" t="s">
        <v>5404</v>
      </c>
      <c r="D5029">
        <v>249.99</v>
      </c>
    </row>
    <row r="5030" spans="1:4">
      <c r="A5030" t="s">
        <v>40</v>
      </c>
      <c r="B5030" t="s">
        <v>3006</v>
      </c>
      <c r="C5030" t="s">
        <v>5405</v>
      </c>
      <c r="D5030">
        <v>499.99</v>
      </c>
    </row>
    <row r="5031" spans="1:4">
      <c r="A5031" t="s">
        <v>40</v>
      </c>
      <c r="B5031" t="s">
        <v>2980</v>
      </c>
      <c r="C5031" t="s">
        <v>5406</v>
      </c>
      <c r="D5031">
        <v>499.99</v>
      </c>
    </row>
    <row r="5032" spans="1:4">
      <c r="A5032" t="s">
        <v>40</v>
      </c>
      <c r="B5032" t="s">
        <v>3006</v>
      </c>
      <c r="C5032" t="s">
        <v>5407</v>
      </c>
      <c r="D5032">
        <v>419.99</v>
      </c>
    </row>
    <row r="5033" spans="1:4">
      <c r="A5033" t="s">
        <v>40</v>
      </c>
      <c r="B5033" t="s">
        <v>2980</v>
      </c>
      <c r="C5033" t="s">
        <v>5408</v>
      </c>
      <c r="D5033">
        <v>279.89999999999998</v>
      </c>
    </row>
    <row r="5034" spans="1:4">
      <c r="A5034" t="s">
        <v>40</v>
      </c>
      <c r="B5034" t="s">
        <v>2980</v>
      </c>
      <c r="C5034" t="s">
        <v>5409</v>
      </c>
      <c r="D5034">
        <v>599.99</v>
      </c>
    </row>
    <row r="5035" spans="1:4">
      <c r="A5035" t="s">
        <v>40</v>
      </c>
      <c r="B5035" t="s">
        <v>2980</v>
      </c>
      <c r="C5035" t="s">
        <v>5410</v>
      </c>
      <c r="D5035">
        <v>1109.99</v>
      </c>
    </row>
    <row r="5036" spans="1:4">
      <c r="A5036" t="s">
        <v>40</v>
      </c>
      <c r="B5036" t="s">
        <v>2980</v>
      </c>
      <c r="C5036" t="s">
        <v>5411</v>
      </c>
      <c r="D5036">
        <v>399</v>
      </c>
    </row>
    <row r="5037" spans="1:4">
      <c r="A5037" t="s">
        <v>40</v>
      </c>
      <c r="B5037" t="s">
        <v>2980</v>
      </c>
      <c r="C5037" t="s">
        <v>5412</v>
      </c>
      <c r="D5037">
        <v>399</v>
      </c>
    </row>
    <row r="5038" spans="1:4">
      <c r="A5038" t="s">
        <v>40</v>
      </c>
      <c r="B5038" t="s">
        <v>2980</v>
      </c>
      <c r="C5038" t="s">
        <v>5413</v>
      </c>
      <c r="D5038">
        <v>619</v>
      </c>
    </row>
    <row r="5039" spans="1:4">
      <c r="A5039" t="s">
        <v>40</v>
      </c>
      <c r="B5039" t="s">
        <v>3006</v>
      </c>
      <c r="C5039" t="s">
        <v>5414</v>
      </c>
      <c r="D5039">
        <v>189.99</v>
      </c>
    </row>
    <row r="5040" spans="1:4">
      <c r="A5040" t="s">
        <v>40</v>
      </c>
      <c r="B5040" t="s">
        <v>2980</v>
      </c>
      <c r="C5040" t="s">
        <v>5415</v>
      </c>
      <c r="D5040">
        <v>895</v>
      </c>
    </row>
    <row r="5041" spans="1:4">
      <c r="A5041" t="s">
        <v>40</v>
      </c>
      <c r="B5041" t="s">
        <v>2980</v>
      </c>
      <c r="C5041" t="s">
        <v>5416</v>
      </c>
      <c r="D5041">
        <v>749.99</v>
      </c>
    </row>
    <row r="5042" spans="1:4">
      <c r="A5042" t="s">
        <v>40</v>
      </c>
      <c r="B5042" t="s">
        <v>2980</v>
      </c>
      <c r="C5042" t="s">
        <v>5417</v>
      </c>
      <c r="D5042">
        <v>399</v>
      </c>
    </row>
    <row r="5043" spans="1:4">
      <c r="A5043" t="s">
        <v>40</v>
      </c>
      <c r="B5043" t="s">
        <v>2980</v>
      </c>
      <c r="C5043" t="s">
        <v>5418</v>
      </c>
      <c r="D5043">
        <v>209.9</v>
      </c>
    </row>
    <row r="5044" spans="1:4">
      <c r="A5044" t="s">
        <v>40</v>
      </c>
      <c r="B5044" t="s">
        <v>2983</v>
      </c>
      <c r="C5044" t="s">
        <v>5419</v>
      </c>
      <c r="D5044">
        <v>649.99</v>
      </c>
    </row>
    <row r="5045" spans="1:4">
      <c r="A5045" t="s">
        <v>40</v>
      </c>
      <c r="B5045" t="s">
        <v>3006</v>
      </c>
      <c r="C5045" t="s">
        <v>5420</v>
      </c>
      <c r="D5045">
        <v>180</v>
      </c>
    </row>
    <row r="5046" spans="1:4">
      <c r="A5046" t="s">
        <v>40</v>
      </c>
      <c r="B5046" t="s">
        <v>2980</v>
      </c>
      <c r="C5046" t="s">
        <v>5421</v>
      </c>
      <c r="D5046">
        <v>209.9</v>
      </c>
    </row>
    <row r="5047" spans="1:4">
      <c r="A5047" t="s">
        <v>40</v>
      </c>
      <c r="B5047" t="s">
        <v>3006</v>
      </c>
      <c r="C5047" t="s">
        <v>5422</v>
      </c>
      <c r="D5047">
        <v>1149.99</v>
      </c>
    </row>
    <row r="5048" spans="1:4">
      <c r="A5048" t="s">
        <v>40</v>
      </c>
      <c r="B5048" t="s">
        <v>2983</v>
      </c>
      <c r="C5048" t="s">
        <v>5423</v>
      </c>
      <c r="D5048">
        <v>499.99</v>
      </c>
    </row>
    <row r="5049" spans="1:4">
      <c r="A5049" t="s">
        <v>40</v>
      </c>
      <c r="B5049" t="s">
        <v>2980</v>
      </c>
      <c r="C5049" t="s">
        <v>5424</v>
      </c>
      <c r="D5049">
        <v>759.99</v>
      </c>
    </row>
    <row r="5050" spans="1:4">
      <c r="A5050" t="s">
        <v>40</v>
      </c>
      <c r="B5050" t="s">
        <v>3006</v>
      </c>
      <c r="C5050" t="s">
        <v>5425</v>
      </c>
      <c r="D5050">
        <v>449</v>
      </c>
    </row>
    <row r="5051" spans="1:4">
      <c r="A5051" t="s">
        <v>40</v>
      </c>
      <c r="B5051" t="s">
        <v>505</v>
      </c>
      <c r="C5051" t="s">
        <v>5426</v>
      </c>
      <c r="D5051">
        <v>549.99</v>
      </c>
    </row>
    <row r="5052" spans="1:4">
      <c r="A5052" t="s">
        <v>40</v>
      </c>
      <c r="B5052" t="s">
        <v>2983</v>
      </c>
      <c r="C5052" t="s">
        <v>5427</v>
      </c>
      <c r="D5052">
        <v>209.9</v>
      </c>
    </row>
    <row r="5053" spans="1:4">
      <c r="A5053" t="s">
        <v>40</v>
      </c>
      <c r="B5053" t="s">
        <v>2983</v>
      </c>
      <c r="C5053" t="s">
        <v>5428</v>
      </c>
      <c r="D5053">
        <v>249.99</v>
      </c>
    </row>
    <row r="5054" spans="1:4">
      <c r="A5054" t="s">
        <v>40</v>
      </c>
      <c r="B5054" t="s">
        <v>2983</v>
      </c>
      <c r="C5054" t="s">
        <v>4120</v>
      </c>
      <c r="D5054">
        <v>204.99</v>
      </c>
    </row>
    <row r="5055" spans="1:4">
      <c r="A5055" t="s">
        <v>40</v>
      </c>
      <c r="B5055" t="s">
        <v>3006</v>
      </c>
      <c r="C5055" t="s">
        <v>5429</v>
      </c>
      <c r="D5055">
        <v>399.99</v>
      </c>
    </row>
    <row r="5056" spans="1:4">
      <c r="A5056" t="s">
        <v>40</v>
      </c>
      <c r="B5056" t="s">
        <v>2980</v>
      </c>
      <c r="C5056" t="s">
        <v>5430</v>
      </c>
      <c r="D5056">
        <v>459</v>
      </c>
    </row>
    <row r="5057" spans="1:4">
      <c r="A5057" t="s">
        <v>40</v>
      </c>
      <c r="B5057" t="s">
        <v>3006</v>
      </c>
      <c r="C5057" t="s">
        <v>5431</v>
      </c>
      <c r="D5057">
        <v>417.99</v>
      </c>
    </row>
    <row r="5058" spans="1:4">
      <c r="A5058" t="s">
        <v>40</v>
      </c>
      <c r="B5058" t="s">
        <v>3006</v>
      </c>
      <c r="C5058" t="s">
        <v>5432</v>
      </c>
      <c r="D5058">
        <v>569</v>
      </c>
    </row>
    <row r="5059" spans="1:4">
      <c r="A5059" t="s">
        <v>40</v>
      </c>
      <c r="B5059" t="s">
        <v>3006</v>
      </c>
      <c r="C5059" t="s">
        <v>5433</v>
      </c>
      <c r="D5059">
        <v>275.49</v>
      </c>
    </row>
    <row r="5060" spans="1:4">
      <c r="A5060" t="s">
        <v>40</v>
      </c>
      <c r="B5060" t="s">
        <v>2980</v>
      </c>
      <c r="C5060" t="s">
        <v>5434</v>
      </c>
      <c r="D5060">
        <v>749.95</v>
      </c>
    </row>
    <row r="5061" spans="1:4">
      <c r="A5061" t="s">
        <v>40</v>
      </c>
      <c r="B5061" t="s">
        <v>3006</v>
      </c>
      <c r="C5061" t="s">
        <v>5435</v>
      </c>
      <c r="D5061">
        <v>719.95</v>
      </c>
    </row>
    <row r="5062" spans="1:4">
      <c r="A5062" t="s">
        <v>40</v>
      </c>
      <c r="B5062" t="s">
        <v>2980</v>
      </c>
      <c r="C5062" t="s">
        <v>5436</v>
      </c>
      <c r="D5062">
        <v>529</v>
      </c>
    </row>
    <row r="5063" spans="1:4">
      <c r="A5063" t="s">
        <v>40</v>
      </c>
      <c r="B5063" t="s">
        <v>2983</v>
      </c>
      <c r="C5063" t="s">
        <v>5437</v>
      </c>
      <c r="D5063">
        <v>209.99</v>
      </c>
    </row>
    <row r="5064" spans="1:4">
      <c r="A5064" t="s">
        <v>40</v>
      </c>
      <c r="B5064" t="s">
        <v>2980</v>
      </c>
      <c r="C5064" t="s">
        <v>5438</v>
      </c>
      <c r="D5064">
        <v>2049.9899999999998</v>
      </c>
    </row>
    <row r="5065" spans="1:4">
      <c r="A5065" t="s">
        <v>40</v>
      </c>
      <c r="B5065" t="s">
        <v>2994</v>
      </c>
      <c r="C5065" t="s">
        <v>5439</v>
      </c>
      <c r="D5065">
        <v>169</v>
      </c>
    </row>
    <row r="5066" spans="1:4">
      <c r="A5066" t="s">
        <v>40</v>
      </c>
      <c r="B5066" t="s">
        <v>3006</v>
      </c>
      <c r="C5066" t="s">
        <v>5440</v>
      </c>
      <c r="D5066">
        <v>1199.99</v>
      </c>
    </row>
    <row r="5067" spans="1:4">
      <c r="A5067" t="s">
        <v>40</v>
      </c>
      <c r="B5067" t="s">
        <v>3009</v>
      </c>
      <c r="C5067" t="s">
        <v>5441</v>
      </c>
      <c r="D5067">
        <v>119.99</v>
      </c>
    </row>
    <row r="5068" spans="1:4">
      <c r="A5068" t="s">
        <v>40</v>
      </c>
      <c r="B5068" t="s">
        <v>2980</v>
      </c>
      <c r="C5068" t="s">
        <v>5442</v>
      </c>
      <c r="D5068">
        <v>1549.99</v>
      </c>
    </row>
    <row r="5069" spans="1:4">
      <c r="A5069" t="s">
        <v>40</v>
      </c>
      <c r="B5069" t="s">
        <v>2980</v>
      </c>
      <c r="C5069" t="s">
        <v>5443</v>
      </c>
      <c r="D5069">
        <v>439.99</v>
      </c>
    </row>
    <row r="5070" spans="1:4">
      <c r="A5070" t="s">
        <v>40</v>
      </c>
      <c r="B5070" t="s">
        <v>3081</v>
      </c>
      <c r="C5070" t="s">
        <v>5444</v>
      </c>
      <c r="D5070">
        <v>1065.99</v>
      </c>
    </row>
    <row r="5071" spans="1:4">
      <c r="A5071" t="s">
        <v>40</v>
      </c>
      <c r="B5071" t="s">
        <v>3006</v>
      </c>
      <c r="C5071" t="s">
        <v>5445</v>
      </c>
      <c r="D5071">
        <v>325</v>
      </c>
    </row>
    <row r="5072" spans="1:4">
      <c r="A5072" t="s">
        <v>40</v>
      </c>
      <c r="B5072" t="s">
        <v>2983</v>
      </c>
      <c r="C5072" t="s">
        <v>5446</v>
      </c>
      <c r="D5072">
        <v>1099.99</v>
      </c>
    </row>
    <row r="5073" spans="1:4">
      <c r="A5073" t="s">
        <v>40</v>
      </c>
      <c r="B5073" t="s">
        <v>3081</v>
      </c>
      <c r="C5073" t="s">
        <v>5447</v>
      </c>
      <c r="D5073">
        <v>385</v>
      </c>
    </row>
    <row r="5074" spans="1:4">
      <c r="A5074" t="s">
        <v>40</v>
      </c>
      <c r="B5074" t="s">
        <v>3409</v>
      </c>
      <c r="C5074" t="s">
        <v>5448</v>
      </c>
      <c r="D5074">
        <v>470</v>
      </c>
    </row>
    <row r="5075" spans="1:4">
      <c r="A5075" t="s">
        <v>40</v>
      </c>
      <c r="B5075" t="s">
        <v>3006</v>
      </c>
      <c r="C5075" t="s">
        <v>5449</v>
      </c>
      <c r="D5075">
        <v>329</v>
      </c>
    </row>
    <row r="5076" spans="1:4">
      <c r="A5076" t="s">
        <v>40</v>
      </c>
      <c r="B5076" t="s">
        <v>510</v>
      </c>
      <c r="C5076" t="s">
        <v>5450</v>
      </c>
      <c r="D5076">
        <v>349</v>
      </c>
    </row>
    <row r="5077" spans="1:4">
      <c r="A5077" t="s">
        <v>40</v>
      </c>
      <c r="B5077" t="s">
        <v>2980</v>
      </c>
      <c r="C5077" t="s">
        <v>5451</v>
      </c>
      <c r="D5077">
        <v>1519.99</v>
      </c>
    </row>
    <row r="5078" spans="1:4">
      <c r="A5078" t="s">
        <v>40</v>
      </c>
      <c r="B5078" t="s">
        <v>2983</v>
      </c>
      <c r="C5078" t="s">
        <v>5452</v>
      </c>
      <c r="D5078">
        <v>899.99</v>
      </c>
    </row>
    <row r="5079" spans="1:4">
      <c r="A5079" t="s">
        <v>40</v>
      </c>
      <c r="B5079" t="s">
        <v>2983</v>
      </c>
      <c r="C5079" t="s">
        <v>5453</v>
      </c>
      <c r="D5079">
        <v>377</v>
      </c>
    </row>
    <row r="5080" spans="1:4">
      <c r="A5080" t="s">
        <v>40</v>
      </c>
      <c r="B5080" t="s">
        <v>3006</v>
      </c>
      <c r="C5080" t="s">
        <v>5454</v>
      </c>
      <c r="D5080">
        <v>593.99</v>
      </c>
    </row>
    <row r="5081" spans="1:4">
      <c r="A5081" t="s">
        <v>40</v>
      </c>
      <c r="B5081" t="s">
        <v>3006</v>
      </c>
      <c r="C5081" t="s">
        <v>5455</v>
      </c>
      <c r="D5081">
        <v>109</v>
      </c>
    </row>
    <row r="5082" spans="1:4">
      <c r="A5082" t="s">
        <v>40</v>
      </c>
      <c r="B5082" t="s">
        <v>3006</v>
      </c>
      <c r="C5082" t="s">
        <v>5456</v>
      </c>
      <c r="D5082">
        <v>249.99</v>
      </c>
    </row>
    <row r="5083" spans="1:4">
      <c r="A5083" t="s">
        <v>40</v>
      </c>
      <c r="B5083" t="s">
        <v>3006</v>
      </c>
      <c r="C5083" t="s">
        <v>5457</v>
      </c>
      <c r="D5083">
        <v>499.99</v>
      </c>
    </row>
    <row r="5084" spans="1:4">
      <c r="A5084" t="s">
        <v>40</v>
      </c>
      <c r="B5084" t="s">
        <v>3006</v>
      </c>
      <c r="C5084" t="s">
        <v>5458</v>
      </c>
      <c r="D5084">
        <v>679</v>
      </c>
    </row>
    <row r="5085" spans="1:4">
      <c r="A5085" t="s">
        <v>40</v>
      </c>
      <c r="B5085" t="s">
        <v>2980</v>
      </c>
      <c r="C5085" t="s">
        <v>5459</v>
      </c>
      <c r="D5085">
        <v>799</v>
      </c>
    </row>
    <row r="5086" spans="1:4">
      <c r="A5086" t="s">
        <v>40</v>
      </c>
      <c r="B5086" t="s">
        <v>2980</v>
      </c>
      <c r="C5086" t="s">
        <v>5460</v>
      </c>
      <c r="D5086">
        <v>899.99</v>
      </c>
    </row>
    <row r="5087" spans="1:4">
      <c r="A5087" t="s">
        <v>40</v>
      </c>
      <c r="B5087" t="s">
        <v>3006</v>
      </c>
      <c r="C5087" t="s">
        <v>5461</v>
      </c>
      <c r="D5087">
        <v>519.99</v>
      </c>
    </row>
    <row r="5088" spans="1:4">
      <c r="A5088" t="s">
        <v>40</v>
      </c>
      <c r="B5088" t="s">
        <v>2983</v>
      </c>
      <c r="C5088" t="s">
        <v>5462</v>
      </c>
      <c r="D5088">
        <v>229.9</v>
      </c>
    </row>
    <row r="5089" spans="1:4">
      <c r="A5089" t="s">
        <v>40</v>
      </c>
      <c r="B5089" t="s">
        <v>1642</v>
      </c>
      <c r="C5089" t="s">
        <v>5463</v>
      </c>
      <c r="D5089">
        <v>1199.99</v>
      </c>
    </row>
    <row r="5090" spans="1:4">
      <c r="A5090" t="s">
        <v>40</v>
      </c>
      <c r="B5090" t="s">
        <v>2983</v>
      </c>
      <c r="C5090" t="s">
        <v>5464</v>
      </c>
      <c r="D5090">
        <v>146.99</v>
      </c>
    </row>
    <row r="5091" spans="1:4">
      <c r="A5091" t="s">
        <v>40</v>
      </c>
      <c r="B5091" t="s">
        <v>3006</v>
      </c>
      <c r="C5091" t="s">
        <v>5465</v>
      </c>
      <c r="D5091">
        <v>284.99</v>
      </c>
    </row>
    <row r="5092" spans="1:4">
      <c r="A5092" t="s">
        <v>40</v>
      </c>
      <c r="B5092" t="s">
        <v>3006</v>
      </c>
      <c r="C5092" t="s">
        <v>5466</v>
      </c>
      <c r="D5092">
        <v>284.39</v>
      </c>
    </row>
    <row r="5093" spans="1:4">
      <c r="A5093" t="s">
        <v>40</v>
      </c>
      <c r="B5093" t="s">
        <v>3006</v>
      </c>
      <c r="C5093" t="s">
        <v>5467</v>
      </c>
      <c r="D5093">
        <v>854.99</v>
      </c>
    </row>
    <row r="5094" spans="1:4">
      <c r="A5094" t="s">
        <v>40</v>
      </c>
      <c r="B5094" t="s">
        <v>2983</v>
      </c>
      <c r="C5094" t="s">
        <v>5468</v>
      </c>
      <c r="D5094">
        <v>429.99</v>
      </c>
    </row>
    <row r="5095" spans="1:4">
      <c r="A5095" t="s">
        <v>40</v>
      </c>
      <c r="B5095" t="s">
        <v>3006</v>
      </c>
      <c r="C5095" t="s">
        <v>5469</v>
      </c>
      <c r="D5095">
        <v>229.99</v>
      </c>
    </row>
    <row r="5096" spans="1:4">
      <c r="A5096" t="s">
        <v>40</v>
      </c>
      <c r="B5096" t="s">
        <v>2983</v>
      </c>
      <c r="C5096" t="s">
        <v>5470</v>
      </c>
      <c r="D5096">
        <v>289.89999999999998</v>
      </c>
    </row>
    <row r="5097" spans="1:4">
      <c r="A5097" t="s">
        <v>40</v>
      </c>
      <c r="B5097" t="s">
        <v>3812</v>
      </c>
      <c r="C5097" t="s">
        <v>5471</v>
      </c>
      <c r="D5097">
        <v>599.99</v>
      </c>
    </row>
    <row r="5098" spans="1:4">
      <c r="A5098" t="s">
        <v>40</v>
      </c>
      <c r="B5098" t="s">
        <v>3006</v>
      </c>
      <c r="C5098" t="s">
        <v>5472</v>
      </c>
      <c r="D5098">
        <v>569.99</v>
      </c>
    </row>
    <row r="5099" spans="1:4">
      <c r="A5099" t="s">
        <v>40</v>
      </c>
      <c r="B5099" t="s">
        <v>2980</v>
      </c>
      <c r="C5099" t="s">
        <v>5473</v>
      </c>
      <c r="D5099">
        <v>429.99</v>
      </c>
    </row>
    <row r="5100" spans="1:4">
      <c r="A5100" t="s">
        <v>40</v>
      </c>
      <c r="B5100" t="s">
        <v>2980</v>
      </c>
      <c r="C5100" t="s">
        <v>5474</v>
      </c>
      <c r="D5100">
        <v>949.99</v>
      </c>
    </row>
    <row r="5101" spans="1:4">
      <c r="A5101" t="s">
        <v>40</v>
      </c>
      <c r="B5101" t="s">
        <v>2980</v>
      </c>
      <c r="C5101" t="s">
        <v>5475</v>
      </c>
      <c r="D5101">
        <v>899.99</v>
      </c>
    </row>
    <row r="5102" spans="1:4">
      <c r="A5102" t="s">
        <v>40</v>
      </c>
      <c r="B5102" t="s">
        <v>2994</v>
      </c>
      <c r="C5102" t="s">
        <v>5476</v>
      </c>
      <c r="D5102">
        <v>239</v>
      </c>
    </row>
    <row r="5103" spans="1:4">
      <c r="A5103" t="s">
        <v>40</v>
      </c>
      <c r="B5103" t="s">
        <v>2980</v>
      </c>
      <c r="C5103" t="s">
        <v>5477</v>
      </c>
      <c r="D5103">
        <v>569.99</v>
      </c>
    </row>
    <row r="5104" spans="1:4">
      <c r="A5104" t="s">
        <v>40</v>
      </c>
      <c r="B5104" t="s">
        <v>3107</v>
      </c>
      <c r="C5104" t="s">
        <v>5478</v>
      </c>
      <c r="D5104">
        <v>446</v>
      </c>
    </row>
    <row r="5105" spans="1:4">
      <c r="A5105" t="s">
        <v>40</v>
      </c>
      <c r="B5105" t="s">
        <v>3409</v>
      </c>
      <c r="C5105" t="s">
        <v>5479</v>
      </c>
      <c r="D5105">
        <v>1299.99</v>
      </c>
    </row>
    <row r="5106" spans="1:4">
      <c r="A5106" t="s">
        <v>40</v>
      </c>
      <c r="B5106" t="s">
        <v>3039</v>
      </c>
      <c r="C5106" t="s">
        <v>5480</v>
      </c>
      <c r="D5106">
        <v>113.43</v>
      </c>
    </row>
    <row r="5107" spans="1:4">
      <c r="A5107" t="s">
        <v>40</v>
      </c>
      <c r="B5107" t="s">
        <v>2980</v>
      </c>
      <c r="C5107" t="s">
        <v>5481</v>
      </c>
      <c r="D5107">
        <v>397</v>
      </c>
    </row>
    <row r="5108" spans="1:4">
      <c r="A5108" t="s">
        <v>40</v>
      </c>
      <c r="B5108" t="s">
        <v>2994</v>
      </c>
      <c r="C5108" t="s">
        <v>5482</v>
      </c>
      <c r="D5108">
        <v>449.99</v>
      </c>
    </row>
    <row r="5109" spans="1:4">
      <c r="A5109" t="s">
        <v>40</v>
      </c>
      <c r="B5109" t="s">
        <v>2980</v>
      </c>
      <c r="C5109" t="s">
        <v>5483</v>
      </c>
      <c r="D5109">
        <v>899.99</v>
      </c>
    </row>
    <row r="5110" spans="1:4">
      <c r="A5110" t="s">
        <v>40</v>
      </c>
      <c r="B5110" t="s">
        <v>2980</v>
      </c>
      <c r="C5110" t="s">
        <v>5484</v>
      </c>
      <c r="D5110">
        <v>1299</v>
      </c>
    </row>
    <row r="5111" spans="1:4">
      <c r="A5111" t="s">
        <v>40</v>
      </c>
      <c r="B5111" t="s">
        <v>2980</v>
      </c>
      <c r="C5111" t="s">
        <v>5485</v>
      </c>
      <c r="D5111">
        <v>1899.99</v>
      </c>
    </row>
    <row r="5112" spans="1:4">
      <c r="A5112" t="s">
        <v>40</v>
      </c>
      <c r="B5112" t="s">
        <v>2983</v>
      </c>
      <c r="C5112" t="s">
        <v>5486</v>
      </c>
      <c r="D5112">
        <v>499.99</v>
      </c>
    </row>
    <row r="5113" spans="1:4">
      <c r="A5113" t="s">
        <v>40</v>
      </c>
      <c r="B5113" t="s">
        <v>2983</v>
      </c>
      <c r="C5113" t="s">
        <v>5487</v>
      </c>
      <c r="D5113">
        <v>533</v>
      </c>
    </row>
    <row r="5114" spans="1:4">
      <c r="A5114" t="s">
        <v>40</v>
      </c>
      <c r="B5114" t="s">
        <v>3006</v>
      </c>
      <c r="C5114" t="s">
        <v>5488</v>
      </c>
      <c r="D5114">
        <v>749.99</v>
      </c>
    </row>
    <row r="5115" spans="1:4">
      <c r="A5115" t="s">
        <v>40</v>
      </c>
      <c r="B5115" t="s">
        <v>2980</v>
      </c>
      <c r="C5115" t="s">
        <v>5489</v>
      </c>
      <c r="D5115">
        <v>1999</v>
      </c>
    </row>
    <row r="5116" spans="1:4">
      <c r="A5116" t="s">
        <v>40</v>
      </c>
      <c r="B5116" t="s">
        <v>3006</v>
      </c>
      <c r="C5116" t="s">
        <v>5490</v>
      </c>
      <c r="D5116">
        <v>109</v>
      </c>
    </row>
    <row r="5117" spans="1:4">
      <c r="A5117" t="s">
        <v>40</v>
      </c>
      <c r="B5117" t="s">
        <v>3175</v>
      </c>
      <c r="C5117" t="s">
        <v>5491</v>
      </c>
      <c r="D5117">
        <v>139</v>
      </c>
    </row>
    <row r="5118" spans="1:4">
      <c r="A5118" t="s">
        <v>40</v>
      </c>
      <c r="B5118" t="s">
        <v>2983</v>
      </c>
      <c r="C5118" t="s">
        <v>5492</v>
      </c>
      <c r="D5118">
        <v>714.99</v>
      </c>
    </row>
    <row r="5119" spans="1:4">
      <c r="A5119" t="s">
        <v>40</v>
      </c>
      <c r="B5119" t="s">
        <v>2980</v>
      </c>
      <c r="C5119" t="s">
        <v>5493</v>
      </c>
      <c r="D5119">
        <v>1379.99</v>
      </c>
    </row>
    <row r="5120" spans="1:4">
      <c r="A5120" t="s">
        <v>40</v>
      </c>
      <c r="B5120" t="s">
        <v>2994</v>
      </c>
      <c r="C5120" t="s">
        <v>5494</v>
      </c>
      <c r="D5120">
        <v>309</v>
      </c>
    </row>
    <row r="5121" spans="1:4">
      <c r="A5121" t="s">
        <v>40</v>
      </c>
      <c r="B5121" t="s">
        <v>3081</v>
      </c>
      <c r="C5121" t="s">
        <v>5495</v>
      </c>
      <c r="D5121">
        <v>1129.99</v>
      </c>
    </row>
    <row r="5122" spans="1:4">
      <c r="A5122" t="s">
        <v>40</v>
      </c>
      <c r="B5122" t="s">
        <v>1337</v>
      </c>
      <c r="C5122" t="s">
        <v>5496</v>
      </c>
      <c r="D5122">
        <v>649.99</v>
      </c>
    </row>
    <row r="5123" spans="1:4">
      <c r="A5123" t="s">
        <v>40</v>
      </c>
      <c r="B5123" t="s">
        <v>3006</v>
      </c>
      <c r="C5123" t="s">
        <v>5497</v>
      </c>
      <c r="D5123">
        <v>550</v>
      </c>
    </row>
    <row r="5124" spans="1:4">
      <c r="A5124" t="s">
        <v>40</v>
      </c>
      <c r="B5124" t="s">
        <v>3006</v>
      </c>
      <c r="C5124" t="s">
        <v>5498</v>
      </c>
      <c r="D5124">
        <v>549.99</v>
      </c>
    </row>
    <row r="5125" spans="1:4">
      <c r="A5125" t="s">
        <v>40</v>
      </c>
      <c r="B5125" t="s">
        <v>3006</v>
      </c>
      <c r="C5125" t="s">
        <v>5499</v>
      </c>
      <c r="D5125">
        <v>119.99</v>
      </c>
    </row>
    <row r="5126" spans="1:4">
      <c r="A5126" t="s">
        <v>40</v>
      </c>
      <c r="B5126" t="s">
        <v>3006</v>
      </c>
      <c r="C5126" t="s">
        <v>5142</v>
      </c>
      <c r="D5126">
        <v>979.95</v>
      </c>
    </row>
    <row r="5127" spans="1:4">
      <c r="A5127" t="s">
        <v>40</v>
      </c>
      <c r="B5127" t="s">
        <v>3006</v>
      </c>
      <c r="C5127" t="s">
        <v>5500</v>
      </c>
      <c r="D5127">
        <v>169</v>
      </c>
    </row>
    <row r="5128" spans="1:4">
      <c r="A5128" t="s">
        <v>40</v>
      </c>
      <c r="B5128" t="s">
        <v>3006</v>
      </c>
      <c r="C5128" t="s">
        <v>5501</v>
      </c>
      <c r="D5128">
        <v>369.99</v>
      </c>
    </row>
    <row r="5129" spans="1:4">
      <c r="A5129" t="s">
        <v>40</v>
      </c>
      <c r="B5129" t="s">
        <v>3006</v>
      </c>
      <c r="C5129" t="s">
        <v>5502</v>
      </c>
      <c r="D5129">
        <v>429.99</v>
      </c>
    </row>
    <row r="5130" spans="1:4">
      <c r="A5130" t="s">
        <v>40</v>
      </c>
      <c r="B5130" t="s">
        <v>3006</v>
      </c>
      <c r="C5130" t="s">
        <v>5503</v>
      </c>
      <c r="D5130">
        <v>199.99</v>
      </c>
    </row>
    <row r="5131" spans="1:4">
      <c r="A5131" t="s">
        <v>40</v>
      </c>
      <c r="B5131" t="s">
        <v>3006</v>
      </c>
      <c r="C5131" t="s">
        <v>5504</v>
      </c>
      <c r="D5131">
        <v>574.99</v>
      </c>
    </row>
    <row r="5132" spans="1:4">
      <c r="A5132" t="s">
        <v>40</v>
      </c>
      <c r="B5132" t="s">
        <v>2983</v>
      </c>
      <c r="C5132" t="s">
        <v>5505</v>
      </c>
      <c r="D5132">
        <v>239.99</v>
      </c>
    </row>
    <row r="5133" spans="1:4">
      <c r="A5133" t="s">
        <v>40</v>
      </c>
      <c r="B5133" t="s">
        <v>3409</v>
      </c>
      <c r="C5133" t="s">
        <v>5506</v>
      </c>
      <c r="D5133">
        <v>579.99</v>
      </c>
    </row>
    <row r="5134" spans="1:4">
      <c r="A5134" t="s">
        <v>40</v>
      </c>
      <c r="B5134" t="s">
        <v>3812</v>
      </c>
      <c r="C5134" t="s">
        <v>5507</v>
      </c>
      <c r="D5134">
        <v>499.99</v>
      </c>
    </row>
    <row r="5135" spans="1:4">
      <c r="A5135" t="s">
        <v>40</v>
      </c>
      <c r="B5135" t="s">
        <v>2980</v>
      </c>
      <c r="C5135" t="s">
        <v>5508</v>
      </c>
      <c r="D5135">
        <v>1469.99</v>
      </c>
    </row>
    <row r="5136" spans="1:4">
      <c r="A5136" t="s">
        <v>40</v>
      </c>
      <c r="B5136" t="s">
        <v>3006</v>
      </c>
      <c r="C5136" t="s">
        <v>5509</v>
      </c>
      <c r="D5136">
        <v>332.99</v>
      </c>
    </row>
    <row r="5137" spans="1:4">
      <c r="A5137" t="s">
        <v>40</v>
      </c>
      <c r="B5137" t="s">
        <v>3006</v>
      </c>
      <c r="C5137" t="s">
        <v>5510</v>
      </c>
      <c r="D5137">
        <v>999.99</v>
      </c>
    </row>
    <row r="5138" spans="1:4">
      <c r="A5138" t="s">
        <v>40</v>
      </c>
      <c r="B5138" t="s">
        <v>2980</v>
      </c>
      <c r="C5138" t="s">
        <v>5511</v>
      </c>
      <c r="D5138">
        <v>249.99</v>
      </c>
    </row>
    <row r="5139" spans="1:4">
      <c r="A5139" t="s">
        <v>40</v>
      </c>
      <c r="B5139" t="s">
        <v>3006</v>
      </c>
      <c r="C5139" t="s">
        <v>5133</v>
      </c>
      <c r="D5139">
        <v>579.99</v>
      </c>
    </row>
    <row r="5140" spans="1:4">
      <c r="A5140" t="s">
        <v>40</v>
      </c>
      <c r="B5140" t="s">
        <v>3006</v>
      </c>
      <c r="C5140" t="s">
        <v>5512</v>
      </c>
      <c r="D5140">
        <v>749</v>
      </c>
    </row>
    <row r="5141" spans="1:4">
      <c r="A5141" t="s">
        <v>40</v>
      </c>
      <c r="B5141" t="s">
        <v>3175</v>
      </c>
      <c r="C5141" t="s">
        <v>5513</v>
      </c>
      <c r="D5141">
        <v>179</v>
      </c>
    </row>
    <row r="5142" spans="1:4">
      <c r="A5142" t="s">
        <v>40</v>
      </c>
      <c r="B5142" t="s">
        <v>2980</v>
      </c>
      <c r="C5142" t="s">
        <v>5514</v>
      </c>
      <c r="D5142">
        <v>599.99</v>
      </c>
    </row>
    <row r="5143" spans="1:4">
      <c r="A5143" t="s">
        <v>40</v>
      </c>
      <c r="B5143" t="s">
        <v>3006</v>
      </c>
      <c r="C5143" t="s">
        <v>5515</v>
      </c>
      <c r="D5143">
        <v>349.99</v>
      </c>
    </row>
    <row r="5144" spans="1:4">
      <c r="A5144" t="s">
        <v>40</v>
      </c>
      <c r="B5144" t="s">
        <v>2980</v>
      </c>
      <c r="C5144" t="s">
        <v>5516</v>
      </c>
      <c r="D5144">
        <v>579</v>
      </c>
    </row>
    <row r="5145" spans="1:4">
      <c r="A5145" t="s">
        <v>40</v>
      </c>
      <c r="B5145" t="s">
        <v>3006</v>
      </c>
      <c r="C5145" t="s">
        <v>5517</v>
      </c>
      <c r="D5145">
        <v>379.99</v>
      </c>
    </row>
    <row r="5146" spans="1:4">
      <c r="A5146" t="s">
        <v>40</v>
      </c>
      <c r="B5146" t="s">
        <v>2980</v>
      </c>
      <c r="C5146" t="s">
        <v>5518</v>
      </c>
      <c r="D5146">
        <v>408</v>
      </c>
    </row>
    <row r="5147" spans="1:4">
      <c r="A5147" t="s">
        <v>40</v>
      </c>
      <c r="B5147" t="s">
        <v>2980</v>
      </c>
      <c r="C5147" t="s">
        <v>5519</v>
      </c>
      <c r="D5147">
        <v>249.99</v>
      </c>
    </row>
    <row r="5148" spans="1:4">
      <c r="A5148" t="s">
        <v>40</v>
      </c>
      <c r="B5148" t="s">
        <v>2980</v>
      </c>
      <c r="C5148" t="s">
        <v>5520</v>
      </c>
      <c r="D5148">
        <v>168.99</v>
      </c>
    </row>
    <row r="5149" spans="1:4">
      <c r="A5149" t="s">
        <v>40</v>
      </c>
      <c r="B5149" t="s">
        <v>2980</v>
      </c>
      <c r="C5149" t="s">
        <v>5521</v>
      </c>
      <c r="D5149">
        <v>179</v>
      </c>
    </row>
    <row r="5150" spans="1:4">
      <c r="A5150" t="s">
        <v>40</v>
      </c>
      <c r="B5150" t="s">
        <v>2980</v>
      </c>
      <c r="C5150" t="s">
        <v>5522</v>
      </c>
      <c r="D5150">
        <v>199.99</v>
      </c>
    </row>
    <row r="5151" spans="1:4">
      <c r="A5151" t="s">
        <v>40</v>
      </c>
      <c r="B5151" t="s">
        <v>2983</v>
      </c>
      <c r="C5151" t="s">
        <v>4626</v>
      </c>
      <c r="D5151">
        <v>131.99</v>
      </c>
    </row>
    <row r="5152" spans="1:4">
      <c r="A5152" t="s">
        <v>40</v>
      </c>
      <c r="B5152" t="s">
        <v>3006</v>
      </c>
      <c r="C5152" t="s">
        <v>5523</v>
      </c>
      <c r="D5152">
        <v>429.99</v>
      </c>
    </row>
    <row r="5153" spans="1:4">
      <c r="A5153" t="s">
        <v>40</v>
      </c>
      <c r="B5153" t="s">
        <v>2980</v>
      </c>
      <c r="C5153" t="s">
        <v>5524</v>
      </c>
      <c r="D5153">
        <v>236</v>
      </c>
    </row>
    <row r="5154" spans="1:4">
      <c r="A5154" t="s">
        <v>40</v>
      </c>
      <c r="B5154" t="s">
        <v>2980</v>
      </c>
      <c r="C5154" t="s">
        <v>5018</v>
      </c>
      <c r="D5154">
        <v>128.99</v>
      </c>
    </row>
    <row r="5155" spans="1:4">
      <c r="A5155" t="s">
        <v>40</v>
      </c>
      <c r="C5155" t="s">
        <v>5525</v>
      </c>
      <c r="D5155">
        <v>285.02999999999997</v>
      </c>
    </row>
    <row r="5156" spans="1:4">
      <c r="A5156" t="s">
        <v>40</v>
      </c>
      <c r="B5156" t="s">
        <v>2980</v>
      </c>
      <c r="C5156" t="s">
        <v>5526</v>
      </c>
      <c r="D5156">
        <v>265</v>
      </c>
    </row>
    <row r="5157" spans="1:4">
      <c r="A5157" t="s">
        <v>40</v>
      </c>
      <c r="C5157" t="s">
        <v>5527</v>
      </c>
      <c r="D5157">
        <v>749.28</v>
      </c>
    </row>
    <row r="5158" spans="1:4">
      <c r="A5158" t="s">
        <v>40</v>
      </c>
      <c r="C5158" t="s">
        <v>5528</v>
      </c>
      <c r="D5158">
        <v>603.12</v>
      </c>
    </row>
    <row r="5159" spans="1:4">
      <c r="A5159" t="s">
        <v>40</v>
      </c>
      <c r="B5159" t="s">
        <v>2980</v>
      </c>
      <c r="C5159" t="s">
        <v>4610</v>
      </c>
      <c r="D5159">
        <v>131.57</v>
      </c>
    </row>
    <row r="5160" spans="1:4">
      <c r="A5160" t="s">
        <v>40</v>
      </c>
      <c r="C5160" t="s">
        <v>5529</v>
      </c>
      <c r="D5160">
        <v>278.88</v>
      </c>
    </row>
    <row r="5161" spans="1:4">
      <c r="A5161" t="s">
        <v>40</v>
      </c>
      <c r="C5161" t="s">
        <v>5530</v>
      </c>
      <c r="D5161">
        <v>1790.89</v>
      </c>
    </row>
    <row r="5162" spans="1:4">
      <c r="A5162" t="s">
        <v>40</v>
      </c>
      <c r="B5162" t="s">
        <v>2983</v>
      </c>
      <c r="C5162" t="s">
        <v>5531</v>
      </c>
      <c r="D5162">
        <v>169</v>
      </c>
    </row>
    <row r="5163" spans="1:4">
      <c r="A5163" t="s">
        <v>40</v>
      </c>
      <c r="B5163" t="s">
        <v>2983</v>
      </c>
      <c r="C5163" t="s">
        <v>5532</v>
      </c>
      <c r="D5163">
        <v>229</v>
      </c>
    </row>
    <row r="5164" spans="1:4">
      <c r="A5164" t="s">
        <v>40</v>
      </c>
      <c r="B5164" t="s">
        <v>2983</v>
      </c>
      <c r="C5164" t="s">
        <v>3930</v>
      </c>
      <c r="D5164">
        <v>136.79</v>
      </c>
    </row>
    <row r="5165" spans="1:4">
      <c r="A5165" t="s">
        <v>40</v>
      </c>
      <c r="C5165" t="s">
        <v>5533</v>
      </c>
      <c r="D5165">
        <v>1072.3900000000001</v>
      </c>
    </row>
    <row r="5166" spans="1:4">
      <c r="A5166" t="s">
        <v>40</v>
      </c>
      <c r="B5166" t="s">
        <v>2983</v>
      </c>
      <c r="C5166" t="s">
        <v>5534</v>
      </c>
      <c r="D5166">
        <v>599</v>
      </c>
    </row>
    <row r="5167" spans="1:4">
      <c r="A5167" t="s">
        <v>40</v>
      </c>
      <c r="C5167" t="s">
        <v>5535</v>
      </c>
      <c r="D5167">
        <v>1327.18</v>
      </c>
    </row>
    <row r="5168" spans="1:4">
      <c r="A5168" t="s">
        <v>40</v>
      </c>
      <c r="C5168" t="s">
        <v>5536</v>
      </c>
      <c r="D5168">
        <v>518</v>
      </c>
    </row>
    <row r="5169" spans="1:4">
      <c r="A5169" t="s">
        <v>40</v>
      </c>
      <c r="B5169" t="s">
        <v>3006</v>
      </c>
      <c r="C5169" t="s">
        <v>5537</v>
      </c>
      <c r="D5169">
        <v>599.99</v>
      </c>
    </row>
    <row r="5170" spans="1:4">
      <c r="A5170" t="s">
        <v>91</v>
      </c>
      <c r="B5170" t="s">
        <v>1337</v>
      </c>
      <c r="C5170" t="s">
        <v>5538</v>
      </c>
      <c r="D5170">
        <v>189.99</v>
      </c>
    </row>
    <row r="5171" spans="1:4">
      <c r="A5171" t="s">
        <v>91</v>
      </c>
      <c r="B5171" t="s">
        <v>1337</v>
      </c>
      <c r="C5171" t="s">
        <v>2985</v>
      </c>
      <c r="D5171">
        <v>189.99</v>
      </c>
    </row>
    <row r="5172" spans="1:4">
      <c r="A5172" t="s">
        <v>91</v>
      </c>
      <c r="B5172" t="s">
        <v>1337</v>
      </c>
      <c r="C5172" t="s">
        <v>5539</v>
      </c>
      <c r="D5172">
        <v>203.97</v>
      </c>
    </row>
    <row r="5173" spans="1:4">
      <c r="A5173" t="s">
        <v>91</v>
      </c>
      <c r="B5173" t="s">
        <v>1337</v>
      </c>
      <c r="C5173" t="s">
        <v>3016</v>
      </c>
      <c r="D5173">
        <v>139.99</v>
      </c>
    </row>
    <row r="5174" spans="1:4">
      <c r="A5174" t="s">
        <v>91</v>
      </c>
      <c r="B5174" t="s">
        <v>3068</v>
      </c>
      <c r="C5174" t="s">
        <v>5540</v>
      </c>
      <c r="D5174">
        <v>54.99</v>
      </c>
    </row>
    <row r="5175" spans="1:4">
      <c r="A5175" t="s">
        <v>91</v>
      </c>
      <c r="B5175" t="s">
        <v>510</v>
      </c>
      <c r="C5175" t="s">
        <v>5541</v>
      </c>
      <c r="D5175">
        <v>29.99</v>
      </c>
    </row>
    <row r="5176" spans="1:4">
      <c r="A5176" t="s">
        <v>91</v>
      </c>
      <c r="B5176" t="s">
        <v>561</v>
      </c>
      <c r="C5176" t="s">
        <v>5542</v>
      </c>
      <c r="D5176">
        <v>79.989999999999995</v>
      </c>
    </row>
    <row r="5177" spans="1:4">
      <c r="A5177" t="s">
        <v>91</v>
      </c>
      <c r="B5177" t="s">
        <v>1337</v>
      </c>
      <c r="C5177" t="s">
        <v>3012</v>
      </c>
      <c r="D5177">
        <v>124.99</v>
      </c>
    </row>
    <row r="5178" spans="1:4">
      <c r="A5178" t="s">
        <v>91</v>
      </c>
      <c r="B5178" t="s">
        <v>510</v>
      </c>
      <c r="C5178" t="s">
        <v>5543</v>
      </c>
      <c r="D5178">
        <v>119.99</v>
      </c>
    </row>
    <row r="5179" spans="1:4">
      <c r="A5179" t="s">
        <v>91</v>
      </c>
      <c r="B5179" t="s">
        <v>510</v>
      </c>
      <c r="C5179" t="s">
        <v>5544</v>
      </c>
      <c r="D5179">
        <v>164.99</v>
      </c>
    </row>
    <row r="5180" spans="1:4">
      <c r="A5180" t="s">
        <v>91</v>
      </c>
      <c r="B5180" t="s">
        <v>510</v>
      </c>
      <c r="C5180" t="s">
        <v>5545</v>
      </c>
      <c r="D5180">
        <v>179.99</v>
      </c>
    </row>
    <row r="5181" spans="1:4">
      <c r="A5181" t="s">
        <v>91</v>
      </c>
      <c r="B5181" t="s">
        <v>510</v>
      </c>
      <c r="C5181" t="s">
        <v>5546</v>
      </c>
      <c r="D5181">
        <v>119.99</v>
      </c>
    </row>
    <row r="5182" spans="1:4">
      <c r="A5182" t="s">
        <v>91</v>
      </c>
      <c r="B5182" t="s">
        <v>505</v>
      </c>
      <c r="C5182" t="s">
        <v>5547</v>
      </c>
      <c r="D5182">
        <v>64.989999999999995</v>
      </c>
    </row>
    <row r="5183" spans="1:4">
      <c r="A5183" t="s">
        <v>91</v>
      </c>
      <c r="B5183" t="s">
        <v>510</v>
      </c>
      <c r="C5183" t="s">
        <v>5548</v>
      </c>
      <c r="D5183">
        <v>169.99</v>
      </c>
    </row>
    <row r="5184" spans="1:4">
      <c r="A5184" t="s">
        <v>91</v>
      </c>
      <c r="B5184" t="s">
        <v>510</v>
      </c>
      <c r="C5184" t="s">
        <v>5549</v>
      </c>
      <c r="D5184">
        <v>139.99</v>
      </c>
    </row>
    <row r="5185" spans="1:4">
      <c r="A5185" t="s">
        <v>91</v>
      </c>
      <c r="B5185" t="s">
        <v>505</v>
      </c>
      <c r="C5185" t="s">
        <v>5550</v>
      </c>
      <c r="D5185">
        <v>139.96</v>
      </c>
    </row>
    <row r="5186" spans="1:4">
      <c r="A5186" t="s">
        <v>91</v>
      </c>
      <c r="B5186" t="s">
        <v>510</v>
      </c>
      <c r="C5186" t="s">
        <v>5551</v>
      </c>
      <c r="D5186">
        <v>109</v>
      </c>
    </row>
    <row r="5187" spans="1:4">
      <c r="A5187" t="s">
        <v>91</v>
      </c>
      <c r="B5187" t="s">
        <v>510</v>
      </c>
      <c r="C5187" t="s">
        <v>5552</v>
      </c>
      <c r="D5187">
        <v>149.99</v>
      </c>
    </row>
    <row r="5188" spans="1:4">
      <c r="A5188" t="s">
        <v>91</v>
      </c>
      <c r="B5188" t="s">
        <v>505</v>
      </c>
      <c r="C5188" t="s">
        <v>5553</v>
      </c>
      <c r="D5188">
        <v>79.989999999999995</v>
      </c>
    </row>
    <row r="5189" spans="1:4">
      <c r="A5189" t="s">
        <v>91</v>
      </c>
      <c r="B5189" t="s">
        <v>510</v>
      </c>
      <c r="C5189" t="s">
        <v>5554</v>
      </c>
      <c r="D5189">
        <v>69.989999999999995</v>
      </c>
    </row>
    <row r="5190" spans="1:4">
      <c r="A5190" t="s">
        <v>91</v>
      </c>
      <c r="B5190" t="s">
        <v>510</v>
      </c>
      <c r="C5190" t="s">
        <v>5555</v>
      </c>
      <c r="D5190">
        <v>219.99</v>
      </c>
    </row>
    <row r="5191" spans="1:4">
      <c r="A5191" t="s">
        <v>91</v>
      </c>
      <c r="B5191" t="s">
        <v>510</v>
      </c>
      <c r="C5191" t="s">
        <v>5556</v>
      </c>
      <c r="D5191">
        <v>159.99</v>
      </c>
    </row>
    <row r="5192" spans="1:4">
      <c r="A5192" t="s">
        <v>91</v>
      </c>
      <c r="B5192" t="s">
        <v>510</v>
      </c>
      <c r="C5192" t="s">
        <v>5557</v>
      </c>
      <c r="D5192">
        <v>39.99</v>
      </c>
    </row>
    <row r="5193" spans="1:4">
      <c r="A5193" t="s">
        <v>91</v>
      </c>
      <c r="B5193" t="s">
        <v>5558</v>
      </c>
      <c r="C5193" t="s">
        <v>5559</v>
      </c>
      <c r="D5193">
        <v>99.99</v>
      </c>
    </row>
    <row r="5194" spans="1:4">
      <c r="A5194" t="s">
        <v>91</v>
      </c>
      <c r="B5194" t="s">
        <v>510</v>
      </c>
      <c r="C5194" t="s">
        <v>5560</v>
      </c>
      <c r="D5194">
        <v>239.99</v>
      </c>
    </row>
    <row r="5195" spans="1:4">
      <c r="A5195" t="s">
        <v>91</v>
      </c>
      <c r="B5195" t="s">
        <v>505</v>
      </c>
      <c r="C5195" t="s">
        <v>5561</v>
      </c>
      <c r="D5195">
        <v>69.989999999999995</v>
      </c>
    </row>
    <row r="5196" spans="1:4">
      <c r="A5196" t="s">
        <v>91</v>
      </c>
      <c r="B5196" t="s">
        <v>510</v>
      </c>
      <c r="C5196" t="s">
        <v>5562</v>
      </c>
      <c r="D5196">
        <v>139.99</v>
      </c>
    </row>
    <row r="5197" spans="1:4">
      <c r="A5197" t="s">
        <v>91</v>
      </c>
      <c r="B5197" t="s">
        <v>2994</v>
      </c>
      <c r="C5197" t="s">
        <v>5563</v>
      </c>
      <c r="D5197">
        <v>59</v>
      </c>
    </row>
    <row r="5198" spans="1:4">
      <c r="A5198" t="s">
        <v>91</v>
      </c>
      <c r="B5198" t="s">
        <v>561</v>
      </c>
      <c r="C5198" t="s">
        <v>5564</v>
      </c>
      <c r="D5198">
        <v>55</v>
      </c>
    </row>
    <row r="5199" spans="1:4">
      <c r="A5199" t="s">
        <v>91</v>
      </c>
      <c r="B5199" t="s">
        <v>510</v>
      </c>
      <c r="C5199" t="s">
        <v>5565</v>
      </c>
      <c r="D5199">
        <v>329.97</v>
      </c>
    </row>
    <row r="5200" spans="1:4">
      <c r="A5200" t="s">
        <v>91</v>
      </c>
      <c r="B5200" t="s">
        <v>505</v>
      </c>
      <c r="C5200" t="s">
        <v>5566</v>
      </c>
      <c r="D5200">
        <v>69.989999999999995</v>
      </c>
    </row>
    <row r="5201" spans="1:4">
      <c r="A5201" t="s">
        <v>91</v>
      </c>
      <c r="B5201" t="s">
        <v>510</v>
      </c>
      <c r="C5201" t="s">
        <v>5567</v>
      </c>
      <c r="D5201">
        <v>225</v>
      </c>
    </row>
    <row r="5202" spans="1:4">
      <c r="A5202" t="s">
        <v>91</v>
      </c>
      <c r="B5202" t="s">
        <v>510</v>
      </c>
      <c r="C5202" t="s">
        <v>5568</v>
      </c>
      <c r="D5202">
        <v>169.99</v>
      </c>
    </row>
    <row r="5203" spans="1:4">
      <c r="A5203" t="s">
        <v>91</v>
      </c>
      <c r="B5203" t="s">
        <v>510</v>
      </c>
      <c r="C5203" t="s">
        <v>5569</v>
      </c>
      <c r="D5203">
        <v>38.39</v>
      </c>
    </row>
    <row r="5204" spans="1:4">
      <c r="A5204" t="s">
        <v>91</v>
      </c>
      <c r="B5204" t="s">
        <v>510</v>
      </c>
      <c r="C5204" t="s">
        <v>5570</v>
      </c>
      <c r="D5204">
        <v>74.989999999999995</v>
      </c>
    </row>
    <row r="5205" spans="1:4">
      <c r="A5205" t="s">
        <v>91</v>
      </c>
      <c r="B5205" t="s">
        <v>505</v>
      </c>
      <c r="C5205" t="s">
        <v>5571</v>
      </c>
      <c r="D5205">
        <v>79.989999999999995</v>
      </c>
    </row>
    <row r="5206" spans="1:4">
      <c r="A5206" t="s">
        <v>91</v>
      </c>
      <c r="B5206" t="s">
        <v>561</v>
      </c>
      <c r="C5206" t="s">
        <v>5572</v>
      </c>
      <c r="D5206">
        <v>59.99</v>
      </c>
    </row>
    <row r="5207" spans="1:4">
      <c r="A5207" t="s">
        <v>91</v>
      </c>
      <c r="B5207" t="s">
        <v>505</v>
      </c>
      <c r="C5207" t="s">
        <v>5573</v>
      </c>
      <c r="D5207">
        <v>92.94</v>
      </c>
    </row>
    <row r="5208" spans="1:4">
      <c r="A5208" t="s">
        <v>91</v>
      </c>
      <c r="B5208" t="s">
        <v>505</v>
      </c>
      <c r="C5208" t="s">
        <v>5574</v>
      </c>
      <c r="D5208">
        <v>59.99</v>
      </c>
    </row>
    <row r="5209" spans="1:4">
      <c r="A5209" t="s">
        <v>91</v>
      </c>
      <c r="B5209" t="s">
        <v>510</v>
      </c>
      <c r="C5209" t="s">
        <v>5575</v>
      </c>
      <c r="D5209">
        <v>225</v>
      </c>
    </row>
    <row r="5210" spans="1:4">
      <c r="A5210" t="s">
        <v>91</v>
      </c>
      <c r="B5210" t="s">
        <v>505</v>
      </c>
      <c r="C5210" t="s">
        <v>5576</v>
      </c>
      <c r="D5210">
        <v>79.989999999999995</v>
      </c>
    </row>
    <row r="5211" spans="1:4">
      <c r="A5211" t="s">
        <v>91</v>
      </c>
      <c r="B5211" t="s">
        <v>510</v>
      </c>
      <c r="C5211" t="s">
        <v>5577</v>
      </c>
      <c r="D5211">
        <v>129.99</v>
      </c>
    </row>
    <row r="5212" spans="1:4">
      <c r="A5212" t="s">
        <v>91</v>
      </c>
      <c r="B5212" t="s">
        <v>510</v>
      </c>
      <c r="C5212" t="s">
        <v>5578</v>
      </c>
      <c r="D5212">
        <v>54.79</v>
      </c>
    </row>
    <row r="5213" spans="1:4">
      <c r="A5213" t="s">
        <v>91</v>
      </c>
      <c r="B5213" t="s">
        <v>3006</v>
      </c>
      <c r="C5213" t="s">
        <v>5579</v>
      </c>
      <c r="D5213">
        <v>89.99</v>
      </c>
    </row>
    <row r="5214" spans="1:4">
      <c r="A5214" t="s">
        <v>91</v>
      </c>
      <c r="B5214" t="s">
        <v>505</v>
      </c>
      <c r="C5214" t="s">
        <v>5580</v>
      </c>
      <c r="D5214">
        <v>89.99</v>
      </c>
    </row>
    <row r="5215" spans="1:4">
      <c r="A5215" t="s">
        <v>91</v>
      </c>
      <c r="B5215" t="s">
        <v>510</v>
      </c>
      <c r="C5215" t="s">
        <v>5581</v>
      </c>
      <c r="D5215">
        <v>90</v>
      </c>
    </row>
    <row r="5216" spans="1:4">
      <c r="A5216" t="s">
        <v>91</v>
      </c>
      <c r="B5216" t="s">
        <v>561</v>
      </c>
      <c r="C5216" t="s">
        <v>5582</v>
      </c>
      <c r="D5216">
        <v>59.99</v>
      </c>
    </row>
    <row r="5217" spans="1:4">
      <c r="A5217" t="s">
        <v>91</v>
      </c>
      <c r="B5217" t="s">
        <v>1337</v>
      </c>
      <c r="C5217" t="s">
        <v>5583</v>
      </c>
      <c r="D5217">
        <v>369.99</v>
      </c>
    </row>
    <row r="5218" spans="1:4">
      <c r="A5218" t="s">
        <v>91</v>
      </c>
      <c r="B5218" t="s">
        <v>505</v>
      </c>
      <c r="C5218" t="s">
        <v>5584</v>
      </c>
      <c r="D5218">
        <v>65.989999999999995</v>
      </c>
    </row>
    <row r="5219" spans="1:4">
      <c r="A5219" t="s">
        <v>91</v>
      </c>
      <c r="B5219" t="s">
        <v>505</v>
      </c>
      <c r="C5219" t="s">
        <v>5585</v>
      </c>
      <c r="D5219">
        <v>79.989999999999995</v>
      </c>
    </row>
    <row r="5220" spans="1:4">
      <c r="A5220" t="s">
        <v>91</v>
      </c>
      <c r="B5220" t="s">
        <v>510</v>
      </c>
      <c r="C5220" t="s">
        <v>5586</v>
      </c>
      <c r="D5220">
        <v>249.99</v>
      </c>
    </row>
    <row r="5221" spans="1:4">
      <c r="A5221" t="s">
        <v>91</v>
      </c>
      <c r="B5221" t="s">
        <v>510</v>
      </c>
      <c r="C5221" t="s">
        <v>5587</v>
      </c>
      <c r="D5221">
        <v>89.99</v>
      </c>
    </row>
    <row r="5222" spans="1:4">
      <c r="A5222" t="s">
        <v>91</v>
      </c>
      <c r="B5222" t="s">
        <v>510</v>
      </c>
      <c r="C5222" t="s">
        <v>5588</v>
      </c>
      <c r="D5222">
        <v>134.99</v>
      </c>
    </row>
    <row r="5223" spans="1:4">
      <c r="A5223" t="s">
        <v>91</v>
      </c>
      <c r="B5223" t="s">
        <v>510</v>
      </c>
      <c r="C5223" t="s">
        <v>5589</v>
      </c>
      <c r="D5223">
        <v>139.99</v>
      </c>
    </row>
    <row r="5224" spans="1:4">
      <c r="A5224" t="s">
        <v>91</v>
      </c>
      <c r="B5224" t="s">
        <v>510</v>
      </c>
      <c r="C5224" t="s">
        <v>5590</v>
      </c>
      <c r="D5224">
        <v>250</v>
      </c>
    </row>
    <row r="5225" spans="1:4">
      <c r="A5225" t="s">
        <v>91</v>
      </c>
      <c r="B5225" t="s">
        <v>510</v>
      </c>
      <c r="C5225" t="s">
        <v>5591</v>
      </c>
      <c r="D5225">
        <v>129.99</v>
      </c>
    </row>
    <row r="5226" spans="1:4">
      <c r="A5226" t="s">
        <v>91</v>
      </c>
      <c r="B5226" t="s">
        <v>510</v>
      </c>
      <c r="C5226" t="s">
        <v>5592</v>
      </c>
      <c r="D5226">
        <v>179.99</v>
      </c>
    </row>
    <row r="5227" spans="1:4">
      <c r="A5227" t="s">
        <v>91</v>
      </c>
      <c r="B5227" t="s">
        <v>510</v>
      </c>
      <c r="C5227" t="s">
        <v>5593</v>
      </c>
      <c r="D5227">
        <v>139.99</v>
      </c>
    </row>
    <row r="5228" spans="1:4">
      <c r="A5228" t="s">
        <v>91</v>
      </c>
      <c r="B5228" t="s">
        <v>2983</v>
      </c>
      <c r="C5228" t="s">
        <v>5594</v>
      </c>
      <c r="D5228">
        <v>79.989999999999995</v>
      </c>
    </row>
    <row r="5229" spans="1:4">
      <c r="A5229" t="s">
        <v>91</v>
      </c>
      <c r="B5229" t="s">
        <v>505</v>
      </c>
      <c r="C5229" t="s">
        <v>5595</v>
      </c>
      <c r="D5229">
        <v>64.989999999999995</v>
      </c>
    </row>
    <row r="5230" spans="1:4">
      <c r="A5230" t="s">
        <v>91</v>
      </c>
      <c r="B5230" t="s">
        <v>3006</v>
      </c>
      <c r="C5230" t="s">
        <v>5596</v>
      </c>
      <c r="D5230">
        <v>34.99</v>
      </c>
    </row>
    <row r="5231" spans="1:4">
      <c r="A5231" t="s">
        <v>91</v>
      </c>
      <c r="B5231" t="s">
        <v>510</v>
      </c>
      <c r="C5231" t="s">
        <v>5597</v>
      </c>
      <c r="D5231">
        <v>69.95</v>
      </c>
    </row>
    <row r="5232" spans="1:4">
      <c r="A5232" t="s">
        <v>91</v>
      </c>
      <c r="B5232" t="s">
        <v>510</v>
      </c>
      <c r="C5232" t="s">
        <v>5598</v>
      </c>
      <c r="D5232">
        <v>220</v>
      </c>
    </row>
    <row r="5233" spans="1:4">
      <c r="A5233" t="s">
        <v>91</v>
      </c>
      <c r="B5233" t="s">
        <v>510</v>
      </c>
      <c r="C5233" t="s">
        <v>5599</v>
      </c>
      <c r="D5233">
        <v>59.99</v>
      </c>
    </row>
    <row r="5234" spans="1:4">
      <c r="A5234" t="s">
        <v>91</v>
      </c>
      <c r="B5234" t="s">
        <v>510</v>
      </c>
      <c r="C5234" t="s">
        <v>5600</v>
      </c>
      <c r="D5234">
        <v>89.99</v>
      </c>
    </row>
    <row r="5235" spans="1:4">
      <c r="A5235" t="s">
        <v>91</v>
      </c>
      <c r="B5235" t="s">
        <v>510</v>
      </c>
      <c r="C5235" t="s">
        <v>5601</v>
      </c>
      <c r="D5235">
        <v>309.99</v>
      </c>
    </row>
    <row r="5236" spans="1:4">
      <c r="A5236" t="s">
        <v>91</v>
      </c>
      <c r="B5236" t="s">
        <v>1337</v>
      </c>
      <c r="C5236" t="s">
        <v>5602</v>
      </c>
      <c r="D5236">
        <v>154.99</v>
      </c>
    </row>
    <row r="5237" spans="1:4">
      <c r="A5237" t="s">
        <v>91</v>
      </c>
      <c r="B5237" t="s">
        <v>510</v>
      </c>
      <c r="C5237" t="s">
        <v>5603</v>
      </c>
      <c r="D5237">
        <v>69.989999999999995</v>
      </c>
    </row>
    <row r="5238" spans="1:4">
      <c r="A5238" t="s">
        <v>91</v>
      </c>
      <c r="B5238" t="s">
        <v>510</v>
      </c>
      <c r="C5238" t="s">
        <v>5604</v>
      </c>
      <c r="D5238">
        <v>124.99</v>
      </c>
    </row>
    <row r="5239" spans="1:4">
      <c r="A5239" t="s">
        <v>91</v>
      </c>
      <c r="B5239" t="s">
        <v>510</v>
      </c>
      <c r="C5239" t="s">
        <v>5605</v>
      </c>
      <c r="D5239">
        <v>209.99</v>
      </c>
    </row>
    <row r="5240" spans="1:4">
      <c r="A5240" t="s">
        <v>91</v>
      </c>
      <c r="B5240" t="s">
        <v>510</v>
      </c>
      <c r="C5240" t="s">
        <v>5606</v>
      </c>
      <c r="D5240">
        <v>139.99</v>
      </c>
    </row>
    <row r="5241" spans="1:4">
      <c r="A5241" t="s">
        <v>91</v>
      </c>
      <c r="B5241" t="s">
        <v>1337</v>
      </c>
      <c r="C5241" t="s">
        <v>5607</v>
      </c>
      <c r="D5241">
        <v>134.99</v>
      </c>
    </row>
    <row r="5242" spans="1:4">
      <c r="A5242" t="s">
        <v>91</v>
      </c>
      <c r="B5242" t="s">
        <v>510</v>
      </c>
      <c r="C5242" t="s">
        <v>5608</v>
      </c>
      <c r="D5242">
        <v>119.99</v>
      </c>
    </row>
    <row r="5243" spans="1:4">
      <c r="A5243" t="s">
        <v>91</v>
      </c>
      <c r="B5243" t="s">
        <v>510</v>
      </c>
      <c r="C5243" t="s">
        <v>5609</v>
      </c>
      <c r="D5243">
        <v>98.99</v>
      </c>
    </row>
    <row r="5244" spans="1:4">
      <c r="A5244" t="s">
        <v>91</v>
      </c>
      <c r="B5244" t="s">
        <v>510</v>
      </c>
      <c r="C5244" t="s">
        <v>5610</v>
      </c>
      <c r="D5244">
        <v>414.99</v>
      </c>
    </row>
    <row r="5245" spans="1:4">
      <c r="A5245" t="s">
        <v>91</v>
      </c>
      <c r="B5245" t="s">
        <v>505</v>
      </c>
      <c r="C5245" t="s">
        <v>5611</v>
      </c>
      <c r="D5245">
        <v>29.99</v>
      </c>
    </row>
    <row r="5246" spans="1:4">
      <c r="A5246" t="s">
        <v>91</v>
      </c>
      <c r="B5246" t="s">
        <v>1337</v>
      </c>
      <c r="C5246" t="s">
        <v>5612</v>
      </c>
      <c r="D5246">
        <v>139.99</v>
      </c>
    </row>
    <row r="5247" spans="1:4">
      <c r="A5247" t="s">
        <v>91</v>
      </c>
      <c r="B5247" t="s">
        <v>561</v>
      </c>
      <c r="C5247" t="s">
        <v>5613</v>
      </c>
      <c r="D5247">
        <v>79.989999999999995</v>
      </c>
    </row>
    <row r="5248" spans="1:4">
      <c r="A5248" t="s">
        <v>91</v>
      </c>
      <c r="B5248" t="s">
        <v>510</v>
      </c>
      <c r="C5248" t="s">
        <v>5590</v>
      </c>
      <c r="D5248">
        <v>246.99</v>
      </c>
    </row>
    <row r="5249" spans="1:4">
      <c r="A5249" t="s">
        <v>91</v>
      </c>
      <c r="B5249" t="s">
        <v>510</v>
      </c>
      <c r="C5249" t="s">
        <v>5614</v>
      </c>
      <c r="D5249">
        <v>189.99</v>
      </c>
    </row>
    <row r="5250" spans="1:4">
      <c r="A5250" t="s">
        <v>91</v>
      </c>
      <c r="B5250" t="s">
        <v>510</v>
      </c>
      <c r="C5250" t="s">
        <v>5615</v>
      </c>
      <c r="D5250">
        <v>275</v>
      </c>
    </row>
    <row r="5251" spans="1:4">
      <c r="A5251" t="s">
        <v>91</v>
      </c>
      <c r="B5251" t="s">
        <v>510</v>
      </c>
      <c r="C5251" t="s">
        <v>5616</v>
      </c>
      <c r="D5251">
        <v>165</v>
      </c>
    </row>
    <row r="5252" spans="1:4">
      <c r="A5252" t="s">
        <v>91</v>
      </c>
      <c r="B5252" t="s">
        <v>505</v>
      </c>
      <c r="C5252" t="s">
        <v>5617</v>
      </c>
      <c r="D5252">
        <v>99.99</v>
      </c>
    </row>
    <row r="5253" spans="1:4">
      <c r="A5253" t="s">
        <v>91</v>
      </c>
      <c r="B5253" t="s">
        <v>510</v>
      </c>
      <c r="C5253" t="s">
        <v>5609</v>
      </c>
      <c r="D5253">
        <v>120</v>
      </c>
    </row>
    <row r="5254" spans="1:4">
      <c r="A5254" t="s">
        <v>91</v>
      </c>
      <c r="B5254" t="s">
        <v>505</v>
      </c>
      <c r="C5254" t="s">
        <v>5618</v>
      </c>
      <c r="D5254">
        <v>179.99</v>
      </c>
    </row>
    <row r="5255" spans="1:4">
      <c r="A5255" t="s">
        <v>91</v>
      </c>
      <c r="B5255" t="s">
        <v>510</v>
      </c>
      <c r="C5255" t="s">
        <v>5619</v>
      </c>
      <c r="D5255">
        <v>299</v>
      </c>
    </row>
    <row r="5256" spans="1:4">
      <c r="A5256" t="s">
        <v>91</v>
      </c>
      <c r="B5256" t="s">
        <v>505</v>
      </c>
      <c r="C5256" t="s">
        <v>5620</v>
      </c>
      <c r="D5256">
        <v>64.989999999999995</v>
      </c>
    </row>
    <row r="5257" spans="1:4">
      <c r="A5257" t="s">
        <v>91</v>
      </c>
      <c r="B5257" t="s">
        <v>505</v>
      </c>
      <c r="C5257" t="s">
        <v>5621</v>
      </c>
      <c r="D5257">
        <v>59.99</v>
      </c>
    </row>
    <row r="5258" spans="1:4">
      <c r="A5258" t="s">
        <v>91</v>
      </c>
      <c r="B5258" t="s">
        <v>2983</v>
      </c>
      <c r="C5258" t="s">
        <v>5622</v>
      </c>
      <c r="D5258">
        <v>99.99</v>
      </c>
    </row>
    <row r="5259" spans="1:4">
      <c r="A5259" t="s">
        <v>91</v>
      </c>
      <c r="B5259" t="s">
        <v>5623</v>
      </c>
      <c r="C5259" t="s">
        <v>5624</v>
      </c>
      <c r="D5259">
        <v>50</v>
      </c>
    </row>
    <row r="5260" spans="1:4">
      <c r="A5260" t="s">
        <v>91</v>
      </c>
      <c r="B5260" t="s">
        <v>510</v>
      </c>
      <c r="C5260" t="s">
        <v>5625</v>
      </c>
      <c r="D5260">
        <v>84.99</v>
      </c>
    </row>
    <row r="5261" spans="1:4">
      <c r="A5261" t="s">
        <v>91</v>
      </c>
      <c r="B5261" t="s">
        <v>505</v>
      </c>
      <c r="C5261" t="s">
        <v>5626</v>
      </c>
      <c r="D5261">
        <v>99.99</v>
      </c>
    </row>
    <row r="5262" spans="1:4">
      <c r="A5262" t="s">
        <v>91</v>
      </c>
      <c r="B5262" t="s">
        <v>510</v>
      </c>
      <c r="C5262" t="s">
        <v>5627</v>
      </c>
      <c r="D5262">
        <v>479.99</v>
      </c>
    </row>
    <row r="5263" spans="1:4">
      <c r="A5263" t="s">
        <v>91</v>
      </c>
      <c r="B5263" t="s">
        <v>3006</v>
      </c>
      <c r="C5263" t="s">
        <v>5628</v>
      </c>
      <c r="D5263">
        <v>109</v>
      </c>
    </row>
    <row r="5264" spans="1:4">
      <c r="A5264" t="s">
        <v>91</v>
      </c>
      <c r="B5264" t="s">
        <v>505</v>
      </c>
      <c r="C5264" t="s">
        <v>5629</v>
      </c>
      <c r="D5264">
        <v>79.989999999999995</v>
      </c>
    </row>
    <row r="5265" spans="1:4">
      <c r="A5265" t="s">
        <v>91</v>
      </c>
      <c r="B5265" t="s">
        <v>510</v>
      </c>
      <c r="C5265" t="s">
        <v>5630</v>
      </c>
      <c r="D5265">
        <v>189.99</v>
      </c>
    </row>
    <row r="5266" spans="1:4">
      <c r="A5266" t="s">
        <v>91</v>
      </c>
      <c r="B5266" t="s">
        <v>510</v>
      </c>
      <c r="C5266" t="s">
        <v>5631</v>
      </c>
      <c r="D5266">
        <v>139</v>
      </c>
    </row>
    <row r="5267" spans="1:4">
      <c r="A5267" t="s">
        <v>91</v>
      </c>
      <c r="B5267" t="s">
        <v>510</v>
      </c>
      <c r="C5267" t="s">
        <v>5632</v>
      </c>
      <c r="D5267">
        <v>59</v>
      </c>
    </row>
    <row r="5268" spans="1:4">
      <c r="A5268" t="s">
        <v>91</v>
      </c>
      <c r="B5268" t="s">
        <v>510</v>
      </c>
      <c r="C5268" t="s">
        <v>5633</v>
      </c>
      <c r="D5268">
        <v>264.99</v>
      </c>
    </row>
    <row r="5269" spans="1:4">
      <c r="A5269" t="s">
        <v>91</v>
      </c>
      <c r="B5269" t="s">
        <v>510</v>
      </c>
      <c r="C5269" t="s">
        <v>5634</v>
      </c>
      <c r="D5269">
        <v>169.99</v>
      </c>
    </row>
    <row r="5270" spans="1:4">
      <c r="A5270" t="s">
        <v>91</v>
      </c>
      <c r="B5270" t="s">
        <v>510</v>
      </c>
      <c r="C5270" t="s">
        <v>5635</v>
      </c>
      <c r="D5270">
        <v>28.99</v>
      </c>
    </row>
    <row r="5271" spans="1:4">
      <c r="A5271" t="s">
        <v>91</v>
      </c>
      <c r="B5271" t="s">
        <v>505</v>
      </c>
      <c r="C5271" t="s">
        <v>5636</v>
      </c>
      <c r="D5271">
        <v>82</v>
      </c>
    </row>
    <row r="5272" spans="1:4">
      <c r="A5272" t="s">
        <v>91</v>
      </c>
      <c r="B5272" t="s">
        <v>505</v>
      </c>
      <c r="C5272" t="s">
        <v>5637</v>
      </c>
      <c r="D5272">
        <v>82.94</v>
      </c>
    </row>
    <row r="5273" spans="1:4">
      <c r="A5273" t="s">
        <v>91</v>
      </c>
      <c r="B5273" t="s">
        <v>2994</v>
      </c>
      <c r="C5273" t="s">
        <v>5638</v>
      </c>
      <c r="D5273">
        <v>62</v>
      </c>
    </row>
    <row r="5274" spans="1:4">
      <c r="A5274" t="s">
        <v>91</v>
      </c>
      <c r="B5274" t="s">
        <v>510</v>
      </c>
      <c r="C5274" t="s">
        <v>5639</v>
      </c>
      <c r="D5274">
        <v>69</v>
      </c>
    </row>
    <row r="5275" spans="1:4">
      <c r="A5275" t="s">
        <v>91</v>
      </c>
      <c r="B5275" t="s">
        <v>505</v>
      </c>
      <c r="C5275" t="s">
        <v>5640</v>
      </c>
      <c r="D5275">
        <v>297.99</v>
      </c>
    </row>
    <row r="5276" spans="1:4">
      <c r="A5276" t="s">
        <v>91</v>
      </c>
      <c r="B5276" t="s">
        <v>1337</v>
      </c>
      <c r="C5276" t="s">
        <v>5641</v>
      </c>
      <c r="D5276">
        <v>529.99</v>
      </c>
    </row>
    <row r="5277" spans="1:4">
      <c r="A5277" t="s">
        <v>91</v>
      </c>
      <c r="B5277" t="s">
        <v>505</v>
      </c>
      <c r="C5277" t="s">
        <v>5642</v>
      </c>
      <c r="D5277">
        <v>59.99</v>
      </c>
    </row>
    <row r="5278" spans="1:4">
      <c r="A5278" t="s">
        <v>91</v>
      </c>
      <c r="B5278" t="s">
        <v>505</v>
      </c>
      <c r="C5278" t="s">
        <v>5643</v>
      </c>
      <c r="D5278">
        <v>39</v>
      </c>
    </row>
    <row r="5279" spans="1:4">
      <c r="A5279" t="s">
        <v>91</v>
      </c>
      <c r="B5279" t="s">
        <v>505</v>
      </c>
      <c r="C5279" t="s">
        <v>5644</v>
      </c>
      <c r="D5279">
        <v>84.99</v>
      </c>
    </row>
    <row r="5280" spans="1:4">
      <c r="A5280" t="s">
        <v>91</v>
      </c>
      <c r="B5280" t="s">
        <v>510</v>
      </c>
      <c r="C5280" t="s">
        <v>5645</v>
      </c>
      <c r="D5280">
        <v>69.989999999999995</v>
      </c>
    </row>
    <row r="5281" spans="1:4">
      <c r="A5281" t="s">
        <v>91</v>
      </c>
      <c r="B5281" t="s">
        <v>5646</v>
      </c>
      <c r="C5281" t="s">
        <v>5647</v>
      </c>
      <c r="D5281">
        <v>32.99</v>
      </c>
    </row>
    <row r="5282" spans="1:4">
      <c r="A5282" t="s">
        <v>91</v>
      </c>
      <c r="B5282" t="s">
        <v>510</v>
      </c>
      <c r="C5282" t="s">
        <v>5648</v>
      </c>
      <c r="D5282">
        <v>219.99</v>
      </c>
    </row>
    <row r="5283" spans="1:4">
      <c r="A5283" t="s">
        <v>91</v>
      </c>
      <c r="B5283" t="s">
        <v>510</v>
      </c>
      <c r="C5283" t="s">
        <v>5649</v>
      </c>
      <c r="D5283">
        <v>189.99</v>
      </c>
    </row>
    <row r="5284" spans="1:4">
      <c r="A5284" t="s">
        <v>91</v>
      </c>
      <c r="B5284" t="s">
        <v>510</v>
      </c>
      <c r="C5284" t="s">
        <v>5650</v>
      </c>
      <c r="D5284">
        <v>269.99</v>
      </c>
    </row>
    <row r="5285" spans="1:4">
      <c r="A5285" t="s">
        <v>91</v>
      </c>
      <c r="B5285" t="s">
        <v>510</v>
      </c>
      <c r="C5285" t="s">
        <v>5651</v>
      </c>
      <c r="D5285">
        <v>149.99</v>
      </c>
    </row>
    <row r="5286" spans="1:4">
      <c r="A5286" t="s">
        <v>91</v>
      </c>
      <c r="B5286" t="s">
        <v>510</v>
      </c>
      <c r="C5286" t="s">
        <v>5652</v>
      </c>
      <c r="D5286">
        <v>169.99</v>
      </c>
    </row>
    <row r="5287" spans="1:4">
      <c r="A5287" t="s">
        <v>91</v>
      </c>
      <c r="B5287" t="s">
        <v>510</v>
      </c>
      <c r="C5287" t="s">
        <v>5653</v>
      </c>
      <c r="D5287">
        <v>539.99</v>
      </c>
    </row>
    <row r="5288" spans="1:4">
      <c r="A5288" t="s">
        <v>91</v>
      </c>
      <c r="B5288" t="s">
        <v>510</v>
      </c>
      <c r="C5288" t="s">
        <v>5654</v>
      </c>
      <c r="D5288">
        <v>129</v>
      </c>
    </row>
    <row r="5289" spans="1:4">
      <c r="A5289" t="s">
        <v>91</v>
      </c>
      <c r="B5289" t="s">
        <v>2983</v>
      </c>
      <c r="C5289" t="s">
        <v>5655</v>
      </c>
      <c r="D5289">
        <v>99.99</v>
      </c>
    </row>
    <row r="5290" spans="1:4">
      <c r="A5290" t="s">
        <v>91</v>
      </c>
      <c r="B5290" t="s">
        <v>510</v>
      </c>
      <c r="C5290" t="s">
        <v>5656</v>
      </c>
      <c r="D5290">
        <v>229.99</v>
      </c>
    </row>
    <row r="5291" spans="1:4">
      <c r="A5291" t="s">
        <v>91</v>
      </c>
      <c r="B5291" t="s">
        <v>2983</v>
      </c>
      <c r="C5291" t="s">
        <v>5657</v>
      </c>
      <c r="D5291">
        <v>69.989999999999995</v>
      </c>
    </row>
    <row r="5292" spans="1:4">
      <c r="A5292" t="s">
        <v>91</v>
      </c>
      <c r="B5292" t="s">
        <v>510</v>
      </c>
      <c r="C5292" t="s">
        <v>5658</v>
      </c>
      <c r="D5292">
        <v>169.99</v>
      </c>
    </row>
    <row r="5293" spans="1:4">
      <c r="A5293" t="s">
        <v>91</v>
      </c>
      <c r="B5293" t="s">
        <v>3081</v>
      </c>
      <c r="C5293" t="s">
        <v>5659</v>
      </c>
      <c r="D5293">
        <v>94.99</v>
      </c>
    </row>
    <row r="5294" spans="1:4">
      <c r="A5294" t="s">
        <v>91</v>
      </c>
      <c r="B5294" t="s">
        <v>3081</v>
      </c>
      <c r="C5294" t="s">
        <v>5660</v>
      </c>
      <c r="D5294">
        <v>29.99</v>
      </c>
    </row>
    <row r="5295" spans="1:4">
      <c r="A5295" t="s">
        <v>91</v>
      </c>
      <c r="B5295" t="s">
        <v>510</v>
      </c>
      <c r="C5295" t="s">
        <v>5661</v>
      </c>
      <c r="D5295">
        <v>464.99</v>
      </c>
    </row>
    <row r="5296" spans="1:4">
      <c r="A5296" t="s">
        <v>91</v>
      </c>
      <c r="B5296" t="s">
        <v>505</v>
      </c>
      <c r="C5296" t="s">
        <v>5662</v>
      </c>
      <c r="D5296">
        <v>39</v>
      </c>
    </row>
    <row r="5297" spans="1:4">
      <c r="A5297" t="s">
        <v>91</v>
      </c>
      <c r="B5297" t="s">
        <v>510</v>
      </c>
      <c r="C5297" t="s">
        <v>5663</v>
      </c>
      <c r="D5297">
        <v>114.98</v>
      </c>
    </row>
    <row r="5298" spans="1:4">
      <c r="A5298" t="s">
        <v>91</v>
      </c>
      <c r="B5298" t="s">
        <v>505</v>
      </c>
      <c r="C5298" t="s">
        <v>5664</v>
      </c>
      <c r="D5298">
        <v>34.99</v>
      </c>
    </row>
    <row r="5299" spans="1:4">
      <c r="A5299" t="s">
        <v>91</v>
      </c>
      <c r="B5299" t="s">
        <v>505</v>
      </c>
      <c r="C5299" t="s">
        <v>5665</v>
      </c>
      <c r="D5299">
        <v>79.989999999999995</v>
      </c>
    </row>
    <row r="5300" spans="1:4">
      <c r="A5300" t="s">
        <v>91</v>
      </c>
      <c r="B5300" t="s">
        <v>505</v>
      </c>
      <c r="C5300" t="s">
        <v>5666</v>
      </c>
      <c r="D5300">
        <v>89</v>
      </c>
    </row>
    <row r="5301" spans="1:4">
      <c r="A5301" t="s">
        <v>91</v>
      </c>
      <c r="B5301" t="s">
        <v>2994</v>
      </c>
      <c r="C5301" t="s">
        <v>5667</v>
      </c>
      <c r="D5301">
        <v>49</v>
      </c>
    </row>
    <row r="5302" spans="1:4">
      <c r="A5302" t="s">
        <v>91</v>
      </c>
      <c r="B5302" t="s">
        <v>510</v>
      </c>
      <c r="C5302" t="s">
        <v>5668</v>
      </c>
      <c r="D5302">
        <v>174.99</v>
      </c>
    </row>
    <row r="5303" spans="1:4">
      <c r="A5303" t="s">
        <v>91</v>
      </c>
      <c r="B5303" t="s">
        <v>510</v>
      </c>
      <c r="C5303" t="s">
        <v>5669</v>
      </c>
      <c r="D5303">
        <v>239.99</v>
      </c>
    </row>
    <row r="5304" spans="1:4">
      <c r="A5304" t="s">
        <v>91</v>
      </c>
      <c r="B5304" t="s">
        <v>510</v>
      </c>
      <c r="C5304" t="s">
        <v>5670</v>
      </c>
      <c r="D5304">
        <v>154.99</v>
      </c>
    </row>
    <row r="5305" spans="1:4">
      <c r="A5305" t="s">
        <v>91</v>
      </c>
      <c r="B5305" t="s">
        <v>510</v>
      </c>
      <c r="C5305" t="s">
        <v>5671</v>
      </c>
      <c r="D5305">
        <v>369.99</v>
      </c>
    </row>
    <row r="5306" spans="1:4">
      <c r="A5306" t="s">
        <v>91</v>
      </c>
      <c r="B5306" t="s">
        <v>5672</v>
      </c>
      <c r="C5306" t="s">
        <v>5673</v>
      </c>
      <c r="D5306">
        <v>99.99</v>
      </c>
    </row>
    <row r="5307" spans="1:4">
      <c r="A5307" t="s">
        <v>91</v>
      </c>
      <c r="B5307" t="s">
        <v>510</v>
      </c>
      <c r="C5307" t="s">
        <v>5674</v>
      </c>
      <c r="D5307">
        <v>270</v>
      </c>
    </row>
    <row r="5308" spans="1:4">
      <c r="A5308" t="s">
        <v>91</v>
      </c>
      <c r="B5308" t="s">
        <v>510</v>
      </c>
      <c r="C5308" t="s">
        <v>5675</v>
      </c>
      <c r="D5308">
        <v>154.99</v>
      </c>
    </row>
    <row r="5309" spans="1:4">
      <c r="A5309" t="s">
        <v>91</v>
      </c>
      <c r="B5309" t="s">
        <v>510</v>
      </c>
      <c r="C5309" t="s">
        <v>5676</v>
      </c>
      <c r="D5309">
        <v>219.99</v>
      </c>
    </row>
    <row r="5310" spans="1:4">
      <c r="A5310" t="s">
        <v>91</v>
      </c>
      <c r="B5310" t="s">
        <v>2980</v>
      </c>
      <c r="C5310" t="s">
        <v>3369</v>
      </c>
      <c r="D5310">
        <v>259.99</v>
      </c>
    </row>
    <row r="5311" spans="1:4">
      <c r="A5311" t="s">
        <v>91</v>
      </c>
      <c r="B5311" t="s">
        <v>2983</v>
      </c>
      <c r="C5311" t="s">
        <v>5677</v>
      </c>
      <c r="D5311">
        <v>74.989999999999995</v>
      </c>
    </row>
    <row r="5312" spans="1:4">
      <c r="A5312" t="s">
        <v>91</v>
      </c>
      <c r="B5312" t="s">
        <v>505</v>
      </c>
      <c r="C5312" t="s">
        <v>5678</v>
      </c>
      <c r="D5312">
        <v>189.99</v>
      </c>
    </row>
    <row r="5313" spans="1:4">
      <c r="A5313" t="s">
        <v>91</v>
      </c>
      <c r="B5313" t="s">
        <v>505</v>
      </c>
      <c r="C5313" t="s">
        <v>5679</v>
      </c>
      <c r="D5313">
        <v>39.99</v>
      </c>
    </row>
    <row r="5314" spans="1:4">
      <c r="A5314" t="s">
        <v>91</v>
      </c>
      <c r="B5314" t="s">
        <v>510</v>
      </c>
      <c r="C5314" t="s">
        <v>5680</v>
      </c>
      <c r="D5314">
        <v>479.99</v>
      </c>
    </row>
    <row r="5315" spans="1:4">
      <c r="A5315" t="s">
        <v>91</v>
      </c>
      <c r="B5315" t="s">
        <v>510</v>
      </c>
      <c r="C5315" t="s">
        <v>5681</v>
      </c>
      <c r="D5315">
        <v>73</v>
      </c>
    </row>
    <row r="5316" spans="1:4">
      <c r="A5316" t="s">
        <v>91</v>
      </c>
      <c r="B5316" t="s">
        <v>510</v>
      </c>
      <c r="C5316" t="s">
        <v>5682</v>
      </c>
      <c r="D5316">
        <v>47</v>
      </c>
    </row>
    <row r="5317" spans="1:4">
      <c r="A5317" t="s">
        <v>91</v>
      </c>
      <c r="B5317" t="s">
        <v>510</v>
      </c>
      <c r="C5317" t="s">
        <v>5683</v>
      </c>
      <c r="D5317">
        <v>144.99</v>
      </c>
    </row>
    <row r="5318" spans="1:4">
      <c r="A5318" t="s">
        <v>91</v>
      </c>
      <c r="B5318" t="s">
        <v>5672</v>
      </c>
      <c r="C5318" t="s">
        <v>5684</v>
      </c>
      <c r="D5318">
        <v>49.99</v>
      </c>
    </row>
    <row r="5319" spans="1:4">
      <c r="A5319" t="s">
        <v>91</v>
      </c>
      <c r="B5319" t="s">
        <v>2983</v>
      </c>
      <c r="C5319" t="s">
        <v>5685</v>
      </c>
      <c r="D5319">
        <v>44.99</v>
      </c>
    </row>
    <row r="5320" spans="1:4">
      <c r="A5320" t="s">
        <v>91</v>
      </c>
      <c r="B5320" t="s">
        <v>2983</v>
      </c>
      <c r="C5320" t="s">
        <v>5686</v>
      </c>
      <c r="D5320">
        <v>99.99</v>
      </c>
    </row>
    <row r="5321" spans="1:4">
      <c r="A5321" t="s">
        <v>91</v>
      </c>
      <c r="B5321" t="s">
        <v>510</v>
      </c>
      <c r="C5321" t="s">
        <v>5687</v>
      </c>
      <c r="D5321">
        <v>119.99</v>
      </c>
    </row>
    <row r="5322" spans="1:4">
      <c r="A5322" t="s">
        <v>91</v>
      </c>
      <c r="B5322" t="s">
        <v>510</v>
      </c>
      <c r="C5322" t="s">
        <v>5688</v>
      </c>
      <c r="D5322">
        <v>159.99</v>
      </c>
    </row>
    <row r="5323" spans="1:4">
      <c r="A5323" t="s">
        <v>91</v>
      </c>
      <c r="B5323" t="s">
        <v>510</v>
      </c>
      <c r="C5323" t="s">
        <v>5689</v>
      </c>
      <c r="D5323">
        <v>189.99</v>
      </c>
    </row>
    <row r="5324" spans="1:4">
      <c r="A5324" t="s">
        <v>91</v>
      </c>
      <c r="B5324" t="s">
        <v>505</v>
      </c>
      <c r="C5324" t="s">
        <v>5690</v>
      </c>
      <c r="D5324">
        <v>84.99</v>
      </c>
    </row>
    <row r="5325" spans="1:4">
      <c r="A5325" t="s">
        <v>91</v>
      </c>
      <c r="B5325" t="s">
        <v>2983</v>
      </c>
      <c r="C5325" t="s">
        <v>5691</v>
      </c>
      <c r="D5325">
        <v>139.99</v>
      </c>
    </row>
    <row r="5326" spans="1:4">
      <c r="A5326" t="s">
        <v>91</v>
      </c>
      <c r="B5326" t="s">
        <v>510</v>
      </c>
      <c r="C5326" t="s">
        <v>5692</v>
      </c>
      <c r="D5326">
        <v>59.99</v>
      </c>
    </row>
    <row r="5327" spans="1:4">
      <c r="A5327" t="s">
        <v>91</v>
      </c>
      <c r="B5327" t="s">
        <v>510</v>
      </c>
      <c r="C5327" t="s">
        <v>5693</v>
      </c>
      <c r="D5327">
        <v>109</v>
      </c>
    </row>
    <row r="5328" spans="1:4">
      <c r="A5328" t="s">
        <v>91</v>
      </c>
      <c r="B5328" t="s">
        <v>2983</v>
      </c>
      <c r="C5328" t="s">
        <v>5694</v>
      </c>
      <c r="D5328">
        <v>179.99</v>
      </c>
    </row>
    <row r="5329" spans="1:4">
      <c r="A5329" t="s">
        <v>91</v>
      </c>
      <c r="B5329" t="s">
        <v>510</v>
      </c>
      <c r="C5329" t="s">
        <v>5695</v>
      </c>
      <c r="D5329">
        <v>179.99</v>
      </c>
    </row>
    <row r="5330" spans="1:4">
      <c r="A5330" t="s">
        <v>91</v>
      </c>
      <c r="B5330" t="s">
        <v>2983</v>
      </c>
      <c r="C5330" t="s">
        <v>5696</v>
      </c>
      <c r="D5330">
        <v>109.99</v>
      </c>
    </row>
    <row r="5331" spans="1:4">
      <c r="A5331" t="s">
        <v>91</v>
      </c>
      <c r="B5331" t="s">
        <v>1337</v>
      </c>
      <c r="C5331" t="s">
        <v>5697</v>
      </c>
      <c r="D5331">
        <v>139.99</v>
      </c>
    </row>
    <row r="5332" spans="1:4">
      <c r="A5332" t="s">
        <v>91</v>
      </c>
      <c r="B5332" t="s">
        <v>510</v>
      </c>
      <c r="C5332" t="s">
        <v>5698</v>
      </c>
      <c r="D5332">
        <v>129.99</v>
      </c>
    </row>
    <row r="5333" spans="1:4">
      <c r="A5333" t="s">
        <v>91</v>
      </c>
      <c r="B5333" t="s">
        <v>510</v>
      </c>
      <c r="C5333" t="s">
        <v>5699</v>
      </c>
      <c r="D5333">
        <v>374.99</v>
      </c>
    </row>
    <row r="5334" spans="1:4">
      <c r="A5334" t="s">
        <v>91</v>
      </c>
      <c r="B5334" t="s">
        <v>510</v>
      </c>
      <c r="C5334" t="s">
        <v>5700</v>
      </c>
      <c r="D5334">
        <v>159.99</v>
      </c>
    </row>
    <row r="5335" spans="1:4">
      <c r="A5335" t="s">
        <v>91</v>
      </c>
      <c r="B5335" t="s">
        <v>510</v>
      </c>
      <c r="C5335" t="s">
        <v>5701</v>
      </c>
      <c r="D5335">
        <v>344.99</v>
      </c>
    </row>
    <row r="5336" spans="1:4">
      <c r="A5336" t="s">
        <v>91</v>
      </c>
      <c r="B5336" t="s">
        <v>2983</v>
      </c>
      <c r="C5336" t="s">
        <v>5702</v>
      </c>
      <c r="D5336">
        <v>69.989999999999995</v>
      </c>
    </row>
    <row r="5337" spans="1:4">
      <c r="A5337" t="s">
        <v>91</v>
      </c>
      <c r="B5337" t="s">
        <v>510</v>
      </c>
      <c r="C5337" t="s">
        <v>5703</v>
      </c>
      <c r="D5337">
        <v>49.99</v>
      </c>
    </row>
    <row r="5338" spans="1:4">
      <c r="A5338" t="s">
        <v>91</v>
      </c>
      <c r="B5338" t="s">
        <v>745</v>
      </c>
      <c r="C5338" t="s">
        <v>5704</v>
      </c>
      <c r="D5338">
        <v>34.99</v>
      </c>
    </row>
    <row r="5339" spans="1:4">
      <c r="A5339" t="s">
        <v>91</v>
      </c>
      <c r="B5339" t="s">
        <v>510</v>
      </c>
      <c r="C5339" t="s">
        <v>5705</v>
      </c>
      <c r="D5339">
        <v>274.99</v>
      </c>
    </row>
    <row r="5340" spans="1:4">
      <c r="A5340" t="s">
        <v>91</v>
      </c>
      <c r="B5340" t="s">
        <v>2983</v>
      </c>
      <c r="C5340" t="s">
        <v>5706</v>
      </c>
      <c r="D5340">
        <v>99.99</v>
      </c>
    </row>
    <row r="5341" spans="1:4">
      <c r="A5341" t="s">
        <v>91</v>
      </c>
      <c r="B5341" t="s">
        <v>510</v>
      </c>
      <c r="C5341" t="s">
        <v>5707</v>
      </c>
      <c r="D5341">
        <v>146.99</v>
      </c>
    </row>
    <row r="5342" spans="1:4">
      <c r="A5342" t="s">
        <v>91</v>
      </c>
      <c r="B5342" t="s">
        <v>1337</v>
      </c>
      <c r="C5342" t="s">
        <v>3218</v>
      </c>
      <c r="D5342">
        <v>209.99</v>
      </c>
    </row>
    <row r="5343" spans="1:4">
      <c r="A5343" t="s">
        <v>91</v>
      </c>
      <c r="B5343" t="s">
        <v>2983</v>
      </c>
      <c r="C5343" t="s">
        <v>5708</v>
      </c>
      <c r="D5343">
        <v>89.99</v>
      </c>
    </row>
    <row r="5344" spans="1:4">
      <c r="A5344" t="s">
        <v>91</v>
      </c>
      <c r="B5344" t="s">
        <v>510</v>
      </c>
      <c r="C5344" t="s">
        <v>5709</v>
      </c>
      <c r="D5344">
        <v>624.99</v>
      </c>
    </row>
    <row r="5345" spans="1:4">
      <c r="A5345" t="s">
        <v>91</v>
      </c>
      <c r="B5345" t="s">
        <v>505</v>
      </c>
      <c r="C5345" t="s">
        <v>5710</v>
      </c>
      <c r="D5345">
        <v>89.99</v>
      </c>
    </row>
    <row r="5346" spans="1:4">
      <c r="A5346" t="s">
        <v>91</v>
      </c>
      <c r="B5346" t="s">
        <v>2983</v>
      </c>
      <c r="C5346" t="s">
        <v>5711</v>
      </c>
      <c r="D5346">
        <v>69.989999999999995</v>
      </c>
    </row>
    <row r="5347" spans="1:4">
      <c r="A5347" t="s">
        <v>91</v>
      </c>
      <c r="B5347" t="s">
        <v>1337</v>
      </c>
      <c r="C5347" t="s">
        <v>5712</v>
      </c>
      <c r="D5347">
        <v>124.99</v>
      </c>
    </row>
    <row r="5348" spans="1:4">
      <c r="A5348" t="s">
        <v>91</v>
      </c>
      <c r="B5348" t="s">
        <v>510</v>
      </c>
      <c r="C5348" t="s">
        <v>5713</v>
      </c>
      <c r="D5348">
        <v>159.99</v>
      </c>
    </row>
    <row r="5349" spans="1:4">
      <c r="A5349" t="s">
        <v>91</v>
      </c>
      <c r="B5349" t="s">
        <v>510</v>
      </c>
      <c r="C5349" t="s">
        <v>5714</v>
      </c>
      <c r="D5349">
        <v>1059.99</v>
      </c>
    </row>
    <row r="5350" spans="1:4">
      <c r="A5350" t="s">
        <v>91</v>
      </c>
      <c r="B5350" t="s">
        <v>510</v>
      </c>
      <c r="C5350" t="s">
        <v>5715</v>
      </c>
      <c r="D5350">
        <v>1109.99</v>
      </c>
    </row>
    <row r="5351" spans="1:4">
      <c r="A5351" t="s">
        <v>91</v>
      </c>
      <c r="B5351" t="s">
        <v>505</v>
      </c>
      <c r="C5351" t="s">
        <v>5716</v>
      </c>
      <c r="D5351">
        <v>49</v>
      </c>
    </row>
    <row r="5352" spans="1:4">
      <c r="A5352" t="s">
        <v>91</v>
      </c>
      <c r="B5352" t="s">
        <v>510</v>
      </c>
      <c r="C5352" t="s">
        <v>5717</v>
      </c>
      <c r="D5352">
        <v>189.99</v>
      </c>
    </row>
    <row r="5353" spans="1:4">
      <c r="A5353" t="s">
        <v>91</v>
      </c>
      <c r="B5353" t="s">
        <v>833</v>
      </c>
      <c r="C5353" t="s">
        <v>5718</v>
      </c>
      <c r="D5353">
        <v>79.989999999999995</v>
      </c>
    </row>
    <row r="5354" spans="1:4">
      <c r="A5354" t="s">
        <v>91</v>
      </c>
      <c r="B5354" t="s">
        <v>510</v>
      </c>
      <c r="C5354" t="s">
        <v>5719</v>
      </c>
      <c r="D5354">
        <v>644.99</v>
      </c>
    </row>
    <row r="5355" spans="1:4">
      <c r="A5355" t="s">
        <v>91</v>
      </c>
      <c r="B5355" t="s">
        <v>3014</v>
      </c>
      <c r="C5355" t="s">
        <v>5720</v>
      </c>
      <c r="D5355">
        <v>225</v>
      </c>
    </row>
    <row r="5356" spans="1:4">
      <c r="A5356" t="s">
        <v>91</v>
      </c>
      <c r="B5356" t="s">
        <v>510</v>
      </c>
      <c r="C5356" t="s">
        <v>5721</v>
      </c>
      <c r="D5356">
        <v>1349.99</v>
      </c>
    </row>
    <row r="5357" spans="1:4">
      <c r="A5357" t="s">
        <v>91</v>
      </c>
      <c r="B5357" t="s">
        <v>505</v>
      </c>
      <c r="C5357" t="s">
        <v>5722</v>
      </c>
      <c r="D5357">
        <v>284.99</v>
      </c>
    </row>
    <row r="5358" spans="1:4">
      <c r="A5358" t="s">
        <v>91</v>
      </c>
      <c r="B5358" t="s">
        <v>510</v>
      </c>
      <c r="C5358" t="s">
        <v>5723</v>
      </c>
      <c r="D5358">
        <v>484.99</v>
      </c>
    </row>
    <row r="5359" spans="1:4">
      <c r="A5359" t="s">
        <v>91</v>
      </c>
      <c r="B5359" t="s">
        <v>510</v>
      </c>
      <c r="C5359" t="s">
        <v>5724</v>
      </c>
      <c r="D5359">
        <v>339.99</v>
      </c>
    </row>
    <row r="5360" spans="1:4">
      <c r="A5360" t="s">
        <v>91</v>
      </c>
      <c r="B5360" t="s">
        <v>505</v>
      </c>
      <c r="C5360" t="s">
        <v>5725</v>
      </c>
      <c r="D5360">
        <v>319.99</v>
      </c>
    </row>
    <row r="5361" spans="1:4">
      <c r="A5361" t="s">
        <v>91</v>
      </c>
      <c r="B5361" t="s">
        <v>5672</v>
      </c>
      <c r="C5361" t="s">
        <v>5726</v>
      </c>
      <c r="D5361">
        <v>109</v>
      </c>
    </row>
    <row r="5362" spans="1:4">
      <c r="A5362" t="s">
        <v>91</v>
      </c>
      <c r="B5362" t="s">
        <v>505</v>
      </c>
      <c r="C5362" t="s">
        <v>5727</v>
      </c>
      <c r="D5362">
        <v>324.99</v>
      </c>
    </row>
    <row r="5363" spans="1:4">
      <c r="A5363" t="s">
        <v>91</v>
      </c>
      <c r="B5363" t="s">
        <v>510</v>
      </c>
      <c r="C5363" t="s">
        <v>5728</v>
      </c>
      <c r="D5363">
        <v>534.99</v>
      </c>
    </row>
    <row r="5364" spans="1:4">
      <c r="A5364" t="s">
        <v>91</v>
      </c>
      <c r="B5364" t="s">
        <v>3014</v>
      </c>
      <c r="C5364" t="s">
        <v>3210</v>
      </c>
      <c r="D5364">
        <v>169.5</v>
      </c>
    </row>
    <row r="5365" spans="1:4">
      <c r="A5365" t="s">
        <v>91</v>
      </c>
      <c r="B5365" t="s">
        <v>510</v>
      </c>
      <c r="C5365" t="s">
        <v>5693</v>
      </c>
      <c r="D5365">
        <v>119</v>
      </c>
    </row>
    <row r="5366" spans="1:4">
      <c r="A5366" t="s">
        <v>91</v>
      </c>
      <c r="B5366" t="s">
        <v>510</v>
      </c>
      <c r="C5366" t="s">
        <v>5729</v>
      </c>
      <c r="D5366">
        <v>119</v>
      </c>
    </row>
    <row r="5367" spans="1:4">
      <c r="A5367" t="s">
        <v>91</v>
      </c>
      <c r="B5367" t="s">
        <v>5672</v>
      </c>
      <c r="C5367" t="s">
        <v>5730</v>
      </c>
      <c r="D5367">
        <v>49.99</v>
      </c>
    </row>
    <row r="5368" spans="1:4">
      <c r="A5368" t="s">
        <v>91</v>
      </c>
      <c r="B5368" t="s">
        <v>510</v>
      </c>
      <c r="C5368" t="s">
        <v>5731</v>
      </c>
      <c r="D5368">
        <v>414.99</v>
      </c>
    </row>
    <row r="5369" spans="1:4">
      <c r="A5369" t="s">
        <v>91</v>
      </c>
      <c r="B5369" t="s">
        <v>505</v>
      </c>
      <c r="C5369" t="s">
        <v>5725</v>
      </c>
      <c r="D5369">
        <v>309.99</v>
      </c>
    </row>
    <row r="5370" spans="1:4">
      <c r="A5370" t="s">
        <v>91</v>
      </c>
      <c r="B5370" t="s">
        <v>505</v>
      </c>
      <c r="C5370" t="s">
        <v>5732</v>
      </c>
      <c r="D5370">
        <v>134.99</v>
      </c>
    </row>
    <row r="5371" spans="1:4">
      <c r="A5371" t="s">
        <v>91</v>
      </c>
      <c r="B5371" t="s">
        <v>510</v>
      </c>
      <c r="C5371" t="s">
        <v>5733</v>
      </c>
      <c r="D5371">
        <v>169.99</v>
      </c>
    </row>
    <row r="5372" spans="1:4">
      <c r="A5372" t="s">
        <v>91</v>
      </c>
      <c r="B5372" t="s">
        <v>1337</v>
      </c>
      <c r="C5372" t="s">
        <v>5734</v>
      </c>
      <c r="D5372">
        <v>299.99</v>
      </c>
    </row>
    <row r="5373" spans="1:4">
      <c r="A5373" t="s">
        <v>91</v>
      </c>
      <c r="B5373" t="s">
        <v>561</v>
      </c>
      <c r="C5373" t="s">
        <v>5735</v>
      </c>
      <c r="D5373">
        <v>319.99</v>
      </c>
    </row>
    <row r="5374" spans="1:4">
      <c r="A5374" t="s">
        <v>91</v>
      </c>
      <c r="B5374" t="s">
        <v>3014</v>
      </c>
      <c r="C5374" t="s">
        <v>5736</v>
      </c>
      <c r="D5374">
        <v>198</v>
      </c>
    </row>
    <row r="5375" spans="1:4">
      <c r="A5375" t="s">
        <v>91</v>
      </c>
      <c r="B5375" t="s">
        <v>510</v>
      </c>
      <c r="C5375" t="s">
        <v>5737</v>
      </c>
      <c r="D5375">
        <v>160</v>
      </c>
    </row>
    <row r="5376" spans="1:4">
      <c r="A5376" t="s">
        <v>91</v>
      </c>
      <c r="B5376" t="s">
        <v>745</v>
      </c>
      <c r="C5376" t="s">
        <v>5738</v>
      </c>
      <c r="D5376">
        <v>59.99</v>
      </c>
    </row>
    <row r="5377" spans="1:4">
      <c r="A5377" t="s">
        <v>91</v>
      </c>
      <c r="B5377" t="s">
        <v>510</v>
      </c>
      <c r="C5377" t="s">
        <v>5739</v>
      </c>
      <c r="D5377">
        <v>159.88999999999999</v>
      </c>
    </row>
    <row r="5378" spans="1:4">
      <c r="A5378" t="s">
        <v>91</v>
      </c>
      <c r="B5378" t="s">
        <v>2983</v>
      </c>
      <c r="C5378" t="s">
        <v>5740</v>
      </c>
      <c r="D5378">
        <v>89.99</v>
      </c>
    </row>
    <row r="5379" spans="1:4">
      <c r="A5379" t="s">
        <v>91</v>
      </c>
      <c r="B5379" t="s">
        <v>505</v>
      </c>
      <c r="C5379" t="s">
        <v>5727</v>
      </c>
      <c r="D5379">
        <v>334.99</v>
      </c>
    </row>
    <row r="5380" spans="1:4">
      <c r="A5380" t="s">
        <v>91</v>
      </c>
      <c r="B5380" t="s">
        <v>510</v>
      </c>
      <c r="C5380" t="s">
        <v>5741</v>
      </c>
      <c r="D5380">
        <v>544.99</v>
      </c>
    </row>
    <row r="5381" spans="1:4">
      <c r="A5381" t="s">
        <v>91</v>
      </c>
      <c r="B5381" t="s">
        <v>510</v>
      </c>
      <c r="C5381" t="s">
        <v>5742</v>
      </c>
      <c r="D5381">
        <v>74.989999999999995</v>
      </c>
    </row>
    <row r="5382" spans="1:4">
      <c r="A5382" t="s">
        <v>91</v>
      </c>
      <c r="B5382" t="s">
        <v>510</v>
      </c>
      <c r="C5382" t="s">
        <v>5743</v>
      </c>
      <c r="D5382">
        <v>384.99</v>
      </c>
    </row>
    <row r="5383" spans="1:4">
      <c r="A5383" t="s">
        <v>91</v>
      </c>
      <c r="B5383" t="s">
        <v>505</v>
      </c>
      <c r="C5383" t="s">
        <v>5744</v>
      </c>
      <c r="D5383">
        <v>299.99</v>
      </c>
    </row>
    <row r="5384" spans="1:4">
      <c r="A5384" t="s">
        <v>91</v>
      </c>
      <c r="B5384" t="s">
        <v>1337</v>
      </c>
      <c r="C5384" t="s">
        <v>5745</v>
      </c>
      <c r="D5384">
        <v>289.99</v>
      </c>
    </row>
    <row r="5385" spans="1:4">
      <c r="A5385" t="s">
        <v>91</v>
      </c>
      <c r="B5385" t="s">
        <v>510</v>
      </c>
      <c r="C5385" t="s">
        <v>5746</v>
      </c>
      <c r="D5385">
        <v>454.99</v>
      </c>
    </row>
    <row r="5386" spans="1:4">
      <c r="A5386" t="s">
        <v>91</v>
      </c>
      <c r="B5386" t="s">
        <v>510</v>
      </c>
      <c r="C5386" t="s">
        <v>5747</v>
      </c>
      <c r="D5386">
        <v>529.99</v>
      </c>
    </row>
    <row r="5387" spans="1:4">
      <c r="A5387" t="s">
        <v>91</v>
      </c>
      <c r="B5387" t="s">
        <v>510</v>
      </c>
      <c r="C5387" t="s">
        <v>5748</v>
      </c>
      <c r="D5387">
        <v>519.99</v>
      </c>
    </row>
    <row r="5388" spans="1:4">
      <c r="A5388" t="s">
        <v>91</v>
      </c>
      <c r="B5388" t="s">
        <v>505</v>
      </c>
      <c r="C5388" t="s">
        <v>5626</v>
      </c>
      <c r="D5388">
        <v>109.99</v>
      </c>
    </row>
    <row r="5389" spans="1:4">
      <c r="A5389" t="s">
        <v>91</v>
      </c>
      <c r="B5389" t="s">
        <v>1337</v>
      </c>
      <c r="C5389" t="s">
        <v>5749</v>
      </c>
      <c r="D5389">
        <v>424.99</v>
      </c>
    </row>
    <row r="5390" spans="1:4">
      <c r="A5390" t="s">
        <v>91</v>
      </c>
      <c r="B5390" t="s">
        <v>510</v>
      </c>
      <c r="C5390" t="s">
        <v>5750</v>
      </c>
      <c r="D5390">
        <v>559.99</v>
      </c>
    </row>
    <row r="5391" spans="1:4">
      <c r="A5391" t="s">
        <v>91</v>
      </c>
      <c r="B5391" t="s">
        <v>4153</v>
      </c>
      <c r="C5391" t="s">
        <v>5751</v>
      </c>
      <c r="D5391">
        <v>74.989999999999995</v>
      </c>
    </row>
    <row r="5392" spans="1:4">
      <c r="A5392" t="s">
        <v>91</v>
      </c>
      <c r="B5392" t="s">
        <v>505</v>
      </c>
      <c r="C5392" t="s">
        <v>5752</v>
      </c>
      <c r="D5392">
        <v>69.989999999999995</v>
      </c>
    </row>
    <row r="5393" spans="1:4">
      <c r="A5393" t="s">
        <v>91</v>
      </c>
      <c r="B5393" t="s">
        <v>546</v>
      </c>
      <c r="C5393" t="s">
        <v>5753</v>
      </c>
      <c r="D5393">
        <v>99.99</v>
      </c>
    </row>
    <row r="5394" spans="1:4">
      <c r="A5394" t="s">
        <v>91</v>
      </c>
      <c r="B5394" t="s">
        <v>1337</v>
      </c>
      <c r="C5394" t="s">
        <v>5754</v>
      </c>
      <c r="D5394">
        <v>294</v>
      </c>
    </row>
    <row r="5395" spans="1:4">
      <c r="A5395" t="s">
        <v>91</v>
      </c>
      <c r="B5395" t="s">
        <v>505</v>
      </c>
      <c r="C5395" t="s">
        <v>5755</v>
      </c>
      <c r="D5395">
        <v>119</v>
      </c>
    </row>
    <row r="5396" spans="1:4">
      <c r="A5396" t="s">
        <v>91</v>
      </c>
      <c r="B5396" t="s">
        <v>5756</v>
      </c>
      <c r="C5396" t="s">
        <v>5757</v>
      </c>
      <c r="D5396">
        <v>399.99</v>
      </c>
    </row>
    <row r="5397" spans="1:4">
      <c r="A5397" t="s">
        <v>91</v>
      </c>
      <c r="B5397" t="s">
        <v>510</v>
      </c>
      <c r="C5397" t="s">
        <v>5758</v>
      </c>
      <c r="D5397">
        <v>65</v>
      </c>
    </row>
    <row r="5398" spans="1:4">
      <c r="A5398" t="s">
        <v>91</v>
      </c>
      <c r="B5398" t="s">
        <v>2983</v>
      </c>
      <c r="C5398" t="s">
        <v>5759</v>
      </c>
      <c r="D5398">
        <v>89.99</v>
      </c>
    </row>
    <row r="5399" spans="1:4">
      <c r="A5399" t="s">
        <v>91</v>
      </c>
      <c r="B5399" t="s">
        <v>5760</v>
      </c>
      <c r="C5399" t="s">
        <v>5761</v>
      </c>
      <c r="D5399">
        <v>85.58</v>
      </c>
    </row>
    <row r="5400" spans="1:4">
      <c r="A5400" t="s">
        <v>91</v>
      </c>
      <c r="B5400" t="s">
        <v>1337</v>
      </c>
      <c r="C5400" t="s">
        <v>5762</v>
      </c>
      <c r="D5400">
        <v>534.99</v>
      </c>
    </row>
    <row r="5401" spans="1:4">
      <c r="A5401" t="s">
        <v>91</v>
      </c>
      <c r="B5401" t="s">
        <v>1337</v>
      </c>
      <c r="C5401" t="s">
        <v>5763</v>
      </c>
      <c r="D5401">
        <v>199.99</v>
      </c>
    </row>
    <row r="5402" spans="1:4">
      <c r="A5402" t="s">
        <v>91</v>
      </c>
      <c r="B5402" t="s">
        <v>505</v>
      </c>
      <c r="C5402" t="s">
        <v>5764</v>
      </c>
      <c r="D5402">
        <v>128.99</v>
      </c>
    </row>
    <row r="5403" spans="1:4">
      <c r="A5403" t="s">
        <v>91</v>
      </c>
      <c r="B5403" t="s">
        <v>3006</v>
      </c>
      <c r="C5403" t="s">
        <v>5765</v>
      </c>
      <c r="D5403">
        <v>119</v>
      </c>
    </row>
    <row r="5404" spans="1:4">
      <c r="A5404" t="s">
        <v>91</v>
      </c>
      <c r="B5404" t="s">
        <v>510</v>
      </c>
      <c r="C5404" t="s">
        <v>5766</v>
      </c>
      <c r="D5404">
        <v>39.99</v>
      </c>
    </row>
    <row r="5405" spans="1:4">
      <c r="A5405" t="s">
        <v>91</v>
      </c>
      <c r="B5405" t="s">
        <v>510</v>
      </c>
      <c r="C5405" t="s">
        <v>5592</v>
      </c>
      <c r="D5405">
        <v>189.99</v>
      </c>
    </row>
    <row r="5406" spans="1:4">
      <c r="A5406" t="s">
        <v>91</v>
      </c>
      <c r="B5406" t="s">
        <v>505</v>
      </c>
      <c r="C5406" t="s">
        <v>5767</v>
      </c>
      <c r="D5406">
        <v>69.989999999999995</v>
      </c>
    </row>
    <row r="5407" spans="1:4">
      <c r="A5407" t="s">
        <v>91</v>
      </c>
      <c r="B5407" t="s">
        <v>569</v>
      </c>
      <c r="C5407" t="s">
        <v>5768</v>
      </c>
      <c r="D5407">
        <v>125</v>
      </c>
    </row>
    <row r="5408" spans="1:4">
      <c r="A5408" t="s">
        <v>91</v>
      </c>
      <c r="B5408" t="s">
        <v>510</v>
      </c>
      <c r="C5408" t="s">
        <v>5769</v>
      </c>
      <c r="D5408">
        <v>299.99</v>
      </c>
    </row>
    <row r="5409" spans="1:4">
      <c r="A5409" t="s">
        <v>91</v>
      </c>
      <c r="B5409" t="s">
        <v>3081</v>
      </c>
      <c r="C5409" t="s">
        <v>5770</v>
      </c>
      <c r="D5409">
        <v>24.99</v>
      </c>
    </row>
    <row r="5410" spans="1:4">
      <c r="A5410" t="s">
        <v>91</v>
      </c>
      <c r="B5410" t="s">
        <v>510</v>
      </c>
      <c r="C5410" t="s">
        <v>5771</v>
      </c>
      <c r="D5410">
        <v>149.99</v>
      </c>
    </row>
    <row r="5411" spans="1:4">
      <c r="A5411" t="s">
        <v>91</v>
      </c>
      <c r="B5411" t="s">
        <v>505</v>
      </c>
      <c r="C5411" t="s">
        <v>5772</v>
      </c>
      <c r="D5411">
        <v>204.99</v>
      </c>
    </row>
    <row r="5412" spans="1:4">
      <c r="A5412" t="s">
        <v>91</v>
      </c>
      <c r="B5412" t="s">
        <v>505</v>
      </c>
      <c r="C5412" t="s">
        <v>5773</v>
      </c>
      <c r="D5412">
        <v>159.99</v>
      </c>
    </row>
    <row r="5413" spans="1:4">
      <c r="A5413" t="s">
        <v>91</v>
      </c>
      <c r="B5413" t="s">
        <v>510</v>
      </c>
      <c r="C5413" t="s">
        <v>5774</v>
      </c>
      <c r="D5413">
        <v>279.99</v>
      </c>
    </row>
    <row r="5414" spans="1:4">
      <c r="A5414" t="s">
        <v>91</v>
      </c>
      <c r="B5414" t="s">
        <v>505</v>
      </c>
      <c r="C5414" t="s">
        <v>5775</v>
      </c>
      <c r="D5414">
        <v>129.99</v>
      </c>
    </row>
    <row r="5415" spans="1:4">
      <c r="A5415" t="s">
        <v>91</v>
      </c>
      <c r="B5415" t="s">
        <v>510</v>
      </c>
      <c r="C5415" t="s">
        <v>5776</v>
      </c>
      <c r="D5415">
        <v>39</v>
      </c>
    </row>
    <row r="5416" spans="1:4">
      <c r="A5416" t="s">
        <v>91</v>
      </c>
      <c r="B5416" t="s">
        <v>510</v>
      </c>
      <c r="C5416" t="s">
        <v>5777</v>
      </c>
      <c r="D5416">
        <v>54.99</v>
      </c>
    </row>
    <row r="5417" spans="1:4">
      <c r="A5417" t="s">
        <v>91</v>
      </c>
      <c r="B5417" t="s">
        <v>510</v>
      </c>
      <c r="C5417" t="s">
        <v>5778</v>
      </c>
      <c r="D5417">
        <v>209.99</v>
      </c>
    </row>
    <row r="5418" spans="1:4">
      <c r="A5418" t="s">
        <v>91</v>
      </c>
      <c r="B5418" t="s">
        <v>505</v>
      </c>
      <c r="C5418" t="s">
        <v>5779</v>
      </c>
      <c r="D5418">
        <v>119.99</v>
      </c>
    </row>
    <row r="5419" spans="1:4">
      <c r="A5419" t="s">
        <v>91</v>
      </c>
      <c r="B5419" t="s">
        <v>510</v>
      </c>
      <c r="C5419" t="s">
        <v>5780</v>
      </c>
      <c r="D5419">
        <v>599.99</v>
      </c>
    </row>
    <row r="5420" spans="1:4">
      <c r="A5420" t="s">
        <v>91</v>
      </c>
      <c r="B5420" t="s">
        <v>505</v>
      </c>
      <c r="C5420" t="s">
        <v>5781</v>
      </c>
      <c r="D5420">
        <v>72</v>
      </c>
    </row>
    <row r="5421" spans="1:4">
      <c r="A5421" t="s">
        <v>91</v>
      </c>
      <c r="B5421" t="s">
        <v>510</v>
      </c>
      <c r="C5421" t="s">
        <v>5782</v>
      </c>
      <c r="D5421">
        <v>189.99</v>
      </c>
    </row>
    <row r="5422" spans="1:4">
      <c r="A5422" t="s">
        <v>91</v>
      </c>
      <c r="B5422" t="s">
        <v>510</v>
      </c>
      <c r="C5422" t="s">
        <v>5551</v>
      </c>
      <c r="D5422">
        <v>139</v>
      </c>
    </row>
    <row r="5423" spans="1:4">
      <c r="A5423" t="s">
        <v>91</v>
      </c>
      <c r="B5423" t="s">
        <v>5783</v>
      </c>
      <c r="C5423" t="s">
        <v>5784</v>
      </c>
      <c r="D5423">
        <v>67.989999999999995</v>
      </c>
    </row>
    <row r="5424" spans="1:4">
      <c r="A5424" t="s">
        <v>91</v>
      </c>
      <c r="B5424" t="s">
        <v>510</v>
      </c>
      <c r="C5424" t="s">
        <v>5785</v>
      </c>
      <c r="D5424">
        <v>149.99</v>
      </c>
    </row>
    <row r="5425" spans="1:4">
      <c r="A5425" t="s">
        <v>91</v>
      </c>
      <c r="B5425" t="s">
        <v>833</v>
      </c>
      <c r="C5425" t="s">
        <v>5786</v>
      </c>
      <c r="D5425">
        <v>99.99</v>
      </c>
    </row>
    <row r="5426" spans="1:4">
      <c r="A5426" t="s">
        <v>91</v>
      </c>
      <c r="B5426" t="s">
        <v>2983</v>
      </c>
      <c r="C5426" t="s">
        <v>5787</v>
      </c>
      <c r="D5426">
        <v>148</v>
      </c>
    </row>
    <row r="5427" spans="1:4">
      <c r="A5427" t="s">
        <v>91</v>
      </c>
      <c r="B5427" t="s">
        <v>510</v>
      </c>
      <c r="C5427" t="s">
        <v>5788</v>
      </c>
      <c r="D5427">
        <v>629.99</v>
      </c>
    </row>
    <row r="5428" spans="1:4">
      <c r="A5428" t="s">
        <v>91</v>
      </c>
      <c r="B5428" t="s">
        <v>510</v>
      </c>
      <c r="C5428" t="s">
        <v>5789</v>
      </c>
      <c r="D5428">
        <v>259.99</v>
      </c>
    </row>
    <row r="5429" spans="1:4">
      <c r="A5429" t="s">
        <v>91</v>
      </c>
      <c r="B5429" t="s">
        <v>510</v>
      </c>
      <c r="C5429" t="s">
        <v>5790</v>
      </c>
      <c r="D5429">
        <v>149.99</v>
      </c>
    </row>
    <row r="5430" spans="1:4">
      <c r="A5430" t="s">
        <v>91</v>
      </c>
      <c r="B5430" t="s">
        <v>510</v>
      </c>
      <c r="C5430" t="s">
        <v>5791</v>
      </c>
      <c r="D5430">
        <v>219.99</v>
      </c>
    </row>
    <row r="5431" spans="1:4">
      <c r="A5431" t="s">
        <v>91</v>
      </c>
      <c r="B5431" t="s">
        <v>510</v>
      </c>
      <c r="C5431" t="s">
        <v>5792</v>
      </c>
      <c r="D5431">
        <v>280</v>
      </c>
    </row>
    <row r="5432" spans="1:4">
      <c r="A5432" t="s">
        <v>91</v>
      </c>
      <c r="B5432" t="s">
        <v>510</v>
      </c>
      <c r="C5432" t="s">
        <v>5793</v>
      </c>
      <c r="D5432">
        <v>159</v>
      </c>
    </row>
    <row r="5433" spans="1:4">
      <c r="A5433" t="s">
        <v>91</v>
      </c>
      <c r="B5433" t="s">
        <v>510</v>
      </c>
      <c r="C5433" t="s">
        <v>5794</v>
      </c>
      <c r="D5433">
        <v>269.99</v>
      </c>
    </row>
    <row r="5434" spans="1:4">
      <c r="A5434" t="s">
        <v>91</v>
      </c>
      <c r="B5434" t="s">
        <v>510</v>
      </c>
      <c r="C5434" t="s">
        <v>5795</v>
      </c>
      <c r="D5434">
        <v>309.97000000000003</v>
      </c>
    </row>
    <row r="5435" spans="1:4">
      <c r="A5435" t="s">
        <v>91</v>
      </c>
      <c r="B5435" t="s">
        <v>510</v>
      </c>
      <c r="C5435" t="s">
        <v>5796</v>
      </c>
      <c r="D5435">
        <v>530</v>
      </c>
    </row>
    <row r="5436" spans="1:4">
      <c r="A5436" t="s">
        <v>91</v>
      </c>
      <c r="B5436" t="s">
        <v>510</v>
      </c>
      <c r="C5436" t="s">
        <v>5797</v>
      </c>
      <c r="D5436">
        <v>124.99</v>
      </c>
    </row>
    <row r="5437" spans="1:4">
      <c r="A5437" t="s">
        <v>91</v>
      </c>
      <c r="B5437" t="s">
        <v>2983</v>
      </c>
      <c r="C5437" t="s">
        <v>5798</v>
      </c>
      <c r="D5437">
        <v>129.99</v>
      </c>
    </row>
    <row r="5438" spans="1:4">
      <c r="A5438" t="s">
        <v>91</v>
      </c>
      <c r="B5438" t="s">
        <v>3030</v>
      </c>
      <c r="C5438" t="s">
        <v>5799</v>
      </c>
      <c r="D5438">
        <v>325</v>
      </c>
    </row>
    <row r="5439" spans="1:4">
      <c r="A5439" t="s">
        <v>91</v>
      </c>
      <c r="B5439" t="s">
        <v>510</v>
      </c>
      <c r="C5439" t="s">
        <v>5800</v>
      </c>
      <c r="D5439">
        <v>144.99</v>
      </c>
    </row>
    <row r="5440" spans="1:4">
      <c r="A5440" t="s">
        <v>91</v>
      </c>
      <c r="B5440" t="s">
        <v>510</v>
      </c>
      <c r="C5440" t="s">
        <v>5801</v>
      </c>
      <c r="D5440">
        <v>699</v>
      </c>
    </row>
    <row r="5441" spans="1:4">
      <c r="A5441" t="s">
        <v>91</v>
      </c>
      <c r="B5441" t="s">
        <v>505</v>
      </c>
      <c r="C5441" t="s">
        <v>5802</v>
      </c>
      <c r="D5441">
        <v>78</v>
      </c>
    </row>
    <row r="5442" spans="1:4">
      <c r="A5442" t="s">
        <v>91</v>
      </c>
      <c r="B5442" t="s">
        <v>2983</v>
      </c>
      <c r="C5442" t="s">
        <v>5803</v>
      </c>
      <c r="D5442">
        <v>229.99</v>
      </c>
    </row>
    <row r="5443" spans="1:4">
      <c r="A5443" t="s">
        <v>91</v>
      </c>
      <c r="B5443" t="s">
        <v>510</v>
      </c>
      <c r="C5443" t="s">
        <v>5804</v>
      </c>
      <c r="D5443">
        <v>99</v>
      </c>
    </row>
    <row r="5444" spans="1:4">
      <c r="A5444" t="s">
        <v>91</v>
      </c>
      <c r="B5444" t="s">
        <v>510</v>
      </c>
      <c r="C5444" t="s">
        <v>5805</v>
      </c>
      <c r="D5444">
        <v>127.95</v>
      </c>
    </row>
    <row r="5445" spans="1:4">
      <c r="A5445" t="s">
        <v>91</v>
      </c>
      <c r="B5445" t="s">
        <v>510</v>
      </c>
      <c r="C5445" t="s">
        <v>5806</v>
      </c>
      <c r="D5445">
        <v>189</v>
      </c>
    </row>
    <row r="5446" spans="1:4">
      <c r="A5446" t="s">
        <v>91</v>
      </c>
      <c r="B5446" t="s">
        <v>510</v>
      </c>
      <c r="C5446" t="s">
        <v>5807</v>
      </c>
      <c r="D5446">
        <v>269</v>
      </c>
    </row>
    <row r="5447" spans="1:4">
      <c r="A5447" t="s">
        <v>91</v>
      </c>
      <c r="B5447" t="s">
        <v>3014</v>
      </c>
      <c r="C5447" t="s">
        <v>5808</v>
      </c>
      <c r="D5447">
        <v>194.75</v>
      </c>
    </row>
    <row r="5448" spans="1:4">
      <c r="A5448" t="s">
        <v>91</v>
      </c>
      <c r="B5448" t="s">
        <v>510</v>
      </c>
      <c r="C5448" t="s">
        <v>5809</v>
      </c>
      <c r="D5448">
        <v>134.99</v>
      </c>
    </row>
    <row r="5449" spans="1:4">
      <c r="A5449" t="s">
        <v>91</v>
      </c>
      <c r="B5449" t="s">
        <v>505</v>
      </c>
      <c r="C5449" t="s">
        <v>5810</v>
      </c>
      <c r="D5449">
        <v>99.99</v>
      </c>
    </row>
    <row r="5450" spans="1:4">
      <c r="A5450" t="s">
        <v>91</v>
      </c>
      <c r="B5450" t="s">
        <v>510</v>
      </c>
      <c r="C5450" t="s">
        <v>5811</v>
      </c>
      <c r="D5450">
        <v>139.99</v>
      </c>
    </row>
    <row r="5451" spans="1:4">
      <c r="A5451" t="s">
        <v>91</v>
      </c>
      <c r="B5451" t="s">
        <v>510</v>
      </c>
      <c r="C5451" t="s">
        <v>5812</v>
      </c>
      <c r="D5451">
        <v>279.99</v>
      </c>
    </row>
    <row r="5452" spans="1:4">
      <c r="A5452" t="s">
        <v>91</v>
      </c>
      <c r="B5452" t="s">
        <v>2983</v>
      </c>
      <c r="C5452" t="s">
        <v>5813</v>
      </c>
      <c r="D5452">
        <v>129.99</v>
      </c>
    </row>
    <row r="5453" spans="1:4">
      <c r="A5453" t="s">
        <v>91</v>
      </c>
      <c r="B5453" t="s">
        <v>510</v>
      </c>
      <c r="C5453" t="s">
        <v>5814</v>
      </c>
      <c r="D5453">
        <v>149</v>
      </c>
    </row>
    <row r="5454" spans="1:4">
      <c r="A5454" t="s">
        <v>91</v>
      </c>
      <c r="B5454" t="s">
        <v>505</v>
      </c>
      <c r="C5454" t="s">
        <v>5815</v>
      </c>
      <c r="D5454">
        <v>149.99</v>
      </c>
    </row>
    <row r="5455" spans="1:4">
      <c r="A5455" t="s">
        <v>91</v>
      </c>
      <c r="B5455" t="s">
        <v>505</v>
      </c>
      <c r="C5455" t="s">
        <v>5816</v>
      </c>
      <c r="D5455">
        <v>219.99</v>
      </c>
    </row>
    <row r="5456" spans="1:4">
      <c r="A5456" t="s">
        <v>91</v>
      </c>
      <c r="B5456" t="s">
        <v>510</v>
      </c>
      <c r="C5456" t="s">
        <v>5817</v>
      </c>
      <c r="D5456">
        <v>199.99</v>
      </c>
    </row>
    <row r="5457" spans="1:4">
      <c r="A5457" t="s">
        <v>91</v>
      </c>
      <c r="B5457" t="s">
        <v>505</v>
      </c>
      <c r="C5457" t="s">
        <v>5818</v>
      </c>
      <c r="D5457">
        <v>79.989999999999995</v>
      </c>
    </row>
    <row r="5458" spans="1:4">
      <c r="A5458" t="s">
        <v>91</v>
      </c>
      <c r="B5458" t="s">
        <v>510</v>
      </c>
      <c r="C5458" t="s">
        <v>5819</v>
      </c>
      <c r="D5458">
        <v>779.99</v>
      </c>
    </row>
    <row r="5459" spans="1:4">
      <c r="A5459" t="s">
        <v>91</v>
      </c>
      <c r="B5459" t="s">
        <v>510</v>
      </c>
      <c r="C5459" t="s">
        <v>5820</v>
      </c>
      <c r="D5459">
        <v>1239.99</v>
      </c>
    </row>
    <row r="5460" spans="1:4">
      <c r="A5460" t="s">
        <v>91</v>
      </c>
      <c r="B5460" t="s">
        <v>833</v>
      </c>
      <c r="C5460" t="s">
        <v>5821</v>
      </c>
      <c r="D5460">
        <v>99.99</v>
      </c>
    </row>
    <row r="5461" spans="1:4">
      <c r="A5461" t="s">
        <v>91</v>
      </c>
      <c r="B5461" t="s">
        <v>505</v>
      </c>
      <c r="C5461" t="s">
        <v>5822</v>
      </c>
      <c r="D5461">
        <v>99.99</v>
      </c>
    </row>
    <row r="5462" spans="1:4">
      <c r="A5462" t="s">
        <v>91</v>
      </c>
      <c r="B5462" t="s">
        <v>510</v>
      </c>
      <c r="C5462" t="s">
        <v>5823</v>
      </c>
      <c r="D5462">
        <v>159.99</v>
      </c>
    </row>
    <row r="5463" spans="1:4">
      <c r="A5463" t="s">
        <v>91</v>
      </c>
      <c r="B5463" t="s">
        <v>2994</v>
      </c>
      <c r="C5463" t="s">
        <v>5824</v>
      </c>
      <c r="D5463">
        <v>63.25</v>
      </c>
    </row>
    <row r="5464" spans="1:4">
      <c r="A5464" t="s">
        <v>91</v>
      </c>
      <c r="B5464" t="s">
        <v>510</v>
      </c>
      <c r="C5464" t="s">
        <v>5825</v>
      </c>
      <c r="D5464">
        <v>479.99</v>
      </c>
    </row>
    <row r="5465" spans="1:4">
      <c r="A5465" t="s">
        <v>91</v>
      </c>
      <c r="B5465" t="s">
        <v>510</v>
      </c>
      <c r="C5465" t="s">
        <v>5826</v>
      </c>
      <c r="D5465">
        <v>219.99</v>
      </c>
    </row>
    <row r="5466" spans="1:4">
      <c r="A5466" t="s">
        <v>91</v>
      </c>
      <c r="B5466" t="s">
        <v>3030</v>
      </c>
      <c r="C5466" t="s">
        <v>5827</v>
      </c>
      <c r="D5466">
        <v>549.99</v>
      </c>
    </row>
    <row r="5467" spans="1:4">
      <c r="A5467" t="s">
        <v>91</v>
      </c>
      <c r="B5467" t="s">
        <v>510</v>
      </c>
      <c r="C5467" t="s">
        <v>5828</v>
      </c>
      <c r="D5467">
        <v>96</v>
      </c>
    </row>
    <row r="5468" spans="1:4">
      <c r="A5468" t="s">
        <v>91</v>
      </c>
      <c r="B5468" t="s">
        <v>3030</v>
      </c>
      <c r="C5468" t="s">
        <v>5829</v>
      </c>
      <c r="D5468">
        <v>450</v>
      </c>
    </row>
    <row r="5469" spans="1:4">
      <c r="A5469" t="s">
        <v>91</v>
      </c>
      <c r="B5469" t="s">
        <v>505</v>
      </c>
      <c r="C5469" t="s">
        <v>5830</v>
      </c>
      <c r="D5469">
        <v>69.989999999999995</v>
      </c>
    </row>
    <row r="5470" spans="1:4">
      <c r="A5470" t="s">
        <v>91</v>
      </c>
      <c r="B5470" t="s">
        <v>510</v>
      </c>
      <c r="C5470" t="s">
        <v>5831</v>
      </c>
      <c r="D5470">
        <v>144.97</v>
      </c>
    </row>
    <row r="5471" spans="1:4">
      <c r="A5471" t="s">
        <v>91</v>
      </c>
      <c r="B5471" t="s">
        <v>505</v>
      </c>
      <c r="C5471" t="s">
        <v>5832</v>
      </c>
      <c r="D5471">
        <v>69.989999999999995</v>
      </c>
    </row>
    <row r="5472" spans="1:4">
      <c r="A5472" t="s">
        <v>91</v>
      </c>
      <c r="B5472" t="s">
        <v>510</v>
      </c>
      <c r="C5472" t="s">
        <v>5669</v>
      </c>
      <c r="D5472">
        <v>229.99</v>
      </c>
    </row>
    <row r="5473" spans="1:4">
      <c r="A5473" t="s">
        <v>91</v>
      </c>
      <c r="B5473" t="s">
        <v>505</v>
      </c>
      <c r="C5473" t="s">
        <v>5833</v>
      </c>
      <c r="D5473">
        <v>114.99</v>
      </c>
    </row>
    <row r="5474" spans="1:4">
      <c r="A5474" t="s">
        <v>91</v>
      </c>
      <c r="B5474" t="s">
        <v>510</v>
      </c>
      <c r="C5474" t="s">
        <v>5834</v>
      </c>
      <c r="D5474">
        <v>179.95</v>
      </c>
    </row>
    <row r="5475" spans="1:4">
      <c r="A5475" t="s">
        <v>91</v>
      </c>
      <c r="B5475" t="s">
        <v>505</v>
      </c>
      <c r="C5475" t="s">
        <v>5835</v>
      </c>
      <c r="D5475">
        <v>45</v>
      </c>
    </row>
    <row r="5476" spans="1:4">
      <c r="A5476" t="s">
        <v>91</v>
      </c>
      <c r="B5476" t="s">
        <v>510</v>
      </c>
      <c r="C5476" t="s">
        <v>5836</v>
      </c>
      <c r="D5476">
        <v>1064.99</v>
      </c>
    </row>
    <row r="5477" spans="1:4">
      <c r="A5477" t="s">
        <v>91</v>
      </c>
      <c r="B5477" t="s">
        <v>510</v>
      </c>
      <c r="C5477" t="s">
        <v>5837</v>
      </c>
      <c r="D5477">
        <v>209.99</v>
      </c>
    </row>
    <row r="5478" spans="1:4">
      <c r="A5478" t="s">
        <v>91</v>
      </c>
      <c r="B5478" t="s">
        <v>2983</v>
      </c>
      <c r="C5478" t="s">
        <v>5594</v>
      </c>
      <c r="D5478">
        <v>89.99</v>
      </c>
    </row>
    <row r="5479" spans="1:4">
      <c r="A5479" t="s">
        <v>91</v>
      </c>
      <c r="B5479" t="s">
        <v>510</v>
      </c>
      <c r="C5479" t="s">
        <v>5838</v>
      </c>
      <c r="D5479">
        <v>89</v>
      </c>
    </row>
    <row r="5480" spans="1:4">
      <c r="A5480" t="s">
        <v>91</v>
      </c>
      <c r="B5480" t="s">
        <v>5783</v>
      </c>
      <c r="C5480" t="s">
        <v>5784</v>
      </c>
      <c r="D5480">
        <v>93.99</v>
      </c>
    </row>
    <row r="5481" spans="1:4">
      <c r="A5481" t="s">
        <v>91</v>
      </c>
      <c r="B5481" t="s">
        <v>505</v>
      </c>
      <c r="C5481" t="s">
        <v>5839</v>
      </c>
      <c r="D5481">
        <v>89.99</v>
      </c>
    </row>
    <row r="5482" spans="1:4">
      <c r="A5482" t="s">
        <v>91</v>
      </c>
      <c r="B5482" t="s">
        <v>505</v>
      </c>
      <c r="C5482" t="s">
        <v>5840</v>
      </c>
      <c r="D5482">
        <v>97.99</v>
      </c>
    </row>
    <row r="5483" spans="1:4">
      <c r="A5483" t="s">
        <v>91</v>
      </c>
      <c r="B5483" t="s">
        <v>505</v>
      </c>
      <c r="C5483" t="s">
        <v>5841</v>
      </c>
      <c r="D5483">
        <v>349.96</v>
      </c>
    </row>
    <row r="5484" spans="1:4">
      <c r="A5484" t="s">
        <v>91</v>
      </c>
      <c r="B5484" t="s">
        <v>510</v>
      </c>
      <c r="C5484" t="s">
        <v>5842</v>
      </c>
      <c r="D5484">
        <v>1009.99</v>
      </c>
    </row>
    <row r="5485" spans="1:4">
      <c r="A5485" t="s">
        <v>91</v>
      </c>
      <c r="B5485" t="s">
        <v>505</v>
      </c>
      <c r="C5485" t="s">
        <v>5843</v>
      </c>
      <c r="D5485">
        <v>154.99</v>
      </c>
    </row>
    <row r="5486" spans="1:4">
      <c r="A5486" t="s">
        <v>91</v>
      </c>
      <c r="B5486" t="s">
        <v>505</v>
      </c>
      <c r="C5486" t="s">
        <v>5844</v>
      </c>
      <c r="D5486">
        <v>139.99</v>
      </c>
    </row>
    <row r="5487" spans="1:4">
      <c r="A5487" t="s">
        <v>91</v>
      </c>
      <c r="B5487" t="s">
        <v>510</v>
      </c>
      <c r="C5487" t="s">
        <v>5845</v>
      </c>
      <c r="D5487">
        <v>158.94999999999999</v>
      </c>
    </row>
    <row r="5488" spans="1:4">
      <c r="A5488" t="s">
        <v>91</v>
      </c>
      <c r="B5488" t="s">
        <v>510</v>
      </c>
      <c r="C5488" t="s">
        <v>5846</v>
      </c>
      <c r="D5488">
        <v>199</v>
      </c>
    </row>
    <row r="5489" spans="1:4">
      <c r="A5489" t="s">
        <v>91</v>
      </c>
      <c r="B5489" t="s">
        <v>505</v>
      </c>
      <c r="C5489" t="s">
        <v>5847</v>
      </c>
      <c r="D5489">
        <v>349.99</v>
      </c>
    </row>
    <row r="5490" spans="1:4">
      <c r="A5490" t="s">
        <v>91</v>
      </c>
      <c r="B5490" t="s">
        <v>5848</v>
      </c>
      <c r="C5490" t="s">
        <v>5849</v>
      </c>
      <c r="D5490">
        <v>36.9</v>
      </c>
    </row>
    <row r="5491" spans="1:4">
      <c r="A5491" t="s">
        <v>91</v>
      </c>
      <c r="B5491" t="s">
        <v>510</v>
      </c>
      <c r="C5491" t="s">
        <v>5850</v>
      </c>
      <c r="D5491">
        <v>999.99</v>
      </c>
    </row>
    <row r="5492" spans="1:4">
      <c r="A5492" t="s">
        <v>91</v>
      </c>
      <c r="B5492" t="s">
        <v>505</v>
      </c>
      <c r="C5492" t="s">
        <v>5851</v>
      </c>
      <c r="D5492">
        <v>139.99</v>
      </c>
    </row>
    <row r="5493" spans="1:4">
      <c r="A5493" t="s">
        <v>91</v>
      </c>
      <c r="B5493" t="s">
        <v>510</v>
      </c>
      <c r="C5493" t="s">
        <v>5852</v>
      </c>
      <c r="D5493">
        <v>319.99</v>
      </c>
    </row>
    <row r="5494" spans="1:4">
      <c r="A5494" t="s">
        <v>91</v>
      </c>
      <c r="B5494" t="s">
        <v>510</v>
      </c>
      <c r="C5494" t="s">
        <v>5853</v>
      </c>
      <c r="D5494">
        <v>84.99</v>
      </c>
    </row>
    <row r="5495" spans="1:4">
      <c r="A5495" t="s">
        <v>91</v>
      </c>
      <c r="B5495" t="s">
        <v>510</v>
      </c>
      <c r="C5495" t="s">
        <v>5854</v>
      </c>
      <c r="D5495">
        <v>269.99</v>
      </c>
    </row>
    <row r="5496" spans="1:4">
      <c r="A5496" t="s">
        <v>91</v>
      </c>
      <c r="B5496" t="s">
        <v>505</v>
      </c>
      <c r="C5496" t="s">
        <v>5855</v>
      </c>
      <c r="D5496">
        <v>69.989999999999995</v>
      </c>
    </row>
    <row r="5497" spans="1:4">
      <c r="A5497" t="s">
        <v>91</v>
      </c>
      <c r="B5497" t="s">
        <v>2983</v>
      </c>
      <c r="C5497" t="s">
        <v>5856</v>
      </c>
      <c r="D5497">
        <v>149.99</v>
      </c>
    </row>
    <row r="5498" spans="1:4">
      <c r="A5498" t="s">
        <v>91</v>
      </c>
      <c r="B5498" t="s">
        <v>510</v>
      </c>
      <c r="C5498" t="s">
        <v>5857</v>
      </c>
      <c r="D5498">
        <v>164.99</v>
      </c>
    </row>
    <row r="5499" spans="1:4">
      <c r="A5499" t="s">
        <v>91</v>
      </c>
      <c r="B5499" t="s">
        <v>510</v>
      </c>
      <c r="C5499" t="s">
        <v>5858</v>
      </c>
      <c r="D5499">
        <v>1219.99</v>
      </c>
    </row>
    <row r="5500" spans="1:4">
      <c r="A5500" t="s">
        <v>91</v>
      </c>
      <c r="B5500" t="s">
        <v>510</v>
      </c>
      <c r="C5500" t="s">
        <v>5859</v>
      </c>
      <c r="D5500">
        <v>569.99</v>
      </c>
    </row>
    <row r="5501" spans="1:4">
      <c r="A5501" t="s">
        <v>91</v>
      </c>
      <c r="B5501" t="s">
        <v>3030</v>
      </c>
      <c r="C5501" t="s">
        <v>5860</v>
      </c>
      <c r="D5501">
        <v>450</v>
      </c>
    </row>
    <row r="5502" spans="1:4">
      <c r="A5502" t="s">
        <v>91</v>
      </c>
      <c r="B5502" t="s">
        <v>510</v>
      </c>
      <c r="C5502" t="s">
        <v>5861</v>
      </c>
      <c r="D5502">
        <v>129.99</v>
      </c>
    </row>
    <row r="5503" spans="1:4">
      <c r="A5503" t="s">
        <v>91</v>
      </c>
      <c r="B5503" t="s">
        <v>505</v>
      </c>
      <c r="C5503" t="s">
        <v>5862</v>
      </c>
      <c r="D5503">
        <v>149.99</v>
      </c>
    </row>
    <row r="5504" spans="1:4">
      <c r="A5504" t="s">
        <v>91</v>
      </c>
      <c r="B5504" t="s">
        <v>510</v>
      </c>
      <c r="C5504" t="s">
        <v>5863</v>
      </c>
      <c r="D5504">
        <v>149</v>
      </c>
    </row>
    <row r="5505" spans="1:4">
      <c r="A5505" t="s">
        <v>91</v>
      </c>
      <c r="B5505" t="s">
        <v>505</v>
      </c>
      <c r="C5505" t="s">
        <v>5864</v>
      </c>
      <c r="D5505">
        <v>82</v>
      </c>
    </row>
    <row r="5506" spans="1:4">
      <c r="A5506" t="s">
        <v>91</v>
      </c>
      <c r="B5506" t="s">
        <v>510</v>
      </c>
      <c r="C5506" t="s">
        <v>5865</v>
      </c>
      <c r="D5506">
        <v>274.99</v>
      </c>
    </row>
    <row r="5507" spans="1:4">
      <c r="A5507" t="s">
        <v>91</v>
      </c>
      <c r="B5507" t="s">
        <v>510</v>
      </c>
      <c r="C5507" t="s">
        <v>5866</v>
      </c>
      <c r="D5507">
        <v>329.99</v>
      </c>
    </row>
    <row r="5508" spans="1:4">
      <c r="A5508" t="s">
        <v>91</v>
      </c>
      <c r="B5508" t="s">
        <v>505</v>
      </c>
      <c r="C5508" t="s">
        <v>5867</v>
      </c>
      <c r="D5508">
        <v>159.99</v>
      </c>
    </row>
    <row r="5509" spans="1:4">
      <c r="A5509" t="s">
        <v>91</v>
      </c>
      <c r="B5509" t="s">
        <v>510</v>
      </c>
      <c r="C5509" t="s">
        <v>5868</v>
      </c>
      <c r="D5509">
        <v>234.99</v>
      </c>
    </row>
    <row r="5510" spans="1:4">
      <c r="A5510" t="s">
        <v>91</v>
      </c>
      <c r="B5510" t="s">
        <v>510</v>
      </c>
      <c r="C5510" t="s">
        <v>5869</v>
      </c>
      <c r="D5510">
        <v>149.99</v>
      </c>
    </row>
    <row r="5511" spans="1:4">
      <c r="A5511" t="s">
        <v>91</v>
      </c>
      <c r="B5511" t="s">
        <v>510</v>
      </c>
      <c r="C5511" t="s">
        <v>5870</v>
      </c>
      <c r="D5511">
        <v>149.94999999999999</v>
      </c>
    </row>
    <row r="5512" spans="1:4">
      <c r="A5512" t="s">
        <v>91</v>
      </c>
      <c r="B5512" t="s">
        <v>510</v>
      </c>
      <c r="C5512" t="s">
        <v>5871</v>
      </c>
      <c r="D5512">
        <v>260</v>
      </c>
    </row>
    <row r="5513" spans="1:4">
      <c r="A5513" t="s">
        <v>91</v>
      </c>
      <c r="B5513" t="s">
        <v>505</v>
      </c>
      <c r="C5513" t="s">
        <v>5872</v>
      </c>
      <c r="D5513">
        <v>291.17</v>
      </c>
    </row>
    <row r="5514" spans="1:4">
      <c r="A5514" t="s">
        <v>91</v>
      </c>
      <c r="B5514" t="s">
        <v>3030</v>
      </c>
      <c r="C5514" t="s">
        <v>5873</v>
      </c>
      <c r="D5514">
        <v>350</v>
      </c>
    </row>
    <row r="5515" spans="1:4">
      <c r="A5515" t="s">
        <v>91</v>
      </c>
      <c r="B5515" t="s">
        <v>510</v>
      </c>
      <c r="C5515" t="s">
        <v>5874</v>
      </c>
      <c r="D5515">
        <v>159</v>
      </c>
    </row>
    <row r="5516" spans="1:4">
      <c r="A5516" t="s">
        <v>91</v>
      </c>
      <c r="B5516" t="s">
        <v>505</v>
      </c>
      <c r="C5516" t="s">
        <v>5875</v>
      </c>
      <c r="D5516">
        <v>284.99</v>
      </c>
    </row>
    <row r="5517" spans="1:4">
      <c r="A5517" t="s">
        <v>91</v>
      </c>
      <c r="B5517" t="s">
        <v>510</v>
      </c>
      <c r="C5517" t="s">
        <v>5876</v>
      </c>
      <c r="D5517">
        <v>99.99</v>
      </c>
    </row>
    <row r="5518" spans="1:4">
      <c r="A5518" t="s">
        <v>91</v>
      </c>
      <c r="B5518" t="s">
        <v>510</v>
      </c>
      <c r="C5518" t="s">
        <v>5877</v>
      </c>
      <c r="D5518">
        <v>198.95</v>
      </c>
    </row>
    <row r="5519" spans="1:4">
      <c r="A5519" t="s">
        <v>91</v>
      </c>
      <c r="B5519" t="s">
        <v>505</v>
      </c>
      <c r="C5519" t="s">
        <v>5878</v>
      </c>
      <c r="D5519">
        <v>199.99</v>
      </c>
    </row>
    <row r="5520" spans="1:4">
      <c r="A5520" t="s">
        <v>91</v>
      </c>
      <c r="B5520" t="s">
        <v>505</v>
      </c>
      <c r="C5520" t="s">
        <v>5879</v>
      </c>
      <c r="D5520">
        <v>99.99</v>
      </c>
    </row>
    <row r="5521" spans="1:4">
      <c r="A5521" t="s">
        <v>91</v>
      </c>
      <c r="B5521" t="s">
        <v>510</v>
      </c>
      <c r="C5521" t="s">
        <v>5880</v>
      </c>
      <c r="D5521">
        <v>44.99</v>
      </c>
    </row>
    <row r="5522" spans="1:4">
      <c r="A5522" t="s">
        <v>91</v>
      </c>
      <c r="B5522" t="s">
        <v>1337</v>
      </c>
      <c r="C5522" t="s">
        <v>5881</v>
      </c>
      <c r="D5522">
        <v>204.99</v>
      </c>
    </row>
    <row r="5523" spans="1:4">
      <c r="A5523" t="s">
        <v>91</v>
      </c>
      <c r="B5523" t="s">
        <v>510</v>
      </c>
      <c r="C5523" t="s">
        <v>5882</v>
      </c>
      <c r="D5523">
        <v>169.99</v>
      </c>
    </row>
    <row r="5524" spans="1:4">
      <c r="A5524" t="s">
        <v>91</v>
      </c>
      <c r="B5524" t="s">
        <v>510</v>
      </c>
      <c r="C5524" t="s">
        <v>5883</v>
      </c>
      <c r="D5524">
        <v>141.94999999999999</v>
      </c>
    </row>
    <row r="5525" spans="1:4">
      <c r="A5525" t="s">
        <v>91</v>
      </c>
      <c r="B5525" t="s">
        <v>510</v>
      </c>
      <c r="C5525" t="s">
        <v>5884</v>
      </c>
      <c r="D5525">
        <v>39.99</v>
      </c>
    </row>
    <row r="5526" spans="1:4">
      <c r="A5526" t="s">
        <v>91</v>
      </c>
      <c r="B5526" t="s">
        <v>5885</v>
      </c>
      <c r="C5526" t="s">
        <v>5886</v>
      </c>
      <c r="D5526">
        <v>44.99</v>
      </c>
    </row>
    <row r="5527" spans="1:4">
      <c r="A5527" t="s">
        <v>91</v>
      </c>
      <c r="B5527" t="s">
        <v>510</v>
      </c>
      <c r="C5527" t="s">
        <v>5887</v>
      </c>
      <c r="D5527">
        <v>169.99</v>
      </c>
    </row>
    <row r="5528" spans="1:4">
      <c r="A5528" t="s">
        <v>91</v>
      </c>
      <c r="B5528" t="s">
        <v>505</v>
      </c>
      <c r="C5528" t="s">
        <v>5888</v>
      </c>
      <c r="D5528">
        <v>459.99</v>
      </c>
    </row>
    <row r="5529" spans="1:4">
      <c r="A5529" t="s">
        <v>91</v>
      </c>
      <c r="B5529" t="s">
        <v>510</v>
      </c>
      <c r="C5529" t="s">
        <v>5889</v>
      </c>
      <c r="D5529">
        <v>159.99</v>
      </c>
    </row>
    <row r="5530" spans="1:4">
      <c r="A5530" t="s">
        <v>91</v>
      </c>
      <c r="B5530" t="s">
        <v>2983</v>
      </c>
      <c r="C5530" t="s">
        <v>5890</v>
      </c>
      <c r="D5530">
        <v>120</v>
      </c>
    </row>
    <row r="5531" spans="1:4">
      <c r="A5531" t="s">
        <v>91</v>
      </c>
      <c r="B5531" t="s">
        <v>510</v>
      </c>
      <c r="C5531" t="s">
        <v>5891</v>
      </c>
      <c r="D5531">
        <v>509.99</v>
      </c>
    </row>
    <row r="5532" spans="1:4">
      <c r="A5532" t="s">
        <v>91</v>
      </c>
      <c r="B5532" t="s">
        <v>510</v>
      </c>
      <c r="C5532" t="s">
        <v>5892</v>
      </c>
      <c r="D5532">
        <v>336.95</v>
      </c>
    </row>
    <row r="5533" spans="1:4">
      <c r="A5533" t="s">
        <v>91</v>
      </c>
      <c r="B5533" t="s">
        <v>2983</v>
      </c>
      <c r="C5533" t="s">
        <v>5893</v>
      </c>
      <c r="D5533">
        <v>198</v>
      </c>
    </row>
    <row r="5534" spans="1:4">
      <c r="A5534" t="s">
        <v>91</v>
      </c>
      <c r="B5534" t="s">
        <v>505</v>
      </c>
      <c r="C5534" t="s">
        <v>5894</v>
      </c>
      <c r="D5534">
        <v>699.99</v>
      </c>
    </row>
    <row r="5535" spans="1:4">
      <c r="A5535" t="s">
        <v>91</v>
      </c>
      <c r="B5535" t="s">
        <v>505</v>
      </c>
      <c r="C5535" t="s">
        <v>5895</v>
      </c>
      <c r="D5535">
        <v>79.989999999999995</v>
      </c>
    </row>
    <row r="5536" spans="1:4">
      <c r="A5536" t="s">
        <v>91</v>
      </c>
      <c r="B5536" t="s">
        <v>505</v>
      </c>
      <c r="C5536" t="s">
        <v>5896</v>
      </c>
      <c r="D5536">
        <v>119.99</v>
      </c>
    </row>
    <row r="5537" spans="1:4">
      <c r="A5537" t="s">
        <v>91</v>
      </c>
      <c r="B5537" t="s">
        <v>510</v>
      </c>
      <c r="C5537" t="s">
        <v>5897</v>
      </c>
      <c r="D5537">
        <v>212.95</v>
      </c>
    </row>
    <row r="5538" spans="1:4">
      <c r="A5538" t="s">
        <v>91</v>
      </c>
      <c r="B5538" t="s">
        <v>4153</v>
      </c>
      <c r="C5538" t="s">
        <v>5898</v>
      </c>
      <c r="D5538">
        <v>105.99</v>
      </c>
    </row>
    <row r="5539" spans="1:4">
      <c r="A5539" t="s">
        <v>91</v>
      </c>
      <c r="B5539" t="s">
        <v>510</v>
      </c>
      <c r="C5539" t="s">
        <v>5899</v>
      </c>
      <c r="D5539">
        <v>69.989999999999995</v>
      </c>
    </row>
    <row r="5540" spans="1:4">
      <c r="A5540" t="s">
        <v>91</v>
      </c>
      <c r="B5540" t="s">
        <v>505</v>
      </c>
      <c r="C5540" t="s">
        <v>5900</v>
      </c>
      <c r="D5540">
        <v>109.99</v>
      </c>
    </row>
    <row r="5541" spans="1:4">
      <c r="A5541" t="s">
        <v>91</v>
      </c>
      <c r="B5541" t="s">
        <v>510</v>
      </c>
      <c r="C5541" t="s">
        <v>5901</v>
      </c>
      <c r="D5541">
        <v>539.99</v>
      </c>
    </row>
    <row r="5542" spans="1:4">
      <c r="A5542" t="s">
        <v>91</v>
      </c>
      <c r="B5542" t="s">
        <v>510</v>
      </c>
      <c r="C5542" t="s">
        <v>5902</v>
      </c>
      <c r="D5542">
        <v>899.99</v>
      </c>
    </row>
    <row r="5543" spans="1:4">
      <c r="A5543" t="s">
        <v>91</v>
      </c>
      <c r="B5543" t="s">
        <v>505</v>
      </c>
      <c r="C5543" t="s">
        <v>5903</v>
      </c>
      <c r="D5543">
        <v>129.99</v>
      </c>
    </row>
    <row r="5544" spans="1:4">
      <c r="A5544" t="s">
        <v>91</v>
      </c>
      <c r="B5544" t="s">
        <v>510</v>
      </c>
      <c r="C5544" t="s">
        <v>5904</v>
      </c>
      <c r="D5544">
        <v>149.99</v>
      </c>
    </row>
    <row r="5545" spans="1:4">
      <c r="A5545" t="s">
        <v>91</v>
      </c>
      <c r="B5545" t="s">
        <v>561</v>
      </c>
      <c r="C5545" t="s">
        <v>5905</v>
      </c>
      <c r="D5545">
        <v>149.99</v>
      </c>
    </row>
    <row r="5546" spans="1:4">
      <c r="A5546" t="s">
        <v>91</v>
      </c>
      <c r="B5546" t="s">
        <v>510</v>
      </c>
      <c r="C5546" t="s">
        <v>5906</v>
      </c>
      <c r="D5546">
        <v>165.95</v>
      </c>
    </row>
    <row r="5547" spans="1:4">
      <c r="A5547" t="s">
        <v>91</v>
      </c>
      <c r="B5547" t="s">
        <v>3014</v>
      </c>
      <c r="C5547" t="s">
        <v>5907</v>
      </c>
      <c r="D5547">
        <v>199</v>
      </c>
    </row>
    <row r="5548" spans="1:4">
      <c r="A5548" t="s">
        <v>91</v>
      </c>
      <c r="B5548" t="s">
        <v>510</v>
      </c>
      <c r="C5548" t="s">
        <v>5908</v>
      </c>
      <c r="D5548">
        <v>329.97</v>
      </c>
    </row>
    <row r="5549" spans="1:4">
      <c r="A5549" t="s">
        <v>91</v>
      </c>
      <c r="B5549" t="s">
        <v>510</v>
      </c>
      <c r="C5549" t="s">
        <v>5909</v>
      </c>
      <c r="D5549">
        <v>149.99</v>
      </c>
    </row>
    <row r="5550" spans="1:4">
      <c r="A5550" t="s">
        <v>91</v>
      </c>
      <c r="B5550" t="s">
        <v>510</v>
      </c>
      <c r="C5550" t="s">
        <v>5910</v>
      </c>
      <c r="D5550">
        <v>599.99</v>
      </c>
    </row>
    <row r="5551" spans="1:4">
      <c r="A5551" t="s">
        <v>91</v>
      </c>
      <c r="B5551" t="s">
        <v>510</v>
      </c>
      <c r="C5551" t="s">
        <v>5911</v>
      </c>
      <c r="D5551">
        <v>104.49</v>
      </c>
    </row>
    <row r="5552" spans="1:4">
      <c r="A5552" t="s">
        <v>91</v>
      </c>
      <c r="B5552" t="s">
        <v>510</v>
      </c>
      <c r="C5552" t="s">
        <v>5912</v>
      </c>
      <c r="D5552">
        <v>189.99</v>
      </c>
    </row>
    <row r="5553" spans="1:4">
      <c r="A5553" t="s">
        <v>91</v>
      </c>
      <c r="B5553" t="s">
        <v>505</v>
      </c>
      <c r="C5553" t="s">
        <v>5913</v>
      </c>
      <c r="D5553">
        <v>140</v>
      </c>
    </row>
    <row r="5554" spans="1:4">
      <c r="A5554" t="s">
        <v>91</v>
      </c>
      <c r="B5554" t="s">
        <v>505</v>
      </c>
      <c r="C5554" t="s">
        <v>5914</v>
      </c>
      <c r="D5554">
        <v>189.99</v>
      </c>
    </row>
    <row r="5555" spans="1:4">
      <c r="A5555" t="s">
        <v>91</v>
      </c>
      <c r="B5555" t="s">
        <v>510</v>
      </c>
      <c r="C5555" t="s">
        <v>5915</v>
      </c>
      <c r="D5555">
        <v>534.99</v>
      </c>
    </row>
    <row r="5556" spans="1:4">
      <c r="A5556" t="s">
        <v>91</v>
      </c>
      <c r="B5556" t="s">
        <v>510</v>
      </c>
      <c r="C5556" t="s">
        <v>5916</v>
      </c>
      <c r="D5556">
        <v>139.99</v>
      </c>
    </row>
    <row r="5557" spans="1:4">
      <c r="A5557" t="s">
        <v>91</v>
      </c>
      <c r="B5557" t="s">
        <v>510</v>
      </c>
      <c r="C5557" t="s">
        <v>5917</v>
      </c>
      <c r="D5557">
        <v>249.99</v>
      </c>
    </row>
    <row r="5558" spans="1:4">
      <c r="A5558" t="s">
        <v>91</v>
      </c>
      <c r="B5558" t="s">
        <v>561</v>
      </c>
      <c r="C5558" t="s">
        <v>5918</v>
      </c>
      <c r="D5558">
        <v>89.99</v>
      </c>
    </row>
    <row r="5559" spans="1:4">
      <c r="A5559" t="s">
        <v>91</v>
      </c>
      <c r="B5559" t="s">
        <v>505</v>
      </c>
      <c r="C5559" t="s">
        <v>5919</v>
      </c>
      <c r="D5559">
        <v>54.99</v>
      </c>
    </row>
    <row r="5560" spans="1:4">
      <c r="A5560" t="s">
        <v>91</v>
      </c>
      <c r="B5560" t="s">
        <v>510</v>
      </c>
      <c r="C5560" t="s">
        <v>5920</v>
      </c>
      <c r="D5560">
        <v>274.99</v>
      </c>
    </row>
    <row r="5561" spans="1:4">
      <c r="A5561" t="s">
        <v>91</v>
      </c>
      <c r="B5561" t="s">
        <v>510</v>
      </c>
      <c r="C5561" t="s">
        <v>5921</v>
      </c>
      <c r="D5561">
        <v>659.99</v>
      </c>
    </row>
    <row r="5562" spans="1:4">
      <c r="A5562" t="s">
        <v>91</v>
      </c>
      <c r="B5562" t="s">
        <v>510</v>
      </c>
      <c r="C5562" t="s">
        <v>5922</v>
      </c>
      <c r="D5562">
        <v>179.99</v>
      </c>
    </row>
    <row r="5563" spans="1:4">
      <c r="A5563" t="s">
        <v>91</v>
      </c>
      <c r="B5563" t="s">
        <v>510</v>
      </c>
      <c r="C5563" t="s">
        <v>5923</v>
      </c>
      <c r="D5563">
        <v>249.97</v>
      </c>
    </row>
    <row r="5564" spans="1:4">
      <c r="A5564" t="s">
        <v>91</v>
      </c>
      <c r="B5564" t="s">
        <v>510</v>
      </c>
      <c r="C5564" t="s">
        <v>5924</v>
      </c>
      <c r="D5564">
        <v>59.98</v>
      </c>
    </row>
    <row r="5565" spans="1:4">
      <c r="A5565" t="s">
        <v>91</v>
      </c>
      <c r="B5565" t="s">
        <v>510</v>
      </c>
      <c r="C5565" t="s">
        <v>5925</v>
      </c>
      <c r="D5565">
        <v>189.98</v>
      </c>
    </row>
    <row r="5566" spans="1:4">
      <c r="A5566" t="s">
        <v>91</v>
      </c>
      <c r="B5566" t="s">
        <v>510</v>
      </c>
      <c r="C5566" t="s">
        <v>5926</v>
      </c>
      <c r="D5566">
        <v>73</v>
      </c>
    </row>
    <row r="5567" spans="1:4">
      <c r="A5567" t="s">
        <v>91</v>
      </c>
      <c r="B5567" t="s">
        <v>5672</v>
      </c>
      <c r="C5567" t="s">
        <v>5927</v>
      </c>
      <c r="D5567">
        <v>79.989999999999995</v>
      </c>
    </row>
    <row r="5568" spans="1:4">
      <c r="A5568" t="s">
        <v>91</v>
      </c>
      <c r="B5568" t="s">
        <v>510</v>
      </c>
      <c r="C5568" t="s">
        <v>5928</v>
      </c>
      <c r="D5568">
        <v>129.99</v>
      </c>
    </row>
    <row r="5569" spans="1:4">
      <c r="A5569" t="s">
        <v>91</v>
      </c>
      <c r="B5569" t="s">
        <v>1337</v>
      </c>
      <c r="C5569" t="s">
        <v>5929</v>
      </c>
      <c r="D5569">
        <v>1179.99</v>
      </c>
    </row>
    <row r="5570" spans="1:4">
      <c r="A5570" t="s">
        <v>91</v>
      </c>
      <c r="B5570" t="s">
        <v>5783</v>
      </c>
      <c r="C5570" t="s">
        <v>5784</v>
      </c>
      <c r="D5570">
        <v>67.989999999999995</v>
      </c>
    </row>
    <row r="5571" spans="1:4">
      <c r="A5571" t="s">
        <v>91</v>
      </c>
      <c r="B5571" t="s">
        <v>2994</v>
      </c>
      <c r="C5571" t="s">
        <v>5930</v>
      </c>
      <c r="D5571">
        <v>64.75</v>
      </c>
    </row>
    <row r="5572" spans="1:4">
      <c r="A5572" t="s">
        <v>91</v>
      </c>
      <c r="B5572" t="s">
        <v>510</v>
      </c>
      <c r="C5572" t="s">
        <v>5931</v>
      </c>
      <c r="D5572">
        <v>549</v>
      </c>
    </row>
    <row r="5573" spans="1:4">
      <c r="A5573" t="s">
        <v>91</v>
      </c>
      <c r="B5573" t="s">
        <v>510</v>
      </c>
      <c r="C5573" t="s">
        <v>5932</v>
      </c>
      <c r="D5573">
        <v>749.99</v>
      </c>
    </row>
    <row r="5574" spans="1:4">
      <c r="A5574" t="s">
        <v>91</v>
      </c>
      <c r="B5574" t="s">
        <v>510</v>
      </c>
      <c r="C5574" t="s">
        <v>5933</v>
      </c>
      <c r="D5574">
        <v>220.95</v>
      </c>
    </row>
    <row r="5575" spans="1:4">
      <c r="A5575" t="s">
        <v>91</v>
      </c>
      <c r="B5575" t="s">
        <v>510</v>
      </c>
      <c r="C5575" t="s">
        <v>5934</v>
      </c>
      <c r="D5575">
        <v>259</v>
      </c>
    </row>
    <row r="5576" spans="1:4">
      <c r="A5576" t="s">
        <v>91</v>
      </c>
      <c r="B5576" t="s">
        <v>510</v>
      </c>
      <c r="C5576" t="s">
        <v>5935</v>
      </c>
      <c r="D5576">
        <v>599.99</v>
      </c>
    </row>
    <row r="5577" spans="1:4">
      <c r="A5577" t="s">
        <v>91</v>
      </c>
      <c r="B5577" t="s">
        <v>505</v>
      </c>
      <c r="C5577" t="s">
        <v>5936</v>
      </c>
      <c r="D5577">
        <v>134.99</v>
      </c>
    </row>
    <row r="5578" spans="1:4">
      <c r="A5578" t="s">
        <v>91</v>
      </c>
      <c r="B5578" t="s">
        <v>505</v>
      </c>
      <c r="C5578" t="s">
        <v>5937</v>
      </c>
      <c r="D5578">
        <v>119.99</v>
      </c>
    </row>
    <row r="5579" spans="1:4">
      <c r="A5579" t="s">
        <v>91</v>
      </c>
      <c r="B5579" t="s">
        <v>2983</v>
      </c>
      <c r="C5579" t="s">
        <v>5938</v>
      </c>
      <c r="D5579">
        <v>129.99</v>
      </c>
    </row>
    <row r="5580" spans="1:4">
      <c r="A5580" t="s">
        <v>91</v>
      </c>
      <c r="B5580" t="s">
        <v>510</v>
      </c>
      <c r="C5580" t="s">
        <v>5769</v>
      </c>
      <c r="D5580">
        <v>299.99</v>
      </c>
    </row>
    <row r="5581" spans="1:4">
      <c r="A5581" t="s">
        <v>91</v>
      </c>
      <c r="B5581" t="s">
        <v>510</v>
      </c>
      <c r="C5581" t="s">
        <v>5939</v>
      </c>
      <c r="D5581">
        <v>377</v>
      </c>
    </row>
    <row r="5582" spans="1:4">
      <c r="A5582" t="s">
        <v>91</v>
      </c>
      <c r="B5582" t="s">
        <v>510</v>
      </c>
      <c r="C5582" t="s">
        <v>5940</v>
      </c>
      <c r="D5582">
        <v>1669.99</v>
      </c>
    </row>
    <row r="5583" spans="1:4">
      <c r="A5583" t="s">
        <v>91</v>
      </c>
      <c r="B5583" t="s">
        <v>510</v>
      </c>
      <c r="C5583" t="s">
        <v>5941</v>
      </c>
      <c r="D5583">
        <v>139.99</v>
      </c>
    </row>
    <row r="5584" spans="1:4">
      <c r="A5584" t="s">
        <v>91</v>
      </c>
      <c r="B5584" t="s">
        <v>1337</v>
      </c>
      <c r="C5584" t="s">
        <v>3481</v>
      </c>
      <c r="D5584">
        <v>299.99</v>
      </c>
    </row>
    <row r="5585" spans="1:4">
      <c r="A5585" t="s">
        <v>91</v>
      </c>
      <c r="B5585" t="s">
        <v>510</v>
      </c>
      <c r="C5585" t="s">
        <v>5942</v>
      </c>
      <c r="D5585">
        <v>644.99</v>
      </c>
    </row>
    <row r="5586" spans="1:4">
      <c r="A5586" t="s">
        <v>91</v>
      </c>
      <c r="B5586" t="s">
        <v>505</v>
      </c>
      <c r="C5586" t="s">
        <v>5943</v>
      </c>
      <c r="D5586">
        <v>179.99</v>
      </c>
    </row>
    <row r="5587" spans="1:4">
      <c r="A5587" t="s">
        <v>91</v>
      </c>
      <c r="B5587" t="s">
        <v>505</v>
      </c>
      <c r="C5587" t="s">
        <v>5944</v>
      </c>
      <c r="D5587">
        <v>59.99</v>
      </c>
    </row>
    <row r="5588" spans="1:4">
      <c r="A5588" t="s">
        <v>91</v>
      </c>
      <c r="B5588" t="s">
        <v>505</v>
      </c>
      <c r="C5588" t="s">
        <v>5945</v>
      </c>
      <c r="D5588">
        <v>194.99</v>
      </c>
    </row>
    <row r="5589" spans="1:4">
      <c r="A5589" t="s">
        <v>91</v>
      </c>
      <c r="B5589" t="s">
        <v>505</v>
      </c>
      <c r="C5589" t="s">
        <v>5946</v>
      </c>
      <c r="D5589">
        <v>129.99</v>
      </c>
    </row>
    <row r="5590" spans="1:4">
      <c r="A5590" t="s">
        <v>91</v>
      </c>
      <c r="B5590" t="s">
        <v>505</v>
      </c>
      <c r="C5590" t="s">
        <v>5947</v>
      </c>
      <c r="D5590">
        <v>144.47</v>
      </c>
    </row>
    <row r="5591" spans="1:4">
      <c r="A5591" t="s">
        <v>91</v>
      </c>
      <c r="B5591" t="s">
        <v>510</v>
      </c>
      <c r="C5591" t="s">
        <v>5948</v>
      </c>
      <c r="D5591">
        <v>229.99</v>
      </c>
    </row>
    <row r="5592" spans="1:4">
      <c r="A5592" t="s">
        <v>91</v>
      </c>
      <c r="B5592" t="s">
        <v>510</v>
      </c>
      <c r="C5592" t="s">
        <v>5949</v>
      </c>
      <c r="D5592">
        <v>179.99</v>
      </c>
    </row>
    <row r="5593" spans="1:4">
      <c r="A5593" t="s">
        <v>91</v>
      </c>
      <c r="B5593" t="s">
        <v>505</v>
      </c>
      <c r="C5593" t="s">
        <v>5950</v>
      </c>
      <c r="D5593">
        <v>109.97</v>
      </c>
    </row>
    <row r="5594" spans="1:4">
      <c r="A5594" t="s">
        <v>91</v>
      </c>
      <c r="B5594" t="s">
        <v>1337</v>
      </c>
      <c r="C5594" t="s">
        <v>5951</v>
      </c>
      <c r="D5594">
        <v>364.99</v>
      </c>
    </row>
    <row r="5595" spans="1:4">
      <c r="A5595" t="s">
        <v>91</v>
      </c>
      <c r="B5595" t="s">
        <v>561</v>
      </c>
      <c r="C5595" t="s">
        <v>5952</v>
      </c>
      <c r="D5595">
        <v>54.99</v>
      </c>
    </row>
    <row r="5596" spans="1:4">
      <c r="A5596" t="s">
        <v>91</v>
      </c>
      <c r="B5596" t="s">
        <v>510</v>
      </c>
      <c r="C5596" t="s">
        <v>5953</v>
      </c>
      <c r="D5596">
        <v>149.99</v>
      </c>
    </row>
    <row r="5597" spans="1:4">
      <c r="A5597" t="s">
        <v>91</v>
      </c>
      <c r="B5597" t="s">
        <v>510</v>
      </c>
      <c r="C5597" t="s">
        <v>5954</v>
      </c>
      <c r="D5597">
        <v>199.99</v>
      </c>
    </row>
    <row r="5598" spans="1:4">
      <c r="A5598" t="s">
        <v>91</v>
      </c>
      <c r="B5598" t="s">
        <v>505</v>
      </c>
      <c r="C5598" t="s">
        <v>5955</v>
      </c>
      <c r="D5598">
        <v>499.99</v>
      </c>
    </row>
    <row r="5599" spans="1:4">
      <c r="A5599" t="s">
        <v>91</v>
      </c>
      <c r="B5599" t="s">
        <v>510</v>
      </c>
      <c r="C5599" t="s">
        <v>5956</v>
      </c>
      <c r="D5599">
        <v>169.99</v>
      </c>
    </row>
    <row r="5600" spans="1:4">
      <c r="A5600" t="s">
        <v>91</v>
      </c>
      <c r="B5600" t="s">
        <v>3081</v>
      </c>
      <c r="C5600" t="s">
        <v>5957</v>
      </c>
      <c r="D5600">
        <v>33.99</v>
      </c>
    </row>
    <row r="5601" spans="1:4">
      <c r="A5601" t="s">
        <v>91</v>
      </c>
      <c r="B5601" t="s">
        <v>5756</v>
      </c>
      <c r="C5601" t="s">
        <v>5958</v>
      </c>
      <c r="D5601">
        <v>399.99</v>
      </c>
    </row>
    <row r="5602" spans="1:4">
      <c r="A5602" t="s">
        <v>91</v>
      </c>
      <c r="B5602" t="s">
        <v>510</v>
      </c>
      <c r="C5602" t="s">
        <v>5959</v>
      </c>
      <c r="D5602">
        <v>149.99</v>
      </c>
    </row>
    <row r="5603" spans="1:4">
      <c r="A5603" t="s">
        <v>91</v>
      </c>
      <c r="B5603" t="s">
        <v>510</v>
      </c>
      <c r="C5603" t="s">
        <v>5737</v>
      </c>
      <c r="D5603">
        <v>180</v>
      </c>
    </row>
    <row r="5604" spans="1:4">
      <c r="A5604" t="s">
        <v>91</v>
      </c>
      <c r="B5604" t="s">
        <v>505</v>
      </c>
      <c r="C5604" t="s">
        <v>5960</v>
      </c>
      <c r="D5604">
        <v>789.99</v>
      </c>
    </row>
    <row r="5605" spans="1:4">
      <c r="A5605" t="s">
        <v>91</v>
      </c>
      <c r="B5605" t="s">
        <v>505</v>
      </c>
      <c r="C5605" t="s">
        <v>5961</v>
      </c>
      <c r="D5605">
        <v>229.97</v>
      </c>
    </row>
    <row r="5606" spans="1:4">
      <c r="A5606" t="s">
        <v>91</v>
      </c>
      <c r="B5606" t="s">
        <v>561</v>
      </c>
      <c r="C5606" t="s">
        <v>5962</v>
      </c>
      <c r="D5606">
        <v>59.99</v>
      </c>
    </row>
    <row r="5607" spans="1:4">
      <c r="A5607" t="s">
        <v>91</v>
      </c>
      <c r="B5607" t="s">
        <v>2983</v>
      </c>
      <c r="C5607" t="s">
        <v>5963</v>
      </c>
      <c r="D5607">
        <v>85</v>
      </c>
    </row>
    <row r="5608" spans="1:4">
      <c r="A5608" t="s">
        <v>91</v>
      </c>
      <c r="B5608" t="s">
        <v>510</v>
      </c>
      <c r="C5608" t="s">
        <v>5964</v>
      </c>
      <c r="D5608">
        <v>164.98</v>
      </c>
    </row>
    <row r="5609" spans="1:4">
      <c r="A5609" t="s">
        <v>91</v>
      </c>
      <c r="B5609" t="s">
        <v>510</v>
      </c>
      <c r="C5609" t="s">
        <v>5965</v>
      </c>
      <c r="D5609">
        <v>449.99</v>
      </c>
    </row>
    <row r="5610" spans="1:4">
      <c r="A5610" t="s">
        <v>91</v>
      </c>
      <c r="B5610" t="s">
        <v>510</v>
      </c>
      <c r="C5610" t="s">
        <v>5966</v>
      </c>
      <c r="D5610">
        <v>135.18</v>
      </c>
    </row>
    <row r="5611" spans="1:4">
      <c r="A5611" t="s">
        <v>91</v>
      </c>
      <c r="B5611" t="s">
        <v>505</v>
      </c>
      <c r="C5611" t="s">
        <v>5967</v>
      </c>
      <c r="D5611">
        <v>99.99</v>
      </c>
    </row>
    <row r="5612" spans="1:4">
      <c r="A5612" t="s">
        <v>91</v>
      </c>
      <c r="B5612" t="s">
        <v>1337</v>
      </c>
      <c r="C5612" t="s">
        <v>5968</v>
      </c>
      <c r="D5612">
        <v>624.99</v>
      </c>
    </row>
    <row r="5613" spans="1:4">
      <c r="A5613" t="s">
        <v>91</v>
      </c>
      <c r="B5613" t="s">
        <v>510</v>
      </c>
      <c r="C5613" t="s">
        <v>5969</v>
      </c>
      <c r="D5613">
        <v>64.95</v>
      </c>
    </row>
    <row r="5614" spans="1:4">
      <c r="A5614" t="s">
        <v>91</v>
      </c>
      <c r="B5614" t="s">
        <v>2983</v>
      </c>
      <c r="C5614" t="s">
        <v>5970</v>
      </c>
      <c r="D5614">
        <v>89.99</v>
      </c>
    </row>
    <row r="5615" spans="1:4">
      <c r="A5615" t="s">
        <v>91</v>
      </c>
      <c r="B5615" t="s">
        <v>510</v>
      </c>
      <c r="C5615" t="s">
        <v>5971</v>
      </c>
      <c r="D5615">
        <v>187.17</v>
      </c>
    </row>
    <row r="5616" spans="1:4">
      <c r="A5616" t="s">
        <v>91</v>
      </c>
      <c r="B5616" t="s">
        <v>510</v>
      </c>
      <c r="C5616" t="s">
        <v>5972</v>
      </c>
      <c r="D5616">
        <v>281.95</v>
      </c>
    </row>
    <row r="5617" spans="1:4">
      <c r="A5617" t="s">
        <v>91</v>
      </c>
      <c r="B5617" t="s">
        <v>505</v>
      </c>
      <c r="C5617" t="s">
        <v>5973</v>
      </c>
      <c r="D5617">
        <v>89.99</v>
      </c>
    </row>
    <row r="5618" spans="1:4">
      <c r="A5618" t="s">
        <v>91</v>
      </c>
      <c r="B5618" t="s">
        <v>745</v>
      </c>
      <c r="C5618" t="s">
        <v>5974</v>
      </c>
      <c r="D5618">
        <v>69.989999999999995</v>
      </c>
    </row>
    <row r="5619" spans="1:4">
      <c r="A5619" t="s">
        <v>91</v>
      </c>
      <c r="B5619" t="s">
        <v>505</v>
      </c>
      <c r="C5619" t="s">
        <v>5975</v>
      </c>
      <c r="D5619">
        <v>197.57</v>
      </c>
    </row>
    <row r="5620" spans="1:4">
      <c r="A5620" t="s">
        <v>91</v>
      </c>
      <c r="B5620" t="s">
        <v>1337</v>
      </c>
      <c r="C5620" t="s">
        <v>5976</v>
      </c>
      <c r="D5620">
        <v>419.99</v>
      </c>
    </row>
    <row r="5621" spans="1:4">
      <c r="A5621" t="s">
        <v>91</v>
      </c>
      <c r="B5621" t="s">
        <v>1337</v>
      </c>
      <c r="C5621" t="s">
        <v>5977</v>
      </c>
      <c r="D5621">
        <v>599.99</v>
      </c>
    </row>
    <row r="5622" spans="1:4">
      <c r="A5622" t="s">
        <v>91</v>
      </c>
      <c r="B5622" t="s">
        <v>2983</v>
      </c>
      <c r="C5622" t="s">
        <v>5978</v>
      </c>
      <c r="D5622">
        <v>99.99</v>
      </c>
    </row>
    <row r="5623" spans="1:4">
      <c r="A5623" t="s">
        <v>91</v>
      </c>
      <c r="B5623" t="s">
        <v>3030</v>
      </c>
      <c r="C5623" t="s">
        <v>5979</v>
      </c>
      <c r="D5623">
        <v>599.99</v>
      </c>
    </row>
    <row r="5624" spans="1:4">
      <c r="A5624" t="s">
        <v>91</v>
      </c>
      <c r="B5624" t="s">
        <v>510</v>
      </c>
      <c r="C5624" t="s">
        <v>5980</v>
      </c>
      <c r="D5624">
        <v>99.99</v>
      </c>
    </row>
    <row r="5625" spans="1:4">
      <c r="A5625" t="s">
        <v>91</v>
      </c>
      <c r="B5625" t="s">
        <v>505</v>
      </c>
      <c r="C5625" t="s">
        <v>5981</v>
      </c>
      <c r="D5625">
        <v>78.989999999999995</v>
      </c>
    </row>
    <row r="5626" spans="1:4">
      <c r="A5626" t="s">
        <v>91</v>
      </c>
      <c r="B5626" t="s">
        <v>561</v>
      </c>
      <c r="C5626" t="s">
        <v>5982</v>
      </c>
      <c r="D5626">
        <v>109.99</v>
      </c>
    </row>
    <row r="5627" spans="1:4">
      <c r="A5627" t="s">
        <v>91</v>
      </c>
      <c r="B5627" t="s">
        <v>510</v>
      </c>
      <c r="C5627" t="s">
        <v>5983</v>
      </c>
      <c r="D5627">
        <v>169.98</v>
      </c>
    </row>
    <row r="5628" spans="1:4">
      <c r="A5628" t="s">
        <v>91</v>
      </c>
      <c r="B5628" t="s">
        <v>2983</v>
      </c>
      <c r="C5628" t="s">
        <v>5984</v>
      </c>
      <c r="D5628">
        <v>59.98</v>
      </c>
    </row>
    <row r="5629" spans="1:4">
      <c r="A5629" t="s">
        <v>91</v>
      </c>
      <c r="B5629" t="s">
        <v>5985</v>
      </c>
      <c r="C5629" t="s">
        <v>5986</v>
      </c>
      <c r="D5629">
        <v>49.99</v>
      </c>
    </row>
    <row r="5630" spans="1:4">
      <c r="A5630" t="s">
        <v>91</v>
      </c>
      <c r="B5630" t="s">
        <v>505</v>
      </c>
      <c r="C5630" t="s">
        <v>5987</v>
      </c>
      <c r="D5630">
        <v>50</v>
      </c>
    </row>
    <row r="5631" spans="1:4">
      <c r="A5631" t="s">
        <v>91</v>
      </c>
      <c r="B5631" t="s">
        <v>2983</v>
      </c>
      <c r="C5631" t="s">
        <v>5988</v>
      </c>
      <c r="D5631">
        <v>119.99</v>
      </c>
    </row>
    <row r="5632" spans="1:4">
      <c r="A5632" t="s">
        <v>91</v>
      </c>
      <c r="B5632" t="s">
        <v>1337</v>
      </c>
      <c r="C5632" t="s">
        <v>5989</v>
      </c>
      <c r="D5632">
        <v>329.99</v>
      </c>
    </row>
    <row r="5633" spans="1:4">
      <c r="A5633" t="s">
        <v>91</v>
      </c>
      <c r="B5633" t="s">
        <v>510</v>
      </c>
      <c r="C5633" t="s">
        <v>5990</v>
      </c>
      <c r="D5633">
        <v>269.99</v>
      </c>
    </row>
    <row r="5634" spans="1:4">
      <c r="A5634" t="s">
        <v>91</v>
      </c>
      <c r="B5634" t="s">
        <v>505</v>
      </c>
      <c r="C5634" t="s">
        <v>5991</v>
      </c>
      <c r="D5634">
        <v>142.47</v>
      </c>
    </row>
    <row r="5635" spans="1:4">
      <c r="A5635" t="s">
        <v>91</v>
      </c>
      <c r="B5635" t="s">
        <v>505</v>
      </c>
      <c r="C5635" t="s">
        <v>5816</v>
      </c>
      <c r="D5635">
        <v>214.99</v>
      </c>
    </row>
    <row r="5636" spans="1:4">
      <c r="A5636" t="s">
        <v>91</v>
      </c>
      <c r="B5636" t="s">
        <v>1337</v>
      </c>
      <c r="C5636" t="s">
        <v>5992</v>
      </c>
      <c r="D5636">
        <v>182.99</v>
      </c>
    </row>
    <row r="5637" spans="1:4">
      <c r="A5637" t="s">
        <v>91</v>
      </c>
      <c r="B5637" t="s">
        <v>510</v>
      </c>
      <c r="C5637" t="s">
        <v>5993</v>
      </c>
      <c r="D5637">
        <v>159.99</v>
      </c>
    </row>
    <row r="5638" spans="1:4">
      <c r="A5638" t="s">
        <v>91</v>
      </c>
      <c r="B5638" t="s">
        <v>1337</v>
      </c>
      <c r="C5638" t="s">
        <v>5994</v>
      </c>
      <c r="D5638">
        <v>769.99</v>
      </c>
    </row>
    <row r="5639" spans="1:4">
      <c r="A5639" t="s">
        <v>91</v>
      </c>
      <c r="B5639" t="s">
        <v>510</v>
      </c>
      <c r="C5639" t="s">
        <v>5995</v>
      </c>
      <c r="D5639">
        <v>289.99</v>
      </c>
    </row>
    <row r="5640" spans="1:4">
      <c r="A5640" t="s">
        <v>91</v>
      </c>
      <c r="B5640" t="s">
        <v>1337</v>
      </c>
      <c r="C5640" t="s">
        <v>5996</v>
      </c>
      <c r="D5640">
        <v>769.99</v>
      </c>
    </row>
    <row r="5641" spans="1:4">
      <c r="A5641" t="s">
        <v>91</v>
      </c>
      <c r="B5641" t="s">
        <v>510</v>
      </c>
      <c r="C5641" t="s">
        <v>5997</v>
      </c>
      <c r="D5641">
        <v>749</v>
      </c>
    </row>
    <row r="5642" spans="1:4">
      <c r="A5642" t="s">
        <v>91</v>
      </c>
      <c r="B5642" t="s">
        <v>510</v>
      </c>
      <c r="C5642" t="s">
        <v>5998</v>
      </c>
      <c r="D5642">
        <v>829</v>
      </c>
    </row>
    <row r="5643" spans="1:4">
      <c r="A5643" t="s">
        <v>91</v>
      </c>
      <c r="B5643" t="s">
        <v>510</v>
      </c>
      <c r="C5643" t="s">
        <v>5999</v>
      </c>
      <c r="D5643">
        <v>207.97</v>
      </c>
    </row>
    <row r="5644" spans="1:4">
      <c r="A5644" t="s">
        <v>91</v>
      </c>
      <c r="B5644" t="s">
        <v>505</v>
      </c>
      <c r="C5644" t="s">
        <v>5725</v>
      </c>
      <c r="D5644">
        <v>299.99</v>
      </c>
    </row>
    <row r="5645" spans="1:4">
      <c r="A5645" t="s">
        <v>91</v>
      </c>
      <c r="B5645" t="s">
        <v>505</v>
      </c>
      <c r="C5645" t="s">
        <v>6000</v>
      </c>
      <c r="D5645">
        <v>159.96</v>
      </c>
    </row>
    <row r="5646" spans="1:4">
      <c r="A5646" t="s">
        <v>91</v>
      </c>
      <c r="B5646" t="s">
        <v>561</v>
      </c>
      <c r="C5646" t="s">
        <v>6001</v>
      </c>
      <c r="D5646">
        <v>109.99</v>
      </c>
    </row>
    <row r="5647" spans="1:4">
      <c r="A5647" t="s">
        <v>91</v>
      </c>
      <c r="B5647" t="s">
        <v>2983</v>
      </c>
      <c r="C5647" t="s">
        <v>6002</v>
      </c>
      <c r="D5647">
        <v>199.99</v>
      </c>
    </row>
    <row r="5648" spans="1:4">
      <c r="A5648" t="s">
        <v>91</v>
      </c>
      <c r="B5648" t="s">
        <v>510</v>
      </c>
      <c r="C5648" t="s">
        <v>6003</v>
      </c>
      <c r="D5648">
        <v>179.99</v>
      </c>
    </row>
    <row r="5649" spans="1:4">
      <c r="A5649" t="s">
        <v>91</v>
      </c>
      <c r="B5649" t="s">
        <v>510</v>
      </c>
      <c r="C5649" t="s">
        <v>6004</v>
      </c>
      <c r="D5649">
        <v>209.99</v>
      </c>
    </row>
    <row r="5650" spans="1:4">
      <c r="A5650" t="s">
        <v>91</v>
      </c>
      <c r="B5650" t="s">
        <v>510</v>
      </c>
      <c r="C5650" t="s">
        <v>6005</v>
      </c>
      <c r="D5650">
        <v>249.99</v>
      </c>
    </row>
    <row r="5651" spans="1:4">
      <c r="A5651" t="s">
        <v>91</v>
      </c>
      <c r="B5651" t="s">
        <v>510</v>
      </c>
      <c r="C5651" t="s">
        <v>6006</v>
      </c>
      <c r="D5651">
        <v>431.99</v>
      </c>
    </row>
    <row r="5652" spans="1:4">
      <c r="A5652" t="s">
        <v>91</v>
      </c>
      <c r="B5652" t="s">
        <v>510</v>
      </c>
      <c r="C5652" t="s">
        <v>6007</v>
      </c>
      <c r="D5652">
        <v>159.99</v>
      </c>
    </row>
    <row r="5653" spans="1:4">
      <c r="A5653" t="s">
        <v>91</v>
      </c>
      <c r="B5653" t="s">
        <v>510</v>
      </c>
      <c r="C5653" t="s">
        <v>6008</v>
      </c>
      <c r="D5653">
        <v>144.99</v>
      </c>
    </row>
    <row r="5654" spans="1:4">
      <c r="A5654" t="s">
        <v>91</v>
      </c>
      <c r="B5654" t="s">
        <v>510</v>
      </c>
      <c r="C5654" t="s">
        <v>6009</v>
      </c>
      <c r="D5654">
        <v>134.99</v>
      </c>
    </row>
    <row r="5655" spans="1:4">
      <c r="A5655" t="s">
        <v>91</v>
      </c>
      <c r="B5655" t="s">
        <v>510</v>
      </c>
      <c r="C5655" t="s">
        <v>6010</v>
      </c>
      <c r="D5655">
        <v>592.77</v>
      </c>
    </row>
    <row r="5656" spans="1:4">
      <c r="A5656" t="s">
        <v>91</v>
      </c>
      <c r="B5656" t="s">
        <v>510</v>
      </c>
      <c r="C5656" t="s">
        <v>6011</v>
      </c>
      <c r="D5656">
        <v>399.99</v>
      </c>
    </row>
    <row r="5657" spans="1:4">
      <c r="A5657" t="s">
        <v>91</v>
      </c>
      <c r="B5657" t="s">
        <v>505</v>
      </c>
      <c r="C5657" t="s">
        <v>6012</v>
      </c>
      <c r="D5657">
        <v>199.99</v>
      </c>
    </row>
    <row r="5658" spans="1:4">
      <c r="A5658" t="s">
        <v>91</v>
      </c>
      <c r="B5658" t="s">
        <v>510</v>
      </c>
      <c r="C5658" t="s">
        <v>6013</v>
      </c>
      <c r="D5658">
        <v>458.99</v>
      </c>
    </row>
    <row r="5659" spans="1:4">
      <c r="A5659" t="s">
        <v>91</v>
      </c>
      <c r="B5659" t="s">
        <v>6014</v>
      </c>
      <c r="C5659" t="s">
        <v>6015</v>
      </c>
      <c r="D5659">
        <v>49.99</v>
      </c>
    </row>
    <row r="5660" spans="1:4">
      <c r="A5660" t="s">
        <v>91</v>
      </c>
      <c r="B5660" t="s">
        <v>1337</v>
      </c>
      <c r="C5660" t="s">
        <v>6016</v>
      </c>
      <c r="D5660">
        <v>244</v>
      </c>
    </row>
    <row r="5661" spans="1:4">
      <c r="A5661" t="s">
        <v>91</v>
      </c>
      <c r="B5661" t="s">
        <v>510</v>
      </c>
      <c r="C5661" t="s">
        <v>6017</v>
      </c>
      <c r="D5661">
        <v>399.99</v>
      </c>
    </row>
    <row r="5662" spans="1:4">
      <c r="A5662" t="s">
        <v>91</v>
      </c>
      <c r="B5662" t="s">
        <v>510</v>
      </c>
      <c r="C5662" t="s">
        <v>6018</v>
      </c>
      <c r="D5662">
        <v>218.39</v>
      </c>
    </row>
    <row r="5663" spans="1:4">
      <c r="A5663" t="s">
        <v>91</v>
      </c>
      <c r="B5663" t="s">
        <v>510</v>
      </c>
      <c r="C5663" t="s">
        <v>6019</v>
      </c>
      <c r="D5663">
        <v>135.16999999999999</v>
      </c>
    </row>
    <row r="5664" spans="1:4">
      <c r="A5664" t="s">
        <v>91</v>
      </c>
      <c r="B5664" t="s">
        <v>505</v>
      </c>
      <c r="C5664" t="s">
        <v>5875</v>
      </c>
      <c r="D5664">
        <v>269.99</v>
      </c>
    </row>
    <row r="5665" spans="1:4">
      <c r="A5665" t="s">
        <v>91</v>
      </c>
      <c r="B5665" t="s">
        <v>510</v>
      </c>
      <c r="C5665" t="s">
        <v>6020</v>
      </c>
      <c r="D5665">
        <v>54.99</v>
      </c>
    </row>
    <row r="5666" spans="1:4">
      <c r="A5666" t="s">
        <v>91</v>
      </c>
      <c r="B5666" t="s">
        <v>3081</v>
      </c>
      <c r="C5666" t="s">
        <v>6021</v>
      </c>
      <c r="D5666">
        <v>149.69</v>
      </c>
    </row>
    <row r="5667" spans="1:4">
      <c r="A5667" t="s">
        <v>91</v>
      </c>
      <c r="B5667" t="s">
        <v>510</v>
      </c>
      <c r="C5667" t="s">
        <v>6022</v>
      </c>
      <c r="D5667">
        <v>204.99</v>
      </c>
    </row>
    <row r="5668" spans="1:4">
      <c r="A5668" t="s">
        <v>91</v>
      </c>
      <c r="B5668" t="s">
        <v>510</v>
      </c>
      <c r="C5668" t="s">
        <v>6023</v>
      </c>
      <c r="D5668">
        <v>179.99</v>
      </c>
    </row>
    <row r="5669" spans="1:4">
      <c r="A5669" t="s">
        <v>91</v>
      </c>
      <c r="B5669" t="s">
        <v>510</v>
      </c>
      <c r="C5669" t="s">
        <v>6024</v>
      </c>
      <c r="D5669">
        <v>139</v>
      </c>
    </row>
    <row r="5670" spans="1:4">
      <c r="A5670" t="s">
        <v>91</v>
      </c>
      <c r="B5670" t="s">
        <v>505</v>
      </c>
      <c r="C5670" t="s">
        <v>6025</v>
      </c>
      <c r="D5670">
        <v>79.989999999999995</v>
      </c>
    </row>
    <row r="5671" spans="1:4">
      <c r="A5671" t="s">
        <v>91</v>
      </c>
      <c r="B5671" t="s">
        <v>510</v>
      </c>
      <c r="C5671" t="s">
        <v>6026</v>
      </c>
      <c r="D5671">
        <v>264.99</v>
      </c>
    </row>
    <row r="5672" spans="1:4">
      <c r="A5672" t="s">
        <v>91</v>
      </c>
      <c r="C5672" t="s">
        <v>6027</v>
      </c>
      <c r="D5672">
        <v>49</v>
      </c>
    </row>
    <row r="5673" spans="1:4">
      <c r="A5673" t="s">
        <v>91</v>
      </c>
      <c r="B5673" t="s">
        <v>510</v>
      </c>
      <c r="C5673" t="s">
        <v>6028</v>
      </c>
      <c r="D5673">
        <v>159.99</v>
      </c>
    </row>
    <row r="5674" spans="1:4">
      <c r="A5674" t="s">
        <v>91</v>
      </c>
      <c r="B5674" t="s">
        <v>505</v>
      </c>
      <c r="C5674" t="s">
        <v>6029</v>
      </c>
      <c r="D5674">
        <v>69.989999999999995</v>
      </c>
    </row>
    <row r="5675" spans="1:4">
      <c r="A5675" t="s">
        <v>91</v>
      </c>
      <c r="B5675" t="s">
        <v>510</v>
      </c>
      <c r="C5675" t="s">
        <v>6030</v>
      </c>
      <c r="D5675">
        <v>134.99</v>
      </c>
    </row>
    <row r="5676" spans="1:4">
      <c r="A5676" t="s">
        <v>91</v>
      </c>
      <c r="B5676" t="s">
        <v>505</v>
      </c>
      <c r="C5676" t="s">
        <v>6031</v>
      </c>
      <c r="D5676">
        <v>374.99</v>
      </c>
    </row>
    <row r="5677" spans="1:4">
      <c r="A5677" t="s">
        <v>91</v>
      </c>
      <c r="B5677" t="s">
        <v>510</v>
      </c>
      <c r="C5677" t="s">
        <v>6032</v>
      </c>
      <c r="D5677">
        <v>149</v>
      </c>
    </row>
    <row r="5678" spans="1:4">
      <c r="A5678" t="s">
        <v>91</v>
      </c>
      <c r="B5678" t="s">
        <v>505</v>
      </c>
      <c r="C5678" t="s">
        <v>6033</v>
      </c>
      <c r="D5678">
        <v>99.99</v>
      </c>
    </row>
    <row r="5679" spans="1:4">
      <c r="A5679" t="s">
        <v>91</v>
      </c>
      <c r="B5679" t="s">
        <v>505</v>
      </c>
      <c r="C5679" t="s">
        <v>6034</v>
      </c>
      <c r="D5679">
        <v>299.99</v>
      </c>
    </row>
    <row r="5680" spans="1:4">
      <c r="A5680" t="s">
        <v>91</v>
      </c>
      <c r="B5680" t="s">
        <v>510</v>
      </c>
      <c r="C5680" t="s">
        <v>6035</v>
      </c>
      <c r="D5680">
        <v>294.99</v>
      </c>
    </row>
    <row r="5681" spans="1:4">
      <c r="A5681" t="s">
        <v>91</v>
      </c>
      <c r="B5681" t="s">
        <v>510</v>
      </c>
      <c r="C5681" t="s">
        <v>6036</v>
      </c>
      <c r="D5681">
        <v>1339.99</v>
      </c>
    </row>
    <row r="5682" spans="1:4">
      <c r="A5682" t="s">
        <v>91</v>
      </c>
      <c r="B5682" t="s">
        <v>505</v>
      </c>
      <c r="C5682" t="s">
        <v>6037</v>
      </c>
      <c r="D5682">
        <v>599.99</v>
      </c>
    </row>
    <row r="5683" spans="1:4">
      <c r="A5683" t="s">
        <v>91</v>
      </c>
      <c r="B5683" t="s">
        <v>510</v>
      </c>
      <c r="C5683" t="s">
        <v>6038</v>
      </c>
      <c r="D5683">
        <v>146.97</v>
      </c>
    </row>
    <row r="5684" spans="1:4">
      <c r="A5684" t="s">
        <v>91</v>
      </c>
      <c r="B5684" t="s">
        <v>510</v>
      </c>
      <c r="C5684" t="s">
        <v>6039</v>
      </c>
      <c r="D5684">
        <v>359.99</v>
      </c>
    </row>
    <row r="5685" spans="1:4">
      <c r="A5685" t="s">
        <v>91</v>
      </c>
      <c r="B5685" t="s">
        <v>505</v>
      </c>
      <c r="C5685" t="s">
        <v>6040</v>
      </c>
      <c r="D5685">
        <v>69.989999999999995</v>
      </c>
    </row>
    <row r="5686" spans="1:4">
      <c r="A5686" t="s">
        <v>91</v>
      </c>
      <c r="B5686" t="s">
        <v>510</v>
      </c>
      <c r="C5686" t="s">
        <v>6041</v>
      </c>
      <c r="D5686">
        <v>189.99</v>
      </c>
    </row>
    <row r="5687" spans="1:4">
      <c r="A5687" t="s">
        <v>91</v>
      </c>
      <c r="B5687" t="s">
        <v>510</v>
      </c>
      <c r="C5687" t="s">
        <v>6042</v>
      </c>
      <c r="D5687">
        <v>294.99</v>
      </c>
    </row>
    <row r="5688" spans="1:4">
      <c r="A5688" t="s">
        <v>91</v>
      </c>
      <c r="B5688" t="s">
        <v>2983</v>
      </c>
      <c r="C5688" t="s">
        <v>6043</v>
      </c>
      <c r="D5688">
        <v>549.99</v>
      </c>
    </row>
    <row r="5689" spans="1:4">
      <c r="A5689" t="s">
        <v>91</v>
      </c>
      <c r="B5689" t="s">
        <v>505</v>
      </c>
      <c r="C5689" t="s">
        <v>6044</v>
      </c>
      <c r="D5689">
        <v>99.99</v>
      </c>
    </row>
    <row r="5690" spans="1:4">
      <c r="A5690" t="s">
        <v>91</v>
      </c>
      <c r="B5690" t="s">
        <v>510</v>
      </c>
      <c r="C5690" t="s">
        <v>6045</v>
      </c>
      <c r="D5690">
        <v>279</v>
      </c>
    </row>
    <row r="5691" spans="1:4">
      <c r="A5691" t="s">
        <v>91</v>
      </c>
      <c r="B5691" t="s">
        <v>510</v>
      </c>
      <c r="C5691" t="s">
        <v>6046</v>
      </c>
      <c r="D5691">
        <v>199.99</v>
      </c>
    </row>
    <row r="5692" spans="1:4">
      <c r="A5692" t="s">
        <v>91</v>
      </c>
      <c r="B5692" t="s">
        <v>3081</v>
      </c>
      <c r="C5692" t="s">
        <v>6021</v>
      </c>
      <c r="D5692">
        <v>99.69</v>
      </c>
    </row>
    <row r="5693" spans="1:4">
      <c r="A5693" t="s">
        <v>91</v>
      </c>
      <c r="B5693" t="s">
        <v>2983</v>
      </c>
      <c r="C5693" t="s">
        <v>6047</v>
      </c>
      <c r="D5693">
        <v>79.989999999999995</v>
      </c>
    </row>
    <row r="5694" spans="1:4">
      <c r="A5694" t="s">
        <v>91</v>
      </c>
      <c r="B5694" t="s">
        <v>510</v>
      </c>
      <c r="C5694" t="s">
        <v>6048</v>
      </c>
      <c r="D5694">
        <v>849</v>
      </c>
    </row>
    <row r="5695" spans="1:4">
      <c r="A5695" t="s">
        <v>91</v>
      </c>
      <c r="B5695" t="s">
        <v>505</v>
      </c>
      <c r="C5695" t="s">
        <v>6049</v>
      </c>
      <c r="D5695">
        <v>179.99</v>
      </c>
    </row>
    <row r="5696" spans="1:4">
      <c r="A5696" t="s">
        <v>91</v>
      </c>
      <c r="B5696" t="s">
        <v>2983</v>
      </c>
      <c r="C5696" t="s">
        <v>6050</v>
      </c>
      <c r="D5696">
        <v>89.99</v>
      </c>
    </row>
    <row r="5697" spans="1:4">
      <c r="A5697" t="s">
        <v>91</v>
      </c>
      <c r="B5697" t="s">
        <v>505</v>
      </c>
      <c r="C5697" t="s">
        <v>6051</v>
      </c>
      <c r="D5697">
        <v>199.99</v>
      </c>
    </row>
    <row r="5698" spans="1:4">
      <c r="A5698" t="s">
        <v>91</v>
      </c>
      <c r="B5698" t="s">
        <v>510</v>
      </c>
      <c r="C5698" t="s">
        <v>6052</v>
      </c>
      <c r="D5698">
        <v>294.99</v>
      </c>
    </row>
    <row r="5699" spans="1:4">
      <c r="A5699" t="s">
        <v>91</v>
      </c>
      <c r="B5699" t="s">
        <v>510</v>
      </c>
      <c r="C5699" t="s">
        <v>6053</v>
      </c>
      <c r="D5699">
        <v>202.49</v>
      </c>
    </row>
    <row r="5700" spans="1:4">
      <c r="A5700" t="s">
        <v>91</v>
      </c>
      <c r="B5700" t="s">
        <v>505</v>
      </c>
      <c r="C5700" t="s">
        <v>6054</v>
      </c>
      <c r="D5700">
        <v>59.99</v>
      </c>
    </row>
    <row r="5701" spans="1:4">
      <c r="A5701" t="s">
        <v>91</v>
      </c>
      <c r="B5701" t="s">
        <v>510</v>
      </c>
      <c r="C5701" t="s">
        <v>6055</v>
      </c>
      <c r="D5701">
        <v>170.99</v>
      </c>
    </row>
    <row r="5702" spans="1:4">
      <c r="A5702" t="s">
        <v>91</v>
      </c>
      <c r="B5702" t="s">
        <v>510</v>
      </c>
      <c r="C5702" t="s">
        <v>6056</v>
      </c>
      <c r="D5702">
        <v>451.79</v>
      </c>
    </row>
    <row r="5703" spans="1:4">
      <c r="A5703" t="s">
        <v>91</v>
      </c>
      <c r="B5703" t="s">
        <v>505</v>
      </c>
      <c r="C5703" t="s">
        <v>6057</v>
      </c>
      <c r="D5703">
        <v>144.47</v>
      </c>
    </row>
    <row r="5704" spans="1:4">
      <c r="A5704" t="s">
        <v>91</v>
      </c>
      <c r="B5704" t="s">
        <v>2983</v>
      </c>
      <c r="C5704" t="s">
        <v>6058</v>
      </c>
      <c r="D5704">
        <v>239.99</v>
      </c>
    </row>
    <row r="5705" spans="1:4">
      <c r="A5705" t="s">
        <v>91</v>
      </c>
      <c r="B5705" t="s">
        <v>6059</v>
      </c>
      <c r="C5705" t="s">
        <v>6060</v>
      </c>
      <c r="D5705">
        <v>78.98</v>
      </c>
    </row>
    <row r="5706" spans="1:4">
      <c r="A5706" t="s">
        <v>91</v>
      </c>
      <c r="B5706" t="s">
        <v>505</v>
      </c>
      <c r="C5706" t="s">
        <v>6061</v>
      </c>
      <c r="D5706">
        <v>234.99</v>
      </c>
    </row>
    <row r="5707" spans="1:4">
      <c r="A5707" t="s">
        <v>91</v>
      </c>
      <c r="B5707" t="s">
        <v>510</v>
      </c>
      <c r="C5707" t="s">
        <v>6062</v>
      </c>
      <c r="D5707">
        <v>219.99</v>
      </c>
    </row>
    <row r="5708" spans="1:4">
      <c r="A5708" t="s">
        <v>91</v>
      </c>
      <c r="B5708" t="s">
        <v>510</v>
      </c>
      <c r="C5708" t="s">
        <v>6063</v>
      </c>
      <c r="D5708">
        <v>170.99</v>
      </c>
    </row>
    <row r="5709" spans="1:4">
      <c r="A5709" t="s">
        <v>91</v>
      </c>
      <c r="B5709" t="s">
        <v>510</v>
      </c>
      <c r="C5709" t="s">
        <v>6064</v>
      </c>
      <c r="D5709">
        <v>74.989999999999995</v>
      </c>
    </row>
    <row r="5710" spans="1:4">
      <c r="A5710" t="s">
        <v>91</v>
      </c>
      <c r="B5710" t="s">
        <v>510</v>
      </c>
      <c r="C5710" t="s">
        <v>6065</v>
      </c>
      <c r="D5710">
        <v>159</v>
      </c>
    </row>
    <row r="5711" spans="1:4">
      <c r="A5711" t="s">
        <v>91</v>
      </c>
      <c r="B5711" t="s">
        <v>3030</v>
      </c>
      <c r="C5711" t="s">
        <v>6066</v>
      </c>
      <c r="D5711">
        <v>299.99</v>
      </c>
    </row>
    <row r="5712" spans="1:4">
      <c r="A5712" t="s">
        <v>91</v>
      </c>
      <c r="B5712" t="s">
        <v>3081</v>
      </c>
      <c r="C5712" t="s">
        <v>6067</v>
      </c>
      <c r="D5712">
        <v>39.99</v>
      </c>
    </row>
    <row r="5713" spans="1:4">
      <c r="A5713" t="s">
        <v>91</v>
      </c>
      <c r="B5713" t="s">
        <v>510</v>
      </c>
      <c r="C5713" t="s">
        <v>6068</v>
      </c>
      <c r="D5713">
        <v>919.99</v>
      </c>
    </row>
    <row r="5714" spans="1:4">
      <c r="A5714" t="s">
        <v>91</v>
      </c>
      <c r="B5714" t="s">
        <v>510</v>
      </c>
      <c r="C5714" t="s">
        <v>6069</v>
      </c>
      <c r="D5714">
        <v>75</v>
      </c>
    </row>
    <row r="5715" spans="1:4">
      <c r="A5715" t="s">
        <v>91</v>
      </c>
      <c r="B5715" t="s">
        <v>2983</v>
      </c>
      <c r="C5715" t="s">
        <v>6070</v>
      </c>
      <c r="D5715">
        <v>74.989999999999995</v>
      </c>
    </row>
    <row r="5716" spans="1:4">
      <c r="A5716" t="s">
        <v>91</v>
      </c>
      <c r="B5716" t="s">
        <v>510</v>
      </c>
      <c r="C5716" t="s">
        <v>6071</v>
      </c>
      <c r="D5716">
        <v>139.97</v>
      </c>
    </row>
    <row r="5717" spans="1:4">
      <c r="A5717" t="s">
        <v>91</v>
      </c>
      <c r="B5717" t="s">
        <v>505</v>
      </c>
      <c r="C5717" t="s">
        <v>6072</v>
      </c>
      <c r="D5717">
        <v>129.99</v>
      </c>
    </row>
    <row r="5718" spans="1:4">
      <c r="A5718" t="s">
        <v>91</v>
      </c>
      <c r="B5718" t="s">
        <v>510</v>
      </c>
      <c r="C5718" t="s">
        <v>6073</v>
      </c>
      <c r="D5718">
        <v>275.57</v>
      </c>
    </row>
    <row r="5719" spans="1:4">
      <c r="A5719" t="s">
        <v>91</v>
      </c>
      <c r="B5719" t="s">
        <v>1337</v>
      </c>
      <c r="C5719" t="s">
        <v>6074</v>
      </c>
      <c r="D5719">
        <v>249.99</v>
      </c>
    </row>
    <row r="5720" spans="1:4">
      <c r="A5720" t="s">
        <v>91</v>
      </c>
      <c r="B5720" t="s">
        <v>510</v>
      </c>
      <c r="C5720" t="s">
        <v>6075</v>
      </c>
      <c r="D5720">
        <v>319.97000000000003</v>
      </c>
    </row>
    <row r="5721" spans="1:4">
      <c r="A5721" t="s">
        <v>91</v>
      </c>
      <c r="B5721" t="s">
        <v>510</v>
      </c>
      <c r="C5721" t="s">
        <v>6076</v>
      </c>
      <c r="D5721">
        <v>69.989999999999995</v>
      </c>
    </row>
    <row r="5722" spans="1:4">
      <c r="A5722" t="s">
        <v>91</v>
      </c>
      <c r="B5722" t="s">
        <v>510</v>
      </c>
      <c r="C5722" t="s">
        <v>6077</v>
      </c>
      <c r="D5722">
        <v>159.99</v>
      </c>
    </row>
    <row r="5723" spans="1:4">
      <c r="A5723" t="s">
        <v>91</v>
      </c>
      <c r="B5723" t="s">
        <v>510</v>
      </c>
      <c r="C5723" t="s">
        <v>6078</v>
      </c>
      <c r="D5723">
        <v>124.99</v>
      </c>
    </row>
    <row r="5724" spans="1:4">
      <c r="A5724" t="s">
        <v>91</v>
      </c>
      <c r="B5724" t="s">
        <v>510</v>
      </c>
      <c r="C5724" t="s">
        <v>6079</v>
      </c>
      <c r="D5724">
        <v>130</v>
      </c>
    </row>
    <row r="5725" spans="1:4">
      <c r="A5725" t="s">
        <v>91</v>
      </c>
      <c r="B5725" t="s">
        <v>505</v>
      </c>
      <c r="C5725" t="s">
        <v>6080</v>
      </c>
      <c r="D5725">
        <v>219.99</v>
      </c>
    </row>
    <row r="5726" spans="1:4">
      <c r="A5726" t="s">
        <v>91</v>
      </c>
      <c r="B5726" t="s">
        <v>510</v>
      </c>
      <c r="C5726" t="s">
        <v>6081</v>
      </c>
      <c r="D5726">
        <v>174.99</v>
      </c>
    </row>
    <row r="5727" spans="1:4">
      <c r="A5727" t="s">
        <v>91</v>
      </c>
      <c r="B5727" t="s">
        <v>3239</v>
      </c>
      <c r="C5727" t="s">
        <v>6082</v>
      </c>
      <c r="D5727">
        <v>129.99</v>
      </c>
    </row>
    <row r="5728" spans="1:4">
      <c r="A5728" t="s">
        <v>91</v>
      </c>
      <c r="B5728" t="s">
        <v>510</v>
      </c>
      <c r="C5728" t="s">
        <v>6083</v>
      </c>
      <c r="D5728">
        <v>539.99</v>
      </c>
    </row>
    <row r="5729" spans="1:4">
      <c r="A5729" t="s">
        <v>91</v>
      </c>
      <c r="B5729" t="s">
        <v>2994</v>
      </c>
      <c r="C5729" t="s">
        <v>6084</v>
      </c>
      <c r="D5729">
        <v>85</v>
      </c>
    </row>
    <row r="5730" spans="1:4">
      <c r="A5730" t="s">
        <v>91</v>
      </c>
      <c r="B5730" t="s">
        <v>510</v>
      </c>
      <c r="C5730" t="s">
        <v>6085</v>
      </c>
      <c r="D5730">
        <v>639</v>
      </c>
    </row>
    <row r="5731" spans="1:4">
      <c r="A5731" t="s">
        <v>91</v>
      </c>
      <c r="B5731" t="s">
        <v>510</v>
      </c>
      <c r="C5731" t="s">
        <v>6086</v>
      </c>
      <c r="D5731">
        <v>1169.99</v>
      </c>
    </row>
    <row r="5732" spans="1:4">
      <c r="A5732" t="s">
        <v>91</v>
      </c>
      <c r="B5732" t="s">
        <v>510</v>
      </c>
      <c r="C5732" t="s">
        <v>6087</v>
      </c>
      <c r="D5732">
        <v>215.99</v>
      </c>
    </row>
    <row r="5733" spans="1:4">
      <c r="A5733" t="s">
        <v>91</v>
      </c>
      <c r="B5733" t="s">
        <v>510</v>
      </c>
      <c r="C5733" t="s">
        <v>6088</v>
      </c>
      <c r="D5733">
        <v>614.99</v>
      </c>
    </row>
    <row r="5734" spans="1:4">
      <c r="A5734" t="s">
        <v>91</v>
      </c>
      <c r="B5734" t="s">
        <v>5672</v>
      </c>
      <c r="C5734" t="s">
        <v>6089</v>
      </c>
      <c r="D5734">
        <v>119.99</v>
      </c>
    </row>
    <row r="5735" spans="1:4">
      <c r="A5735" t="s">
        <v>91</v>
      </c>
      <c r="B5735" t="s">
        <v>510</v>
      </c>
      <c r="C5735" t="s">
        <v>6090</v>
      </c>
      <c r="D5735">
        <v>207.99</v>
      </c>
    </row>
    <row r="5736" spans="1:4">
      <c r="A5736" t="s">
        <v>91</v>
      </c>
      <c r="B5736" t="s">
        <v>510</v>
      </c>
      <c r="C5736" t="s">
        <v>6091</v>
      </c>
      <c r="D5736">
        <v>669.69</v>
      </c>
    </row>
    <row r="5737" spans="1:4">
      <c r="A5737" t="s">
        <v>91</v>
      </c>
      <c r="B5737" t="s">
        <v>510</v>
      </c>
      <c r="C5737" t="s">
        <v>6092</v>
      </c>
      <c r="D5737">
        <v>279.99</v>
      </c>
    </row>
    <row r="5738" spans="1:4">
      <c r="A5738" t="s">
        <v>91</v>
      </c>
      <c r="B5738" t="s">
        <v>2983</v>
      </c>
      <c r="C5738" t="s">
        <v>6093</v>
      </c>
      <c r="D5738">
        <v>179.99</v>
      </c>
    </row>
    <row r="5739" spans="1:4">
      <c r="A5739" t="s">
        <v>91</v>
      </c>
      <c r="B5739" t="s">
        <v>510</v>
      </c>
      <c r="C5739" t="s">
        <v>6094</v>
      </c>
      <c r="D5739">
        <v>84.99</v>
      </c>
    </row>
    <row r="5740" spans="1:4">
      <c r="A5740" t="s">
        <v>91</v>
      </c>
      <c r="B5740" t="s">
        <v>505</v>
      </c>
      <c r="C5740" t="s">
        <v>6095</v>
      </c>
      <c r="D5740">
        <v>129.99</v>
      </c>
    </row>
    <row r="5741" spans="1:4">
      <c r="A5741" t="s">
        <v>91</v>
      </c>
      <c r="B5741" t="s">
        <v>505</v>
      </c>
      <c r="C5741" t="s">
        <v>6096</v>
      </c>
      <c r="D5741">
        <v>154.99</v>
      </c>
    </row>
    <row r="5742" spans="1:4">
      <c r="A5742" t="s">
        <v>91</v>
      </c>
      <c r="B5742" t="s">
        <v>510</v>
      </c>
      <c r="C5742" t="s">
        <v>6097</v>
      </c>
      <c r="D5742">
        <v>299.97000000000003</v>
      </c>
    </row>
    <row r="5743" spans="1:4">
      <c r="A5743" t="s">
        <v>91</v>
      </c>
      <c r="B5743" t="s">
        <v>505</v>
      </c>
      <c r="C5743" t="s">
        <v>5722</v>
      </c>
      <c r="D5743">
        <v>289.99</v>
      </c>
    </row>
    <row r="5744" spans="1:4">
      <c r="A5744" t="s">
        <v>91</v>
      </c>
      <c r="B5744" t="s">
        <v>510</v>
      </c>
      <c r="C5744" t="s">
        <v>6098</v>
      </c>
      <c r="D5744">
        <v>275.57</v>
      </c>
    </row>
    <row r="5745" spans="1:4">
      <c r="A5745" t="s">
        <v>91</v>
      </c>
      <c r="B5745" t="s">
        <v>510</v>
      </c>
      <c r="C5745" t="s">
        <v>6099</v>
      </c>
      <c r="D5745">
        <v>369.97</v>
      </c>
    </row>
    <row r="5746" spans="1:4">
      <c r="A5746" t="s">
        <v>91</v>
      </c>
      <c r="B5746" t="s">
        <v>510</v>
      </c>
      <c r="C5746" t="s">
        <v>6100</v>
      </c>
      <c r="D5746">
        <v>696.77</v>
      </c>
    </row>
    <row r="5747" spans="1:4">
      <c r="A5747" t="s">
        <v>91</v>
      </c>
      <c r="B5747" t="s">
        <v>510</v>
      </c>
      <c r="C5747" t="s">
        <v>6101</v>
      </c>
      <c r="D5747">
        <v>1069.99</v>
      </c>
    </row>
    <row r="5748" spans="1:4">
      <c r="A5748" t="s">
        <v>91</v>
      </c>
      <c r="B5748" t="s">
        <v>510</v>
      </c>
      <c r="C5748" t="s">
        <v>6102</v>
      </c>
      <c r="D5748">
        <v>157.99</v>
      </c>
    </row>
    <row r="5749" spans="1:4">
      <c r="A5749" t="s">
        <v>91</v>
      </c>
      <c r="B5749" t="s">
        <v>510</v>
      </c>
      <c r="C5749" t="s">
        <v>6103</v>
      </c>
      <c r="D5749">
        <v>799</v>
      </c>
    </row>
    <row r="5750" spans="1:4">
      <c r="A5750" t="s">
        <v>91</v>
      </c>
      <c r="B5750" t="s">
        <v>510</v>
      </c>
      <c r="C5750" t="s">
        <v>6104</v>
      </c>
      <c r="D5750">
        <v>239.99</v>
      </c>
    </row>
    <row r="5751" spans="1:4">
      <c r="A5751" t="s">
        <v>91</v>
      </c>
      <c r="B5751" t="s">
        <v>505</v>
      </c>
      <c r="C5751" t="s">
        <v>6105</v>
      </c>
      <c r="D5751">
        <v>189.99</v>
      </c>
    </row>
    <row r="5752" spans="1:4">
      <c r="A5752" t="s">
        <v>91</v>
      </c>
      <c r="B5752" t="s">
        <v>510</v>
      </c>
      <c r="C5752" t="s">
        <v>6106</v>
      </c>
      <c r="D5752">
        <v>929</v>
      </c>
    </row>
    <row r="5753" spans="1:4">
      <c r="A5753" t="s">
        <v>91</v>
      </c>
      <c r="B5753" t="s">
        <v>510</v>
      </c>
      <c r="C5753" t="s">
        <v>6107</v>
      </c>
      <c r="D5753">
        <v>779.99</v>
      </c>
    </row>
    <row r="5754" spans="1:4">
      <c r="A5754" t="s">
        <v>91</v>
      </c>
      <c r="B5754" t="s">
        <v>561</v>
      </c>
      <c r="C5754" t="s">
        <v>6108</v>
      </c>
      <c r="D5754">
        <v>79.989999999999995</v>
      </c>
    </row>
    <row r="5755" spans="1:4">
      <c r="A5755" t="s">
        <v>91</v>
      </c>
      <c r="B5755" t="s">
        <v>510</v>
      </c>
      <c r="C5755" t="s">
        <v>6109</v>
      </c>
      <c r="D5755">
        <v>199.99</v>
      </c>
    </row>
    <row r="5756" spans="1:4">
      <c r="A5756" t="s">
        <v>91</v>
      </c>
      <c r="B5756" t="s">
        <v>505</v>
      </c>
      <c r="C5756" t="s">
        <v>6110</v>
      </c>
      <c r="D5756">
        <v>49.99</v>
      </c>
    </row>
    <row r="5757" spans="1:4">
      <c r="A5757" t="s">
        <v>91</v>
      </c>
      <c r="B5757" t="s">
        <v>505</v>
      </c>
      <c r="C5757" t="s">
        <v>6111</v>
      </c>
      <c r="D5757">
        <v>139.99</v>
      </c>
    </row>
    <row r="5758" spans="1:4">
      <c r="A5758" t="s">
        <v>91</v>
      </c>
      <c r="B5758" t="s">
        <v>505</v>
      </c>
      <c r="C5758" t="s">
        <v>6112</v>
      </c>
      <c r="D5758">
        <v>145</v>
      </c>
    </row>
    <row r="5759" spans="1:4">
      <c r="A5759" t="s">
        <v>91</v>
      </c>
      <c r="B5759" t="s">
        <v>6113</v>
      </c>
      <c r="C5759" t="s">
        <v>6114</v>
      </c>
      <c r="D5759">
        <v>84.99</v>
      </c>
    </row>
    <row r="5760" spans="1:4">
      <c r="A5760" t="s">
        <v>91</v>
      </c>
      <c r="B5760" t="s">
        <v>510</v>
      </c>
      <c r="C5760" t="s">
        <v>6115</v>
      </c>
      <c r="D5760">
        <v>859.99</v>
      </c>
    </row>
    <row r="5761" spans="1:4">
      <c r="A5761" t="s">
        <v>91</v>
      </c>
      <c r="B5761" t="s">
        <v>3006</v>
      </c>
      <c r="C5761" t="s">
        <v>6116</v>
      </c>
      <c r="D5761">
        <v>184.99</v>
      </c>
    </row>
    <row r="5762" spans="1:4">
      <c r="A5762" t="s">
        <v>91</v>
      </c>
      <c r="B5762" t="s">
        <v>510</v>
      </c>
      <c r="C5762" t="s">
        <v>6117</v>
      </c>
      <c r="D5762">
        <v>319.99</v>
      </c>
    </row>
    <row r="5763" spans="1:4">
      <c r="A5763" t="s">
        <v>91</v>
      </c>
      <c r="B5763" t="s">
        <v>505</v>
      </c>
      <c r="C5763" t="s">
        <v>6118</v>
      </c>
      <c r="D5763">
        <v>99.99</v>
      </c>
    </row>
    <row r="5764" spans="1:4">
      <c r="A5764" t="s">
        <v>91</v>
      </c>
      <c r="B5764" t="s">
        <v>505</v>
      </c>
      <c r="C5764" t="s">
        <v>6119</v>
      </c>
      <c r="D5764">
        <v>154.99</v>
      </c>
    </row>
    <row r="5765" spans="1:4">
      <c r="A5765" t="s">
        <v>91</v>
      </c>
      <c r="B5765" t="s">
        <v>505</v>
      </c>
      <c r="C5765" t="s">
        <v>6120</v>
      </c>
      <c r="D5765">
        <v>89.99</v>
      </c>
    </row>
    <row r="5766" spans="1:4">
      <c r="A5766" t="s">
        <v>91</v>
      </c>
      <c r="B5766" t="s">
        <v>510</v>
      </c>
      <c r="C5766" t="s">
        <v>6121</v>
      </c>
      <c r="D5766">
        <v>199.99</v>
      </c>
    </row>
    <row r="5767" spans="1:4">
      <c r="A5767" t="s">
        <v>91</v>
      </c>
      <c r="B5767" t="s">
        <v>510</v>
      </c>
      <c r="C5767" t="s">
        <v>6122</v>
      </c>
      <c r="D5767">
        <v>1364</v>
      </c>
    </row>
    <row r="5768" spans="1:4">
      <c r="A5768" t="s">
        <v>91</v>
      </c>
      <c r="B5768" t="s">
        <v>510</v>
      </c>
      <c r="C5768" t="s">
        <v>6123</v>
      </c>
      <c r="D5768">
        <v>149.99</v>
      </c>
    </row>
    <row r="5769" spans="1:4">
      <c r="A5769" t="s">
        <v>91</v>
      </c>
      <c r="B5769" t="s">
        <v>510</v>
      </c>
      <c r="C5769" t="s">
        <v>6124</v>
      </c>
      <c r="D5769">
        <v>409.97</v>
      </c>
    </row>
    <row r="5770" spans="1:4">
      <c r="A5770" t="s">
        <v>91</v>
      </c>
      <c r="B5770" t="s">
        <v>2983</v>
      </c>
      <c r="C5770" t="s">
        <v>6125</v>
      </c>
      <c r="D5770">
        <v>200</v>
      </c>
    </row>
    <row r="5771" spans="1:4">
      <c r="A5771" t="s">
        <v>91</v>
      </c>
      <c r="B5771" t="s">
        <v>510</v>
      </c>
      <c r="C5771" t="s">
        <v>6126</v>
      </c>
      <c r="D5771">
        <v>189.99</v>
      </c>
    </row>
    <row r="5772" spans="1:4">
      <c r="A5772" t="s">
        <v>91</v>
      </c>
      <c r="B5772" t="s">
        <v>510</v>
      </c>
      <c r="C5772" t="s">
        <v>6127</v>
      </c>
      <c r="D5772">
        <v>156.99</v>
      </c>
    </row>
    <row r="5773" spans="1:4">
      <c r="A5773" t="s">
        <v>91</v>
      </c>
      <c r="B5773" t="s">
        <v>505</v>
      </c>
      <c r="C5773" t="s">
        <v>6128</v>
      </c>
      <c r="D5773">
        <v>64.989999999999995</v>
      </c>
    </row>
    <row r="5774" spans="1:4">
      <c r="A5774" t="s">
        <v>91</v>
      </c>
      <c r="B5774" t="s">
        <v>510</v>
      </c>
      <c r="C5774" t="s">
        <v>6129</v>
      </c>
      <c r="D5774">
        <v>279.98</v>
      </c>
    </row>
    <row r="5775" spans="1:4">
      <c r="A5775" t="s">
        <v>91</v>
      </c>
      <c r="B5775" t="s">
        <v>510</v>
      </c>
      <c r="C5775" t="s">
        <v>6130</v>
      </c>
      <c r="D5775">
        <v>129.94999999999999</v>
      </c>
    </row>
    <row r="5776" spans="1:4">
      <c r="A5776" t="s">
        <v>91</v>
      </c>
      <c r="B5776" t="s">
        <v>1337</v>
      </c>
      <c r="C5776" t="s">
        <v>6131</v>
      </c>
      <c r="D5776">
        <v>439.99</v>
      </c>
    </row>
    <row r="5777" spans="1:4">
      <c r="A5777" t="s">
        <v>91</v>
      </c>
      <c r="B5777" t="s">
        <v>505</v>
      </c>
      <c r="C5777" t="s">
        <v>5855</v>
      </c>
      <c r="D5777">
        <v>89.99</v>
      </c>
    </row>
    <row r="5778" spans="1:4">
      <c r="A5778" t="s">
        <v>91</v>
      </c>
      <c r="B5778" t="s">
        <v>510</v>
      </c>
      <c r="C5778" t="s">
        <v>6132</v>
      </c>
      <c r="D5778">
        <v>164.99</v>
      </c>
    </row>
    <row r="5779" spans="1:4">
      <c r="A5779" t="s">
        <v>91</v>
      </c>
      <c r="B5779" t="s">
        <v>2983</v>
      </c>
      <c r="C5779" t="s">
        <v>6133</v>
      </c>
      <c r="D5779">
        <v>69.989999999999995</v>
      </c>
    </row>
    <row r="5780" spans="1:4">
      <c r="A5780" t="s">
        <v>91</v>
      </c>
      <c r="B5780" t="s">
        <v>510</v>
      </c>
      <c r="C5780" t="s">
        <v>6134</v>
      </c>
      <c r="D5780">
        <v>279.99</v>
      </c>
    </row>
    <row r="5781" spans="1:4">
      <c r="A5781" t="s">
        <v>91</v>
      </c>
      <c r="B5781" t="s">
        <v>510</v>
      </c>
      <c r="C5781" t="s">
        <v>6135</v>
      </c>
      <c r="D5781">
        <v>169.98</v>
      </c>
    </row>
    <row r="5782" spans="1:4">
      <c r="A5782" t="s">
        <v>91</v>
      </c>
      <c r="B5782" t="s">
        <v>510</v>
      </c>
      <c r="C5782" t="s">
        <v>6136</v>
      </c>
      <c r="D5782">
        <v>179.99</v>
      </c>
    </row>
    <row r="5783" spans="1:4">
      <c r="A5783" t="s">
        <v>91</v>
      </c>
      <c r="B5783" t="s">
        <v>6137</v>
      </c>
      <c r="C5783" t="s">
        <v>6138</v>
      </c>
      <c r="D5783">
        <v>99.99</v>
      </c>
    </row>
    <row r="5784" spans="1:4">
      <c r="A5784" t="s">
        <v>91</v>
      </c>
      <c r="B5784" t="s">
        <v>505</v>
      </c>
      <c r="C5784" t="s">
        <v>6139</v>
      </c>
      <c r="D5784">
        <v>89.99</v>
      </c>
    </row>
    <row r="5785" spans="1:4">
      <c r="A5785" t="s">
        <v>91</v>
      </c>
      <c r="B5785" t="s">
        <v>510</v>
      </c>
      <c r="C5785" t="s">
        <v>6140</v>
      </c>
      <c r="D5785">
        <v>184.99</v>
      </c>
    </row>
    <row r="5786" spans="1:4">
      <c r="A5786" t="s">
        <v>91</v>
      </c>
      <c r="B5786" t="s">
        <v>505</v>
      </c>
      <c r="C5786" t="s">
        <v>6141</v>
      </c>
      <c r="D5786">
        <v>199.99</v>
      </c>
    </row>
    <row r="5787" spans="1:4">
      <c r="A5787" t="s">
        <v>91</v>
      </c>
      <c r="B5787" t="s">
        <v>510</v>
      </c>
      <c r="C5787" t="s">
        <v>6142</v>
      </c>
      <c r="D5787">
        <v>859.99</v>
      </c>
    </row>
    <row r="5788" spans="1:4">
      <c r="A5788" t="s">
        <v>91</v>
      </c>
      <c r="B5788" t="s">
        <v>510</v>
      </c>
      <c r="C5788" t="s">
        <v>6143</v>
      </c>
      <c r="D5788">
        <v>244.99</v>
      </c>
    </row>
    <row r="5789" spans="1:4">
      <c r="A5789" t="s">
        <v>91</v>
      </c>
      <c r="B5789" t="s">
        <v>510</v>
      </c>
      <c r="C5789" t="s">
        <v>6144</v>
      </c>
      <c r="D5789">
        <v>179.99</v>
      </c>
    </row>
    <row r="5790" spans="1:4">
      <c r="A5790" t="s">
        <v>91</v>
      </c>
      <c r="B5790" t="s">
        <v>1337</v>
      </c>
      <c r="C5790" t="s">
        <v>6145</v>
      </c>
      <c r="D5790">
        <v>739.99</v>
      </c>
    </row>
    <row r="5791" spans="1:4">
      <c r="A5791" t="s">
        <v>91</v>
      </c>
      <c r="B5791" t="s">
        <v>505</v>
      </c>
      <c r="C5791" t="s">
        <v>6146</v>
      </c>
      <c r="D5791">
        <v>139.99</v>
      </c>
    </row>
    <row r="5792" spans="1:4">
      <c r="A5792" t="s">
        <v>91</v>
      </c>
      <c r="B5792" t="s">
        <v>510</v>
      </c>
      <c r="C5792" t="s">
        <v>6147</v>
      </c>
      <c r="D5792">
        <v>299.98</v>
      </c>
    </row>
    <row r="5793" spans="1:4">
      <c r="A5793" t="s">
        <v>91</v>
      </c>
      <c r="B5793" t="s">
        <v>505</v>
      </c>
      <c r="C5793" t="s">
        <v>6148</v>
      </c>
      <c r="D5793">
        <v>214.99</v>
      </c>
    </row>
    <row r="5794" spans="1:4">
      <c r="A5794" t="s">
        <v>91</v>
      </c>
      <c r="B5794" t="s">
        <v>505</v>
      </c>
      <c r="C5794" t="s">
        <v>6149</v>
      </c>
      <c r="D5794">
        <v>349.99</v>
      </c>
    </row>
    <row r="5795" spans="1:4">
      <c r="A5795" t="s">
        <v>91</v>
      </c>
      <c r="B5795" t="s">
        <v>510</v>
      </c>
      <c r="C5795" t="s">
        <v>6150</v>
      </c>
      <c r="D5795">
        <v>64.989999999999995</v>
      </c>
    </row>
    <row r="5796" spans="1:4">
      <c r="A5796" t="s">
        <v>91</v>
      </c>
      <c r="B5796" t="s">
        <v>510</v>
      </c>
      <c r="C5796" t="s">
        <v>6151</v>
      </c>
      <c r="D5796">
        <v>89.99</v>
      </c>
    </row>
    <row r="5797" spans="1:4">
      <c r="A5797" t="s">
        <v>91</v>
      </c>
      <c r="B5797" t="s">
        <v>510</v>
      </c>
      <c r="C5797" t="s">
        <v>6152</v>
      </c>
      <c r="D5797">
        <v>349.99</v>
      </c>
    </row>
    <row r="5798" spans="1:4">
      <c r="A5798" t="s">
        <v>91</v>
      </c>
      <c r="B5798" t="s">
        <v>505</v>
      </c>
      <c r="C5798" t="s">
        <v>6153</v>
      </c>
      <c r="D5798">
        <v>179.99</v>
      </c>
    </row>
    <row r="5799" spans="1:4">
      <c r="A5799" t="s">
        <v>91</v>
      </c>
      <c r="B5799" t="s">
        <v>510</v>
      </c>
      <c r="C5799" t="s">
        <v>6154</v>
      </c>
      <c r="D5799">
        <v>1349.99</v>
      </c>
    </row>
    <row r="5800" spans="1:4">
      <c r="A5800" t="s">
        <v>91</v>
      </c>
      <c r="B5800" t="s">
        <v>510</v>
      </c>
      <c r="C5800" t="s">
        <v>6155</v>
      </c>
      <c r="D5800">
        <v>229.99</v>
      </c>
    </row>
    <row r="5801" spans="1:4">
      <c r="A5801" t="s">
        <v>91</v>
      </c>
      <c r="B5801" t="s">
        <v>505</v>
      </c>
      <c r="C5801" t="s">
        <v>6156</v>
      </c>
      <c r="D5801">
        <v>299.99</v>
      </c>
    </row>
    <row r="5802" spans="1:4">
      <c r="A5802" t="s">
        <v>91</v>
      </c>
      <c r="B5802" t="s">
        <v>510</v>
      </c>
      <c r="C5802" t="s">
        <v>6157</v>
      </c>
      <c r="D5802">
        <v>499.99</v>
      </c>
    </row>
    <row r="5803" spans="1:4">
      <c r="A5803" t="s">
        <v>91</v>
      </c>
      <c r="B5803" t="s">
        <v>505</v>
      </c>
      <c r="C5803" t="s">
        <v>6158</v>
      </c>
      <c r="D5803">
        <v>65.989999999999995</v>
      </c>
    </row>
    <row r="5804" spans="1:4">
      <c r="A5804" t="s">
        <v>91</v>
      </c>
      <c r="B5804" t="s">
        <v>510</v>
      </c>
      <c r="C5804" t="s">
        <v>6159</v>
      </c>
      <c r="D5804">
        <v>89.99</v>
      </c>
    </row>
    <row r="5805" spans="1:4">
      <c r="A5805" t="s">
        <v>91</v>
      </c>
      <c r="B5805" t="s">
        <v>510</v>
      </c>
      <c r="C5805" t="s">
        <v>6160</v>
      </c>
      <c r="D5805">
        <v>39.99</v>
      </c>
    </row>
    <row r="5806" spans="1:4">
      <c r="A5806" t="s">
        <v>91</v>
      </c>
      <c r="B5806" t="s">
        <v>510</v>
      </c>
      <c r="C5806" t="s">
        <v>6161</v>
      </c>
      <c r="D5806">
        <v>349.99</v>
      </c>
    </row>
    <row r="5807" spans="1:4">
      <c r="A5807" t="s">
        <v>91</v>
      </c>
      <c r="B5807" t="s">
        <v>505</v>
      </c>
      <c r="C5807" t="s">
        <v>6162</v>
      </c>
      <c r="D5807">
        <v>129.99</v>
      </c>
    </row>
    <row r="5808" spans="1:4">
      <c r="A5808" t="s">
        <v>91</v>
      </c>
      <c r="B5808" t="s">
        <v>510</v>
      </c>
      <c r="C5808" t="s">
        <v>6163</v>
      </c>
      <c r="D5808">
        <v>159</v>
      </c>
    </row>
    <row r="5809" spans="1:4">
      <c r="A5809" t="s">
        <v>91</v>
      </c>
      <c r="B5809" t="s">
        <v>510</v>
      </c>
      <c r="C5809" t="s">
        <v>6164</v>
      </c>
      <c r="D5809">
        <v>454.99</v>
      </c>
    </row>
    <row r="5810" spans="1:4">
      <c r="A5810" t="s">
        <v>91</v>
      </c>
      <c r="B5810" t="s">
        <v>510</v>
      </c>
      <c r="C5810" t="s">
        <v>6165</v>
      </c>
      <c r="D5810">
        <v>169.99</v>
      </c>
    </row>
    <row r="5811" spans="1:4">
      <c r="A5811" t="s">
        <v>91</v>
      </c>
      <c r="B5811" t="s">
        <v>6014</v>
      </c>
      <c r="C5811" t="s">
        <v>6166</v>
      </c>
      <c r="D5811">
        <v>44.99</v>
      </c>
    </row>
    <row r="5812" spans="1:4">
      <c r="A5812" t="s">
        <v>91</v>
      </c>
      <c r="B5812" t="s">
        <v>510</v>
      </c>
      <c r="C5812" t="s">
        <v>6167</v>
      </c>
      <c r="D5812">
        <v>229.47</v>
      </c>
    </row>
    <row r="5813" spans="1:4">
      <c r="A5813" t="s">
        <v>91</v>
      </c>
      <c r="B5813" t="s">
        <v>510</v>
      </c>
      <c r="C5813" t="s">
        <v>6168</v>
      </c>
      <c r="D5813">
        <v>599.99</v>
      </c>
    </row>
    <row r="5814" spans="1:4">
      <c r="A5814" t="s">
        <v>91</v>
      </c>
      <c r="B5814" t="s">
        <v>505</v>
      </c>
      <c r="C5814" t="s">
        <v>6169</v>
      </c>
      <c r="D5814">
        <v>329.99</v>
      </c>
    </row>
    <row r="5815" spans="1:4">
      <c r="A5815" t="s">
        <v>91</v>
      </c>
      <c r="B5815" t="s">
        <v>510</v>
      </c>
      <c r="C5815" t="s">
        <v>6170</v>
      </c>
      <c r="D5815">
        <v>139.99</v>
      </c>
    </row>
    <row r="5816" spans="1:4">
      <c r="A5816" t="s">
        <v>91</v>
      </c>
      <c r="B5816" t="s">
        <v>510</v>
      </c>
      <c r="C5816" t="s">
        <v>6171</v>
      </c>
      <c r="D5816">
        <v>164.95</v>
      </c>
    </row>
    <row r="5817" spans="1:4">
      <c r="A5817" t="s">
        <v>91</v>
      </c>
      <c r="B5817" t="s">
        <v>510</v>
      </c>
      <c r="C5817" t="s">
        <v>6172</v>
      </c>
      <c r="D5817">
        <v>332.79</v>
      </c>
    </row>
    <row r="5818" spans="1:4">
      <c r="A5818" t="s">
        <v>91</v>
      </c>
      <c r="B5818" t="s">
        <v>505</v>
      </c>
      <c r="C5818" t="s">
        <v>6173</v>
      </c>
      <c r="D5818">
        <v>179.99</v>
      </c>
    </row>
    <row r="5819" spans="1:4">
      <c r="A5819" t="s">
        <v>91</v>
      </c>
      <c r="B5819" t="s">
        <v>505</v>
      </c>
      <c r="C5819" t="s">
        <v>6174</v>
      </c>
      <c r="D5819">
        <v>674.99</v>
      </c>
    </row>
    <row r="5820" spans="1:4">
      <c r="A5820" t="s">
        <v>91</v>
      </c>
      <c r="B5820" t="s">
        <v>1337</v>
      </c>
      <c r="C5820" t="s">
        <v>6175</v>
      </c>
      <c r="D5820">
        <v>1299.99</v>
      </c>
    </row>
    <row r="5821" spans="1:4">
      <c r="A5821" t="s">
        <v>91</v>
      </c>
      <c r="B5821" t="s">
        <v>505</v>
      </c>
      <c r="C5821" t="s">
        <v>6176</v>
      </c>
      <c r="D5821">
        <v>149.99</v>
      </c>
    </row>
    <row r="5822" spans="1:4">
      <c r="A5822" t="s">
        <v>91</v>
      </c>
      <c r="B5822" t="s">
        <v>510</v>
      </c>
      <c r="C5822" t="s">
        <v>6177</v>
      </c>
      <c r="D5822">
        <v>158.99</v>
      </c>
    </row>
    <row r="5823" spans="1:4">
      <c r="A5823" t="s">
        <v>91</v>
      </c>
      <c r="B5823" t="s">
        <v>510</v>
      </c>
      <c r="C5823" t="s">
        <v>6178</v>
      </c>
      <c r="D5823">
        <v>914.99</v>
      </c>
    </row>
    <row r="5824" spans="1:4">
      <c r="A5824" t="s">
        <v>91</v>
      </c>
      <c r="B5824" t="s">
        <v>510</v>
      </c>
      <c r="C5824" t="s">
        <v>6179</v>
      </c>
      <c r="D5824">
        <v>239.99</v>
      </c>
    </row>
    <row r="5825" spans="1:4">
      <c r="A5825" t="s">
        <v>91</v>
      </c>
      <c r="B5825" t="s">
        <v>505</v>
      </c>
      <c r="C5825" t="s">
        <v>6180</v>
      </c>
      <c r="D5825">
        <v>135.16999999999999</v>
      </c>
    </row>
    <row r="5826" spans="1:4">
      <c r="A5826" t="s">
        <v>91</v>
      </c>
      <c r="B5826" t="s">
        <v>510</v>
      </c>
      <c r="C5826" t="s">
        <v>6181</v>
      </c>
      <c r="D5826">
        <v>714.99</v>
      </c>
    </row>
    <row r="5827" spans="1:4">
      <c r="A5827" t="s">
        <v>91</v>
      </c>
      <c r="B5827" t="s">
        <v>3006</v>
      </c>
      <c r="C5827" t="s">
        <v>6182</v>
      </c>
      <c r="D5827">
        <v>449.99</v>
      </c>
    </row>
    <row r="5828" spans="1:4">
      <c r="A5828" t="s">
        <v>91</v>
      </c>
      <c r="B5828" t="s">
        <v>745</v>
      </c>
      <c r="C5828" t="s">
        <v>6183</v>
      </c>
      <c r="D5828">
        <v>59.99</v>
      </c>
    </row>
    <row r="5829" spans="1:4">
      <c r="A5829" t="s">
        <v>91</v>
      </c>
      <c r="B5829" t="s">
        <v>5623</v>
      </c>
      <c r="C5829" t="s">
        <v>6184</v>
      </c>
      <c r="D5829">
        <v>74.989999999999995</v>
      </c>
    </row>
    <row r="5830" spans="1:4">
      <c r="A5830" t="s">
        <v>91</v>
      </c>
      <c r="B5830" t="s">
        <v>505</v>
      </c>
      <c r="C5830" t="s">
        <v>6185</v>
      </c>
      <c r="D5830">
        <v>184.99</v>
      </c>
    </row>
    <row r="5831" spans="1:4">
      <c r="A5831" t="s">
        <v>91</v>
      </c>
      <c r="B5831" t="s">
        <v>510</v>
      </c>
      <c r="C5831" t="s">
        <v>6186</v>
      </c>
      <c r="D5831">
        <v>259.99</v>
      </c>
    </row>
    <row r="5832" spans="1:4">
      <c r="A5832" t="s">
        <v>91</v>
      </c>
      <c r="B5832" t="s">
        <v>505</v>
      </c>
      <c r="C5832" t="s">
        <v>6187</v>
      </c>
      <c r="D5832">
        <v>229.99</v>
      </c>
    </row>
    <row r="5833" spans="1:4">
      <c r="A5833" t="s">
        <v>91</v>
      </c>
      <c r="B5833" t="s">
        <v>510</v>
      </c>
      <c r="C5833" t="s">
        <v>6188</v>
      </c>
      <c r="D5833">
        <v>109.99</v>
      </c>
    </row>
    <row r="5834" spans="1:4">
      <c r="A5834" t="s">
        <v>91</v>
      </c>
      <c r="C5834" t="s">
        <v>6189</v>
      </c>
      <c r="D5834">
        <v>265</v>
      </c>
    </row>
    <row r="5835" spans="1:4">
      <c r="A5835" t="s">
        <v>91</v>
      </c>
      <c r="B5835" t="s">
        <v>6190</v>
      </c>
      <c r="C5835" t="s">
        <v>6191</v>
      </c>
      <c r="D5835">
        <v>69.989999999999995</v>
      </c>
    </row>
    <row r="5836" spans="1:4">
      <c r="A5836" t="s">
        <v>91</v>
      </c>
      <c r="B5836" t="s">
        <v>561</v>
      </c>
      <c r="C5836" t="s">
        <v>6192</v>
      </c>
      <c r="D5836">
        <v>74.989999999999995</v>
      </c>
    </row>
    <row r="5837" spans="1:4">
      <c r="A5837" t="s">
        <v>91</v>
      </c>
      <c r="B5837" t="s">
        <v>1337</v>
      </c>
      <c r="C5837" t="s">
        <v>6193</v>
      </c>
      <c r="D5837">
        <v>1024.99</v>
      </c>
    </row>
    <row r="5838" spans="1:4">
      <c r="A5838" t="s">
        <v>91</v>
      </c>
      <c r="B5838" t="s">
        <v>510</v>
      </c>
      <c r="C5838" t="s">
        <v>6194</v>
      </c>
      <c r="D5838">
        <v>344.99</v>
      </c>
    </row>
    <row r="5839" spans="1:4">
      <c r="A5839" t="s">
        <v>91</v>
      </c>
      <c r="B5839" t="s">
        <v>505</v>
      </c>
      <c r="C5839" t="s">
        <v>6195</v>
      </c>
      <c r="D5839">
        <v>204.99</v>
      </c>
    </row>
    <row r="5840" spans="1:4">
      <c r="A5840" t="s">
        <v>91</v>
      </c>
      <c r="B5840" t="s">
        <v>505</v>
      </c>
      <c r="C5840" t="s">
        <v>6196</v>
      </c>
      <c r="D5840">
        <v>99.99</v>
      </c>
    </row>
    <row r="5841" spans="1:4">
      <c r="A5841" t="s">
        <v>91</v>
      </c>
      <c r="B5841" t="s">
        <v>505</v>
      </c>
      <c r="C5841" t="s">
        <v>6197</v>
      </c>
      <c r="D5841">
        <v>84.99</v>
      </c>
    </row>
    <row r="5842" spans="1:4">
      <c r="A5842" t="s">
        <v>91</v>
      </c>
      <c r="B5842" t="s">
        <v>505</v>
      </c>
      <c r="C5842" t="s">
        <v>6198</v>
      </c>
      <c r="D5842">
        <v>569.99</v>
      </c>
    </row>
    <row r="5843" spans="1:4">
      <c r="A5843" t="s">
        <v>91</v>
      </c>
      <c r="B5843" t="s">
        <v>505</v>
      </c>
      <c r="C5843" t="s">
        <v>6199</v>
      </c>
      <c r="D5843">
        <v>169.99</v>
      </c>
    </row>
    <row r="5844" spans="1:4">
      <c r="A5844" t="s">
        <v>91</v>
      </c>
      <c r="B5844" t="s">
        <v>510</v>
      </c>
      <c r="C5844" t="s">
        <v>6200</v>
      </c>
      <c r="D5844">
        <v>139.99</v>
      </c>
    </row>
    <row r="5845" spans="1:4">
      <c r="A5845" t="s">
        <v>91</v>
      </c>
      <c r="B5845" t="s">
        <v>510</v>
      </c>
      <c r="C5845" t="s">
        <v>6201</v>
      </c>
      <c r="D5845">
        <v>54.99</v>
      </c>
    </row>
    <row r="5846" spans="1:4">
      <c r="A5846" t="s">
        <v>91</v>
      </c>
      <c r="C5846" t="s">
        <v>6202</v>
      </c>
      <c r="D5846">
        <v>59</v>
      </c>
    </row>
    <row r="5847" spans="1:4">
      <c r="A5847" t="s">
        <v>91</v>
      </c>
      <c r="B5847" t="s">
        <v>510</v>
      </c>
      <c r="C5847" t="s">
        <v>6203</v>
      </c>
      <c r="D5847">
        <v>379.99</v>
      </c>
    </row>
    <row r="5848" spans="1:4">
      <c r="A5848" t="s">
        <v>91</v>
      </c>
      <c r="B5848" t="s">
        <v>510</v>
      </c>
      <c r="C5848" t="s">
        <v>6204</v>
      </c>
      <c r="D5848">
        <v>227.47</v>
      </c>
    </row>
    <row r="5849" spans="1:4">
      <c r="A5849" t="s">
        <v>91</v>
      </c>
      <c r="B5849" t="s">
        <v>505</v>
      </c>
      <c r="C5849" t="s">
        <v>6205</v>
      </c>
      <c r="D5849">
        <v>69.989999999999995</v>
      </c>
    </row>
    <row r="5850" spans="1:4">
      <c r="A5850" t="s">
        <v>91</v>
      </c>
      <c r="B5850" t="s">
        <v>2983</v>
      </c>
      <c r="C5850" t="s">
        <v>6206</v>
      </c>
      <c r="D5850">
        <v>299.99</v>
      </c>
    </row>
    <row r="5851" spans="1:4">
      <c r="A5851" t="s">
        <v>91</v>
      </c>
      <c r="B5851" t="s">
        <v>505</v>
      </c>
      <c r="C5851" t="s">
        <v>6207</v>
      </c>
      <c r="D5851">
        <v>98.99</v>
      </c>
    </row>
    <row r="5852" spans="1:4">
      <c r="A5852" t="s">
        <v>91</v>
      </c>
      <c r="B5852" t="s">
        <v>505</v>
      </c>
      <c r="C5852" t="s">
        <v>6208</v>
      </c>
      <c r="D5852">
        <v>93.99</v>
      </c>
    </row>
    <row r="5853" spans="1:4">
      <c r="A5853" t="s">
        <v>91</v>
      </c>
      <c r="B5853" t="s">
        <v>2994</v>
      </c>
      <c r="C5853" t="s">
        <v>6209</v>
      </c>
      <c r="D5853">
        <v>54.99</v>
      </c>
    </row>
    <row r="5854" spans="1:4">
      <c r="A5854" t="s">
        <v>91</v>
      </c>
      <c r="B5854" t="s">
        <v>1337</v>
      </c>
      <c r="C5854" t="s">
        <v>6210</v>
      </c>
      <c r="D5854">
        <v>799.99</v>
      </c>
    </row>
    <row r="5855" spans="1:4">
      <c r="A5855" t="s">
        <v>91</v>
      </c>
      <c r="B5855" t="s">
        <v>510</v>
      </c>
      <c r="C5855" t="s">
        <v>6211</v>
      </c>
      <c r="D5855">
        <v>180</v>
      </c>
    </row>
    <row r="5856" spans="1:4">
      <c r="A5856" t="s">
        <v>91</v>
      </c>
      <c r="B5856" t="s">
        <v>1337</v>
      </c>
      <c r="C5856" t="s">
        <v>6212</v>
      </c>
      <c r="D5856">
        <v>1269.99</v>
      </c>
    </row>
    <row r="5857" spans="1:4">
      <c r="A5857" t="s">
        <v>91</v>
      </c>
      <c r="B5857" t="s">
        <v>510</v>
      </c>
      <c r="C5857" t="s">
        <v>6213</v>
      </c>
      <c r="D5857">
        <v>209.99</v>
      </c>
    </row>
    <row r="5858" spans="1:4">
      <c r="A5858" t="s">
        <v>91</v>
      </c>
      <c r="B5858" t="s">
        <v>510</v>
      </c>
      <c r="C5858" t="s">
        <v>6214</v>
      </c>
      <c r="D5858">
        <v>144.99</v>
      </c>
    </row>
    <row r="5859" spans="1:4">
      <c r="A5859" t="s">
        <v>91</v>
      </c>
      <c r="B5859" t="s">
        <v>1337</v>
      </c>
      <c r="C5859" t="s">
        <v>6215</v>
      </c>
      <c r="D5859">
        <v>749.99</v>
      </c>
    </row>
    <row r="5860" spans="1:4">
      <c r="A5860" t="s">
        <v>91</v>
      </c>
      <c r="B5860" t="s">
        <v>505</v>
      </c>
      <c r="C5860" t="s">
        <v>6080</v>
      </c>
      <c r="D5860">
        <v>229.99</v>
      </c>
    </row>
    <row r="5861" spans="1:4">
      <c r="A5861" t="s">
        <v>91</v>
      </c>
      <c r="B5861" t="s">
        <v>505</v>
      </c>
      <c r="C5861" t="s">
        <v>6216</v>
      </c>
      <c r="D5861">
        <v>219.99</v>
      </c>
    </row>
    <row r="5862" spans="1:4">
      <c r="A5862" t="s">
        <v>91</v>
      </c>
      <c r="B5862" t="s">
        <v>505</v>
      </c>
      <c r="C5862" t="s">
        <v>6217</v>
      </c>
      <c r="D5862">
        <v>214.99</v>
      </c>
    </row>
    <row r="5863" spans="1:4">
      <c r="A5863" t="s">
        <v>91</v>
      </c>
      <c r="B5863" t="s">
        <v>510</v>
      </c>
      <c r="C5863" t="s">
        <v>6218</v>
      </c>
      <c r="D5863">
        <v>199</v>
      </c>
    </row>
    <row r="5864" spans="1:4">
      <c r="A5864" t="s">
        <v>91</v>
      </c>
      <c r="B5864" t="s">
        <v>505</v>
      </c>
      <c r="C5864" t="s">
        <v>6219</v>
      </c>
      <c r="D5864">
        <v>94.99</v>
      </c>
    </row>
    <row r="5865" spans="1:4">
      <c r="A5865" t="s">
        <v>91</v>
      </c>
      <c r="B5865" t="s">
        <v>6014</v>
      </c>
      <c r="C5865" t="s">
        <v>6220</v>
      </c>
      <c r="D5865">
        <v>59.99</v>
      </c>
    </row>
    <row r="5866" spans="1:4">
      <c r="A5866" t="s">
        <v>91</v>
      </c>
      <c r="B5866" t="s">
        <v>510</v>
      </c>
      <c r="C5866" t="s">
        <v>6221</v>
      </c>
      <c r="D5866">
        <v>482.99</v>
      </c>
    </row>
    <row r="5867" spans="1:4">
      <c r="A5867" t="s">
        <v>91</v>
      </c>
      <c r="C5867" t="s">
        <v>6222</v>
      </c>
      <c r="D5867">
        <v>219</v>
      </c>
    </row>
    <row r="5868" spans="1:4">
      <c r="A5868" t="s">
        <v>91</v>
      </c>
      <c r="B5868" t="s">
        <v>510</v>
      </c>
      <c r="C5868" t="s">
        <v>6223</v>
      </c>
      <c r="D5868">
        <v>239.99</v>
      </c>
    </row>
    <row r="5869" spans="1:4">
      <c r="A5869" t="s">
        <v>91</v>
      </c>
      <c r="B5869" t="s">
        <v>1337</v>
      </c>
      <c r="C5869" t="s">
        <v>6224</v>
      </c>
      <c r="D5869">
        <v>1209.99</v>
      </c>
    </row>
    <row r="5870" spans="1:4">
      <c r="A5870" t="s">
        <v>91</v>
      </c>
      <c r="B5870" t="s">
        <v>510</v>
      </c>
      <c r="C5870" t="s">
        <v>6225</v>
      </c>
      <c r="D5870">
        <v>1728.69</v>
      </c>
    </row>
    <row r="5871" spans="1:4">
      <c r="A5871" t="s">
        <v>91</v>
      </c>
      <c r="B5871" t="s">
        <v>510</v>
      </c>
      <c r="C5871" t="s">
        <v>6226</v>
      </c>
      <c r="D5871">
        <v>275.95</v>
      </c>
    </row>
    <row r="5872" spans="1:4">
      <c r="A5872" t="s">
        <v>91</v>
      </c>
      <c r="B5872" t="s">
        <v>1337</v>
      </c>
      <c r="C5872" t="s">
        <v>6227</v>
      </c>
      <c r="D5872">
        <v>759.99</v>
      </c>
    </row>
    <row r="5873" spans="1:4">
      <c r="A5873" t="s">
        <v>91</v>
      </c>
      <c r="B5873" t="s">
        <v>505</v>
      </c>
      <c r="C5873" t="s">
        <v>6228</v>
      </c>
      <c r="D5873">
        <v>74.989999999999995</v>
      </c>
    </row>
    <row r="5874" spans="1:4">
      <c r="A5874" t="s">
        <v>91</v>
      </c>
      <c r="B5874" t="s">
        <v>510</v>
      </c>
      <c r="C5874" t="s">
        <v>6229</v>
      </c>
      <c r="D5874">
        <v>296.37</v>
      </c>
    </row>
    <row r="5875" spans="1:4">
      <c r="A5875" t="s">
        <v>91</v>
      </c>
      <c r="B5875" t="s">
        <v>510</v>
      </c>
      <c r="C5875" t="s">
        <v>6230</v>
      </c>
      <c r="D5875">
        <v>1199.99</v>
      </c>
    </row>
    <row r="5876" spans="1:4">
      <c r="A5876" t="s">
        <v>91</v>
      </c>
      <c r="B5876" t="s">
        <v>510</v>
      </c>
      <c r="C5876" t="s">
        <v>6231</v>
      </c>
      <c r="D5876">
        <v>427.49</v>
      </c>
    </row>
    <row r="5877" spans="1:4">
      <c r="A5877" t="s">
        <v>91</v>
      </c>
      <c r="B5877" t="s">
        <v>510</v>
      </c>
      <c r="C5877" t="s">
        <v>6232</v>
      </c>
      <c r="D5877">
        <v>149.99</v>
      </c>
    </row>
    <row r="5878" spans="1:4">
      <c r="A5878" t="s">
        <v>91</v>
      </c>
      <c r="B5878" t="s">
        <v>510</v>
      </c>
      <c r="C5878" t="s">
        <v>6233</v>
      </c>
      <c r="D5878">
        <v>169.99</v>
      </c>
    </row>
    <row r="5879" spans="1:4">
      <c r="A5879" t="s">
        <v>91</v>
      </c>
      <c r="B5879" t="s">
        <v>510</v>
      </c>
      <c r="C5879" t="s">
        <v>6234</v>
      </c>
      <c r="D5879">
        <v>146.97</v>
      </c>
    </row>
    <row r="5880" spans="1:4">
      <c r="A5880" t="s">
        <v>91</v>
      </c>
      <c r="B5880" t="s">
        <v>510</v>
      </c>
      <c r="C5880" t="s">
        <v>6235</v>
      </c>
      <c r="D5880">
        <v>219.99</v>
      </c>
    </row>
    <row r="5881" spans="1:4">
      <c r="A5881" t="s">
        <v>91</v>
      </c>
      <c r="B5881" t="s">
        <v>510</v>
      </c>
      <c r="C5881" t="s">
        <v>6236</v>
      </c>
      <c r="D5881">
        <v>439</v>
      </c>
    </row>
    <row r="5882" spans="1:4">
      <c r="A5882" t="s">
        <v>91</v>
      </c>
      <c r="B5882" t="s">
        <v>1337</v>
      </c>
      <c r="C5882" t="s">
        <v>6237</v>
      </c>
      <c r="D5882">
        <v>304.99</v>
      </c>
    </row>
    <row r="5883" spans="1:4">
      <c r="A5883" t="s">
        <v>91</v>
      </c>
      <c r="B5883" t="s">
        <v>510</v>
      </c>
      <c r="C5883" t="s">
        <v>6238</v>
      </c>
      <c r="D5883">
        <v>99.99</v>
      </c>
    </row>
    <row r="5884" spans="1:4">
      <c r="A5884" t="s">
        <v>91</v>
      </c>
      <c r="B5884" t="s">
        <v>505</v>
      </c>
      <c r="C5884" t="s">
        <v>6239</v>
      </c>
      <c r="D5884">
        <v>499.99</v>
      </c>
    </row>
    <row r="5885" spans="1:4">
      <c r="A5885" t="s">
        <v>91</v>
      </c>
      <c r="B5885" t="s">
        <v>510</v>
      </c>
      <c r="C5885" t="s">
        <v>6240</v>
      </c>
      <c r="D5885">
        <v>159.99</v>
      </c>
    </row>
    <row r="5886" spans="1:4">
      <c r="A5886" t="s">
        <v>91</v>
      </c>
      <c r="B5886" t="s">
        <v>505</v>
      </c>
      <c r="C5886" t="s">
        <v>6241</v>
      </c>
      <c r="D5886">
        <v>79.989999999999995</v>
      </c>
    </row>
    <row r="5887" spans="1:4">
      <c r="A5887" t="s">
        <v>91</v>
      </c>
      <c r="B5887" t="s">
        <v>1337</v>
      </c>
      <c r="C5887" t="s">
        <v>5182</v>
      </c>
      <c r="D5887">
        <v>199.99</v>
      </c>
    </row>
    <row r="5888" spans="1:4">
      <c r="A5888" t="s">
        <v>91</v>
      </c>
      <c r="B5888" t="s">
        <v>510</v>
      </c>
      <c r="C5888" t="s">
        <v>6242</v>
      </c>
      <c r="D5888">
        <v>179.97</v>
      </c>
    </row>
    <row r="5889" spans="1:4">
      <c r="A5889" t="s">
        <v>91</v>
      </c>
      <c r="B5889" t="s">
        <v>510</v>
      </c>
      <c r="C5889" t="s">
        <v>6243</v>
      </c>
      <c r="D5889">
        <v>289.99</v>
      </c>
    </row>
    <row r="5890" spans="1:4">
      <c r="A5890" t="s">
        <v>91</v>
      </c>
      <c r="B5890" t="s">
        <v>510</v>
      </c>
      <c r="C5890" t="s">
        <v>6244</v>
      </c>
      <c r="D5890">
        <v>239</v>
      </c>
    </row>
    <row r="5891" spans="1:4">
      <c r="A5891" t="s">
        <v>91</v>
      </c>
      <c r="B5891" t="s">
        <v>505</v>
      </c>
      <c r="C5891" t="s">
        <v>6245</v>
      </c>
      <c r="D5891">
        <v>244.99</v>
      </c>
    </row>
    <row r="5892" spans="1:4">
      <c r="A5892" t="s">
        <v>91</v>
      </c>
      <c r="B5892" t="s">
        <v>510</v>
      </c>
      <c r="C5892" t="s">
        <v>6246</v>
      </c>
      <c r="D5892">
        <v>309.99</v>
      </c>
    </row>
    <row r="5893" spans="1:4">
      <c r="A5893" t="s">
        <v>91</v>
      </c>
      <c r="B5893" t="s">
        <v>6247</v>
      </c>
      <c r="C5893" t="s">
        <v>6248</v>
      </c>
      <c r="D5893">
        <v>84.99</v>
      </c>
    </row>
    <row r="5894" spans="1:4">
      <c r="A5894" t="s">
        <v>91</v>
      </c>
      <c r="B5894" t="s">
        <v>510</v>
      </c>
      <c r="C5894" t="s">
        <v>6249</v>
      </c>
      <c r="D5894">
        <v>264.99</v>
      </c>
    </row>
    <row r="5895" spans="1:4">
      <c r="A5895" t="s">
        <v>91</v>
      </c>
      <c r="C5895" t="s">
        <v>6250</v>
      </c>
      <c r="D5895">
        <v>149.94999999999999</v>
      </c>
    </row>
    <row r="5896" spans="1:4">
      <c r="A5896" t="s">
        <v>91</v>
      </c>
      <c r="B5896" t="s">
        <v>510</v>
      </c>
      <c r="C5896" t="s">
        <v>6251</v>
      </c>
      <c r="D5896">
        <v>944.99</v>
      </c>
    </row>
    <row r="5897" spans="1:4">
      <c r="A5897" t="s">
        <v>91</v>
      </c>
      <c r="B5897" t="s">
        <v>510</v>
      </c>
      <c r="C5897" t="s">
        <v>6252</v>
      </c>
      <c r="D5897">
        <v>599.99</v>
      </c>
    </row>
    <row r="5898" spans="1:4">
      <c r="A5898" t="s">
        <v>91</v>
      </c>
      <c r="B5898" t="s">
        <v>505</v>
      </c>
      <c r="C5898" t="s">
        <v>6253</v>
      </c>
      <c r="D5898">
        <v>229.99</v>
      </c>
    </row>
    <row r="5899" spans="1:4">
      <c r="A5899" t="s">
        <v>91</v>
      </c>
      <c r="B5899" t="s">
        <v>1337</v>
      </c>
      <c r="C5899" t="s">
        <v>6254</v>
      </c>
      <c r="D5899">
        <v>154.99</v>
      </c>
    </row>
    <row r="5900" spans="1:4">
      <c r="A5900" t="s">
        <v>91</v>
      </c>
      <c r="B5900" t="s">
        <v>505</v>
      </c>
      <c r="C5900" t="s">
        <v>6255</v>
      </c>
      <c r="D5900">
        <v>144.99</v>
      </c>
    </row>
    <row r="5901" spans="1:4">
      <c r="A5901" t="s">
        <v>91</v>
      </c>
      <c r="B5901" t="s">
        <v>1337</v>
      </c>
      <c r="C5901" t="s">
        <v>6256</v>
      </c>
      <c r="D5901">
        <v>314.99</v>
      </c>
    </row>
    <row r="5902" spans="1:4">
      <c r="A5902" t="s">
        <v>91</v>
      </c>
      <c r="C5902" t="s">
        <v>6257</v>
      </c>
      <c r="D5902">
        <v>81</v>
      </c>
    </row>
    <row r="5903" spans="1:4">
      <c r="A5903" t="s">
        <v>91</v>
      </c>
      <c r="B5903" t="s">
        <v>505</v>
      </c>
      <c r="C5903" t="s">
        <v>6258</v>
      </c>
      <c r="D5903">
        <v>109.99</v>
      </c>
    </row>
    <row r="5904" spans="1:4">
      <c r="A5904" t="s">
        <v>91</v>
      </c>
      <c r="B5904" t="s">
        <v>1337</v>
      </c>
      <c r="C5904" t="s">
        <v>6259</v>
      </c>
      <c r="D5904">
        <v>229.99</v>
      </c>
    </row>
    <row r="5905" spans="1:4">
      <c r="A5905" t="s">
        <v>91</v>
      </c>
      <c r="B5905" t="s">
        <v>510</v>
      </c>
      <c r="C5905" t="s">
        <v>6260</v>
      </c>
      <c r="D5905">
        <v>1009.99</v>
      </c>
    </row>
    <row r="5906" spans="1:4">
      <c r="A5906" t="s">
        <v>91</v>
      </c>
      <c r="B5906" t="s">
        <v>1337</v>
      </c>
      <c r="C5906" t="s">
        <v>6261</v>
      </c>
      <c r="D5906">
        <v>559.99</v>
      </c>
    </row>
    <row r="5907" spans="1:4">
      <c r="A5907" t="s">
        <v>91</v>
      </c>
      <c r="B5907" t="s">
        <v>510</v>
      </c>
      <c r="C5907" t="s">
        <v>6262</v>
      </c>
      <c r="D5907">
        <v>1099.99</v>
      </c>
    </row>
    <row r="5908" spans="1:4">
      <c r="A5908" t="s">
        <v>91</v>
      </c>
      <c r="B5908" t="s">
        <v>1337</v>
      </c>
      <c r="C5908" t="s">
        <v>6263</v>
      </c>
      <c r="D5908">
        <v>274.99</v>
      </c>
    </row>
    <row r="5909" spans="1:4">
      <c r="A5909" t="s">
        <v>91</v>
      </c>
      <c r="B5909" t="s">
        <v>2983</v>
      </c>
      <c r="C5909" t="s">
        <v>6264</v>
      </c>
      <c r="D5909">
        <v>229.99</v>
      </c>
    </row>
    <row r="5910" spans="1:4">
      <c r="A5910" t="s">
        <v>91</v>
      </c>
      <c r="B5910" t="s">
        <v>505</v>
      </c>
      <c r="C5910" t="s">
        <v>6265</v>
      </c>
      <c r="D5910">
        <v>84.99</v>
      </c>
    </row>
    <row r="5911" spans="1:4">
      <c r="A5911" t="s">
        <v>91</v>
      </c>
      <c r="B5911" t="s">
        <v>505</v>
      </c>
      <c r="C5911" t="s">
        <v>6266</v>
      </c>
      <c r="D5911">
        <v>234.99</v>
      </c>
    </row>
    <row r="5912" spans="1:4">
      <c r="A5912" t="s">
        <v>91</v>
      </c>
      <c r="B5912" t="s">
        <v>510</v>
      </c>
      <c r="C5912" t="s">
        <v>6267</v>
      </c>
      <c r="D5912">
        <v>129.99</v>
      </c>
    </row>
    <row r="5913" spans="1:4">
      <c r="A5913" t="s">
        <v>91</v>
      </c>
      <c r="B5913" t="s">
        <v>510</v>
      </c>
      <c r="C5913" t="s">
        <v>6268</v>
      </c>
      <c r="D5913">
        <v>216.95</v>
      </c>
    </row>
    <row r="5914" spans="1:4">
      <c r="A5914" t="s">
        <v>91</v>
      </c>
      <c r="B5914" t="s">
        <v>510</v>
      </c>
      <c r="C5914" t="s">
        <v>6269</v>
      </c>
      <c r="D5914">
        <v>69.989999999999995</v>
      </c>
    </row>
    <row r="5915" spans="1:4">
      <c r="A5915" t="s">
        <v>91</v>
      </c>
      <c r="B5915" t="s">
        <v>510</v>
      </c>
      <c r="C5915" t="s">
        <v>6270</v>
      </c>
      <c r="D5915">
        <v>599</v>
      </c>
    </row>
    <row r="5916" spans="1:4">
      <c r="A5916" t="s">
        <v>91</v>
      </c>
      <c r="B5916" t="s">
        <v>510</v>
      </c>
      <c r="C5916" t="s">
        <v>6271</v>
      </c>
      <c r="D5916">
        <v>1129</v>
      </c>
    </row>
    <row r="5917" spans="1:4">
      <c r="A5917" t="s">
        <v>91</v>
      </c>
      <c r="B5917" t="s">
        <v>505</v>
      </c>
      <c r="C5917" t="s">
        <v>6272</v>
      </c>
      <c r="D5917">
        <v>214.99</v>
      </c>
    </row>
    <row r="5918" spans="1:4">
      <c r="A5918" t="s">
        <v>91</v>
      </c>
      <c r="B5918" t="s">
        <v>1337</v>
      </c>
      <c r="C5918" t="s">
        <v>6273</v>
      </c>
      <c r="D5918">
        <v>386.99</v>
      </c>
    </row>
    <row r="5919" spans="1:4">
      <c r="A5919" t="s">
        <v>91</v>
      </c>
      <c r="B5919" t="s">
        <v>1337</v>
      </c>
      <c r="C5919" t="s">
        <v>6274</v>
      </c>
      <c r="D5919">
        <v>929.99</v>
      </c>
    </row>
    <row r="5920" spans="1:4">
      <c r="A5920" t="s">
        <v>91</v>
      </c>
      <c r="B5920" t="s">
        <v>510</v>
      </c>
      <c r="C5920" t="s">
        <v>6275</v>
      </c>
      <c r="D5920">
        <v>135.18</v>
      </c>
    </row>
    <row r="5921" spans="1:4">
      <c r="A5921" t="s">
        <v>91</v>
      </c>
      <c r="B5921" t="s">
        <v>510</v>
      </c>
      <c r="C5921" t="s">
        <v>6276</v>
      </c>
      <c r="D5921">
        <v>319.99</v>
      </c>
    </row>
    <row r="5922" spans="1:4">
      <c r="A5922" t="s">
        <v>91</v>
      </c>
      <c r="B5922" t="s">
        <v>510</v>
      </c>
      <c r="C5922" t="s">
        <v>6277</v>
      </c>
      <c r="D5922">
        <v>689.99</v>
      </c>
    </row>
    <row r="5923" spans="1:4">
      <c r="A5923" t="s">
        <v>91</v>
      </c>
      <c r="B5923" t="s">
        <v>510</v>
      </c>
      <c r="C5923" t="s">
        <v>6278</v>
      </c>
      <c r="D5923">
        <v>582.37</v>
      </c>
    </row>
    <row r="5924" spans="1:4">
      <c r="A5924" t="s">
        <v>91</v>
      </c>
      <c r="B5924" t="s">
        <v>510</v>
      </c>
      <c r="C5924" t="s">
        <v>6279</v>
      </c>
      <c r="D5924">
        <v>279.99</v>
      </c>
    </row>
    <row r="5925" spans="1:4">
      <c r="A5925" t="s">
        <v>91</v>
      </c>
      <c r="C5925" t="s">
        <v>6280</v>
      </c>
      <c r="D5925">
        <v>299</v>
      </c>
    </row>
    <row r="5926" spans="1:4">
      <c r="A5926" t="s">
        <v>91</v>
      </c>
      <c r="B5926" t="s">
        <v>510</v>
      </c>
      <c r="C5926" t="s">
        <v>6281</v>
      </c>
      <c r="D5926">
        <v>64.989999999999995</v>
      </c>
    </row>
    <row r="5927" spans="1:4">
      <c r="A5927" t="s">
        <v>91</v>
      </c>
      <c r="B5927" t="s">
        <v>505</v>
      </c>
      <c r="C5927" t="s">
        <v>6282</v>
      </c>
      <c r="D5927">
        <v>179.69</v>
      </c>
    </row>
    <row r="5928" spans="1:4">
      <c r="A5928" t="s">
        <v>91</v>
      </c>
      <c r="B5928" t="s">
        <v>505</v>
      </c>
      <c r="C5928" t="s">
        <v>6283</v>
      </c>
      <c r="D5928">
        <v>99.99</v>
      </c>
    </row>
    <row r="5929" spans="1:4">
      <c r="A5929" t="s">
        <v>91</v>
      </c>
      <c r="B5929" t="s">
        <v>510</v>
      </c>
      <c r="C5929" t="s">
        <v>6284</v>
      </c>
      <c r="D5929">
        <v>349.99</v>
      </c>
    </row>
    <row r="5930" spans="1:4">
      <c r="A5930" t="s">
        <v>91</v>
      </c>
      <c r="B5930" t="s">
        <v>505</v>
      </c>
      <c r="C5930" t="s">
        <v>5991</v>
      </c>
      <c r="D5930">
        <v>176.49</v>
      </c>
    </row>
    <row r="5931" spans="1:4">
      <c r="A5931" t="s">
        <v>91</v>
      </c>
      <c r="B5931" t="s">
        <v>510</v>
      </c>
      <c r="C5931" t="s">
        <v>6285</v>
      </c>
      <c r="D5931">
        <v>144.99</v>
      </c>
    </row>
    <row r="5932" spans="1:4">
      <c r="A5932" t="s">
        <v>91</v>
      </c>
      <c r="B5932" t="s">
        <v>1337</v>
      </c>
      <c r="C5932" t="s">
        <v>6286</v>
      </c>
      <c r="D5932">
        <v>263.63</v>
      </c>
    </row>
    <row r="5933" spans="1:4">
      <c r="A5933" t="s">
        <v>91</v>
      </c>
      <c r="B5933" t="s">
        <v>505</v>
      </c>
      <c r="C5933" t="s">
        <v>6287</v>
      </c>
      <c r="D5933">
        <v>89.99</v>
      </c>
    </row>
    <row r="5934" spans="1:4">
      <c r="A5934" t="s">
        <v>91</v>
      </c>
      <c r="B5934" t="s">
        <v>510</v>
      </c>
      <c r="C5934" t="s">
        <v>6288</v>
      </c>
      <c r="D5934">
        <v>149.99</v>
      </c>
    </row>
    <row r="5935" spans="1:4">
      <c r="A5935" t="s">
        <v>91</v>
      </c>
      <c r="B5935" t="s">
        <v>510</v>
      </c>
      <c r="C5935" t="s">
        <v>6289</v>
      </c>
      <c r="D5935">
        <v>439.99</v>
      </c>
    </row>
    <row r="5936" spans="1:4">
      <c r="A5936" t="s">
        <v>91</v>
      </c>
      <c r="B5936" t="s">
        <v>510</v>
      </c>
      <c r="C5936" t="s">
        <v>6290</v>
      </c>
      <c r="D5936">
        <v>422.95</v>
      </c>
    </row>
    <row r="5937" spans="1:4">
      <c r="A5937" t="s">
        <v>91</v>
      </c>
      <c r="B5937" t="s">
        <v>510</v>
      </c>
      <c r="C5937" t="s">
        <v>6291</v>
      </c>
      <c r="D5937">
        <v>69.989999999999995</v>
      </c>
    </row>
    <row r="5938" spans="1:4">
      <c r="A5938" t="s">
        <v>91</v>
      </c>
      <c r="B5938" t="s">
        <v>510</v>
      </c>
      <c r="C5938" t="s">
        <v>6292</v>
      </c>
      <c r="D5938">
        <v>59.99</v>
      </c>
    </row>
    <row r="5939" spans="1:4">
      <c r="A5939" t="s">
        <v>91</v>
      </c>
      <c r="B5939" t="s">
        <v>510</v>
      </c>
      <c r="C5939" t="s">
        <v>6293</v>
      </c>
      <c r="D5939">
        <v>579.99</v>
      </c>
    </row>
    <row r="5940" spans="1:4">
      <c r="A5940" t="s">
        <v>91</v>
      </c>
      <c r="B5940" t="s">
        <v>1337</v>
      </c>
      <c r="C5940" t="s">
        <v>6294</v>
      </c>
      <c r="D5940">
        <v>589.99</v>
      </c>
    </row>
    <row r="5941" spans="1:4">
      <c r="A5941" t="s">
        <v>91</v>
      </c>
      <c r="B5941" t="s">
        <v>510</v>
      </c>
      <c r="C5941" t="s">
        <v>6295</v>
      </c>
      <c r="D5941">
        <v>1199.99</v>
      </c>
    </row>
    <row r="5942" spans="1:4">
      <c r="A5942" t="s">
        <v>91</v>
      </c>
      <c r="B5942" t="s">
        <v>510</v>
      </c>
      <c r="C5942" t="s">
        <v>6296</v>
      </c>
      <c r="D5942">
        <v>829</v>
      </c>
    </row>
    <row r="5943" spans="1:4">
      <c r="A5943" t="s">
        <v>91</v>
      </c>
      <c r="B5943" t="s">
        <v>1116</v>
      </c>
      <c r="C5943" t="s">
        <v>6297</v>
      </c>
      <c r="D5943">
        <v>244.99</v>
      </c>
    </row>
    <row r="5944" spans="1:4">
      <c r="A5944" t="s">
        <v>91</v>
      </c>
      <c r="B5944" t="s">
        <v>510</v>
      </c>
      <c r="C5944" t="s">
        <v>6298</v>
      </c>
      <c r="D5944">
        <v>199.99</v>
      </c>
    </row>
    <row r="5945" spans="1:4">
      <c r="A5945" t="s">
        <v>91</v>
      </c>
      <c r="B5945" t="s">
        <v>510</v>
      </c>
      <c r="C5945" t="s">
        <v>6299</v>
      </c>
      <c r="D5945">
        <v>119.99</v>
      </c>
    </row>
    <row r="5946" spans="1:4">
      <c r="A5946" t="s">
        <v>91</v>
      </c>
      <c r="B5946" t="s">
        <v>1337</v>
      </c>
      <c r="C5946" t="s">
        <v>6300</v>
      </c>
      <c r="D5946">
        <v>934.99</v>
      </c>
    </row>
    <row r="5947" spans="1:4">
      <c r="A5947" t="s">
        <v>91</v>
      </c>
      <c r="B5947" t="s">
        <v>505</v>
      </c>
      <c r="C5947" t="s">
        <v>6301</v>
      </c>
      <c r="D5947">
        <v>84.95</v>
      </c>
    </row>
    <row r="5948" spans="1:4">
      <c r="A5948" t="s">
        <v>91</v>
      </c>
      <c r="B5948" t="s">
        <v>505</v>
      </c>
      <c r="C5948" t="s">
        <v>6302</v>
      </c>
      <c r="D5948">
        <v>181.97</v>
      </c>
    </row>
    <row r="5949" spans="1:4">
      <c r="A5949" t="s">
        <v>91</v>
      </c>
      <c r="B5949" t="s">
        <v>510</v>
      </c>
      <c r="C5949" t="s">
        <v>6303</v>
      </c>
      <c r="D5949">
        <v>436.8</v>
      </c>
    </row>
    <row r="5950" spans="1:4">
      <c r="A5950" t="s">
        <v>91</v>
      </c>
      <c r="B5950" t="s">
        <v>510</v>
      </c>
      <c r="C5950" t="s">
        <v>6304</v>
      </c>
      <c r="D5950">
        <v>207.99</v>
      </c>
    </row>
    <row r="5951" spans="1:4">
      <c r="A5951" t="s">
        <v>91</v>
      </c>
      <c r="B5951" t="s">
        <v>510</v>
      </c>
      <c r="C5951" t="s">
        <v>6305</v>
      </c>
      <c r="D5951">
        <v>119.99</v>
      </c>
    </row>
    <row r="5952" spans="1:4">
      <c r="A5952" t="s">
        <v>91</v>
      </c>
      <c r="B5952" t="s">
        <v>510</v>
      </c>
      <c r="C5952" t="s">
        <v>6306</v>
      </c>
      <c r="D5952">
        <v>189.99</v>
      </c>
    </row>
    <row r="5953" spans="1:4">
      <c r="A5953" t="s">
        <v>91</v>
      </c>
      <c r="B5953" t="s">
        <v>505</v>
      </c>
      <c r="C5953" t="s">
        <v>6307</v>
      </c>
      <c r="D5953">
        <v>209.99</v>
      </c>
    </row>
    <row r="5954" spans="1:4">
      <c r="A5954" t="s">
        <v>91</v>
      </c>
      <c r="B5954" t="s">
        <v>510</v>
      </c>
      <c r="C5954" t="s">
        <v>6308</v>
      </c>
      <c r="D5954">
        <v>143.96</v>
      </c>
    </row>
    <row r="5955" spans="1:4">
      <c r="A5955" t="s">
        <v>91</v>
      </c>
      <c r="B5955" t="s">
        <v>510</v>
      </c>
      <c r="C5955" t="s">
        <v>6309</v>
      </c>
      <c r="D5955">
        <v>399.97</v>
      </c>
    </row>
    <row r="5956" spans="1:4">
      <c r="A5956" t="s">
        <v>91</v>
      </c>
      <c r="B5956" t="s">
        <v>510</v>
      </c>
      <c r="C5956" t="s">
        <v>6310</v>
      </c>
      <c r="D5956">
        <v>279.99</v>
      </c>
    </row>
    <row r="5957" spans="1:4">
      <c r="A5957" t="s">
        <v>91</v>
      </c>
      <c r="B5957" t="s">
        <v>510</v>
      </c>
      <c r="C5957" t="s">
        <v>6311</v>
      </c>
      <c r="D5957">
        <v>117.98</v>
      </c>
    </row>
    <row r="5958" spans="1:4">
      <c r="A5958" t="s">
        <v>91</v>
      </c>
      <c r="B5958" t="s">
        <v>505</v>
      </c>
      <c r="C5958" t="s">
        <v>6312</v>
      </c>
      <c r="D5958">
        <v>72.97</v>
      </c>
    </row>
    <row r="5959" spans="1:4">
      <c r="A5959" t="s">
        <v>91</v>
      </c>
      <c r="B5959" t="s">
        <v>1337</v>
      </c>
      <c r="C5959" t="s">
        <v>6313</v>
      </c>
      <c r="D5959">
        <v>376.73</v>
      </c>
    </row>
    <row r="5960" spans="1:4">
      <c r="A5960" t="s">
        <v>91</v>
      </c>
      <c r="B5960" t="s">
        <v>510</v>
      </c>
      <c r="C5960" t="s">
        <v>6314</v>
      </c>
      <c r="D5960">
        <v>207.97</v>
      </c>
    </row>
    <row r="5961" spans="1:4">
      <c r="A5961" t="s">
        <v>91</v>
      </c>
      <c r="B5961" t="s">
        <v>505</v>
      </c>
      <c r="C5961" t="s">
        <v>6315</v>
      </c>
      <c r="D5961">
        <v>89.99</v>
      </c>
    </row>
    <row r="5962" spans="1:4">
      <c r="A5962" t="s">
        <v>91</v>
      </c>
      <c r="B5962" t="s">
        <v>510</v>
      </c>
      <c r="C5962" t="s">
        <v>6316</v>
      </c>
      <c r="D5962">
        <v>242.99</v>
      </c>
    </row>
    <row r="5963" spans="1:4">
      <c r="A5963" t="s">
        <v>91</v>
      </c>
      <c r="B5963" t="s">
        <v>505</v>
      </c>
      <c r="C5963" t="s">
        <v>6317</v>
      </c>
      <c r="D5963">
        <v>364.99</v>
      </c>
    </row>
    <row r="5964" spans="1:4">
      <c r="A5964" t="s">
        <v>91</v>
      </c>
      <c r="B5964" t="s">
        <v>1337</v>
      </c>
      <c r="C5964" t="s">
        <v>6318</v>
      </c>
      <c r="D5964">
        <v>319.99</v>
      </c>
    </row>
    <row r="5965" spans="1:4">
      <c r="A5965" t="s">
        <v>91</v>
      </c>
      <c r="B5965" t="s">
        <v>3081</v>
      </c>
      <c r="C5965" t="s">
        <v>6319</v>
      </c>
      <c r="D5965">
        <v>43.99</v>
      </c>
    </row>
    <row r="5966" spans="1:4">
      <c r="A5966" t="s">
        <v>91</v>
      </c>
      <c r="B5966" t="s">
        <v>510</v>
      </c>
      <c r="C5966" t="s">
        <v>6320</v>
      </c>
      <c r="D5966">
        <v>99.99</v>
      </c>
    </row>
    <row r="5967" spans="1:4">
      <c r="A5967" t="s">
        <v>91</v>
      </c>
      <c r="B5967" t="s">
        <v>510</v>
      </c>
      <c r="C5967" t="s">
        <v>6321</v>
      </c>
      <c r="D5967">
        <v>159.99</v>
      </c>
    </row>
    <row r="5968" spans="1:4">
      <c r="A5968" t="s">
        <v>91</v>
      </c>
      <c r="B5968" t="s">
        <v>510</v>
      </c>
      <c r="C5968" t="s">
        <v>6322</v>
      </c>
      <c r="D5968">
        <v>79.989999999999995</v>
      </c>
    </row>
    <row r="5969" spans="1:4">
      <c r="A5969" t="s">
        <v>91</v>
      </c>
      <c r="B5969" t="s">
        <v>510</v>
      </c>
      <c r="C5969" t="s">
        <v>6323</v>
      </c>
      <c r="D5969">
        <v>161.94999999999999</v>
      </c>
    </row>
    <row r="5970" spans="1:4">
      <c r="A5970" t="s">
        <v>91</v>
      </c>
      <c r="B5970" t="s">
        <v>510</v>
      </c>
      <c r="C5970" t="s">
        <v>6324</v>
      </c>
      <c r="D5970">
        <v>59.99</v>
      </c>
    </row>
    <row r="5971" spans="1:4">
      <c r="A5971" t="s">
        <v>91</v>
      </c>
      <c r="B5971" t="s">
        <v>505</v>
      </c>
      <c r="C5971" t="s">
        <v>6325</v>
      </c>
      <c r="D5971">
        <v>119.99</v>
      </c>
    </row>
    <row r="5972" spans="1:4">
      <c r="A5972" t="s">
        <v>91</v>
      </c>
      <c r="B5972" t="s">
        <v>510</v>
      </c>
      <c r="C5972" t="s">
        <v>6326</v>
      </c>
      <c r="D5972">
        <v>529</v>
      </c>
    </row>
    <row r="5973" spans="1:4">
      <c r="A5973" t="s">
        <v>91</v>
      </c>
      <c r="B5973" t="s">
        <v>1337</v>
      </c>
      <c r="C5973" t="s">
        <v>6327</v>
      </c>
      <c r="D5973">
        <v>386.99</v>
      </c>
    </row>
    <row r="5974" spans="1:4">
      <c r="A5974" t="s">
        <v>91</v>
      </c>
      <c r="B5974" t="s">
        <v>510</v>
      </c>
      <c r="C5974" t="s">
        <v>6328</v>
      </c>
      <c r="D5974">
        <v>89.99</v>
      </c>
    </row>
    <row r="5975" spans="1:4">
      <c r="A5975" t="s">
        <v>91</v>
      </c>
      <c r="B5975" t="s">
        <v>510</v>
      </c>
      <c r="C5975" t="s">
        <v>6329</v>
      </c>
      <c r="D5975">
        <v>296.39999999999998</v>
      </c>
    </row>
    <row r="5976" spans="1:4">
      <c r="A5976" t="s">
        <v>91</v>
      </c>
      <c r="B5976" t="s">
        <v>5672</v>
      </c>
      <c r="C5976" t="s">
        <v>6330</v>
      </c>
      <c r="D5976">
        <v>182.99</v>
      </c>
    </row>
    <row r="5977" spans="1:4">
      <c r="A5977" t="s">
        <v>91</v>
      </c>
      <c r="C5977" t="s">
        <v>6331</v>
      </c>
      <c r="D5977">
        <v>269</v>
      </c>
    </row>
    <row r="5978" spans="1:4">
      <c r="A5978" t="s">
        <v>91</v>
      </c>
      <c r="B5978" t="s">
        <v>510</v>
      </c>
      <c r="C5978" t="s">
        <v>6332</v>
      </c>
      <c r="D5978">
        <v>189</v>
      </c>
    </row>
    <row r="5979" spans="1:4">
      <c r="A5979" t="s">
        <v>91</v>
      </c>
      <c r="B5979" t="s">
        <v>510</v>
      </c>
      <c r="C5979" t="s">
        <v>6333</v>
      </c>
      <c r="D5979">
        <v>499.99</v>
      </c>
    </row>
    <row r="5980" spans="1:4">
      <c r="A5980" t="s">
        <v>91</v>
      </c>
      <c r="B5980" t="s">
        <v>505</v>
      </c>
      <c r="C5980" t="s">
        <v>6334</v>
      </c>
      <c r="D5980">
        <v>89.99</v>
      </c>
    </row>
    <row r="5981" spans="1:4">
      <c r="A5981" t="s">
        <v>91</v>
      </c>
      <c r="B5981" t="s">
        <v>505</v>
      </c>
      <c r="C5981" t="s">
        <v>6335</v>
      </c>
      <c r="D5981">
        <v>164.99</v>
      </c>
    </row>
    <row r="5982" spans="1:4">
      <c r="A5982" t="s">
        <v>91</v>
      </c>
      <c r="B5982" t="s">
        <v>510</v>
      </c>
      <c r="C5982" t="s">
        <v>6336</v>
      </c>
      <c r="D5982">
        <v>157.49</v>
      </c>
    </row>
    <row r="5983" spans="1:4">
      <c r="A5983" t="s">
        <v>91</v>
      </c>
      <c r="B5983" t="s">
        <v>510</v>
      </c>
      <c r="C5983" t="s">
        <v>6337</v>
      </c>
      <c r="D5983">
        <v>329.99</v>
      </c>
    </row>
    <row r="5984" spans="1:4">
      <c r="A5984" t="s">
        <v>91</v>
      </c>
      <c r="B5984" t="s">
        <v>510</v>
      </c>
      <c r="C5984" t="s">
        <v>6338</v>
      </c>
      <c r="D5984">
        <v>219</v>
      </c>
    </row>
    <row r="5985" spans="1:4">
      <c r="A5985" t="s">
        <v>91</v>
      </c>
      <c r="B5985" t="s">
        <v>510</v>
      </c>
      <c r="C5985" t="s">
        <v>6339</v>
      </c>
      <c r="D5985">
        <v>189.99</v>
      </c>
    </row>
    <row r="5986" spans="1:4">
      <c r="A5986" t="s">
        <v>91</v>
      </c>
      <c r="C5986" t="s">
        <v>6340</v>
      </c>
      <c r="D5986">
        <v>280</v>
      </c>
    </row>
    <row r="5987" spans="1:4">
      <c r="A5987" t="s">
        <v>91</v>
      </c>
      <c r="B5987" t="s">
        <v>510</v>
      </c>
      <c r="C5987" t="s">
        <v>6341</v>
      </c>
      <c r="D5987">
        <v>459.99</v>
      </c>
    </row>
    <row r="5988" spans="1:4">
      <c r="A5988" t="s">
        <v>91</v>
      </c>
      <c r="B5988" t="s">
        <v>510</v>
      </c>
      <c r="C5988" t="s">
        <v>6342</v>
      </c>
      <c r="D5988">
        <v>249</v>
      </c>
    </row>
    <row r="5989" spans="1:4">
      <c r="A5989" t="s">
        <v>91</v>
      </c>
      <c r="B5989" t="s">
        <v>510</v>
      </c>
      <c r="C5989" t="s">
        <v>6343</v>
      </c>
      <c r="D5989">
        <v>359.99</v>
      </c>
    </row>
    <row r="5990" spans="1:4">
      <c r="A5990" t="s">
        <v>91</v>
      </c>
      <c r="B5990" t="s">
        <v>1337</v>
      </c>
      <c r="C5990" t="s">
        <v>6344</v>
      </c>
      <c r="D5990">
        <v>709.99</v>
      </c>
    </row>
    <row r="5991" spans="1:4">
      <c r="A5991" t="s">
        <v>91</v>
      </c>
      <c r="B5991" t="s">
        <v>6345</v>
      </c>
      <c r="C5991" t="s">
        <v>6346</v>
      </c>
      <c r="D5991">
        <v>899.99</v>
      </c>
    </row>
    <row r="5992" spans="1:4">
      <c r="A5992" t="s">
        <v>91</v>
      </c>
      <c r="B5992" t="s">
        <v>510</v>
      </c>
      <c r="C5992" t="s">
        <v>6347</v>
      </c>
      <c r="D5992">
        <v>299.99</v>
      </c>
    </row>
    <row r="5993" spans="1:4">
      <c r="A5993" t="s">
        <v>91</v>
      </c>
      <c r="B5993" t="s">
        <v>510</v>
      </c>
      <c r="C5993" t="s">
        <v>6348</v>
      </c>
      <c r="D5993">
        <v>549.99</v>
      </c>
    </row>
    <row r="5994" spans="1:4">
      <c r="A5994" t="s">
        <v>91</v>
      </c>
      <c r="B5994" t="s">
        <v>510</v>
      </c>
      <c r="C5994" t="s">
        <v>6349</v>
      </c>
      <c r="D5994">
        <v>329.97</v>
      </c>
    </row>
    <row r="5995" spans="1:4">
      <c r="A5995" t="s">
        <v>91</v>
      </c>
      <c r="B5995" t="s">
        <v>510</v>
      </c>
      <c r="C5995" t="s">
        <v>6350</v>
      </c>
      <c r="D5995">
        <v>359.99</v>
      </c>
    </row>
    <row r="5996" spans="1:4">
      <c r="A5996" t="s">
        <v>91</v>
      </c>
      <c r="B5996" t="s">
        <v>510</v>
      </c>
      <c r="C5996" t="s">
        <v>6351</v>
      </c>
      <c r="D5996">
        <v>199.99</v>
      </c>
    </row>
    <row r="5997" spans="1:4">
      <c r="A5997" t="s">
        <v>91</v>
      </c>
      <c r="B5997" t="s">
        <v>1337</v>
      </c>
      <c r="C5997" t="s">
        <v>6352</v>
      </c>
      <c r="D5997">
        <v>399.99</v>
      </c>
    </row>
    <row r="5998" spans="1:4">
      <c r="A5998" t="s">
        <v>91</v>
      </c>
      <c r="B5998" t="s">
        <v>505</v>
      </c>
      <c r="C5998" t="s">
        <v>6353</v>
      </c>
      <c r="D5998">
        <v>219.99</v>
      </c>
    </row>
    <row r="5999" spans="1:4">
      <c r="A5999" t="s">
        <v>91</v>
      </c>
      <c r="B5999" t="s">
        <v>510</v>
      </c>
      <c r="C5999" t="s">
        <v>6354</v>
      </c>
      <c r="D5999">
        <v>359.99</v>
      </c>
    </row>
    <row r="6000" spans="1:4">
      <c r="A6000" t="s">
        <v>91</v>
      </c>
      <c r="B6000" t="s">
        <v>510</v>
      </c>
      <c r="C6000" t="s">
        <v>6355</v>
      </c>
      <c r="D6000">
        <v>349.99</v>
      </c>
    </row>
    <row r="6001" spans="1:4">
      <c r="A6001" t="s">
        <v>91</v>
      </c>
      <c r="B6001" t="s">
        <v>1337</v>
      </c>
      <c r="C6001" t="s">
        <v>6356</v>
      </c>
      <c r="D6001">
        <v>1234.99</v>
      </c>
    </row>
    <row r="6002" spans="1:4">
      <c r="A6002" t="s">
        <v>91</v>
      </c>
      <c r="B6002" t="s">
        <v>6247</v>
      </c>
      <c r="C6002" t="s">
        <v>6357</v>
      </c>
      <c r="D6002">
        <v>79.95</v>
      </c>
    </row>
    <row r="6003" spans="1:4">
      <c r="A6003" t="s">
        <v>91</v>
      </c>
      <c r="B6003" t="s">
        <v>510</v>
      </c>
      <c r="C6003" t="s">
        <v>6358</v>
      </c>
      <c r="D6003">
        <v>229.99</v>
      </c>
    </row>
    <row r="6004" spans="1:4">
      <c r="A6004" t="s">
        <v>91</v>
      </c>
      <c r="B6004" t="s">
        <v>510</v>
      </c>
      <c r="C6004" t="s">
        <v>6359</v>
      </c>
      <c r="D6004">
        <v>233.99</v>
      </c>
    </row>
    <row r="6005" spans="1:4">
      <c r="A6005" t="s">
        <v>91</v>
      </c>
      <c r="B6005" t="s">
        <v>510</v>
      </c>
      <c r="C6005" t="s">
        <v>6360</v>
      </c>
      <c r="D6005">
        <v>179.99</v>
      </c>
    </row>
    <row r="6006" spans="1:4">
      <c r="A6006" t="s">
        <v>91</v>
      </c>
      <c r="B6006" t="s">
        <v>510</v>
      </c>
      <c r="C6006" t="s">
        <v>6361</v>
      </c>
      <c r="D6006">
        <v>299</v>
      </c>
    </row>
    <row r="6007" spans="1:4">
      <c r="A6007" t="s">
        <v>91</v>
      </c>
      <c r="B6007" t="s">
        <v>510</v>
      </c>
      <c r="C6007" t="s">
        <v>6362</v>
      </c>
      <c r="D6007">
        <v>169.97</v>
      </c>
    </row>
    <row r="6008" spans="1:4">
      <c r="A6008" t="s">
        <v>91</v>
      </c>
      <c r="B6008" t="s">
        <v>510</v>
      </c>
      <c r="C6008" t="s">
        <v>6363</v>
      </c>
      <c r="D6008">
        <v>259.99</v>
      </c>
    </row>
    <row r="6009" spans="1:4">
      <c r="A6009" t="s">
        <v>91</v>
      </c>
      <c r="B6009" t="s">
        <v>2983</v>
      </c>
      <c r="C6009" t="s">
        <v>6364</v>
      </c>
      <c r="D6009">
        <v>129.94999999999999</v>
      </c>
    </row>
    <row r="6010" spans="1:4">
      <c r="A6010" t="s">
        <v>91</v>
      </c>
      <c r="B6010" t="s">
        <v>510</v>
      </c>
      <c r="C6010" t="s">
        <v>6365</v>
      </c>
      <c r="D6010">
        <v>179.99</v>
      </c>
    </row>
    <row r="6011" spans="1:4">
      <c r="A6011" t="s">
        <v>91</v>
      </c>
      <c r="B6011" t="s">
        <v>510</v>
      </c>
      <c r="C6011" t="s">
        <v>6366</v>
      </c>
      <c r="D6011">
        <v>139.99</v>
      </c>
    </row>
    <row r="6012" spans="1:4">
      <c r="A6012" t="s">
        <v>91</v>
      </c>
      <c r="B6012" t="s">
        <v>510</v>
      </c>
      <c r="C6012" t="s">
        <v>6367</v>
      </c>
      <c r="D6012">
        <v>192.59</v>
      </c>
    </row>
    <row r="6013" spans="1:4">
      <c r="A6013" t="s">
        <v>91</v>
      </c>
      <c r="B6013" t="s">
        <v>510</v>
      </c>
      <c r="C6013" t="s">
        <v>6368</v>
      </c>
      <c r="D6013">
        <v>149.99</v>
      </c>
    </row>
    <row r="6014" spans="1:4">
      <c r="A6014" t="s">
        <v>91</v>
      </c>
      <c r="B6014" t="s">
        <v>510</v>
      </c>
      <c r="C6014" t="s">
        <v>6369</v>
      </c>
      <c r="D6014">
        <v>169.99</v>
      </c>
    </row>
    <row r="6015" spans="1:4">
      <c r="A6015" t="s">
        <v>91</v>
      </c>
      <c r="B6015" t="s">
        <v>505</v>
      </c>
      <c r="C6015" t="s">
        <v>6072</v>
      </c>
      <c r="D6015">
        <v>149.94999999999999</v>
      </c>
    </row>
    <row r="6016" spans="1:4">
      <c r="A6016" t="s">
        <v>91</v>
      </c>
      <c r="B6016" t="s">
        <v>1337</v>
      </c>
      <c r="C6016" t="s">
        <v>6370</v>
      </c>
      <c r="D6016">
        <v>764.99</v>
      </c>
    </row>
    <row r="6017" spans="1:4">
      <c r="A6017" t="s">
        <v>91</v>
      </c>
      <c r="B6017" t="s">
        <v>510</v>
      </c>
      <c r="C6017" t="s">
        <v>6371</v>
      </c>
      <c r="D6017">
        <v>94.99</v>
      </c>
    </row>
    <row r="6018" spans="1:4">
      <c r="A6018" t="s">
        <v>91</v>
      </c>
      <c r="B6018" t="s">
        <v>1337</v>
      </c>
      <c r="C6018" t="s">
        <v>6372</v>
      </c>
      <c r="D6018">
        <v>529.99</v>
      </c>
    </row>
    <row r="6019" spans="1:4">
      <c r="A6019" t="s">
        <v>91</v>
      </c>
      <c r="B6019" t="s">
        <v>1337</v>
      </c>
      <c r="C6019" t="s">
        <v>6373</v>
      </c>
      <c r="D6019">
        <v>469.99</v>
      </c>
    </row>
    <row r="6020" spans="1:4">
      <c r="A6020" t="s">
        <v>91</v>
      </c>
      <c r="B6020" t="s">
        <v>505</v>
      </c>
      <c r="C6020" t="s">
        <v>6374</v>
      </c>
      <c r="D6020">
        <v>89.99</v>
      </c>
    </row>
    <row r="6021" spans="1:4">
      <c r="A6021" t="s">
        <v>91</v>
      </c>
      <c r="B6021" t="s">
        <v>510</v>
      </c>
      <c r="C6021" t="s">
        <v>6375</v>
      </c>
      <c r="D6021">
        <v>259.99</v>
      </c>
    </row>
    <row r="6022" spans="1:4">
      <c r="A6022" t="s">
        <v>91</v>
      </c>
      <c r="B6022" t="s">
        <v>510</v>
      </c>
      <c r="C6022" t="s">
        <v>6376</v>
      </c>
      <c r="D6022">
        <v>239.99</v>
      </c>
    </row>
    <row r="6023" spans="1:4">
      <c r="A6023" t="s">
        <v>91</v>
      </c>
      <c r="B6023" t="s">
        <v>510</v>
      </c>
      <c r="C6023" t="s">
        <v>6377</v>
      </c>
      <c r="D6023">
        <v>379.97</v>
      </c>
    </row>
    <row r="6024" spans="1:4">
      <c r="A6024" t="s">
        <v>91</v>
      </c>
      <c r="B6024" t="s">
        <v>510</v>
      </c>
      <c r="C6024" t="s">
        <v>6378</v>
      </c>
      <c r="D6024">
        <v>499</v>
      </c>
    </row>
    <row r="6025" spans="1:4">
      <c r="A6025" t="s">
        <v>91</v>
      </c>
      <c r="B6025" t="s">
        <v>510</v>
      </c>
      <c r="C6025" t="s">
        <v>6379</v>
      </c>
      <c r="D6025">
        <v>184.49</v>
      </c>
    </row>
    <row r="6026" spans="1:4">
      <c r="A6026" t="s">
        <v>91</v>
      </c>
      <c r="B6026" t="s">
        <v>505</v>
      </c>
      <c r="C6026" t="s">
        <v>6380</v>
      </c>
      <c r="D6026">
        <v>609.99</v>
      </c>
    </row>
    <row r="6027" spans="1:4">
      <c r="A6027" t="s">
        <v>91</v>
      </c>
      <c r="B6027" t="s">
        <v>510</v>
      </c>
      <c r="C6027" t="s">
        <v>6381</v>
      </c>
      <c r="D6027">
        <v>64.989999999999995</v>
      </c>
    </row>
    <row r="6028" spans="1:4">
      <c r="A6028" t="s">
        <v>91</v>
      </c>
      <c r="B6028" t="s">
        <v>510</v>
      </c>
      <c r="C6028" t="s">
        <v>6382</v>
      </c>
      <c r="D6028">
        <v>94.99</v>
      </c>
    </row>
    <row r="6029" spans="1:4">
      <c r="A6029" t="s">
        <v>91</v>
      </c>
      <c r="C6029" t="s">
        <v>6383</v>
      </c>
      <c r="D6029">
        <v>299</v>
      </c>
    </row>
    <row r="6030" spans="1:4">
      <c r="A6030" t="s">
        <v>91</v>
      </c>
      <c r="B6030" t="s">
        <v>1337</v>
      </c>
      <c r="C6030" t="s">
        <v>6384</v>
      </c>
      <c r="D6030">
        <v>379.99</v>
      </c>
    </row>
    <row r="6031" spans="1:4">
      <c r="A6031" t="s">
        <v>91</v>
      </c>
      <c r="B6031" t="s">
        <v>510</v>
      </c>
      <c r="C6031" t="s">
        <v>6385</v>
      </c>
      <c r="D6031">
        <v>179.99</v>
      </c>
    </row>
    <row r="6032" spans="1:4">
      <c r="A6032" t="s">
        <v>91</v>
      </c>
      <c r="B6032" t="s">
        <v>505</v>
      </c>
      <c r="C6032" t="s">
        <v>6386</v>
      </c>
      <c r="D6032">
        <v>100.79</v>
      </c>
    </row>
    <row r="6033" spans="1:4">
      <c r="A6033" t="s">
        <v>91</v>
      </c>
      <c r="B6033" t="s">
        <v>510</v>
      </c>
      <c r="C6033" t="s">
        <v>6387</v>
      </c>
      <c r="D6033">
        <v>323.99</v>
      </c>
    </row>
    <row r="6034" spans="1:4">
      <c r="A6034" t="s">
        <v>91</v>
      </c>
      <c r="B6034" t="s">
        <v>1337</v>
      </c>
      <c r="C6034" t="s">
        <v>6388</v>
      </c>
      <c r="D6034">
        <v>299</v>
      </c>
    </row>
    <row r="6035" spans="1:4">
      <c r="A6035" t="s">
        <v>91</v>
      </c>
      <c r="B6035" t="s">
        <v>510</v>
      </c>
      <c r="C6035" t="s">
        <v>6389</v>
      </c>
      <c r="D6035">
        <v>169.99</v>
      </c>
    </row>
    <row r="6036" spans="1:4">
      <c r="A6036" t="s">
        <v>91</v>
      </c>
      <c r="B6036" t="s">
        <v>510</v>
      </c>
      <c r="C6036" t="s">
        <v>6390</v>
      </c>
      <c r="D6036">
        <v>188.09</v>
      </c>
    </row>
    <row r="6037" spans="1:4">
      <c r="A6037" t="s">
        <v>91</v>
      </c>
      <c r="B6037" t="s">
        <v>2983</v>
      </c>
      <c r="C6037" t="s">
        <v>6391</v>
      </c>
      <c r="D6037">
        <v>279.99</v>
      </c>
    </row>
    <row r="6038" spans="1:4">
      <c r="A6038" t="s">
        <v>91</v>
      </c>
      <c r="B6038" t="s">
        <v>1337</v>
      </c>
      <c r="C6038" t="s">
        <v>6392</v>
      </c>
      <c r="D6038">
        <v>584.99</v>
      </c>
    </row>
    <row r="6039" spans="1:4">
      <c r="A6039" t="s">
        <v>91</v>
      </c>
      <c r="B6039" t="s">
        <v>1337</v>
      </c>
      <c r="C6039" t="s">
        <v>6393</v>
      </c>
      <c r="D6039">
        <v>399.99</v>
      </c>
    </row>
    <row r="6040" spans="1:4">
      <c r="A6040" t="s">
        <v>91</v>
      </c>
      <c r="B6040" t="s">
        <v>1337</v>
      </c>
      <c r="C6040" t="s">
        <v>6394</v>
      </c>
      <c r="D6040">
        <v>499.99</v>
      </c>
    </row>
    <row r="6041" spans="1:4">
      <c r="A6041" t="s">
        <v>91</v>
      </c>
      <c r="B6041" t="s">
        <v>1337</v>
      </c>
      <c r="C6041" t="s">
        <v>6395</v>
      </c>
      <c r="D6041">
        <v>384.99</v>
      </c>
    </row>
    <row r="6042" spans="1:4">
      <c r="A6042" t="s">
        <v>91</v>
      </c>
      <c r="B6042" t="s">
        <v>2983</v>
      </c>
      <c r="C6042" t="s">
        <v>6396</v>
      </c>
      <c r="D6042">
        <v>229.99</v>
      </c>
    </row>
    <row r="6043" spans="1:4">
      <c r="A6043" t="s">
        <v>91</v>
      </c>
      <c r="B6043" t="s">
        <v>1337</v>
      </c>
      <c r="C6043" t="s">
        <v>6397</v>
      </c>
      <c r="D6043">
        <v>729.99</v>
      </c>
    </row>
    <row r="6044" spans="1:4">
      <c r="A6044" t="s">
        <v>91</v>
      </c>
      <c r="B6044" t="s">
        <v>2994</v>
      </c>
      <c r="C6044" t="s">
        <v>6398</v>
      </c>
      <c r="D6044">
        <v>649.99</v>
      </c>
    </row>
    <row r="6045" spans="1:4">
      <c r="A6045" t="s">
        <v>91</v>
      </c>
      <c r="B6045" t="s">
        <v>510</v>
      </c>
      <c r="C6045" t="s">
        <v>6399</v>
      </c>
      <c r="D6045">
        <v>389.97</v>
      </c>
    </row>
    <row r="6046" spans="1:4">
      <c r="A6046" t="s">
        <v>91</v>
      </c>
      <c r="B6046" t="s">
        <v>2983</v>
      </c>
      <c r="C6046" t="s">
        <v>6400</v>
      </c>
      <c r="D6046">
        <v>499.99</v>
      </c>
    </row>
    <row r="6047" spans="1:4">
      <c r="A6047" t="s">
        <v>91</v>
      </c>
      <c r="B6047" t="s">
        <v>505</v>
      </c>
      <c r="C6047" t="s">
        <v>6401</v>
      </c>
      <c r="D6047">
        <v>134.99</v>
      </c>
    </row>
    <row r="6048" spans="1:4">
      <c r="A6048" t="s">
        <v>91</v>
      </c>
      <c r="B6048" t="s">
        <v>510</v>
      </c>
      <c r="C6048" t="s">
        <v>6402</v>
      </c>
      <c r="D6048">
        <v>299.99</v>
      </c>
    </row>
    <row r="6049" spans="1:4">
      <c r="A6049" t="s">
        <v>91</v>
      </c>
      <c r="B6049" t="s">
        <v>1337</v>
      </c>
      <c r="C6049" t="s">
        <v>6403</v>
      </c>
      <c r="D6049">
        <v>1014.99</v>
      </c>
    </row>
    <row r="6050" spans="1:4">
      <c r="A6050" t="s">
        <v>91</v>
      </c>
      <c r="B6050" t="s">
        <v>510</v>
      </c>
      <c r="C6050" t="s">
        <v>6404</v>
      </c>
      <c r="D6050">
        <v>149.99</v>
      </c>
    </row>
    <row r="6051" spans="1:4">
      <c r="A6051" t="s">
        <v>91</v>
      </c>
      <c r="B6051" t="s">
        <v>505</v>
      </c>
      <c r="C6051" t="s">
        <v>6405</v>
      </c>
      <c r="D6051">
        <v>159</v>
      </c>
    </row>
    <row r="6052" spans="1:4">
      <c r="A6052" t="s">
        <v>91</v>
      </c>
      <c r="B6052" t="s">
        <v>510</v>
      </c>
      <c r="C6052" t="s">
        <v>6406</v>
      </c>
      <c r="D6052">
        <v>169.95</v>
      </c>
    </row>
    <row r="6053" spans="1:4">
      <c r="A6053" t="s">
        <v>91</v>
      </c>
      <c r="B6053" t="s">
        <v>6407</v>
      </c>
      <c r="C6053" t="s">
        <v>6408</v>
      </c>
      <c r="D6053">
        <v>84.99</v>
      </c>
    </row>
    <row r="6054" spans="1:4">
      <c r="A6054" t="s">
        <v>91</v>
      </c>
      <c r="B6054" t="s">
        <v>505</v>
      </c>
      <c r="C6054" t="s">
        <v>6409</v>
      </c>
      <c r="D6054">
        <v>99.99</v>
      </c>
    </row>
    <row r="6055" spans="1:4">
      <c r="A6055" t="s">
        <v>91</v>
      </c>
      <c r="B6055" t="s">
        <v>510</v>
      </c>
      <c r="C6055" t="s">
        <v>6410</v>
      </c>
      <c r="D6055">
        <v>329.99</v>
      </c>
    </row>
    <row r="6056" spans="1:4">
      <c r="A6056" t="s">
        <v>91</v>
      </c>
      <c r="B6056" t="s">
        <v>510</v>
      </c>
      <c r="C6056" t="s">
        <v>6411</v>
      </c>
      <c r="D6056">
        <v>159.99</v>
      </c>
    </row>
    <row r="6057" spans="1:4">
      <c r="A6057" t="s">
        <v>91</v>
      </c>
      <c r="C6057" t="s">
        <v>6412</v>
      </c>
      <c r="D6057">
        <v>319</v>
      </c>
    </row>
    <row r="6058" spans="1:4">
      <c r="A6058" t="s">
        <v>91</v>
      </c>
      <c r="B6058" t="s">
        <v>510</v>
      </c>
      <c r="C6058" t="s">
        <v>6413</v>
      </c>
      <c r="D6058">
        <v>291.2</v>
      </c>
    </row>
    <row r="6059" spans="1:4">
      <c r="A6059" t="s">
        <v>91</v>
      </c>
      <c r="B6059" t="s">
        <v>505</v>
      </c>
      <c r="C6059" t="s">
        <v>6414</v>
      </c>
      <c r="D6059">
        <v>209.99</v>
      </c>
    </row>
    <row r="6060" spans="1:4">
      <c r="A6060" t="s">
        <v>91</v>
      </c>
      <c r="B6060" t="s">
        <v>510</v>
      </c>
      <c r="C6060" t="s">
        <v>6415</v>
      </c>
      <c r="D6060">
        <v>550.95000000000005</v>
      </c>
    </row>
    <row r="6061" spans="1:4">
      <c r="A6061" t="s">
        <v>91</v>
      </c>
      <c r="B6061" t="s">
        <v>1337</v>
      </c>
      <c r="C6061" t="s">
        <v>6416</v>
      </c>
      <c r="D6061">
        <v>323.99</v>
      </c>
    </row>
    <row r="6062" spans="1:4">
      <c r="A6062" t="s">
        <v>91</v>
      </c>
      <c r="B6062" t="s">
        <v>510</v>
      </c>
      <c r="C6062" t="s">
        <v>6417</v>
      </c>
      <c r="D6062">
        <v>145.57</v>
      </c>
    </row>
    <row r="6063" spans="1:4">
      <c r="A6063" t="s">
        <v>91</v>
      </c>
      <c r="B6063" t="s">
        <v>505</v>
      </c>
      <c r="C6063" t="s">
        <v>6418</v>
      </c>
      <c r="D6063">
        <v>99.99</v>
      </c>
    </row>
    <row r="6064" spans="1:4">
      <c r="A6064" t="s">
        <v>91</v>
      </c>
      <c r="B6064" t="s">
        <v>505</v>
      </c>
      <c r="C6064" t="s">
        <v>6419</v>
      </c>
      <c r="D6064">
        <v>174.99</v>
      </c>
    </row>
    <row r="6065" spans="1:4">
      <c r="A6065" t="s">
        <v>91</v>
      </c>
      <c r="B6065" t="s">
        <v>505</v>
      </c>
      <c r="C6065" t="s">
        <v>6420</v>
      </c>
      <c r="D6065">
        <v>109.99</v>
      </c>
    </row>
    <row r="6066" spans="1:4">
      <c r="A6066" t="s">
        <v>91</v>
      </c>
      <c r="B6066" t="s">
        <v>510</v>
      </c>
      <c r="C6066" t="s">
        <v>6421</v>
      </c>
      <c r="D6066">
        <v>199.99</v>
      </c>
    </row>
    <row r="6067" spans="1:4">
      <c r="A6067" t="s">
        <v>91</v>
      </c>
      <c r="B6067" t="s">
        <v>505</v>
      </c>
      <c r="C6067" t="s">
        <v>6422</v>
      </c>
      <c r="D6067">
        <v>577.99</v>
      </c>
    </row>
    <row r="6068" spans="1:4">
      <c r="A6068" t="s">
        <v>91</v>
      </c>
      <c r="B6068" t="s">
        <v>510</v>
      </c>
      <c r="C6068" t="s">
        <v>6423</v>
      </c>
      <c r="D6068">
        <v>259.99</v>
      </c>
    </row>
    <row r="6069" spans="1:4">
      <c r="A6069" t="s">
        <v>91</v>
      </c>
      <c r="B6069" t="s">
        <v>510</v>
      </c>
      <c r="C6069" t="s">
        <v>6424</v>
      </c>
      <c r="D6069">
        <v>157.49</v>
      </c>
    </row>
    <row r="6070" spans="1:4">
      <c r="A6070" t="s">
        <v>91</v>
      </c>
      <c r="B6070" t="s">
        <v>1337</v>
      </c>
      <c r="C6070" t="s">
        <v>6425</v>
      </c>
      <c r="D6070">
        <v>699</v>
      </c>
    </row>
    <row r="6071" spans="1:4">
      <c r="A6071" t="s">
        <v>91</v>
      </c>
      <c r="B6071" t="s">
        <v>510</v>
      </c>
      <c r="C6071" t="s">
        <v>6426</v>
      </c>
      <c r="D6071">
        <v>289.97000000000003</v>
      </c>
    </row>
    <row r="6072" spans="1:4">
      <c r="A6072" t="s">
        <v>91</v>
      </c>
      <c r="B6072" t="s">
        <v>510</v>
      </c>
      <c r="C6072" t="s">
        <v>6427</v>
      </c>
      <c r="D6072">
        <v>219.99</v>
      </c>
    </row>
    <row r="6073" spans="1:4">
      <c r="A6073" t="s">
        <v>91</v>
      </c>
      <c r="B6073" t="s">
        <v>510</v>
      </c>
      <c r="C6073" t="s">
        <v>6428</v>
      </c>
      <c r="D6073">
        <v>409.99</v>
      </c>
    </row>
    <row r="6074" spans="1:4">
      <c r="A6074" t="s">
        <v>91</v>
      </c>
      <c r="B6074" t="s">
        <v>510</v>
      </c>
      <c r="C6074" t="s">
        <v>6429</v>
      </c>
      <c r="D6074">
        <v>89.99</v>
      </c>
    </row>
    <row r="6075" spans="1:4">
      <c r="A6075" t="s">
        <v>91</v>
      </c>
      <c r="B6075" t="s">
        <v>510</v>
      </c>
      <c r="C6075" t="s">
        <v>6430</v>
      </c>
      <c r="D6075">
        <v>589.99</v>
      </c>
    </row>
    <row r="6076" spans="1:4">
      <c r="A6076" t="s">
        <v>91</v>
      </c>
      <c r="C6076" t="s">
        <v>6431</v>
      </c>
      <c r="D6076">
        <v>49</v>
      </c>
    </row>
    <row r="6077" spans="1:4">
      <c r="A6077" t="s">
        <v>91</v>
      </c>
      <c r="B6077" t="s">
        <v>510</v>
      </c>
      <c r="C6077" t="s">
        <v>6073</v>
      </c>
      <c r="D6077">
        <v>415.99</v>
      </c>
    </row>
    <row r="6078" spans="1:4">
      <c r="A6078" t="s">
        <v>91</v>
      </c>
      <c r="B6078" t="s">
        <v>510</v>
      </c>
      <c r="C6078" t="s">
        <v>6432</v>
      </c>
      <c r="D6078">
        <v>389.97</v>
      </c>
    </row>
    <row r="6079" spans="1:4">
      <c r="A6079" t="s">
        <v>91</v>
      </c>
      <c r="B6079" t="s">
        <v>510</v>
      </c>
      <c r="C6079" t="s">
        <v>6433</v>
      </c>
      <c r="D6079">
        <v>709.99</v>
      </c>
    </row>
    <row r="6080" spans="1:4">
      <c r="A6080" t="s">
        <v>91</v>
      </c>
      <c r="C6080" t="s">
        <v>6434</v>
      </c>
      <c r="D6080">
        <v>499</v>
      </c>
    </row>
    <row r="6081" spans="1:4">
      <c r="A6081" t="s">
        <v>91</v>
      </c>
      <c r="B6081" t="s">
        <v>1337</v>
      </c>
      <c r="C6081" t="s">
        <v>6435</v>
      </c>
      <c r="D6081">
        <v>459.99</v>
      </c>
    </row>
    <row r="6082" spans="1:4">
      <c r="A6082" t="s">
        <v>91</v>
      </c>
      <c r="B6082" t="s">
        <v>510</v>
      </c>
      <c r="C6082" t="s">
        <v>6436</v>
      </c>
      <c r="D6082">
        <v>218.37</v>
      </c>
    </row>
    <row r="6083" spans="1:4">
      <c r="A6083" t="s">
        <v>91</v>
      </c>
      <c r="B6083" t="s">
        <v>505</v>
      </c>
      <c r="C6083" t="s">
        <v>6437</v>
      </c>
      <c r="D6083">
        <v>89.99</v>
      </c>
    </row>
    <row r="6084" spans="1:4">
      <c r="A6084" t="s">
        <v>91</v>
      </c>
      <c r="B6084" t="s">
        <v>6438</v>
      </c>
      <c r="C6084" t="s">
        <v>6439</v>
      </c>
      <c r="D6084">
        <v>64.31</v>
      </c>
    </row>
    <row r="6085" spans="1:4">
      <c r="A6085" t="s">
        <v>91</v>
      </c>
      <c r="B6085" t="s">
        <v>505</v>
      </c>
      <c r="C6085" t="s">
        <v>6440</v>
      </c>
      <c r="D6085">
        <v>89.99</v>
      </c>
    </row>
    <row r="6086" spans="1:4">
      <c r="A6086" t="s">
        <v>91</v>
      </c>
      <c r="B6086" t="s">
        <v>510</v>
      </c>
      <c r="C6086" t="s">
        <v>6441</v>
      </c>
      <c r="D6086">
        <v>569.99</v>
      </c>
    </row>
    <row r="6087" spans="1:4">
      <c r="A6087" t="s">
        <v>91</v>
      </c>
      <c r="B6087" t="s">
        <v>505</v>
      </c>
      <c r="C6087" t="s">
        <v>6442</v>
      </c>
      <c r="D6087">
        <v>157.49</v>
      </c>
    </row>
    <row r="6088" spans="1:4">
      <c r="A6088" t="s">
        <v>91</v>
      </c>
      <c r="B6088" t="s">
        <v>510</v>
      </c>
      <c r="C6088" t="s">
        <v>6443</v>
      </c>
      <c r="D6088">
        <v>332.79</v>
      </c>
    </row>
    <row r="6089" spans="1:4">
      <c r="A6089" t="s">
        <v>91</v>
      </c>
      <c r="B6089" t="s">
        <v>510</v>
      </c>
      <c r="C6089" t="s">
        <v>6444</v>
      </c>
      <c r="D6089">
        <v>339.97</v>
      </c>
    </row>
    <row r="6090" spans="1:4">
      <c r="A6090" t="s">
        <v>91</v>
      </c>
      <c r="B6090" t="s">
        <v>510</v>
      </c>
      <c r="C6090" t="s">
        <v>6445</v>
      </c>
      <c r="D6090">
        <v>329.97</v>
      </c>
    </row>
    <row r="6091" spans="1:4">
      <c r="A6091" t="s">
        <v>91</v>
      </c>
      <c r="B6091" t="s">
        <v>510</v>
      </c>
      <c r="C6091" t="s">
        <v>6446</v>
      </c>
      <c r="D6091">
        <v>499.99</v>
      </c>
    </row>
    <row r="6092" spans="1:4">
      <c r="A6092" t="s">
        <v>91</v>
      </c>
      <c r="B6092" t="s">
        <v>505</v>
      </c>
      <c r="C6092" t="s">
        <v>6447</v>
      </c>
      <c r="D6092">
        <v>79.989999999999995</v>
      </c>
    </row>
    <row r="6093" spans="1:4">
      <c r="A6093" t="s">
        <v>91</v>
      </c>
      <c r="B6093" t="s">
        <v>510</v>
      </c>
      <c r="C6093" t="s">
        <v>6448</v>
      </c>
      <c r="D6093">
        <v>187.99</v>
      </c>
    </row>
    <row r="6094" spans="1:4">
      <c r="A6094" t="s">
        <v>91</v>
      </c>
      <c r="B6094" t="s">
        <v>510</v>
      </c>
      <c r="C6094" t="s">
        <v>6449</v>
      </c>
      <c r="D6094">
        <v>368.99</v>
      </c>
    </row>
    <row r="6095" spans="1:4">
      <c r="A6095" t="s">
        <v>91</v>
      </c>
      <c r="B6095" t="s">
        <v>1337</v>
      </c>
      <c r="C6095" t="s">
        <v>6450</v>
      </c>
      <c r="D6095">
        <v>919.99</v>
      </c>
    </row>
    <row r="6096" spans="1:4">
      <c r="A6096" t="s">
        <v>91</v>
      </c>
      <c r="B6096" t="s">
        <v>510</v>
      </c>
      <c r="C6096" t="s">
        <v>6451</v>
      </c>
      <c r="D6096">
        <v>749.99</v>
      </c>
    </row>
    <row r="6097" spans="1:4">
      <c r="A6097" t="s">
        <v>91</v>
      </c>
      <c r="B6097" t="s">
        <v>505</v>
      </c>
      <c r="C6097" t="s">
        <v>6452</v>
      </c>
      <c r="D6097">
        <v>579.97</v>
      </c>
    </row>
    <row r="6098" spans="1:4">
      <c r="A6098" t="s">
        <v>91</v>
      </c>
      <c r="B6098" t="s">
        <v>1337</v>
      </c>
      <c r="C6098" t="s">
        <v>6453</v>
      </c>
      <c r="D6098">
        <v>819.99</v>
      </c>
    </row>
    <row r="6099" spans="1:4">
      <c r="A6099" t="s">
        <v>91</v>
      </c>
      <c r="B6099" t="s">
        <v>3014</v>
      </c>
      <c r="C6099" t="s">
        <v>6454</v>
      </c>
      <c r="D6099">
        <v>349</v>
      </c>
    </row>
    <row r="6100" spans="1:4">
      <c r="A6100" t="s">
        <v>91</v>
      </c>
      <c r="B6100" t="s">
        <v>1337</v>
      </c>
      <c r="C6100" t="s">
        <v>6455</v>
      </c>
      <c r="D6100">
        <v>334.99</v>
      </c>
    </row>
    <row r="6101" spans="1:4">
      <c r="A6101" t="s">
        <v>91</v>
      </c>
      <c r="C6101" t="s">
        <v>6456</v>
      </c>
      <c r="D6101">
        <v>549</v>
      </c>
    </row>
    <row r="6102" spans="1:4">
      <c r="A6102" t="s">
        <v>91</v>
      </c>
      <c r="B6102" t="s">
        <v>505</v>
      </c>
      <c r="C6102" t="s">
        <v>6457</v>
      </c>
      <c r="D6102">
        <v>89.99</v>
      </c>
    </row>
    <row r="6103" spans="1:4">
      <c r="A6103" t="s">
        <v>91</v>
      </c>
      <c r="B6103" t="s">
        <v>505</v>
      </c>
      <c r="C6103" t="s">
        <v>6458</v>
      </c>
      <c r="D6103">
        <v>174.99</v>
      </c>
    </row>
    <row r="6104" spans="1:4">
      <c r="A6104" t="s">
        <v>91</v>
      </c>
      <c r="B6104" t="s">
        <v>510</v>
      </c>
      <c r="C6104" t="s">
        <v>6459</v>
      </c>
      <c r="D6104">
        <v>719.99</v>
      </c>
    </row>
    <row r="6105" spans="1:4">
      <c r="A6105" t="s">
        <v>91</v>
      </c>
      <c r="B6105" t="s">
        <v>510</v>
      </c>
      <c r="C6105" t="s">
        <v>6460</v>
      </c>
      <c r="D6105">
        <v>139.99</v>
      </c>
    </row>
    <row r="6106" spans="1:4">
      <c r="A6106" t="s">
        <v>91</v>
      </c>
      <c r="B6106" t="s">
        <v>510</v>
      </c>
      <c r="C6106" t="s">
        <v>6461</v>
      </c>
      <c r="D6106">
        <v>233.99</v>
      </c>
    </row>
    <row r="6107" spans="1:4">
      <c r="A6107" t="s">
        <v>91</v>
      </c>
      <c r="B6107" t="s">
        <v>510</v>
      </c>
      <c r="C6107" t="s">
        <v>6462</v>
      </c>
      <c r="D6107">
        <v>249.99</v>
      </c>
    </row>
    <row r="6108" spans="1:4">
      <c r="A6108" t="s">
        <v>91</v>
      </c>
      <c r="B6108" t="s">
        <v>510</v>
      </c>
      <c r="C6108" t="s">
        <v>6463</v>
      </c>
      <c r="D6108">
        <v>149.99</v>
      </c>
    </row>
    <row r="6109" spans="1:4">
      <c r="A6109" t="s">
        <v>91</v>
      </c>
      <c r="B6109" t="s">
        <v>510</v>
      </c>
      <c r="C6109" t="s">
        <v>6464</v>
      </c>
      <c r="D6109">
        <v>289.99</v>
      </c>
    </row>
    <row r="6110" spans="1:4">
      <c r="A6110" t="s">
        <v>91</v>
      </c>
      <c r="B6110" t="s">
        <v>505</v>
      </c>
      <c r="C6110" t="s">
        <v>6465</v>
      </c>
      <c r="D6110">
        <v>187.17</v>
      </c>
    </row>
    <row r="6111" spans="1:4">
      <c r="A6111" t="s">
        <v>91</v>
      </c>
      <c r="B6111" t="s">
        <v>510</v>
      </c>
      <c r="C6111" t="s">
        <v>6466</v>
      </c>
      <c r="D6111">
        <v>149.99</v>
      </c>
    </row>
    <row r="6112" spans="1:4">
      <c r="A6112" t="s">
        <v>91</v>
      </c>
      <c r="B6112" t="s">
        <v>510</v>
      </c>
      <c r="C6112" t="s">
        <v>6467</v>
      </c>
      <c r="D6112">
        <v>143.99</v>
      </c>
    </row>
    <row r="6113" spans="1:4">
      <c r="A6113" t="s">
        <v>91</v>
      </c>
      <c r="B6113" t="s">
        <v>510</v>
      </c>
      <c r="C6113" t="s">
        <v>6468</v>
      </c>
      <c r="D6113">
        <v>349.97</v>
      </c>
    </row>
    <row r="6114" spans="1:4">
      <c r="A6114" t="s">
        <v>91</v>
      </c>
      <c r="C6114" t="s">
        <v>6469</v>
      </c>
      <c r="D6114">
        <v>145</v>
      </c>
    </row>
    <row r="6115" spans="1:4">
      <c r="A6115" t="s">
        <v>91</v>
      </c>
      <c r="B6115" t="s">
        <v>510</v>
      </c>
      <c r="C6115" t="s">
        <v>6470</v>
      </c>
      <c r="D6115">
        <v>189.99</v>
      </c>
    </row>
    <row r="6116" spans="1:4">
      <c r="A6116" t="s">
        <v>91</v>
      </c>
      <c r="B6116" t="s">
        <v>510</v>
      </c>
      <c r="C6116" t="s">
        <v>6471</v>
      </c>
      <c r="D6116">
        <v>389.99</v>
      </c>
    </row>
    <row r="6117" spans="1:4">
      <c r="A6117" t="s">
        <v>91</v>
      </c>
      <c r="B6117" t="s">
        <v>510</v>
      </c>
      <c r="C6117" t="s">
        <v>6472</v>
      </c>
      <c r="D6117">
        <v>169.99</v>
      </c>
    </row>
    <row r="6118" spans="1:4">
      <c r="A6118" t="s">
        <v>91</v>
      </c>
      <c r="C6118" t="s">
        <v>6473</v>
      </c>
      <c r="D6118">
        <v>104.95</v>
      </c>
    </row>
    <row r="6119" spans="1:4">
      <c r="A6119" t="s">
        <v>91</v>
      </c>
      <c r="B6119" t="s">
        <v>510</v>
      </c>
      <c r="C6119" t="s">
        <v>6474</v>
      </c>
      <c r="D6119">
        <v>166.37</v>
      </c>
    </row>
    <row r="6120" spans="1:4">
      <c r="A6120" t="s">
        <v>91</v>
      </c>
      <c r="B6120" t="s">
        <v>1337</v>
      </c>
      <c r="C6120" t="s">
        <v>6475</v>
      </c>
      <c r="D6120">
        <v>984.99</v>
      </c>
    </row>
    <row r="6121" spans="1:4">
      <c r="A6121" t="s">
        <v>91</v>
      </c>
      <c r="B6121" t="s">
        <v>510</v>
      </c>
      <c r="C6121" t="s">
        <v>6476</v>
      </c>
      <c r="D6121">
        <v>949.99</v>
      </c>
    </row>
    <row r="6122" spans="1:4">
      <c r="A6122" t="s">
        <v>91</v>
      </c>
      <c r="C6122" t="s">
        <v>6477</v>
      </c>
      <c r="D6122">
        <v>381.47</v>
      </c>
    </row>
    <row r="6123" spans="1:4">
      <c r="A6123" t="s">
        <v>91</v>
      </c>
      <c r="C6123" t="s">
        <v>6478</v>
      </c>
      <c r="D6123">
        <v>160</v>
      </c>
    </row>
    <row r="6124" spans="1:4">
      <c r="A6124" t="s">
        <v>91</v>
      </c>
      <c r="B6124" t="s">
        <v>510</v>
      </c>
      <c r="C6124" t="s">
        <v>6479</v>
      </c>
      <c r="D6124">
        <v>449</v>
      </c>
    </row>
    <row r="6125" spans="1:4">
      <c r="A6125" t="s">
        <v>91</v>
      </c>
      <c r="B6125" t="s">
        <v>510</v>
      </c>
      <c r="C6125" t="s">
        <v>6480</v>
      </c>
      <c r="D6125">
        <v>89.99</v>
      </c>
    </row>
    <row r="6126" spans="1:4">
      <c r="A6126" t="s">
        <v>91</v>
      </c>
      <c r="B6126" t="s">
        <v>2983</v>
      </c>
      <c r="C6126" t="s">
        <v>6481</v>
      </c>
      <c r="D6126">
        <v>89.99</v>
      </c>
    </row>
    <row r="6127" spans="1:4">
      <c r="A6127" t="s">
        <v>91</v>
      </c>
      <c r="B6127" t="s">
        <v>510</v>
      </c>
      <c r="C6127" t="s">
        <v>6482</v>
      </c>
      <c r="D6127">
        <v>259.99</v>
      </c>
    </row>
    <row r="6128" spans="1:4">
      <c r="A6128" t="s">
        <v>91</v>
      </c>
      <c r="C6128" t="s">
        <v>6483</v>
      </c>
      <c r="D6128">
        <v>122</v>
      </c>
    </row>
    <row r="6129" spans="1:4">
      <c r="A6129" t="s">
        <v>91</v>
      </c>
      <c r="B6129" t="s">
        <v>510</v>
      </c>
      <c r="C6129" t="s">
        <v>6484</v>
      </c>
      <c r="D6129">
        <v>149.99</v>
      </c>
    </row>
    <row r="6130" spans="1:4">
      <c r="A6130" t="s">
        <v>91</v>
      </c>
      <c r="B6130" t="s">
        <v>510</v>
      </c>
      <c r="C6130" t="s">
        <v>6485</v>
      </c>
      <c r="D6130">
        <v>349.97</v>
      </c>
    </row>
    <row r="6131" spans="1:4">
      <c r="A6131" t="s">
        <v>91</v>
      </c>
      <c r="B6131" t="s">
        <v>1337</v>
      </c>
      <c r="C6131" t="s">
        <v>6486</v>
      </c>
      <c r="D6131">
        <v>409.49</v>
      </c>
    </row>
    <row r="6132" spans="1:4">
      <c r="A6132" t="s">
        <v>91</v>
      </c>
      <c r="B6132" t="s">
        <v>510</v>
      </c>
      <c r="C6132" t="s">
        <v>6487</v>
      </c>
      <c r="D6132">
        <v>299.99</v>
      </c>
    </row>
    <row r="6133" spans="1:4">
      <c r="A6133" t="s">
        <v>91</v>
      </c>
      <c r="B6133" t="s">
        <v>505</v>
      </c>
      <c r="C6133" t="s">
        <v>6488</v>
      </c>
      <c r="D6133">
        <v>69.989999999999995</v>
      </c>
    </row>
    <row r="6134" spans="1:4">
      <c r="A6134" t="s">
        <v>91</v>
      </c>
      <c r="B6134" t="s">
        <v>505</v>
      </c>
      <c r="C6134" t="s">
        <v>6489</v>
      </c>
      <c r="D6134">
        <v>119.99</v>
      </c>
    </row>
    <row r="6135" spans="1:4">
      <c r="A6135" t="s">
        <v>91</v>
      </c>
      <c r="B6135" t="s">
        <v>505</v>
      </c>
      <c r="C6135" t="s">
        <v>6490</v>
      </c>
      <c r="D6135">
        <v>209.99</v>
      </c>
    </row>
    <row r="6136" spans="1:4">
      <c r="A6136" t="s">
        <v>91</v>
      </c>
      <c r="B6136" t="s">
        <v>510</v>
      </c>
      <c r="C6136" t="s">
        <v>6491</v>
      </c>
      <c r="D6136">
        <v>84.99</v>
      </c>
    </row>
    <row r="6137" spans="1:4">
      <c r="A6137" t="s">
        <v>91</v>
      </c>
      <c r="B6137" t="s">
        <v>1337</v>
      </c>
      <c r="C6137" t="s">
        <v>6492</v>
      </c>
      <c r="D6137">
        <v>499</v>
      </c>
    </row>
    <row r="6138" spans="1:4">
      <c r="A6138" t="s">
        <v>91</v>
      </c>
      <c r="B6138" t="s">
        <v>510</v>
      </c>
      <c r="C6138" t="s">
        <v>6493</v>
      </c>
      <c r="D6138">
        <v>269.99</v>
      </c>
    </row>
    <row r="6139" spans="1:4">
      <c r="A6139" t="s">
        <v>91</v>
      </c>
      <c r="C6139" t="s">
        <v>6494</v>
      </c>
      <c r="D6139">
        <v>319</v>
      </c>
    </row>
    <row r="6140" spans="1:4">
      <c r="A6140" t="s">
        <v>91</v>
      </c>
      <c r="B6140" t="s">
        <v>510</v>
      </c>
      <c r="C6140" t="s">
        <v>6495</v>
      </c>
      <c r="D6140">
        <v>239.99</v>
      </c>
    </row>
    <row r="6141" spans="1:4">
      <c r="A6141" t="s">
        <v>91</v>
      </c>
      <c r="B6141" t="s">
        <v>510</v>
      </c>
      <c r="C6141" t="s">
        <v>6100</v>
      </c>
      <c r="D6141">
        <v>689.99</v>
      </c>
    </row>
    <row r="6142" spans="1:4">
      <c r="A6142" t="s">
        <v>91</v>
      </c>
      <c r="B6142" t="s">
        <v>510</v>
      </c>
      <c r="C6142" t="s">
        <v>6496</v>
      </c>
      <c r="D6142">
        <v>399.99</v>
      </c>
    </row>
    <row r="6143" spans="1:4">
      <c r="A6143" t="s">
        <v>91</v>
      </c>
      <c r="C6143" t="s">
        <v>6412</v>
      </c>
      <c r="D6143">
        <v>319</v>
      </c>
    </row>
    <row r="6144" spans="1:4">
      <c r="A6144" t="s">
        <v>91</v>
      </c>
      <c r="B6144" t="s">
        <v>1337</v>
      </c>
      <c r="C6144" t="s">
        <v>6497</v>
      </c>
      <c r="D6144">
        <v>1029.99</v>
      </c>
    </row>
    <row r="6145" spans="1:4">
      <c r="A6145" t="s">
        <v>91</v>
      </c>
      <c r="B6145" t="s">
        <v>510</v>
      </c>
      <c r="C6145" t="s">
        <v>6498</v>
      </c>
      <c r="D6145">
        <v>149.97</v>
      </c>
    </row>
    <row r="6146" spans="1:4">
      <c r="A6146" t="s">
        <v>91</v>
      </c>
      <c r="B6146" t="s">
        <v>510</v>
      </c>
      <c r="C6146" t="s">
        <v>6499</v>
      </c>
      <c r="D6146">
        <v>114.99</v>
      </c>
    </row>
    <row r="6147" spans="1:4">
      <c r="A6147" t="s">
        <v>91</v>
      </c>
      <c r="B6147" t="s">
        <v>510</v>
      </c>
      <c r="C6147" t="s">
        <v>6500</v>
      </c>
      <c r="D6147">
        <v>391.49</v>
      </c>
    </row>
    <row r="6148" spans="1:4">
      <c r="A6148" t="s">
        <v>91</v>
      </c>
      <c r="B6148" t="s">
        <v>510</v>
      </c>
      <c r="C6148" t="s">
        <v>6501</v>
      </c>
      <c r="D6148">
        <v>74.989999999999995</v>
      </c>
    </row>
    <row r="6149" spans="1:4">
      <c r="A6149" t="s">
        <v>91</v>
      </c>
      <c r="B6149" t="s">
        <v>510</v>
      </c>
      <c r="C6149" t="s">
        <v>6502</v>
      </c>
      <c r="D6149">
        <v>265.17</v>
      </c>
    </row>
    <row r="6150" spans="1:4">
      <c r="A6150" t="s">
        <v>91</v>
      </c>
      <c r="C6150" t="s">
        <v>6503</v>
      </c>
      <c r="D6150">
        <v>749</v>
      </c>
    </row>
    <row r="6151" spans="1:4">
      <c r="A6151" t="s">
        <v>91</v>
      </c>
      <c r="B6151" t="s">
        <v>510</v>
      </c>
      <c r="C6151" t="s">
        <v>6504</v>
      </c>
      <c r="D6151">
        <v>229.99</v>
      </c>
    </row>
    <row r="6152" spans="1:4">
      <c r="A6152" t="s">
        <v>91</v>
      </c>
      <c r="B6152" t="s">
        <v>510</v>
      </c>
      <c r="C6152" t="s">
        <v>6505</v>
      </c>
      <c r="D6152">
        <v>179.99</v>
      </c>
    </row>
    <row r="6153" spans="1:4">
      <c r="A6153" t="s">
        <v>91</v>
      </c>
      <c r="B6153" t="s">
        <v>510</v>
      </c>
      <c r="C6153" t="s">
        <v>6506</v>
      </c>
      <c r="D6153">
        <v>949</v>
      </c>
    </row>
    <row r="6154" spans="1:4">
      <c r="A6154" t="s">
        <v>91</v>
      </c>
      <c r="C6154" t="s">
        <v>6507</v>
      </c>
      <c r="D6154">
        <v>539</v>
      </c>
    </row>
    <row r="6155" spans="1:4">
      <c r="A6155" t="s">
        <v>91</v>
      </c>
      <c r="B6155" t="s">
        <v>505</v>
      </c>
      <c r="C6155" t="s">
        <v>6508</v>
      </c>
      <c r="D6155">
        <v>84.99</v>
      </c>
    </row>
    <row r="6156" spans="1:4">
      <c r="A6156" t="s">
        <v>91</v>
      </c>
      <c r="B6156" t="s">
        <v>505</v>
      </c>
      <c r="C6156" t="s">
        <v>6509</v>
      </c>
      <c r="D6156">
        <v>759.99</v>
      </c>
    </row>
    <row r="6157" spans="1:4">
      <c r="A6157" t="s">
        <v>91</v>
      </c>
      <c r="B6157" t="s">
        <v>510</v>
      </c>
      <c r="C6157" t="s">
        <v>6510</v>
      </c>
      <c r="D6157">
        <v>369.97</v>
      </c>
    </row>
    <row r="6158" spans="1:4">
      <c r="A6158" t="s">
        <v>91</v>
      </c>
      <c r="B6158" t="s">
        <v>510</v>
      </c>
      <c r="C6158" t="s">
        <v>6511</v>
      </c>
      <c r="D6158">
        <v>369.99</v>
      </c>
    </row>
    <row r="6159" spans="1:4">
      <c r="A6159" t="s">
        <v>91</v>
      </c>
      <c r="B6159" t="s">
        <v>510</v>
      </c>
      <c r="C6159" t="s">
        <v>6512</v>
      </c>
      <c r="D6159">
        <v>1500</v>
      </c>
    </row>
    <row r="6160" spans="1:4">
      <c r="A6160" t="s">
        <v>91</v>
      </c>
      <c r="B6160" t="s">
        <v>510</v>
      </c>
      <c r="C6160" t="s">
        <v>6073</v>
      </c>
      <c r="D6160">
        <v>353.57</v>
      </c>
    </row>
    <row r="6161" spans="1:4">
      <c r="A6161" t="s">
        <v>91</v>
      </c>
      <c r="B6161" t="s">
        <v>510</v>
      </c>
      <c r="C6161" t="s">
        <v>6513</v>
      </c>
      <c r="D6161">
        <v>409.97</v>
      </c>
    </row>
    <row r="6162" spans="1:4">
      <c r="A6162" t="s">
        <v>91</v>
      </c>
      <c r="B6162" t="s">
        <v>510</v>
      </c>
      <c r="C6162" t="s">
        <v>6514</v>
      </c>
      <c r="D6162">
        <v>299.99</v>
      </c>
    </row>
    <row r="6163" spans="1:4">
      <c r="A6163" t="s">
        <v>91</v>
      </c>
      <c r="B6163" t="s">
        <v>505</v>
      </c>
      <c r="C6163" t="s">
        <v>6515</v>
      </c>
      <c r="D6163">
        <v>649.99</v>
      </c>
    </row>
    <row r="6164" spans="1:4">
      <c r="A6164" t="s">
        <v>91</v>
      </c>
      <c r="B6164" t="s">
        <v>510</v>
      </c>
      <c r="C6164" t="s">
        <v>6516</v>
      </c>
      <c r="D6164">
        <v>239.99</v>
      </c>
    </row>
    <row r="6165" spans="1:4">
      <c r="A6165" t="s">
        <v>91</v>
      </c>
      <c r="C6165" t="s">
        <v>6517</v>
      </c>
      <c r="D6165">
        <v>209</v>
      </c>
    </row>
    <row r="6166" spans="1:4">
      <c r="A6166" t="s">
        <v>91</v>
      </c>
      <c r="B6166" t="s">
        <v>1337</v>
      </c>
      <c r="C6166" t="s">
        <v>6518</v>
      </c>
      <c r="D6166">
        <v>374.14</v>
      </c>
    </row>
    <row r="6167" spans="1:4">
      <c r="A6167" t="s">
        <v>91</v>
      </c>
      <c r="B6167" t="s">
        <v>505</v>
      </c>
      <c r="C6167" t="s">
        <v>6519</v>
      </c>
      <c r="D6167">
        <v>228.59</v>
      </c>
    </row>
    <row r="6168" spans="1:4">
      <c r="A6168" t="s">
        <v>91</v>
      </c>
      <c r="B6168" t="s">
        <v>510</v>
      </c>
      <c r="C6168" t="s">
        <v>6520</v>
      </c>
      <c r="D6168">
        <v>739.99</v>
      </c>
    </row>
    <row r="6169" spans="1:4">
      <c r="A6169" t="s">
        <v>91</v>
      </c>
      <c r="C6169" t="s">
        <v>6521</v>
      </c>
      <c r="D6169">
        <v>122</v>
      </c>
    </row>
    <row r="6170" spans="1:4">
      <c r="A6170" t="s">
        <v>91</v>
      </c>
      <c r="B6170" t="s">
        <v>505</v>
      </c>
      <c r="C6170" t="s">
        <v>6522</v>
      </c>
      <c r="D6170">
        <v>89.99</v>
      </c>
    </row>
    <row r="6171" spans="1:4">
      <c r="A6171" t="s">
        <v>91</v>
      </c>
      <c r="B6171" t="s">
        <v>510</v>
      </c>
      <c r="C6171" t="s">
        <v>6523</v>
      </c>
      <c r="D6171">
        <v>419.99</v>
      </c>
    </row>
    <row r="6172" spans="1:4">
      <c r="A6172" t="s">
        <v>91</v>
      </c>
      <c r="B6172" t="s">
        <v>1337</v>
      </c>
      <c r="C6172" t="s">
        <v>6524</v>
      </c>
      <c r="D6172">
        <v>458.99</v>
      </c>
    </row>
    <row r="6173" spans="1:4">
      <c r="A6173" t="s">
        <v>91</v>
      </c>
      <c r="B6173" t="s">
        <v>505</v>
      </c>
      <c r="C6173" t="s">
        <v>6525</v>
      </c>
      <c r="D6173">
        <v>125.96</v>
      </c>
    </row>
    <row r="6174" spans="1:4">
      <c r="A6174" t="s">
        <v>91</v>
      </c>
      <c r="C6174" t="s">
        <v>6526</v>
      </c>
      <c r="D6174">
        <v>1899</v>
      </c>
    </row>
    <row r="6175" spans="1:4">
      <c r="A6175" t="s">
        <v>91</v>
      </c>
      <c r="B6175" t="s">
        <v>510</v>
      </c>
      <c r="C6175" t="s">
        <v>6527</v>
      </c>
      <c r="D6175">
        <v>249.99</v>
      </c>
    </row>
    <row r="6176" spans="1:4">
      <c r="A6176" t="s">
        <v>91</v>
      </c>
      <c r="B6176" t="s">
        <v>510</v>
      </c>
      <c r="C6176" t="s">
        <v>6528</v>
      </c>
      <c r="D6176">
        <v>229.99</v>
      </c>
    </row>
    <row r="6177" spans="1:4">
      <c r="A6177" t="s">
        <v>91</v>
      </c>
      <c r="B6177" t="s">
        <v>510</v>
      </c>
      <c r="C6177" t="s">
        <v>6529</v>
      </c>
      <c r="D6177">
        <v>152.94999999999999</v>
      </c>
    </row>
    <row r="6178" spans="1:4">
      <c r="A6178" t="s">
        <v>91</v>
      </c>
      <c r="B6178" t="s">
        <v>510</v>
      </c>
      <c r="C6178" t="s">
        <v>6530</v>
      </c>
      <c r="D6178">
        <v>179</v>
      </c>
    </row>
    <row r="6179" spans="1:4">
      <c r="A6179" t="s">
        <v>91</v>
      </c>
      <c r="B6179" t="s">
        <v>510</v>
      </c>
      <c r="C6179" t="s">
        <v>6531</v>
      </c>
      <c r="D6179">
        <v>134.96</v>
      </c>
    </row>
    <row r="6180" spans="1:4">
      <c r="A6180" t="s">
        <v>91</v>
      </c>
      <c r="B6180" t="s">
        <v>510</v>
      </c>
      <c r="C6180" t="s">
        <v>6532</v>
      </c>
      <c r="D6180">
        <v>179.99</v>
      </c>
    </row>
    <row r="6181" spans="1:4">
      <c r="A6181" t="s">
        <v>91</v>
      </c>
      <c r="B6181" t="s">
        <v>1337</v>
      </c>
      <c r="C6181" t="s">
        <v>6533</v>
      </c>
      <c r="D6181">
        <v>249.95</v>
      </c>
    </row>
    <row r="6182" spans="1:4">
      <c r="A6182" t="s">
        <v>91</v>
      </c>
      <c r="B6182" t="s">
        <v>510</v>
      </c>
      <c r="C6182" t="s">
        <v>6534</v>
      </c>
      <c r="D6182">
        <v>389.99</v>
      </c>
    </row>
    <row r="6183" spans="1:4">
      <c r="A6183" t="s">
        <v>91</v>
      </c>
      <c r="B6183" t="s">
        <v>510</v>
      </c>
      <c r="C6183" t="s">
        <v>6535</v>
      </c>
      <c r="D6183">
        <v>139.99</v>
      </c>
    </row>
    <row r="6184" spans="1:4">
      <c r="A6184" t="s">
        <v>91</v>
      </c>
      <c r="B6184" t="s">
        <v>505</v>
      </c>
      <c r="C6184" t="s">
        <v>6536</v>
      </c>
      <c r="D6184">
        <v>134.96</v>
      </c>
    </row>
    <row r="6185" spans="1:4">
      <c r="A6185" t="s">
        <v>91</v>
      </c>
      <c r="B6185" t="s">
        <v>510</v>
      </c>
      <c r="C6185" t="s">
        <v>6537</v>
      </c>
      <c r="D6185">
        <v>229.99</v>
      </c>
    </row>
    <row r="6186" spans="1:4">
      <c r="A6186" t="s">
        <v>91</v>
      </c>
      <c r="B6186" t="s">
        <v>505</v>
      </c>
      <c r="C6186" t="s">
        <v>6538</v>
      </c>
      <c r="D6186">
        <v>114.99</v>
      </c>
    </row>
    <row r="6187" spans="1:4">
      <c r="A6187" t="s">
        <v>91</v>
      </c>
      <c r="B6187" t="s">
        <v>510</v>
      </c>
      <c r="C6187" t="s">
        <v>6539</v>
      </c>
      <c r="D6187">
        <v>170.95</v>
      </c>
    </row>
    <row r="6188" spans="1:4">
      <c r="A6188" t="s">
        <v>91</v>
      </c>
      <c r="B6188" t="s">
        <v>510</v>
      </c>
      <c r="C6188" t="s">
        <v>6540</v>
      </c>
      <c r="D6188">
        <v>199.99</v>
      </c>
    </row>
    <row r="6189" spans="1:4">
      <c r="A6189" t="s">
        <v>91</v>
      </c>
      <c r="B6189" t="s">
        <v>505</v>
      </c>
      <c r="C6189" t="s">
        <v>6541</v>
      </c>
      <c r="D6189">
        <v>219.99</v>
      </c>
    </row>
    <row r="6190" spans="1:4">
      <c r="A6190" t="s">
        <v>91</v>
      </c>
      <c r="B6190" t="s">
        <v>510</v>
      </c>
      <c r="C6190" t="s">
        <v>6542</v>
      </c>
      <c r="D6190">
        <v>479.99</v>
      </c>
    </row>
    <row r="6191" spans="1:4">
      <c r="A6191" t="s">
        <v>91</v>
      </c>
      <c r="B6191" t="s">
        <v>510</v>
      </c>
      <c r="C6191" t="s">
        <v>6543</v>
      </c>
      <c r="D6191">
        <v>329.99</v>
      </c>
    </row>
    <row r="6192" spans="1:4">
      <c r="A6192" t="s">
        <v>91</v>
      </c>
      <c r="C6192" t="s">
        <v>6544</v>
      </c>
      <c r="D6192">
        <v>132</v>
      </c>
    </row>
    <row r="6193" spans="1:4">
      <c r="A6193" t="s">
        <v>91</v>
      </c>
      <c r="B6193" t="s">
        <v>510</v>
      </c>
      <c r="C6193" t="s">
        <v>6545</v>
      </c>
      <c r="D6193">
        <v>149.97</v>
      </c>
    </row>
    <row r="6194" spans="1:4">
      <c r="A6194" t="s">
        <v>91</v>
      </c>
      <c r="C6194" t="s">
        <v>6546</v>
      </c>
      <c r="D6194">
        <v>192</v>
      </c>
    </row>
    <row r="6195" spans="1:4">
      <c r="A6195" t="s">
        <v>91</v>
      </c>
      <c r="C6195" t="s">
        <v>6383</v>
      </c>
      <c r="D6195">
        <v>319</v>
      </c>
    </row>
    <row r="6196" spans="1:4">
      <c r="A6196" t="s">
        <v>91</v>
      </c>
      <c r="B6196" t="s">
        <v>510</v>
      </c>
      <c r="C6196" t="s">
        <v>6547</v>
      </c>
      <c r="D6196">
        <v>239.99</v>
      </c>
    </row>
    <row r="6197" spans="1:4">
      <c r="A6197" t="s">
        <v>91</v>
      </c>
      <c r="B6197" t="s">
        <v>510</v>
      </c>
      <c r="C6197" t="s">
        <v>6548</v>
      </c>
      <c r="D6197">
        <v>129.99</v>
      </c>
    </row>
    <row r="6198" spans="1:4">
      <c r="A6198" t="s">
        <v>91</v>
      </c>
      <c r="B6198" t="s">
        <v>510</v>
      </c>
      <c r="C6198" t="s">
        <v>6549</v>
      </c>
      <c r="D6198">
        <v>301.49</v>
      </c>
    </row>
    <row r="6199" spans="1:4">
      <c r="A6199" t="s">
        <v>91</v>
      </c>
      <c r="B6199" t="s">
        <v>510</v>
      </c>
      <c r="C6199" t="s">
        <v>6550</v>
      </c>
      <c r="D6199">
        <v>279</v>
      </c>
    </row>
    <row r="6200" spans="1:4">
      <c r="A6200" t="s">
        <v>91</v>
      </c>
      <c r="B6200" t="s">
        <v>510</v>
      </c>
      <c r="C6200" t="s">
        <v>6551</v>
      </c>
      <c r="D6200">
        <v>189.99</v>
      </c>
    </row>
    <row r="6201" spans="1:4">
      <c r="A6201" t="s">
        <v>91</v>
      </c>
      <c r="B6201" t="s">
        <v>510</v>
      </c>
      <c r="C6201" t="s">
        <v>6552</v>
      </c>
      <c r="D6201">
        <v>188.95</v>
      </c>
    </row>
    <row r="6202" spans="1:4">
      <c r="A6202" t="s">
        <v>91</v>
      </c>
      <c r="B6202" t="s">
        <v>505</v>
      </c>
      <c r="C6202" t="s">
        <v>6553</v>
      </c>
      <c r="D6202">
        <v>228.77</v>
      </c>
    </row>
    <row r="6203" spans="1:4">
      <c r="A6203" t="s">
        <v>91</v>
      </c>
      <c r="B6203" t="s">
        <v>510</v>
      </c>
      <c r="C6203" t="s">
        <v>6554</v>
      </c>
      <c r="D6203">
        <v>207.99</v>
      </c>
    </row>
    <row r="6204" spans="1:4">
      <c r="A6204" t="s">
        <v>91</v>
      </c>
      <c r="B6204" t="s">
        <v>510</v>
      </c>
      <c r="C6204" t="s">
        <v>6555</v>
      </c>
      <c r="D6204">
        <v>309.99</v>
      </c>
    </row>
    <row r="6205" spans="1:4">
      <c r="A6205" t="s">
        <v>91</v>
      </c>
      <c r="B6205" t="s">
        <v>505</v>
      </c>
      <c r="C6205" t="s">
        <v>6556</v>
      </c>
      <c r="D6205">
        <v>79.989999999999995</v>
      </c>
    </row>
    <row r="6206" spans="1:4">
      <c r="A6206" t="s">
        <v>91</v>
      </c>
      <c r="B6206" t="s">
        <v>510</v>
      </c>
      <c r="C6206" t="s">
        <v>6557</v>
      </c>
      <c r="D6206">
        <v>329.97</v>
      </c>
    </row>
    <row r="6207" spans="1:4">
      <c r="A6207" t="s">
        <v>91</v>
      </c>
      <c r="B6207" t="s">
        <v>510</v>
      </c>
      <c r="C6207" t="s">
        <v>6558</v>
      </c>
      <c r="D6207">
        <v>629.99</v>
      </c>
    </row>
    <row r="6208" spans="1:4">
      <c r="A6208" t="s">
        <v>91</v>
      </c>
      <c r="B6208" t="s">
        <v>2983</v>
      </c>
      <c r="C6208" t="s">
        <v>6559</v>
      </c>
      <c r="D6208">
        <v>179.99</v>
      </c>
    </row>
    <row r="6209" spans="1:4">
      <c r="A6209" t="s">
        <v>91</v>
      </c>
      <c r="B6209" t="s">
        <v>510</v>
      </c>
      <c r="C6209" t="s">
        <v>6560</v>
      </c>
      <c r="D6209">
        <v>399.99</v>
      </c>
    </row>
    <row r="6210" spans="1:4">
      <c r="A6210" t="s">
        <v>91</v>
      </c>
      <c r="B6210" t="s">
        <v>510</v>
      </c>
      <c r="C6210" t="s">
        <v>6561</v>
      </c>
      <c r="D6210">
        <v>330.99</v>
      </c>
    </row>
    <row r="6211" spans="1:4">
      <c r="A6211" t="s">
        <v>91</v>
      </c>
      <c r="B6211" t="s">
        <v>505</v>
      </c>
      <c r="C6211" t="s">
        <v>6562</v>
      </c>
      <c r="D6211">
        <v>99.99</v>
      </c>
    </row>
    <row r="6212" spans="1:4">
      <c r="A6212" t="s">
        <v>91</v>
      </c>
      <c r="B6212" t="s">
        <v>505</v>
      </c>
      <c r="C6212" t="s">
        <v>6563</v>
      </c>
      <c r="D6212">
        <v>199.99</v>
      </c>
    </row>
    <row r="6213" spans="1:4">
      <c r="A6213" t="s">
        <v>91</v>
      </c>
      <c r="B6213" t="s">
        <v>510</v>
      </c>
      <c r="C6213" t="s">
        <v>6564</v>
      </c>
      <c r="D6213">
        <v>139.99</v>
      </c>
    </row>
    <row r="6214" spans="1:4">
      <c r="A6214" t="s">
        <v>91</v>
      </c>
      <c r="B6214" t="s">
        <v>510</v>
      </c>
      <c r="C6214" t="s">
        <v>6565</v>
      </c>
      <c r="D6214">
        <v>409.99</v>
      </c>
    </row>
    <row r="6215" spans="1:4">
      <c r="A6215" t="s">
        <v>91</v>
      </c>
      <c r="B6215" t="s">
        <v>510</v>
      </c>
      <c r="C6215" t="s">
        <v>6566</v>
      </c>
      <c r="D6215">
        <v>89.99</v>
      </c>
    </row>
    <row r="6216" spans="1:4">
      <c r="A6216" t="s">
        <v>91</v>
      </c>
      <c r="B6216" t="s">
        <v>1337</v>
      </c>
      <c r="C6216" t="s">
        <v>6567</v>
      </c>
      <c r="D6216">
        <v>864.99</v>
      </c>
    </row>
    <row r="6217" spans="1:4">
      <c r="A6217" t="s">
        <v>91</v>
      </c>
      <c r="B6217" t="s">
        <v>1337</v>
      </c>
      <c r="C6217" t="s">
        <v>6568</v>
      </c>
      <c r="D6217">
        <v>439.63</v>
      </c>
    </row>
    <row r="6218" spans="1:4">
      <c r="A6218" t="s">
        <v>91</v>
      </c>
      <c r="B6218" t="s">
        <v>510</v>
      </c>
      <c r="C6218" t="s">
        <v>6569</v>
      </c>
      <c r="D6218">
        <v>579.99</v>
      </c>
    </row>
    <row r="6219" spans="1:4">
      <c r="A6219" t="s">
        <v>91</v>
      </c>
      <c r="B6219" t="s">
        <v>510</v>
      </c>
      <c r="C6219" t="s">
        <v>6570</v>
      </c>
      <c r="D6219">
        <v>409.99</v>
      </c>
    </row>
    <row r="6220" spans="1:4">
      <c r="A6220" t="s">
        <v>91</v>
      </c>
      <c r="C6220" t="s">
        <v>6571</v>
      </c>
      <c r="D6220">
        <v>249</v>
      </c>
    </row>
    <row r="6221" spans="1:4">
      <c r="A6221" t="s">
        <v>91</v>
      </c>
      <c r="B6221" t="s">
        <v>505</v>
      </c>
      <c r="C6221" t="s">
        <v>6572</v>
      </c>
      <c r="D6221">
        <v>114.99</v>
      </c>
    </row>
    <row r="6222" spans="1:4">
      <c r="A6222" t="s">
        <v>91</v>
      </c>
      <c r="B6222" t="s">
        <v>510</v>
      </c>
      <c r="C6222" t="s">
        <v>6573</v>
      </c>
      <c r="D6222">
        <v>242.99</v>
      </c>
    </row>
    <row r="6223" spans="1:4">
      <c r="A6223" t="s">
        <v>91</v>
      </c>
      <c r="B6223" t="s">
        <v>510</v>
      </c>
      <c r="C6223" t="s">
        <v>6574</v>
      </c>
      <c r="D6223">
        <v>477.89</v>
      </c>
    </row>
    <row r="6224" spans="1:4">
      <c r="A6224" t="s">
        <v>91</v>
      </c>
      <c r="B6224" t="s">
        <v>505</v>
      </c>
      <c r="C6224" t="s">
        <v>6575</v>
      </c>
      <c r="D6224">
        <v>124.99</v>
      </c>
    </row>
    <row r="6225" spans="1:4">
      <c r="A6225" t="s">
        <v>91</v>
      </c>
      <c r="B6225" t="s">
        <v>505</v>
      </c>
      <c r="C6225" t="s">
        <v>6576</v>
      </c>
      <c r="D6225">
        <v>209.99</v>
      </c>
    </row>
    <row r="6226" spans="1:4">
      <c r="A6226" t="s">
        <v>91</v>
      </c>
      <c r="B6226" t="s">
        <v>510</v>
      </c>
      <c r="C6226" t="s">
        <v>6577</v>
      </c>
      <c r="D6226">
        <v>930</v>
      </c>
    </row>
    <row r="6227" spans="1:4">
      <c r="A6227" t="s">
        <v>91</v>
      </c>
      <c r="B6227" t="s">
        <v>510</v>
      </c>
      <c r="C6227" t="s">
        <v>6578</v>
      </c>
      <c r="D6227">
        <v>683</v>
      </c>
    </row>
    <row r="6228" spans="1:4">
      <c r="A6228" t="s">
        <v>91</v>
      </c>
      <c r="B6228" t="s">
        <v>505</v>
      </c>
      <c r="C6228" t="s">
        <v>6579</v>
      </c>
      <c r="D6228">
        <v>134.99</v>
      </c>
    </row>
    <row r="6229" spans="1:4">
      <c r="A6229" t="s">
        <v>91</v>
      </c>
      <c r="B6229" t="s">
        <v>510</v>
      </c>
      <c r="C6229" t="s">
        <v>6580</v>
      </c>
      <c r="D6229">
        <v>549.99</v>
      </c>
    </row>
    <row r="6230" spans="1:4">
      <c r="A6230" t="s">
        <v>91</v>
      </c>
      <c r="B6230" t="s">
        <v>510</v>
      </c>
      <c r="C6230" t="s">
        <v>6581</v>
      </c>
      <c r="D6230">
        <v>379.99</v>
      </c>
    </row>
    <row r="6231" spans="1:4">
      <c r="A6231" t="s">
        <v>91</v>
      </c>
      <c r="B6231" t="s">
        <v>510</v>
      </c>
      <c r="C6231" t="s">
        <v>6582</v>
      </c>
      <c r="D6231">
        <v>499.99</v>
      </c>
    </row>
    <row r="6232" spans="1:4">
      <c r="A6232" t="s">
        <v>91</v>
      </c>
      <c r="B6232" t="s">
        <v>1337</v>
      </c>
      <c r="C6232" t="s">
        <v>6583</v>
      </c>
      <c r="D6232">
        <v>759.99</v>
      </c>
    </row>
    <row r="6233" spans="1:4">
      <c r="A6233" t="s">
        <v>91</v>
      </c>
      <c r="C6233" t="s">
        <v>6584</v>
      </c>
      <c r="D6233">
        <v>79</v>
      </c>
    </row>
    <row r="6234" spans="1:4">
      <c r="A6234" t="s">
        <v>91</v>
      </c>
      <c r="B6234" t="s">
        <v>510</v>
      </c>
      <c r="C6234" t="s">
        <v>6585</v>
      </c>
      <c r="D6234">
        <v>159.97</v>
      </c>
    </row>
    <row r="6235" spans="1:4">
      <c r="A6235" t="s">
        <v>91</v>
      </c>
      <c r="B6235" t="s">
        <v>510</v>
      </c>
      <c r="C6235" t="s">
        <v>6586</v>
      </c>
      <c r="D6235">
        <v>319.99</v>
      </c>
    </row>
    <row r="6236" spans="1:4">
      <c r="A6236" t="s">
        <v>91</v>
      </c>
      <c r="C6236" t="s">
        <v>6587</v>
      </c>
      <c r="D6236">
        <v>249</v>
      </c>
    </row>
    <row r="6237" spans="1:4">
      <c r="A6237" t="s">
        <v>91</v>
      </c>
      <c r="B6237" t="s">
        <v>510</v>
      </c>
      <c r="C6237" t="s">
        <v>6588</v>
      </c>
      <c r="D6237">
        <v>179.99</v>
      </c>
    </row>
    <row r="6238" spans="1:4">
      <c r="A6238" t="s">
        <v>91</v>
      </c>
      <c r="C6238" t="s">
        <v>6589</v>
      </c>
      <c r="D6238">
        <v>84.95</v>
      </c>
    </row>
    <row r="6239" spans="1:4">
      <c r="A6239" t="s">
        <v>91</v>
      </c>
      <c r="B6239" t="s">
        <v>510</v>
      </c>
      <c r="C6239" t="s">
        <v>6590</v>
      </c>
      <c r="D6239">
        <v>1850</v>
      </c>
    </row>
    <row r="6240" spans="1:4">
      <c r="A6240" t="s">
        <v>91</v>
      </c>
      <c r="B6240" t="s">
        <v>510</v>
      </c>
      <c r="C6240" t="s">
        <v>6591</v>
      </c>
      <c r="D6240">
        <v>379.99</v>
      </c>
    </row>
    <row r="6241" spans="1:4">
      <c r="A6241" t="s">
        <v>91</v>
      </c>
      <c r="C6241" t="s">
        <v>6592</v>
      </c>
      <c r="D6241">
        <v>370</v>
      </c>
    </row>
    <row r="6242" spans="1:4">
      <c r="A6242" t="s">
        <v>91</v>
      </c>
      <c r="B6242" t="s">
        <v>505</v>
      </c>
      <c r="C6242" t="s">
        <v>6593</v>
      </c>
      <c r="D6242">
        <v>207.97</v>
      </c>
    </row>
    <row r="6243" spans="1:4">
      <c r="A6243" t="s">
        <v>91</v>
      </c>
      <c r="B6243" t="s">
        <v>505</v>
      </c>
      <c r="C6243" t="s">
        <v>6594</v>
      </c>
      <c r="D6243">
        <v>89.99</v>
      </c>
    </row>
    <row r="6244" spans="1:4">
      <c r="A6244" t="s">
        <v>91</v>
      </c>
      <c r="B6244" t="s">
        <v>505</v>
      </c>
      <c r="C6244" t="s">
        <v>6595</v>
      </c>
      <c r="D6244">
        <v>89.99</v>
      </c>
    </row>
    <row r="6245" spans="1:4">
      <c r="A6245" t="s">
        <v>91</v>
      </c>
      <c r="B6245" t="s">
        <v>2983</v>
      </c>
      <c r="C6245" t="s">
        <v>6596</v>
      </c>
      <c r="D6245">
        <v>249.99</v>
      </c>
    </row>
    <row r="6246" spans="1:4">
      <c r="A6246" t="s">
        <v>91</v>
      </c>
      <c r="B6246" t="s">
        <v>510</v>
      </c>
      <c r="C6246" t="s">
        <v>6597</v>
      </c>
      <c r="D6246">
        <v>349.97</v>
      </c>
    </row>
    <row r="6247" spans="1:4">
      <c r="A6247" t="s">
        <v>91</v>
      </c>
      <c r="B6247" t="s">
        <v>510</v>
      </c>
      <c r="C6247" t="s">
        <v>6598</v>
      </c>
      <c r="D6247">
        <v>166.49</v>
      </c>
    </row>
    <row r="6248" spans="1:4">
      <c r="A6248" t="s">
        <v>91</v>
      </c>
      <c r="B6248" t="s">
        <v>3030</v>
      </c>
      <c r="C6248" t="s">
        <v>6599</v>
      </c>
      <c r="D6248">
        <v>799.99</v>
      </c>
    </row>
    <row r="6249" spans="1:4">
      <c r="A6249" t="s">
        <v>91</v>
      </c>
      <c r="B6249" t="s">
        <v>510</v>
      </c>
      <c r="C6249" t="s">
        <v>6600</v>
      </c>
      <c r="D6249">
        <v>829</v>
      </c>
    </row>
    <row r="6250" spans="1:4">
      <c r="A6250" t="s">
        <v>91</v>
      </c>
      <c r="B6250" t="s">
        <v>510</v>
      </c>
      <c r="C6250" t="s">
        <v>6601</v>
      </c>
      <c r="D6250">
        <v>359.97</v>
      </c>
    </row>
    <row r="6251" spans="1:4">
      <c r="A6251" t="s">
        <v>91</v>
      </c>
      <c r="B6251" t="s">
        <v>510</v>
      </c>
      <c r="C6251" t="s">
        <v>6602</v>
      </c>
      <c r="D6251">
        <v>255</v>
      </c>
    </row>
    <row r="6252" spans="1:4">
      <c r="A6252" t="s">
        <v>91</v>
      </c>
      <c r="B6252" t="s">
        <v>510</v>
      </c>
      <c r="C6252" t="s">
        <v>6603</v>
      </c>
      <c r="D6252">
        <v>899</v>
      </c>
    </row>
    <row r="6253" spans="1:4">
      <c r="A6253" t="s">
        <v>91</v>
      </c>
      <c r="B6253" t="s">
        <v>510</v>
      </c>
      <c r="C6253" t="s">
        <v>6604</v>
      </c>
      <c r="D6253">
        <v>385</v>
      </c>
    </row>
    <row r="6254" spans="1:4">
      <c r="A6254" t="s">
        <v>91</v>
      </c>
      <c r="B6254" t="s">
        <v>1337</v>
      </c>
      <c r="C6254" t="s">
        <v>6605</v>
      </c>
      <c r="D6254">
        <v>307.63</v>
      </c>
    </row>
    <row r="6255" spans="1:4">
      <c r="A6255" t="s">
        <v>91</v>
      </c>
      <c r="B6255" t="s">
        <v>510</v>
      </c>
      <c r="C6255" t="s">
        <v>6606</v>
      </c>
      <c r="D6255">
        <v>89.99</v>
      </c>
    </row>
    <row r="6256" spans="1:4">
      <c r="A6256" t="s">
        <v>91</v>
      </c>
      <c r="B6256" t="s">
        <v>510</v>
      </c>
      <c r="C6256" t="s">
        <v>6607</v>
      </c>
      <c r="D6256">
        <v>813.99</v>
      </c>
    </row>
    <row r="6257" spans="1:4">
      <c r="A6257" t="s">
        <v>91</v>
      </c>
      <c r="B6257" t="s">
        <v>510</v>
      </c>
      <c r="C6257" t="s">
        <v>6608</v>
      </c>
      <c r="D6257">
        <v>161.94999999999999</v>
      </c>
    </row>
    <row r="6258" spans="1:4">
      <c r="A6258" t="s">
        <v>91</v>
      </c>
      <c r="B6258" t="s">
        <v>510</v>
      </c>
      <c r="C6258" t="s">
        <v>6609</v>
      </c>
      <c r="D6258">
        <v>99.99</v>
      </c>
    </row>
    <row r="6259" spans="1:4">
      <c r="A6259" t="s">
        <v>91</v>
      </c>
      <c r="B6259" t="s">
        <v>510</v>
      </c>
      <c r="C6259" t="s">
        <v>6610</v>
      </c>
      <c r="D6259">
        <v>159.99</v>
      </c>
    </row>
    <row r="6260" spans="1:4">
      <c r="A6260" t="s">
        <v>91</v>
      </c>
      <c r="B6260" t="s">
        <v>1337</v>
      </c>
      <c r="C6260" t="s">
        <v>6611</v>
      </c>
      <c r="D6260">
        <v>259.99</v>
      </c>
    </row>
    <row r="6261" spans="1:4">
      <c r="A6261" t="s">
        <v>91</v>
      </c>
      <c r="B6261" t="s">
        <v>510</v>
      </c>
      <c r="C6261" t="s">
        <v>6612</v>
      </c>
      <c r="D6261">
        <v>769.99</v>
      </c>
    </row>
    <row r="6262" spans="1:4">
      <c r="A6262" t="s">
        <v>91</v>
      </c>
      <c r="B6262" t="s">
        <v>505</v>
      </c>
      <c r="C6262" t="s">
        <v>6613</v>
      </c>
      <c r="D6262">
        <v>124.99</v>
      </c>
    </row>
    <row r="6263" spans="1:4">
      <c r="A6263" t="s">
        <v>91</v>
      </c>
      <c r="B6263" t="s">
        <v>505</v>
      </c>
      <c r="C6263" t="s">
        <v>6614</v>
      </c>
      <c r="D6263">
        <v>79.989999999999995</v>
      </c>
    </row>
    <row r="6264" spans="1:4">
      <c r="A6264" t="s">
        <v>91</v>
      </c>
      <c r="B6264" t="s">
        <v>505</v>
      </c>
      <c r="C6264" t="s">
        <v>6615</v>
      </c>
      <c r="D6264">
        <v>89.99</v>
      </c>
    </row>
    <row r="6265" spans="1:4">
      <c r="A6265" t="s">
        <v>91</v>
      </c>
      <c r="B6265" t="s">
        <v>1337</v>
      </c>
      <c r="C6265" t="s">
        <v>6616</v>
      </c>
      <c r="D6265">
        <v>427.64</v>
      </c>
    </row>
    <row r="6266" spans="1:4">
      <c r="A6266" t="s">
        <v>91</v>
      </c>
      <c r="C6266" t="s">
        <v>6617</v>
      </c>
      <c r="D6266">
        <v>349</v>
      </c>
    </row>
    <row r="6267" spans="1:4">
      <c r="A6267" t="s">
        <v>91</v>
      </c>
      <c r="B6267" t="s">
        <v>510</v>
      </c>
      <c r="C6267" t="s">
        <v>6618</v>
      </c>
      <c r="D6267">
        <v>450</v>
      </c>
    </row>
    <row r="6268" spans="1:4">
      <c r="A6268" t="s">
        <v>91</v>
      </c>
      <c r="B6268" t="s">
        <v>510</v>
      </c>
      <c r="C6268" t="s">
        <v>6619</v>
      </c>
      <c r="D6268">
        <v>1038.96</v>
      </c>
    </row>
    <row r="6269" spans="1:4">
      <c r="A6269" t="s">
        <v>91</v>
      </c>
      <c r="B6269" t="s">
        <v>510</v>
      </c>
      <c r="C6269" t="s">
        <v>6620</v>
      </c>
      <c r="D6269">
        <v>339.97</v>
      </c>
    </row>
    <row r="6270" spans="1:4">
      <c r="A6270" t="s">
        <v>91</v>
      </c>
      <c r="B6270" t="s">
        <v>510</v>
      </c>
      <c r="C6270" t="s">
        <v>6621</v>
      </c>
      <c r="D6270">
        <v>289.99</v>
      </c>
    </row>
    <row r="6271" spans="1:4">
      <c r="A6271" t="s">
        <v>91</v>
      </c>
      <c r="B6271" t="s">
        <v>510</v>
      </c>
      <c r="C6271" t="s">
        <v>6622</v>
      </c>
      <c r="D6271">
        <v>79.989999999999995</v>
      </c>
    </row>
    <row r="6272" spans="1:4">
      <c r="A6272" t="s">
        <v>91</v>
      </c>
      <c r="B6272" t="s">
        <v>505</v>
      </c>
      <c r="C6272" t="s">
        <v>6623</v>
      </c>
      <c r="D6272">
        <v>99.99</v>
      </c>
    </row>
    <row r="6273" spans="1:4">
      <c r="A6273" t="s">
        <v>91</v>
      </c>
      <c r="C6273" t="s">
        <v>6624</v>
      </c>
      <c r="D6273">
        <v>399</v>
      </c>
    </row>
    <row r="6274" spans="1:4">
      <c r="A6274" t="s">
        <v>91</v>
      </c>
      <c r="B6274" t="s">
        <v>510</v>
      </c>
      <c r="C6274" t="s">
        <v>6625</v>
      </c>
      <c r="D6274">
        <v>143.96</v>
      </c>
    </row>
    <row r="6275" spans="1:4">
      <c r="A6275" t="s">
        <v>91</v>
      </c>
      <c r="B6275" t="s">
        <v>510</v>
      </c>
      <c r="C6275" t="s">
        <v>6626</v>
      </c>
      <c r="D6275">
        <v>825</v>
      </c>
    </row>
    <row r="6276" spans="1:4">
      <c r="A6276" t="s">
        <v>91</v>
      </c>
      <c r="B6276" t="s">
        <v>510</v>
      </c>
      <c r="C6276" t="s">
        <v>6627</v>
      </c>
      <c r="D6276">
        <v>188.99</v>
      </c>
    </row>
    <row r="6277" spans="1:4">
      <c r="A6277" t="s">
        <v>91</v>
      </c>
      <c r="B6277" t="s">
        <v>510</v>
      </c>
      <c r="C6277" t="s">
        <v>6628</v>
      </c>
      <c r="D6277">
        <v>179.97</v>
      </c>
    </row>
    <row r="6278" spans="1:4">
      <c r="A6278" t="s">
        <v>91</v>
      </c>
      <c r="B6278" t="s">
        <v>510</v>
      </c>
      <c r="C6278" t="s">
        <v>6629</v>
      </c>
      <c r="D6278">
        <v>276.99</v>
      </c>
    </row>
    <row r="6279" spans="1:4">
      <c r="A6279" t="s">
        <v>91</v>
      </c>
      <c r="B6279" t="s">
        <v>510</v>
      </c>
      <c r="C6279" t="s">
        <v>6630</v>
      </c>
      <c r="D6279">
        <v>529.99</v>
      </c>
    </row>
    <row r="6280" spans="1:4">
      <c r="A6280" t="s">
        <v>91</v>
      </c>
      <c r="B6280" t="s">
        <v>510</v>
      </c>
      <c r="C6280" t="s">
        <v>6631</v>
      </c>
      <c r="D6280">
        <v>639.99</v>
      </c>
    </row>
    <row r="6281" spans="1:4">
      <c r="A6281" t="s">
        <v>91</v>
      </c>
      <c r="B6281" t="s">
        <v>510</v>
      </c>
      <c r="C6281" t="s">
        <v>6632</v>
      </c>
      <c r="D6281">
        <v>829.99</v>
      </c>
    </row>
    <row r="6282" spans="1:4">
      <c r="A6282" t="s">
        <v>91</v>
      </c>
      <c r="B6282" t="s">
        <v>510</v>
      </c>
      <c r="C6282" t="s">
        <v>6633</v>
      </c>
      <c r="D6282">
        <v>299.97000000000003</v>
      </c>
    </row>
    <row r="6283" spans="1:4">
      <c r="A6283" t="s">
        <v>91</v>
      </c>
      <c r="B6283" t="s">
        <v>510</v>
      </c>
      <c r="C6283" t="s">
        <v>6634</v>
      </c>
      <c r="D6283">
        <v>1029.99</v>
      </c>
    </row>
    <row r="6284" spans="1:4">
      <c r="A6284" t="s">
        <v>91</v>
      </c>
      <c r="B6284" t="s">
        <v>510</v>
      </c>
      <c r="C6284" t="s">
        <v>6635</v>
      </c>
      <c r="D6284">
        <v>200</v>
      </c>
    </row>
    <row r="6285" spans="1:4">
      <c r="A6285" t="s">
        <v>91</v>
      </c>
      <c r="B6285" t="s">
        <v>505</v>
      </c>
      <c r="C6285" t="s">
        <v>6636</v>
      </c>
      <c r="D6285">
        <v>729.99</v>
      </c>
    </row>
    <row r="6286" spans="1:4">
      <c r="A6286" t="s">
        <v>91</v>
      </c>
      <c r="B6286" t="s">
        <v>510</v>
      </c>
      <c r="C6286" t="s">
        <v>6637</v>
      </c>
      <c r="D6286">
        <v>709.99</v>
      </c>
    </row>
    <row r="6287" spans="1:4">
      <c r="A6287" t="s">
        <v>91</v>
      </c>
      <c r="B6287" t="s">
        <v>1337</v>
      </c>
      <c r="C6287" t="s">
        <v>6638</v>
      </c>
      <c r="D6287">
        <v>265.49</v>
      </c>
    </row>
    <row r="6288" spans="1:4">
      <c r="A6288" t="s">
        <v>91</v>
      </c>
      <c r="B6288" t="s">
        <v>510</v>
      </c>
      <c r="C6288" t="s">
        <v>6639</v>
      </c>
      <c r="D6288">
        <v>959.99</v>
      </c>
    </row>
    <row r="6289" spans="1:4">
      <c r="A6289" t="s">
        <v>91</v>
      </c>
      <c r="B6289" t="s">
        <v>505</v>
      </c>
      <c r="C6289" t="s">
        <v>6640</v>
      </c>
      <c r="D6289">
        <v>149.99</v>
      </c>
    </row>
    <row r="6290" spans="1:4">
      <c r="A6290" t="s">
        <v>91</v>
      </c>
      <c r="B6290" t="s">
        <v>510</v>
      </c>
      <c r="C6290" t="s">
        <v>6641</v>
      </c>
      <c r="D6290">
        <v>1500</v>
      </c>
    </row>
    <row r="6291" spans="1:4">
      <c r="A6291" t="s">
        <v>91</v>
      </c>
      <c r="B6291" t="s">
        <v>505</v>
      </c>
      <c r="C6291" t="s">
        <v>6642</v>
      </c>
      <c r="D6291">
        <v>109.99</v>
      </c>
    </row>
    <row r="6292" spans="1:4">
      <c r="A6292" t="s">
        <v>91</v>
      </c>
      <c r="B6292" t="s">
        <v>505</v>
      </c>
      <c r="C6292" t="s">
        <v>6643</v>
      </c>
      <c r="D6292">
        <v>422.99</v>
      </c>
    </row>
    <row r="6293" spans="1:4">
      <c r="A6293" t="s">
        <v>91</v>
      </c>
      <c r="B6293" t="s">
        <v>510</v>
      </c>
      <c r="C6293" t="s">
        <v>6644</v>
      </c>
      <c r="D6293">
        <v>114.99</v>
      </c>
    </row>
    <row r="6294" spans="1:4">
      <c r="A6294" t="s">
        <v>91</v>
      </c>
      <c r="C6294" t="s">
        <v>6645</v>
      </c>
      <c r="D6294">
        <v>499</v>
      </c>
    </row>
    <row r="6295" spans="1:4">
      <c r="A6295" t="s">
        <v>91</v>
      </c>
      <c r="C6295" t="s">
        <v>6646</v>
      </c>
      <c r="D6295">
        <v>329</v>
      </c>
    </row>
    <row r="6296" spans="1:4">
      <c r="A6296" t="s">
        <v>91</v>
      </c>
      <c r="B6296" t="s">
        <v>510</v>
      </c>
      <c r="C6296" t="s">
        <v>6647</v>
      </c>
      <c r="D6296">
        <v>196.99</v>
      </c>
    </row>
    <row r="6297" spans="1:4">
      <c r="A6297" t="s">
        <v>91</v>
      </c>
      <c r="B6297" t="s">
        <v>510</v>
      </c>
      <c r="C6297" t="s">
        <v>6648</v>
      </c>
      <c r="D6297">
        <v>189.99</v>
      </c>
    </row>
    <row r="6298" spans="1:4">
      <c r="A6298" t="s">
        <v>91</v>
      </c>
      <c r="B6298" t="s">
        <v>505</v>
      </c>
      <c r="C6298" t="s">
        <v>6649</v>
      </c>
      <c r="D6298">
        <v>134.99</v>
      </c>
    </row>
    <row r="6299" spans="1:4">
      <c r="A6299" t="s">
        <v>91</v>
      </c>
      <c r="C6299" t="s">
        <v>6650</v>
      </c>
      <c r="D6299">
        <v>249</v>
      </c>
    </row>
    <row r="6300" spans="1:4">
      <c r="A6300" t="s">
        <v>91</v>
      </c>
      <c r="B6300" t="s">
        <v>505</v>
      </c>
      <c r="C6300" t="s">
        <v>6651</v>
      </c>
      <c r="D6300">
        <v>99.99</v>
      </c>
    </row>
    <row r="6301" spans="1:4">
      <c r="A6301" t="s">
        <v>91</v>
      </c>
      <c r="B6301" t="s">
        <v>510</v>
      </c>
      <c r="C6301" t="s">
        <v>6652</v>
      </c>
      <c r="D6301">
        <v>623.97</v>
      </c>
    </row>
    <row r="6302" spans="1:4">
      <c r="A6302" t="s">
        <v>91</v>
      </c>
      <c r="B6302" t="s">
        <v>510</v>
      </c>
      <c r="C6302" t="s">
        <v>6653</v>
      </c>
      <c r="D6302">
        <v>479.99</v>
      </c>
    </row>
    <row r="6303" spans="1:4">
      <c r="A6303" t="s">
        <v>91</v>
      </c>
      <c r="B6303" t="s">
        <v>510</v>
      </c>
      <c r="C6303" t="s">
        <v>6654</v>
      </c>
      <c r="D6303">
        <v>269.99</v>
      </c>
    </row>
    <row r="6304" spans="1:4">
      <c r="A6304" t="s">
        <v>91</v>
      </c>
      <c r="B6304" t="s">
        <v>510</v>
      </c>
      <c r="C6304" t="s">
        <v>6655</v>
      </c>
      <c r="D6304">
        <v>290</v>
      </c>
    </row>
    <row r="6305" spans="1:4">
      <c r="A6305" t="s">
        <v>91</v>
      </c>
      <c r="B6305" t="s">
        <v>505</v>
      </c>
      <c r="C6305" t="s">
        <v>6656</v>
      </c>
      <c r="D6305">
        <v>139.99</v>
      </c>
    </row>
    <row r="6306" spans="1:4">
      <c r="A6306" t="s">
        <v>91</v>
      </c>
      <c r="B6306" t="s">
        <v>510</v>
      </c>
      <c r="C6306" t="s">
        <v>6657</v>
      </c>
      <c r="D6306">
        <v>399.97</v>
      </c>
    </row>
    <row r="6307" spans="1:4">
      <c r="A6307" t="s">
        <v>91</v>
      </c>
      <c r="B6307" t="s">
        <v>510</v>
      </c>
      <c r="C6307" t="s">
        <v>6658</v>
      </c>
      <c r="D6307">
        <v>265.49</v>
      </c>
    </row>
    <row r="6308" spans="1:4">
      <c r="A6308" t="s">
        <v>91</v>
      </c>
      <c r="C6308" t="s">
        <v>6659</v>
      </c>
      <c r="D6308">
        <v>269</v>
      </c>
    </row>
    <row r="6309" spans="1:4">
      <c r="A6309" t="s">
        <v>91</v>
      </c>
      <c r="B6309" t="s">
        <v>510</v>
      </c>
      <c r="C6309" t="s">
        <v>6660</v>
      </c>
      <c r="D6309">
        <v>149.97</v>
      </c>
    </row>
    <row r="6310" spans="1:4">
      <c r="A6310" t="s">
        <v>91</v>
      </c>
      <c r="B6310" t="s">
        <v>510</v>
      </c>
      <c r="C6310" t="s">
        <v>6661</v>
      </c>
      <c r="D6310">
        <v>439.99</v>
      </c>
    </row>
    <row r="6311" spans="1:4">
      <c r="A6311" t="s">
        <v>91</v>
      </c>
      <c r="B6311" t="s">
        <v>510</v>
      </c>
      <c r="C6311" t="s">
        <v>6662</v>
      </c>
      <c r="D6311">
        <v>579.99</v>
      </c>
    </row>
    <row r="6312" spans="1:4">
      <c r="A6312" t="s">
        <v>91</v>
      </c>
      <c r="B6312" t="s">
        <v>510</v>
      </c>
      <c r="C6312" t="s">
        <v>6663</v>
      </c>
      <c r="D6312">
        <v>659.99</v>
      </c>
    </row>
    <row r="6313" spans="1:4">
      <c r="A6313" t="s">
        <v>91</v>
      </c>
      <c r="B6313" t="s">
        <v>505</v>
      </c>
      <c r="C6313" t="s">
        <v>6664</v>
      </c>
      <c r="D6313">
        <v>84.99</v>
      </c>
    </row>
    <row r="6314" spans="1:4">
      <c r="A6314" t="s">
        <v>91</v>
      </c>
      <c r="C6314" t="s">
        <v>6665</v>
      </c>
      <c r="D6314">
        <v>112</v>
      </c>
    </row>
    <row r="6315" spans="1:4">
      <c r="A6315" t="s">
        <v>91</v>
      </c>
      <c r="B6315" t="s">
        <v>510</v>
      </c>
      <c r="C6315" t="s">
        <v>6666</v>
      </c>
      <c r="D6315">
        <v>1349.99</v>
      </c>
    </row>
    <row r="6316" spans="1:4">
      <c r="A6316" t="s">
        <v>91</v>
      </c>
      <c r="B6316" t="s">
        <v>510</v>
      </c>
      <c r="C6316" t="s">
        <v>6667</v>
      </c>
      <c r="D6316">
        <v>579.99</v>
      </c>
    </row>
    <row r="6317" spans="1:4">
      <c r="A6317" t="s">
        <v>91</v>
      </c>
      <c r="C6317" t="s">
        <v>6668</v>
      </c>
      <c r="D6317">
        <v>134</v>
      </c>
    </row>
    <row r="6318" spans="1:4">
      <c r="A6318" t="s">
        <v>91</v>
      </c>
      <c r="C6318" t="s">
        <v>6669</v>
      </c>
      <c r="D6318">
        <v>749</v>
      </c>
    </row>
    <row r="6319" spans="1:4">
      <c r="A6319" t="s">
        <v>91</v>
      </c>
      <c r="B6319" t="s">
        <v>510</v>
      </c>
      <c r="C6319" t="s">
        <v>6670</v>
      </c>
      <c r="D6319">
        <v>109.99</v>
      </c>
    </row>
    <row r="6320" spans="1:4">
      <c r="A6320" t="s">
        <v>91</v>
      </c>
      <c r="B6320" t="s">
        <v>510</v>
      </c>
      <c r="C6320" t="s">
        <v>6671</v>
      </c>
      <c r="D6320">
        <v>1500</v>
      </c>
    </row>
    <row r="6321" spans="1:4">
      <c r="A6321" t="s">
        <v>91</v>
      </c>
      <c r="B6321" t="s">
        <v>1337</v>
      </c>
      <c r="C6321" t="s">
        <v>6672</v>
      </c>
      <c r="D6321">
        <v>558.99</v>
      </c>
    </row>
    <row r="6322" spans="1:4">
      <c r="A6322" t="s">
        <v>91</v>
      </c>
      <c r="C6322" t="s">
        <v>6659</v>
      </c>
      <c r="D6322">
        <v>249</v>
      </c>
    </row>
    <row r="6323" spans="1:4">
      <c r="A6323" t="s">
        <v>91</v>
      </c>
      <c r="B6323" t="s">
        <v>510</v>
      </c>
      <c r="C6323" t="s">
        <v>6673</v>
      </c>
      <c r="D6323">
        <v>676.88</v>
      </c>
    </row>
    <row r="6324" spans="1:4">
      <c r="A6324" t="s">
        <v>91</v>
      </c>
      <c r="B6324" t="s">
        <v>505</v>
      </c>
      <c r="C6324" t="s">
        <v>6674</v>
      </c>
      <c r="D6324">
        <v>99.99</v>
      </c>
    </row>
    <row r="6325" spans="1:4">
      <c r="A6325" t="s">
        <v>91</v>
      </c>
      <c r="B6325" t="s">
        <v>505</v>
      </c>
      <c r="C6325" t="s">
        <v>6675</v>
      </c>
      <c r="D6325">
        <v>99.99</v>
      </c>
    </row>
    <row r="6326" spans="1:4">
      <c r="A6326" t="s">
        <v>91</v>
      </c>
      <c r="B6326" t="s">
        <v>510</v>
      </c>
      <c r="C6326" t="s">
        <v>6676</v>
      </c>
      <c r="D6326">
        <v>613.57000000000005</v>
      </c>
    </row>
    <row r="6327" spans="1:4">
      <c r="A6327" t="s">
        <v>91</v>
      </c>
      <c r="B6327" t="s">
        <v>510</v>
      </c>
      <c r="C6327" t="s">
        <v>6677</v>
      </c>
      <c r="D6327">
        <v>629.99</v>
      </c>
    </row>
    <row r="6328" spans="1:4">
      <c r="A6328" t="s">
        <v>91</v>
      </c>
      <c r="B6328" t="s">
        <v>510</v>
      </c>
      <c r="C6328" t="s">
        <v>6678</v>
      </c>
      <c r="D6328">
        <v>214.99</v>
      </c>
    </row>
    <row r="6329" spans="1:4">
      <c r="A6329" t="s">
        <v>91</v>
      </c>
      <c r="B6329" t="s">
        <v>510</v>
      </c>
      <c r="C6329" t="s">
        <v>6679</v>
      </c>
      <c r="D6329">
        <v>789.99</v>
      </c>
    </row>
    <row r="6330" spans="1:4">
      <c r="A6330" t="s">
        <v>91</v>
      </c>
      <c r="B6330" t="s">
        <v>1337</v>
      </c>
      <c r="C6330" t="s">
        <v>6680</v>
      </c>
      <c r="D6330">
        <v>382.49</v>
      </c>
    </row>
    <row r="6331" spans="1:4">
      <c r="A6331" t="s">
        <v>91</v>
      </c>
      <c r="B6331" t="s">
        <v>510</v>
      </c>
      <c r="C6331" t="s">
        <v>6681</v>
      </c>
      <c r="D6331">
        <v>279.99</v>
      </c>
    </row>
    <row r="6332" spans="1:4">
      <c r="A6332" t="s">
        <v>91</v>
      </c>
      <c r="B6332" t="s">
        <v>510</v>
      </c>
      <c r="C6332" t="s">
        <v>6682</v>
      </c>
      <c r="D6332">
        <v>276.99</v>
      </c>
    </row>
    <row r="6333" spans="1:4">
      <c r="A6333" t="s">
        <v>91</v>
      </c>
      <c r="B6333" t="s">
        <v>510</v>
      </c>
      <c r="C6333" t="s">
        <v>6683</v>
      </c>
      <c r="D6333">
        <v>909.99</v>
      </c>
    </row>
    <row r="6334" spans="1:4">
      <c r="A6334" t="s">
        <v>91</v>
      </c>
      <c r="B6334" t="s">
        <v>510</v>
      </c>
      <c r="C6334" t="s">
        <v>6684</v>
      </c>
      <c r="D6334">
        <v>549.99</v>
      </c>
    </row>
    <row r="6335" spans="1:4">
      <c r="A6335" t="s">
        <v>91</v>
      </c>
      <c r="B6335" t="s">
        <v>6685</v>
      </c>
      <c r="C6335" t="s">
        <v>6686</v>
      </c>
      <c r="D6335">
        <v>49.05</v>
      </c>
    </row>
    <row r="6336" spans="1:4">
      <c r="A6336" t="s">
        <v>91</v>
      </c>
      <c r="B6336" t="s">
        <v>510</v>
      </c>
      <c r="C6336" t="s">
        <v>6687</v>
      </c>
      <c r="D6336">
        <v>161.99</v>
      </c>
    </row>
    <row r="6337" spans="1:4">
      <c r="A6337" t="s">
        <v>91</v>
      </c>
      <c r="B6337" t="s">
        <v>505</v>
      </c>
      <c r="C6337" t="s">
        <v>6688</v>
      </c>
      <c r="D6337">
        <v>84.99</v>
      </c>
    </row>
    <row r="6338" spans="1:4">
      <c r="A6338" t="s">
        <v>91</v>
      </c>
      <c r="B6338" t="s">
        <v>510</v>
      </c>
      <c r="C6338" t="s">
        <v>6689</v>
      </c>
      <c r="D6338">
        <v>675.97</v>
      </c>
    </row>
    <row r="6339" spans="1:4">
      <c r="A6339" t="s">
        <v>91</v>
      </c>
      <c r="B6339" t="s">
        <v>1337</v>
      </c>
      <c r="C6339" t="s">
        <v>6690</v>
      </c>
      <c r="D6339">
        <v>193.49</v>
      </c>
    </row>
    <row r="6340" spans="1:4">
      <c r="A6340" t="s">
        <v>91</v>
      </c>
      <c r="B6340" t="s">
        <v>1337</v>
      </c>
      <c r="C6340" t="s">
        <v>6691</v>
      </c>
      <c r="D6340">
        <v>269.99</v>
      </c>
    </row>
    <row r="6341" spans="1:4">
      <c r="A6341" t="s">
        <v>91</v>
      </c>
      <c r="B6341" t="s">
        <v>1337</v>
      </c>
      <c r="C6341" t="s">
        <v>6692</v>
      </c>
      <c r="D6341">
        <v>259.99</v>
      </c>
    </row>
    <row r="6342" spans="1:4">
      <c r="A6342" t="s">
        <v>91</v>
      </c>
      <c r="B6342" t="s">
        <v>510</v>
      </c>
      <c r="C6342" t="s">
        <v>6693</v>
      </c>
      <c r="D6342">
        <v>188.99</v>
      </c>
    </row>
    <row r="6343" spans="1:4">
      <c r="A6343" t="s">
        <v>91</v>
      </c>
      <c r="B6343" t="s">
        <v>6407</v>
      </c>
      <c r="C6343" t="s">
        <v>6694</v>
      </c>
      <c r="D6343">
        <v>94.99</v>
      </c>
    </row>
    <row r="6344" spans="1:4">
      <c r="A6344" t="s">
        <v>91</v>
      </c>
      <c r="B6344" t="s">
        <v>510</v>
      </c>
      <c r="C6344" t="s">
        <v>6695</v>
      </c>
      <c r="D6344">
        <v>143.96</v>
      </c>
    </row>
    <row r="6345" spans="1:4">
      <c r="A6345" t="s">
        <v>91</v>
      </c>
      <c r="B6345" t="s">
        <v>510</v>
      </c>
      <c r="C6345" t="s">
        <v>6696</v>
      </c>
      <c r="D6345">
        <v>199.99</v>
      </c>
    </row>
    <row r="6346" spans="1:4">
      <c r="A6346" t="s">
        <v>91</v>
      </c>
      <c r="B6346" t="s">
        <v>510</v>
      </c>
      <c r="C6346" t="s">
        <v>6697</v>
      </c>
      <c r="D6346">
        <v>319.99</v>
      </c>
    </row>
    <row r="6347" spans="1:4">
      <c r="A6347" t="s">
        <v>91</v>
      </c>
      <c r="B6347" t="s">
        <v>510</v>
      </c>
      <c r="C6347" t="s">
        <v>6698</v>
      </c>
      <c r="D6347">
        <v>79.989999999999995</v>
      </c>
    </row>
    <row r="6348" spans="1:4">
      <c r="A6348" t="s">
        <v>91</v>
      </c>
      <c r="C6348" t="s">
        <v>6699</v>
      </c>
      <c r="D6348">
        <v>1199</v>
      </c>
    </row>
    <row r="6349" spans="1:4">
      <c r="A6349" t="s">
        <v>91</v>
      </c>
      <c r="C6349" t="s">
        <v>6700</v>
      </c>
      <c r="D6349">
        <v>299</v>
      </c>
    </row>
    <row r="6350" spans="1:4">
      <c r="A6350" t="s">
        <v>91</v>
      </c>
      <c r="B6350" t="s">
        <v>505</v>
      </c>
      <c r="C6350" t="s">
        <v>6701</v>
      </c>
      <c r="D6350">
        <v>99.99</v>
      </c>
    </row>
    <row r="6351" spans="1:4">
      <c r="A6351" t="s">
        <v>91</v>
      </c>
      <c r="B6351" t="s">
        <v>510</v>
      </c>
      <c r="C6351" t="s">
        <v>6702</v>
      </c>
      <c r="D6351">
        <v>258.95</v>
      </c>
    </row>
    <row r="6352" spans="1:4">
      <c r="A6352" t="s">
        <v>91</v>
      </c>
      <c r="B6352" t="s">
        <v>505</v>
      </c>
      <c r="C6352" t="s">
        <v>6703</v>
      </c>
      <c r="D6352">
        <v>129.99</v>
      </c>
    </row>
    <row r="6353" spans="1:4">
      <c r="A6353" t="s">
        <v>91</v>
      </c>
      <c r="B6353" t="s">
        <v>510</v>
      </c>
      <c r="C6353" t="s">
        <v>6704</v>
      </c>
      <c r="D6353">
        <v>148.44999999999999</v>
      </c>
    </row>
    <row r="6354" spans="1:4">
      <c r="A6354" t="s">
        <v>91</v>
      </c>
      <c r="C6354" t="s">
        <v>6705</v>
      </c>
      <c r="D6354">
        <v>399</v>
      </c>
    </row>
    <row r="6355" spans="1:4">
      <c r="A6355" t="s">
        <v>91</v>
      </c>
      <c r="C6355" t="s">
        <v>6706</v>
      </c>
      <c r="D6355">
        <v>299</v>
      </c>
    </row>
    <row r="6356" spans="1:4">
      <c r="A6356" t="s">
        <v>91</v>
      </c>
      <c r="B6356" t="s">
        <v>510</v>
      </c>
      <c r="C6356" t="s">
        <v>6707</v>
      </c>
      <c r="D6356">
        <v>89.99</v>
      </c>
    </row>
    <row r="6357" spans="1:4">
      <c r="A6357" t="s">
        <v>91</v>
      </c>
      <c r="B6357" t="s">
        <v>510</v>
      </c>
      <c r="C6357" t="s">
        <v>6708</v>
      </c>
      <c r="D6357">
        <v>749.99</v>
      </c>
    </row>
    <row r="6358" spans="1:4">
      <c r="A6358" t="s">
        <v>91</v>
      </c>
      <c r="B6358" t="s">
        <v>510</v>
      </c>
      <c r="C6358" t="s">
        <v>6709</v>
      </c>
      <c r="D6358">
        <v>103.49</v>
      </c>
    </row>
    <row r="6359" spans="1:4">
      <c r="A6359" t="s">
        <v>91</v>
      </c>
      <c r="B6359" t="s">
        <v>505</v>
      </c>
      <c r="C6359" t="s">
        <v>6710</v>
      </c>
      <c r="D6359">
        <v>134.99</v>
      </c>
    </row>
    <row r="6360" spans="1:4">
      <c r="A6360" t="s">
        <v>91</v>
      </c>
      <c r="B6360" t="s">
        <v>6711</v>
      </c>
      <c r="C6360" t="s">
        <v>6712</v>
      </c>
      <c r="D6360">
        <v>148.94999999999999</v>
      </c>
    </row>
    <row r="6361" spans="1:4">
      <c r="A6361" t="s">
        <v>91</v>
      </c>
      <c r="B6361" t="s">
        <v>510</v>
      </c>
      <c r="C6361" t="s">
        <v>6713</v>
      </c>
      <c r="D6361">
        <v>439</v>
      </c>
    </row>
    <row r="6362" spans="1:4">
      <c r="A6362" t="s">
        <v>91</v>
      </c>
      <c r="C6362" t="s">
        <v>6714</v>
      </c>
      <c r="D6362">
        <v>299</v>
      </c>
    </row>
    <row r="6363" spans="1:4">
      <c r="A6363" t="s">
        <v>91</v>
      </c>
      <c r="B6363" t="s">
        <v>510</v>
      </c>
      <c r="C6363" t="s">
        <v>6715</v>
      </c>
      <c r="D6363">
        <v>148.49</v>
      </c>
    </row>
    <row r="6364" spans="1:4">
      <c r="A6364" t="s">
        <v>91</v>
      </c>
      <c r="B6364" t="s">
        <v>510</v>
      </c>
      <c r="C6364" t="s">
        <v>6716</v>
      </c>
      <c r="D6364">
        <v>619.99</v>
      </c>
    </row>
    <row r="6365" spans="1:4">
      <c r="A6365" t="s">
        <v>91</v>
      </c>
      <c r="B6365" t="s">
        <v>505</v>
      </c>
      <c r="C6365" t="s">
        <v>6717</v>
      </c>
      <c r="D6365">
        <v>109.99</v>
      </c>
    </row>
    <row r="6366" spans="1:4">
      <c r="A6366" t="s">
        <v>91</v>
      </c>
      <c r="B6366" t="s">
        <v>510</v>
      </c>
      <c r="C6366" t="s">
        <v>6718</v>
      </c>
      <c r="D6366">
        <v>400.49</v>
      </c>
    </row>
    <row r="6367" spans="1:4">
      <c r="A6367" t="s">
        <v>91</v>
      </c>
      <c r="B6367" t="s">
        <v>510</v>
      </c>
      <c r="C6367" t="s">
        <v>6719</v>
      </c>
      <c r="D6367">
        <v>479.99</v>
      </c>
    </row>
    <row r="6368" spans="1:4">
      <c r="A6368" t="s">
        <v>91</v>
      </c>
      <c r="B6368" t="s">
        <v>505</v>
      </c>
      <c r="C6368" t="s">
        <v>6720</v>
      </c>
      <c r="D6368">
        <v>204.99</v>
      </c>
    </row>
    <row r="6369" spans="1:4">
      <c r="A6369" t="s">
        <v>91</v>
      </c>
      <c r="B6369" t="s">
        <v>510</v>
      </c>
      <c r="C6369" t="s">
        <v>6721</v>
      </c>
      <c r="D6369">
        <v>218.49</v>
      </c>
    </row>
    <row r="6370" spans="1:4">
      <c r="A6370" t="s">
        <v>91</v>
      </c>
      <c r="C6370" t="s">
        <v>6722</v>
      </c>
      <c r="D6370">
        <v>319</v>
      </c>
    </row>
    <row r="6371" spans="1:4">
      <c r="A6371" t="s">
        <v>91</v>
      </c>
      <c r="C6371" t="s">
        <v>6723</v>
      </c>
      <c r="D6371">
        <v>139</v>
      </c>
    </row>
    <row r="6372" spans="1:4">
      <c r="A6372" t="s">
        <v>91</v>
      </c>
      <c r="C6372" t="s">
        <v>6724</v>
      </c>
      <c r="D6372">
        <v>309</v>
      </c>
    </row>
    <row r="6373" spans="1:4">
      <c r="A6373" t="s">
        <v>91</v>
      </c>
      <c r="B6373" t="s">
        <v>6725</v>
      </c>
      <c r="C6373" t="s">
        <v>6726</v>
      </c>
      <c r="D6373">
        <v>148.05000000000001</v>
      </c>
    </row>
    <row r="6374" spans="1:4">
      <c r="A6374" t="s">
        <v>91</v>
      </c>
      <c r="C6374" t="s">
        <v>6727</v>
      </c>
      <c r="D6374">
        <v>122</v>
      </c>
    </row>
    <row r="6375" spans="1:4">
      <c r="A6375" t="s">
        <v>91</v>
      </c>
      <c r="B6375" t="s">
        <v>510</v>
      </c>
      <c r="C6375" t="s">
        <v>6728</v>
      </c>
      <c r="D6375">
        <v>379.97</v>
      </c>
    </row>
    <row r="6376" spans="1:4">
      <c r="A6376" t="s">
        <v>91</v>
      </c>
      <c r="C6376" t="s">
        <v>6729</v>
      </c>
      <c r="D6376">
        <v>112</v>
      </c>
    </row>
    <row r="6377" spans="1:4">
      <c r="A6377" t="s">
        <v>91</v>
      </c>
      <c r="C6377" t="s">
        <v>6730</v>
      </c>
      <c r="D6377">
        <v>369</v>
      </c>
    </row>
    <row r="6378" spans="1:4">
      <c r="A6378" t="s">
        <v>91</v>
      </c>
      <c r="B6378" t="s">
        <v>510</v>
      </c>
      <c r="C6378" t="s">
        <v>6731</v>
      </c>
      <c r="D6378">
        <v>169.97</v>
      </c>
    </row>
    <row r="6379" spans="1:4">
      <c r="A6379" t="s">
        <v>91</v>
      </c>
      <c r="B6379" t="s">
        <v>6407</v>
      </c>
      <c r="C6379" t="s">
        <v>6694</v>
      </c>
      <c r="D6379">
        <v>89.99</v>
      </c>
    </row>
    <row r="6380" spans="1:4">
      <c r="A6380" t="s">
        <v>91</v>
      </c>
      <c r="B6380" t="s">
        <v>505</v>
      </c>
      <c r="C6380" t="s">
        <v>6732</v>
      </c>
      <c r="D6380">
        <v>124.99</v>
      </c>
    </row>
    <row r="6381" spans="1:4">
      <c r="A6381" t="s">
        <v>91</v>
      </c>
      <c r="B6381" t="s">
        <v>510</v>
      </c>
      <c r="C6381" t="s">
        <v>6733</v>
      </c>
      <c r="D6381">
        <v>179.99</v>
      </c>
    </row>
    <row r="6382" spans="1:4">
      <c r="A6382" t="s">
        <v>91</v>
      </c>
      <c r="C6382" t="s">
        <v>6734</v>
      </c>
      <c r="D6382">
        <v>134</v>
      </c>
    </row>
    <row r="6383" spans="1:4">
      <c r="A6383" t="s">
        <v>91</v>
      </c>
      <c r="C6383" t="s">
        <v>6735</v>
      </c>
      <c r="D6383">
        <v>352</v>
      </c>
    </row>
    <row r="6384" spans="1:4">
      <c r="A6384" t="s">
        <v>91</v>
      </c>
      <c r="C6384" t="s">
        <v>6736</v>
      </c>
      <c r="D6384">
        <v>122</v>
      </c>
    </row>
    <row r="6385" spans="1:4">
      <c r="A6385" t="s">
        <v>91</v>
      </c>
      <c r="B6385" t="s">
        <v>510</v>
      </c>
      <c r="C6385" t="s">
        <v>6737</v>
      </c>
      <c r="D6385">
        <v>219.99</v>
      </c>
    </row>
    <row r="6386" spans="1:4">
      <c r="A6386" t="s">
        <v>91</v>
      </c>
      <c r="B6386" t="s">
        <v>510</v>
      </c>
      <c r="C6386" t="s">
        <v>6738</v>
      </c>
      <c r="D6386">
        <v>152.94999999999999</v>
      </c>
    </row>
    <row r="6387" spans="1:4">
      <c r="A6387" t="s">
        <v>91</v>
      </c>
      <c r="C6387" t="s">
        <v>6739</v>
      </c>
      <c r="D6387">
        <v>400</v>
      </c>
    </row>
    <row r="6388" spans="1:4">
      <c r="A6388" t="s">
        <v>91</v>
      </c>
      <c r="B6388" t="s">
        <v>510</v>
      </c>
      <c r="C6388" t="s">
        <v>6740</v>
      </c>
      <c r="D6388">
        <v>129.99</v>
      </c>
    </row>
    <row r="6389" spans="1:4">
      <c r="A6389" t="s">
        <v>91</v>
      </c>
      <c r="B6389" t="s">
        <v>510</v>
      </c>
      <c r="C6389" t="s">
        <v>6741</v>
      </c>
      <c r="D6389">
        <v>179.95</v>
      </c>
    </row>
    <row r="6390" spans="1:4">
      <c r="A6390" t="s">
        <v>91</v>
      </c>
      <c r="C6390" t="s">
        <v>6742</v>
      </c>
      <c r="D6390">
        <v>1299</v>
      </c>
    </row>
    <row r="6391" spans="1:4">
      <c r="A6391" t="s">
        <v>91</v>
      </c>
      <c r="B6391" t="s">
        <v>510</v>
      </c>
      <c r="C6391" t="s">
        <v>6743</v>
      </c>
      <c r="D6391">
        <v>339.99</v>
      </c>
    </row>
    <row r="6392" spans="1:4">
      <c r="A6392" t="s">
        <v>91</v>
      </c>
      <c r="B6392" t="s">
        <v>510</v>
      </c>
      <c r="C6392" t="s">
        <v>6744</v>
      </c>
      <c r="D6392">
        <v>439.99</v>
      </c>
    </row>
    <row r="6393" spans="1:4">
      <c r="A6393" t="s">
        <v>91</v>
      </c>
      <c r="B6393" t="s">
        <v>510</v>
      </c>
      <c r="C6393" t="s">
        <v>6745</v>
      </c>
      <c r="D6393">
        <v>279.99</v>
      </c>
    </row>
    <row r="6394" spans="1:4">
      <c r="A6394" t="s">
        <v>91</v>
      </c>
      <c r="C6394" t="s">
        <v>6746</v>
      </c>
      <c r="D6394">
        <v>110.87</v>
      </c>
    </row>
    <row r="6395" spans="1:4">
      <c r="A6395" t="s">
        <v>91</v>
      </c>
      <c r="C6395" t="s">
        <v>6747</v>
      </c>
      <c r="D6395">
        <v>499</v>
      </c>
    </row>
    <row r="6396" spans="1:4">
      <c r="A6396" t="s">
        <v>91</v>
      </c>
      <c r="B6396" t="s">
        <v>6407</v>
      </c>
      <c r="C6396" t="s">
        <v>6408</v>
      </c>
      <c r="D6396">
        <v>94.99</v>
      </c>
    </row>
    <row r="6397" spans="1:4">
      <c r="A6397" t="s">
        <v>91</v>
      </c>
      <c r="C6397" t="s">
        <v>6748</v>
      </c>
      <c r="D6397">
        <v>449</v>
      </c>
    </row>
    <row r="6398" spans="1:4">
      <c r="A6398" t="s">
        <v>91</v>
      </c>
      <c r="B6398" t="s">
        <v>510</v>
      </c>
      <c r="C6398" t="s">
        <v>6749</v>
      </c>
      <c r="D6398">
        <v>789.99</v>
      </c>
    </row>
    <row r="6399" spans="1:4">
      <c r="A6399" t="s">
        <v>91</v>
      </c>
      <c r="B6399" t="s">
        <v>510</v>
      </c>
      <c r="C6399" t="s">
        <v>6750</v>
      </c>
      <c r="D6399">
        <v>109.99</v>
      </c>
    </row>
    <row r="6400" spans="1:4">
      <c r="A6400" t="s">
        <v>91</v>
      </c>
      <c r="B6400" t="s">
        <v>510</v>
      </c>
      <c r="C6400" t="s">
        <v>6751</v>
      </c>
      <c r="D6400">
        <v>279.99</v>
      </c>
    </row>
    <row r="6401" spans="1:4">
      <c r="A6401" t="s">
        <v>91</v>
      </c>
      <c r="C6401" t="s">
        <v>6752</v>
      </c>
      <c r="D6401">
        <v>429</v>
      </c>
    </row>
    <row r="6402" spans="1:4">
      <c r="A6402" t="s">
        <v>91</v>
      </c>
      <c r="B6402" t="s">
        <v>2983</v>
      </c>
      <c r="C6402" t="s">
        <v>6753</v>
      </c>
      <c r="D6402">
        <v>219.99</v>
      </c>
    </row>
    <row r="6403" spans="1:4">
      <c r="A6403" t="s">
        <v>91</v>
      </c>
      <c r="B6403" t="s">
        <v>1337</v>
      </c>
      <c r="C6403" t="s">
        <v>6754</v>
      </c>
      <c r="D6403">
        <v>499.99</v>
      </c>
    </row>
    <row r="6404" spans="1:4">
      <c r="A6404" t="s">
        <v>91</v>
      </c>
      <c r="B6404" t="s">
        <v>510</v>
      </c>
      <c r="C6404" t="s">
        <v>6755</v>
      </c>
      <c r="D6404">
        <v>349.99</v>
      </c>
    </row>
    <row r="6405" spans="1:4">
      <c r="A6405" t="s">
        <v>91</v>
      </c>
      <c r="C6405" t="s">
        <v>6756</v>
      </c>
      <c r="D6405">
        <v>1599</v>
      </c>
    </row>
    <row r="6406" spans="1:4">
      <c r="A6406" t="s">
        <v>91</v>
      </c>
      <c r="B6406" t="s">
        <v>510</v>
      </c>
      <c r="C6406" t="s">
        <v>6757</v>
      </c>
      <c r="D6406">
        <v>121.49</v>
      </c>
    </row>
    <row r="6407" spans="1:4">
      <c r="A6407" t="s">
        <v>91</v>
      </c>
      <c r="B6407" t="s">
        <v>510</v>
      </c>
      <c r="C6407" t="s">
        <v>6758</v>
      </c>
      <c r="D6407">
        <v>259.98</v>
      </c>
    </row>
    <row r="6408" spans="1:4">
      <c r="A6408" t="s">
        <v>91</v>
      </c>
      <c r="B6408" t="s">
        <v>510</v>
      </c>
      <c r="C6408" t="s">
        <v>6759</v>
      </c>
      <c r="D6408">
        <v>1500</v>
      </c>
    </row>
    <row r="6409" spans="1:4">
      <c r="A6409" t="s">
        <v>91</v>
      </c>
      <c r="B6409" t="s">
        <v>510</v>
      </c>
      <c r="C6409" t="s">
        <v>6760</v>
      </c>
      <c r="D6409">
        <v>549.99</v>
      </c>
    </row>
    <row r="6410" spans="1:4">
      <c r="A6410" t="s">
        <v>91</v>
      </c>
      <c r="B6410" t="s">
        <v>510</v>
      </c>
      <c r="C6410" t="s">
        <v>6761</v>
      </c>
      <c r="D6410">
        <v>179.95</v>
      </c>
    </row>
    <row r="6411" spans="1:4">
      <c r="A6411" t="s">
        <v>91</v>
      </c>
      <c r="B6411" t="s">
        <v>505</v>
      </c>
      <c r="C6411" t="s">
        <v>6762</v>
      </c>
      <c r="D6411">
        <v>188.99</v>
      </c>
    </row>
    <row r="6412" spans="1:4">
      <c r="A6412" t="s">
        <v>91</v>
      </c>
      <c r="B6412" t="s">
        <v>1337</v>
      </c>
      <c r="C6412" t="s">
        <v>6763</v>
      </c>
      <c r="D6412">
        <v>400.49</v>
      </c>
    </row>
    <row r="6413" spans="1:4">
      <c r="A6413" t="s">
        <v>91</v>
      </c>
      <c r="B6413" t="s">
        <v>510</v>
      </c>
      <c r="C6413" t="s">
        <v>6764</v>
      </c>
      <c r="D6413">
        <v>139.49</v>
      </c>
    </row>
    <row r="6414" spans="1:4">
      <c r="A6414" t="s">
        <v>91</v>
      </c>
      <c r="C6414" t="s">
        <v>6765</v>
      </c>
      <c r="D6414">
        <v>799</v>
      </c>
    </row>
    <row r="6415" spans="1:4">
      <c r="A6415" t="s">
        <v>91</v>
      </c>
      <c r="B6415" t="s">
        <v>1337</v>
      </c>
      <c r="C6415" t="s">
        <v>6766</v>
      </c>
      <c r="D6415">
        <v>368.99</v>
      </c>
    </row>
    <row r="6416" spans="1:4">
      <c r="A6416" t="s">
        <v>91</v>
      </c>
      <c r="B6416" t="s">
        <v>505</v>
      </c>
      <c r="C6416" t="s">
        <v>6767</v>
      </c>
      <c r="D6416">
        <v>99.99</v>
      </c>
    </row>
    <row r="6417" spans="1:4">
      <c r="A6417" t="s">
        <v>91</v>
      </c>
      <c r="B6417" t="s">
        <v>505</v>
      </c>
      <c r="C6417" t="s">
        <v>6768</v>
      </c>
      <c r="D6417">
        <v>89.99</v>
      </c>
    </row>
    <row r="6418" spans="1:4">
      <c r="A6418" t="s">
        <v>91</v>
      </c>
      <c r="B6418" t="s">
        <v>510</v>
      </c>
      <c r="C6418" t="s">
        <v>6769</v>
      </c>
      <c r="D6418">
        <v>489.99</v>
      </c>
    </row>
    <row r="6419" spans="1:4">
      <c r="A6419" t="s">
        <v>91</v>
      </c>
      <c r="B6419" t="s">
        <v>510</v>
      </c>
      <c r="C6419" t="s">
        <v>6770</v>
      </c>
      <c r="D6419">
        <v>339.99</v>
      </c>
    </row>
    <row r="6420" spans="1:4">
      <c r="A6420" t="s">
        <v>91</v>
      </c>
      <c r="B6420" t="s">
        <v>510</v>
      </c>
      <c r="C6420" t="s">
        <v>6771</v>
      </c>
      <c r="D6420">
        <v>309.97000000000003</v>
      </c>
    </row>
    <row r="6421" spans="1:4">
      <c r="A6421" t="s">
        <v>91</v>
      </c>
      <c r="C6421" t="s">
        <v>6772</v>
      </c>
      <c r="D6421">
        <v>119</v>
      </c>
    </row>
    <row r="6422" spans="1:4">
      <c r="A6422" t="s">
        <v>91</v>
      </c>
      <c r="B6422" t="s">
        <v>510</v>
      </c>
      <c r="C6422" t="s">
        <v>6773</v>
      </c>
      <c r="D6422">
        <v>689.99</v>
      </c>
    </row>
    <row r="6423" spans="1:4">
      <c r="A6423" t="s">
        <v>91</v>
      </c>
      <c r="B6423" t="s">
        <v>510</v>
      </c>
      <c r="C6423" t="s">
        <v>6774</v>
      </c>
      <c r="D6423">
        <v>1029.99</v>
      </c>
    </row>
    <row r="6424" spans="1:4">
      <c r="A6424" t="s">
        <v>91</v>
      </c>
      <c r="B6424" t="s">
        <v>505</v>
      </c>
      <c r="C6424" t="s">
        <v>6775</v>
      </c>
      <c r="D6424">
        <v>149.99</v>
      </c>
    </row>
    <row r="6425" spans="1:4">
      <c r="A6425" t="s">
        <v>91</v>
      </c>
      <c r="C6425" t="s">
        <v>6776</v>
      </c>
      <c r="D6425">
        <v>699</v>
      </c>
    </row>
    <row r="6426" spans="1:4">
      <c r="A6426" t="s">
        <v>91</v>
      </c>
      <c r="B6426" t="s">
        <v>510</v>
      </c>
      <c r="C6426" t="s">
        <v>6777</v>
      </c>
      <c r="D6426">
        <v>349.99</v>
      </c>
    </row>
    <row r="6427" spans="1:4">
      <c r="A6427" t="s">
        <v>91</v>
      </c>
      <c r="B6427" t="s">
        <v>510</v>
      </c>
      <c r="C6427" t="s">
        <v>6778</v>
      </c>
      <c r="D6427">
        <v>679.99</v>
      </c>
    </row>
    <row r="6428" spans="1:4">
      <c r="A6428" t="s">
        <v>91</v>
      </c>
      <c r="B6428" t="s">
        <v>510</v>
      </c>
      <c r="C6428" t="s">
        <v>6779</v>
      </c>
      <c r="D6428">
        <v>229.99</v>
      </c>
    </row>
    <row r="6429" spans="1:4">
      <c r="A6429" t="s">
        <v>91</v>
      </c>
      <c r="C6429" t="s">
        <v>6699</v>
      </c>
      <c r="D6429">
        <v>1149</v>
      </c>
    </row>
    <row r="6430" spans="1:4">
      <c r="A6430" t="s">
        <v>91</v>
      </c>
      <c r="B6430" t="s">
        <v>2980</v>
      </c>
      <c r="C6430" t="s">
        <v>6780</v>
      </c>
      <c r="D6430">
        <v>749.99</v>
      </c>
    </row>
    <row r="6431" spans="1:4">
      <c r="A6431" t="s">
        <v>91</v>
      </c>
      <c r="B6431" t="s">
        <v>510</v>
      </c>
      <c r="C6431" t="s">
        <v>6781</v>
      </c>
      <c r="D6431">
        <v>609.99</v>
      </c>
    </row>
    <row r="6432" spans="1:4">
      <c r="A6432" t="s">
        <v>91</v>
      </c>
      <c r="B6432" t="s">
        <v>1337</v>
      </c>
      <c r="C6432" t="s">
        <v>6782</v>
      </c>
      <c r="D6432">
        <v>391.49</v>
      </c>
    </row>
    <row r="6433" spans="1:4">
      <c r="A6433" t="s">
        <v>91</v>
      </c>
      <c r="B6433" t="s">
        <v>510</v>
      </c>
      <c r="C6433" t="s">
        <v>6783</v>
      </c>
      <c r="D6433">
        <v>314.99</v>
      </c>
    </row>
    <row r="6434" spans="1:4">
      <c r="A6434" t="s">
        <v>91</v>
      </c>
      <c r="B6434" t="s">
        <v>510</v>
      </c>
      <c r="C6434" t="s">
        <v>6784</v>
      </c>
      <c r="D6434">
        <v>519.99</v>
      </c>
    </row>
    <row r="6435" spans="1:4">
      <c r="A6435" t="s">
        <v>91</v>
      </c>
      <c r="B6435" t="s">
        <v>510</v>
      </c>
      <c r="C6435" t="s">
        <v>6785</v>
      </c>
      <c r="D6435">
        <v>399.97</v>
      </c>
    </row>
    <row r="6436" spans="1:4">
      <c r="A6436" t="s">
        <v>91</v>
      </c>
      <c r="B6436" t="s">
        <v>510</v>
      </c>
      <c r="C6436" t="s">
        <v>6786</v>
      </c>
      <c r="D6436">
        <v>609.19000000000005</v>
      </c>
    </row>
    <row r="6437" spans="1:4">
      <c r="A6437" t="s">
        <v>91</v>
      </c>
      <c r="B6437" t="s">
        <v>510</v>
      </c>
      <c r="C6437" t="s">
        <v>6787</v>
      </c>
      <c r="D6437">
        <v>839.99</v>
      </c>
    </row>
    <row r="6438" spans="1:4">
      <c r="A6438" t="s">
        <v>91</v>
      </c>
      <c r="C6438" t="s">
        <v>6788</v>
      </c>
      <c r="D6438">
        <v>699</v>
      </c>
    </row>
    <row r="6439" spans="1:4">
      <c r="A6439" t="s">
        <v>91</v>
      </c>
      <c r="C6439" t="s">
        <v>6789</v>
      </c>
      <c r="D6439">
        <v>599</v>
      </c>
    </row>
    <row r="6440" spans="1:4">
      <c r="A6440" t="s">
        <v>91</v>
      </c>
      <c r="B6440" t="s">
        <v>510</v>
      </c>
      <c r="C6440" t="s">
        <v>6790</v>
      </c>
      <c r="D6440">
        <v>1499</v>
      </c>
    </row>
    <row r="6441" spans="1:4">
      <c r="A6441" t="s">
        <v>91</v>
      </c>
      <c r="C6441" t="s">
        <v>6791</v>
      </c>
      <c r="D6441">
        <v>448</v>
      </c>
    </row>
    <row r="6442" spans="1:4">
      <c r="A6442" t="s">
        <v>91</v>
      </c>
      <c r="B6442" t="s">
        <v>510</v>
      </c>
      <c r="C6442" t="s">
        <v>6792</v>
      </c>
      <c r="D6442">
        <v>194.99</v>
      </c>
    </row>
    <row r="6443" spans="1:4">
      <c r="A6443" t="s">
        <v>91</v>
      </c>
      <c r="B6443" t="s">
        <v>1337</v>
      </c>
      <c r="C6443" t="s">
        <v>6793</v>
      </c>
      <c r="D6443">
        <v>467.99</v>
      </c>
    </row>
    <row r="6444" spans="1:4">
      <c r="A6444" t="s">
        <v>91</v>
      </c>
      <c r="B6444" t="s">
        <v>510</v>
      </c>
      <c r="C6444" t="s">
        <v>6794</v>
      </c>
      <c r="D6444">
        <v>89.99</v>
      </c>
    </row>
    <row r="6445" spans="1:4">
      <c r="A6445" t="s">
        <v>91</v>
      </c>
      <c r="C6445" t="s">
        <v>6795</v>
      </c>
      <c r="D6445">
        <v>118</v>
      </c>
    </row>
    <row r="6446" spans="1:4">
      <c r="A6446" t="s">
        <v>91</v>
      </c>
      <c r="B6446" t="s">
        <v>510</v>
      </c>
      <c r="C6446" t="s">
        <v>6796</v>
      </c>
      <c r="D6446">
        <v>447.29</v>
      </c>
    </row>
    <row r="6447" spans="1:4">
      <c r="A6447" t="s">
        <v>91</v>
      </c>
      <c r="C6447" t="s">
        <v>6797</v>
      </c>
      <c r="D6447">
        <v>224.7</v>
      </c>
    </row>
    <row r="6448" spans="1:4">
      <c r="A6448" t="s">
        <v>91</v>
      </c>
      <c r="B6448" t="s">
        <v>505</v>
      </c>
      <c r="C6448" t="s">
        <v>6798</v>
      </c>
      <c r="D6448">
        <v>111.59</v>
      </c>
    </row>
    <row r="6449" spans="1:4">
      <c r="A6449" t="s">
        <v>91</v>
      </c>
      <c r="B6449" t="s">
        <v>2980</v>
      </c>
      <c r="C6449" t="s">
        <v>6799</v>
      </c>
      <c r="D6449">
        <v>499.99</v>
      </c>
    </row>
    <row r="6450" spans="1:4">
      <c r="A6450" t="s">
        <v>91</v>
      </c>
      <c r="C6450" t="s">
        <v>6800</v>
      </c>
      <c r="D6450">
        <v>110.87</v>
      </c>
    </row>
    <row r="6451" spans="1:4">
      <c r="A6451" t="s">
        <v>91</v>
      </c>
      <c r="B6451" t="s">
        <v>510</v>
      </c>
      <c r="C6451" t="s">
        <v>6801</v>
      </c>
      <c r="D6451">
        <v>700.54</v>
      </c>
    </row>
    <row r="6452" spans="1:4">
      <c r="A6452" t="s">
        <v>91</v>
      </c>
      <c r="C6452" t="s">
        <v>6802</v>
      </c>
      <c r="D6452">
        <v>1149</v>
      </c>
    </row>
    <row r="6453" spans="1:4">
      <c r="A6453" t="s">
        <v>91</v>
      </c>
      <c r="C6453" t="s">
        <v>6803</v>
      </c>
      <c r="D6453">
        <v>1399</v>
      </c>
    </row>
    <row r="6454" spans="1:4">
      <c r="A6454" t="s">
        <v>91</v>
      </c>
      <c r="B6454" t="s">
        <v>510</v>
      </c>
      <c r="C6454" t="s">
        <v>6804</v>
      </c>
      <c r="D6454">
        <v>539.99</v>
      </c>
    </row>
    <row r="6455" spans="1:4">
      <c r="A6455" t="s">
        <v>91</v>
      </c>
      <c r="C6455" t="s">
        <v>6805</v>
      </c>
      <c r="D6455">
        <v>749</v>
      </c>
    </row>
    <row r="6456" spans="1:4">
      <c r="A6456" t="s">
        <v>91</v>
      </c>
      <c r="B6456" t="s">
        <v>510</v>
      </c>
      <c r="C6456" t="s">
        <v>6806</v>
      </c>
      <c r="D6456">
        <v>152.94999999999999</v>
      </c>
    </row>
    <row r="6457" spans="1:4">
      <c r="A6457" t="s">
        <v>91</v>
      </c>
      <c r="B6457" t="s">
        <v>510</v>
      </c>
      <c r="C6457" t="s">
        <v>6807</v>
      </c>
      <c r="D6457">
        <v>229.99</v>
      </c>
    </row>
    <row r="6458" spans="1:4">
      <c r="A6458" t="s">
        <v>91</v>
      </c>
      <c r="B6458" t="s">
        <v>1337</v>
      </c>
      <c r="C6458" t="s">
        <v>6808</v>
      </c>
      <c r="D6458">
        <v>404.99</v>
      </c>
    </row>
    <row r="6459" spans="1:4">
      <c r="A6459" t="s">
        <v>91</v>
      </c>
      <c r="B6459" t="s">
        <v>510</v>
      </c>
      <c r="C6459" t="s">
        <v>6809</v>
      </c>
      <c r="D6459">
        <v>194.99</v>
      </c>
    </row>
    <row r="6460" spans="1:4">
      <c r="A6460" t="s">
        <v>91</v>
      </c>
      <c r="C6460" t="s">
        <v>6727</v>
      </c>
      <c r="D6460">
        <v>124</v>
      </c>
    </row>
    <row r="6461" spans="1:4">
      <c r="A6461" t="s">
        <v>91</v>
      </c>
      <c r="B6461" t="s">
        <v>1642</v>
      </c>
      <c r="C6461" t="s">
        <v>6810</v>
      </c>
      <c r="D6461">
        <v>89.99</v>
      </c>
    </row>
    <row r="6462" spans="1:4">
      <c r="A6462" t="s">
        <v>91</v>
      </c>
      <c r="B6462" t="s">
        <v>1337</v>
      </c>
      <c r="C6462" t="s">
        <v>6811</v>
      </c>
      <c r="D6462">
        <v>499.99</v>
      </c>
    </row>
    <row r="6463" spans="1:4">
      <c r="A6463" t="s">
        <v>91</v>
      </c>
      <c r="B6463" t="s">
        <v>510</v>
      </c>
      <c r="C6463" t="s">
        <v>6812</v>
      </c>
      <c r="D6463">
        <v>626.88</v>
      </c>
    </row>
    <row r="6464" spans="1:4">
      <c r="A6464" t="s">
        <v>91</v>
      </c>
      <c r="B6464" t="s">
        <v>510</v>
      </c>
      <c r="C6464" t="s">
        <v>6813</v>
      </c>
      <c r="D6464">
        <v>319.97000000000003</v>
      </c>
    </row>
    <row r="6465" spans="1:4">
      <c r="A6465" t="s">
        <v>91</v>
      </c>
      <c r="B6465" t="s">
        <v>510</v>
      </c>
      <c r="C6465" t="s">
        <v>6814</v>
      </c>
      <c r="D6465">
        <v>259.19</v>
      </c>
    </row>
    <row r="6466" spans="1:4">
      <c r="A6466" t="s">
        <v>91</v>
      </c>
      <c r="B6466" t="s">
        <v>510</v>
      </c>
      <c r="C6466" t="s">
        <v>6815</v>
      </c>
      <c r="D6466">
        <v>449</v>
      </c>
    </row>
    <row r="6467" spans="1:4">
      <c r="A6467" t="s">
        <v>91</v>
      </c>
      <c r="B6467" t="s">
        <v>510</v>
      </c>
      <c r="C6467" t="s">
        <v>6816</v>
      </c>
      <c r="D6467">
        <v>301.49</v>
      </c>
    </row>
    <row r="6468" spans="1:4">
      <c r="A6468" t="s">
        <v>91</v>
      </c>
      <c r="B6468" t="s">
        <v>510</v>
      </c>
      <c r="C6468" t="s">
        <v>6817</v>
      </c>
      <c r="D6468">
        <v>215.99</v>
      </c>
    </row>
    <row r="6469" spans="1:4">
      <c r="A6469" t="s">
        <v>91</v>
      </c>
      <c r="B6469" t="s">
        <v>505</v>
      </c>
      <c r="C6469" t="s">
        <v>6818</v>
      </c>
      <c r="D6469">
        <v>305.99</v>
      </c>
    </row>
    <row r="6470" spans="1:4">
      <c r="A6470" t="s">
        <v>91</v>
      </c>
      <c r="B6470" t="s">
        <v>505</v>
      </c>
      <c r="C6470" t="s">
        <v>6819</v>
      </c>
      <c r="D6470">
        <v>332.99</v>
      </c>
    </row>
    <row r="6471" spans="1:4">
      <c r="A6471" t="s">
        <v>91</v>
      </c>
      <c r="B6471" t="s">
        <v>510</v>
      </c>
      <c r="C6471" t="s">
        <v>6820</v>
      </c>
      <c r="D6471">
        <v>292.49</v>
      </c>
    </row>
    <row r="6472" spans="1:4">
      <c r="A6472" t="s">
        <v>91</v>
      </c>
      <c r="B6472" t="s">
        <v>510</v>
      </c>
      <c r="C6472" t="s">
        <v>6821</v>
      </c>
      <c r="D6472">
        <v>689.99</v>
      </c>
    </row>
    <row r="6473" spans="1:4">
      <c r="A6473" t="s">
        <v>91</v>
      </c>
      <c r="B6473" t="s">
        <v>510</v>
      </c>
      <c r="C6473" t="s">
        <v>6744</v>
      </c>
      <c r="D6473">
        <v>439.99</v>
      </c>
    </row>
    <row r="6474" spans="1:4">
      <c r="A6474" t="s">
        <v>91</v>
      </c>
      <c r="B6474" t="s">
        <v>510</v>
      </c>
      <c r="C6474" t="s">
        <v>6822</v>
      </c>
      <c r="D6474">
        <v>314.99</v>
      </c>
    </row>
    <row r="6475" spans="1:4">
      <c r="A6475" t="s">
        <v>91</v>
      </c>
      <c r="B6475" t="s">
        <v>6725</v>
      </c>
      <c r="C6475" t="s">
        <v>6823</v>
      </c>
      <c r="D6475">
        <v>173.91</v>
      </c>
    </row>
    <row r="6476" spans="1:4">
      <c r="A6476" t="s">
        <v>91</v>
      </c>
      <c r="B6476" t="s">
        <v>510</v>
      </c>
      <c r="C6476" t="s">
        <v>6824</v>
      </c>
      <c r="D6476">
        <v>350.99</v>
      </c>
    </row>
    <row r="6477" spans="1:4">
      <c r="A6477" t="s">
        <v>91</v>
      </c>
      <c r="B6477" t="s">
        <v>510</v>
      </c>
      <c r="C6477" t="s">
        <v>6825</v>
      </c>
      <c r="D6477">
        <v>332.99</v>
      </c>
    </row>
    <row r="6478" spans="1:4">
      <c r="A6478" t="s">
        <v>91</v>
      </c>
      <c r="B6478" t="s">
        <v>505</v>
      </c>
      <c r="C6478" t="s">
        <v>6826</v>
      </c>
      <c r="D6478">
        <v>405.89</v>
      </c>
    </row>
    <row r="6479" spans="1:4">
      <c r="A6479" t="s">
        <v>91</v>
      </c>
      <c r="B6479" t="s">
        <v>510</v>
      </c>
      <c r="C6479" t="s">
        <v>6827</v>
      </c>
      <c r="D6479">
        <v>359.99</v>
      </c>
    </row>
    <row r="6480" spans="1:4">
      <c r="A6480" t="s">
        <v>91</v>
      </c>
      <c r="B6480" t="s">
        <v>510</v>
      </c>
      <c r="C6480" t="s">
        <v>6828</v>
      </c>
      <c r="D6480">
        <v>332.99</v>
      </c>
    </row>
    <row r="6481" spans="1:4">
      <c r="A6481" t="s">
        <v>91</v>
      </c>
      <c r="B6481" t="s">
        <v>505</v>
      </c>
      <c r="C6481" t="s">
        <v>6829</v>
      </c>
      <c r="D6481">
        <v>449.99</v>
      </c>
    </row>
    <row r="6482" spans="1:4">
      <c r="A6482" t="s">
        <v>91</v>
      </c>
      <c r="C6482" t="s">
        <v>6830</v>
      </c>
      <c r="D6482">
        <v>649</v>
      </c>
    </row>
    <row r="6483" spans="1:4">
      <c r="A6483" t="s">
        <v>91</v>
      </c>
      <c r="B6483" t="s">
        <v>510</v>
      </c>
      <c r="C6483" t="s">
        <v>6831</v>
      </c>
      <c r="D6483">
        <v>389.97</v>
      </c>
    </row>
    <row r="6484" spans="1:4">
      <c r="A6484" t="s">
        <v>91</v>
      </c>
      <c r="C6484" t="s">
        <v>6832</v>
      </c>
      <c r="D6484">
        <v>139</v>
      </c>
    </row>
    <row r="6485" spans="1:4">
      <c r="A6485" t="s">
        <v>91</v>
      </c>
      <c r="C6485" t="s">
        <v>6833</v>
      </c>
      <c r="D6485">
        <v>1249</v>
      </c>
    </row>
    <row r="6486" spans="1:4">
      <c r="A6486" t="s">
        <v>91</v>
      </c>
      <c r="B6486" t="s">
        <v>510</v>
      </c>
      <c r="C6486" t="s">
        <v>6834</v>
      </c>
      <c r="D6486">
        <v>619.99</v>
      </c>
    </row>
    <row r="6487" spans="1:4">
      <c r="A6487" t="s">
        <v>91</v>
      </c>
      <c r="B6487" t="s">
        <v>510</v>
      </c>
      <c r="C6487" t="s">
        <v>6835</v>
      </c>
      <c r="D6487">
        <v>359.99</v>
      </c>
    </row>
    <row r="6488" spans="1:4">
      <c r="A6488" t="s">
        <v>91</v>
      </c>
      <c r="B6488" t="s">
        <v>510</v>
      </c>
      <c r="C6488" t="s">
        <v>6836</v>
      </c>
      <c r="D6488">
        <v>419.99</v>
      </c>
    </row>
    <row r="6489" spans="1:4">
      <c r="A6489" t="s">
        <v>91</v>
      </c>
      <c r="B6489" t="s">
        <v>1337</v>
      </c>
      <c r="C6489" t="s">
        <v>6837</v>
      </c>
      <c r="D6489">
        <v>391.49</v>
      </c>
    </row>
    <row r="6490" spans="1:4">
      <c r="A6490" t="s">
        <v>91</v>
      </c>
      <c r="B6490" t="s">
        <v>2983</v>
      </c>
      <c r="C6490" t="s">
        <v>6838</v>
      </c>
      <c r="D6490">
        <v>100.86</v>
      </c>
    </row>
    <row r="6491" spans="1:4">
      <c r="A6491" t="s">
        <v>91</v>
      </c>
      <c r="B6491" t="s">
        <v>6438</v>
      </c>
      <c r="C6491" t="s">
        <v>6839</v>
      </c>
      <c r="D6491">
        <v>47.91</v>
      </c>
    </row>
    <row r="6492" spans="1:4">
      <c r="A6492" t="s">
        <v>91</v>
      </c>
      <c r="B6492" t="s">
        <v>510</v>
      </c>
      <c r="C6492" t="s">
        <v>6840</v>
      </c>
      <c r="D6492">
        <v>451.79</v>
      </c>
    </row>
    <row r="6493" spans="1:4">
      <c r="A6493" t="s">
        <v>91</v>
      </c>
      <c r="B6493" t="s">
        <v>510</v>
      </c>
      <c r="C6493" t="s">
        <v>6807</v>
      </c>
      <c r="D6493">
        <v>229.99</v>
      </c>
    </row>
    <row r="6494" spans="1:4">
      <c r="A6494" t="s">
        <v>91</v>
      </c>
      <c r="B6494" t="s">
        <v>6841</v>
      </c>
      <c r="C6494" t="s">
        <v>6842</v>
      </c>
      <c r="D6494">
        <v>40.51</v>
      </c>
    </row>
    <row r="6495" spans="1:4">
      <c r="A6495" t="s">
        <v>91</v>
      </c>
      <c r="C6495" t="s">
        <v>6843</v>
      </c>
      <c r="D6495">
        <v>389</v>
      </c>
    </row>
    <row r="6496" spans="1:4">
      <c r="A6496" t="s">
        <v>91</v>
      </c>
      <c r="B6496" t="s">
        <v>1337</v>
      </c>
      <c r="C6496" t="s">
        <v>6844</v>
      </c>
      <c r="D6496">
        <v>377.63</v>
      </c>
    </row>
    <row r="6497" spans="1:4">
      <c r="A6497" t="s">
        <v>91</v>
      </c>
      <c r="B6497" t="s">
        <v>1337</v>
      </c>
      <c r="C6497" t="s">
        <v>6845</v>
      </c>
      <c r="D6497">
        <v>269.99</v>
      </c>
    </row>
    <row r="6498" spans="1:4">
      <c r="A6498" t="s">
        <v>91</v>
      </c>
      <c r="B6498" t="s">
        <v>510</v>
      </c>
      <c r="C6498" t="s">
        <v>6846</v>
      </c>
      <c r="D6498">
        <v>734.99</v>
      </c>
    </row>
    <row r="6499" spans="1:4">
      <c r="A6499" t="s">
        <v>91</v>
      </c>
      <c r="B6499" t="s">
        <v>505</v>
      </c>
      <c r="C6499" t="s">
        <v>6847</v>
      </c>
      <c r="D6499">
        <v>467.99</v>
      </c>
    </row>
    <row r="6500" spans="1:4">
      <c r="A6500" t="s">
        <v>91</v>
      </c>
      <c r="B6500" t="s">
        <v>2983</v>
      </c>
      <c r="C6500" t="s">
        <v>6848</v>
      </c>
      <c r="D6500">
        <v>89.99</v>
      </c>
    </row>
    <row r="6501" spans="1:4">
      <c r="A6501" t="s">
        <v>91</v>
      </c>
      <c r="B6501" t="s">
        <v>505</v>
      </c>
      <c r="C6501" t="s">
        <v>6849</v>
      </c>
      <c r="D6501">
        <v>341.99</v>
      </c>
    </row>
    <row r="6502" spans="1:4">
      <c r="A6502" t="s">
        <v>91</v>
      </c>
      <c r="B6502" t="s">
        <v>510</v>
      </c>
      <c r="C6502" t="s">
        <v>6809</v>
      </c>
      <c r="D6502">
        <v>184.99</v>
      </c>
    </row>
    <row r="6503" spans="1:4">
      <c r="A6503" t="s">
        <v>91</v>
      </c>
      <c r="B6503" t="s">
        <v>1337</v>
      </c>
      <c r="C6503" t="s">
        <v>6850</v>
      </c>
      <c r="D6503">
        <v>472.49</v>
      </c>
    </row>
    <row r="6504" spans="1:4">
      <c r="A6504" t="s">
        <v>91</v>
      </c>
      <c r="B6504" t="s">
        <v>510</v>
      </c>
      <c r="C6504" t="s">
        <v>6851</v>
      </c>
      <c r="D6504">
        <v>204.99</v>
      </c>
    </row>
    <row r="6505" spans="1:4">
      <c r="A6505" t="s">
        <v>91</v>
      </c>
      <c r="B6505" t="s">
        <v>510</v>
      </c>
      <c r="C6505" t="s">
        <v>6852</v>
      </c>
      <c r="D6505">
        <v>174.99</v>
      </c>
    </row>
    <row r="6506" spans="1:4">
      <c r="A6506" t="s">
        <v>91</v>
      </c>
      <c r="B6506" t="s">
        <v>510</v>
      </c>
      <c r="C6506" t="s">
        <v>6853</v>
      </c>
      <c r="D6506">
        <v>184.99</v>
      </c>
    </row>
    <row r="6507" spans="1:4">
      <c r="A6507" t="s">
        <v>91</v>
      </c>
      <c r="B6507" t="s">
        <v>510</v>
      </c>
      <c r="C6507" t="s">
        <v>6854</v>
      </c>
      <c r="D6507">
        <v>346.49</v>
      </c>
    </row>
    <row r="6508" spans="1:4">
      <c r="A6508" t="s">
        <v>91</v>
      </c>
      <c r="B6508" t="s">
        <v>510</v>
      </c>
      <c r="C6508" t="s">
        <v>6855</v>
      </c>
      <c r="D6508">
        <v>154.99</v>
      </c>
    </row>
    <row r="6509" spans="1:4">
      <c r="A6509" t="s">
        <v>91</v>
      </c>
      <c r="B6509" t="s">
        <v>1337</v>
      </c>
      <c r="C6509" t="s">
        <v>6856</v>
      </c>
      <c r="D6509">
        <v>549.63</v>
      </c>
    </row>
    <row r="6510" spans="1:4">
      <c r="A6510" t="s">
        <v>91</v>
      </c>
      <c r="B6510" t="s">
        <v>505</v>
      </c>
      <c r="C6510" t="s">
        <v>6857</v>
      </c>
      <c r="D6510">
        <v>524.97</v>
      </c>
    </row>
    <row r="6511" spans="1:4">
      <c r="A6511" t="s">
        <v>91</v>
      </c>
      <c r="B6511" t="s">
        <v>505</v>
      </c>
      <c r="C6511" t="s">
        <v>6858</v>
      </c>
      <c r="D6511">
        <v>669.97</v>
      </c>
    </row>
    <row r="6512" spans="1:4">
      <c r="A6512" t="s">
        <v>91</v>
      </c>
      <c r="B6512" t="s">
        <v>510</v>
      </c>
      <c r="C6512" t="s">
        <v>6807</v>
      </c>
      <c r="D6512">
        <v>244.99</v>
      </c>
    </row>
    <row r="6513" spans="1:4">
      <c r="A6513" t="s">
        <v>91</v>
      </c>
      <c r="B6513" t="s">
        <v>2983</v>
      </c>
      <c r="C6513" t="s">
        <v>6859</v>
      </c>
      <c r="D6513">
        <v>79.989999999999995</v>
      </c>
    </row>
    <row r="6514" spans="1:4">
      <c r="A6514" t="s">
        <v>91</v>
      </c>
      <c r="B6514" t="s">
        <v>2983</v>
      </c>
      <c r="C6514" t="s">
        <v>6860</v>
      </c>
      <c r="D6514">
        <v>179.99</v>
      </c>
    </row>
    <row r="6515" spans="1:4">
      <c r="A6515" t="s">
        <v>91</v>
      </c>
      <c r="B6515" t="s">
        <v>505</v>
      </c>
      <c r="C6515" t="s">
        <v>6861</v>
      </c>
      <c r="D6515">
        <v>369.99</v>
      </c>
    </row>
    <row r="6516" spans="1:4">
      <c r="A6516" t="s">
        <v>91</v>
      </c>
      <c r="C6516" t="s">
        <v>6862</v>
      </c>
      <c r="D6516">
        <v>39.9</v>
      </c>
    </row>
    <row r="6517" spans="1:4">
      <c r="A6517" t="s">
        <v>91</v>
      </c>
      <c r="B6517" t="s">
        <v>505</v>
      </c>
      <c r="C6517" t="s">
        <v>6863</v>
      </c>
      <c r="D6517">
        <v>159.97</v>
      </c>
    </row>
    <row r="6518" spans="1:4">
      <c r="A6518" t="s">
        <v>91</v>
      </c>
      <c r="B6518" t="s">
        <v>2983</v>
      </c>
      <c r="C6518" t="s">
        <v>6864</v>
      </c>
      <c r="D6518">
        <v>79.989999999999995</v>
      </c>
    </row>
    <row r="6519" spans="1:4">
      <c r="A6519" t="s">
        <v>91</v>
      </c>
      <c r="B6519" t="s">
        <v>2983</v>
      </c>
      <c r="C6519" t="s">
        <v>6865</v>
      </c>
      <c r="D6519">
        <v>124.99</v>
      </c>
    </row>
    <row r="6520" spans="1:4">
      <c r="A6520" t="s">
        <v>91</v>
      </c>
      <c r="B6520" t="s">
        <v>2983</v>
      </c>
      <c r="C6520" t="s">
        <v>6866</v>
      </c>
      <c r="D6520">
        <v>94.99</v>
      </c>
    </row>
    <row r="6521" spans="1:4">
      <c r="A6521" t="s">
        <v>91</v>
      </c>
      <c r="C6521" t="s">
        <v>6867</v>
      </c>
      <c r="D6521">
        <v>259.89999999999998</v>
      </c>
    </row>
    <row r="6522" spans="1:4">
      <c r="A6522" t="s">
        <v>91</v>
      </c>
      <c r="B6522" t="s">
        <v>2983</v>
      </c>
      <c r="C6522" t="s">
        <v>6868</v>
      </c>
      <c r="D6522">
        <v>79.989999999999995</v>
      </c>
    </row>
    <row r="6523" spans="1:4">
      <c r="A6523" t="s">
        <v>91</v>
      </c>
      <c r="B6523" t="s">
        <v>505</v>
      </c>
      <c r="C6523" t="s">
        <v>6869</v>
      </c>
      <c r="D6523">
        <v>639.97</v>
      </c>
    </row>
    <row r="6524" spans="1:4">
      <c r="A6524" t="s">
        <v>91</v>
      </c>
      <c r="B6524" t="s">
        <v>2983</v>
      </c>
      <c r="C6524" t="s">
        <v>6870</v>
      </c>
      <c r="D6524">
        <v>184.99</v>
      </c>
    </row>
    <row r="6525" spans="1:4">
      <c r="A6525" t="s">
        <v>91</v>
      </c>
      <c r="B6525" t="s">
        <v>505</v>
      </c>
      <c r="C6525" t="s">
        <v>6871</v>
      </c>
      <c r="D6525">
        <v>179.97</v>
      </c>
    </row>
    <row r="6526" spans="1:4">
      <c r="A6526" t="s">
        <v>91</v>
      </c>
      <c r="B6526" t="s">
        <v>2983</v>
      </c>
      <c r="C6526" t="s">
        <v>6872</v>
      </c>
      <c r="D6526">
        <v>169.99</v>
      </c>
    </row>
    <row r="6527" spans="1:4">
      <c r="A6527" t="s">
        <v>91</v>
      </c>
      <c r="B6527" t="s">
        <v>505</v>
      </c>
      <c r="C6527" t="s">
        <v>6873</v>
      </c>
      <c r="D6527">
        <v>549.97</v>
      </c>
    </row>
    <row r="6528" spans="1:4">
      <c r="A6528" t="s">
        <v>91</v>
      </c>
      <c r="B6528" t="s">
        <v>2983</v>
      </c>
      <c r="C6528" t="s">
        <v>6874</v>
      </c>
      <c r="D6528">
        <v>164.99</v>
      </c>
    </row>
    <row r="6529" spans="1:4">
      <c r="A6529" t="s">
        <v>91</v>
      </c>
      <c r="B6529" t="s">
        <v>505</v>
      </c>
      <c r="C6529" t="s">
        <v>6875</v>
      </c>
      <c r="D6529">
        <v>489.97</v>
      </c>
    </row>
    <row r="6530" spans="1:4">
      <c r="A6530" t="s">
        <v>91</v>
      </c>
      <c r="B6530" t="s">
        <v>2983</v>
      </c>
      <c r="C6530" t="s">
        <v>6876</v>
      </c>
      <c r="D6530">
        <v>199.99</v>
      </c>
    </row>
    <row r="6531" spans="1:4">
      <c r="A6531" t="s">
        <v>91</v>
      </c>
      <c r="B6531" t="s">
        <v>505</v>
      </c>
      <c r="C6531" t="s">
        <v>6877</v>
      </c>
      <c r="D6531">
        <v>161.97</v>
      </c>
    </row>
    <row r="6532" spans="1:4">
      <c r="A6532" t="s">
        <v>91</v>
      </c>
      <c r="B6532" t="s">
        <v>2983</v>
      </c>
      <c r="C6532" t="s">
        <v>6878</v>
      </c>
      <c r="D6532">
        <v>203.99</v>
      </c>
    </row>
    <row r="6533" spans="1:4">
      <c r="A6533" t="s">
        <v>91</v>
      </c>
      <c r="B6533" t="s">
        <v>1337</v>
      </c>
      <c r="C6533" t="s">
        <v>6879</v>
      </c>
      <c r="D6533">
        <v>499.97</v>
      </c>
    </row>
    <row r="6534" spans="1:4">
      <c r="A6534" t="s">
        <v>91</v>
      </c>
      <c r="C6534" t="s">
        <v>6880</v>
      </c>
      <c r="D6534">
        <v>149.9</v>
      </c>
    </row>
    <row r="6535" spans="1:4">
      <c r="A6535" t="s">
        <v>91</v>
      </c>
      <c r="B6535" t="s">
        <v>505</v>
      </c>
      <c r="C6535" t="s">
        <v>6881</v>
      </c>
      <c r="D6535">
        <v>159.97</v>
      </c>
    </row>
    <row r="6536" spans="1:4">
      <c r="A6536" t="s">
        <v>91</v>
      </c>
      <c r="B6536" t="s">
        <v>2983</v>
      </c>
      <c r="C6536" t="s">
        <v>6882</v>
      </c>
      <c r="D6536">
        <v>233.99</v>
      </c>
    </row>
    <row r="6537" spans="1:4">
      <c r="A6537" t="s">
        <v>91</v>
      </c>
      <c r="C6537" t="s">
        <v>6883</v>
      </c>
      <c r="D6537">
        <v>139.9</v>
      </c>
    </row>
    <row r="6538" spans="1:4">
      <c r="A6538" t="s">
        <v>91</v>
      </c>
      <c r="C6538" t="s">
        <v>6884</v>
      </c>
      <c r="D6538">
        <v>89.9</v>
      </c>
    </row>
    <row r="6539" spans="1:4">
      <c r="A6539" t="s">
        <v>91</v>
      </c>
      <c r="C6539" t="s">
        <v>6885</v>
      </c>
      <c r="D6539">
        <v>149.9</v>
      </c>
    </row>
    <row r="6540" spans="1:4">
      <c r="A6540" t="s">
        <v>91</v>
      </c>
      <c r="C6540" t="s">
        <v>6886</v>
      </c>
      <c r="D6540">
        <v>169.9</v>
      </c>
    </row>
    <row r="6541" spans="1:4">
      <c r="A6541" t="s">
        <v>91</v>
      </c>
      <c r="B6541" t="s">
        <v>505</v>
      </c>
      <c r="C6541" t="s">
        <v>6887</v>
      </c>
      <c r="D6541">
        <v>489.97</v>
      </c>
    </row>
    <row r="6542" spans="1:4">
      <c r="A6542" t="s">
        <v>91</v>
      </c>
      <c r="B6542" t="s">
        <v>2983</v>
      </c>
      <c r="C6542" t="s">
        <v>6888</v>
      </c>
      <c r="D6542">
        <v>539.99</v>
      </c>
    </row>
    <row r="6543" spans="1:4">
      <c r="A6543" t="s">
        <v>91</v>
      </c>
      <c r="B6543" t="s">
        <v>510</v>
      </c>
      <c r="C6543" t="s">
        <v>6889</v>
      </c>
      <c r="D6543">
        <v>259.99</v>
      </c>
    </row>
    <row r="6544" spans="1:4">
      <c r="A6544" t="s">
        <v>91</v>
      </c>
      <c r="C6544" t="s">
        <v>6890</v>
      </c>
      <c r="D6544">
        <v>139.9</v>
      </c>
    </row>
    <row r="6545" spans="1:4">
      <c r="A6545" t="s">
        <v>91</v>
      </c>
      <c r="C6545" t="s">
        <v>6891</v>
      </c>
      <c r="D6545">
        <v>149.9</v>
      </c>
    </row>
    <row r="6546" spans="1:4">
      <c r="A6546" t="s">
        <v>91</v>
      </c>
      <c r="B6546" t="s">
        <v>2983</v>
      </c>
      <c r="C6546" t="s">
        <v>6892</v>
      </c>
      <c r="D6546">
        <v>499</v>
      </c>
    </row>
    <row r="6547" spans="1:4">
      <c r="A6547" t="s">
        <v>91</v>
      </c>
      <c r="B6547" t="s">
        <v>510</v>
      </c>
      <c r="C6547" t="s">
        <v>6893</v>
      </c>
      <c r="D6547">
        <v>249.99</v>
      </c>
    </row>
    <row r="6548" spans="1:4">
      <c r="A6548" t="s">
        <v>91</v>
      </c>
      <c r="B6548" t="s">
        <v>510</v>
      </c>
      <c r="C6548" t="s">
        <v>6851</v>
      </c>
      <c r="D6548">
        <v>204.99</v>
      </c>
    </row>
    <row r="6549" spans="1:4">
      <c r="A6549" t="s">
        <v>91</v>
      </c>
      <c r="B6549" t="s">
        <v>2983</v>
      </c>
      <c r="C6549" t="s">
        <v>6894</v>
      </c>
      <c r="D6549">
        <v>99.99</v>
      </c>
    </row>
    <row r="6550" spans="1:4">
      <c r="A6550" t="s">
        <v>91</v>
      </c>
      <c r="C6550" t="s">
        <v>6895</v>
      </c>
      <c r="D6550">
        <v>749</v>
      </c>
    </row>
    <row r="6551" spans="1:4">
      <c r="A6551" t="s">
        <v>91</v>
      </c>
      <c r="B6551" t="s">
        <v>505</v>
      </c>
      <c r="C6551" t="s">
        <v>6896</v>
      </c>
      <c r="D6551">
        <v>459.97</v>
      </c>
    </row>
    <row r="6552" spans="1:4">
      <c r="A6552" t="s">
        <v>91</v>
      </c>
      <c r="B6552" t="s">
        <v>2983</v>
      </c>
      <c r="C6552" t="s">
        <v>6897</v>
      </c>
      <c r="D6552">
        <v>79.989999999999995</v>
      </c>
    </row>
    <row r="6553" spans="1:4">
      <c r="A6553" t="s">
        <v>91</v>
      </c>
      <c r="C6553" t="s">
        <v>6898</v>
      </c>
      <c r="D6553">
        <v>349.9</v>
      </c>
    </row>
    <row r="6554" spans="1:4">
      <c r="A6554" t="s">
        <v>91</v>
      </c>
      <c r="B6554" t="s">
        <v>505</v>
      </c>
      <c r="C6554" t="s">
        <v>6899</v>
      </c>
      <c r="D6554">
        <v>500.97</v>
      </c>
    </row>
    <row r="6555" spans="1:4">
      <c r="A6555" t="s">
        <v>91</v>
      </c>
      <c r="B6555" t="s">
        <v>2983</v>
      </c>
      <c r="C6555" t="s">
        <v>6878</v>
      </c>
      <c r="D6555">
        <v>203.99</v>
      </c>
    </row>
    <row r="6556" spans="1:4">
      <c r="A6556" t="s">
        <v>91</v>
      </c>
      <c r="B6556" t="s">
        <v>2983</v>
      </c>
      <c r="C6556" t="s">
        <v>6882</v>
      </c>
      <c r="D6556">
        <v>269.99</v>
      </c>
    </row>
    <row r="6557" spans="1:4">
      <c r="A6557" t="s">
        <v>91</v>
      </c>
      <c r="B6557" t="s">
        <v>505</v>
      </c>
      <c r="C6557" t="s">
        <v>6900</v>
      </c>
      <c r="D6557">
        <v>458.97</v>
      </c>
    </row>
  </sheetData>
  <hyperlinks>
    <hyperlink ref="B1015" r:id="rId1" display="http://xsonly.com/" xr:uid="{DB10D18B-6C77-E84F-BFB1-896528E6FBE5}"/>
    <hyperlink ref="B1945" r:id="rId2" display="http://xsonly.com/" xr:uid="{88DA179C-05B1-5941-9FDC-04206DA4230A}"/>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39DBC-E2D6-F44F-8B49-EFD841EF229E}">
  <dimension ref="A1:K29"/>
  <sheetViews>
    <sheetView workbookViewId="0">
      <selection activeCell="K16" sqref="K16"/>
    </sheetView>
  </sheetViews>
  <sheetFormatPr baseColWidth="10" defaultRowHeight="16"/>
  <cols>
    <col min="5" max="5" width="14.83203125" customWidth="1"/>
    <col min="6" max="6" width="18.1640625" customWidth="1"/>
    <col min="7" max="7" width="18.33203125" customWidth="1"/>
    <col min="8" max="8" width="14" customWidth="1"/>
  </cols>
  <sheetData>
    <row r="1" spans="1:8">
      <c r="A1" t="s">
        <v>7886</v>
      </c>
      <c r="D1" t="s">
        <v>7887</v>
      </c>
      <c r="E1" t="s">
        <v>7888</v>
      </c>
      <c r="F1" t="s">
        <v>7889</v>
      </c>
      <c r="G1" t="s">
        <v>7890</v>
      </c>
      <c r="H1" t="s">
        <v>7891</v>
      </c>
    </row>
    <row r="2" spans="1:8">
      <c r="A2" t="s">
        <v>480</v>
      </c>
      <c r="B2" t="s">
        <v>7857</v>
      </c>
      <c r="C2">
        <v>2008</v>
      </c>
      <c r="D2" s="334">
        <v>298954</v>
      </c>
      <c r="E2" s="10">
        <v>43414810</v>
      </c>
      <c r="F2" s="364">
        <v>111332000</v>
      </c>
      <c r="G2" s="410">
        <v>3268284852</v>
      </c>
      <c r="H2" s="364">
        <f>(F2+G2)/(D2+E2)</f>
        <v>77.312419310311512</v>
      </c>
    </row>
    <row r="3" spans="1:8">
      <c r="A3" t="s">
        <v>480</v>
      </c>
      <c r="B3" t="s">
        <v>7857</v>
      </c>
      <c r="C3">
        <v>2009</v>
      </c>
      <c r="D3" s="318">
        <v>280818</v>
      </c>
      <c r="E3" s="10">
        <v>46303099</v>
      </c>
      <c r="F3" s="324">
        <v>77981000</v>
      </c>
      <c r="G3" s="410">
        <v>3961501585</v>
      </c>
      <c r="H3" s="364">
        <f t="shared" ref="H3:H15" si="0">(F3+G3)/(D3+E3)</f>
        <v>86.714103174277938</v>
      </c>
    </row>
    <row r="4" spans="1:8">
      <c r="A4" t="s">
        <v>480</v>
      </c>
      <c r="B4" t="s">
        <v>7857</v>
      </c>
      <c r="C4">
        <v>2010</v>
      </c>
      <c r="D4" s="256">
        <v>253273</v>
      </c>
      <c r="E4" s="10">
        <v>49273720</v>
      </c>
      <c r="F4" s="364">
        <v>71339000</v>
      </c>
      <c r="G4" s="410">
        <v>5219519587</v>
      </c>
      <c r="H4" s="364">
        <f t="shared" si="0"/>
        <v>106.82777747076226</v>
      </c>
    </row>
    <row r="5" spans="1:8">
      <c r="A5" t="s">
        <v>480</v>
      </c>
      <c r="B5" t="s">
        <v>7857</v>
      </c>
      <c r="C5">
        <v>2011</v>
      </c>
      <c r="D5" s="257">
        <v>274470</v>
      </c>
      <c r="E5" s="10">
        <v>44913256</v>
      </c>
      <c r="F5" s="324">
        <v>71050000</v>
      </c>
      <c r="G5" s="410">
        <v>5649981743</v>
      </c>
      <c r="H5" s="364">
        <f t="shared" si="0"/>
        <v>126.60587839715591</v>
      </c>
    </row>
    <row r="6" spans="1:8">
      <c r="A6" t="s">
        <v>480</v>
      </c>
      <c r="B6" t="s">
        <v>7857</v>
      </c>
      <c r="C6">
        <v>2012</v>
      </c>
      <c r="D6" s="256">
        <v>279614</v>
      </c>
      <c r="E6" s="10">
        <v>43563534</v>
      </c>
      <c r="F6" s="364">
        <v>83088000</v>
      </c>
      <c r="G6" s="410">
        <v>6345443394</v>
      </c>
      <c r="H6" s="364">
        <f t="shared" si="0"/>
        <v>146.62568011767769</v>
      </c>
    </row>
    <row r="7" spans="1:8">
      <c r="A7" t="s">
        <v>480</v>
      </c>
      <c r="B7" t="s">
        <v>7857</v>
      </c>
      <c r="C7">
        <v>2013</v>
      </c>
      <c r="D7" s="257">
        <v>252997</v>
      </c>
      <c r="E7" s="10">
        <v>44118744</v>
      </c>
      <c r="F7" s="324">
        <v>81506000</v>
      </c>
      <c r="G7" s="410">
        <v>7196955644</v>
      </c>
      <c r="H7" s="364">
        <f t="shared" si="0"/>
        <v>164.03371785659706</v>
      </c>
    </row>
    <row r="8" spans="1:8">
      <c r="A8" t="s">
        <v>480</v>
      </c>
      <c r="B8" t="s">
        <v>7857</v>
      </c>
      <c r="C8">
        <v>2014</v>
      </c>
      <c r="D8" s="256">
        <v>364544.28571428568</v>
      </c>
      <c r="E8" s="10">
        <v>41122482</v>
      </c>
      <c r="F8" s="364">
        <v>78120666.666666672</v>
      </c>
      <c r="G8" s="410">
        <v>6178459235</v>
      </c>
      <c r="H8" s="364">
        <f t="shared" si="0"/>
        <v>150.80810705926805</v>
      </c>
    </row>
    <row r="9" spans="1:8">
      <c r="A9" t="s">
        <v>480</v>
      </c>
      <c r="B9" t="s">
        <v>7857</v>
      </c>
      <c r="C9">
        <v>2015</v>
      </c>
      <c r="D9" s="257">
        <v>476091.57142857136</v>
      </c>
      <c r="E9" s="10">
        <v>39069589</v>
      </c>
      <c r="F9" s="324">
        <v>74735333.333333343</v>
      </c>
      <c r="G9" s="410">
        <v>6540897158</v>
      </c>
      <c r="H9" s="364">
        <f t="shared" si="0"/>
        <v>167.29089993492417</v>
      </c>
    </row>
    <row r="10" spans="1:8">
      <c r="A10" t="s">
        <v>480</v>
      </c>
      <c r="B10" t="s">
        <v>7857</v>
      </c>
      <c r="C10">
        <v>2016</v>
      </c>
      <c r="D10" s="256">
        <v>587638.85714285704</v>
      </c>
      <c r="E10" s="10">
        <v>36882022</v>
      </c>
      <c r="F10" s="364">
        <v>71350000</v>
      </c>
      <c r="G10" s="410">
        <v>7026235263</v>
      </c>
      <c r="H10" s="364">
        <f t="shared" si="0"/>
        <v>189.4221911978417</v>
      </c>
    </row>
    <row r="11" spans="1:8">
      <c r="A11" t="s">
        <v>480</v>
      </c>
      <c r="B11" t="s">
        <v>7857</v>
      </c>
      <c r="C11">
        <v>2017</v>
      </c>
      <c r="D11" s="257">
        <v>699186.14285714272</v>
      </c>
      <c r="E11" s="10">
        <v>31565301</v>
      </c>
      <c r="F11" s="324">
        <v>100344250</v>
      </c>
      <c r="G11" s="410">
        <v>8053885023</v>
      </c>
      <c r="H11" s="364">
        <f t="shared" si="0"/>
        <v>252.73078840198519</v>
      </c>
    </row>
    <row r="12" spans="1:8">
      <c r="A12" t="s">
        <v>480</v>
      </c>
      <c r="B12" t="s">
        <v>7857</v>
      </c>
      <c r="C12">
        <v>2018</v>
      </c>
      <c r="D12" s="256">
        <v>810733.42857142841</v>
      </c>
      <c r="E12" s="10">
        <v>29393691</v>
      </c>
      <c r="F12" s="364">
        <v>129338500</v>
      </c>
      <c r="G12" s="410">
        <v>8304438185</v>
      </c>
      <c r="H12" s="364">
        <f t="shared" si="0"/>
        <v>279.22322125172474</v>
      </c>
    </row>
    <row r="13" spans="1:8">
      <c r="A13" t="s">
        <v>480</v>
      </c>
      <c r="B13" t="s">
        <v>7857</v>
      </c>
      <c r="C13">
        <v>2019</v>
      </c>
      <c r="D13" s="257">
        <v>922280.71428571409</v>
      </c>
      <c r="E13" s="10">
        <v>28868296</v>
      </c>
      <c r="F13" s="324">
        <v>158332750</v>
      </c>
      <c r="G13" s="410">
        <v>8262482690</v>
      </c>
      <c r="H13" s="364">
        <f t="shared" si="0"/>
        <v>282.66708364735683</v>
      </c>
    </row>
    <row r="14" spans="1:8">
      <c r="A14" t="s">
        <v>480</v>
      </c>
      <c r="B14" t="s">
        <v>7857</v>
      </c>
      <c r="C14">
        <v>2020</v>
      </c>
      <c r="D14" s="256">
        <v>1033828</v>
      </c>
      <c r="E14" s="10">
        <v>29606472</v>
      </c>
      <c r="F14" s="364">
        <v>187327000</v>
      </c>
      <c r="G14" s="410">
        <v>7842019746</v>
      </c>
      <c r="H14" s="364">
        <f t="shared" si="0"/>
        <v>262.05183193376047</v>
      </c>
    </row>
    <row r="15" spans="1:8">
      <c r="A15" t="s">
        <v>480</v>
      </c>
      <c r="B15" t="s">
        <v>7857</v>
      </c>
      <c r="C15">
        <v>2021</v>
      </c>
      <c r="D15" s="257">
        <v>1307820</v>
      </c>
      <c r="E15" s="10">
        <v>25864663</v>
      </c>
      <c r="F15" s="411">
        <v>227436000</v>
      </c>
      <c r="G15" s="410">
        <v>7695862555</v>
      </c>
      <c r="H15" s="364">
        <f t="shared" si="0"/>
        <v>291.59273206648066</v>
      </c>
    </row>
    <row r="16" spans="1:8">
      <c r="A16" t="s">
        <v>7894</v>
      </c>
      <c r="B16" s="343" t="s">
        <v>7857</v>
      </c>
      <c r="C16" s="344">
        <v>2008</v>
      </c>
      <c r="D16" s="256">
        <v>85156</v>
      </c>
      <c r="E16" s="10">
        <v>10746372</v>
      </c>
      <c r="F16">
        <v>39841000</v>
      </c>
      <c r="G16">
        <v>3096837781</v>
      </c>
      <c r="H16" s="21">
        <f>(F16+G16)/(D16+E16)</f>
        <v>289.58783848409939</v>
      </c>
    </row>
    <row r="17" spans="1:11">
      <c r="A17" t="s">
        <v>7894</v>
      </c>
      <c r="B17" s="338" t="s">
        <v>7857</v>
      </c>
      <c r="C17" s="347">
        <v>2009</v>
      </c>
      <c r="D17" s="257">
        <v>76937</v>
      </c>
      <c r="E17">
        <v>10327917</v>
      </c>
      <c r="F17">
        <v>33312000</v>
      </c>
      <c r="G17">
        <v>3025519140</v>
      </c>
      <c r="H17" s="21">
        <f t="shared" ref="H17:H29" si="1">(F17+G17)/(D17+E17)</f>
        <v>293.98116878910554</v>
      </c>
    </row>
    <row r="18" spans="1:11">
      <c r="A18" t="s">
        <v>7894</v>
      </c>
      <c r="B18" s="343" t="s">
        <v>7857</v>
      </c>
      <c r="C18" s="344">
        <v>2010</v>
      </c>
      <c r="D18" s="256">
        <v>79354</v>
      </c>
      <c r="E18" s="10">
        <v>12289847</v>
      </c>
      <c r="F18">
        <v>36093000</v>
      </c>
      <c r="G18">
        <v>3709299536</v>
      </c>
      <c r="H18" s="21">
        <f t="shared" si="1"/>
        <v>302.79987656437953</v>
      </c>
    </row>
    <row r="19" spans="1:11">
      <c r="A19" t="s">
        <v>7894</v>
      </c>
      <c r="B19" s="338" t="s">
        <v>7857</v>
      </c>
      <c r="C19" s="347">
        <v>2011</v>
      </c>
      <c r="D19" s="257">
        <v>80202</v>
      </c>
      <c r="E19">
        <v>12670090</v>
      </c>
      <c r="F19">
        <v>38357000</v>
      </c>
      <c r="G19">
        <v>3629808981</v>
      </c>
      <c r="H19" s="21">
        <f t="shared" si="1"/>
        <v>287.69270390042834</v>
      </c>
    </row>
    <row r="20" spans="1:11">
      <c r="A20" t="s">
        <v>7894</v>
      </c>
      <c r="B20" s="343" t="s">
        <v>7857</v>
      </c>
      <c r="C20" s="344">
        <v>2012</v>
      </c>
      <c r="D20" s="256">
        <v>97339</v>
      </c>
      <c r="E20" s="10">
        <v>17918117</v>
      </c>
      <c r="F20">
        <v>43226000</v>
      </c>
      <c r="G20">
        <v>4387465730</v>
      </c>
      <c r="H20" s="21">
        <f t="shared" si="1"/>
        <v>245.93836148249591</v>
      </c>
    </row>
    <row r="21" spans="1:11">
      <c r="A21" t="s">
        <v>7894</v>
      </c>
      <c r="B21" s="338" t="s">
        <v>7857</v>
      </c>
      <c r="C21" s="347">
        <v>2013</v>
      </c>
      <c r="D21" s="257">
        <v>103986</v>
      </c>
      <c r="E21">
        <v>20030384</v>
      </c>
      <c r="F21">
        <v>50533000</v>
      </c>
      <c r="G21">
        <v>4412142573</v>
      </c>
      <c r="H21" s="21">
        <f t="shared" si="1"/>
        <v>221.64465900845173</v>
      </c>
    </row>
    <row r="22" spans="1:11">
      <c r="A22" t="s">
        <v>7894</v>
      </c>
      <c r="B22" s="343" t="s">
        <v>7857</v>
      </c>
      <c r="C22" s="344">
        <v>2014</v>
      </c>
      <c r="D22" s="256">
        <v>94176</v>
      </c>
      <c r="E22" s="10">
        <v>19552570</v>
      </c>
      <c r="F22">
        <v>44793000</v>
      </c>
      <c r="G22">
        <v>4141128343</v>
      </c>
      <c r="H22" s="21">
        <f t="shared" si="1"/>
        <v>213.05926910237451</v>
      </c>
    </row>
    <row r="23" spans="1:11">
      <c r="A23" t="s">
        <v>7894</v>
      </c>
      <c r="B23" s="338" t="s">
        <v>7857</v>
      </c>
      <c r="C23" s="347">
        <v>2015</v>
      </c>
      <c r="D23" s="257">
        <v>103153</v>
      </c>
      <c r="E23">
        <v>18376250</v>
      </c>
      <c r="F23">
        <v>49333000</v>
      </c>
      <c r="G23">
        <v>3990945258</v>
      </c>
      <c r="H23" s="21">
        <f t="shared" si="1"/>
        <v>218.63683897147544</v>
      </c>
    </row>
    <row r="24" spans="1:11">
      <c r="A24" t="s">
        <v>7894</v>
      </c>
      <c r="B24" s="343" t="s">
        <v>7857</v>
      </c>
      <c r="C24" s="344">
        <v>2016</v>
      </c>
      <c r="D24" s="256">
        <v>102101</v>
      </c>
      <c r="E24" s="10">
        <v>18480366</v>
      </c>
      <c r="F24">
        <v>47762000</v>
      </c>
      <c r="G24">
        <v>4294930906</v>
      </c>
      <c r="H24" s="21">
        <f t="shared" si="1"/>
        <v>233.69840538395681</v>
      </c>
    </row>
    <row r="25" spans="1:11">
      <c r="A25" t="s">
        <v>7894</v>
      </c>
      <c r="B25" s="338" t="s">
        <v>7857</v>
      </c>
      <c r="C25" s="347">
        <v>2017</v>
      </c>
      <c r="D25" s="257">
        <v>135480</v>
      </c>
      <c r="E25">
        <v>17270897</v>
      </c>
      <c r="F25">
        <v>58328000</v>
      </c>
      <c r="G25">
        <v>4709067557</v>
      </c>
      <c r="H25" s="21">
        <f t="shared" si="1"/>
        <v>273.88787207125296</v>
      </c>
    </row>
    <row r="26" spans="1:11">
      <c r="A26" t="s">
        <v>7894</v>
      </c>
      <c r="B26" s="343" t="s">
        <v>7857</v>
      </c>
      <c r="C26" s="344">
        <v>2018</v>
      </c>
      <c r="D26" s="256">
        <v>151887</v>
      </c>
      <c r="E26" s="10">
        <v>17526366</v>
      </c>
      <c r="F26">
        <v>72335000</v>
      </c>
      <c r="G26">
        <v>5377400459</v>
      </c>
      <c r="H26" s="21">
        <f t="shared" si="1"/>
        <v>308.27341700562835</v>
      </c>
    </row>
    <row r="27" spans="1:11">
      <c r="A27" t="s">
        <v>7894</v>
      </c>
      <c r="B27" s="338" t="s">
        <v>7857</v>
      </c>
      <c r="C27" s="347">
        <v>2019</v>
      </c>
      <c r="D27" s="257">
        <v>161112</v>
      </c>
      <c r="E27">
        <v>20829643</v>
      </c>
      <c r="F27">
        <v>87194000</v>
      </c>
      <c r="G27">
        <v>5883493991</v>
      </c>
      <c r="H27" s="21">
        <f t="shared" si="1"/>
        <v>284.4436987140291</v>
      </c>
    </row>
    <row r="28" spans="1:11">
      <c r="A28" t="s">
        <v>7894</v>
      </c>
      <c r="B28" s="343" t="s">
        <v>7857</v>
      </c>
      <c r="C28" s="344">
        <v>2020</v>
      </c>
      <c r="D28" s="256">
        <v>263513</v>
      </c>
      <c r="E28" s="10">
        <v>23123937</v>
      </c>
      <c r="F28">
        <v>142464000</v>
      </c>
      <c r="G28">
        <v>7069397132</v>
      </c>
      <c r="H28" s="21">
        <f t="shared" si="1"/>
        <v>308.36457724121271</v>
      </c>
    </row>
    <row r="29" spans="1:11">
      <c r="A29" t="s">
        <v>7894</v>
      </c>
      <c r="B29" s="338" t="s">
        <v>7857</v>
      </c>
      <c r="C29" s="347">
        <v>2021</v>
      </c>
      <c r="D29" s="257">
        <v>219758</v>
      </c>
      <c r="E29">
        <v>21348010</v>
      </c>
      <c r="F29">
        <v>145095000</v>
      </c>
      <c r="G29">
        <v>7209255668</v>
      </c>
      <c r="H29" s="21">
        <f t="shared" si="1"/>
        <v>340.98802750474692</v>
      </c>
      <c r="K29" s="2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3D2BD-7F0D-7946-B953-99533B711EBA}">
  <sheetPr>
    <tabColor theme="5" tint="0.79998168889431442"/>
  </sheetPr>
  <dimension ref="A1"/>
  <sheetViews>
    <sheetView workbookViewId="0">
      <selection activeCell="N25" sqref="N25"/>
    </sheetView>
  </sheetViews>
  <sheetFormatPr baseColWidth="10" defaultRowHeight="16"/>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13710-C2D7-0142-A7CF-C3366A98028D}">
  <dimension ref="A1:AG58"/>
  <sheetViews>
    <sheetView zoomScale="50" zoomScaleNormal="50" workbookViewId="0">
      <selection activeCell="B24" sqref="B24"/>
    </sheetView>
  </sheetViews>
  <sheetFormatPr baseColWidth="10" defaultRowHeight="16"/>
  <cols>
    <col min="1" max="1" width="21.83203125" customWidth="1"/>
    <col min="8" max="8" width="12.33203125" customWidth="1"/>
    <col min="9" max="9" width="13.33203125" customWidth="1"/>
    <col min="10" max="10" width="14.6640625" customWidth="1"/>
    <col min="13" max="13" width="8.83203125" customWidth="1"/>
  </cols>
  <sheetData>
    <row r="1" spans="1:26" ht="21">
      <c r="A1" s="52" t="s">
        <v>6901</v>
      </c>
    </row>
    <row r="2" spans="1:26" ht="17" thickBot="1"/>
    <row r="3" spans="1:26">
      <c r="B3" s="5"/>
      <c r="C3" s="6"/>
      <c r="F3" s="1" t="s">
        <v>7670</v>
      </c>
      <c r="H3" s="179"/>
      <c r="I3" s="177" t="s">
        <v>7921</v>
      </c>
      <c r="J3" s="178" t="s">
        <v>7922</v>
      </c>
      <c r="L3" s="185" t="s">
        <v>7668</v>
      </c>
      <c r="M3" s="169" t="s">
        <v>7672</v>
      </c>
      <c r="N3" s="169" t="s">
        <v>7673</v>
      </c>
      <c r="Q3" s="168" t="s">
        <v>7696</v>
      </c>
      <c r="R3" s="202"/>
      <c r="S3" s="202"/>
      <c r="T3" s="202"/>
      <c r="U3" s="202"/>
      <c r="V3" s="202"/>
      <c r="W3" s="202"/>
      <c r="X3" s="202"/>
      <c r="Y3" s="202"/>
      <c r="Z3" s="203"/>
    </row>
    <row r="4" spans="1:26" ht="19" customHeight="1">
      <c r="B4" s="5"/>
      <c r="C4" s="6"/>
      <c r="F4" s="1"/>
      <c r="H4" s="180" t="s">
        <v>480</v>
      </c>
      <c r="I4" s="8">
        <v>1.56</v>
      </c>
      <c r="J4" s="210">
        <v>3.76978041438554</v>
      </c>
      <c r="L4" s="189">
        <f>J4*(LN(2))^(1/I4)</f>
        <v>2.9804448693210084</v>
      </c>
      <c r="M4" s="193">
        <f>J4*EXP(GAMMALN(1+1/I4))</f>
        <v>3.3882400000000046</v>
      </c>
      <c r="N4" s="194">
        <v>2.2190279999999998</v>
      </c>
      <c r="O4" s="191"/>
      <c r="Q4" s="204" t="s">
        <v>7692</v>
      </c>
      <c r="R4" s="205">
        <v>3.5</v>
      </c>
      <c r="S4" t="s">
        <v>7693</v>
      </c>
      <c r="T4">
        <v>4</v>
      </c>
      <c r="U4" t="s">
        <v>7694</v>
      </c>
      <c r="V4" s="46">
        <f>YouGov!G19</f>
        <v>4.052941176470588</v>
      </c>
      <c r="W4" t="s">
        <v>164</v>
      </c>
      <c r="X4">
        <v>2</v>
      </c>
      <c r="Y4" s="1" t="s">
        <v>7695</v>
      </c>
      <c r="Z4" s="206">
        <f>AVERAGE(R4,T4,V4,X4)</f>
        <v>3.388235294117647</v>
      </c>
    </row>
    <row r="5" spans="1:26">
      <c r="B5" s="5"/>
      <c r="C5" s="6"/>
      <c r="F5" s="1"/>
      <c r="H5" s="180" t="s">
        <v>40</v>
      </c>
      <c r="I5" s="8">
        <v>1.6</v>
      </c>
      <c r="J5" s="210">
        <v>6.0563860917995802</v>
      </c>
      <c r="L5" s="189">
        <f>J5*(LN(2))^(1/I5)</f>
        <v>4.8164767321398205</v>
      </c>
      <c r="M5" s="193">
        <f>J5*EXP(GAMMALN(1+1/I5))</f>
        <v>5.4300000000000015</v>
      </c>
      <c r="N5" s="194">
        <v>3.4746860000000002</v>
      </c>
      <c r="Q5" s="204" t="s">
        <v>7692</v>
      </c>
      <c r="R5">
        <v>5</v>
      </c>
      <c r="S5" t="s">
        <v>7693</v>
      </c>
      <c r="T5">
        <v>7.2</v>
      </c>
      <c r="U5" t="s">
        <v>7694</v>
      </c>
      <c r="V5" s="46">
        <f>YouGov!G34</f>
        <v>6.5253164556962044</v>
      </c>
      <c r="W5" t="s">
        <v>164</v>
      </c>
      <c r="X5">
        <v>3</v>
      </c>
      <c r="Y5" s="1" t="s">
        <v>7695</v>
      </c>
      <c r="Z5" s="206">
        <f>AVERAGE(R5,T5,V5,X5)</f>
        <v>5.4313291139240505</v>
      </c>
    </row>
    <row r="6" spans="1:26" ht="17" thickBot="1">
      <c r="B6" s="5"/>
      <c r="C6" s="6"/>
      <c r="F6" s="1"/>
      <c r="H6" s="186" t="s">
        <v>91</v>
      </c>
      <c r="I6" s="181">
        <v>1.6</v>
      </c>
      <c r="J6" s="211">
        <v>4.9298759715937601</v>
      </c>
      <c r="L6" s="190">
        <f>J6*(LN(2))^(1/I6)</f>
        <v>3.9205943197160193</v>
      </c>
      <c r="M6" s="199">
        <f>J6*EXP(GAMMALN(1+1/I6))</f>
        <v>4.4199999999999973</v>
      </c>
      <c r="N6" s="195">
        <v>2.8283809999999998</v>
      </c>
      <c r="Q6" s="170"/>
      <c r="R6" s="176"/>
      <c r="S6" s="176"/>
      <c r="T6" s="176"/>
      <c r="U6" s="176" t="s">
        <v>7694</v>
      </c>
      <c r="V6" s="208">
        <f>YouGov!G49</f>
        <v>5.830645161290323</v>
      </c>
      <c r="W6" s="176" t="s">
        <v>7698</v>
      </c>
      <c r="X6" s="176">
        <v>3</v>
      </c>
      <c r="Y6" s="207" t="s">
        <v>7695</v>
      </c>
      <c r="Z6" s="209">
        <f>AVERAGE(T6,V6,X6)</f>
        <v>4.4153225806451619</v>
      </c>
    </row>
    <row r="7" spans="1:26" ht="17" thickBot="1">
      <c r="B7" s="5"/>
      <c r="C7" s="6"/>
      <c r="F7" s="1"/>
      <c r="H7" s="1"/>
      <c r="L7" s="46"/>
      <c r="M7" s="196"/>
      <c r="N7" s="198"/>
    </row>
    <row r="8" spans="1:26">
      <c r="B8" s="5"/>
      <c r="C8" s="6"/>
      <c r="F8" s="1" t="s">
        <v>7764</v>
      </c>
      <c r="H8" s="179"/>
      <c r="I8" s="177" t="s">
        <v>7666</v>
      </c>
      <c r="J8" s="178" t="s">
        <v>7667</v>
      </c>
      <c r="L8" s="185" t="s">
        <v>7668</v>
      </c>
      <c r="M8" s="197" t="s">
        <v>7672</v>
      </c>
      <c r="N8" s="192" t="s">
        <v>7673</v>
      </c>
    </row>
    <row r="9" spans="1:26">
      <c r="B9" s="5"/>
      <c r="C9" s="6"/>
      <c r="F9" s="1"/>
      <c r="H9" s="180" t="s">
        <v>480</v>
      </c>
      <c r="I9" s="8">
        <v>1.56</v>
      </c>
      <c r="J9" s="210">
        <v>4.5237364972626404</v>
      </c>
      <c r="L9" s="189">
        <f>J9*(LN(2))^(1/I9)</f>
        <v>3.5765338431852038</v>
      </c>
      <c r="M9" s="189">
        <f>J9*EXP(GAMMALN(1+1/I9))</f>
        <v>4.0658879999999984</v>
      </c>
      <c r="N9" s="194">
        <v>2.4409299999999998</v>
      </c>
    </row>
    <row r="10" spans="1:26">
      <c r="B10" s="5"/>
      <c r="C10" s="6"/>
      <c r="F10" s="1"/>
      <c r="H10" s="180" t="s">
        <v>40</v>
      </c>
      <c r="I10" s="8">
        <v>1.6</v>
      </c>
      <c r="J10" s="210">
        <v>7.2676633101594899</v>
      </c>
      <c r="L10" s="189">
        <f t="shared" ref="L10:L11" si="0">J10*(LN(2))^(1/I10)</f>
        <v>5.7797720785677793</v>
      </c>
      <c r="M10" s="189">
        <f t="shared" ref="M10:M11" si="1">J10*EXP(GAMMALN(1+1/I10))</f>
        <v>6.5159999999999965</v>
      </c>
      <c r="N10" s="194">
        <v>3.8221539999999998</v>
      </c>
    </row>
    <row r="11" spans="1:26" ht="17" thickBot="1">
      <c r="B11" s="5"/>
      <c r="C11" s="6"/>
      <c r="F11" s="1"/>
      <c r="H11" s="186" t="s">
        <v>91</v>
      </c>
      <c r="I11" s="181">
        <v>1.6</v>
      </c>
      <c r="J11" s="211">
        <v>5.9158511659125201</v>
      </c>
      <c r="L11" s="190">
        <f t="shared" si="0"/>
        <v>4.70471318365923</v>
      </c>
      <c r="M11" s="190">
        <f t="shared" si="1"/>
        <v>5.3040000000000038</v>
      </c>
      <c r="N11" s="195">
        <v>3.1112199999999999</v>
      </c>
    </row>
    <row r="12" spans="1:26" ht="17" thickBot="1">
      <c r="B12" s="5"/>
      <c r="C12" s="6"/>
      <c r="F12" s="1"/>
      <c r="H12" s="1"/>
      <c r="L12" s="46"/>
      <c r="M12" s="196"/>
      <c r="N12" s="198"/>
    </row>
    <row r="13" spans="1:26">
      <c r="B13" s="5"/>
      <c r="C13" s="6"/>
      <c r="F13" s="1" t="s">
        <v>7765</v>
      </c>
      <c r="H13" s="179"/>
      <c r="I13" s="177" t="s">
        <v>7666</v>
      </c>
      <c r="J13" s="178" t="s">
        <v>7667</v>
      </c>
      <c r="L13" s="185" t="s">
        <v>7668</v>
      </c>
      <c r="M13" s="197" t="s">
        <v>7672</v>
      </c>
      <c r="N13" s="192" t="s">
        <v>7673</v>
      </c>
    </row>
    <row r="14" spans="1:26">
      <c r="B14" s="5"/>
      <c r="C14" s="6"/>
      <c r="H14" s="180" t="s">
        <v>480</v>
      </c>
      <c r="I14" s="8">
        <v>1.56</v>
      </c>
      <c r="J14" s="210">
        <v>5.6546706165423402</v>
      </c>
      <c r="L14" s="189">
        <f>J14*(LN(2))^(1/I14)</f>
        <v>4.4706672999999988</v>
      </c>
      <c r="M14" s="189">
        <f>J14*EXP(GAMMALN(1+1/I14))</f>
        <v>5.0823599954737286</v>
      </c>
      <c r="N14" s="194">
        <v>2.662833</v>
      </c>
      <c r="P14" s="255"/>
      <c r="Q14" s="255"/>
    </row>
    <row r="15" spans="1:26">
      <c r="B15" s="5"/>
      <c r="C15" s="6"/>
      <c r="H15" s="180" t="s">
        <v>40</v>
      </c>
      <c r="I15" s="8">
        <v>1.6</v>
      </c>
      <c r="J15" s="210">
        <v>9.0845791399505114</v>
      </c>
      <c r="L15" s="189">
        <f t="shared" ref="L15:L16" si="2">J15*(LN(2))^(1/I15)</f>
        <v>7.2247151000000009</v>
      </c>
      <c r="M15" s="189">
        <f t="shared" ref="M15:M16" si="3">J15*EXP(GAMMALN(1+1/I15))</f>
        <v>8.1450000020183175</v>
      </c>
      <c r="N15" s="194">
        <v>4.1696229999999996</v>
      </c>
      <c r="P15" s="255"/>
      <c r="Q15" s="255"/>
    </row>
    <row r="16" spans="1:26" ht="17" thickBot="1">
      <c r="B16" s="5"/>
      <c r="C16" s="6"/>
      <c r="H16" s="186" t="s">
        <v>91</v>
      </c>
      <c r="I16" s="181">
        <v>1.6</v>
      </c>
      <c r="J16" s="211">
        <v>7.3948435326982018</v>
      </c>
      <c r="L16" s="190">
        <f t="shared" si="2"/>
        <v>5.880914999999999</v>
      </c>
      <c r="M16" s="190">
        <f t="shared" si="3"/>
        <v>6.63002651646008</v>
      </c>
      <c r="N16" s="195">
        <v>3.3940579999999998</v>
      </c>
      <c r="P16" s="255"/>
      <c r="Q16" s="255"/>
    </row>
    <row r="17" spans="1:33">
      <c r="B17" s="5"/>
      <c r="C17" s="6"/>
      <c r="H17" s="1"/>
      <c r="I17" s="1"/>
      <c r="J17" s="1"/>
    </row>
    <row r="18" spans="1:33">
      <c r="A18" s="1" t="s">
        <v>7670</v>
      </c>
      <c r="B18" s="5" t="s">
        <v>7920</v>
      </c>
      <c r="C18" s="6"/>
      <c r="H18" s="1"/>
      <c r="I18" s="1"/>
      <c r="J18" s="1"/>
    </row>
    <row r="19" spans="1:33" ht="17" thickBot="1"/>
    <row r="20" spans="1:33" s="1" customFormat="1">
      <c r="A20" s="182" t="s">
        <v>175</v>
      </c>
      <c r="B20" s="265">
        <v>0</v>
      </c>
      <c r="C20" s="177">
        <v>1</v>
      </c>
      <c r="D20" s="177">
        <v>2</v>
      </c>
      <c r="E20" s="177">
        <v>3</v>
      </c>
      <c r="F20" s="177">
        <v>4</v>
      </c>
      <c r="G20" s="177">
        <v>5</v>
      </c>
      <c r="H20" s="177">
        <v>6</v>
      </c>
      <c r="I20" s="177">
        <v>7</v>
      </c>
      <c r="J20" s="177">
        <v>8</v>
      </c>
      <c r="K20" s="177">
        <v>9</v>
      </c>
      <c r="L20" s="177">
        <v>10</v>
      </c>
      <c r="M20" s="177">
        <v>11</v>
      </c>
      <c r="N20" s="177">
        <v>12</v>
      </c>
      <c r="O20" s="177">
        <v>13</v>
      </c>
      <c r="P20" s="177">
        <v>14</v>
      </c>
      <c r="Q20" s="177">
        <v>15</v>
      </c>
      <c r="R20" s="177">
        <v>16</v>
      </c>
      <c r="S20" s="177">
        <v>17</v>
      </c>
      <c r="T20" s="177">
        <v>18</v>
      </c>
      <c r="U20" s="177">
        <v>19</v>
      </c>
      <c r="V20" s="177">
        <v>20</v>
      </c>
      <c r="W20" s="177">
        <v>21</v>
      </c>
      <c r="X20" s="177">
        <v>22</v>
      </c>
      <c r="Y20" s="177">
        <v>23</v>
      </c>
      <c r="Z20" s="177">
        <v>24</v>
      </c>
      <c r="AA20" s="177">
        <v>25</v>
      </c>
      <c r="AB20" s="177">
        <v>26</v>
      </c>
      <c r="AC20" s="177">
        <v>27</v>
      </c>
      <c r="AD20" s="177">
        <v>28</v>
      </c>
      <c r="AE20" s="177">
        <v>29</v>
      </c>
      <c r="AF20" s="177">
        <v>30</v>
      </c>
    </row>
    <row r="21" spans="1:33">
      <c r="A21" s="183" t="s">
        <v>7659</v>
      </c>
      <c r="B21" s="266">
        <v>0</v>
      </c>
      <c r="C21" s="9">
        <f>_xlfn.WEIBULL.DIST(C20,$I$4,$J$4,FALSE)</f>
        <v>0.17349132895550487</v>
      </c>
      <c r="D21" s="9">
        <f t="shared" ref="D21:AF21" si="4">_xlfn.WEIBULL.DIST(D20,$I$4,$J$4,FALSE)</f>
        <v>0.20002615352652772</v>
      </c>
      <c r="E21" s="9">
        <f t="shared" si="4"/>
        <v>0.18077678073200373</v>
      </c>
      <c r="F21" s="9">
        <f t="shared" si="4"/>
        <v>0.14284158333692823</v>
      </c>
      <c r="G21" s="9">
        <f t="shared" si="4"/>
        <v>0.10251168529512535</v>
      </c>
      <c r="H21" s="9">
        <f t="shared" si="4"/>
        <v>6.809828191640234E-2</v>
      </c>
      <c r="I21" s="9">
        <f t="shared" si="4"/>
        <v>4.2350208524279273E-2</v>
      </c>
      <c r="J21" s="9">
        <f t="shared" si="4"/>
        <v>2.4843068462666134E-2</v>
      </c>
      <c r="K21" s="9">
        <f t="shared" si="4"/>
        <v>1.3820896330010105E-2</v>
      </c>
      <c r="L21" s="9">
        <f t="shared" si="4"/>
        <v>7.3219982800754417E-3</v>
      </c>
      <c r="M21" s="9">
        <f t="shared" si="4"/>
        <v>3.7058665631550581E-3</v>
      </c>
      <c r="N21" s="9">
        <f t="shared" si="4"/>
        <v>1.7966287460066724E-3</v>
      </c>
      <c r="O21" s="9">
        <f t="shared" si="4"/>
        <v>8.3615388366106334E-4</v>
      </c>
      <c r="P21" s="9">
        <f t="shared" si="4"/>
        <v>3.7426650441582828E-4</v>
      </c>
      <c r="Q21" s="9">
        <f t="shared" si="4"/>
        <v>1.6137621163627119E-4</v>
      </c>
      <c r="R21" s="9">
        <f t="shared" si="4"/>
        <v>6.7122999789245315E-5</v>
      </c>
      <c r="S21" s="9">
        <f t="shared" si="4"/>
        <v>2.6965936464757949E-5</v>
      </c>
      <c r="T21" s="9">
        <f t="shared" si="4"/>
        <v>1.0474981296477031E-5</v>
      </c>
      <c r="U21" s="9">
        <f t="shared" si="4"/>
        <v>3.9383826082951375E-6</v>
      </c>
      <c r="V21" s="9">
        <f t="shared" si="4"/>
        <v>1.4345059446323528E-6</v>
      </c>
      <c r="W21" s="9">
        <f t="shared" si="4"/>
        <v>5.0659990940975233E-7</v>
      </c>
      <c r="X21" s="9">
        <f t="shared" si="4"/>
        <v>1.7359416365043472E-7</v>
      </c>
      <c r="Y21" s="9">
        <f t="shared" si="4"/>
        <v>5.7758473099514991E-8</v>
      </c>
      <c r="Z21" s="9">
        <f t="shared" si="4"/>
        <v>1.8671868215502345E-8</v>
      </c>
      <c r="AA21" s="9">
        <f t="shared" si="4"/>
        <v>5.8683029764024014E-9</v>
      </c>
      <c r="AB21" s="9">
        <f t="shared" si="4"/>
        <v>1.7940465392551562E-9</v>
      </c>
      <c r="AC21" s="9">
        <f t="shared" si="4"/>
        <v>5.338011268530953E-10</v>
      </c>
      <c r="AD21" s="9">
        <f t="shared" si="4"/>
        <v>1.5465505680402524E-10</v>
      </c>
      <c r="AE21" s="9">
        <f t="shared" si="4"/>
        <v>4.3650511654012203E-11</v>
      </c>
      <c r="AF21" s="9">
        <f t="shared" si="4"/>
        <v>1.2007304297400784E-11</v>
      </c>
    </row>
    <row r="22" spans="1:33">
      <c r="A22" s="183" t="s">
        <v>7660</v>
      </c>
      <c r="B22" s="266">
        <v>0</v>
      </c>
      <c r="C22" s="9">
        <f>_xlfn.WEIBULL.DIST(C20,$I$5,$J$5,FALSE)</f>
        <v>8.4770094118497785E-2</v>
      </c>
      <c r="D22" s="9">
        <f t="shared" ref="D22:AF22" si="5">_xlfn.WEIBULL.DIST(D20,$I$5,$J$5,FALSE)</f>
        <v>0.1146633046000894</v>
      </c>
      <c r="E22" s="9">
        <f t="shared" si="5"/>
        <v>0.12523203292323901</v>
      </c>
      <c r="F22" s="9">
        <f t="shared" si="5"/>
        <v>0.12307784691731419</v>
      </c>
      <c r="G22" s="9">
        <f t="shared" si="5"/>
        <v>0.11281561935019493</v>
      </c>
      <c r="H22" s="9">
        <f t="shared" si="5"/>
        <v>9.8090253003183484E-2</v>
      </c>
      <c r="I22" s="9">
        <f t="shared" si="5"/>
        <v>8.1680379907149561E-2</v>
      </c>
      <c r="J22" s="9">
        <f t="shared" si="5"/>
        <v>6.5538961329482892E-2</v>
      </c>
      <c r="K22" s="9">
        <f t="shared" si="5"/>
        <v>5.0886346082546344E-2</v>
      </c>
      <c r="L22" s="9">
        <f t="shared" si="5"/>
        <v>3.8349468151715145E-2</v>
      </c>
      <c r="M22" s="9">
        <f t="shared" si="5"/>
        <v>2.8118589141149262E-2</v>
      </c>
      <c r="N22" s="9">
        <f t="shared" si="5"/>
        <v>2.0095971899938437E-2</v>
      </c>
      <c r="O22" s="9">
        <f t="shared" si="5"/>
        <v>1.4020364455358493E-2</v>
      </c>
      <c r="P22" s="9">
        <f t="shared" si="5"/>
        <v>9.5606353237381488E-3</v>
      </c>
      <c r="Q22" s="9">
        <f t="shared" si="5"/>
        <v>6.3789604698630889E-3</v>
      </c>
      <c r="R22" s="9">
        <f t="shared" si="5"/>
        <v>4.1681422480976784E-3</v>
      </c>
      <c r="S22" s="9">
        <f t="shared" si="5"/>
        <v>2.6693604503445481E-3</v>
      </c>
      <c r="T22" s="9">
        <f t="shared" si="5"/>
        <v>1.6766617850324564E-3</v>
      </c>
      <c r="U22" s="9">
        <f t="shared" si="5"/>
        <v>1.03353495277892E-3</v>
      </c>
      <c r="V22" s="9">
        <f t="shared" si="5"/>
        <v>6.255851400968534E-4</v>
      </c>
      <c r="W22" s="9">
        <f t="shared" si="5"/>
        <v>3.7200263471082559E-4</v>
      </c>
      <c r="X22" s="9">
        <f t="shared" si="5"/>
        <v>2.1742074075355953E-4</v>
      </c>
      <c r="Y22" s="9">
        <f t="shared" si="5"/>
        <v>1.2494860517001769E-4</v>
      </c>
      <c r="Z22" s="9">
        <f t="shared" si="5"/>
        <v>7.0632222074092226E-5</v>
      </c>
      <c r="AA22" s="9">
        <f t="shared" si="5"/>
        <v>3.928874667113131E-5</v>
      </c>
      <c r="AB22" s="9">
        <f t="shared" si="5"/>
        <v>2.1511417852611329E-5</v>
      </c>
      <c r="AC22" s="9">
        <f t="shared" si="5"/>
        <v>1.1596778134575307E-5</v>
      </c>
      <c r="AD22" s="9">
        <f t="shared" si="5"/>
        <v>6.1573848593351793E-6</v>
      </c>
      <c r="AE22" s="9">
        <f t="shared" si="5"/>
        <v>3.2207818574052789E-6</v>
      </c>
      <c r="AF22" s="9">
        <f t="shared" si="5"/>
        <v>1.6601252024434892E-6</v>
      </c>
    </row>
    <row r="23" spans="1:33">
      <c r="A23" s="183" t="s">
        <v>7661</v>
      </c>
      <c r="B23" s="266">
        <v>0</v>
      </c>
      <c r="C23" s="9">
        <f>_xlfn.WEIBULL.DIST(C20,$I$6,$J$6,FALSE)</f>
        <v>0.11528072498296078</v>
      </c>
      <c r="D23" s="9">
        <f t="shared" ref="D23:AF23" si="6">_xlfn.WEIBULL.DIST(D20,$I$6,$J$6,FALSE)</f>
        <v>0.14916263952674211</v>
      </c>
      <c r="E23" s="9">
        <f t="shared" si="6"/>
        <v>0.15334918442556039</v>
      </c>
      <c r="F23" s="9">
        <f t="shared" si="6"/>
        <v>0.13995042810407043</v>
      </c>
      <c r="G23" s="9">
        <f t="shared" si="6"/>
        <v>0.11769113755850855</v>
      </c>
      <c r="H23" s="9">
        <f t="shared" si="6"/>
        <v>9.28508241965771E-2</v>
      </c>
      <c r="I23" s="9">
        <f t="shared" si="6"/>
        <v>6.943973381879362E-2</v>
      </c>
      <c r="J23" s="9">
        <f t="shared" si="6"/>
        <v>4.9560206688178884E-2</v>
      </c>
      <c r="K23" s="9">
        <f t="shared" si="6"/>
        <v>3.3916389647978801E-2</v>
      </c>
      <c r="L23" s="9">
        <f t="shared" si="6"/>
        <v>2.2333523225288164E-2</v>
      </c>
      <c r="M23" s="9">
        <f t="shared" si="6"/>
        <v>1.4189017722028532E-2</v>
      </c>
      <c r="N23" s="9">
        <f t="shared" si="6"/>
        <v>8.7163791215780564E-3</v>
      </c>
      <c r="O23" s="9">
        <f t="shared" si="6"/>
        <v>5.1865879953937868E-3</v>
      </c>
      <c r="P23" s="9">
        <f t="shared" si="6"/>
        <v>2.9939052213001634E-3</v>
      </c>
      <c r="Q23" s="9">
        <f t="shared" si="6"/>
        <v>1.6786458424777008E-3</v>
      </c>
      <c r="R23" s="9">
        <f t="shared" si="6"/>
        <v>9.1521895978637904E-4</v>
      </c>
      <c r="S23" s="9">
        <f t="shared" si="6"/>
        <v>4.85687724264146E-4</v>
      </c>
      <c r="T23" s="9">
        <f t="shared" si="6"/>
        <v>2.5108975729986948E-4</v>
      </c>
      <c r="U23" s="9">
        <f t="shared" si="6"/>
        <v>1.2655371198497608E-4</v>
      </c>
      <c r="V23" s="9">
        <f t="shared" si="6"/>
        <v>6.2229496141375274E-5</v>
      </c>
      <c r="W23" s="9">
        <f t="shared" si="6"/>
        <v>2.987218499054485E-5</v>
      </c>
      <c r="X23" s="9">
        <f t="shared" si="6"/>
        <v>1.4006744008415431E-5</v>
      </c>
      <c r="Y23" s="9">
        <f t="shared" si="6"/>
        <v>6.4185471649942456E-6</v>
      </c>
      <c r="Z23" s="9">
        <f t="shared" si="6"/>
        <v>2.8759266928284894E-6</v>
      </c>
      <c r="AA23" s="9">
        <f t="shared" si="6"/>
        <v>1.2605414940037786E-6</v>
      </c>
      <c r="AB23" s="9">
        <f t="shared" si="6"/>
        <v>5.4070184862110554E-7</v>
      </c>
      <c r="AC23" s="9">
        <f t="shared" si="6"/>
        <v>2.2706540962464503E-7</v>
      </c>
      <c r="AD23" s="9">
        <f t="shared" si="6"/>
        <v>9.3389232726991581E-8</v>
      </c>
      <c r="AE23" s="9">
        <f t="shared" si="6"/>
        <v>3.7631018789196731E-8</v>
      </c>
      <c r="AF23" s="9">
        <f t="shared" si="6"/>
        <v>1.4860740335487425E-8</v>
      </c>
    </row>
    <row r="24" spans="1:33">
      <c r="A24" s="183" t="s">
        <v>7760</v>
      </c>
      <c r="B24" s="9">
        <f>1-(_xlfn.WEIBULL.DIST(B20,$I$4,$J$4,TRUE))</f>
        <v>1</v>
      </c>
      <c r="C24" s="9">
        <f>1-(_xlfn.WEIBULL.DIST(C20,$I$4,$J$4,TRUE))</f>
        <v>0.88146732732782185</v>
      </c>
      <c r="D24" s="9">
        <f>1-(_xlfn.WEIBULL.DIST(D20,$I$4,$J$4,TRUE))</f>
        <v>0.68934785974872881</v>
      </c>
      <c r="E24" s="9">
        <f t="shared" ref="E24:AF24" si="7">1-(_xlfn.WEIBULL.DIST(E20,$I$4,$J$4,TRUE))</f>
        <v>0.49645877472164579</v>
      </c>
      <c r="F24" s="9">
        <f t="shared" si="7"/>
        <v>0.33391006173846272</v>
      </c>
      <c r="G24" s="9">
        <f t="shared" si="7"/>
        <v>0.21148453586881022</v>
      </c>
      <c r="H24" s="9">
        <f t="shared" si="7"/>
        <v>0.12685275401278795</v>
      </c>
      <c r="I24" s="9">
        <f t="shared" si="7"/>
        <v>7.2365088264666255E-2</v>
      </c>
      <c r="J24" s="9">
        <f t="shared" si="7"/>
        <v>3.939156986310377E-2</v>
      </c>
      <c r="K24" s="9">
        <f t="shared" si="7"/>
        <v>2.0515818561640087E-2</v>
      </c>
      <c r="L24" s="9">
        <f t="shared" si="7"/>
        <v>1.024608768116575E-2</v>
      </c>
      <c r="M24" s="9">
        <f t="shared" si="7"/>
        <v>4.9162993565275981E-3</v>
      </c>
      <c r="N24" s="9">
        <f t="shared" si="7"/>
        <v>2.2701015845314476E-3</v>
      </c>
      <c r="O24" s="9">
        <f t="shared" si="7"/>
        <v>1.0101977095307024E-3</v>
      </c>
      <c r="P24" s="9">
        <f t="shared" si="7"/>
        <v>4.3378817246642054E-4</v>
      </c>
      <c r="Q24" s="9">
        <f t="shared" si="7"/>
        <v>1.7995207403576075E-4</v>
      </c>
      <c r="R24" s="9">
        <f t="shared" si="7"/>
        <v>7.2192588262853796E-5</v>
      </c>
      <c r="S24" s="9">
        <f t="shared" si="7"/>
        <v>2.8034483325223292E-5</v>
      </c>
      <c r="T24" s="9">
        <f t="shared" si="7"/>
        <v>1.0547003711613989E-5</v>
      </c>
      <c r="U24" s="9">
        <f t="shared" si="7"/>
        <v>3.8471961896213713E-6</v>
      </c>
      <c r="V24" s="9">
        <f t="shared" si="7"/>
        <v>1.3616139752370415E-6</v>
      </c>
      <c r="W24" s="9">
        <f t="shared" si="7"/>
        <v>4.6789752528031414E-7</v>
      </c>
      <c r="X24" s="9">
        <f t="shared" si="7"/>
        <v>1.5620929205706346E-7</v>
      </c>
      <c r="Y24" s="9">
        <f t="shared" si="7"/>
        <v>5.0696334685795819E-8</v>
      </c>
      <c r="Z24" s="9">
        <f t="shared" si="7"/>
        <v>1.6002871694453802E-8</v>
      </c>
      <c r="AA24" s="9">
        <f t="shared" si="7"/>
        <v>4.9158040971164496E-9</v>
      </c>
      <c r="AB24" s="9">
        <f t="shared" si="7"/>
        <v>1.4702021822188271E-9</v>
      </c>
      <c r="AC24" s="9">
        <f t="shared" si="7"/>
        <v>4.282961763024673E-10</v>
      </c>
      <c r="AD24" s="9">
        <f t="shared" si="7"/>
        <v>1.2158618556412648E-10</v>
      </c>
      <c r="AE24" s="9">
        <f t="shared" si="7"/>
        <v>3.3649194541851557E-11</v>
      </c>
      <c r="AF24" s="9">
        <f t="shared" si="7"/>
        <v>9.0820684306436306E-12</v>
      </c>
    </row>
    <row r="25" spans="1:33">
      <c r="A25" s="183" t="s">
        <v>7918</v>
      </c>
      <c r="B25" s="77">
        <f>1-(_xlfn.WEIBULL.DIST(B20,$I$5,$J$5,TRUE))</f>
        <v>1</v>
      </c>
      <c r="C25" s="77">
        <f>1-(_xlfn.WEIBULL.DIST(C20,$I$5,$J$5,TRUE))</f>
        <v>0.94550617213107058</v>
      </c>
      <c r="D25" s="77">
        <f>1-(_xlfn.WEIBULL.DIST(D20,$I$5,$J$5,TRUE))</f>
        <v>0.84377792561978593</v>
      </c>
      <c r="E25" s="77">
        <f t="shared" ref="E25:AF25" si="8">1-(_xlfn.WEIBULL.DIST(E20,$I$5,$J$5,TRUE))</f>
        <v>0.72254413587570232</v>
      </c>
      <c r="F25" s="77">
        <f t="shared" si="8"/>
        <v>0.5975380951508581</v>
      </c>
      <c r="G25" s="77">
        <f t="shared" si="8"/>
        <v>0.47908098328075321</v>
      </c>
      <c r="H25" s="77">
        <f t="shared" si="8"/>
        <v>0.37338494866262173</v>
      </c>
      <c r="I25" s="77">
        <f t="shared" si="8"/>
        <v>0.28345271939988614</v>
      </c>
      <c r="J25" s="77">
        <f t="shared" si="8"/>
        <v>0.20992649997385471</v>
      </c>
      <c r="K25" s="77">
        <f t="shared" si="8"/>
        <v>0.15187191336961858</v>
      </c>
      <c r="L25" s="77">
        <f t="shared" si="8"/>
        <v>0.10744372291537818</v>
      </c>
      <c r="M25" s="77">
        <f t="shared" si="8"/>
        <v>7.4401144761009119E-2</v>
      </c>
      <c r="N25" s="77">
        <f t="shared" si="8"/>
        <v>5.046868279293959E-2</v>
      </c>
      <c r="O25" s="77">
        <f t="shared" si="8"/>
        <v>3.3559462361711812E-2</v>
      </c>
      <c r="P25" s="77">
        <f t="shared" si="8"/>
        <v>2.1889287953690939E-2</v>
      </c>
      <c r="Q25" s="77">
        <f t="shared" si="8"/>
        <v>1.4012539772323307E-2</v>
      </c>
      <c r="R25" s="77">
        <f t="shared" si="8"/>
        <v>8.8083029898876619E-3</v>
      </c>
      <c r="S25" s="77">
        <f t="shared" si="8"/>
        <v>5.4395073965253227E-3</v>
      </c>
      <c r="T25" s="77">
        <f t="shared" si="8"/>
        <v>3.3014419522700011E-3</v>
      </c>
      <c r="U25" s="77">
        <f t="shared" si="8"/>
        <v>1.9701292130143155E-3</v>
      </c>
      <c r="V25" s="77">
        <f t="shared" si="8"/>
        <v>1.1563521962340007E-3</v>
      </c>
      <c r="W25" s="77">
        <f t="shared" si="8"/>
        <v>6.6778420387125781E-4</v>
      </c>
      <c r="X25" s="77">
        <f t="shared" si="8"/>
        <v>3.7955006087508902E-4</v>
      </c>
      <c r="Y25" s="77">
        <f t="shared" si="8"/>
        <v>2.1238136787149475E-4</v>
      </c>
      <c r="Z25" s="77">
        <f t="shared" si="8"/>
        <v>1.1703016763131568E-4</v>
      </c>
      <c r="AA25" s="77">
        <f t="shared" si="8"/>
        <v>6.3522249971859068E-5</v>
      </c>
      <c r="AB25" s="77">
        <f t="shared" si="8"/>
        <v>3.3970874778632698E-5</v>
      </c>
      <c r="AC25" s="77">
        <f t="shared" si="8"/>
        <v>1.7903617582137876E-5</v>
      </c>
      <c r="AD25" s="77">
        <f t="shared" si="8"/>
        <v>9.3008616327550087E-6</v>
      </c>
      <c r="AE25" s="77">
        <f t="shared" si="8"/>
        <v>4.7636979364495957E-6</v>
      </c>
      <c r="AF25" s="77">
        <f t="shared" si="8"/>
        <v>2.4059677001808666E-6</v>
      </c>
    </row>
    <row r="26" spans="1:33" ht="17" thickBot="1">
      <c r="A26" s="183" t="s">
        <v>7919</v>
      </c>
      <c r="B26" s="184">
        <f>1-(_xlfn.WEIBULL.DIST(B20,$I$6,$J$6,TRUE))</f>
        <v>1</v>
      </c>
      <c r="C26" s="184">
        <f>1-(_xlfn.WEIBULL.DIST(C20,$I$6,$J$6,TRUE))</f>
        <v>0.92506937904025666</v>
      </c>
      <c r="D26" s="184">
        <f t="shared" ref="D26:AF26" si="9">1-(_xlfn.WEIBULL.DIST(D20,$I$6,$J$6,TRUE))</f>
        <v>0.78969551038290109</v>
      </c>
      <c r="E26" s="184">
        <f t="shared" si="9"/>
        <v>0.63654091519805589</v>
      </c>
      <c r="F26" s="184">
        <f t="shared" si="9"/>
        <v>0.48882773965658599</v>
      </c>
      <c r="G26" s="184">
        <f t="shared" si="9"/>
        <v>0.35956661736898909</v>
      </c>
      <c r="H26" s="184">
        <f t="shared" si="9"/>
        <v>0.25428024393314352</v>
      </c>
      <c r="I26" s="184">
        <f t="shared" si="9"/>
        <v>0.17336715799793589</v>
      </c>
      <c r="J26" s="184">
        <f t="shared" si="9"/>
        <v>0.11420805178291926</v>
      </c>
      <c r="K26" s="184">
        <f t="shared" si="9"/>
        <v>7.2825205166910267E-2</v>
      </c>
      <c r="L26" s="184">
        <f t="shared" si="9"/>
        <v>4.501682352540437E-2</v>
      </c>
      <c r="M26" s="184">
        <f t="shared" si="9"/>
        <v>2.7010605909892349E-2</v>
      </c>
      <c r="N26" s="184">
        <f t="shared" si="9"/>
        <v>1.574870944587814E-2</v>
      </c>
      <c r="O26" s="184">
        <f t="shared" si="9"/>
        <v>8.9316839203122944E-3</v>
      </c>
      <c r="P26" s="184">
        <f t="shared" si="9"/>
        <v>4.9314976753478401E-3</v>
      </c>
      <c r="Q26" s="184">
        <f t="shared" si="9"/>
        <v>2.6529064168969718E-3</v>
      </c>
      <c r="R26" s="184">
        <f t="shared" si="9"/>
        <v>1.391459676527651E-3</v>
      </c>
      <c r="S26" s="184">
        <f t="shared" si="9"/>
        <v>7.1204162144555827E-4</v>
      </c>
      <c r="T26" s="184">
        <f t="shared" si="9"/>
        <v>3.5569937355206527E-4</v>
      </c>
      <c r="U26" s="184">
        <f t="shared" si="9"/>
        <v>1.7355628044091187E-4</v>
      </c>
      <c r="V26" s="184">
        <f t="shared" si="9"/>
        <v>8.2755314537164004E-5</v>
      </c>
      <c r="W26" s="184">
        <f t="shared" si="9"/>
        <v>3.8579182419451463E-5</v>
      </c>
      <c r="X26" s="184">
        <f t="shared" si="9"/>
        <v>1.7591431818453351E-5</v>
      </c>
      <c r="Y26" s="184">
        <f t="shared" si="9"/>
        <v>7.8490598693914393E-6</v>
      </c>
      <c r="Z26" s="184">
        <f t="shared" si="9"/>
        <v>3.4282199126156598E-6</v>
      </c>
      <c r="AA26" s="184">
        <f t="shared" si="9"/>
        <v>1.466259191063024E-6</v>
      </c>
      <c r="AB26" s="184">
        <f t="shared" si="9"/>
        <v>6.1431547004886511E-7</v>
      </c>
      <c r="AC26" s="184">
        <f t="shared" si="9"/>
        <v>2.5220304644690827E-7</v>
      </c>
      <c r="AD26" s="184">
        <f t="shared" si="9"/>
        <v>1.0148914530994091E-7</v>
      </c>
      <c r="AE26" s="184">
        <f t="shared" si="9"/>
        <v>4.0042831939146595E-8</v>
      </c>
      <c r="AF26" s="184">
        <f t="shared" si="9"/>
        <v>1.549477590678805E-8</v>
      </c>
    </row>
    <row r="27" spans="1:33">
      <c r="A27" s="78"/>
    </row>
    <row r="28" spans="1:33">
      <c r="A28" s="1" t="s">
        <v>7669</v>
      </c>
      <c r="B28" s="5"/>
      <c r="C28" s="6"/>
      <c r="H28" s="1"/>
      <c r="I28" s="1"/>
      <c r="J28" s="1"/>
    </row>
    <row r="29" spans="1:33" ht="17" thickBot="1"/>
    <row r="30" spans="1:33">
      <c r="A30" s="182" t="s">
        <v>175</v>
      </c>
      <c r="B30" s="265">
        <v>0</v>
      </c>
      <c r="C30" s="177">
        <v>1</v>
      </c>
      <c r="D30" s="177">
        <v>2</v>
      </c>
      <c r="E30" s="177">
        <v>3</v>
      </c>
      <c r="F30" s="177">
        <v>4</v>
      </c>
      <c r="G30" s="177">
        <v>5</v>
      </c>
      <c r="H30" s="177">
        <v>6</v>
      </c>
      <c r="I30" s="177">
        <v>7</v>
      </c>
      <c r="J30" s="177">
        <v>8</v>
      </c>
      <c r="K30" s="177">
        <v>9</v>
      </c>
      <c r="L30" s="177">
        <v>10</v>
      </c>
      <c r="M30" s="177">
        <v>11</v>
      </c>
      <c r="N30" s="177">
        <v>12</v>
      </c>
      <c r="O30" s="177">
        <v>13</v>
      </c>
      <c r="P30" s="177">
        <v>14</v>
      </c>
      <c r="Q30" s="177">
        <v>15</v>
      </c>
      <c r="R30" s="177">
        <v>16</v>
      </c>
      <c r="S30" s="177">
        <v>17</v>
      </c>
      <c r="T30" s="177">
        <v>18</v>
      </c>
      <c r="U30" s="177">
        <v>19</v>
      </c>
      <c r="V30" s="177">
        <v>20</v>
      </c>
      <c r="W30" s="177">
        <v>21</v>
      </c>
      <c r="X30" s="177">
        <v>22</v>
      </c>
      <c r="Y30" s="177">
        <v>23</v>
      </c>
      <c r="Z30" s="177">
        <v>24</v>
      </c>
      <c r="AA30" s="177">
        <v>25</v>
      </c>
      <c r="AB30" s="177">
        <v>26</v>
      </c>
      <c r="AC30" s="177">
        <v>27</v>
      </c>
      <c r="AD30" s="177">
        <v>28</v>
      </c>
      <c r="AE30" s="177">
        <v>29</v>
      </c>
      <c r="AF30" s="177">
        <v>30</v>
      </c>
      <c r="AG30" s="177">
        <v>31</v>
      </c>
    </row>
    <row r="31" spans="1:33">
      <c r="A31" s="183" t="s">
        <v>7760</v>
      </c>
      <c r="B31" s="9">
        <f>1-(_xlfn.WEIBULL.DIST(B30,$I$9,$J$9,TRUE))</f>
        <v>1</v>
      </c>
      <c r="C31" s="9">
        <f>1-(_xlfn.WEIBULL.DIST(C30,$I$9,$J$9,TRUE))</f>
        <v>0.90943247154042883</v>
      </c>
      <c r="D31" s="9">
        <f>1-(_xlfn.WEIBULL.DIST(D30,$I$9,$J$9,TRUE))</f>
        <v>0.75584563103050584</v>
      </c>
      <c r="E31" s="9">
        <f t="shared" ref="E31:AG31" si="10">1-(_xlfn.WEIBULL.DIST(E30,$I$9,$J$9,TRUE))</f>
        <v>0.59042877203106281</v>
      </c>
      <c r="F31" s="9">
        <f t="shared" si="10"/>
        <v>0.43808193415217855</v>
      </c>
      <c r="G31" s="9">
        <f t="shared" si="10"/>
        <v>0.31067503168941379</v>
      </c>
      <c r="H31" s="9">
        <f t="shared" si="10"/>
        <v>0.21148453586880933</v>
      </c>
      <c r="I31" s="9">
        <f t="shared" si="10"/>
        <v>0.13862879228764946</v>
      </c>
      <c r="J31" s="9">
        <f t="shared" si="10"/>
        <v>8.7722733228758676E-2</v>
      </c>
      <c r="K31" s="9">
        <f t="shared" si="10"/>
        <v>5.3694820696014833E-2</v>
      </c>
      <c r="L31" s="9">
        <f t="shared" si="10"/>
        <v>3.184533074617768E-2</v>
      </c>
      <c r="M31" s="9">
        <f t="shared" si="10"/>
        <v>1.8326300973768195E-2</v>
      </c>
      <c r="N31" s="9">
        <f t="shared" si="10"/>
        <v>1.0246087681165639E-2</v>
      </c>
      <c r="O31" s="9">
        <f t="shared" si="10"/>
        <v>5.5714419038410679E-3</v>
      </c>
      <c r="P31" s="9">
        <f t="shared" si="10"/>
        <v>2.9493199233715517E-3</v>
      </c>
      <c r="Q31" s="9">
        <f t="shared" si="10"/>
        <v>1.5212314989784259E-3</v>
      </c>
      <c r="R31" s="9">
        <f t="shared" si="10"/>
        <v>7.6511297575088122E-4</v>
      </c>
      <c r="S31" s="9">
        <f t="shared" si="10"/>
        <v>3.7550812897424457E-4</v>
      </c>
      <c r="T31" s="9">
        <f t="shared" si="10"/>
        <v>1.7995207403576075E-4</v>
      </c>
      <c r="U31" s="9">
        <f t="shared" si="10"/>
        <v>8.4254967680053028E-5</v>
      </c>
      <c r="V31" s="9">
        <f t="shared" si="10"/>
        <v>3.8563185356554897E-5</v>
      </c>
      <c r="W31" s="9">
        <f t="shared" si="10"/>
        <v>1.726271941482338E-5</v>
      </c>
      <c r="X31" s="9">
        <f t="shared" si="10"/>
        <v>7.5615239704118764E-6</v>
      </c>
      <c r="Y31" s="9">
        <f t="shared" si="10"/>
        <v>3.242384743806781E-6</v>
      </c>
      <c r="Z31" s="9">
        <f t="shared" si="10"/>
        <v>1.3616139752370415E-6</v>
      </c>
      <c r="AA31" s="9">
        <f t="shared" si="10"/>
        <v>5.6020367378284419E-7</v>
      </c>
      <c r="AB31" s="9">
        <f t="shared" si="10"/>
        <v>2.2589096171365952E-7</v>
      </c>
      <c r="AC31" s="9">
        <f t="shared" si="10"/>
        <v>8.9302224504095307E-8</v>
      </c>
      <c r="AD31" s="9">
        <f t="shared" si="10"/>
        <v>3.4624038858233064E-8</v>
      </c>
      <c r="AE31" s="9">
        <f t="shared" si="10"/>
        <v>1.316980513532684E-8</v>
      </c>
      <c r="AF31" s="9">
        <f t="shared" si="10"/>
        <v>4.9158040971164496E-9</v>
      </c>
      <c r="AG31" s="9">
        <f t="shared" si="10"/>
        <v>1.801128135525687E-9</v>
      </c>
    </row>
    <row r="32" spans="1:33">
      <c r="A32" s="183" t="s">
        <v>7918</v>
      </c>
      <c r="B32" s="9">
        <f>1-(_xlfn.WEIBULL.DIST(B30,$I$10,$J$10,TRUE))</f>
        <v>1</v>
      </c>
      <c r="C32" s="9">
        <f>1-(_xlfn.WEIBULL.DIST(C30,$I$10,$J$10,TRUE))</f>
        <v>0.95900688817111224</v>
      </c>
      <c r="D32" s="9">
        <f t="shared" ref="D32:AG32" si="11">1-(_xlfn.WEIBULL.DIST(D30,$I$10,$J$10,TRUE))</f>
        <v>0.88083341101347212</v>
      </c>
      <c r="E32" s="9">
        <f t="shared" si="11"/>
        <v>0.78446625134895032</v>
      </c>
      <c r="F32" s="9">
        <f t="shared" si="11"/>
        <v>0.68068969762843756</v>
      </c>
      <c r="G32" s="9">
        <f t="shared" si="11"/>
        <v>0.57712687261625095</v>
      </c>
      <c r="H32" s="9">
        <f t="shared" si="11"/>
        <v>0.47908098328075266</v>
      </c>
      <c r="I32" s="9">
        <f t="shared" si="11"/>
        <v>0.38995366570950019</v>
      </c>
      <c r="J32" s="9">
        <f t="shared" si="11"/>
        <v>0.31159939217759236</v>
      </c>
      <c r="K32" s="9">
        <f t="shared" si="11"/>
        <v>0.24466879496349681</v>
      </c>
      <c r="L32" s="9">
        <f t="shared" si="11"/>
        <v>0.18893390420347922</v>
      </c>
      <c r="M32" s="9">
        <f t="shared" si="11"/>
        <v>0.14357887271643677</v>
      </c>
      <c r="N32" s="9">
        <f t="shared" si="11"/>
        <v>0.10744372291537785</v>
      </c>
      <c r="O32" s="9">
        <f t="shared" si="11"/>
        <v>7.9215591066647439E-2</v>
      </c>
      <c r="P32" s="9">
        <f t="shared" si="11"/>
        <v>5.7568283332890546E-2</v>
      </c>
      <c r="Q32" s="9">
        <f t="shared" si="11"/>
        <v>4.125550158713831E-2</v>
      </c>
      <c r="R32" s="9">
        <f t="shared" si="11"/>
        <v>2.9165670172417557E-2</v>
      </c>
      <c r="S32" s="9">
        <f t="shared" si="11"/>
        <v>2.0347181916805068E-2</v>
      </c>
      <c r="T32" s="9">
        <f t="shared" si="11"/>
        <v>1.4012539772323196E-2</v>
      </c>
      <c r="U32" s="9">
        <f t="shared" si="11"/>
        <v>9.5287702346962266E-3</v>
      </c>
      <c r="V32" s="9">
        <f t="shared" si="11"/>
        <v>6.4000276471120054E-3</v>
      </c>
      <c r="W32" s="9">
        <f t="shared" si="11"/>
        <v>4.2467927461470323E-3</v>
      </c>
      <c r="X32" s="9">
        <f t="shared" si="11"/>
        <v>2.7846866480054633E-3</v>
      </c>
      <c r="Y32" s="9">
        <f t="shared" si="11"/>
        <v>1.8047742954250268E-3</v>
      </c>
      <c r="Z32" s="9">
        <f t="shared" si="11"/>
        <v>1.1563521962340007E-3</v>
      </c>
      <c r="AA32" s="9">
        <f t="shared" si="11"/>
        <v>7.3259190538454977E-4</v>
      </c>
      <c r="AB32" s="9">
        <f t="shared" si="11"/>
        <v>4.5900579685265175E-4</v>
      </c>
      <c r="AC32" s="9">
        <f t="shared" si="11"/>
        <v>2.8446791152991757E-4</v>
      </c>
      <c r="AD32" s="9">
        <f t="shared" si="11"/>
        <v>1.7441286394792588E-4</v>
      </c>
      <c r="AE32" s="9">
        <f t="shared" si="11"/>
        <v>1.0580868570131408E-4</v>
      </c>
      <c r="AF32" s="9">
        <f t="shared" si="11"/>
        <v>6.3522249971859068E-5</v>
      </c>
      <c r="AG32" s="9">
        <f t="shared" si="11"/>
        <v>3.7744468469713688E-5</v>
      </c>
    </row>
    <row r="33" spans="1:33">
      <c r="A33" s="183" t="s">
        <v>7919</v>
      </c>
      <c r="B33" s="9">
        <f>1-(_xlfn.WEIBULL.DIST(B30,$I$11,$J$11,TRUE))</f>
        <v>1</v>
      </c>
      <c r="C33" s="9">
        <f>1-(_xlfn.WEIBULL.DIST(C30,$I$11,$J$11,TRUE))</f>
        <v>0.9434802700070698</v>
      </c>
      <c r="D33" s="9">
        <f t="shared" ref="D33:AG33" si="12">1-(_xlfn.WEIBULL.DIST(D30,$I$11,$J$11,TRUE))</f>
        <v>0.83830921756064292</v>
      </c>
      <c r="E33" s="9">
        <f t="shared" si="12"/>
        <v>0.71361149860437112</v>
      </c>
      <c r="F33" s="9">
        <f t="shared" si="12"/>
        <v>0.58587515258511014</v>
      </c>
      <c r="G33" s="9">
        <f t="shared" si="12"/>
        <v>0.46577404160916114</v>
      </c>
      <c r="H33" s="9">
        <f t="shared" si="12"/>
        <v>0.35956661736898987</v>
      </c>
      <c r="I33" s="9">
        <f t="shared" si="12"/>
        <v>0.27009844957570084</v>
      </c>
      <c r="J33" s="9">
        <f t="shared" si="12"/>
        <v>0.19775006052286703</v>
      </c>
      <c r="K33" s="9">
        <f t="shared" si="12"/>
        <v>0.14130098088237275</v>
      </c>
      <c r="L33" s="9">
        <f t="shared" si="12"/>
        <v>9.8649650769680242E-2</v>
      </c>
      <c r="M33" s="9">
        <f t="shared" si="12"/>
        <v>6.7357308673357541E-2</v>
      </c>
      <c r="N33" s="9">
        <f t="shared" si="12"/>
        <v>4.5016823525404703E-2</v>
      </c>
      <c r="O33" s="9">
        <f t="shared" si="12"/>
        <v>2.9470299674312361E-2</v>
      </c>
      <c r="P33" s="9">
        <f t="shared" si="12"/>
        <v>1.8910248328706469E-2</v>
      </c>
      <c r="Q33" s="9">
        <f t="shared" si="12"/>
        <v>1.1900555466909823E-2</v>
      </c>
      <c r="R33" s="9">
        <f t="shared" si="12"/>
        <v>7.3489385428832099E-3</v>
      </c>
      <c r="S33" s="9">
        <f t="shared" si="12"/>
        <v>4.4553197733474548E-3</v>
      </c>
      <c r="T33" s="9">
        <f t="shared" si="12"/>
        <v>2.6529064168969718E-3</v>
      </c>
      <c r="U33" s="9">
        <f t="shared" si="12"/>
        <v>1.5521384705807773E-3</v>
      </c>
      <c r="V33" s="9">
        <f t="shared" si="12"/>
        <v>8.9262270218359863E-4</v>
      </c>
      <c r="W33" s="9">
        <f t="shared" si="12"/>
        <v>5.0476140621924515E-4</v>
      </c>
      <c r="X33" s="9">
        <f t="shared" si="12"/>
        <v>2.8075444429209728E-4</v>
      </c>
      <c r="Y33" s="9">
        <f t="shared" si="12"/>
        <v>1.536461976333614E-4</v>
      </c>
      <c r="Z33" s="9">
        <f t="shared" si="12"/>
        <v>8.2755314537164004E-5</v>
      </c>
      <c r="AA33" s="9">
        <f t="shared" si="12"/>
        <v>4.3879911741373512E-5</v>
      </c>
      <c r="AB33" s="9">
        <f t="shared" si="12"/>
        <v>2.2910871908865538E-5</v>
      </c>
      <c r="AC33" s="9">
        <f t="shared" si="12"/>
        <v>1.1782236721269435E-5</v>
      </c>
      <c r="AD33" s="9">
        <f t="shared" si="12"/>
        <v>5.9692929225141356E-6</v>
      </c>
      <c r="AE33" s="9">
        <f t="shared" si="12"/>
        <v>2.9800313149364044E-6</v>
      </c>
      <c r="AF33" s="9">
        <f t="shared" si="12"/>
        <v>1.466259191063024E-6</v>
      </c>
      <c r="AG33" s="9">
        <f t="shared" si="12"/>
        <v>7.1117689037780707E-7</v>
      </c>
    </row>
    <row r="35" spans="1:33">
      <c r="A35" s="1" t="s">
        <v>7671</v>
      </c>
      <c r="B35" s="5"/>
      <c r="C35" s="6"/>
      <c r="H35" s="1"/>
      <c r="I35" s="1"/>
      <c r="J35" s="1"/>
    </row>
    <row r="36" spans="1:33" ht="17" thickBot="1"/>
    <row r="37" spans="1:33">
      <c r="A37" s="182" t="s">
        <v>175</v>
      </c>
      <c r="B37" s="265">
        <v>0</v>
      </c>
      <c r="C37" s="177">
        <v>1</v>
      </c>
      <c r="D37" s="177">
        <v>2</v>
      </c>
      <c r="E37" s="177">
        <v>3</v>
      </c>
      <c r="F37" s="177">
        <v>4</v>
      </c>
      <c r="G37" s="177">
        <v>5</v>
      </c>
      <c r="H37" s="177">
        <v>6</v>
      </c>
      <c r="I37" s="177">
        <v>7</v>
      </c>
      <c r="J37" s="177">
        <v>8</v>
      </c>
      <c r="K37" s="177">
        <v>9</v>
      </c>
      <c r="L37" s="177">
        <v>10</v>
      </c>
      <c r="M37" s="177">
        <v>11</v>
      </c>
      <c r="N37" s="177">
        <v>12</v>
      </c>
      <c r="O37" s="177">
        <v>13</v>
      </c>
      <c r="P37" s="177">
        <v>14</v>
      </c>
      <c r="Q37" s="177">
        <v>15</v>
      </c>
      <c r="R37" s="177">
        <v>16</v>
      </c>
      <c r="S37" s="177">
        <v>17</v>
      </c>
      <c r="T37" s="177">
        <v>18</v>
      </c>
      <c r="U37" s="177">
        <v>19</v>
      </c>
      <c r="V37" s="177">
        <v>20</v>
      </c>
      <c r="W37" s="177">
        <v>21</v>
      </c>
      <c r="X37" s="177">
        <v>22</v>
      </c>
      <c r="Y37" s="177">
        <v>23</v>
      </c>
      <c r="Z37" s="177">
        <v>24</v>
      </c>
      <c r="AA37" s="177">
        <v>25</v>
      </c>
      <c r="AB37" s="177">
        <v>26</v>
      </c>
      <c r="AC37" s="177">
        <v>27</v>
      </c>
      <c r="AD37" s="177">
        <v>28</v>
      </c>
      <c r="AE37" s="177">
        <v>29</v>
      </c>
      <c r="AF37" s="177">
        <v>30</v>
      </c>
      <c r="AG37" s="177">
        <v>31</v>
      </c>
    </row>
    <row r="38" spans="1:33">
      <c r="A38" s="183" t="s">
        <v>7760</v>
      </c>
      <c r="B38" s="9">
        <f>1-(_xlfn.WEIBULL.DIST(B37,$I$14,$J$14,TRUE))</f>
        <v>1</v>
      </c>
      <c r="C38" s="9">
        <f>1-(_xlfn.WEIBULL.DIST(C37,$I$14,$J$14,TRUE))</f>
        <v>0.9351707003347981</v>
      </c>
      <c r="D38" s="9">
        <f t="shared" ref="D38:AG38" si="13">1-(_xlfn.WEIBULL.DIST(D37,$I$14,$J$14,TRUE))</f>
        <v>0.82067400065016793</v>
      </c>
      <c r="E38" s="9">
        <f t="shared" si="13"/>
        <v>0.6893478593924478</v>
      </c>
      <c r="F38" s="9">
        <f t="shared" si="13"/>
        <v>0.55837881970304204</v>
      </c>
      <c r="G38" s="9">
        <f t="shared" si="13"/>
        <v>0.43808193364984427</v>
      </c>
      <c r="H38" s="9">
        <f t="shared" si="13"/>
        <v>0.33391006122961175</v>
      </c>
      <c r="I38" s="9">
        <f t="shared" si="13"/>
        <v>0.24781446639555715</v>
      </c>
      <c r="J38" s="9">
        <f t="shared" si="13"/>
        <v>0.17939496189282989</v>
      </c>
      <c r="K38" s="9">
        <f t="shared" si="13"/>
        <v>0.12685275364890369</v>
      </c>
      <c r="L38" s="9">
        <f t="shared" si="13"/>
        <v>8.7722732932168812E-2</v>
      </c>
      <c r="M38" s="9">
        <f t="shared" si="13"/>
        <v>5.9386338116475312E-2</v>
      </c>
      <c r="N38" s="9">
        <f t="shared" si="13"/>
        <v>3.9391569686104688E-2</v>
      </c>
      <c r="O38" s="9">
        <f t="shared" si="13"/>
        <v>2.5620976426319553E-2</v>
      </c>
      <c r="P38" s="9">
        <f t="shared" si="13"/>
        <v>1.6351558638216468E-2</v>
      </c>
      <c r="Q38" s="9">
        <f t="shared" si="13"/>
        <v>1.0246087615957133E-2</v>
      </c>
      <c r="R38" s="9">
        <f t="shared" si="13"/>
        <v>6.3071160155147021E-3</v>
      </c>
      <c r="S38" s="9">
        <f t="shared" si="13"/>
        <v>3.8158733020676738E-3</v>
      </c>
      <c r="T38" s="9">
        <f t="shared" si="13"/>
        <v>2.2701015653308065E-3</v>
      </c>
      <c r="U38" s="9">
        <f t="shared" si="13"/>
        <v>1.3285153655550053E-3</v>
      </c>
      <c r="V38" s="9">
        <f t="shared" si="13"/>
        <v>7.65112968123427E-4</v>
      </c>
      <c r="W38" s="9">
        <f t="shared" si="13"/>
        <v>4.3378816780004215E-4</v>
      </c>
      <c r="X38" s="9">
        <f t="shared" si="13"/>
        <v>2.4219638122247034E-4</v>
      </c>
      <c r="Y38" s="9">
        <f t="shared" si="13"/>
        <v>1.3320804591387958E-4</v>
      </c>
      <c r="Z38" s="9">
        <f t="shared" si="13"/>
        <v>7.2192587306396661E-5</v>
      </c>
      <c r="AA38" s="9">
        <f t="shared" si="13"/>
        <v>3.8563184811990503E-5</v>
      </c>
      <c r="AB38" s="9">
        <f t="shared" si="13"/>
        <v>2.0308749757669275E-5</v>
      </c>
      <c r="AC38" s="9">
        <f t="shared" si="13"/>
        <v>1.0547003543637246E-5</v>
      </c>
      <c r="AD38" s="9">
        <f t="shared" si="13"/>
        <v>5.4026957445607593E-6</v>
      </c>
      <c r="AE38" s="9">
        <f t="shared" si="13"/>
        <v>2.7303741100270784E-6</v>
      </c>
      <c r="AF38" s="9">
        <f t="shared" si="13"/>
        <v>1.361613949701912E-6</v>
      </c>
      <c r="AG38" s="9">
        <f t="shared" si="13"/>
        <v>6.7018023364173729E-7</v>
      </c>
    </row>
    <row r="39" spans="1:33">
      <c r="A39" s="183" t="s">
        <v>7918</v>
      </c>
      <c r="B39" s="9">
        <f>1-(_xlfn.WEIBULL.DIST(B37,$I$15,$J$15,TRUE))</f>
        <v>1</v>
      </c>
      <c r="C39" s="9">
        <f>1-(_xlfn.WEIBULL.DIST(C37,$I$15,$J$15,TRUE))</f>
        <v>0.97113525771045783</v>
      </c>
      <c r="D39" s="9">
        <f t="shared" ref="D39:AG39" si="14">1-(_xlfn.WEIBULL.DIST(D37,$I$15,$J$15,TRUE))</f>
        <v>0.91503841530281094</v>
      </c>
      <c r="E39" s="9">
        <f t="shared" si="14"/>
        <v>0.84377792567661269</v>
      </c>
      <c r="F39" s="9">
        <f t="shared" si="14"/>
        <v>0.76402206018169916</v>
      </c>
      <c r="G39" s="9">
        <f t="shared" si="14"/>
        <v>0.68068969773224608</v>
      </c>
      <c r="H39" s="9">
        <f t="shared" si="14"/>
        <v>0.59753809527285195</v>
      </c>
      <c r="I39" s="9">
        <f t="shared" si="14"/>
        <v>0.51738120201415283</v>
      </c>
      <c r="J39" s="9">
        <f t="shared" si="14"/>
        <v>0.4422250579915612</v>
      </c>
      <c r="K39" s="9">
        <f t="shared" si="14"/>
        <v>0.37338494880846118</v>
      </c>
      <c r="L39" s="9">
        <f t="shared" si="14"/>
        <v>0.31159939232164724</v>
      </c>
      <c r="M39" s="9">
        <f t="shared" si="14"/>
        <v>0.25714178189809411</v>
      </c>
      <c r="N39" s="9">
        <f t="shared" si="14"/>
        <v>0.20992650010377822</v>
      </c>
      <c r="O39" s="9">
        <f t="shared" si="14"/>
        <v>0.16960586355477747</v>
      </c>
      <c r="P39" s="9">
        <f t="shared" si="14"/>
        <v>0.13565509453264546</v>
      </c>
      <c r="Q39" s="9">
        <f t="shared" si="14"/>
        <v>0.10744372301040739</v>
      </c>
      <c r="R39" s="9">
        <f t="shared" si="14"/>
        <v>8.4292998479376546E-2</v>
      </c>
      <c r="S39" s="9">
        <f t="shared" si="14"/>
        <v>6.5519856899824647E-2</v>
      </c>
      <c r="T39" s="9">
        <f t="shared" si="14"/>
        <v>5.0468682852696456E-2</v>
      </c>
      <c r="U39" s="9">
        <f t="shared" si="14"/>
        <v>3.8532532111262063E-2</v>
      </c>
      <c r="V39" s="9">
        <f t="shared" si="14"/>
        <v>2.9165670213292083E-2</v>
      </c>
      <c r="W39" s="9">
        <f t="shared" si="14"/>
        <v>2.1889287986858408E-2</v>
      </c>
      <c r="X39" s="9">
        <f t="shared" si="14"/>
        <v>1.6292128456633082E-2</v>
      </c>
      <c r="Y39" s="9">
        <f t="shared" si="14"/>
        <v>1.202755035504699E-2</v>
      </c>
      <c r="Z39" s="9">
        <f t="shared" si="14"/>
        <v>8.8083030064133316E-3</v>
      </c>
      <c r="AA39" s="9">
        <f t="shared" si="14"/>
        <v>6.4000276599299744E-3</v>
      </c>
      <c r="AB39" s="9">
        <f t="shared" si="14"/>
        <v>4.6142540226281614E-3</v>
      </c>
      <c r="AC39" s="9">
        <f t="shared" si="14"/>
        <v>3.3014419597485745E-3</v>
      </c>
      <c r="AD39" s="9">
        <f t="shared" si="14"/>
        <v>2.3444343387962752E-3</v>
      </c>
      <c r="AE39" s="9">
        <f t="shared" si="14"/>
        <v>1.6525397993728541E-3</v>
      </c>
      <c r="AF39" s="9">
        <f t="shared" si="14"/>
        <v>1.1563521993344095E-3</v>
      </c>
      <c r="AG39" s="9">
        <f t="shared" si="14"/>
        <v>8.033327405766455E-4</v>
      </c>
    </row>
    <row r="40" spans="1:33">
      <c r="A40" s="183" t="s">
        <v>7919</v>
      </c>
      <c r="B40" s="9">
        <f>1-(_xlfn.WEIBULL.DIST(B37,$I$16,$J$16,TRUE))</f>
        <v>1</v>
      </c>
      <c r="C40" s="9">
        <f>1-(_xlfn.WEIBULL.DIST(C37,$I$16,$J$16,TRUE))</f>
        <v>0.9601063944193885</v>
      </c>
      <c r="D40" s="9">
        <f t="shared" ref="D40:AG40" si="15">1-(_xlfn.WEIBULL.DIST(D37,$I$16,$J$16,TRUE))</f>
        <v>0.8838983610489819</v>
      </c>
      <c r="E40" s="9">
        <f t="shared" si="15"/>
        <v>0.78969670351943222</v>
      </c>
      <c r="F40" s="9">
        <f t="shared" si="15"/>
        <v>0.68789514310873878</v>
      </c>
      <c r="G40" s="9">
        <f t="shared" si="15"/>
        <v>0.58587715702929621</v>
      </c>
      <c r="H40" s="9">
        <f t="shared" si="15"/>
        <v>0.48882997855803056</v>
      </c>
      <c r="I40" s="9">
        <f t="shared" si="15"/>
        <v>0.40013740098050865</v>
      </c>
      <c r="J40" s="9">
        <f t="shared" si="15"/>
        <v>0.32170628415138658</v>
      </c>
      <c r="K40" s="9">
        <f t="shared" si="15"/>
        <v>0.25428247205364984</v>
      </c>
      <c r="L40" s="9">
        <f t="shared" si="15"/>
        <v>0.19775211147259608</v>
      </c>
      <c r="M40" s="9">
        <f t="shared" si="15"/>
        <v>0.15141379150939782</v>
      </c>
      <c r="N40" s="9">
        <f t="shared" si="15"/>
        <v>0.11420963750060587</v>
      </c>
      <c r="O40" s="9">
        <f t="shared" si="15"/>
        <v>8.4909454393206074E-2</v>
      </c>
      <c r="P40" s="9">
        <f t="shared" si="15"/>
        <v>6.2247745685815259E-2</v>
      </c>
      <c r="Q40" s="9">
        <f t="shared" si="15"/>
        <v>4.5017716751306835E-2</v>
      </c>
      <c r="R40" s="9">
        <f t="shared" si="15"/>
        <v>3.212895080578837E-2</v>
      </c>
      <c r="S40" s="9">
        <f t="shared" si="15"/>
        <v>2.2636509642094849E-2</v>
      </c>
      <c r="T40" s="9">
        <f t="shared" si="15"/>
        <v>1.574912777961035E-2</v>
      </c>
      <c r="U40" s="9">
        <f t="shared" si="15"/>
        <v>1.0823340411470261E-2</v>
      </c>
      <c r="V40" s="9">
        <f t="shared" si="15"/>
        <v>7.3491695979911453E-3</v>
      </c>
      <c r="W40" s="9">
        <f t="shared" si="15"/>
        <v>4.9316653136386446E-3</v>
      </c>
      <c r="X40" s="9">
        <f t="shared" si="15"/>
        <v>3.2713449035083331E-3</v>
      </c>
      <c r="Y40" s="9">
        <f t="shared" si="15"/>
        <v>2.1455030205442815E-3</v>
      </c>
      <c r="Z40" s="9">
        <f t="shared" si="15"/>
        <v>1.3915182436505802E-3</v>
      </c>
      <c r="AA40" s="9">
        <f t="shared" si="15"/>
        <v>8.9266280896738159E-4</v>
      </c>
      <c r="AB40" s="9">
        <f t="shared" si="15"/>
        <v>5.6650256908175045E-4</v>
      </c>
      <c r="AC40" s="9">
        <f t="shared" si="15"/>
        <v>3.5571744996687471E-4</v>
      </c>
      <c r="AD40" s="9">
        <f t="shared" si="15"/>
        <v>2.210377298641486E-4</v>
      </c>
      <c r="AE40" s="9">
        <f t="shared" si="15"/>
        <v>1.3594123863891472E-4</v>
      </c>
      <c r="AF40" s="9">
        <f t="shared" si="15"/>
        <v>8.276029235609883E-5</v>
      </c>
      <c r="AG40" s="9">
        <f t="shared" si="15"/>
        <v>4.9881357096825951E-5</v>
      </c>
    </row>
    <row r="41" spans="1:33">
      <c r="A41" s="1"/>
    </row>
    <row r="42" spans="1:33">
      <c r="A42" s="79"/>
    </row>
    <row r="47" spans="1:33">
      <c r="A47" s="1"/>
    </row>
    <row r="51" spans="1:25">
      <c r="A51" s="1"/>
    </row>
    <row r="57" spans="1:25">
      <c r="E57" s="76"/>
      <c r="F57" s="76"/>
      <c r="G57" s="76"/>
      <c r="H57" s="76"/>
      <c r="I57" s="76"/>
      <c r="J57" s="80"/>
      <c r="K57" s="76"/>
      <c r="L57" s="76"/>
      <c r="M57" s="76"/>
      <c r="N57" s="76"/>
      <c r="O57" s="76"/>
      <c r="P57" s="76"/>
      <c r="Q57" s="76"/>
      <c r="R57" s="76"/>
      <c r="S57" s="76"/>
      <c r="T57" s="76"/>
      <c r="U57" s="76"/>
      <c r="V57" s="76"/>
      <c r="W57" s="80"/>
      <c r="X57" s="76"/>
      <c r="Y57" s="76"/>
    </row>
    <row r="58" spans="1:25">
      <c r="E58" s="76"/>
      <c r="F58" s="76"/>
      <c r="G58" s="80"/>
      <c r="H58" s="76"/>
      <c r="I58" s="76"/>
      <c r="J58" s="76"/>
      <c r="K58" s="76"/>
      <c r="L58" s="76"/>
      <c r="M58" s="76"/>
      <c r="N58" s="76"/>
      <c r="O58" s="76"/>
      <c r="P58" s="76"/>
      <c r="Q58" s="76"/>
      <c r="R58" s="76"/>
      <c r="S58" s="76"/>
      <c r="T58" s="76"/>
      <c r="U58" s="76"/>
      <c r="V58" s="76"/>
      <c r="W58" s="76"/>
      <c r="X58" s="76"/>
      <c r="Y58" s="76"/>
    </row>
  </sheetData>
  <pageMargins left="0.7" right="0.7" top="0.75" bottom="0.75" header="0.3" footer="0.3"/>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1AD4E-A2B5-B142-8E87-2887C5A8F023}">
  <dimension ref="A1:X997"/>
  <sheetViews>
    <sheetView workbookViewId="0">
      <selection activeCell="D17" sqref="D17"/>
    </sheetView>
  </sheetViews>
  <sheetFormatPr baseColWidth="10" defaultRowHeight="16"/>
  <sheetData>
    <row r="1" spans="1:24">
      <c r="A1" s="7" t="s">
        <v>7809</v>
      </c>
      <c r="B1" s="388" t="s">
        <v>7806</v>
      </c>
      <c r="C1" s="388" t="s">
        <v>7807</v>
      </c>
      <c r="D1" s="388" t="s">
        <v>7808</v>
      </c>
      <c r="E1" s="308"/>
      <c r="F1" s="308"/>
      <c r="G1" s="12"/>
      <c r="H1" s="12"/>
      <c r="I1" s="12"/>
      <c r="J1" s="12"/>
      <c r="K1" s="12"/>
      <c r="L1" s="12"/>
      <c r="M1" s="12"/>
      <c r="N1" s="12"/>
      <c r="O1" s="12"/>
      <c r="P1" s="12"/>
      <c r="Q1" s="12"/>
      <c r="R1" s="12"/>
      <c r="S1" s="12"/>
      <c r="T1" s="12"/>
      <c r="U1" s="12"/>
      <c r="V1" s="12"/>
      <c r="W1" s="12"/>
      <c r="X1" s="12"/>
    </row>
    <row r="2" spans="1:24">
      <c r="A2" s="8" t="s">
        <v>7807</v>
      </c>
      <c r="B2" s="389" t="s">
        <v>7878</v>
      </c>
      <c r="C2" s="389" t="s">
        <v>7879</v>
      </c>
      <c r="D2" s="389"/>
      <c r="E2" s="12"/>
      <c r="F2" s="12"/>
      <c r="G2" s="12"/>
      <c r="H2" s="12"/>
      <c r="I2" s="12"/>
      <c r="J2" s="12"/>
      <c r="K2" s="12"/>
      <c r="L2" s="12"/>
      <c r="M2" s="12"/>
      <c r="N2" s="12"/>
      <c r="O2" s="12"/>
      <c r="P2" s="12"/>
      <c r="Q2" s="12"/>
      <c r="R2" s="12"/>
      <c r="S2" s="12"/>
      <c r="T2" s="12"/>
      <c r="U2" s="12"/>
      <c r="V2" s="12"/>
      <c r="W2" s="12"/>
      <c r="X2" s="12"/>
    </row>
    <row r="3" spans="1:24">
      <c r="A3" s="8" t="s">
        <v>7807</v>
      </c>
      <c r="B3" s="389" t="s">
        <v>169</v>
      </c>
      <c r="C3" s="8" t="s">
        <v>7880</v>
      </c>
      <c r="D3" s="389"/>
      <c r="E3" s="12"/>
      <c r="F3" s="12"/>
      <c r="G3" s="12"/>
      <c r="H3" s="12"/>
      <c r="I3" s="12"/>
      <c r="J3" s="12"/>
      <c r="K3" s="12"/>
      <c r="L3" s="12"/>
      <c r="M3" s="12"/>
      <c r="N3" s="12"/>
      <c r="O3" s="12"/>
      <c r="P3" s="12"/>
      <c r="Q3" s="12"/>
      <c r="R3" s="12"/>
      <c r="S3" s="12"/>
      <c r="T3" s="12"/>
      <c r="U3" s="12"/>
      <c r="V3" s="12"/>
      <c r="W3" s="12"/>
      <c r="X3" s="12"/>
    </row>
    <row r="4" spans="1:24">
      <c r="A4" s="8" t="s">
        <v>7807</v>
      </c>
      <c r="B4" s="389" t="s">
        <v>7881</v>
      </c>
      <c r="C4" s="8" t="s">
        <v>7917</v>
      </c>
      <c r="D4" s="389"/>
      <c r="E4" s="12"/>
      <c r="F4" s="12"/>
      <c r="G4" s="12"/>
      <c r="H4" s="12"/>
      <c r="I4" s="12"/>
      <c r="J4" s="12"/>
      <c r="K4" s="12"/>
      <c r="L4" s="12"/>
      <c r="M4" s="12"/>
      <c r="N4" s="12"/>
      <c r="O4" s="12"/>
      <c r="P4" s="12"/>
      <c r="Q4" s="12"/>
      <c r="R4" s="12"/>
      <c r="S4" s="12"/>
      <c r="T4" s="12"/>
      <c r="U4" s="12"/>
      <c r="V4" s="12"/>
      <c r="W4" s="12"/>
      <c r="X4" s="12"/>
    </row>
    <row r="5" spans="1:24">
      <c r="A5" s="8" t="s">
        <v>7810</v>
      </c>
      <c r="B5" s="389" t="s">
        <v>7653</v>
      </c>
      <c r="C5" s="8" t="s">
        <v>7754</v>
      </c>
      <c r="D5" s="389"/>
      <c r="E5" s="12"/>
      <c r="F5" s="12"/>
      <c r="G5" s="12"/>
      <c r="H5" s="12"/>
      <c r="I5" s="12"/>
      <c r="J5" s="12"/>
      <c r="K5" s="12"/>
      <c r="L5" s="12"/>
      <c r="M5" s="12"/>
      <c r="N5" s="12"/>
      <c r="O5" s="12"/>
      <c r="P5" s="12"/>
      <c r="Q5" s="12"/>
      <c r="R5" s="12"/>
      <c r="S5" s="12"/>
      <c r="T5" s="12"/>
      <c r="U5" s="12"/>
      <c r="V5" s="12"/>
      <c r="W5" s="12"/>
      <c r="X5" s="12"/>
    </row>
    <row r="6" spans="1:24">
      <c r="A6" s="8" t="s">
        <v>7810</v>
      </c>
      <c r="B6" s="389" t="s">
        <v>7751</v>
      </c>
      <c r="C6" s="8" t="s">
        <v>7753</v>
      </c>
      <c r="D6" s="390"/>
      <c r="E6" s="12"/>
      <c r="F6" s="12"/>
      <c r="G6" s="12"/>
      <c r="H6" s="12"/>
      <c r="I6" s="12"/>
      <c r="J6" s="12"/>
      <c r="K6" s="12"/>
      <c r="L6" s="12"/>
      <c r="M6" s="12"/>
      <c r="N6" s="12"/>
      <c r="O6" s="12"/>
      <c r="P6" s="12"/>
      <c r="Q6" s="12"/>
      <c r="R6" s="12"/>
      <c r="S6" s="12"/>
      <c r="T6" s="12"/>
      <c r="U6" s="12"/>
      <c r="V6" s="12"/>
      <c r="W6" s="12"/>
      <c r="X6" s="12"/>
    </row>
    <row r="7" spans="1:24">
      <c r="A7" s="8" t="s">
        <v>7807</v>
      </c>
      <c r="B7" s="389" t="s">
        <v>7751</v>
      </c>
      <c r="C7" s="389" t="s">
        <v>7882</v>
      </c>
      <c r="D7" s="390"/>
      <c r="E7" s="12"/>
      <c r="F7" s="12"/>
      <c r="G7" s="12"/>
      <c r="H7" s="12"/>
      <c r="I7" s="12"/>
      <c r="J7" s="12"/>
      <c r="K7" s="12"/>
      <c r="L7" s="12"/>
      <c r="M7" s="12"/>
      <c r="N7" s="12"/>
      <c r="O7" s="12"/>
      <c r="P7" s="12"/>
      <c r="Q7" s="12"/>
      <c r="R7" s="12"/>
      <c r="S7" s="12"/>
      <c r="T7" s="12"/>
      <c r="U7" s="12"/>
      <c r="V7" s="12"/>
      <c r="W7" s="12"/>
      <c r="X7" s="12"/>
    </row>
    <row r="8" spans="1:24">
      <c r="A8" s="8" t="s">
        <v>7810</v>
      </c>
      <c r="B8" s="389" t="s">
        <v>7811</v>
      </c>
      <c r="C8" s="8" t="s">
        <v>7883</v>
      </c>
      <c r="D8" s="390"/>
      <c r="E8" s="12"/>
      <c r="F8" s="12"/>
      <c r="G8" s="12"/>
      <c r="H8" s="12"/>
      <c r="I8" s="12"/>
      <c r="J8" s="12"/>
      <c r="K8" s="12"/>
      <c r="L8" s="12"/>
      <c r="M8" s="12"/>
      <c r="N8" s="12"/>
      <c r="O8" s="12"/>
      <c r="P8" s="12"/>
      <c r="Q8" s="12"/>
      <c r="R8" s="12"/>
      <c r="S8" s="12"/>
      <c r="T8" s="12"/>
      <c r="U8" s="12"/>
      <c r="V8" s="12"/>
      <c r="W8" s="12"/>
      <c r="X8" s="12"/>
    </row>
    <row r="9" spans="1:24">
      <c r="A9" s="8" t="s">
        <v>7807</v>
      </c>
      <c r="B9" s="389" t="s">
        <v>7812</v>
      </c>
      <c r="C9" s="389"/>
      <c r="D9" s="390" t="s">
        <v>7884</v>
      </c>
      <c r="E9" s="12"/>
      <c r="F9" s="12"/>
      <c r="G9" s="12"/>
      <c r="H9" s="12"/>
      <c r="I9" s="12"/>
      <c r="J9" s="12"/>
      <c r="K9" s="12"/>
      <c r="L9" s="12"/>
      <c r="M9" s="12"/>
      <c r="N9" s="12"/>
      <c r="O9" s="12"/>
      <c r="P9" s="12"/>
      <c r="Q9" s="12"/>
      <c r="R9" s="12"/>
      <c r="S9" s="12"/>
      <c r="T9" s="12"/>
      <c r="U9" s="12"/>
      <c r="V9" s="12"/>
      <c r="W9" s="12"/>
      <c r="X9" s="12"/>
    </row>
    <row r="10" spans="1:24">
      <c r="A10" s="8" t="s">
        <v>7807</v>
      </c>
      <c r="B10" s="389" t="s">
        <v>7864</v>
      </c>
      <c r="C10" s="389" t="s">
        <v>7867</v>
      </c>
      <c r="D10" s="390" t="s">
        <v>7866</v>
      </c>
      <c r="E10" s="12"/>
      <c r="F10" s="12"/>
      <c r="G10" s="12"/>
      <c r="H10" s="12"/>
      <c r="I10" s="12"/>
      <c r="J10" s="12"/>
      <c r="K10" s="12"/>
      <c r="L10" s="12"/>
      <c r="M10" s="12"/>
      <c r="N10" s="12"/>
      <c r="O10" s="12"/>
      <c r="P10" s="12"/>
      <c r="Q10" s="12"/>
      <c r="R10" s="12"/>
      <c r="S10" s="12"/>
      <c r="T10" s="12"/>
      <c r="U10" s="12"/>
      <c r="V10" s="12"/>
      <c r="W10" s="12"/>
      <c r="X10" s="12"/>
    </row>
    <row r="11" spans="1:24">
      <c r="A11" s="8" t="s">
        <v>7807</v>
      </c>
      <c r="B11" s="389" t="s">
        <v>7865</v>
      </c>
      <c r="C11" s="389" t="s">
        <v>7867</v>
      </c>
      <c r="D11" s="390" t="s">
        <v>7866</v>
      </c>
      <c r="E11" s="12"/>
      <c r="F11" s="12"/>
      <c r="G11" s="12"/>
      <c r="H11" s="12"/>
      <c r="I11" s="12"/>
      <c r="J11" s="12"/>
      <c r="K11" s="12"/>
      <c r="L11" s="12"/>
      <c r="M11" s="12"/>
      <c r="N11" s="12"/>
      <c r="O11" s="12"/>
      <c r="P11" s="12"/>
      <c r="Q11" s="12"/>
      <c r="R11" s="12"/>
      <c r="S11" s="12"/>
      <c r="T11" s="12"/>
      <c r="U11" s="12"/>
      <c r="V11" s="12"/>
      <c r="W11" s="12"/>
      <c r="X11" s="12"/>
    </row>
    <row r="12" spans="1:24">
      <c r="A12" s="8" t="s">
        <v>7807</v>
      </c>
      <c r="B12" s="389" t="s">
        <v>7868</v>
      </c>
      <c r="C12" s="389" t="s">
        <v>7867</v>
      </c>
      <c r="D12" s="8" t="s">
        <v>7870</v>
      </c>
      <c r="E12" s="12"/>
      <c r="F12" s="12"/>
      <c r="G12" s="12"/>
      <c r="H12" s="12"/>
      <c r="I12" s="12"/>
      <c r="J12" s="12"/>
      <c r="K12" s="12"/>
      <c r="L12" s="12"/>
      <c r="M12" s="12"/>
      <c r="N12" s="12"/>
      <c r="O12" s="12"/>
      <c r="P12" s="12"/>
      <c r="Q12" s="12"/>
      <c r="R12" s="12"/>
      <c r="S12" s="12"/>
      <c r="T12" s="12"/>
      <c r="U12" s="12"/>
      <c r="V12" s="12"/>
      <c r="W12" s="12"/>
      <c r="X12" s="12"/>
    </row>
    <row r="13" spans="1:24">
      <c r="A13" s="8" t="s">
        <v>7807</v>
      </c>
      <c r="B13" s="389" t="s">
        <v>7869</v>
      </c>
      <c r="C13" s="389" t="s">
        <v>7867</v>
      </c>
      <c r="D13" s="8" t="s">
        <v>7870</v>
      </c>
      <c r="E13" s="12"/>
      <c r="F13" s="12"/>
      <c r="G13" s="12"/>
      <c r="H13" s="12"/>
      <c r="I13" s="12"/>
      <c r="J13" s="12"/>
      <c r="K13" s="12"/>
      <c r="L13" s="12"/>
      <c r="M13" s="12"/>
      <c r="N13" s="12"/>
      <c r="O13" s="12"/>
      <c r="P13" s="12"/>
      <c r="Q13" s="12"/>
      <c r="R13" s="12"/>
      <c r="S13" s="12"/>
      <c r="T13" s="12"/>
      <c r="U13" s="12"/>
      <c r="V13" s="12"/>
      <c r="W13" s="12"/>
      <c r="X13" s="12"/>
    </row>
    <row r="14" spans="1:24">
      <c r="A14" s="8" t="s">
        <v>7807</v>
      </c>
      <c r="B14" s="389" t="s">
        <v>7892</v>
      </c>
      <c r="C14" s="389">
        <v>355</v>
      </c>
      <c r="D14" s="389" t="s">
        <v>7893</v>
      </c>
      <c r="E14" s="12"/>
      <c r="F14" s="12"/>
      <c r="G14" s="12"/>
      <c r="H14" s="12"/>
      <c r="I14" s="12"/>
      <c r="J14" s="12"/>
      <c r="K14" s="12"/>
      <c r="L14" s="12"/>
      <c r="M14" s="12"/>
      <c r="N14" s="12"/>
      <c r="O14" s="12"/>
      <c r="P14" s="12"/>
      <c r="Q14" s="12"/>
      <c r="R14" s="12"/>
      <c r="S14" s="12"/>
      <c r="T14" s="12"/>
      <c r="U14" s="12"/>
      <c r="V14" s="12"/>
      <c r="W14" s="12"/>
      <c r="X14" s="12"/>
    </row>
    <row r="15" spans="1:24">
      <c r="A15" s="8" t="s">
        <v>7807</v>
      </c>
      <c r="B15" s="389" t="s">
        <v>7895</v>
      </c>
      <c r="C15" s="389">
        <v>500</v>
      </c>
      <c r="D15" s="389"/>
      <c r="E15" s="12"/>
      <c r="F15" s="12"/>
      <c r="G15" s="12"/>
      <c r="H15" s="12"/>
      <c r="I15" s="12"/>
      <c r="J15" s="12"/>
      <c r="K15" s="12"/>
      <c r="L15" s="12"/>
      <c r="M15" s="12"/>
      <c r="N15" s="12"/>
      <c r="O15" s="12"/>
      <c r="P15" s="12"/>
      <c r="Q15" s="12"/>
      <c r="R15" s="12"/>
      <c r="S15" s="12"/>
      <c r="T15" s="12"/>
      <c r="U15" s="12"/>
      <c r="V15" s="12"/>
      <c r="W15" s="12"/>
      <c r="X15" s="12"/>
    </row>
    <row r="16" spans="1:24">
      <c r="A16" s="8" t="s">
        <v>7807</v>
      </c>
      <c r="B16" s="389" t="s">
        <v>7896</v>
      </c>
      <c r="C16" s="389">
        <v>427.5</v>
      </c>
      <c r="D16" s="389"/>
      <c r="E16" s="12"/>
      <c r="F16" s="12"/>
      <c r="G16" s="12"/>
      <c r="H16" s="12"/>
      <c r="I16" s="12"/>
      <c r="J16" s="12"/>
      <c r="K16" s="12"/>
      <c r="L16" s="12"/>
      <c r="M16" s="12"/>
      <c r="N16" s="12"/>
      <c r="O16" s="12"/>
      <c r="P16" s="12"/>
      <c r="Q16" s="12"/>
      <c r="R16" s="12"/>
      <c r="S16" s="12"/>
      <c r="T16" s="12"/>
      <c r="U16" s="12"/>
      <c r="V16" s="12"/>
      <c r="W16" s="12"/>
      <c r="X16" s="12"/>
    </row>
    <row r="17" spans="1:24">
      <c r="A17" s="8" t="s">
        <v>7807</v>
      </c>
      <c r="B17" s="389" t="s">
        <v>7897</v>
      </c>
      <c r="C17" s="389" t="s">
        <v>7899</v>
      </c>
      <c r="D17" s="389" t="s">
        <v>7898</v>
      </c>
      <c r="E17" s="12"/>
      <c r="F17" s="12"/>
      <c r="G17" s="12"/>
      <c r="H17" s="12"/>
      <c r="I17" s="12"/>
      <c r="J17" s="12"/>
      <c r="K17" s="12"/>
      <c r="L17" s="12"/>
      <c r="M17" s="12"/>
      <c r="N17" s="12"/>
      <c r="O17" s="12"/>
      <c r="P17" s="12"/>
      <c r="Q17" s="12"/>
      <c r="R17" s="12"/>
      <c r="S17" s="12"/>
      <c r="T17" s="12"/>
      <c r="U17" s="12"/>
      <c r="V17" s="12"/>
      <c r="W17" s="12"/>
      <c r="X17" s="12"/>
    </row>
    <row r="18" spans="1:24">
      <c r="A18" s="8" t="s">
        <v>7807</v>
      </c>
      <c r="B18" s="389" t="s">
        <v>7910</v>
      </c>
      <c r="C18" s="389" t="s">
        <v>7899</v>
      </c>
      <c r="D18" s="389" t="s">
        <v>7911</v>
      </c>
      <c r="E18" s="12"/>
      <c r="F18" s="12"/>
      <c r="G18" s="12"/>
      <c r="H18" s="12"/>
      <c r="I18" s="12"/>
      <c r="J18" s="12"/>
      <c r="K18" s="12"/>
      <c r="L18" s="12"/>
      <c r="M18" s="12"/>
      <c r="N18" s="12"/>
      <c r="O18" s="12"/>
      <c r="P18" s="12"/>
      <c r="Q18" s="12"/>
      <c r="R18" s="12"/>
      <c r="S18" s="12"/>
      <c r="T18" s="12"/>
      <c r="U18" s="12"/>
      <c r="V18" s="12"/>
      <c r="W18" s="12"/>
      <c r="X18" s="12"/>
    </row>
    <row r="19" spans="1:24">
      <c r="B19" s="12"/>
      <c r="C19" s="12"/>
      <c r="D19" s="12"/>
      <c r="E19" s="12"/>
      <c r="F19" s="12"/>
      <c r="G19" s="12"/>
      <c r="H19" s="12"/>
      <c r="I19" s="12"/>
      <c r="J19" s="12"/>
      <c r="K19" s="12"/>
      <c r="L19" s="12"/>
      <c r="M19" s="12"/>
      <c r="N19" s="12"/>
      <c r="O19" s="12"/>
      <c r="P19" s="12"/>
      <c r="Q19" s="12"/>
      <c r="R19" s="12"/>
      <c r="S19" s="12"/>
      <c r="T19" s="12"/>
      <c r="U19" s="12"/>
      <c r="V19" s="12"/>
      <c r="W19" s="12"/>
      <c r="X19" s="12"/>
    </row>
    <row r="20" spans="1:24">
      <c r="B20" s="12"/>
      <c r="C20" s="12"/>
      <c r="D20" s="12"/>
      <c r="E20" s="12"/>
      <c r="F20" s="12"/>
      <c r="G20" s="12"/>
      <c r="H20" s="12"/>
      <c r="I20" s="12"/>
      <c r="J20" s="12"/>
      <c r="K20" s="12"/>
      <c r="L20" s="12"/>
      <c r="M20" s="12"/>
      <c r="N20" s="12"/>
      <c r="O20" s="12"/>
      <c r="P20" s="12"/>
      <c r="Q20" s="12"/>
      <c r="R20" s="12"/>
      <c r="S20" s="12"/>
      <c r="T20" s="12"/>
      <c r="U20" s="12"/>
      <c r="V20" s="12"/>
      <c r="W20" s="12"/>
      <c r="X20" s="12"/>
    </row>
    <row r="21" spans="1:24">
      <c r="B21" s="12"/>
      <c r="C21" s="12"/>
      <c r="D21" s="12"/>
      <c r="E21" s="12"/>
      <c r="F21" s="12"/>
      <c r="G21" s="12"/>
      <c r="H21" s="12"/>
      <c r="I21" s="12"/>
      <c r="J21" s="12"/>
      <c r="K21" s="12"/>
      <c r="L21" s="12"/>
      <c r="M21" s="12"/>
      <c r="N21" s="12"/>
      <c r="O21" s="12"/>
      <c r="P21" s="12"/>
      <c r="Q21" s="12"/>
      <c r="R21" s="12"/>
      <c r="S21" s="12"/>
      <c r="T21" s="12"/>
      <c r="U21" s="12"/>
      <c r="V21" s="12"/>
      <c r="W21" s="12"/>
      <c r="X21" s="12"/>
    </row>
    <row r="22" spans="1:24">
      <c r="B22" s="12"/>
      <c r="C22" s="12"/>
      <c r="D22" s="12"/>
      <c r="E22" s="12"/>
      <c r="F22" s="12"/>
      <c r="G22" s="12"/>
      <c r="H22" s="12"/>
      <c r="I22" s="12"/>
      <c r="J22" s="12"/>
      <c r="K22" s="12"/>
      <c r="L22" s="12"/>
      <c r="M22" s="12"/>
      <c r="N22" s="12"/>
      <c r="O22" s="12"/>
      <c r="P22" s="12"/>
      <c r="Q22" s="12"/>
      <c r="R22" s="12"/>
      <c r="S22" s="12"/>
      <c r="T22" s="12"/>
      <c r="U22" s="12"/>
      <c r="V22" s="12"/>
      <c r="W22" s="12"/>
      <c r="X22" s="12"/>
    </row>
    <row r="23" spans="1:24">
      <c r="B23" s="12"/>
      <c r="C23" s="12"/>
      <c r="D23" s="12"/>
      <c r="E23" s="12"/>
      <c r="F23" s="12"/>
      <c r="G23" s="12"/>
      <c r="H23" s="12"/>
      <c r="I23" s="12"/>
      <c r="J23" s="12"/>
      <c r="K23" s="12"/>
      <c r="L23" s="12"/>
      <c r="M23" s="12"/>
      <c r="N23" s="12"/>
      <c r="O23" s="12"/>
      <c r="P23" s="12"/>
      <c r="Q23" s="12"/>
      <c r="R23" s="12"/>
      <c r="S23" s="12"/>
      <c r="T23" s="12"/>
      <c r="U23" s="12"/>
      <c r="V23" s="12"/>
      <c r="W23" s="12"/>
      <c r="X23" s="12"/>
    </row>
    <row r="24" spans="1:24">
      <c r="B24" s="12"/>
      <c r="C24" s="12"/>
      <c r="D24" s="12"/>
      <c r="E24" s="12"/>
      <c r="F24" s="12"/>
      <c r="G24" s="12"/>
      <c r="H24" s="12"/>
      <c r="I24" s="12"/>
      <c r="J24" s="12"/>
      <c r="K24" s="12"/>
      <c r="L24" s="12"/>
      <c r="M24" s="12"/>
      <c r="N24" s="12"/>
      <c r="O24" s="12"/>
      <c r="P24" s="12"/>
      <c r="Q24" s="12"/>
      <c r="R24" s="12"/>
      <c r="S24" s="12"/>
      <c r="T24" s="12"/>
      <c r="U24" s="12"/>
      <c r="V24" s="12"/>
      <c r="W24" s="12"/>
      <c r="X24" s="12"/>
    </row>
    <row r="25" spans="1:24">
      <c r="B25" s="12"/>
      <c r="C25" s="12"/>
      <c r="D25" s="12"/>
      <c r="E25" s="12"/>
      <c r="F25" s="12"/>
      <c r="G25" s="12"/>
      <c r="H25" s="12"/>
      <c r="I25" s="12"/>
      <c r="J25" s="12"/>
      <c r="K25" s="12"/>
      <c r="L25" s="12"/>
      <c r="M25" s="12"/>
      <c r="N25" s="12"/>
      <c r="O25" s="12"/>
      <c r="P25" s="12"/>
      <c r="Q25" s="12"/>
      <c r="R25" s="12"/>
      <c r="S25" s="12"/>
      <c r="T25" s="12"/>
      <c r="U25" s="12"/>
      <c r="V25" s="12"/>
      <c r="W25" s="12"/>
      <c r="X25" s="12"/>
    </row>
    <row r="26" spans="1:24">
      <c r="B26" s="12"/>
      <c r="C26" s="12"/>
      <c r="D26" s="12"/>
      <c r="E26" s="12"/>
      <c r="F26" s="12"/>
      <c r="G26" s="12"/>
      <c r="H26" s="12"/>
      <c r="I26" s="12"/>
      <c r="J26" s="12"/>
      <c r="K26" s="12"/>
      <c r="L26" s="12"/>
      <c r="M26" s="12"/>
      <c r="N26" s="12"/>
      <c r="O26" s="12"/>
      <c r="P26" s="12"/>
      <c r="Q26" s="12"/>
      <c r="R26" s="12"/>
      <c r="S26" s="12"/>
      <c r="T26" s="12"/>
      <c r="U26" s="12"/>
      <c r="V26" s="12"/>
      <c r="W26" s="12"/>
      <c r="X26" s="12"/>
    </row>
    <row r="27" spans="1:24">
      <c r="B27" s="12"/>
      <c r="C27" s="12"/>
      <c r="D27" s="12"/>
      <c r="E27" s="12"/>
      <c r="F27" s="12"/>
      <c r="G27" s="12"/>
      <c r="H27" s="12"/>
      <c r="I27" s="12"/>
      <c r="J27" s="12"/>
      <c r="K27" s="12"/>
      <c r="L27" s="12"/>
      <c r="M27" s="12"/>
      <c r="N27" s="12"/>
      <c r="O27" s="12"/>
      <c r="P27" s="12"/>
      <c r="Q27" s="12"/>
      <c r="R27" s="12"/>
      <c r="S27" s="12"/>
      <c r="T27" s="12"/>
      <c r="U27" s="12"/>
      <c r="V27" s="12"/>
      <c r="W27" s="12"/>
      <c r="X27" s="12"/>
    </row>
    <row r="28" spans="1:24">
      <c r="B28" s="12"/>
      <c r="C28" s="12"/>
      <c r="D28" s="12"/>
      <c r="E28" s="12"/>
      <c r="F28" s="12"/>
      <c r="G28" s="12"/>
      <c r="H28" s="12"/>
      <c r="I28" s="12"/>
      <c r="J28" s="12"/>
      <c r="K28" s="12"/>
      <c r="L28" s="12"/>
      <c r="M28" s="12"/>
      <c r="N28" s="12"/>
      <c r="O28" s="12"/>
      <c r="P28" s="12"/>
      <c r="Q28" s="12"/>
      <c r="R28" s="12"/>
      <c r="S28" s="12"/>
      <c r="T28" s="12"/>
      <c r="U28" s="12"/>
      <c r="V28" s="12"/>
      <c r="W28" s="12"/>
      <c r="X28" s="12"/>
    </row>
    <row r="29" spans="1:24">
      <c r="B29" s="12"/>
      <c r="C29" s="12"/>
      <c r="D29" s="12"/>
      <c r="E29" s="12"/>
      <c r="F29" s="12"/>
      <c r="G29" s="12"/>
      <c r="H29" s="12"/>
      <c r="I29" s="12"/>
      <c r="J29" s="12"/>
      <c r="K29" s="12"/>
      <c r="L29" s="12"/>
      <c r="M29" s="12"/>
      <c r="N29" s="12"/>
      <c r="O29" s="12"/>
      <c r="P29" s="12"/>
      <c r="Q29" s="12"/>
      <c r="R29" s="12"/>
      <c r="S29" s="12"/>
      <c r="T29" s="12"/>
      <c r="U29" s="12"/>
      <c r="V29" s="12"/>
      <c r="W29" s="12"/>
      <c r="X29" s="12"/>
    </row>
    <row r="30" spans="1:24">
      <c r="B30" s="12"/>
      <c r="C30" s="12"/>
      <c r="D30" s="12"/>
      <c r="E30" s="12"/>
      <c r="F30" s="12"/>
      <c r="G30" s="12"/>
      <c r="H30" s="12"/>
      <c r="I30" s="12"/>
      <c r="J30" s="12"/>
      <c r="K30" s="12"/>
      <c r="L30" s="12"/>
      <c r="M30" s="12"/>
      <c r="N30" s="12"/>
      <c r="O30" s="12"/>
      <c r="P30" s="12"/>
      <c r="Q30" s="12"/>
      <c r="R30" s="12"/>
      <c r="S30" s="12"/>
      <c r="T30" s="12"/>
      <c r="U30" s="12"/>
      <c r="V30" s="12"/>
      <c r="W30" s="12"/>
      <c r="X30" s="12"/>
    </row>
    <row r="31" spans="1:24">
      <c r="B31" s="12"/>
      <c r="C31" s="12"/>
      <c r="D31" s="12"/>
      <c r="E31" s="12"/>
      <c r="F31" s="12"/>
      <c r="G31" s="12"/>
      <c r="H31" s="12"/>
      <c r="I31" s="12"/>
      <c r="J31" s="12"/>
      <c r="K31" s="12"/>
      <c r="L31" s="12"/>
      <c r="M31" s="12"/>
      <c r="N31" s="12"/>
      <c r="O31" s="12"/>
      <c r="P31" s="12"/>
      <c r="Q31" s="12"/>
      <c r="R31" s="12"/>
      <c r="S31" s="12"/>
      <c r="T31" s="12"/>
      <c r="U31" s="12"/>
      <c r="V31" s="12"/>
      <c r="W31" s="12"/>
      <c r="X31" s="12"/>
    </row>
    <row r="32" spans="1:24">
      <c r="B32" s="12"/>
      <c r="C32" s="12"/>
      <c r="D32" s="12"/>
      <c r="E32" s="12"/>
      <c r="F32" s="12"/>
      <c r="G32" s="12"/>
      <c r="H32" s="12"/>
      <c r="I32" s="12"/>
      <c r="J32" s="12"/>
      <c r="K32" s="12"/>
      <c r="L32" s="12"/>
      <c r="M32" s="12"/>
      <c r="N32" s="12"/>
      <c r="O32" s="12"/>
      <c r="P32" s="12"/>
      <c r="Q32" s="12"/>
      <c r="R32" s="12"/>
      <c r="S32" s="12"/>
      <c r="T32" s="12"/>
      <c r="U32" s="12"/>
      <c r="V32" s="12"/>
      <c r="W32" s="12"/>
      <c r="X32" s="12"/>
    </row>
    <row r="33" spans="2:24">
      <c r="B33" s="12"/>
      <c r="C33" s="12"/>
      <c r="D33" s="12"/>
      <c r="E33" s="12"/>
      <c r="F33" s="12"/>
      <c r="G33" s="12"/>
      <c r="H33" s="12"/>
      <c r="I33" s="12"/>
      <c r="J33" s="12"/>
      <c r="K33" s="12"/>
      <c r="L33" s="12"/>
      <c r="M33" s="12"/>
      <c r="N33" s="12"/>
      <c r="O33" s="12"/>
      <c r="P33" s="12"/>
      <c r="Q33" s="12"/>
      <c r="R33" s="12"/>
      <c r="S33" s="12"/>
      <c r="T33" s="12"/>
      <c r="U33" s="12"/>
      <c r="V33" s="12"/>
      <c r="W33" s="12"/>
      <c r="X33" s="12"/>
    </row>
    <row r="34" spans="2:24">
      <c r="B34" s="12"/>
      <c r="C34" s="12"/>
      <c r="D34" s="12"/>
      <c r="E34" s="12"/>
      <c r="F34" s="12"/>
      <c r="G34" s="12"/>
      <c r="H34" s="12"/>
      <c r="I34" s="12"/>
      <c r="J34" s="12"/>
      <c r="K34" s="12"/>
      <c r="L34" s="12"/>
      <c r="M34" s="12"/>
      <c r="N34" s="12"/>
      <c r="O34" s="12"/>
      <c r="P34" s="12"/>
      <c r="Q34" s="12"/>
      <c r="R34" s="12"/>
      <c r="S34" s="12"/>
      <c r="T34" s="12"/>
      <c r="U34" s="12"/>
      <c r="V34" s="12"/>
      <c r="W34" s="12"/>
      <c r="X34" s="12"/>
    </row>
    <row r="35" spans="2:24">
      <c r="B35" s="12"/>
      <c r="C35" s="12"/>
      <c r="D35" s="12"/>
      <c r="E35" s="12"/>
      <c r="F35" s="12"/>
      <c r="G35" s="12"/>
      <c r="H35" s="12"/>
      <c r="I35" s="12"/>
      <c r="J35" s="12"/>
      <c r="K35" s="12"/>
      <c r="L35" s="12"/>
      <c r="M35" s="12"/>
      <c r="N35" s="12"/>
      <c r="O35" s="12"/>
      <c r="P35" s="12"/>
      <c r="Q35" s="12"/>
      <c r="R35" s="12"/>
      <c r="S35" s="12"/>
      <c r="T35" s="12"/>
      <c r="U35" s="12"/>
      <c r="V35" s="12"/>
      <c r="W35" s="12"/>
      <c r="X35" s="12"/>
    </row>
    <row r="36" spans="2:24">
      <c r="B36" s="12"/>
      <c r="C36" s="12"/>
      <c r="D36" s="12"/>
      <c r="E36" s="12"/>
      <c r="F36" s="12"/>
      <c r="G36" s="12"/>
      <c r="H36" s="12"/>
      <c r="I36" s="12"/>
      <c r="J36" s="12"/>
      <c r="K36" s="12"/>
      <c r="L36" s="12"/>
      <c r="M36" s="12"/>
      <c r="N36" s="12"/>
      <c r="O36" s="12"/>
      <c r="P36" s="12"/>
      <c r="Q36" s="12"/>
      <c r="R36" s="12"/>
      <c r="S36" s="12"/>
      <c r="T36" s="12"/>
      <c r="U36" s="12"/>
      <c r="V36" s="12"/>
      <c r="W36" s="12"/>
      <c r="X36" s="12"/>
    </row>
    <row r="37" spans="2:24">
      <c r="B37" s="12"/>
      <c r="C37" s="12"/>
      <c r="D37" s="12"/>
      <c r="E37" s="12"/>
      <c r="F37" s="12"/>
      <c r="G37" s="12"/>
      <c r="H37" s="12"/>
      <c r="I37" s="12"/>
      <c r="J37" s="12"/>
      <c r="K37" s="12"/>
      <c r="L37" s="12"/>
      <c r="M37" s="12"/>
      <c r="N37" s="12"/>
      <c r="O37" s="12"/>
      <c r="P37" s="12"/>
      <c r="Q37" s="12"/>
      <c r="R37" s="12"/>
      <c r="S37" s="12"/>
      <c r="T37" s="12"/>
      <c r="U37" s="12"/>
      <c r="V37" s="12"/>
      <c r="W37" s="12"/>
      <c r="X37" s="12"/>
    </row>
    <row r="38" spans="2:24">
      <c r="B38" s="12"/>
      <c r="C38" s="12"/>
      <c r="D38" s="12"/>
      <c r="E38" s="12"/>
      <c r="F38" s="12"/>
      <c r="G38" s="12"/>
      <c r="H38" s="12"/>
      <c r="I38" s="12"/>
      <c r="J38" s="12"/>
      <c r="K38" s="12"/>
      <c r="L38" s="12"/>
      <c r="M38" s="12"/>
      <c r="N38" s="12"/>
      <c r="O38" s="12"/>
      <c r="P38" s="12"/>
      <c r="Q38" s="12"/>
      <c r="R38" s="12"/>
      <c r="S38" s="12"/>
      <c r="T38" s="12"/>
      <c r="U38" s="12"/>
      <c r="V38" s="12"/>
      <c r="W38" s="12"/>
      <c r="X38" s="12"/>
    </row>
    <row r="39" spans="2:24">
      <c r="B39" s="12"/>
      <c r="C39" s="12"/>
      <c r="D39" s="12"/>
      <c r="E39" s="12"/>
      <c r="F39" s="12"/>
      <c r="G39" s="12"/>
      <c r="H39" s="12"/>
      <c r="I39" s="12"/>
      <c r="J39" s="12"/>
      <c r="K39" s="12"/>
      <c r="L39" s="12"/>
      <c r="M39" s="12"/>
      <c r="N39" s="12"/>
      <c r="O39" s="12"/>
      <c r="P39" s="12"/>
      <c r="Q39" s="12"/>
      <c r="R39" s="12"/>
      <c r="S39" s="12"/>
      <c r="T39" s="12"/>
      <c r="U39" s="12"/>
      <c r="V39" s="12"/>
      <c r="W39" s="12"/>
      <c r="X39" s="12"/>
    </row>
    <row r="40" spans="2:24">
      <c r="B40" s="12"/>
      <c r="C40" s="12"/>
      <c r="D40" s="12"/>
      <c r="E40" s="12"/>
      <c r="F40" s="12"/>
      <c r="G40" s="12"/>
      <c r="H40" s="12"/>
      <c r="I40" s="12"/>
      <c r="J40" s="12"/>
      <c r="K40" s="12"/>
      <c r="L40" s="12"/>
      <c r="M40" s="12"/>
      <c r="N40" s="12"/>
      <c r="O40" s="12"/>
      <c r="P40" s="12"/>
      <c r="Q40" s="12"/>
      <c r="R40" s="12"/>
      <c r="S40" s="12"/>
      <c r="T40" s="12"/>
      <c r="U40" s="12"/>
      <c r="V40" s="12"/>
      <c r="W40" s="12"/>
      <c r="X40" s="12"/>
    </row>
    <row r="41" spans="2:24">
      <c r="B41" s="12"/>
      <c r="C41" s="12"/>
      <c r="D41" s="12"/>
      <c r="E41" s="12"/>
      <c r="F41" s="12"/>
      <c r="G41" s="12"/>
      <c r="H41" s="12"/>
      <c r="I41" s="12"/>
      <c r="J41" s="12"/>
      <c r="K41" s="12"/>
      <c r="L41" s="12"/>
      <c r="M41" s="12"/>
      <c r="N41" s="12"/>
      <c r="O41" s="12"/>
      <c r="P41" s="12"/>
      <c r="Q41" s="12"/>
      <c r="R41" s="12"/>
      <c r="S41" s="12"/>
      <c r="T41" s="12"/>
      <c r="U41" s="12"/>
      <c r="V41" s="12"/>
      <c r="W41" s="12"/>
      <c r="X41" s="12"/>
    </row>
    <row r="42" spans="2:24">
      <c r="B42" s="12"/>
      <c r="C42" s="12"/>
      <c r="D42" s="12"/>
      <c r="E42" s="12"/>
      <c r="F42" s="12"/>
      <c r="G42" s="12"/>
      <c r="H42" s="12"/>
      <c r="I42" s="12"/>
      <c r="J42" s="12"/>
      <c r="K42" s="12"/>
      <c r="L42" s="12"/>
      <c r="M42" s="12"/>
      <c r="N42" s="12"/>
      <c r="O42" s="12"/>
      <c r="P42" s="12"/>
      <c r="Q42" s="12"/>
      <c r="R42" s="12"/>
      <c r="S42" s="12"/>
      <c r="T42" s="12"/>
      <c r="U42" s="12"/>
      <c r="V42" s="12"/>
      <c r="W42" s="12"/>
      <c r="X42" s="12"/>
    </row>
    <row r="43" spans="2:24">
      <c r="B43" s="12"/>
      <c r="C43" s="12"/>
      <c r="D43" s="12"/>
      <c r="E43" s="12"/>
      <c r="F43" s="12"/>
      <c r="G43" s="12"/>
      <c r="H43" s="12"/>
      <c r="I43" s="12"/>
      <c r="J43" s="12"/>
      <c r="K43" s="12"/>
      <c r="L43" s="12"/>
      <c r="M43" s="12"/>
      <c r="N43" s="12"/>
      <c r="O43" s="12"/>
      <c r="P43" s="12"/>
      <c r="Q43" s="12"/>
      <c r="R43" s="12"/>
      <c r="S43" s="12"/>
      <c r="T43" s="12"/>
      <c r="U43" s="12"/>
      <c r="V43" s="12"/>
      <c r="W43" s="12"/>
      <c r="X43" s="12"/>
    </row>
    <row r="44" spans="2:24">
      <c r="B44" s="12"/>
      <c r="C44" s="12"/>
      <c r="D44" s="12"/>
      <c r="E44" s="12"/>
      <c r="F44" s="12"/>
      <c r="G44" s="12"/>
      <c r="H44" s="12"/>
      <c r="I44" s="12"/>
      <c r="J44" s="12"/>
      <c r="K44" s="12"/>
      <c r="L44" s="12"/>
      <c r="M44" s="12"/>
      <c r="N44" s="12"/>
      <c r="O44" s="12"/>
      <c r="P44" s="12"/>
      <c r="Q44" s="12"/>
      <c r="R44" s="12"/>
      <c r="S44" s="12"/>
      <c r="T44" s="12"/>
      <c r="U44" s="12"/>
      <c r="V44" s="12"/>
      <c r="W44" s="12"/>
      <c r="X44" s="12"/>
    </row>
    <row r="45" spans="2:24">
      <c r="B45" s="12"/>
      <c r="C45" s="12"/>
      <c r="D45" s="12"/>
      <c r="E45" s="12"/>
      <c r="F45" s="12"/>
      <c r="G45" s="12"/>
      <c r="H45" s="12"/>
      <c r="I45" s="12"/>
      <c r="J45" s="12"/>
      <c r="K45" s="12"/>
      <c r="L45" s="12"/>
      <c r="M45" s="12"/>
      <c r="N45" s="12"/>
      <c r="O45" s="12"/>
      <c r="P45" s="12"/>
      <c r="Q45" s="12"/>
      <c r="R45" s="12"/>
      <c r="S45" s="12"/>
      <c r="T45" s="12"/>
      <c r="U45" s="12"/>
      <c r="V45" s="12"/>
      <c r="W45" s="12"/>
      <c r="X45" s="12"/>
    </row>
    <row r="46" spans="2:24">
      <c r="B46" s="12"/>
      <c r="C46" s="12"/>
      <c r="D46" s="12"/>
      <c r="E46" s="12"/>
      <c r="F46" s="12"/>
      <c r="G46" s="12"/>
      <c r="H46" s="12"/>
      <c r="I46" s="12"/>
      <c r="J46" s="12"/>
      <c r="K46" s="12"/>
      <c r="L46" s="12"/>
      <c r="M46" s="12"/>
      <c r="N46" s="12"/>
      <c r="O46" s="12"/>
      <c r="P46" s="12"/>
      <c r="Q46" s="12"/>
      <c r="R46" s="12"/>
      <c r="S46" s="12"/>
      <c r="T46" s="12"/>
      <c r="U46" s="12"/>
      <c r="V46" s="12"/>
      <c r="W46" s="12"/>
      <c r="X46" s="12"/>
    </row>
    <row r="47" spans="2:24">
      <c r="B47" s="12"/>
      <c r="C47" s="12"/>
      <c r="D47" s="12"/>
      <c r="E47" s="12"/>
      <c r="F47" s="12"/>
      <c r="G47" s="12"/>
      <c r="H47" s="12"/>
      <c r="I47" s="12"/>
      <c r="J47" s="12"/>
      <c r="K47" s="12"/>
      <c r="L47" s="12"/>
      <c r="M47" s="12"/>
      <c r="N47" s="12"/>
      <c r="O47" s="12"/>
      <c r="P47" s="12"/>
      <c r="Q47" s="12"/>
      <c r="R47" s="12"/>
      <c r="S47" s="12"/>
      <c r="T47" s="12"/>
      <c r="U47" s="12"/>
      <c r="V47" s="12"/>
      <c r="W47" s="12"/>
      <c r="X47" s="12"/>
    </row>
    <row r="48" spans="2:24">
      <c r="B48" s="12"/>
      <c r="C48" s="12"/>
      <c r="D48" s="12"/>
      <c r="E48" s="12"/>
      <c r="F48" s="12"/>
      <c r="G48" s="12"/>
      <c r="H48" s="12"/>
      <c r="I48" s="12"/>
      <c r="J48" s="12"/>
      <c r="K48" s="12"/>
      <c r="L48" s="12"/>
      <c r="M48" s="12"/>
      <c r="N48" s="12"/>
      <c r="O48" s="12"/>
      <c r="P48" s="12"/>
      <c r="Q48" s="12"/>
      <c r="R48" s="12"/>
      <c r="S48" s="12"/>
      <c r="T48" s="12"/>
      <c r="U48" s="12"/>
      <c r="V48" s="12"/>
      <c r="W48" s="12"/>
      <c r="X48" s="12"/>
    </row>
    <row r="49" spans="2:24">
      <c r="B49" s="12"/>
      <c r="C49" s="12"/>
      <c r="D49" s="12"/>
      <c r="E49" s="12"/>
      <c r="F49" s="12"/>
      <c r="G49" s="12"/>
      <c r="H49" s="12"/>
      <c r="I49" s="12"/>
      <c r="J49" s="12"/>
      <c r="K49" s="12"/>
      <c r="L49" s="12"/>
      <c r="M49" s="12"/>
      <c r="N49" s="12"/>
      <c r="O49" s="12"/>
      <c r="P49" s="12"/>
      <c r="Q49" s="12"/>
      <c r="R49" s="12"/>
      <c r="S49" s="12"/>
      <c r="T49" s="12"/>
      <c r="U49" s="12"/>
      <c r="V49" s="12"/>
      <c r="W49" s="12"/>
      <c r="X49" s="12"/>
    </row>
    <row r="50" spans="2:24">
      <c r="B50" s="12"/>
      <c r="C50" s="12"/>
      <c r="D50" s="12"/>
      <c r="E50" s="12"/>
      <c r="F50" s="12"/>
      <c r="G50" s="12"/>
      <c r="H50" s="12"/>
      <c r="I50" s="12"/>
      <c r="J50" s="12"/>
      <c r="K50" s="12"/>
      <c r="L50" s="12"/>
      <c r="M50" s="12"/>
      <c r="N50" s="12"/>
      <c r="O50" s="12"/>
      <c r="P50" s="12"/>
      <c r="Q50" s="12"/>
      <c r="R50" s="12"/>
      <c r="S50" s="12"/>
      <c r="T50" s="12"/>
      <c r="U50" s="12"/>
      <c r="V50" s="12"/>
      <c r="W50" s="12"/>
      <c r="X50" s="12"/>
    </row>
    <row r="51" spans="2:24">
      <c r="B51" s="12"/>
      <c r="C51" s="12"/>
      <c r="D51" s="12"/>
      <c r="E51" s="12"/>
      <c r="F51" s="12"/>
      <c r="G51" s="12"/>
      <c r="H51" s="12"/>
      <c r="I51" s="12"/>
      <c r="J51" s="12"/>
      <c r="K51" s="12"/>
      <c r="L51" s="12"/>
      <c r="M51" s="12"/>
      <c r="N51" s="12"/>
      <c r="O51" s="12"/>
      <c r="P51" s="12"/>
      <c r="Q51" s="12"/>
      <c r="R51" s="12"/>
      <c r="S51" s="12"/>
      <c r="T51" s="12"/>
      <c r="U51" s="12"/>
      <c r="V51" s="12"/>
      <c r="W51" s="12"/>
      <c r="X51" s="12"/>
    </row>
    <row r="52" spans="2:24">
      <c r="B52" s="12"/>
      <c r="C52" s="12"/>
      <c r="D52" s="12"/>
      <c r="E52" s="12"/>
      <c r="F52" s="12"/>
      <c r="G52" s="12"/>
      <c r="H52" s="12"/>
      <c r="I52" s="12"/>
      <c r="J52" s="12"/>
      <c r="K52" s="12"/>
      <c r="L52" s="12"/>
      <c r="M52" s="12"/>
      <c r="N52" s="12"/>
      <c r="O52" s="12"/>
      <c r="P52" s="12"/>
      <c r="Q52" s="12"/>
      <c r="R52" s="12"/>
      <c r="S52" s="12"/>
      <c r="T52" s="12"/>
      <c r="U52" s="12"/>
      <c r="V52" s="12"/>
      <c r="W52" s="12"/>
      <c r="X52" s="12"/>
    </row>
    <row r="53" spans="2:24">
      <c r="B53" s="12"/>
      <c r="C53" s="12"/>
      <c r="D53" s="12"/>
      <c r="E53" s="12"/>
      <c r="F53" s="12"/>
      <c r="G53" s="12"/>
      <c r="H53" s="12"/>
      <c r="I53" s="12"/>
      <c r="J53" s="12"/>
      <c r="K53" s="12"/>
      <c r="L53" s="12"/>
      <c r="M53" s="12"/>
      <c r="N53" s="12"/>
      <c r="O53" s="12"/>
      <c r="P53" s="12"/>
      <c r="Q53" s="12"/>
      <c r="R53" s="12"/>
      <c r="S53" s="12"/>
      <c r="T53" s="12"/>
      <c r="U53" s="12"/>
      <c r="V53" s="12"/>
      <c r="W53" s="12"/>
      <c r="X53" s="12"/>
    </row>
    <row r="54" spans="2:24">
      <c r="B54" s="12"/>
      <c r="C54" s="12"/>
      <c r="D54" s="12"/>
      <c r="E54" s="12"/>
      <c r="F54" s="12"/>
      <c r="G54" s="12"/>
      <c r="H54" s="12"/>
      <c r="I54" s="12"/>
      <c r="J54" s="12"/>
      <c r="K54" s="12"/>
      <c r="L54" s="12"/>
      <c r="M54" s="12"/>
      <c r="N54" s="12"/>
      <c r="O54" s="12"/>
      <c r="P54" s="12"/>
      <c r="Q54" s="12"/>
      <c r="R54" s="12"/>
      <c r="S54" s="12"/>
      <c r="T54" s="12"/>
      <c r="U54" s="12"/>
      <c r="V54" s="12"/>
      <c r="W54" s="12"/>
      <c r="X54" s="12"/>
    </row>
    <row r="55" spans="2:24">
      <c r="B55" s="12"/>
      <c r="C55" s="12"/>
      <c r="D55" s="12"/>
      <c r="E55" s="12"/>
      <c r="F55" s="12"/>
      <c r="G55" s="12"/>
      <c r="H55" s="12"/>
      <c r="I55" s="12"/>
      <c r="J55" s="12"/>
      <c r="K55" s="12"/>
      <c r="L55" s="12"/>
      <c r="M55" s="12"/>
      <c r="N55" s="12"/>
      <c r="O55" s="12"/>
      <c r="P55" s="12"/>
      <c r="Q55" s="12"/>
      <c r="R55" s="12"/>
      <c r="S55" s="12"/>
      <c r="T55" s="12"/>
      <c r="U55" s="12"/>
      <c r="V55" s="12"/>
      <c r="W55" s="12"/>
      <c r="X55" s="12"/>
    </row>
    <row r="56" spans="2:24">
      <c r="B56" s="12"/>
      <c r="C56" s="12"/>
      <c r="D56" s="12"/>
      <c r="E56" s="12"/>
      <c r="F56" s="12"/>
      <c r="G56" s="12"/>
      <c r="H56" s="12"/>
      <c r="I56" s="12"/>
      <c r="J56" s="12"/>
      <c r="K56" s="12"/>
      <c r="L56" s="12"/>
      <c r="M56" s="12"/>
      <c r="N56" s="12"/>
      <c r="O56" s="12"/>
      <c r="P56" s="12"/>
      <c r="Q56" s="12"/>
      <c r="R56" s="12"/>
      <c r="S56" s="12"/>
      <c r="T56" s="12"/>
      <c r="U56" s="12"/>
      <c r="V56" s="12"/>
      <c r="W56" s="12"/>
      <c r="X56" s="12"/>
    </row>
    <row r="57" spans="2:24">
      <c r="B57" s="12"/>
      <c r="C57" s="12"/>
      <c r="D57" s="12"/>
      <c r="E57" s="12"/>
      <c r="F57" s="12"/>
      <c r="G57" s="12"/>
      <c r="H57" s="12"/>
      <c r="I57" s="12"/>
      <c r="J57" s="12"/>
      <c r="K57" s="12"/>
      <c r="L57" s="12"/>
      <c r="M57" s="12"/>
      <c r="N57" s="12"/>
      <c r="O57" s="12"/>
      <c r="P57" s="12"/>
      <c r="Q57" s="12"/>
      <c r="R57" s="12"/>
      <c r="S57" s="12"/>
      <c r="T57" s="12"/>
      <c r="U57" s="12"/>
      <c r="V57" s="12"/>
      <c r="W57" s="12"/>
      <c r="X57" s="12"/>
    </row>
    <row r="58" spans="2:24">
      <c r="B58" s="12"/>
      <c r="C58" s="12"/>
      <c r="D58" s="12"/>
      <c r="E58" s="12"/>
      <c r="F58" s="12"/>
      <c r="G58" s="12"/>
      <c r="H58" s="12"/>
      <c r="I58" s="12"/>
      <c r="J58" s="12"/>
      <c r="K58" s="12"/>
      <c r="L58" s="12"/>
      <c r="M58" s="12"/>
      <c r="N58" s="12"/>
      <c r="O58" s="12"/>
      <c r="P58" s="12"/>
      <c r="Q58" s="12"/>
      <c r="R58" s="12"/>
      <c r="S58" s="12"/>
      <c r="T58" s="12"/>
      <c r="U58" s="12"/>
      <c r="V58" s="12"/>
      <c r="W58" s="12"/>
      <c r="X58" s="12"/>
    </row>
    <row r="59" spans="2:24">
      <c r="B59" s="12"/>
      <c r="C59" s="12"/>
      <c r="D59" s="12"/>
      <c r="E59" s="12"/>
      <c r="F59" s="12"/>
      <c r="G59" s="12"/>
      <c r="H59" s="12"/>
      <c r="I59" s="12"/>
      <c r="J59" s="12"/>
      <c r="K59" s="12"/>
      <c r="L59" s="12"/>
      <c r="M59" s="12"/>
      <c r="N59" s="12"/>
      <c r="O59" s="12"/>
      <c r="P59" s="12"/>
      <c r="Q59" s="12"/>
      <c r="R59" s="12"/>
      <c r="S59" s="12"/>
      <c r="T59" s="12"/>
      <c r="U59" s="12"/>
      <c r="V59" s="12"/>
      <c r="W59" s="12"/>
      <c r="X59" s="12"/>
    </row>
    <row r="60" spans="2:24">
      <c r="B60" s="12"/>
      <c r="C60" s="12"/>
      <c r="D60" s="12"/>
      <c r="E60" s="12"/>
      <c r="F60" s="12"/>
      <c r="G60" s="12"/>
      <c r="H60" s="12"/>
      <c r="I60" s="12"/>
      <c r="J60" s="12"/>
      <c r="K60" s="12"/>
      <c r="L60" s="12"/>
      <c r="M60" s="12"/>
      <c r="N60" s="12"/>
      <c r="O60" s="12"/>
      <c r="P60" s="12"/>
      <c r="Q60" s="12"/>
      <c r="R60" s="12"/>
      <c r="S60" s="12"/>
      <c r="T60" s="12"/>
      <c r="U60" s="12"/>
      <c r="V60" s="12"/>
      <c r="W60" s="12"/>
      <c r="X60" s="12"/>
    </row>
    <row r="61" spans="2:24">
      <c r="B61" s="12"/>
      <c r="C61" s="12"/>
      <c r="D61" s="12"/>
      <c r="E61" s="12"/>
      <c r="F61" s="12"/>
      <c r="G61" s="12"/>
      <c r="H61" s="12"/>
      <c r="I61" s="12"/>
      <c r="J61" s="12"/>
      <c r="K61" s="12"/>
      <c r="L61" s="12"/>
      <c r="M61" s="12"/>
      <c r="N61" s="12"/>
      <c r="O61" s="12"/>
      <c r="P61" s="12"/>
      <c r="Q61" s="12"/>
      <c r="R61" s="12"/>
      <c r="S61" s="12"/>
      <c r="T61" s="12"/>
      <c r="U61" s="12"/>
      <c r="V61" s="12"/>
      <c r="W61" s="12"/>
      <c r="X61" s="12"/>
    </row>
    <row r="62" spans="2:24">
      <c r="B62" s="12"/>
      <c r="C62" s="12"/>
      <c r="D62" s="12"/>
      <c r="E62" s="12"/>
      <c r="F62" s="12"/>
      <c r="G62" s="12"/>
      <c r="H62" s="12"/>
      <c r="I62" s="12"/>
      <c r="J62" s="12"/>
      <c r="K62" s="12"/>
      <c r="L62" s="12"/>
      <c r="M62" s="12"/>
      <c r="N62" s="12"/>
      <c r="O62" s="12"/>
      <c r="P62" s="12"/>
      <c r="Q62" s="12"/>
      <c r="R62" s="12"/>
      <c r="S62" s="12"/>
      <c r="T62" s="12"/>
      <c r="U62" s="12"/>
      <c r="V62" s="12"/>
      <c r="W62" s="12"/>
      <c r="X62" s="12"/>
    </row>
    <row r="63" spans="2:24">
      <c r="B63" s="12"/>
      <c r="C63" s="12"/>
      <c r="D63" s="12"/>
      <c r="E63" s="12"/>
      <c r="F63" s="12"/>
      <c r="G63" s="12"/>
      <c r="H63" s="12"/>
      <c r="I63" s="12"/>
      <c r="J63" s="12"/>
      <c r="K63" s="12"/>
      <c r="L63" s="12"/>
      <c r="M63" s="12"/>
      <c r="N63" s="12"/>
      <c r="O63" s="12"/>
      <c r="P63" s="12"/>
      <c r="Q63" s="12"/>
      <c r="R63" s="12"/>
      <c r="S63" s="12"/>
      <c r="T63" s="12"/>
      <c r="U63" s="12"/>
      <c r="V63" s="12"/>
      <c r="W63" s="12"/>
      <c r="X63" s="12"/>
    </row>
    <row r="64" spans="2:24">
      <c r="B64" s="12"/>
      <c r="C64" s="12"/>
      <c r="D64" s="12"/>
      <c r="E64" s="12"/>
      <c r="F64" s="12"/>
      <c r="G64" s="12"/>
      <c r="H64" s="12"/>
      <c r="I64" s="12"/>
      <c r="J64" s="12"/>
      <c r="K64" s="12"/>
      <c r="L64" s="12"/>
      <c r="M64" s="12"/>
      <c r="N64" s="12"/>
      <c r="O64" s="12"/>
      <c r="P64" s="12"/>
      <c r="Q64" s="12"/>
      <c r="R64" s="12"/>
      <c r="S64" s="12"/>
      <c r="T64" s="12"/>
      <c r="U64" s="12"/>
      <c r="V64" s="12"/>
      <c r="W64" s="12"/>
      <c r="X64" s="12"/>
    </row>
    <row r="65" spans="2:24">
      <c r="B65" s="12"/>
      <c r="C65" s="12"/>
      <c r="D65" s="12"/>
      <c r="E65" s="12"/>
      <c r="F65" s="12"/>
      <c r="G65" s="12"/>
      <c r="H65" s="12"/>
      <c r="I65" s="12"/>
      <c r="J65" s="12"/>
      <c r="K65" s="12"/>
      <c r="L65" s="12"/>
      <c r="M65" s="12"/>
      <c r="N65" s="12"/>
      <c r="O65" s="12"/>
      <c r="P65" s="12"/>
      <c r="Q65" s="12"/>
      <c r="R65" s="12"/>
      <c r="S65" s="12"/>
      <c r="T65" s="12"/>
      <c r="U65" s="12"/>
      <c r="V65" s="12"/>
      <c r="W65" s="12"/>
      <c r="X65" s="12"/>
    </row>
    <row r="66" spans="2:24">
      <c r="B66" s="12"/>
      <c r="C66" s="12"/>
      <c r="D66" s="12"/>
      <c r="E66" s="12"/>
      <c r="F66" s="12"/>
      <c r="G66" s="12"/>
      <c r="H66" s="12"/>
      <c r="I66" s="12"/>
      <c r="J66" s="12"/>
      <c r="K66" s="12"/>
      <c r="L66" s="12"/>
      <c r="M66" s="12"/>
      <c r="N66" s="12"/>
      <c r="O66" s="12"/>
      <c r="P66" s="12"/>
      <c r="Q66" s="12"/>
      <c r="R66" s="12"/>
      <c r="S66" s="12"/>
      <c r="T66" s="12"/>
      <c r="U66" s="12"/>
      <c r="V66" s="12"/>
      <c r="W66" s="12"/>
      <c r="X66" s="12"/>
    </row>
    <row r="67" spans="2:24">
      <c r="B67" s="12"/>
      <c r="C67" s="12"/>
      <c r="D67" s="12"/>
      <c r="E67" s="12"/>
      <c r="F67" s="12"/>
      <c r="G67" s="12"/>
      <c r="H67" s="12"/>
      <c r="I67" s="12"/>
      <c r="J67" s="12"/>
      <c r="K67" s="12"/>
      <c r="L67" s="12"/>
      <c r="M67" s="12"/>
      <c r="N67" s="12"/>
      <c r="O67" s="12"/>
      <c r="P67" s="12"/>
      <c r="Q67" s="12"/>
      <c r="R67" s="12"/>
      <c r="S67" s="12"/>
      <c r="T67" s="12"/>
      <c r="U67" s="12"/>
      <c r="V67" s="12"/>
      <c r="W67" s="12"/>
      <c r="X67" s="12"/>
    </row>
    <row r="68" spans="2:24">
      <c r="B68" s="12"/>
      <c r="C68" s="12"/>
      <c r="D68" s="12"/>
      <c r="E68" s="12"/>
      <c r="F68" s="12"/>
      <c r="G68" s="12"/>
      <c r="H68" s="12"/>
      <c r="I68" s="12"/>
      <c r="J68" s="12"/>
      <c r="K68" s="12"/>
      <c r="L68" s="12"/>
      <c r="M68" s="12"/>
      <c r="N68" s="12"/>
      <c r="O68" s="12"/>
      <c r="P68" s="12"/>
      <c r="Q68" s="12"/>
      <c r="R68" s="12"/>
      <c r="S68" s="12"/>
      <c r="T68" s="12"/>
      <c r="U68" s="12"/>
      <c r="V68" s="12"/>
      <c r="W68" s="12"/>
      <c r="X68" s="12"/>
    </row>
    <row r="69" spans="2:24">
      <c r="B69" s="12"/>
      <c r="C69" s="12"/>
      <c r="D69" s="12"/>
      <c r="E69" s="12"/>
      <c r="F69" s="12"/>
      <c r="G69" s="12"/>
      <c r="H69" s="12"/>
      <c r="I69" s="12"/>
      <c r="J69" s="12"/>
      <c r="K69" s="12"/>
      <c r="L69" s="12"/>
      <c r="M69" s="12"/>
      <c r="N69" s="12"/>
      <c r="O69" s="12"/>
      <c r="P69" s="12"/>
      <c r="Q69" s="12"/>
      <c r="R69" s="12"/>
      <c r="S69" s="12"/>
      <c r="T69" s="12"/>
      <c r="U69" s="12"/>
      <c r="V69" s="12"/>
      <c r="W69" s="12"/>
      <c r="X69" s="12"/>
    </row>
    <row r="70" spans="2:24">
      <c r="B70" s="12"/>
      <c r="C70" s="12"/>
      <c r="D70" s="12"/>
      <c r="E70" s="12"/>
      <c r="F70" s="12"/>
      <c r="G70" s="12"/>
      <c r="H70" s="12"/>
      <c r="I70" s="12"/>
      <c r="J70" s="12"/>
      <c r="K70" s="12"/>
      <c r="L70" s="12"/>
      <c r="M70" s="12"/>
      <c r="N70" s="12"/>
      <c r="O70" s="12"/>
      <c r="P70" s="12"/>
      <c r="Q70" s="12"/>
      <c r="R70" s="12"/>
      <c r="S70" s="12"/>
      <c r="T70" s="12"/>
      <c r="U70" s="12"/>
      <c r="V70" s="12"/>
      <c r="W70" s="12"/>
      <c r="X70" s="12"/>
    </row>
    <row r="71" spans="2:24">
      <c r="B71" s="12"/>
      <c r="C71" s="12"/>
      <c r="D71" s="12"/>
      <c r="E71" s="12"/>
      <c r="F71" s="12"/>
      <c r="G71" s="12"/>
      <c r="H71" s="12"/>
      <c r="I71" s="12"/>
      <c r="J71" s="12"/>
      <c r="K71" s="12"/>
      <c r="L71" s="12"/>
      <c r="M71" s="12"/>
      <c r="N71" s="12"/>
      <c r="O71" s="12"/>
      <c r="P71" s="12"/>
      <c r="Q71" s="12"/>
      <c r="R71" s="12"/>
      <c r="S71" s="12"/>
      <c r="T71" s="12"/>
      <c r="U71" s="12"/>
      <c r="V71" s="12"/>
      <c r="W71" s="12"/>
      <c r="X71" s="12"/>
    </row>
    <row r="72" spans="2:24">
      <c r="B72" s="12"/>
      <c r="C72" s="12"/>
      <c r="D72" s="12"/>
      <c r="E72" s="12"/>
      <c r="F72" s="12"/>
      <c r="G72" s="12"/>
      <c r="H72" s="12"/>
      <c r="I72" s="12"/>
      <c r="J72" s="12"/>
      <c r="K72" s="12"/>
      <c r="L72" s="12"/>
      <c r="M72" s="12"/>
      <c r="N72" s="12"/>
      <c r="O72" s="12"/>
      <c r="P72" s="12"/>
      <c r="Q72" s="12"/>
      <c r="R72" s="12"/>
      <c r="S72" s="12"/>
      <c r="T72" s="12"/>
      <c r="U72" s="12"/>
      <c r="V72" s="12"/>
      <c r="W72" s="12"/>
      <c r="X72" s="12"/>
    </row>
    <row r="73" spans="2:24">
      <c r="B73" s="12"/>
      <c r="C73" s="12"/>
      <c r="D73" s="12"/>
      <c r="E73" s="12"/>
      <c r="F73" s="12"/>
      <c r="G73" s="12"/>
      <c r="H73" s="12"/>
      <c r="I73" s="12"/>
      <c r="J73" s="12"/>
      <c r="K73" s="12"/>
      <c r="L73" s="12"/>
      <c r="M73" s="12"/>
      <c r="N73" s="12"/>
      <c r="O73" s="12"/>
      <c r="P73" s="12"/>
      <c r="Q73" s="12"/>
      <c r="R73" s="12"/>
      <c r="S73" s="12"/>
      <c r="T73" s="12"/>
      <c r="U73" s="12"/>
      <c r="V73" s="12"/>
      <c r="W73" s="12"/>
      <c r="X73" s="12"/>
    </row>
    <row r="74" spans="2:24">
      <c r="B74" s="12"/>
      <c r="C74" s="12"/>
      <c r="D74" s="12"/>
      <c r="E74" s="12"/>
      <c r="F74" s="12"/>
      <c r="G74" s="12"/>
      <c r="H74" s="12"/>
      <c r="I74" s="12"/>
      <c r="J74" s="12"/>
      <c r="K74" s="12"/>
      <c r="L74" s="12"/>
      <c r="M74" s="12"/>
      <c r="N74" s="12"/>
      <c r="O74" s="12"/>
      <c r="P74" s="12"/>
      <c r="Q74" s="12"/>
      <c r="R74" s="12"/>
      <c r="S74" s="12"/>
      <c r="T74" s="12"/>
      <c r="U74" s="12"/>
      <c r="V74" s="12"/>
      <c r="W74" s="12"/>
      <c r="X74" s="12"/>
    </row>
    <row r="75" spans="2:24">
      <c r="B75" s="12"/>
      <c r="C75" s="12"/>
      <c r="D75" s="12"/>
      <c r="E75" s="12"/>
      <c r="F75" s="12"/>
      <c r="G75" s="12"/>
      <c r="H75" s="12"/>
      <c r="I75" s="12"/>
      <c r="J75" s="12"/>
      <c r="K75" s="12"/>
      <c r="L75" s="12"/>
      <c r="M75" s="12"/>
      <c r="N75" s="12"/>
      <c r="O75" s="12"/>
      <c r="P75" s="12"/>
      <c r="Q75" s="12"/>
      <c r="R75" s="12"/>
      <c r="S75" s="12"/>
      <c r="T75" s="12"/>
      <c r="U75" s="12"/>
      <c r="V75" s="12"/>
      <c r="W75" s="12"/>
      <c r="X75" s="12"/>
    </row>
    <row r="76" spans="2:24">
      <c r="B76" s="12"/>
      <c r="C76" s="12"/>
      <c r="D76" s="12"/>
      <c r="E76" s="12"/>
      <c r="F76" s="12"/>
      <c r="G76" s="12"/>
      <c r="H76" s="12"/>
      <c r="I76" s="12"/>
      <c r="J76" s="12"/>
      <c r="K76" s="12"/>
      <c r="L76" s="12"/>
      <c r="M76" s="12"/>
      <c r="N76" s="12"/>
      <c r="O76" s="12"/>
      <c r="P76" s="12"/>
      <c r="Q76" s="12"/>
      <c r="R76" s="12"/>
      <c r="S76" s="12"/>
      <c r="T76" s="12"/>
      <c r="U76" s="12"/>
      <c r="V76" s="12"/>
      <c r="W76" s="12"/>
      <c r="X76" s="12"/>
    </row>
    <row r="77" spans="2:24">
      <c r="B77" s="12"/>
      <c r="C77" s="12"/>
      <c r="D77" s="12"/>
      <c r="E77" s="12"/>
      <c r="F77" s="12"/>
      <c r="G77" s="12"/>
      <c r="H77" s="12"/>
      <c r="I77" s="12"/>
      <c r="J77" s="12"/>
      <c r="K77" s="12"/>
      <c r="L77" s="12"/>
      <c r="M77" s="12"/>
      <c r="N77" s="12"/>
      <c r="O77" s="12"/>
      <c r="P77" s="12"/>
      <c r="Q77" s="12"/>
      <c r="R77" s="12"/>
      <c r="S77" s="12"/>
      <c r="T77" s="12"/>
      <c r="U77" s="12"/>
      <c r="V77" s="12"/>
      <c r="W77" s="12"/>
      <c r="X77" s="12"/>
    </row>
    <row r="78" spans="2:24">
      <c r="B78" s="12"/>
      <c r="C78" s="12"/>
      <c r="D78" s="12"/>
      <c r="E78" s="12"/>
      <c r="F78" s="12"/>
      <c r="G78" s="12"/>
      <c r="H78" s="12"/>
      <c r="I78" s="12"/>
      <c r="J78" s="12"/>
      <c r="K78" s="12"/>
      <c r="L78" s="12"/>
      <c r="M78" s="12"/>
      <c r="N78" s="12"/>
      <c r="O78" s="12"/>
      <c r="P78" s="12"/>
      <c r="Q78" s="12"/>
      <c r="R78" s="12"/>
      <c r="S78" s="12"/>
      <c r="T78" s="12"/>
      <c r="U78" s="12"/>
      <c r="V78" s="12"/>
      <c r="W78" s="12"/>
      <c r="X78" s="12"/>
    </row>
    <row r="79" spans="2:24">
      <c r="B79" s="12"/>
      <c r="C79" s="12"/>
      <c r="D79" s="12"/>
      <c r="E79" s="12"/>
      <c r="F79" s="12"/>
      <c r="G79" s="12"/>
      <c r="H79" s="12"/>
      <c r="I79" s="12"/>
      <c r="J79" s="12"/>
      <c r="K79" s="12"/>
      <c r="L79" s="12"/>
      <c r="M79" s="12"/>
      <c r="N79" s="12"/>
      <c r="O79" s="12"/>
      <c r="P79" s="12"/>
      <c r="Q79" s="12"/>
      <c r="R79" s="12"/>
      <c r="S79" s="12"/>
      <c r="T79" s="12"/>
      <c r="U79" s="12"/>
      <c r="V79" s="12"/>
      <c r="W79" s="12"/>
      <c r="X79" s="12"/>
    </row>
    <row r="80" spans="2:24">
      <c r="B80" s="12"/>
      <c r="C80" s="12"/>
      <c r="D80" s="12"/>
      <c r="E80" s="12"/>
      <c r="F80" s="12"/>
      <c r="G80" s="12"/>
      <c r="H80" s="12"/>
      <c r="I80" s="12"/>
      <c r="J80" s="12"/>
      <c r="K80" s="12"/>
      <c r="L80" s="12"/>
      <c r="M80" s="12"/>
      <c r="N80" s="12"/>
      <c r="O80" s="12"/>
      <c r="P80" s="12"/>
      <c r="Q80" s="12"/>
      <c r="R80" s="12"/>
      <c r="S80" s="12"/>
      <c r="T80" s="12"/>
      <c r="U80" s="12"/>
      <c r="V80" s="12"/>
      <c r="W80" s="12"/>
      <c r="X80" s="12"/>
    </row>
    <row r="81" spans="2:24">
      <c r="B81" s="12"/>
      <c r="C81" s="12"/>
      <c r="D81" s="12"/>
      <c r="E81" s="12"/>
      <c r="F81" s="12"/>
      <c r="G81" s="12"/>
      <c r="H81" s="12"/>
      <c r="I81" s="12"/>
      <c r="J81" s="12"/>
      <c r="K81" s="12"/>
      <c r="L81" s="12"/>
      <c r="M81" s="12"/>
      <c r="N81" s="12"/>
      <c r="O81" s="12"/>
      <c r="P81" s="12"/>
      <c r="Q81" s="12"/>
      <c r="R81" s="12"/>
      <c r="S81" s="12"/>
      <c r="T81" s="12"/>
      <c r="U81" s="12"/>
      <c r="V81" s="12"/>
      <c r="W81" s="12"/>
      <c r="X81" s="12"/>
    </row>
    <row r="82" spans="2:24">
      <c r="B82" s="12"/>
      <c r="C82" s="12"/>
      <c r="D82" s="12"/>
      <c r="E82" s="12"/>
      <c r="F82" s="12"/>
      <c r="G82" s="12"/>
      <c r="H82" s="12"/>
      <c r="I82" s="12"/>
      <c r="J82" s="12"/>
      <c r="K82" s="12"/>
      <c r="L82" s="12"/>
      <c r="M82" s="12"/>
      <c r="N82" s="12"/>
      <c r="O82" s="12"/>
      <c r="P82" s="12"/>
      <c r="Q82" s="12"/>
      <c r="R82" s="12"/>
      <c r="S82" s="12"/>
      <c r="T82" s="12"/>
      <c r="U82" s="12"/>
      <c r="V82" s="12"/>
      <c r="W82" s="12"/>
      <c r="X82" s="12"/>
    </row>
    <row r="83" spans="2:24">
      <c r="B83" s="12"/>
      <c r="C83" s="12"/>
      <c r="D83" s="12"/>
      <c r="E83" s="12"/>
      <c r="F83" s="12"/>
      <c r="G83" s="12"/>
      <c r="H83" s="12"/>
      <c r="I83" s="12"/>
      <c r="J83" s="12"/>
      <c r="K83" s="12"/>
      <c r="L83" s="12"/>
      <c r="M83" s="12"/>
      <c r="N83" s="12"/>
      <c r="O83" s="12"/>
      <c r="P83" s="12"/>
      <c r="Q83" s="12"/>
      <c r="R83" s="12"/>
      <c r="S83" s="12"/>
      <c r="T83" s="12"/>
      <c r="U83" s="12"/>
      <c r="V83" s="12"/>
      <c r="W83" s="12"/>
      <c r="X83" s="12"/>
    </row>
    <row r="84" spans="2:24">
      <c r="B84" s="12"/>
      <c r="C84" s="12"/>
      <c r="D84" s="12"/>
      <c r="E84" s="12"/>
      <c r="F84" s="12"/>
      <c r="G84" s="12"/>
      <c r="H84" s="12"/>
      <c r="I84" s="12"/>
      <c r="J84" s="12"/>
      <c r="K84" s="12"/>
      <c r="L84" s="12"/>
      <c r="M84" s="12"/>
      <c r="N84" s="12"/>
      <c r="O84" s="12"/>
      <c r="P84" s="12"/>
      <c r="Q84" s="12"/>
      <c r="R84" s="12"/>
      <c r="S84" s="12"/>
      <c r="T84" s="12"/>
      <c r="U84" s="12"/>
      <c r="V84" s="12"/>
      <c r="W84" s="12"/>
      <c r="X84" s="12"/>
    </row>
    <row r="85" spans="2:24">
      <c r="B85" s="12"/>
      <c r="C85" s="12"/>
      <c r="D85" s="12"/>
      <c r="E85" s="12"/>
      <c r="F85" s="12"/>
      <c r="G85" s="12"/>
      <c r="H85" s="12"/>
      <c r="I85" s="12"/>
      <c r="J85" s="12"/>
      <c r="K85" s="12"/>
      <c r="L85" s="12"/>
      <c r="M85" s="12"/>
      <c r="N85" s="12"/>
      <c r="O85" s="12"/>
      <c r="P85" s="12"/>
      <c r="Q85" s="12"/>
      <c r="R85" s="12"/>
      <c r="S85" s="12"/>
      <c r="T85" s="12"/>
      <c r="U85" s="12"/>
      <c r="V85" s="12"/>
      <c r="W85" s="12"/>
      <c r="X85" s="12"/>
    </row>
    <row r="86" spans="2:24">
      <c r="B86" s="12"/>
      <c r="C86" s="12"/>
      <c r="D86" s="12"/>
      <c r="E86" s="12"/>
      <c r="F86" s="12"/>
      <c r="G86" s="12"/>
      <c r="H86" s="12"/>
      <c r="I86" s="12"/>
      <c r="J86" s="12"/>
      <c r="K86" s="12"/>
      <c r="L86" s="12"/>
      <c r="M86" s="12"/>
      <c r="N86" s="12"/>
      <c r="O86" s="12"/>
      <c r="P86" s="12"/>
      <c r="Q86" s="12"/>
      <c r="R86" s="12"/>
      <c r="S86" s="12"/>
      <c r="T86" s="12"/>
      <c r="U86" s="12"/>
      <c r="V86" s="12"/>
      <c r="W86" s="12"/>
      <c r="X86" s="12"/>
    </row>
    <row r="87" spans="2:24">
      <c r="B87" s="12"/>
      <c r="C87" s="12"/>
      <c r="D87" s="12"/>
      <c r="E87" s="12"/>
      <c r="F87" s="12"/>
      <c r="G87" s="12"/>
      <c r="H87" s="12"/>
      <c r="I87" s="12"/>
      <c r="J87" s="12"/>
      <c r="K87" s="12"/>
      <c r="L87" s="12"/>
      <c r="M87" s="12"/>
      <c r="N87" s="12"/>
      <c r="O87" s="12"/>
      <c r="P87" s="12"/>
      <c r="Q87" s="12"/>
      <c r="R87" s="12"/>
      <c r="S87" s="12"/>
      <c r="T87" s="12"/>
      <c r="U87" s="12"/>
      <c r="V87" s="12"/>
      <c r="W87" s="12"/>
      <c r="X87" s="12"/>
    </row>
    <row r="88" spans="2:24">
      <c r="B88" s="12"/>
      <c r="C88" s="12"/>
      <c r="D88" s="12"/>
      <c r="E88" s="12"/>
      <c r="F88" s="12"/>
      <c r="G88" s="12"/>
      <c r="H88" s="12"/>
      <c r="I88" s="12"/>
      <c r="J88" s="12"/>
      <c r="K88" s="12"/>
      <c r="L88" s="12"/>
      <c r="M88" s="12"/>
      <c r="N88" s="12"/>
      <c r="O88" s="12"/>
      <c r="P88" s="12"/>
      <c r="Q88" s="12"/>
      <c r="R88" s="12"/>
      <c r="S88" s="12"/>
      <c r="T88" s="12"/>
      <c r="U88" s="12"/>
      <c r="V88" s="12"/>
      <c r="W88" s="12"/>
      <c r="X88" s="12"/>
    </row>
    <row r="89" spans="2:24">
      <c r="B89" s="12"/>
      <c r="C89" s="12"/>
      <c r="D89" s="12"/>
      <c r="E89" s="12"/>
      <c r="F89" s="12"/>
      <c r="G89" s="12"/>
      <c r="H89" s="12"/>
      <c r="I89" s="12"/>
      <c r="J89" s="12"/>
      <c r="K89" s="12"/>
      <c r="L89" s="12"/>
      <c r="M89" s="12"/>
      <c r="N89" s="12"/>
      <c r="O89" s="12"/>
      <c r="P89" s="12"/>
      <c r="Q89" s="12"/>
      <c r="R89" s="12"/>
      <c r="S89" s="12"/>
      <c r="T89" s="12"/>
      <c r="U89" s="12"/>
      <c r="V89" s="12"/>
      <c r="W89" s="12"/>
      <c r="X89" s="12"/>
    </row>
    <row r="90" spans="2:24">
      <c r="B90" s="12"/>
      <c r="C90" s="12"/>
      <c r="D90" s="12"/>
      <c r="E90" s="12"/>
      <c r="F90" s="12"/>
      <c r="G90" s="12"/>
      <c r="H90" s="12"/>
      <c r="I90" s="12"/>
      <c r="J90" s="12"/>
      <c r="K90" s="12"/>
      <c r="L90" s="12"/>
      <c r="M90" s="12"/>
      <c r="N90" s="12"/>
      <c r="O90" s="12"/>
      <c r="P90" s="12"/>
      <c r="Q90" s="12"/>
      <c r="R90" s="12"/>
      <c r="S90" s="12"/>
      <c r="T90" s="12"/>
      <c r="U90" s="12"/>
      <c r="V90" s="12"/>
      <c r="W90" s="12"/>
      <c r="X90" s="12"/>
    </row>
    <row r="91" spans="2:24">
      <c r="B91" s="12"/>
      <c r="C91" s="12"/>
      <c r="D91" s="12"/>
      <c r="E91" s="12"/>
      <c r="F91" s="12"/>
      <c r="G91" s="12"/>
      <c r="H91" s="12"/>
      <c r="I91" s="12"/>
      <c r="J91" s="12"/>
      <c r="K91" s="12"/>
      <c r="L91" s="12"/>
      <c r="M91" s="12"/>
      <c r="N91" s="12"/>
      <c r="O91" s="12"/>
      <c r="P91" s="12"/>
      <c r="Q91" s="12"/>
      <c r="R91" s="12"/>
      <c r="S91" s="12"/>
      <c r="T91" s="12"/>
      <c r="U91" s="12"/>
      <c r="V91" s="12"/>
      <c r="W91" s="12"/>
      <c r="X91" s="12"/>
    </row>
    <row r="92" spans="2:24">
      <c r="B92" s="12"/>
      <c r="C92" s="12"/>
      <c r="D92" s="12"/>
      <c r="E92" s="12"/>
      <c r="F92" s="12"/>
      <c r="G92" s="12"/>
      <c r="H92" s="12"/>
      <c r="I92" s="12"/>
      <c r="J92" s="12"/>
      <c r="K92" s="12"/>
      <c r="L92" s="12"/>
      <c r="M92" s="12"/>
      <c r="N92" s="12"/>
      <c r="O92" s="12"/>
      <c r="P92" s="12"/>
      <c r="Q92" s="12"/>
      <c r="R92" s="12"/>
      <c r="S92" s="12"/>
      <c r="T92" s="12"/>
      <c r="U92" s="12"/>
      <c r="V92" s="12"/>
      <c r="W92" s="12"/>
      <c r="X92" s="12"/>
    </row>
    <row r="93" spans="2:24">
      <c r="B93" s="12"/>
      <c r="C93" s="12"/>
      <c r="D93" s="12"/>
      <c r="E93" s="12"/>
      <c r="F93" s="12"/>
      <c r="G93" s="12"/>
      <c r="H93" s="12"/>
      <c r="I93" s="12"/>
      <c r="J93" s="12"/>
      <c r="K93" s="12"/>
      <c r="L93" s="12"/>
      <c r="M93" s="12"/>
      <c r="N93" s="12"/>
      <c r="O93" s="12"/>
      <c r="P93" s="12"/>
      <c r="Q93" s="12"/>
      <c r="R93" s="12"/>
      <c r="S93" s="12"/>
      <c r="T93" s="12"/>
      <c r="U93" s="12"/>
      <c r="V93" s="12"/>
      <c r="W93" s="12"/>
      <c r="X93" s="12"/>
    </row>
    <row r="94" spans="2:24">
      <c r="B94" s="12"/>
      <c r="C94" s="12"/>
      <c r="D94" s="12"/>
      <c r="E94" s="12"/>
      <c r="F94" s="12"/>
      <c r="G94" s="12"/>
      <c r="H94" s="12"/>
      <c r="I94" s="12"/>
      <c r="J94" s="12"/>
      <c r="K94" s="12"/>
      <c r="L94" s="12"/>
      <c r="M94" s="12"/>
      <c r="N94" s="12"/>
      <c r="O94" s="12"/>
      <c r="P94" s="12"/>
      <c r="Q94" s="12"/>
      <c r="R94" s="12"/>
      <c r="S94" s="12"/>
      <c r="T94" s="12"/>
      <c r="U94" s="12"/>
      <c r="V94" s="12"/>
      <c r="W94" s="12"/>
      <c r="X94" s="12"/>
    </row>
    <row r="95" spans="2:24">
      <c r="B95" s="12"/>
      <c r="C95" s="12"/>
      <c r="D95" s="12"/>
      <c r="E95" s="12"/>
      <c r="F95" s="12"/>
      <c r="G95" s="12"/>
      <c r="H95" s="12"/>
      <c r="I95" s="12"/>
      <c r="J95" s="12"/>
      <c r="K95" s="12"/>
      <c r="L95" s="12"/>
      <c r="M95" s="12"/>
      <c r="N95" s="12"/>
      <c r="O95" s="12"/>
      <c r="P95" s="12"/>
      <c r="Q95" s="12"/>
      <c r="R95" s="12"/>
      <c r="S95" s="12"/>
      <c r="T95" s="12"/>
      <c r="U95" s="12"/>
      <c r="V95" s="12"/>
      <c r="W95" s="12"/>
      <c r="X95" s="12"/>
    </row>
    <row r="96" spans="2:24">
      <c r="B96" s="12"/>
      <c r="C96" s="12"/>
      <c r="D96" s="12"/>
      <c r="E96" s="12"/>
      <c r="F96" s="12"/>
      <c r="G96" s="12"/>
      <c r="H96" s="12"/>
      <c r="I96" s="12"/>
      <c r="J96" s="12"/>
      <c r="K96" s="12"/>
      <c r="L96" s="12"/>
      <c r="M96" s="12"/>
      <c r="N96" s="12"/>
      <c r="O96" s="12"/>
      <c r="P96" s="12"/>
      <c r="Q96" s="12"/>
      <c r="R96" s="12"/>
      <c r="S96" s="12"/>
      <c r="T96" s="12"/>
      <c r="U96" s="12"/>
      <c r="V96" s="12"/>
      <c r="W96" s="12"/>
      <c r="X96" s="12"/>
    </row>
    <row r="97" spans="2:24">
      <c r="B97" s="12"/>
      <c r="C97" s="12"/>
      <c r="D97" s="12"/>
      <c r="E97" s="12"/>
      <c r="F97" s="12"/>
      <c r="G97" s="12"/>
      <c r="H97" s="12"/>
      <c r="I97" s="12"/>
      <c r="J97" s="12"/>
      <c r="K97" s="12"/>
      <c r="L97" s="12"/>
      <c r="M97" s="12"/>
      <c r="N97" s="12"/>
      <c r="O97" s="12"/>
      <c r="P97" s="12"/>
      <c r="Q97" s="12"/>
      <c r="R97" s="12"/>
      <c r="S97" s="12"/>
      <c r="T97" s="12"/>
      <c r="U97" s="12"/>
      <c r="V97" s="12"/>
      <c r="W97" s="12"/>
      <c r="X97" s="12"/>
    </row>
    <row r="98" spans="2:24">
      <c r="B98" s="12"/>
      <c r="C98" s="12"/>
      <c r="D98" s="12"/>
      <c r="E98" s="12"/>
      <c r="F98" s="12"/>
      <c r="G98" s="12"/>
      <c r="H98" s="12"/>
      <c r="I98" s="12"/>
      <c r="J98" s="12"/>
      <c r="K98" s="12"/>
      <c r="L98" s="12"/>
      <c r="M98" s="12"/>
      <c r="N98" s="12"/>
      <c r="O98" s="12"/>
      <c r="P98" s="12"/>
      <c r="Q98" s="12"/>
      <c r="R98" s="12"/>
      <c r="S98" s="12"/>
      <c r="T98" s="12"/>
      <c r="U98" s="12"/>
      <c r="V98" s="12"/>
      <c r="W98" s="12"/>
      <c r="X98" s="12"/>
    </row>
    <row r="99" spans="2:24">
      <c r="B99" s="12"/>
      <c r="C99" s="12"/>
      <c r="D99" s="12"/>
      <c r="E99" s="12"/>
      <c r="F99" s="12"/>
      <c r="G99" s="12"/>
      <c r="H99" s="12"/>
      <c r="I99" s="12"/>
      <c r="J99" s="12"/>
      <c r="K99" s="12"/>
      <c r="L99" s="12"/>
      <c r="M99" s="12"/>
      <c r="N99" s="12"/>
      <c r="O99" s="12"/>
      <c r="P99" s="12"/>
      <c r="Q99" s="12"/>
      <c r="R99" s="12"/>
      <c r="S99" s="12"/>
      <c r="T99" s="12"/>
      <c r="U99" s="12"/>
      <c r="V99" s="12"/>
      <c r="W99" s="12"/>
      <c r="X99" s="12"/>
    </row>
    <row r="100" spans="2:24">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spans="2:24">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spans="2:24">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spans="2:24">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spans="2:24">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spans="2:24">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spans="2:24">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spans="2:24">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spans="2:24">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spans="2:24">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spans="2:24">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spans="2:24">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spans="2:24">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spans="2:24">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spans="2:24">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spans="2:24">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spans="2:24">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spans="2:24">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spans="2:24">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spans="2:24">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spans="2:24">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spans="2:24">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spans="2:24">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spans="2:24">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spans="2:24">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spans="2:24">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spans="2:24">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spans="2:24">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spans="2:24">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spans="2:24">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spans="2:24">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spans="2:24">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spans="2:24">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spans="2:24">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spans="2:24">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spans="2:24">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spans="2:24">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spans="2:24">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spans="2:24">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spans="2:24">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spans="2:24">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spans="2:24">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spans="2:24">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spans="2:24">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spans="2:24">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spans="2:24">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spans="2:24">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spans="2:24">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spans="2:24">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spans="2:24">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spans="2:24">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spans="2:24">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spans="2:24">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spans="2:24">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spans="2:24">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spans="2:24">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spans="2:24">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spans="2:24">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spans="2:24">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spans="2:24">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spans="2:24">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spans="2:24">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spans="2:24">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spans="2:24">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spans="2:24">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spans="2:24">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spans="2:24">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spans="2:24">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spans="2:24">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spans="2:24">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spans="2:24">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spans="2:24">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spans="2:24">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spans="2:24">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spans="2:24">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spans="2:24">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spans="2:24">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spans="2:24">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spans="2:24">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spans="2:24">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spans="2:24">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spans="2:24">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spans="2:24">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spans="2:24">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spans="2:24">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spans="2:24">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spans="2:24">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spans="2:24">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spans="2:24">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spans="2:24">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spans="2:24">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spans="2:24">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spans="2:24">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spans="2:24">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spans="2:24">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spans="2:24">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spans="2:24">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spans="2:24">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spans="2:24">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spans="2:24">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spans="2:24">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spans="2:24">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spans="2:24">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spans="2:24">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spans="2:24">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spans="2:24">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spans="2:24">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spans="2:24">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spans="2:24">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spans="2:24">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spans="2:24">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spans="2:24">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spans="2:24">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spans="2:24">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spans="2:24">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spans="2:24">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spans="2:24">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spans="2:24">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spans="2:24">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spans="2:24">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spans="2:24">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spans="2:24">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spans="2:24">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spans="2:24">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spans="2:24">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spans="2:24">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spans="2:24">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spans="2:24">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spans="2:24">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spans="2:24">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spans="2:24">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spans="2:24">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spans="2:24">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spans="2:24">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spans="2:24">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spans="2:24">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spans="2:24">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spans="2:24">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spans="2:24">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spans="2:24">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spans="2:24">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spans="2:24">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spans="2:24">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spans="2:24">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spans="2:24">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spans="2:24">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spans="2:24">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spans="2:24">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spans="2:24">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spans="2:24">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spans="2:24">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spans="2:24">
      <c r="B251" s="12"/>
      <c r="C251" s="12"/>
      <c r="D251" s="12"/>
      <c r="E251" s="12"/>
      <c r="F251" s="12"/>
      <c r="G251" s="12"/>
      <c r="H251" s="12"/>
      <c r="I251" s="12"/>
      <c r="J251" s="12"/>
      <c r="K251" s="12"/>
      <c r="L251" s="12"/>
      <c r="M251" s="12"/>
      <c r="N251" s="12"/>
      <c r="O251" s="12"/>
      <c r="P251" s="12"/>
      <c r="Q251" s="12"/>
      <c r="R251" s="12"/>
      <c r="S251" s="12"/>
      <c r="T251" s="12"/>
      <c r="U251" s="12"/>
      <c r="V251" s="12"/>
      <c r="W251" s="12"/>
      <c r="X251" s="12"/>
    </row>
    <row r="252" spans="2:24">
      <c r="B252" s="12"/>
      <c r="C252" s="12"/>
      <c r="D252" s="12"/>
      <c r="E252" s="12"/>
      <c r="F252" s="12"/>
      <c r="G252" s="12"/>
      <c r="H252" s="12"/>
      <c r="I252" s="12"/>
      <c r="J252" s="12"/>
      <c r="K252" s="12"/>
      <c r="L252" s="12"/>
      <c r="M252" s="12"/>
      <c r="N252" s="12"/>
      <c r="O252" s="12"/>
      <c r="P252" s="12"/>
      <c r="Q252" s="12"/>
      <c r="R252" s="12"/>
      <c r="S252" s="12"/>
      <c r="T252" s="12"/>
      <c r="U252" s="12"/>
      <c r="V252" s="12"/>
      <c r="W252" s="12"/>
      <c r="X252" s="12"/>
    </row>
    <row r="253" spans="2:24">
      <c r="B253" s="12"/>
      <c r="C253" s="12"/>
      <c r="D253" s="12"/>
      <c r="E253" s="12"/>
      <c r="F253" s="12"/>
      <c r="G253" s="12"/>
      <c r="H253" s="12"/>
      <c r="I253" s="12"/>
      <c r="J253" s="12"/>
      <c r="K253" s="12"/>
      <c r="L253" s="12"/>
      <c r="M253" s="12"/>
      <c r="N253" s="12"/>
      <c r="O253" s="12"/>
      <c r="P253" s="12"/>
      <c r="Q253" s="12"/>
      <c r="R253" s="12"/>
      <c r="S253" s="12"/>
      <c r="T253" s="12"/>
      <c r="U253" s="12"/>
      <c r="V253" s="12"/>
      <c r="W253" s="12"/>
      <c r="X253" s="12"/>
    </row>
    <row r="254" spans="2:24">
      <c r="B254" s="12"/>
      <c r="C254" s="12"/>
      <c r="D254" s="12"/>
      <c r="E254" s="12"/>
      <c r="F254" s="12"/>
      <c r="G254" s="12"/>
      <c r="H254" s="12"/>
      <c r="I254" s="12"/>
      <c r="J254" s="12"/>
      <c r="K254" s="12"/>
      <c r="L254" s="12"/>
      <c r="M254" s="12"/>
      <c r="N254" s="12"/>
      <c r="O254" s="12"/>
      <c r="P254" s="12"/>
      <c r="Q254" s="12"/>
      <c r="R254" s="12"/>
      <c r="S254" s="12"/>
      <c r="T254" s="12"/>
      <c r="U254" s="12"/>
      <c r="V254" s="12"/>
      <c r="W254" s="12"/>
      <c r="X254" s="12"/>
    </row>
    <row r="255" spans="2:24">
      <c r="B255" s="12"/>
      <c r="C255" s="12"/>
      <c r="D255" s="12"/>
      <c r="E255" s="12"/>
      <c r="F255" s="12"/>
      <c r="G255" s="12"/>
      <c r="H255" s="12"/>
      <c r="I255" s="12"/>
      <c r="J255" s="12"/>
      <c r="K255" s="12"/>
      <c r="L255" s="12"/>
      <c r="M255" s="12"/>
      <c r="N255" s="12"/>
      <c r="O255" s="12"/>
      <c r="P255" s="12"/>
      <c r="Q255" s="12"/>
      <c r="R255" s="12"/>
      <c r="S255" s="12"/>
      <c r="T255" s="12"/>
      <c r="U255" s="12"/>
      <c r="V255" s="12"/>
      <c r="W255" s="12"/>
      <c r="X255" s="12"/>
    </row>
    <row r="256" spans="2:24">
      <c r="B256" s="12"/>
      <c r="C256" s="12"/>
      <c r="D256" s="12"/>
      <c r="E256" s="12"/>
      <c r="F256" s="12"/>
      <c r="G256" s="12"/>
      <c r="H256" s="12"/>
      <c r="I256" s="12"/>
      <c r="J256" s="12"/>
      <c r="K256" s="12"/>
      <c r="L256" s="12"/>
      <c r="M256" s="12"/>
      <c r="N256" s="12"/>
      <c r="O256" s="12"/>
      <c r="P256" s="12"/>
      <c r="Q256" s="12"/>
      <c r="R256" s="12"/>
      <c r="S256" s="12"/>
      <c r="T256" s="12"/>
      <c r="U256" s="12"/>
      <c r="V256" s="12"/>
      <c r="W256" s="12"/>
      <c r="X256" s="12"/>
    </row>
    <row r="257" spans="2:24">
      <c r="B257" s="12"/>
      <c r="C257" s="12"/>
      <c r="D257" s="12"/>
      <c r="E257" s="12"/>
      <c r="F257" s="12"/>
      <c r="G257" s="12"/>
      <c r="H257" s="12"/>
      <c r="I257" s="12"/>
      <c r="J257" s="12"/>
      <c r="K257" s="12"/>
      <c r="L257" s="12"/>
      <c r="M257" s="12"/>
      <c r="N257" s="12"/>
      <c r="O257" s="12"/>
      <c r="P257" s="12"/>
      <c r="Q257" s="12"/>
      <c r="R257" s="12"/>
      <c r="S257" s="12"/>
      <c r="T257" s="12"/>
      <c r="U257" s="12"/>
      <c r="V257" s="12"/>
      <c r="W257" s="12"/>
      <c r="X257" s="12"/>
    </row>
    <row r="258" spans="2:24">
      <c r="B258" s="12"/>
      <c r="C258" s="12"/>
      <c r="D258" s="12"/>
      <c r="E258" s="12"/>
      <c r="F258" s="12"/>
      <c r="G258" s="12"/>
      <c r="H258" s="12"/>
      <c r="I258" s="12"/>
      <c r="J258" s="12"/>
      <c r="K258" s="12"/>
      <c r="L258" s="12"/>
      <c r="M258" s="12"/>
      <c r="N258" s="12"/>
      <c r="O258" s="12"/>
      <c r="P258" s="12"/>
      <c r="Q258" s="12"/>
      <c r="R258" s="12"/>
      <c r="S258" s="12"/>
      <c r="T258" s="12"/>
      <c r="U258" s="12"/>
      <c r="V258" s="12"/>
      <c r="W258" s="12"/>
      <c r="X258" s="12"/>
    </row>
    <row r="259" spans="2:24">
      <c r="B259" s="12"/>
      <c r="C259" s="12"/>
      <c r="D259" s="12"/>
      <c r="E259" s="12"/>
      <c r="F259" s="12"/>
      <c r="G259" s="12"/>
      <c r="H259" s="12"/>
      <c r="I259" s="12"/>
      <c r="J259" s="12"/>
      <c r="K259" s="12"/>
      <c r="L259" s="12"/>
      <c r="M259" s="12"/>
      <c r="N259" s="12"/>
      <c r="O259" s="12"/>
      <c r="P259" s="12"/>
      <c r="Q259" s="12"/>
      <c r="R259" s="12"/>
      <c r="S259" s="12"/>
      <c r="T259" s="12"/>
      <c r="U259" s="12"/>
      <c r="V259" s="12"/>
      <c r="W259" s="12"/>
      <c r="X259" s="12"/>
    </row>
    <row r="260" spans="2:24">
      <c r="B260" s="12"/>
      <c r="C260" s="12"/>
      <c r="D260" s="12"/>
      <c r="E260" s="12"/>
      <c r="F260" s="12"/>
      <c r="G260" s="12"/>
      <c r="H260" s="12"/>
      <c r="I260" s="12"/>
      <c r="J260" s="12"/>
      <c r="K260" s="12"/>
      <c r="L260" s="12"/>
      <c r="M260" s="12"/>
      <c r="N260" s="12"/>
      <c r="O260" s="12"/>
      <c r="P260" s="12"/>
      <c r="Q260" s="12"/>
      <c r="R260" s="12"/>
      <c r="S260" s="12"/>
      <c r="T260" s="12"/>
      <c r="U260" s="12"/>
      <c r="V260" s="12"/>
      <c r="W260" s="12"/>
      <c r="X260" s="12"/>
    </row>
    <row r="261" spans="2:24">
      <c r="B261" s="12"/>
      <c r="C261" s="12"/>
      <c r="D261" s="12"/>
      <c r="E261" s="12"/>
      <c r="F261" s="12"/>
      <c r="G261" s="12"/>
      <c r="H261" s="12"/>
      <c r="I261" s="12"/>
      <c r="J261" s="12"/>
      <c r="K261" s="12"/>
      <c r="L261" s="12"/>
      <c r="M261" s="12"/>
      <c r="N261" s="12"/>
      <c r="O261" s="12"/>
      <c r="P261" s="12"/>
      <c r="Q261" s="12"/>
      <c r="R261" s="12"/>
      <c r="S261" s="12"/>
      <c r="T261" s="12"/>
      <c r="U261" s="12"/>
      <c r="V261" s="12"/>
      <c r="W261" s="12"/>
      <c r="X261" s="12"/>
    </row>
    <row r="262" spans="2:24">
      <c r="B262" s="12"/>
      <c r="C262" s="12"/>
      <c r="D262" s="12"/>
      <c r="E262" s="12"/>
      <c r="F262" s="12"/>
      <c r="G262" s="12"/>
      <c r="H262" s="12"/>
      <c r="I262" s="12"/>
      <c r="J262" s="12"/>
      <c r="K262" s="12"/>
      <c r="L262" s="12"/>
      <c r="M262" s="12"/>
      <c r="N262" s="12"/>
      <c r="O262" s="12"/>
      <c r="P262" s="12"/>
      <c r="Q262" s="12"/>
      <c r="R262" s="12"/>
      <c r="S262" s="12"/>
      <c r="T262" s="12"/>
      <c r="U262" s="12"/>
      <c r="V262" s="12"/>
      <c r="W262" s="12"/>
      <c r="X262" s="12"/>
    </row>
    <row r="263" spans="2:24">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spans="2:24">
      <c r="B264" s="12"/>
      <c r="C264" s="12"/>
      <c r="D264" s="12"/>
      <c r="E264" s="12"/>
      <c r="F264" s="12"/>
      <c r="G264" s="12"/>
      <c r="H264" s="12"/>
      <c r="I264" s="12"/>
      <c r="J264" s="12"/>
      <c r="K264" s="12"/>
      <c r="L264" s="12"/>
      <c r="M264" s="12"/>
      <c r="N264" s="12"/>
      <c r="O264" s="12"/>
      <c r="P264" s="12"/>
      <c r="Q264" s="12"/>
      <c r="R264" s="12"/>
      <c r="S264" s="12"/>
      <c r="T264" s="12"/>
      <c r="U264" s="12"/>
      <c r="V264" s="12"/>
      <c r="W264" s="12"/>
      <c r="X264" s="12"/>
    </row>
    <row r="265" spans="2:24">
      <c r="B265" s="12"/>
      <c r="C265" s="12"/>
      <c r="D265" s="12"/>
      <c r="E265" s="12"/>
      <c r="F265" s="12"/>
      <c r="G265" s="12"/>
      <c r="H265" s="12"/>
      <c r="I265" s="12"/>
      <c r="J265" s="12"/>
      <c r="K265" s="12"/>
      <c r="L265" s="12"/>
      <c r="M265" s="12"/>
      <c r="N265" s="12"/>
      <c r="O265" s="12"/>
      <c r="P265" s="12"/>
      <c r="Q265" s="12"/>
      <c r="R265" s="12"/>
      <c r="S265" s="12"/>
      <c r="T265" s="12"/>
      <c r="U265" s="12"/>
      <c r="V265" s="12"/>
      <c r="W265" s="12"/>
      <c r="X265" s="12"/>
    </row>
    <row r="266" spans="2:24">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spans="2:24">
      <c r="B267" s="12"/>
      <c r="C267" s="12"/>
      <c r="D267" s="12"/>
      <c r="E267" s="12"/>
      <c r="F267" s="12"/>
      <c r="G267" s="12"/>
      <c r="H267" s="12"/>
      <c r="I267" s="12"/>
      <c r="J267" s="12"/>
      <c r="K267" s="12"/>
      <c r="L267" s="12"/>
      <c r="M267" s="12"/>
      <c r="N267" s="12"/>
      <c r="O267" s="12"/>
      <c r="P267" s="12"/>
      <c r="Q267" s="12"/>
      <c r="R267" s="12"/>
      <c r="S267" s="12"/>
      <c r="T267" s="12"/>
      <c r="U267" s="12"/>
      <c r="V267" s="12"/>
      <c r="W267" s="12"/>
      <c r="X267" s="12"/>
    </row>
    <row r="268" spans="2:24">
      <c r="B268" s="12"/>
      <c r="C268" s="12"/>
      <c r="D268" s="12"/>
      <c r="E268" s="12"/>
      <c r="F268" s="12"/>
      <c r="G268" s="12"/>
      <c r="H268" s="12"/>
      <c r="I268" s="12"/>
      <c r="J268" s="12"/>
      <c r="K268" s="12"/>
      <c r="L268" s="12"/>
      <c r="M268" s="12"/>
      <c r="N268" s="12"/>
      <c r="O268" s="12"/>
      <c r="P268" s="12"/>
      <c r="Q268" s="12"/>
      <c r="R268" s="12"/>
      <c r="S268" s="12"/>
      <c r="T268" s="12"/>
      <c r="U268" s="12"/>
      <c r="V268" s="12"/>
      <c r="W268" s="12"/>
      <c r="X268" s="12"/>
    </row>
    <row r="269" spans="2:24">
      <c r="B269" s="12"/>
      <c r="C269" s="12"/>
      <c r="D269" s="12"/>
      <c r="E269" s="12"/>
      <c r="F269" s="12"/>
      <c r="G269" s="12"/>
      <c r="H269" s="12"/>
      <c r="I269" s="12"/>
      <c r="J269" s="12"/>
      <c r="K269" s="12"/>
      <c r="L269" s="12"/>
      <c r="M269" s="12"/>
      <c r="N269" s="12"/>
      <c r="O269" s="12"/>
      <c r="P269" s="12"/>
      <c r="Q269" s="12"/>
      <c r="R269" s="12"/>
      <c r="S269" s="12"/>
      <c r="T269" s="12"/>
      <c r="U269" s="12"/>
      <c r="V269" s="12"/>
      <c r="W269" s="12"/>
      <c r="X269" s="12"/>
    </row>
    <row r="270" spans="2:24">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spans="2:24">
      <c r="B271" s="12"/>
      <c r="C271" s="12"/>
      <c r="D271" s="12"/>
      <c r="E271" s="12"/>
      <c r="F271" s="12"/>
      <c r="G271" s="12"/>
      <c r="H271" s="12"/>
      <c r="I271" s="12"/>
      <c r="J271" s="12"/>
      <c r="K271" s="12"/>
      <c r="L271" s="12"/>
      <c r="M271" s="12"/>
      <c r="N271" s="12"/>
      <c r="O271" s="12"/>
      <c r="P271" s="12"/>
      <c r="Q271" s="12"/>
      <c r="R271" s="12"/>
      <c r="S271" s="12"/>
      <c r="T271" s="12"/>
      <c r="U271" s="12"/>
      <c r="V271" s="12"/>
      <c r="W271" s="12"/>
      <c r="X271" s="12"/>
    </row>
    <row r="272" spans="2:24">
      <c r="B272" s="12"/>
      <c r="C272" s="12"/>
      <c r="D272" s="12"/>
      <c r="E272" s="12"/>
      <c r="F272" s="12"/>
      <c r="G272" s="12"/>
      <c r="H272" s="12"/>
      <c r="I272" s="12"/>
      <c r="J272" s="12"/>
      <c r="K272" s="12"/>
      <c r="L272" s="12"/>
      <c r="M272" s="12"/>
      <c r="N272" s="12"/>
      <c r="O272" s="12"/>
      <c r="P272" s="12"/>
      <c r="Q272" s="12"/>
      <c r="R272" s="12"/>
      <c r="S272" s="12"/>
      <c r="T272" s="12"/>
      <c r="U272" s="12"/>
      <c r="V272" s="12"/>
      <c r="W272" s="12"/>
      <c r="X272" s="12"/>
    </row>
    <row r="273" spans="2:24">
      <c r="B273" s="12"/>
      <c r="C273" s="12"/>
      <c r="D273" s="12"/>
      <c r="E273" s="12"/>
      <c r="F273" s="12"/>
      <c r="G273" s="12"/>
      <c r="H273" s="12"/>
      <c r="I273" s="12"/>
      <c r="J273" s="12"/>
      <c r="K273" s="12"/>
      <c r="L273" s="12"/>
      <c r="M273" s="12"/>
      <c r="N273" s="12"/>
      <c r="O273" s="12"/>
      <c r="P273" s="12"/>
      <c r="Q273" s="12"/>
      <c r="R273" s="12"/>
      <c r="S273" s="12"/>
      <c r="T273" s="12"/>
      <c r="U273" s="12"/>
      <c r="V273" s="12"/>
      <c r="W273" s="12"/>
      <c r="X273" s="12"/>
    </row>
    <row r="274" spans="2:24">
      <c r="B274" s="12"/>
      <c r="C274" s="12"/>
      <c r="D274" s="12"/>
      <c r="E274" s="12"/>
      <c r="F274" s="12"/>
      <c r="G274" s="12"/>
      <c r="H274" s="12"/>
      <c r="I274" s="12"/>
      <c r="J274" s="12"/>
      <c r="K274" s="12"/>
      <c r="L274" s="12"/>
      <c r="M274" s="12"/>
      <c r="N274" s="12"/>
      <c r="O274" s="12"/>
      <c r="P274" s="12"/>
      <c r="Q274" s="12"/>
      <c r="R274" s="12"/>
      <c r="S274" s="12"/>
      <c r="T274" s="12"/>
      <c r="U274" s="12"/>
      <c r="V274" s="12"/>
      <c r="W274" s="12"/>
      <c r="X274" s="12"/>
    </row>
    <row r="275" spans="2:24">
      <c r="B275" s="12"/>
      <c r="C275" s="12"/>
      <c r="D275" s="12"/>
      <c r="E275" s="12"/>
      <c r="F275" s="12"/>
      <c r="G275" s="12"/>
      <c r="H275" s="12"/>
      <c r="I275" s="12"/>
      <c r="J275" s="12"/>
      <c r="K275" s="12"/>
      <c r="L275" s="12"/>
      <c r="M275" s="12"/>
      <c r="N275" s="12"/>
      <c r="O275" s="12"/>
      <c r="P275" s="12"/>
      <c r="Q275" s="12"/>
      <c r="R275" s="12"/>
      <c r="S275" s="12"/>
      <c r="T275" s="12"/>
      <c r="U275" s="12"/>
      <c r="V275" s="12"/>
      <c r="W275" s="12"/>
      <c r="X275" s="12"/>
    </row>
    <row r="276" spans="2:24">
      <c r="B276" s="12"/>
      <c r="C276" s="12"/>
      <c r="D276" s="12"/>
      <c r="E276" s="12"/>
      <c r="F276" s="12"/>
      <c r="G276" s="12"/>
      <c r="H276" s="12"/>
      <c r="I276" s="12"/>
      <c r="J276" s="12"/>
      <c r="K276" s="12"/>
      <c r="L276" s="12"/>
      <c r="M276" s="12"/>
      <c r="N276" s="12"/>
      <c r="O276" s="12"/>
      <c r="P276" s="12"/>
      <c r="Q276" s="12"/>
      <c r="R276" s="12"/>
      <c r="S276" s="12"/>
      <c r="T276" s="12"/>
      <c r="U276" s="12"/>
      <c r="V276" s="12"/>
      <c r="W276" s="12"/>
      <c r="X276" s="12"/>
    </row>
    <row r="277" spans="2:24">
      <c r="B277" s="12"/>
      <c r="C277" s="12"/>
      <c r="D277" s="12"/>
      <c r="E277" s="12"/>
      <c r="F277" s="12"/>
      <c r="G277" s="12"/>
      <c r="H277" s="12"/>
      <c r="I277" s="12"/>
      <c r="J277" s="12"/>
      <c r="K277" s="12"/>
      <c r="L277" s="12"/>
      <c r="M277" s="12"/>
      <c r="N277" s="12"/>
      <c r="O277" s="12"/>
      <c r="P277" s="12"/>
      <c r="Q277" s="12"/>
      <c r="R277" s="12"/>
      <c r="S277" s="12"/>
      <c r="T277" s="12"/>
      <c r="U277" s="12"/>
      <c r="V277" s="12"/>
      <c r="W277" s="12"/>
      <c r="X277" s="12"/>
    </row>
    <row r="278" spans="2:24">
      <c r="B278" s="12"/>
      <c r="C278" s="12"/>
      <c r="D278" s="12"/>
      <c r="E278" s="12"/>
      <c r="F278" s="12"/>
      <c r="G278" s="12"/>
      <c r="H278" s="12"/>
      <c r="I278" s="12"/>
      <c r="J278" s="12"/>
      <c r="K278" s="12"/>
      <c r="L278" s="12"/>
      <c r="M278" s="12"/>
      <c r="N278" s="12"/>
      <c r="O278" s="12"/>
      <c r="P278" s="12"/>
      <c r="Q278" s="12"/>
      <c r="R278" s="12"/>
      <c r="S278" s="12"/>
      <c r="T278" s="12"/>
      <c r="U278" s="12"/>
      <c r="V278" s="12"/>
      <c r="W278" s="12"/>
      <c r="X278" s="12"/>
    </row>
    <row r="279" spans="2:24">
      <c r="B279" s="12"/>
      <c r="C279" s="12"/>
      <c r="D279" s="12"/>
      <c r="E279" s="12"/>
      <c r="F279" s="12"/>
      <c r="G279" s="12"/>
      <c r="H279" s="12"/>
      <c r="I279" s="12"/>
      <c r="J279" s="12"/>
      <c r="K279" s="12"/>
      <c r="L279" s="12"/>
      <c r="M279" s="12"/>
      <c r="N279" s="12"/>
      <c r="O279" s="12"/>
      <c r="P279" s="12"/>
      <c r="Q279" s="12"/>
      <c r="R279" s="12"/>
      <c r="S279" s="12"/>
      <c r="T279" s="12"/>
      <c r="U279" s="12"/>
      <c r="V279" s="12"/>
      <c r="W279" s="12"/>
      <c r="X279" s="12"/>
    </row>
    <row r="280" spans="2:24">
      <c r="B280" s="12"/>
      <c r="C280" s="12"/>
      <c r="D280" s="12"/>
      <c r="E280" s="12"/>
      <c r="F280" s="12"/>
      <c r="G280" s="12"/>
      <c r="H280" s="12"/>
      <c r="I280" s="12"/>
      <c r="J280" s="12"/>
      <c r="K280" s="12"/>
      <c r="L280" s="12"/>
      <c r="M280" s="12"/>
      <c r="N280" s="12"/>
      <c r="O280" s="12"/>
      <c r="P280" s="12"/>
      <c r="Q280" s="12"/>
      <c r="R280" s="12"/>
      <c r="S280" s="12"/>
      <c r="T280" s="12"/>
      <c r="U280" s="12"/>
      <c r="V280" s="12"/>
      <c r="W280" s="12"/>
      <c r="X280" s="12"/>
    </row>
    <row r="281" spans="2:24">
      <c r="B281" s="12"/>
      <c r="C281" s="12"/>
      <c r="D281" s="12"/>
      <c r="E281" s="12"/>
      <c r="F281" s="12"/>
      <c r="G281" s="12"/>
      <c r="H281" s="12"/>
      <c r="I281" s="12"/>
      <c r="J281" s="12"/>
      <c r="K281" s="12"/>
      <c r="L281" s="12"/>
      <c r="M281" s="12"/>
      <c r="N281" s="12"/>
      <c r="O281" s="12"/>
      <c r="P281" s="12"/>
      <c r="Q281" s="12"/>
      <c r="R281" s="12"/>
      <c r="S281" s="12"/>
      <c r="T281" s="12"/>
      <c r="U281" s="12"/>
      <c r="V281" s="12"/>
      <c r="W281" s="12"/>
      <c r="X281" s="12"/>
    </row>
    <row r="282" spans="2:24">
      <c r="B282" s="12"/>
      <c r="C282" s="12"/>
      <c r="D282" s="12"/>
      <c r="E282" s="12"/>
      <c r="F282" s="12"/>
      <c r="G282" s="12"/>
      <c r="H282" s="12"/>
      <c r="I282" s="12"/>
      <c r="J282" s="12"/>
      <c r="K282" s="12"/>
      <c r="L282" s="12"/>
      <c r="M282" s="12"/>
      <c r="N282" s="12"/>
      <c r="O282" s="12"/>
      <c r="P282" s="12"/>
      <c r="Q282" s="12"/>
      <c r="R282" s="12"/>
      <c r="S282" s="12"/>
      <c r="T282" s="12"/>
      <c r="U282" s="12"/>
      <c r="V282" s="12"/>
      <c r="W282" s="12"/>
      <c r="X282" s="12"/>
    </row>
    <row r="283" spans="2:24">
      <c r="B283" s="12"/>
      <c r="C283" s="12"/>
      <c r="D283" s="12"/>
      <c r="E283" s="12"/>
      <c r="F283" s="12"/>
      <c r="G283" s="12"/>
      <c r="H283" s="12"/>
      <c r="I283" s="12"/>
      <c r="J283" s="12"/>
      <c r="K283" s="12"/>
      <c r="L283" s="12"/>
      <c r="M283" s="12"/>
      <c r="N283" s="12"/>
      <c r="O283" s="12"/>
      <c r="P283" s="12"/>
      <c r="Q283" s="12"/>
      <c r="R283" s="12"/>
      <c r="S283" s="12"/>
      <c r="T283" s="12"/>
      <c r="U283" s="12"/>
      <c r="V283" s="12"/>
      <c r="W283" s="12"/>
      <c r="X283" s="12"/>
    </row>
    <row r="284" spans="2:24">
      <c r="B284" s="12"/>
      <c r="C284" s="12"/>
      <c r="D284" s="12"/>
      <c r="E284" s="12"/>
      <c r="F284" s="12"/>
      <c r="G284" s="12"/>
      <c r="H284" s="12"/>
      <c r="I284" s="12"/>
      <c r="J284" s="12"/>
      <c r="K284" s="12"/>
      <c r="L284" s="12"/>
      <c r="M284" s="12"/>
      <c r="N284" s="12"/>
      <c r="O284" s="12"/>
      <c r="P284" s="12"/>
      <c r="Q284" s="12"/>
      <c r="R284" s="12"/>
      <c r="S284" s="12"/>
      <c r="T284" s="12"/>
      <c r="U284" s="12"/>
      <c r="V284" s="12"/>
      <c r="W284" s="12"/>
      <c r="X284" s="12"/>
    </row>
    <row r="285" spans="2:24">
      <c r="B285" s="12"/>
      <c r="C285" s="12"/>
      <c r="D285" s="12"/>
      <c r="E285" s="12"/>
      <c r="F285" s="12"/>
      <c r="G285" s="12"/>
      <c r="H285" s="12"/>
      <c r="I285" s="12"/>
      <c r="J285" s="12"/>
      <c r="K285" s="12"/>
      <c r="L285" s="12"/>
      <c r="M285" s="12"/>
      <c r="N285" s="12"/>
      <c r="O285" s="12"/>
      <c r="P285" s="12"/>
      <c r="Q285" s="12"/>
      <c r="R285" s="12"/>
      <c r="S285" s="12"/>
      <c r="T285" s="12"/>
      <c r="U285" s="12"/>
      <c r="V285" s="12"/>
      <c r="W285" s="12"/>
      <c r="X285" s="12"/>
    </row>
    <row r="286" spans="2:24">
      <c r="B286" s="12"/>
      <c r="C286" s="12"/>
      <c r="D286" s="12"/>
      <c r="E286" s="12"/>
      <c r="F286" s="12"/>
      <c r="G286" s="12"/>
      <c r="H286" s="12"/>
      <c r="I286" s="12"/>
      <c r="J286" s="12"/>
      <c r="K286" s="12"/>
      <c r="L286" s="12"/>
      <c r="M286" s="12"/>
      <c r="N286" s="12"/>
      <c r="O286" s="12"/>
      <c r="P286" s="12"/>
      <c r="Q286" s="12"/>
      <c r="R286" s="12"/>
      <c r="S286" s="12"/>
      <c r="T286" s="12"/>
      <c r="U286" s="12"/>
      <c r="V286" s="12"/>
      <c r="W286" s="12"/>
      <c r="X286" s="12"/>
    </row>
    <row r="287" spans="2:24">
      <c r="B287" s="12"/>
      <c r="C287" s="12"/>
      <c r="D287" s="12"/>
      <c r="E287" s="12"/>
      <c r="F287" s="12"/>
      <c r="G287" s="12"/>
      <c r="H287" s="12"/>
      <c r="I287" s="12"/>
      <c r="J287" s="12"/>
      <c r="K287" s="12"/>
      <c r="L287" s="12"/>
      <c r="M287" s="12"/>
      <c r="N287" s="12"/>
      <c r="O287" s="12"/>
      <c r="P287" s="12"/>
      <c r="Q287" s="12"/>
      <c r="R287" s="12"/>
      <c r="S287" s="12"/>
      <c r="T287" s="12"/>
      <c r="U287" s="12"/>
      <c r="V287" s="12"/>
      <c r="W287" s="12"/>
      <c r="X287" s="12"/>
    </row>
    <row r="288" spans="2:24">
      <c r="B288" s="12"/>
      <c r="C288" s="12"/>
      <c r="D288" s="12"/>
      <c r="E288" s="12"/>
      <c r="F288" s="12"/>
      <c r="G288" s="12"/>
      <c r="H288" s="12"/>
      <c r="I288" s="12"/>
      <c r="J288" s="12"/>
      <c r="K288" s="12"/>
      <c r="L288" s="12"/>
      <c r="M288" s="12"/>
      <c r="N288" s="12"/>
      <c r="O288" s="12"/>
      <c r="P288" s="12"/>
      <c r="Q288" s="12"/>
      <c r="R288" s="12"/>
      <c r="S288" s="12"/>
      <c r="T288" s="12"/>
      <c r="U288" s="12"/>
      <c r="V288" s="12"/>
      <c r="W288" s="12"/>
      <c r="X288" s="12"/>
    </row>
    <row r="289" spans="2:24">
      <c r="B289" s="12"/>
      <c r="C289" s="12"/>
      <c r="D289" s="12"/>
      <c r="E289" s="12"/>
      <c r="F289" s="12"/>
      <c r="G289" s="12"/>
      <c r="H289" s="12"/>
      <c r="I289" s="12"/>
      <c r="J289" s="12"/>
      <c r="K289" s="12"/>
      <c r="L289" s="12"/>
      <c r="M289" s="12"/>
      <c r="N289" s="12"/>
      <c r="O289" s="12"/>
      <c r="P289" s="12"/>
      <c r="Q289" s="12"/>
      <c r="R289" s="12"/>
      <c r="S289" s="12"/>
      <c r="T289" s="12"/>
      <c r="U289" s="12"/>
      <c r="V289" s="12"/>
      <c r="W289" s="12"/>
      <c r="X289" s="12"/>
    </row>
    <row r="290" spans="2:24">
      <c r="B290" s="12"/>
      <c r="C290" s="12"/>
      <c r="D290" s="12"/>
      <c r="E290" s="12"/>
      <c r="F290" s="12"/>
      <c r="G290" s="12"/>
      <c r="H290" s="12"/>
      <c r="I290" s="12"/>
      <c r="J290" s="12"/>
      <c r="K290" s="12"/>
      <c r="L290" s="12"/>
      <c r="M290" s="12"/>
      <c r="N290" s="12"/>
      <c r="O290" s="12"/>
      <c r="P290" s="12"/>
      <c r="Q290" s="12"/>
      <c r="R290" s="12"/>
      <c r="S290" s="12"/>
      <c r="T290" s="12"/>
      <c r="U290" s="12"/>
      <c r="V290" s="12"/>
      <c r="W290" s="12"/>
      <c r="X290" s="12"/>
    </row>
    <row r="291" spans="2:24">
      <c r="B291" s="12"/>
      <c r="C291" s="12"/>
      <c r="D291" s="12"/>
      <c r="E291" s="12"/>
      <c r="F291" s="12"/>
      <c r="G291" s="12"/>
      <c r="H291" s="12"/>
      <c r="I291" s="12"/>
      <c r="J291" s="12"/>
      <c r="K291" s="12"/>
      <c r="L291" s="12"/>
      <c r="M291" s="12"/>
      <c r="N291" s="12"/>
      <c r="O291" s="12"/>
      <c r="P291" s="12"/>
      <c r="Q291" s="12"/>
      <c r="R291" s="12"/>
      <c r="S291" s="12"/>
      <c r="T291" s="12"/>
      <c r="U291" s="12"/>
      <c r="V291" s="12"/>
      <c r="W291" s="12"/>
      <c r="X291" s="12"/>
    </row>
    <row r="292" spans="2:24">
      <c r="B292" s="12"/>
      <c r="C292" s="12"/>
      <c r="D292" s="12"/>
      <c r="E292" s="12"/>
      <c r="F292" s="12"/>
      <c r="G292" s="12"/>
      <c r="H292" s="12"/>
      <c r="I292" s="12"/>
      <c r="J292" s="12"/>
      <c r="K292" s="12"/>
      <c r="L292" s="12"/>
      <c r="M292" s="12"/>
      <c r="N292" s="12"/>
      <c r="O292" s="12"/>
      <c r="P292" s="12"/>
      <c r="Q292" s="12"/>
      <c r="R292" s="12"/>
      <c r="S292" s="12"/>
      <c r="T292" s="12"/>
      <c r="U292" s="12"/>
      <c r="V292" s="12"/>
      <c r="W292" s="12"/>
      <c r="X292" s="12"/>
    </row>
    <row r="293" spans="2:24">
      <c r="B293" s="12"/>
      <c r="C293" s="12"/>
      <c r="D293" s="12"/>
      <c r="E293" s="12"/>
      <c r="F293" s="12"/>
      <c r="G293" s="12"/>
      <c r="H293" s="12"/>
      <c r="I293" s="12"/>
      <c r="J293" s="12"/>
      <c r="K293" s="12"/>
      <c r="L293" s="12"/>
      <c r="M293" s="12"/>
      <c r="N293" s="12"/>
      <c r="O293" s="12"/>
      <c r="P293" s="12"/>
      <c r="Q293" s="12"/>
      <c r="R293" s="12"/>
      <c r="S293" s="12"/>
      <c r="T293" s="12"/>
      <c r="U293" s="12"/>
      <c r="V293" s="12"/>
      <c r="W293" s="12"/>
      <c r="X293" s="12"/>
    </row>
    <row r="294" spans="2:24">
      <c r="B294" s="12"/>
      <c r="C294" s="12"/>
      <c r="D294" s="12"/>
      <c r="E294" s="12"/>
      <c r="F294" s="12"/>
      <c r="G294" s="12"/>
      <c r="H294" s="12"/>
      <c r="I294" s="12"/>
      <c r="J294" s="12"/>
      <c r="K294" s="12"/>
      <c r="L294" s="12"/>
      <c r="M294" s="12"/>
      <c r="N294" s="12"/>
      <c r="O294" s="12"/>
      <c r="P294" s="12"/>
      <c r="Q294" s="12"/>
      <c r="R294" s="12"/>
      <c r="S294" s="12"/>
      <c r="T294" s="12"/>
      <c r="U294" s="12"/>
      <c r="V294" s="12"/>
      <c r="W294" s="12"/>
      <c r="X294" s="12"/>
    </row>
    <row r="295" spans="2:24">
      <c r="B295" s="12"/>
      <c r="C295" s="12"/>
      <c r="D295" s="12"/>
      <c r="E295" s="12"/>
      <c r="F295" s="12"/>
      <c r="G295" s="12"/>
      <c r="H295" s="12"/>
      <c r="I295" s="12"/>
      <c r="J295" s="12"/>
      <c r="K295" s="12"/>
      <c r="L295" s="12"/>
      <c r="M295" s="12"/>
      <c r="N295" s="12"/>
      <c r="O295" s="12"/>
      <c r="P295" s="12"/>
      <c r="Q295" s="12"/>
      <c r="R295" s="12"/>
      <c r="S295" s="12"/>
      <c r="T295" s="12"/>
      <c r="U295" s="12"/>
      <c r="V295" s="12"/>
      <c r="W295" s="12"/>
      <c r="X295" s="12"/>
    </row>
    <row r="296" spans="2:24">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spans="2:24">
      <c r="B297" s="12"/>
      <c r="C297" s="12"/>
      <c r="D297" s="12"/>
      <c r="E297" s="12"/>
      <c r="F297" s="12"/>
      <c r="G297" s="12"/>
      <c r="H297" s="12"/>
      <c r="I297" s="12"/>
      <c r="J297" s="12"/>
      <c r="K297" s="12"/>
      <c r="L297" s="12"/>
      <c r="M297" s="12"/>
      <c r="N297" s="12"/>
      <c r="O297" s="12"/>
      <c r="P297" s="12"/>
      <c r="Q297" s="12"/>
      <c r="R297" s="12"/>
      <c r="S297" s="12"/>
      <c r="T297" s="12"/>
      <c r="U297" s="12"/>
      <c r="V297" s="12"/>
      <c r="W297" s="12"/>
      <c r="X297" s="12"/>
    </row>
    <row r="298" spans="2:24">
      <c r="B298" s="12"/>
      <c r="C298" s="12"/>
      <c r="D298" s="12"/>
      <c r="E298" s="12"/>
      <c r="F298" s="12"/>
      <c r="G298" s="12"/>
      <c r="H298" s="12"/>
      <c r="I298" s="12"/>
      <c r="J298" s="12"/>
      <c r="K298" s="12"/>
      <c r="L298" s="12"/>
      <c r="M298" s="12"/>
      <c r="N298" s="12"/>
      <c r="O298" s="12"/>
      <c r="P298" s="12"/>
      <c r="Q298" s="12"/>
      <c r="R298" s="12"/>
      <c r="S298" s="12"/>
      <c r="T298" s="12"/>
      <c r="U298" s="12"/>
      <c r="V298" s="12"/>
      <c r="W298" s="12"/>
      <c r="X298" s="12"/>
    </row>
    <row r="299" spans="2:24">
      <c r="B299" s="12"/>
      <c r="C299" s="12"/>
      <c r="D299" s="12"/>
      <c r="E299" s="12"/>
      <c r="F299" s="12"/>
      <c r="G299" s="12"/>
      <c r="H299" s="12"/>
      <c r="I299" s="12"/>
      <c r="J299" s="12"/>
      <c r="K299" s="12"/>
      <c r="L299" s="12"/>
      <c r="M299" s="12"/>
      <c r="N299" s="12"/>
      <c r="O299" s="12"/>
      <c r="P299" s="12"/>
      <c r="Q299" s="12"/>
      <c r="R299" s="12"/>
      <c r="S299" s="12"/>
      <c r="T299" s="12"/>
      <c r="U299" s="12"/>
      <c r="V299" s="12"/>
      <c r="W299" s="12"/>
      <c r="X299" s="12"/>
    </row>
    <row r="300" spans="2:24">
      <c r="B300" s="12"/>
      <c r="C300" s="12"/>
      <c r="D300" s="12"/>
      <c r="E300" s="12"/>
      <c r="F300" s="12"/>
      <c r="G300" s="12"/>
      <c r="H300" s="12"/>
      <c r="I300" s="12"/>
      <c r="J300" s="12"/>
      <c r="K300" s="12"/>
      <c r="L300" s="12"/>
      <c r="M300" s="12"/>
      <c r="N300" s="12"/>
      <c r="O300" s="12"/>
      <c r="P300" s="12"/>
      <c r="Q300" s="12"/>
      <c r="R300" s="12"/>
      <c r="S300" s="12"/>
      <c r="T300" s="12"/>
      <c r="U300" s="12"/>
      <c r="V300" s="12"/>
      <c r="W300" s="12"/>
      <c r="X300" s="12"/>
    </row>
    <row r="301" spans="2:24">
      <c r="B301" s="12"/>
      <c r="C301" s="12"/>
      <c r="D301" s="12"/>
      <c r="E301" s="12"/>
      <c r="F301" s="12"/>
      <c r="G301" s="12"/>
      <c r="H301" s="12"/>
      <c r="I301" s="12"/>
      <c r="J301" s="12"/>
      <c r="K301" s="12"/>
      <c r="L301" s="12"/>
      <c r="M301" s="12"/>
      <c r="N301" s="12"/>
      <c r="O301" s="12"/>
      <c r="P301" s="12"/>
      <c r="Q301" s="12"/>
      <c r="R301" s="12"/>
      <c r="S301" s="12"/>
      <c r="T301" s="12"/>
      <c r="U301" s="12"/>
      <c r="V301" s="12"/>
      <c r="W301" s="12"/>
      <c r="X301" s="12"/>
    </row>
    <row r="302" spans="2:24">
      <c r="B302" s="12"/>
      <c r="C302" s="12"/>
      <c r="D302" s="12"/>
      <c r="E302" s="12"/>
      <c r="F302" s="12"/>
      <c r="G302" s="12"/>
      <c r="H302" s="12"/>
      <c r="I302" s="12"/>
      <c r="J302" s="12"/>
      <c r="K302" s="12"/>
      <c r="L302" s="12"/>
      <c r="M302" s="12"/>
      <c r="N302" s="12"/>
      <c r="O302" s="12"/>
      <c r="P302" s="12"/>
      <c r="Q302" s="12"/>
      <c r="R302" s="12"/>
      <c r="S302" s="12"/>
      <c r="T302" s="12"/>
      <c r="U302" s="12"/>
      <c r="V302" s="12"/>
      <c r="W302" s="12"/>
      <c r="X302" s="12"/>
    </row>
    <row r="303" spans="2:24">
      <c r="B303" s="12"/>
      <c r="C303" s="12"/>
      <c r="D303" s="12"/>
      <c r="E303" s="12"/>
      <c r="F303" s="12"/>
      <c r="G303" s="12"/>
      <c r="H303" s="12"/>
      <c r="I303" s="12"/>
      <c r="J303" s="12"/>
      <c r="K303" s="12"/>
      <c r="L303" s="12"/>
      <c r="M303" s="12"/>
      <c r="N303" s="12"/>
      <c r="O303" s="12"/>
      <c r="P303" s="12"/>
      <c r="Q303" s="12"/>
      <c r="R303" s="12"/>
      <c r="S303" s="12"/>
      <c r="T303" s="12"/>
      <c r="U303" s="12"/>
      <c r="V303" s="12"/>
      <c r="W303" s="12"/>
      <c r="X303" s="12"/>
    </row>
    <row r="304" spans="2:24">
      <c r="B304" s="12"/>
      <c r="C304" s="12"/>
      <c r="D304" s="12"/>
      <c r="E304" s="12"/>
      <c r="F304" s="12"/>
      <c r="G304" s="12"/>
      <c r="H304" s="12"/>
      <c r="I304" s="12"/>
      <c r="J304" s="12"/>
      <c r="K304" s="12"/>
      <c r="L304" s="12"/>
      <c r="M304" s="12"/>
      <c r="N304" s="12"/>
      <c r="O304" s="12"/>
      <c r="P304" s="12"/>
      <c r="Q304" s="12"/>
      <c r="R304" s="12"/>
      <c r="S304" s="12"/>
      <c r="T304" s="12"/>
      <c r="U304" s="12"/>
      <c r="V304" s="12"/>
      <c r="W304" s="12"/>
      <c r="X304" s="12"/>
    </row>
    <row r="305" spans="2:24">
      <c r="B305" s="12"/>
      <c r="C305" s="12"/>
      <c r="D305" s="12"/>
      <c r="E305" s="12"/>
      <c r="F305" s="12"/>
      <c r="G305" s="12"/>
      <c r="H305" s="12"/>
      <c r="I305" s="12"/>
      <c r="J305" s="12"/>
      <c r="K305" s="12"/>
      <c r="L305" s="12"/>
      <c r="M305" s="12"/>
      <c r="N305" s="12"/>
      <c r="O305" s="12"/>
      <c r="P305" s="12"/>
      <c r="Q305" s="12"/>
      <c r="R305" s="12"/>
      <c r="S305" s="12"/>
      <c r="T305" s="12"/>
      <c r="U305" s="12"/>
      <c r="V305" s="12"/>
      <c r="W305" s="12"/>
      <c r="X305" s="12"/>
    </row>
    <row r="306" spans="2:24">
      <c r="B306" s="12"/>
      <c r="C306" s="12"/>
      <c r="D306" s="12"/>
      <c r="E306" s="12"/>
      <c r="F306" s="12"/>
      <c r="G306" s="12"/>
      <c r="H306" s="12"/>
      <c r="I306" s="12"/>
      <c r="J306" s="12"/>
      <c r="K306" s="12"/>
      <c r="L306" s="12"/>
      <c r="M306" s="12"/>
      <c r="N306" s="12"/>
      <c r="O306" s="12"/>
      <c r="P306" s="12"/>
      <c r="Q306" s="12"/>
      <c r="R306" s="12"/>
      <c r="S306" s="12"/>
      <c r="T306" s="12"/>
      <c r="U306" s="12"/>
      <c r="V306" s="12"/>
      <c r="W306" s="12"/>
      <c r="X306" s="12"/>
    </row>
    <row r="307" spans="2:24">
      <c r="B307" s="12"/>
      <c r="C307" s="12"/>
      <c r="D307" s="12"/>
      <c r="E307" s="12"/>
      <c r="F307" s="12"/>
      <c r="G307" s="12"/>
      <c r="H307" s="12"/>
      <c r="I307" s="12"/>
      <c r="J307" s="12"/>
      <c r="K307" s="12"/>
      <c r="L307" s="12"/>
      <c r="M307" s="12"/>
      <c r="N307" s="12"/>
      <c r="O307" s="12"/>
      <c r="P307" s="12"/>
      <c r="Q307" s="12"/>
      <c r="R307" s="12"/>
      <c r="S307" s="12"/>
      <c r="T307" s="12"/>
      <c r="U307" s="12"/>
      <c r="V307" s="12"/>
      <c r="W307" s="12"/>
      <c r="X307" s="12"/>
    </row>
    <row r="308" spans="2:24">
      <c r="B308" s="12"/>
      <c r="C308" s="12"/>
      <c r="D308" s="12"/>
      <c r="E308" s="12"/>
      <c r="F308" s="12"/>
      <c r="G308" s="12"/>
      <c r="H308" s="12"/>
      <c r="I308" s="12"/>
      <c r="J308" s="12"/>
      <c r="K308" s="12"/>
      <c r="L308" s="12"/>
      <c r="M308" s="12"/>
      <c r="N308" s="12"/>
      <c r="O308" s="12"/>
      <c r="P308" s="12"/>
      <c r="Q308" s="12"/>
      <c r="R308" s="12"/>
      <c r="S308" s="12"/>
      <c r="T308" s="12"/>
      <c r="U308" s="12"/>
      <c r="V308" s="12"/>
      <c r="W308" s="12"/>
      <c r="X308" s="12"/>
    </row>
    <row r="309" spans="2:24">
      <c r="B309" s="12"/>
      <c r="C309" s="12"/>
      <c r="D309" s="12"/>
      <c r="E309" s="12"/>
      <c r="F309" s="12"/>
      <c r="G309" s="12"/>
      <c r="H309" s="12"/>
      <c r="I309" s="12"/>
      <c r="J309" s="12"/>
      <c r="K309" s="12"/>
      <c r="L309" s="12"/>
      <c r="M309" s="12"/>
      <c r="N309" s="12"/>
      <c r="O309" s="12"/>
      <c r="P309" s="12"/>
      <c r="Q309" s="12"/>
      <c r="R309" s="12"/>
      <c r="S309" s="12"/>
      <c r="T309" s="12"/>
      <c r="U309" s="12"/>
      <c r="V309" s="12"/>
      <c r="W309" s="12"/>
      <c r="X309" s="12"/>
    </row>
    <row r="310" spans="2:24">
      <c r="B310" s="12"/>
      <c r="C310" s="12"/>
      <c r="D310" s="12"/>
      <c r="E310" s="12"/>
      <c r="F310" s="12"/>
      <c r="G310" s="12"/>
      <c r="H310" s="12"/>
      <c r="I310" s="12"/>
      <c r="J310" s="12"/>
      <c r="K310" s="12"/>
      <c r="L310" s="12"/>
      <c r="M310" s="12"/>
      <c r="N310" s="12"/>
      <c r="O310" s="12"/>
      <c r="P310" s="12"/>
      <c r="Q310" s="12"/>
      <c r="R310" s="12"/>
      <c r="S310" s="12"/>
      <c r="T310" s="12"/>
      <c r="U310" s="12"/>
      <c r="V310" s="12"/>
      <c r="W310" s="12"/>
      <c r="X310" s="12"/>
    </row>
    <row r="311" spans="2:24">
      <c r="B311" s="12"/>
      <c r="C311" s="12"/>
      <c r="D311" s="12"/>
      <c r="E311" s="12"/>
      <c r="F311" s="12"/>
      <c r="G311" s="12"/>
      <c r="H311" s="12"/>
      <c r="I311" s="12"/>
      <c r="J311" s="12"/>
      <c r="K311" s="12"/>
      <c r="L311" s="12"/>
      <c r="M311" s="12"/>
      <c r="N311" s="12"/>
      <c r="O311" s="12"/>
      <c r="P311" s="12"/>
      <c r="Q311" s="12"/>
      <c r="R311" s="12"/>
      <c r="S311" s="12"/>
      <c r="T311" s="12"/>
      <c r="U311" s="12"/>
      <c r="V311" s="12"/>
      <c r="W311" s="12"/>
      <c r="X311" s="12"/>
    </row>
    <row r="312" spans="2:24">
      <c r="B312" s="12"/>
      <c r="C312" s="12"/>
      <c r="D312" s="12"/>
      <c r="E312" s="12"/>
      <c r="F312" s="12"/>
      <c r="G312" s="12"/>
      <c r="H312" s="12"/>
      <c r="I312" s="12"/>
      <c r="J312" s="12"/>
      <c r="K312" s="12"/>
      <c r="L312" s="12"/>
      <c r="M312" s="12"/>
      <c r="N312" s="12"/>
      <c r="O312" s="12"/>
      <c r="P312" s="12"/>
      <c r="Q312" s="12"/>
      <c r="R312" s="12"/>
      <c r="S312" s="12"/>
      <c r="T312" s="12"/>
      <c r="U312" s="12"/>
      <c r="V312" s="12"/>
      <c r="W312" s="12"/>
      <c r="X312" s="12"/>
    </row>
    <row r="313" spans="2:24">
      <c r="B313" s="12"/>
      <c r="C313" s="12"/>
      <c r="D313" s="12"/>
      <c r="E313" s="12"/>
      <c r="F313" s="12"/>
      <c r="G313" s="12"/>
      <c r="H313" s="12"/>
      <c r="I313" s="12"/>
      <c r="J313" s="12"/>
      <c r="K313" s="12"/>
      <c r="L313" s="12"/>
      <c r="M313" s="12"/>
      <c r="N313" s="12"/>
      <c r="O313" s="12"/>
      <c r="P313" s="12"/>
      <c r="Q313" s="12"/>
      <c r="R313" s="12"/>
      <c r="S313" s="12"/>
      <c r="T313" s="12"/>
      <c r="U313" s="12"/>
      <c r="V313" s="12"/>
      <c r="W313" s="12"/>
      <c r="X313" s="12"/>
    </row>
    <row r="314" spans="2:24">
      <c r="B314" s="12"/>
      <c r="C314" s="12"/>
      <c r="D314" s="12"/>
      <c r="E314" s="12"/>
      <c r="F314" s="12"/>
      <c r="G314" s="12"/>
      <c r="H314" s="12"/>
      <c r="I314" s="12"/>
      <c r="J314" s="12"/>
      <c r="K314" s="12"/>
      <c r="L314" s="12"/>
      <c r="M314" s="12"/>
      <c r="N314" s="12"/>
      <c r="O314" s="12"/>
      <c r="P314" s="12"/>
      <c r="Q314" s="12"/>
      <c r="R314" s="12"/>
      <c r="S314" s="12"/>
      <c r="T314" s="12"/>
      <c r="U314" s="12"/>
      <c r="V314" s="12"/>
      <c r="W314" s="12"/>
      <c r="X314" s="12"/>
    </row>
    <row r="315" spans="2:24">
      <c r="B315" s="12"/>
      <c r="C315" s="12"/>
      <c r="D315" s="12"/>
      <c r="E315" s="12"/>
      <c r="F315" s="12"/>
      <c r="G315" s="12"/>
      <c r="H315" s="12"/>
      <c r="I315" s="12"/>
      <c r="J315" s="12"/>
      <c r="K315" s="12"/>
      <c r="L315" s="12"/>
      <c r="M315" s="12"/>
      <c r="N315" s="12"/>
      <c r="O315" s="12"/>
      <c r="P315" s="12"/>
      <c r="Q315" s="12"/>
      <c r="R315" s="12"/>
      <c r="S315" s="12"/>
      <c r="T315" s="12"/>
      <c r="U315" s="12"/>
      <c r="V315" s="12"/>
      <c r="W315" s="12"/>
      <c r="X315" s="12"/>
    </row>
    <row r="316" spans="2:24">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spans="2:24">
      <c r="B317" s="12"/>
      <c r="C317" s="12"/>
      <c r="D317" s="12"/>
      <c r="E317" s="12"/>
      <c r="F317" s="12"/>
      <c r="G317" s="12"/>
      <c r="H317" s="12"/>
      <c r="I317" s="12"/>
      <c r="J317" s="12"/>
      <c r="K317" s="12"/>
      <c r="L317" s="12"/>
      <c r="M317" s="12"/>
      <c r="N317" s="12"/>
      <c r="O317" s="12"/>
      <c r="P317" s="12"/>
      <c r="Q317" s="12"/>
      <c r="R317" s="12"/>
      <c r="S317" s="12"/>
      <c r="T317" s="12"/>
      <c r="U317" s="12"/>
      <c r="V317" s="12"/>
      <c r="W317" s="12"/>
      <c r="X317" s="12"/>
    </row>
    <row r="318" spans="2:24">
      <c r="B318" s="12"/>
      <c r="C318" s="12"/>
      <c r="D318" s="12"/>
      <c r="E318" s="12"/>
      <c r="F318" s="12"/>
      <c r="G318" s="12"/>
      <c r="H318" s="12"/>
      <c r="I318" s="12"/>
      <c r="J318" s="12"/>
      <c r="K318" s="12"/>
      <c r="L318" s="12"/>
      <c r="M318" s="12"/>
      <c r="N318" s="12"/>
      <c r="O318" s="12"/>
      <c r="P318" s="12"/>
      <c r="Q318" s="12"/>
      <c r="R318" s="12"/>
      <c r="S318" s="12"/>
      <c r="T318" s="12"/>
      <c r="U318" s="12"/>
      <c r="V318" s="12"/>
      <c r="W318" s="12"/>
      <c r="X318" s="12"/>
    </row>
    <row r="319" spans="2:24">
      <c r="B319" s="12"/>
      <c r="C319" s="12"/>
      <c r="D319" s="12"/>
      <c r="E319" s="12"/>
      <c r="F319" s="12"/>
      <c r="G319" s="12"/>
      <c r="H319" s="12"/>
      <c r="I319" s="12"/>
      <c r="J319" s="12"/>
      <c r="K319" s="12"/>
      <c r="L319" s="12"/>
      <c r="M319" s="12"/>
      <c r="N319" s="12"/>
      <c r="O319" s="12"/>
      <c r="P319" s="12"/>
      <c r="Q319" s="12"/>
      <c r="R319" s="12"/>
      <c r="S319" s="12"/>
      <c r="T319" s="12"/>
      <c r="U319" s="12"/>
      <c r="V319" s="12"/>
      <c r="W319" s="12"/>
      <c r="X319" s="12"/>
    </row>
    <row r="320" spans="2:24">
      <c r="B320" s="12"/>
      <c r="C320" s="12"/>
      <c r="D320" s="12"/>
      <c r="E320" s="12"/>
      <c r="F320" s="12"/>
      <c r="G320" s="12"/>
      <c r="H320" s="12"/>
      <c r="I320" s="12"/>
      <c r="J320" s="12"/>
      <c r="K320" s="12"/>
      <c r="L320" s="12"/>
      <c r="M320" s="12"/>
      <c r="N320" s="12"/>
      <c r="O320" s="12"/>
      <c r="P320" s="12"/>
      <c r="Q320" s="12"/>
      <c r="R320" s="12"/>
      <c r="S320" s="12"/>
      <c r="T320" s="12"/>
      <c r="U320" s="12"/>
      <c r="V320" s="12"/>
      <c r="W320" s="12"/>
      <c r="X320" s="12"/>
    </row>
    <row r="321" spans="2:24">
      <c r="B321" s="12"/>
      <c r="C321" s="12"/>
      <c r="D321" s="12"/>
      <c r="E321" s="12"/>
      <c r="F321" s="12"/>
      <c r="G321" s="12"/>
      <c r="H321" s="12"/>
      <c r="I321" s="12"/>
      <c r="J321" s="12"/>
      <c r="K321" s="12"/>
      <c r="L321" s="12"/>
      <c r="M321" s="12"/>
      <c r="N321" s="12"/>
      <c r="O321" s="12"/>
      <c r="P321" s="12"/>
      <c r="Q321" s="12"/>
      <c r="R321" s="12"/>
      <c r="S321" s="12"/>
      <c r="T321" s="12"/>
      <c r="U321" s="12"/>
      <c r="V321" s="12"/>
      <c r="W321" s="12"/>
      <c r="X321" s="12"/>
    </row>
    <row r="322" spans="2:24">
      <c r="B322" s="12"/>
      <c r="C322" s="12"/>
      <c r="D322" s="12"/>
      <c r="E322" s="12"/>
      <c r="F322" s="12"/>
      <c r="G322" s="12"/>
      <c r="H322" s="12"/>
      <c r="I322" s="12"/>
      <c r="J322" s="12"/>
      <c r="K322" s="12"/>
      <c r="L322" s="12"/>
      <c r="M322" s="12"/>
      <c r="N322" s="12"/>
      <c r="O322" s="12"/>
      <c r="P322" s="12"/>
      <c r="Q322" s="12"/>
      <c r="R322" s="12"/>
      <c r="S322" s="12"/>
      <c r="T322" s="12"/>
      <c r="U322" s="12"/>
      <c r="V322" s="12"/>
      <c r="W322" s="12"/>
      <c r="X322" s="12"/>
    </row>
    <row r="323" spans="2:24">
      <c r="B323" s="12"/>
      <c r="C323" s="12"/>
      <c r="D323" s="12"/>
      <c r="E323" s="12"/>
      <c r="F323" s="12"/>
      <c r="G323" s="12"/>
      <c r="H323" s="12"/>
      <c r="I323" s="12"/>
      <c r="J323" s="12"/>
      <c r="K323" s="12"/>
      <c r="L323" s="12"/>
      <c r="M323" s="12"/>
      <c r="N323" s="12"/>
      <c r="O323" s="12"/>
      <c r="P323" s="12"/>
      <c r="Q323" s="12"/>
      <c r="R323" s="12"/>
      <c r="S323" s="12"/>
      <c r="T323" s="12"/>
      <c r="U323" s="12"/>
      <c r="V323" s="12"/>
      <c r="W323" s="12"/>
      <c r="X323" s="12"/>
    </row>
    <row r="324" spans="2:24">
      <c r="B324" s="12"/>
      <c r="C324" s="12"/>
      <c r="D324" s="12"/>
      <c r="E324" s="12"/>
      <c r="F324" s="12"/>
      <c r="G324" s="12"/>
      <c r="H324" s="12"/>
      <c r="I324" s="12"/>
      <c r="J324" s="12"/>
      <c r="K324" s="12"/>
      <c r="L324" s="12"/>
      <c r="M324" s="12"/>
      <c r="N324" s="12"/>
      <c r="O324" s="12"/>
      <c r="P324" s="12"/>
      <c r="Q324" s="12"/>
      <c r="R324" s="12"/>
      <c r="S324" s="12"/>
      <c r="T324" s="12"/>
      <c r="U324" s="12"/>
      <c r="V324" s="12"/>
      <c r="W324" s="12"/>
      <c r="X324" s="12"/>
    </row>
    <row r="325" spans="2:24">
      <c r="B325" s="12"/>
      <c r="C325" s="12"/>
      <c r="D325" s="12"/>
      <c r="E325" s="12"/>
      <c r="F325" s="12"/>
      <c r="G325" s="12"/>
      <c r="H325" s="12"/>
      <c r="I325" s="12"/>
      <c r="J325" s="12"/>
      <c r="K325" s="12"/>
      <c r="L325" s="12"/>
      <c r="M325" s="12"/>
      <c r="N325" s="12"/>
      <c r="O325" s="12"/>
      <c r="P325" s="12"/>
      <c r="Q325" s="12"/>
      <c r="R325" s="12"/>
      <c r="S325" s="12"/>
      <c r="T325" s="12"/>
      <c r="U325" s="12"/>
      <c r="V325" s="12"/>
      <c r="W325" s="12"/>
      <c r="X325" s="12"/>
    </row>
    <row r="326" spans="2:24">
      <c r="B326" s="12"/>
      <c r="C326" s="12"/>
      <c r="D326" s="12"/>
      <c r="E326" s="12"/>
      <c r="F326" s="12"/>
      <c r="G326" s="12"/>
      <c r="H326" s="12"/>
      <c r="I326" s="12"/>
      <c r="J326" s="12"/>
      <c r="K326" s="12"/>
      <c r="L326" s="12"/>
      <c r="M326" s="12"/>
      <c r="N326" s="12"/>
      <c r="O326" s="12"/>
      <c r="P326" s="12"/>
      <c r="Q326" s="12"/>
      <c r="R326" s="12"/>
      <c r="S326" s="12"/>
      <c r="T326" s="12"/>
      <c r="U326" s="12"/>
      <c r="V326" s="12"/>
      <c r="W326" s="12"/>
      <c r="X326" s="12"/>
    </row>
    <row r="327" spans="2:24">
      <c r="B327" s="12"/>
      <c r="C327" s="12"/>
      <c r="D327" s="12"/>
      <c r="E327" s="12"/>
      <c r="F327" s="12"/>
      <c r="G327" s="12"/>
      <c r="H327" s="12"/>
      <c r="I327" s="12"/>
      <c r="J327" s="12"/>
      <c r="K327" s="12"/>
      <c r="L327" s="12"/>
      <c r="M327" s="12"/>
      <c r="N327" s="12"/>
      <c r="O327" s="12"/>
      <c r="P327" s="12"/>
      <c r="Q327" s="12"/>
      <c r="R327" s="12"/>
      <c r="S327" s="12"/>
      <c r="T327" s="12"/>
      <c r="U327" s="12"/>
      <c r="V327" s="12"/>
      <c r="W327" s="12"/>
      <c r="X327" s="12"/>
    </row>
    <row r="328" spans="2:24">
      <c r="B328" s="12"/>
      <c r="C328" s="12"/>
      <c r="D328" s="12"/>
      <c r="E328" s="12"/>
      <c r="F328" s="12"/>
      <c r="G328" s="12"/>
      <c r="H328" s="12"/>
      <c r="I328" s="12"/>
      <c r="J328" s="12"/>
      <c r="K328" s="12"/>
      <c r="L328" s="12"/>
      <c r="M328" s="12"/>
      <c r="N328" s="12"/>
      <c r="O328" s="12"/>
      <c r="P328" s="12"/>
      <c r="Q328" s="12"/>
      <c r="R328" s="12"/>
      <c r="S328" s="12"/>
      <c r="T328" s="12"/>
      <c r="U328" s="12"/>
      <c r="V328" s="12"/>
      <c r="W328" s="12"/>
      <c r="X328" s="12"/>
    </row>
    <row r="329" spans="2:24">
      <c r="B329" s="12"/>
      <c r="C329" s="12"/>
      <c r="D329" s="12"/>
      <c r="E329" s="12"/>
      <c r="F329" s="12"/>
      <c r="G329" s="12"/>
      <c r="H329" s="12"/>
      <c r="I329" s="12"/>
      <c r="J329" s="12"/>
      <c r="K329" s="12"/>
      <c r="L329" s="12"/>
      <c r="M329" s="12"/>
      <c r="N329" s="12"/>
      <c r="O329" s="12"/>
      <c r="P329" s="12"/>
      <c r="Q329" s="12"/>
      <c r="R329" s="12"/>
      <c r="S329" s="12"/>
      <c r="T329" s="12"/>
      <c r="U329" s="12"/>
      <c r="V329" s="12"/>
      <c r="W329" s="12"/>
      <c r="X329" s="12"/>
    </row>
    <row r="330" spans="2:24">
      <c r="B330" s="12"/>
      <c r="C330" s="12"/>
      <c r="D330" s="12"/>
      <c r="E330" s="12"/>
      <c r="F330" s="12"/>
      <c r="G330" s="12"/>
      <c r="H330" s="12"/>
      <c r="I330" s="12"/>
      <c r="J330" s="12"/>
      <c r="K330" s="12"/>
      <c r="L330" s="12"/>
      <c r="M330" s="12"/>
      <c r="N330" s="12"/>
      <c r="O330" s="12"/>
      <c r="P330" s="12"/>
      <c r="Q330" s="12"/>
      <c r="R330" s="12"/>
      <c r="S330" s="12"/>
      <c r="T330" s="12"/>
      <c r="U330" s="12"/>
      <c r="V330" s="12"/>
      <c r="W330" s="12"/>
      <c r="X330" s="12"/>
    </row>
    <row r="331" spans="2:24">
      <c r="B331" s="12"/>
      <c r="C331" s="12"/>
      <c r="D331" s="12"/>
      <c r="E331" s="12"/>
      <c r="F331" s="12"/>
      <c r="G331" s="12"/>
      <c r="H331" s="12"/>
      <c r="I331" s="12"/>
      <c r="J331" s="12"/>
      <c r="K331" s="12"/>
      <c r="L331" s="12"/>
      <c r="M331" s="12"/>
      <c r="N331" s="12"/>
      <c r="O331" s="12"/>
      <c r="P331" s="12"/>
      <c r="Q331" s="12"/>
      <c r="R331" s="12"/>
      <c r="S331" s="12"/>
      <c r="T331" s="12"/>
      <c r="U331" s="12"/>
      <c r="V331" s="12"/>
      <c r="W331" s="12"/>
      <c r="X331" s="12"/>
    </row>
    <row r="332" spans="2:24">
      <c r="B332" s="12"/>
      <c r="C332" s="12"/>
      <c r="D332" s="12"/>
      <c r="E332" s="12"/>
      <c r="F332" s="12"/>
      <c r="G332" s="12"/>
      <c r="H332" s="12"/>
      <c r="I332" s="12"/>
      <c r="J332" s="12"/>
      <c r="K332" s="12"/>
      <c r="L332" s="12"/>
      <c r="M332" s="12"/>
      <c r="N332" s="12"/>
      <c r="O332" s="12"/>
      <c r="P332" s="12"/>
      <c r="Q332" s="12"/>
      <c r="R332" s="12"/>
      <c r="S332" s="12"/>
      <c r="T332" s="12"/>
      <c r="U332" s="12"/>
      <c r="V332" s="12"/>
      <c r="W332" s="12"/>
      <c r="X332" s="12"/>
    </row>
    <row r="333" spans="2:24">
      <c r="B333" s="12"/>
      <c r="C333" s="12"/>
      <c r="D333" s="12"/>
      <c r="E333" s="12"/>
      <c r="F333" s="12"/>
      <c r="G333" s="12"/>
      <c r="H333" s="12"/>
      <c r="I333" s="12"/>
      <c r="J333" s="12"/>
      <c r="K333" s="12"/>
      <c r="L333" s="12"/>
      <c r="M333" s="12"/>
      <c r="N333" s="12"/>
      <c r="O333" s="12"/>
      <c r="P333" s="12"/>
      <c r="Q333" s="12"/>
      <c r="R333" s="12"/>
      <c r="S333" s="12"/>
      <c r="T333" s="12"/>
      <c r="U333" s="12"/>
      <c r="V333" s="12"/>
      <c r="W333" s="12"/>
      <c r="X333" s="12"/>
    </row>
    <row r="334" spans="2:24">
      <c r="B334" s="12"/>
      <c r="C334" s="12"/>
      <c r="D334" s="12"/>
      <c r="E334" s="12"/>
      <c r="F334" s="12"/>
      <c r="G334" s="12"/>
      <c r="H334" s="12"/>
      <c r="I334" s="12"/>
      <c r="J334" s="12"/>
      <c r="K334" s="12"/>
      <c r="L334" s="12"/>
      <c r="M334" s="12"/>
      <c r="N334" s="12"/>
      <c r="O334" s="12"/>
      <c r="P334" s="12"/>
      <c r="Q334" s="12"/>
      <c r="R334" s="12"/>
      <c r="S334" s="12"/>
      <c r="T334" s="12"/>
      <c r="U334" s="12"/>
      <c r="V334" s="12"/>
      <c r="W334" s="12"/>
      <c r="X334" s="12"/>
    </row>
    <row r="335" spans="2:24">
      <c r="B335" s="12"/>
      <c r="C335" s="12"/>
      <c r="D335" s="12"/>
      <c r="E335" s="12"/>
      <c r="F335" s="12"/>
      <c r="G335" s="12"/>
      <c r="H335" s="12"/>
      <c r="I335" s="12"/>
      <c r="J335" s="12"/>
      <c r="K335" s="12"/>
      <c r="L335" s="12"/>
      <c r="M335" s="12"/>
      <c r="N335" s="12"/>
      <c r="O335" s="12"/>
      <c r="P335" s="12"/>
      <c r="Q335" s="12"/>
      <c r="R335" s="12"/>
      <c r="S335" s="12"/>
      <c r="T335" s="12"/>
      <c r="U335" s="12"/>
      <c r="V335" s="12"/>
      <c r="W335" s="12"/>
      <c r="X335" s="12"/>
    </row>
    <row r="336" spans="2:24">
      <c r="B336" s="12"/>
      <c r="C336" s="12"/>
      <c r="D336" s="12"/>
      <c r="E336" s="12"/>
      <c r="F336" s="12"/>
      <c r="G336" s="12"/>
      <c r="H336" s="12"/>
      <c r="I336" s="12"/>
      <c r="J336" s="12"/>
      <c r="K336" s="12"/>
      <c r="L336" s="12"/>
      <c r="M336" s="12"/>
      <c r="N336" s="12"/>
      <c r="O336" s="12"/>
      <c r="P336" s="12"/>
      <c r="Q336" s="12"/>
      <c r="R336" s="12"/>
      <c r="S336" s="12"/>
      <c r="T336" s="12"/>
      <c r="U336" s="12"/>
      <c r="V336" s="12"/>
      <c r="W336" s="12"/>
      <c r="X336" s="12"/>
    </row>
    <row r="337" spans="2:24">
      <c r="B337" s="12"/>
      <c r="C337" s="12"/>
      <c r="D337" s="12"/>
      <c r="E337" s="12"/>
      <c r="F337" s="12"/>
      <c r="G337" s="12"/>
      <c r="H337" s="12"/>
      <c r="I337" s="12"/>
      <c r="J337" s="12"/>
      <c r="K337" s="12"/>
      <c r="L337" s="12"/>
      <c r="M337" s="12"/>
      <c r="N337" s="12"/>
      <c r="O337" s="12"/>
      <c r="P337" s="12"/>
      <c r="Q337" s="12"/>
      <c r="R337" s="12"/>
      <c r="S337" s="12"/>
      <c r="T337" s="12"/>
      <c r="U337" s="12"/>
      <c r="V337" s="12"/>
      <c r="W337" s="12"/>
      <c r="X337" s="12"/>
    </row>
    <row r="338" spans="2:24">
      <c r="B338" s="12"/>
      <c r="C338" s="12"/>
      <c r="D338" s="12"/>
      <c r="E338" s="12"/>
      <c r="F338" s="12"/>
      <c r="G338" s="12"/>
      <c r="H338" s="12"/>
      <c r="I338" s="12"/>
      <c r="J338" s="12"/>
      <c r="K338" s="12"/>
      <c r="L338" s="12"/>
      <c r="M338" s="12"/>
      <c r="N338" s="12"/>
      <c r="O338" s="12"/>
      <c r="P338" s="12"/>
      <c r="Q338" s="12"/>
      <c r="R338" s="12"/>
      <c r="S338" s="12"/>
      <c r="T338" s="12"/>
      <c r="U338" s="12"/>
      <c r="V338" s="12"/>
      <c r="W338" s="12"/>
      <c r="X338" s="12"/>
    </row>
    <row r="339" spans="2:24">
      <c r="B339" s="12"/>
      <c r="C339" s="12"/>
      <c r="D339" s="12"/>
      <c r="E339" s="12"/>
      <c r="F339" s="12"/>
      <c r="G339" s="12"/>
      <c r="H339" s="12"/>
      <c r="I339" s="12"/>
      <c r="J339" s="12"/>
      <c r="K339" s="12"/>
      <c r="L339" s="12"/>
      <c r="M339" s="12"/>
      <c r="N339" s="12"/>
      <c r="O339" s="12"/>
      <c r="P339" s="12"/>
      <c r="Q339" s="12"/>
      <c r="R339" s="12"/>
      <c r="S339" s="12"/>
      <c r="T339" s="12"/>
      <c r="U339" s="12"/>
      <c r="V339" s="12"/>
      <c r="W339" s="12"/>
      <c r="X339" s="12"/>
    </row>
    <row r="340" spans="2:24">
      <c r="B340" s="12"/>
      <c r="C340" s="12"/>
      <c r="D340" s="12"/>
      <c r="E340" s="12"/>
      <c r="F340" s="12"/>
      <c r="G340" s="12"/>
      <c r="H340" s="12"/>
      <c r="I340" s="12"/>
      <c r="J340" s="12"/>
      <c r="K340" s="12"/>
      <c r="L340" s="12"/>
      <c r="M340" s="12"/>
      <c r="N340" s="12"/>
      <c r="O340" s="12"/>
      <c r="P340" s="12"/>
      <c r="Q340" s="12"/>
      <c r="R340" s="12"/>
      <c r="S340" s="12"/>
      <c r="T340" s="12"/>
      <c r="U340" s="12"/>
      <c r="V340" s="12"/>
      <c r="W340" s="12"/>
      <c r="X340" s="12"/>
    </row>
    <row r="341" spans="2:24">
      <c r="B341" s="12"/>
      <c r="C341" s="12"/>
      <c r="D341" s="12"/>
      <c r="E341" s="12"/>
      <c r="F341" s="12"/>
      <c r="G341" s="12"/>
      <c r="H341" s="12"/>
      <c r="I341" s="12"/>
      <c r="J341" s="12"/>
      <c r="K341" s="12"/>
      <c r="L341" s="12"/>
      <c r="M341" s="12"/>
      <c r="N341" s="12"/>
      <c r="O341" s="12"/>
      <c r="P341" s="12"/>
      <c r="Q341" s="12"/>
      <c r="R341" s="12"/>
      <c r="S341" s="12"/>
      <c r="T341" s="12"/>
      <c r="U341" s="12"/>
      <c r="V341" s="12"/>
      <c r="W341" s="12"/>
      <c r="X341" s="12"/>
    </row>
    <row r="342" spans="2:24">
      <c r="B342" s="12"/>
      <c r="C342" s="12"/>
      <c r="D342" s="12"/>
      <c r="E342" s="12"/>
      <c r="F342" s="12"/>
      <c r="G342" s="12"/>
      <c r="H342" s="12"/>
      <c r="I342" s="12"/>
      <c r="J342" s="12"/>
      <c r="K342" s="12"/>
      <c r="L342" s="12"/>
      <c r="M342" s="12"/>
      <c r="N342" s="12"/>
      <c r="O342" s="12"/>
      <c r="P342" s="12"/>
      <c r="Q342" s="12"/>
      <c r="R342" s="12"/>
      <c r="S342" s="12"/>
      <c r="T342" s="12"/>
      <c r="U342" s="12"/>
      <c r="V342" s="12"/>
      <c r="W342" s="12"/>
      <c r="X342" s="12"/>
    </row>
    <row r="343" spans="2:24">
      <c r="B343" s="12"/>
      <c r="C343" s="12"/>
      <c r="D343" s="12"/>
      <c r="E343" s="12"/>
      <c r="F343" s="12"/>
      <c r="G343" s="12"/>
      <c r="H343" s="12"/>
      <c r="I343" s="12"/>
      <c r="J343" s="12"/>
      <c r="K343" s="12"/>
      <c r="L343" s="12"/>
      <c r="M343" s="12"/>
      <c r="N343" s="12"/>
      <c r="O343" s="12"/>
      <c r="P343" s="12"/>
      <c r="Q343" s="12"/>
      <c r="R343" s="12"/>
      <c r="S343" s="12"/>
      <c r="T343" s="12"/>
      <c r="U343" s="12"/>
      <c r="V343" s="12"/>
      <c r="W343" s="12"/>
      <c r="X343" s="12"/>
    </row>
    <row r="344" spans="2:24">
      <c r="B344" s="12"/>
      <c r="C344" s="12"/>
      <c r="D344" s="12"/>
      <c r="E344" s="12"/>
      <c r="F344" s="12"/>
      <c r="G344" s="12"/>
      <c r="H344" s="12"/>
      <c r="I344" s="12"/>
      <c r="J344" s="12"/>
      <c r="K344" s="12"/>
      <c r="L344" s="12"/>
      <c r="M344" s="12"/>
      <c r="N344" s="12"/>
      <c r="O344" s="12"/>
      <c r="P344" s="12"/>
      <c r="Q344" s="12"/>
      <c r="R344" s="12"/>
      <c r="S344" s="12"/>
      <c r="T344" s="12"/>
      <c r="U344" s="12"/>
      <c r="V344" s="12"/>
      <c r="W344" s="12"/>
      <c r="X344" s="12"/>
    </row>
    <row r="345" spans="2:24">
      <c r="B345" s="12"/>
      <c r="C345" s="12"/>
      <c r="D345" s="12"/>
      <c r="E345" s="12"/>
      <c r="F345" s="12"/>
      <c r="G345" s="12"/>
      <c r="H345" s="12"/>
      <c r="I345" s="12"/>
      <c r="J345" s="12"/>
      <c r="K345" s="12"/>
      <c r="L345" s="12"/>
      <c r="M345" s="12"/>
      <c r="N345" s="12"/>
      <c r="O345" s="12"/>
      <c r="P345" s="12"/>
      <c r="Q345" s="12"/>
      <c r="R345" s="12"/>
      <c r="S345" s="12"/>
      <c r="T345" s="12"/>
      <c r="U345" s="12"/>
      <c r="V345" s="12"/>
      <c r="W345" s="12"/>
      <c r="X345" s="12"/>
    </row>
    <row r="346" spans="2:24">
      <c r="B346" s="12"/>
      <c r="C346" s="12"/>
      <c r="D346" s="12"/>
      <c r="E346" s="12"/>
      <c r="F346" s="12"/>
      <c r="G346" s="12"/>
      <c r="H346" s="12"/>
      <c r="I346" s="12"/>
      <c r="J346" s="12"/>
      <c r="K346" s="12"/>
      <c r="L346" s="12"/>
      <c r="M346" s="12"/>
      <c r="N346" s="12"/>
      <c r="O346" s="12"/>
      <c r="P346" s="12"/>
      <c r="Q346" s="12"/>
      <c r="R346" s="12"/>
      <c r="S346" s="12"/>
      <c r="T346" s="12"/>
      <c r="U346" s="12"/>
      <c r="V346" s="12"/>
      <c r="W346" s="12"/>
      <c r="X346" s="12"/>
    </row>
    <row r="347" spans="2:24">
      <c r="B347" s="12"/>
      <c r="C347" s="12"/>
      <c r="D347" s="12"/>
      <c r="E347" s="12"/>
      <c r="F347" s="12"/>
      <c r="G347" s="12"/>
      <c r="H347" s="12"/>
      <c r="I347" s="12"/>
      <c r="J347" s="12"/>
      <c r="K347" s="12"/>
      <c r="L347" s="12"/>
      <c r="M347" s="12"/>
      <c r="N347" s="12"/>
      <c r="O347" s="12"/>
      <c r="P347" s="12"/>
      <c r="Q347" s="12"/>
      <c r="R347" s="12"/>
      <c r="S347" s="12"/>
      <c r="T347" s="12"/>
      <c r="U347" s="12"/>
      <c r="V347" s="12"/>
      <c r="W347" s="12"/>
      <c r="X347" s="12"/>
    </row>
    <row r="348" spans="2:24">
      <c r="B348" s="12"/>
      <c r="C348" s="12"/>
      <c r="D348" s="12"/>
      <c r="E348" s="12"/>
      <c r="F348" s="12"/>
      <c r="G348" s="12"/>
      <c r="H348" s="12"/>
      <c r="I348" s="12"/>
      <c r="J348" s="12"/>
      <c r="K348" s="12"/>
      <c r="L348" s="12"/>
      <c r="M348" s="12"/>
      <c r="N348" s="12"/>
      <c r="O348" s="12"/>
      <c r="P348" s="12"/>
      <c r="Q348" s="12"/>
      <c r="R348" s="12"/>
      <c r="S348" s="12"/>
      <c r="T348" s="12"/>
      <c r="U348" s="12"/>
      <c r="V348" s="12"/>
      <c r="W348" s="12"/>
      <c r="X348" s="12"/>
    </row>
    <row r="349" spans="2:24">
      <c r="B349" s="12"/>
      <c r="C349" s="12"/>
      <c r="D349" s="12"/>
      <c r="E349" s="12"/>
      <c r="F349" s="12"/>
      <c r="G349" s="12"/>
      <c r="H349" s="12"/>
      <c r="I349" s="12"/>
      <c r="J349" s="12"/>
      <c r="K349" s="12"/>
      <c r="L349" s="12"/>
      <c r="M349" s="12"/>
      <c r="N349" s="12"/>
      <c r="O349" s="12"/>
      <c r="P349" s="12"/>
      <c r="Q349" s="12"/>
      <c r="R349" s="12"/>
      <c r="S349" s="12"/>
      <c r="T349" s="12"/>
      <c r="U349" s="12"/>
      <c r="V349" s="12"/>
      <c r="W349" s="12"/>
      <c r="X349" s="12"/>
    </row>
    <row r="350" spans="2:24">
      <c r="B350" s="12"/>
      <c r="C350" s="12"/>
      <c r="D350" s="12"/>
      <c r="E350" s="12"/>
      <c r="F350" s="12"/>
      <c r="G350" s="12"/>
      <c r="H350" s="12"/>
      <c r="I350" s="12"/>
      <c r="J350" s="12"/>
      <c r="K350" s="12"/>
      <c r="L350" s="12"/>
      <c r="M350" s="12"/>
      <c r="N350" s="12"/>
      <c r="O350" s="12"/>
      <c r="P350" s="12"/>
      <c r="Q350" s="12"/>
      <c r="R350" s="12"/>
      <c r="S350" s="12"/>
      <c r="T350" s="12"/>
      <c r="U350" s="12"/>
      <c r="V350" s="12"/>
      <c r="W350" s="12"/>
      <c r="X350" s="12"/>
    </row>
    <row r="351" spans="2:24">
      <c r="B351" s="12"/>
      <c r="C351" s="12"/>
      <c r="D351" s="12"/>
      <c r="E351" s="12"/>
      <c r="F351" s="12"/>
      <c r="G351" s="12"/>
      <c r="H351" s="12"/>
      <c r="I351" s="12"/>
      <c r="J351" s="12"/>
      <c r="K351" s="12"/>
      <c r="L351" s="12"/>
      <c r="M351" s="12"/>
      <c r="N351" s="12"/>
      <c r="O351" s="12"/>
      <c r="P351" s="12"/>
      <c r="Q351" s="12"/>
      <c r="R351" s="12"/>
      <c r="S351" s="12"/>
      <c r="T351" s="12"/>
      <c r="U351" s="12"/>
      <c r="V351" s="12"/>
      <c r="W351" s="12"/>
      <c r="X351" s="12"/>
    </row>
    <row r="352" spans="2:24">
      <c r="B352" s="12"/>
      <c r="C352" s="12"/>
      <c r="D352" s="12"/>
      <c r="E352" s="12"/>
      <c r="F352" s="12"/>
      <c r="G352" s="12"/>
      <c r="H352" s="12"/>
      <c r="I352" s="12"/>
      <c r="J352" s="12"/>
      <c r="K352" s="12"/>
      <c r="L352" s="12"/>
      <c r="M352" s="12"/>
      <c r="N352" s="12"/>
      <c r="O352" s="12"/>
      <c r="P352" s="12"/>
      <c r="Q352" s="12"/>
      <c r="R352" s="12"/>
      <c r="S352" s="12"/>
      <c r="T352" s="12"/>
      <c r="U352" s="12"/>
      <c r="V352" s="12"/>
      <c r="W352" s="12"/>
      <c r="X352" s="12"/>
    </row>
    <row r="353" spans="2:24">
      <c r="B353" s="12"/>
      <c r="C353" s="12"/>
      <c r="D353" s="12"/>
      <c r="E353" s="12"/>
      <c r="F353" s="12"/>
      <c r="G353" s="12"/>
      <c r="H353" s="12"/>
      <c r="I353" s="12"/>
      <c r="J353" s="12"/>
      <c r="K353" s="12"/>
      <c r="L353" s="12"/>
      <c r="M353" s="12"/>
      <c r="N353" s="12"/>
      <c r="O353" s="12"/>
      <c r="P353" s="12"/>
      <c r="Q353" s="12"/>
      <c r="R353" s="12"/>
      <c r="S353" s="12"/>
      <c r="T353" s="12"/>
      <c r="U353" s="12"/>
      <c r="V353" s="12"/>
      <c r="W353" s="12"/>
      <c r="X353" s="12"/>
    </row>
    <row r="354" spans="2:24">
      <c r="B354" s="12"/>
      <c r="C354" s="12"/>
      <c r="D354" s="12"/>
      <c r="E354" s="12"/>
      <c r="F354" s="12"/>
      <c r="G354" s="12"/>
      <c r="H354" s="12"/>
      <c r="I354" s="12"/>
      <c r="J354" s="12"/>
      <c r="K354" s="12"/>
      <c r="L354" s="12"/>
      <c r="M354" s="12"/>
      <c r="N354" s="12"/>
      <c r="O354" s="12"/>
      <c r="P354" s="12"/>
      <c r="Q354" s="12"/>
      <c r="R354" s="12"/>
      <c r="S354" s="12"/>
      <c r="T354" s="12"/>
      <c r="U354" s="12"/>
      <c r="V354" s="12"/>
      <c r="W354" s="12"/>
      <c r="X354" s="12"/>
    </row>
    <row r="355" spans="2:24">
      <c r="B355" s="12"/>
      <c r="C355" s="12"/>
      <c r="D355" s="12"/>
      <c r="E355" s="12"/>
      <c r="F355" s="12"/>
      <c r="G355" s="12"/>
      <c r="H355" s="12"/>
      <c r="I355" s="12"/>
      <c r="J355" s="12"/>
      <c r="K355" s="12"/>
      <c r="L355" s="12"/>
      <c r="M355" s="12"/>
      <c r="N355" s="12"/>
      <c r="O355" s="12"/>
      <c r="P355" s="12"/>
      <c r="Q355" s="12"/>
      <c r="R355" s="12"/>
      <c r="S355" s="12"/>
      <c r="T355" s="12"/>
      <c r="U355" s="12"/>
      <c r="V355" s="12"/>
      <c r="W355" s="12"/>
      <c r="X355" s="12"/>
    </row>
    <row r="356" spans="2:24">
      <c r="B356" s="12"/>
      <c r="C356" s="12"/>
      <c r="D356" s="12"/>
      <c r="E356" s="12"/>
      <c r="F356" s="12"/>
      <c r="G356" s="12"/>
      <c r="H356" s="12"/>
      <c r="I356" s="12"/>
      <c r="J356" s="12"/>
      <c r="K356" s="12"/>
      <c r="L356" s="12"/>
      <c r="M356" s="12"/>
      <c r="N356" s="12"/>
      <c r="O356" s="12"/>
      <c r="P356" s="12"/>
      <c r="Q356" s="12"/>
      <c r="R356" s="12"/>
      <c r="S356" s="12"/>
      <c r="T356" s="12"/>
      <c r="U356" s="12"/>
      <c r="V356" s="12"/>
      <c r="W356" s="12"/>
      <c r="X356" s="12"/>
    </row>
    <row r="357" spans="2:24">
      <c r="B357" s="12"/>
      <c r="C357" s="12"/>
      <c r="D357" s="12"/>
      <c r="E357" s="12"/>
      <c r="F357" s="12"/>
      <c r="G357" s="12"/>
      <c r="H357" s="12"/>
      <c r="I357" s="12"/>
      <c r="J357" s="12"/>
      <c r="K357" s="12"/>
      <c r="L357" s="12"/>
      <c r="M357" s="12"/>
      <c r="N357" s="12"/>
      <c r="O357" s="12"/>
      <c r="P357" s="12"/>
      <c r="Q357" s="12"/>
      <c r="R357" s="12"/>
      <c r="S357" s="12"/>
      <c r="T357" s="12"/>
      <c r="U357" s="12"/>
      <c r="V357" s="12"/>
      <c r="W357" s="12"/>
      <c r="X357" s="12"/>
    </row>
    <row r="358" spans="2:24">
      <c r="B358" s="12"/>
      <c r="C358" s="12"/>
      <c r="D358" s="12"/>
      <c r="E358" s="12"/>
      <c r="F358" s="12"/>
      <c r="G358" s="12"/>
      <c r="H358" s="12"/>
      <c r="I358" s="12"/>
      <c r="J358" s="12"/>
      <c r="K358" s="12"/>
      <c r="L358" s="12"/>
      <c r="M358" s="12"/>
      <c r="N358" s="12"/>
      <c r="O358" s="12"/>
      <c r="P358" s="12"/>
      <c r="Q358" s="12"/>
      <c r="R358" s="12"/>
      <c r="S358" s="12"/>
      <c r="T358" s="12"/>
      <c r="U358" s="12"/>
      <c r="V358" s="12"/>
      <c r="W358" s="12"/>
      <c r="X358" s="12"/>
    </row>
    <row r="359" spans="2:24">
      <c r="B359" s="12"/>
      <c r="C359" s="12"/>
      <c r="D359" s="12"/>
      <c r="E359" s="12"/>
      <c r="F359" s="12"/>
      <c r="G359" s="12"/>
      <c r="H359" s="12"/>
      <c r="I359" s="12"/>
      <c r="J359" s="12"/>
      <c r="K359" s="12"/>
      <c r="L359" s="12"/>
      <c r="M359" s="12"/>
      <c r="N359" s="12"/>
      <c r="O359" s="12"/>
      <c r="P359" s="12"/>
      <c r="Q359" s="12"/>
      <c r="R359" s="12"/>
      <c r="S359" s="12"/>
      <c r="T359" s="12"/>
      <c r="U359" s="12"/>
      <c r="V359" s="12"/>
      <c r="W359" s="12"/>
      <c r="X359" s="12"/>
    </row>
    <row r="360" spans="2:24">
      <c r="B360" s="12"/>
      <c r="C360" s="12"/>
      <c r="D360" s="12"/>
      <c r="E360" s="12"/>
      <c r="F360" s="12"/>
      <c r="G360" s="12"/>
      <c r="H360" s="12"/>
      <c r="I360" s="12"/>
      <c r="J360" s="12"/>
      <c r="K360" s="12"/>
      <c r="L360" s="12"/>
      <c r="M360" s="12"/>
      <c r="N360" s="12"/>
      <c r="O360" s="12"/>
      <c r="P360" s="12"/>
      <c r="Q360" s="12"/>
      <c r="R360" s="12"/>
      <c r="S360" s="12"/>
      <c r="T360" s="12"/>
      <c r="U360" s="12"/>
      <c r="V360" s="12"/>
      <c r="W360" s="12"/>
      <c r="X360" s="12"/>
    </row>
    <row r="361" spans="2:24">
      <c r="B361" s="12"/>
      <c r="C361" s="12"/>
      <c r="D361" s="12"/>
      <c r="E361" s="12"/>
      <c r="F361" s="12"/>
      <c r="G361" s="12"/>
      <c r="H361" s="12"/>
      <c r="I361" s="12"/>
      <c r="J361" s="12"/>
      <c r="K361" s="12"/>
      <c r="L361" s="12"/>
      <c r="M361" s="12"/>
      <c r="N361" s="12"/>
      <c r="O361" s="12"/>
      <c r="P361" s="12"/>
      <c r="Q361" s="12"/>
      <c r="R361" s="12"/>
      <c r="S361" s="12"/>
      <c r="T361" s="12"/>
      <c r="U361" s="12"/>
      <c r="V361" s="12"/>
      <c r="W361" s="12"/>
      <c r="X361" s="12"/>
    </row>
    <row r="362" spans="2:24">
      <c r="B362" s="12"/>
      <c r="C362" s="12"/>
      <c r="D362" s="12"/>
      <c r="E362" s="12"/>
      <c r="F362" s="12"/>
      <c r="G362" s="12"/>
      <c r="H362" s="12"/>
      <c r="I362" s="12"/>
      <c r="J362" s="12"/>
      <c r="K362" s="12"/>
      <c r="L362" s="12"/>
      <c r="M362" s="12"/>
      <c r="N362" s="12"/>
      <c r="O362" s="12"/>
      <c r="P362" s="12"/>
      <c r="Q362" s="12"/>
      <c r="R362" s="12"/>
      <c r="S362" s="12"/>
      <c r="T362" s="12"/>
      <c r="U362" s="12"/>
      <c r="V362" s="12"/>
      <c r="W362" s="12"/>
      <c r="X362" s="12"/>
    </row>
    <row r="363" spans="2:24">
      <c r="B363" s="12"/>
      <c r="C363" s="12"/>
      <c r="D363" s="12"/>
      <c r="E363" s="12"/>
      <c r="F363" s="12"/>
      <c r="G363" s="12"/>
      <c r="H363" s="12"/>
      <c r="I363" s="12"/>
      <c r="J363" s="12"/>
      <c r="K363" s="12"/>
      <c r="L363" s="12"/>
      <c r="M363" s="12"/>
      <c r="N363" s="12"/>
      <c r="O363" s="12"/>
      <c r="P363" s="12"/>
      <c r="Q363" s="12"/>
      <c r="R363" s="12"/>
      <c r="S363" s="12"/>
      <c r="T363" s="12"/>
      <c r="U363" s="12"/>
      <c r="V363" s="12"/>
      <c r="W363" s="12"/>
      <c r="X363" s="12"/>
    </row>
    <row r="364" spans="2:24">
      <c r="B364" s="12"/>
      <c r="C364" s="12"/>
      <c r="D364" s="12"/>
      <c r="E364" s="12"/>
      <c r="F364" s="12"/>
      <c r="G364" s="12"/>
      <c r="H364" s="12"/>
      <c r="I364" s="12"/>
      <c r="J364" s="12"/>
      <c r="K364" s="12"/>
      <c r="L364" s="12"/>
      <c r="M364" s="12"/>
      <c r="N364" s="12"/>
      <c r="O364" s="12"/>
      <c r="P364" s="12"/>
      <c r="Q364" s="12"/>
      <c r="R364" s="12"/>
      <c r="S364" s="12"/>
      <c r="T364" s="12"/>
      <c r="U364" s="12"/>
      <c r="V364" s="12"/>
      <c r="W364" s="12"/>
      <c r="X364" s="12"/>
    </row>
    <row r="365" spans="2:24">
      <c r="B365" s="12"/>
      <c r="C365" s="12"/>
      <c r="D365" s="12"/>
      <c r="E365" s="12"/>
      <c r="F365" s="12"/>
      <c r="G365" s="12"/>
      <c r="H365" s="12"/>
      <c r="I365" s="12"/>
      <c r="J365" s="12"/>
      <c r="K365" s="12"/>
      <c r="L365" s="12"/>
      <c r="M365" s="12"/>
      <c r="N365" s="12"/>
      <c r="O365" s="12"/>
      <c r="P365" s="12"/>
      <c r="Q365" s="12"/>
      <c r="R365" s="12"/>
      <c r="S365" s="12"/>
      <c r="T365" s="12"/>
      <c r="U365" s="12"/>
      <c r="V365" s="12"/>
      <c r="W365" s="12"/>
      <c r="X365" s="12"/>
    </row>
    <row r="366" spans="2:24">
      <c r="B366" s="12"/>
      <c r="C366" s="12"/>
      <c r="D366" s="12"/>
      <c r="E366" s="12"/>
      <c r="F366" s="12"/>
      <c r="G366" s="12"/>
      <c r="H366" s="12"/>
      <c r="I366" s="12"/>
      <c r="J366" s="12"/>
      <c r="K366" s="12"/>
      <c r="L366" s="12"/>
      <c r="M366" s="12"/>
      <c r="N366" s="12"/>
      <c r="O366" s="12"/>
      <c r="P366" s="12"/>
      <c r="Q366" s="12"/>
      <c r="R366" s="12"/>
      <c r="S366" s="12"/>
      <c r="T366" s="12"/>
      <c r="U366" s="12"/>
      <c r="V366" s="12"/>
      <c r="W366" s="12"/>
      <c r="X366" s="12"/>
    </row>
    <row r="367" spans="2:24">
      <c r="B367" s="12"/>
      <c r="C367" s="12"/>
      <c r="D367" s="12"/>
      <c r="E367" s="12"/>
      <c r="F367" s="12"/>
      <c r="G367" s="12"/>
      <c r="H367" s="12"/>
      <c r="I367" s="12"/>
      <c r="J367" s="12"/>
      <c r="K367" s="12"/>
      <c r="L367" s="12"/>
      <c r="M367" s="12"/>
      <c r="N367" s="12"/>
      <c r="O367" s="12"/>
      <c r="P367" s="12"/>
      <c r="Q367" s="12"/>
      <c r="R367" s="12"/>
      <c r="S367" s="12"/>
      <c r="T367" s="12"/>
      <c r="U367" s="12"/>
      <c r="V367" s="12"/>
      <c r="W367" s="12"/>
      <c r="X367" s="12"/>
    </row>
    <row r="368" spans="2:24">
      <c r="B368" s="12"/>
      <c r="C368" s="12"/>
      <c r="D368" s="12"/>
      <c r="E368" s="12"/>
      <c r="F368" s="12"/>
      <c r="G368" s="12"/>
      <c r="H368" s="12"/>
      <c r="I368" s="12"/>
      <c r="J368" s="12"/>
      <c r="K368" s="12"/>
      <c r="L368" s="12"/>
      <c r="M368" s="12"/>
      <c r="N368" s="12"/>
      <c r="O368" s="12"/>
      <c r="P368" s="12"/>
      <c r="Q368" s="12"/>
      <c r="R368" s="12"/>
      <c r="S368" s="12"/>
      <c r="T368" s="12"/>
      <c r="U368" s="12"/>
      <c r="V368" s="12"/>
      <c r="W368" s="12"/>
      <c r="X368" s="12"/>
    </row>
    <row r="369" spans="2:24">
      <c r="B369" s="12"/>
      <c r="C369" s="12"/>
      <c r="D369" s="12"/>
      <c r="E369" s="12"/>
      <c r="F369" s="12"/>
      <c r="G369" s="12"/>
      <c r="H369" s="12"/>
      <c r="I369" s="12"/>
      <c r="J369" s="12"/>
      <c r="K369" s="12"/>
      <c r="L369" s="12"/>
      <c r="M369" s="12"/>
      <c r="N369" s="12"/>
      <c r="O369" s="12"/>
      <c r="P369" s="12"/>
      <c r="Q369" s="12"/>
      <c r="R369" s="12"/>
      <c r="S369" s="12"/>
      <c r="T369" s="12"/>
      <c r="U369" s="12"/>
      <c r="V369" s="12"/>
      <c r="W369" s="12"/>
      <c r="X369" s="12"/>
    </row>
    <row r="370" spans="2:24">
      <c r="B370" s="12"/>
      <c r="C370" s="12"/>
      <c r="D370" s="12"/>
      <c r="E370" s="12"/>
      <c r="F370" s="12"/>
      <c r="G370" s="12"/>
      <c r="H370" s="12"/>
      <c r="I370" s="12"/>
      <c r="J370" s="12"/>
      <c r="K370" s="12"/>
      <c r="L370" s="12"/>
      <c r="M370" s="12"/>
      <c r="N370" s="12"/>
      <c r="O370" s="12"/>
      <c r="P370" s="12"/>
      <c r="Q370" s="12"/>
      <c r="R370" s="12"/>
      <c r="S370" s="12"/>
      <c r="T370" s="12"/>
      <c r="U370" s="12"/>
      <c r="V370" s="12"/>
      <c r="W370" s="12"/>
      <c r="X370" s="12"/>
    </row>
    <row r="371" spans="2:24">
      <c r="B371" s="12"/>
      <c r="C371" s="12"/>
      <c r="D371" s="12"/>
      <c r="E371" s="12"/>
      <c r="F371" s="12"/>
      <c r="G371" s="12"/>
      <c r="H371" s="12"/>
      <c r="I371" s="12"/>
      <c r="J371" s="12"/>
      <c r="K371" s="12"/>
      <c r="L371" s="12"/>
      <c r="M371" s="12"/>
      <c r="N371" s="12"/>
      <c r="O371" s="12"/>
      <c r="P371" s="12"/>
      <c r="Q371" s="12"/>
      <c r="R371" s="12"/>
      <c r="S371" s="12"/>
      <c r="T371" s="12"/>
      <c r="U371" s="12"/>
      <c r="V371" s="12"/>
      <c r="W371" s="12"/>
      <c r="X371" s="12"/>
    </row>
    <row r="372" spans="2:24">
      <c r="B372" s="12"/>
      <c r="C372" s="12"/>
      <c r="D372" s="12"/>
      <c r="E372" s="12"/>
      <c r="F372" s="12"/>
      <c r="G372" s="12"/>
      <c r="H372" s="12"/>
      <c r="I372" s="12"/>
      <c r="J372" s="12"/>
      <c r="K372" s="12"/>
      <c r="L372" s="12"/>
      <c r="M372" s="12"/>
      <c r="N372" s="12"/>
      <c r="O372" s="12"/>
      <c r="P372" s="12"/>
      <c r="Q372" s="12"/>
      <c r="R372" s="12"/>
      <c r="S372" s="12"/>
      <c r="T372" s="12"/>
      <c r="U372" s="12"/>
      <c r="V372" s="12"/>
      <c r="W372" s="12"/>
      <c r="X372" s="12"/>
    </row>
    <row r="373" spans="2:24">
      <c r="B373" s="12"/>
      <c r="C373" s="12"/>
      <c r="D373" s="12"/>
      <c r="E373" s="12"/>
      <c r="F373" s="12"/>
      <c r="G373" s="12"/>
      <c r="H373" s="12"/>
      <c r="I373" s="12"/>
      <c r="J373" s="12"/>
      <c r="K373" s="12"/>
      <c r="L373" s="12"/>
      <c r="M373" s="12"/>
      <c r="N373" s="12"/>
      <c r="O373" s="12"/>
      <c r="P373" s="12"/>
      <c r="Q373" s="12"/>
      <c r="R373" s="12"/>
      <c r="S373" s="12"/>
      <c r="T373" s="12"/>
      <c r="U373" s="12"/>
      <c r="V373" s="12"/>
      <c r="W373" s="12"/>
      <c r="X373" s="12"/>
    </row>
    <row r="374" spans="2:24">
      <c r="B374" s="12"/>
      <c r="C374" s="12"/>
      <c r="D374" s="12"/>
      <c r="E374" s="12"/>
      <c r="F374" s="12"/>
      <c r="G374" s="12"/>
      <c r="H374" s="12"/>
      <c r="I374" s="12"/>
      <c r="J374" s="12"/>
      <c r="K374" s="12"/>
      <c r="L374" s="12"/>
      <c r="M374" s="12"/>
      <c r="N374" s="12"/>
      <c r="O374" s="12"/>
      <c r="P374" s="12"/>
      <c r="Q374" s="12"/>
      <c r="R374" s="12"/>
      <c r="S374" s="12"/>
      <c r="T374" s="12"/>
      <c r="U374" s="12"/>
      <c r="V374" s="12"/>
      <c r="W374" s="12"/>
      <c r="X374" s="12"/>
    </row>
    <row r="375" spans="2:24">
      <c r="B375" s="12"/>
      <c r="C375" s="12"/>
      <c r="D375" s="12"/>
      <c r="E375" s="12"/>
      <c r="F375" s="12"/>
      <c r="G375" s="12"/>
      <c r="H375" s="12"/>
      <c r="I375" s="12"/>
      <c r="J375" s="12"/>
      <c r="K375" s="12"/>
      <c r="L375" s="12"/>
      <c r="M375" s="12"/>
      <c r="N375" s="12"/>
      <c r="O375" s="12"/>
      <c r="P375" s="12"/>
      <c r="Q375" s="12"/>
      <c r="R375" s="12"/>
      <c r="S375" s="12"/>
      <c r="T375" s="12"/>
      <c r="U375" s="12"/>
      <c r="V375" s="12"/>
      <c r="W375" s="12"/>
      <c r="X375" s="12"/>
    </row>
    <row r="376" spans="2:24">
      <c r="B376" s="12"/>
      <c r="C376" s="12"/>
      <c r="D376" s="12"/>
      <c r="E376" s="12"/>
      <c r="F376" s="12"/>
      <c r="G376" s="12"/>
      <c r="H376" s="12"/>
      <c r="I376" s="12"/>
      <c r="J376" s="12"/>
      <c r="K376" s="12"/>
      <c r="L376" s="12"/>
      <c r="M376" s="12"/>
      <c r="N376" s="12"/>
      <c r="O376" s="12"/>
      <c r="P376" s="12"/>
      <c r="Q376" s="12"/>
      <c r="R376" s="12"/>
      <c r="S376" s="12"/>
      <c r="T376" s="12"/>
      <c r="U376" s="12"/>
      <c r="V376" s="12"/>
      <c r="W376" s="12"/>
      <c r="X376" s="12"/>
    </row>
    <row r="377" spans="2:24">
      <c r="B377" s="12"/>
      <c r="C377" s="12"/>
      <c r="D377" s="12"/>
      <c r="E377" s="12"/>
      <c r="F377" s="12"/>
      <c r="G377" s="12"/>
      <c r="H377" s="12"/>
      <c r="I377" s="12"/>
      <c r="J377" s="12"/>
      <c r="K377" s="12"/>
      <c r="L377" s="12"/>
      <c r="M377" s="12"/>
      <c r="N377" s="12"/>
      <c r="O377" s="12"/>
      <c r="P377" s="12"/>
      <c r="Q377" s="12"/>
      <c r="R377" s="12"/>
      <c r="S377" s="12"/>
      <c r="T377" s="12"/>
      <c r="U377" s="12"/>
      <c r="V377" s="12"/>
      <c r="W377" s="12"/>
      <c r="X377" s="12"/>
    </row>
    <row r="378" spans="2:24">
      <c r="B378" s="12"/>
      <c r="C378" s="12"/>
      <c r="D378" s="12"/>
      <c r="E378" s="12"/>
      <c r="F378" s="12"/>
      <c r="G378" s="12"/>
      <c r="H378" s="12"/>
      <c r="I378" s="12"/>
      <c r="J378" s="12"/>
      <c r="K378" s="12"/>
      <c r="L378" s="12"/>
      <c r="M378" s="12"/>
      <c r="N378" s="12"/>
      <c r="O378" s="12"/>
      <c r="P378" s="12"/>
      <c r="Q378" s="12"/>
      <c r="R378" s="12"/>
      <c r="S378" s="12"/>
      <c r="T378" s="12"/>
      <c r="U378" s="12"/>
      <c r="V378" s="12"/>
      <c r="W378" s="12"/>
      <c r="X378" s="12"/>
    </row>
    <row r="379" spans="2:24">
      <c r="B379" s="12"/>
      <c r="C379" s="12"/>
      <c r="D379" s="12"/>
      <c r="E379" s="12"/>
      <c r="F379" s="12"/>
      <c r="G379" s="12"/>
      <c r="H379" s="12"/>
      <c r="I379" s="12"/>
      <c r="J379" s="12"/>
      <c r="K379" s="12"/>
      <c r="L379" s="12"/>
      <c r="M379" s="12"/>
      <c r="N379" s="12"/>
      <c r="O379" s="12"/>
      <c r="P379" s="12"/>
      <c r="Q379" s="12"/>
      <c r="R379" s="12"/>
      <c r="S379" s="12"/>
      <c r="T379" s="12"/>
      <c r="U379" s="12"/>
      <c r="V379" s="12"/>
      <c r="W379" s="12"/>
      <c r="X379" s="12"/>
    </row>
    <row r="380" spans="2:24">
      <c r="B380" s="12"/>
      <c r="C380" s="12"/>
      <c r="D380" s="12"/>
      <c r="E380" s="12"/>
      <c r="F380" s="12"/>
      <c r="G380" s="12"/>
      <c r="H380" s="12"/>
      <c r="I380" s="12"/>
      <c r="J380" s="12"/>
      <c r="K380" s="12"/>
      <c r="L380" s="12"/>
      <c r="M380" s="12"/>
      <c r="N380" s="12"/>
      <c r="O380" s="12"/>
      <c r="P380" s="12"/>
      <c r="Q380" s="12"/>
      <c r="R380" s="12"/>
      <c r="S380" s="12"/>
      <c r="T380" s="12"/>
      <c r="U380" s="12"/>
      <c r="V380" s="12"/>
      <c r="W380" s="12"/>
      <c r="X380" s="12"/>
    </row>
    <row r="381" spans="2:24">
      <c r="B381" s="12"/>
      <c r="C381" s="12"/>
      <c r="D381" s="12"/>
      <c r="E381" s="12"/>
      <c r="F381" s="12"/>
      <c r="G381" s="12"/>
      <c r="H381" s="12"/>
      <c r="I381" s="12"/>
      <c r="J381" s="12"/>
      <c r="K381" s="12"/>
      <c r="L381" s="12"/>
      <c r="M381" s="12"/>
      <c r="N381" s="12"/>
      <c r="O381" s="12"/>
      <c r="P381" s="12"/>
      <c r="Q381" s="12"/>
      <c r="R381" s="12"/>
      <c r="S381" s="12"/>
      <c r="T381" s="12"/>
      <c r="U381" s="12"/>
      <c r="V381" s="12"/>
      <c r="W381" s="12"/>
      <c r="X381" s="12"/>
    </row>
    <row r="382" spans="2:24">
      <c r="B382" s="12"/>
      <c r="C382" s="12"/>
      <c r="D382" s="12"/>
      <c r="E382" s="12"/>
      <c r="F382" s="12"/>
      <c r="G382" s="12"/>
      <c r="H382" s="12"/>
      <c r="I382" s="12"/>
      <c r="J382" s="12"/>
      <c r="K382" s="12"/>
      <c r="L382" s="12"/>
      <c r="M382" s="12"/>
      <c r="N382" s="12"/>
      <c r="O382" s="12"/>
      <c r="P382" s="12"/>
      <c r="Q382" s="12"/>
      <c r="R382" s="12"/>
      <c r="S382" s="12"/>
      <c r="T382" s="12"/>
      <c r="U382" s="12"/>
      <c r="V382" s="12"/>
      <c r="W382" s="12"/>
      <c r="X382" s="12"/>
    </row>
    <row r="383" spans="2:24">
      <c r="B383" s="12"/>
      <c r="C383" s="12"/>
      <c r="D383" s="12"/>
      <c r="E383" s="12"/>
      <c r="F383" s="12"/>
      <c r="G383" s="12"/>
      <c r="H383" s="12"/>
      <c r="I383" s="12"/>
      <c r="J383" s="12"/>
      <c r="K383" s="12"/>
      <c r="L383" s="12"/>
      <c r="M383" s="12"/>
      <c r="N383" s="12"/>
      <c r="O383" s="12"/>
      <c r="P383" s="12"/>
      <c r="Q383" s="12"/>
      <c r="R383" s="12"/>
      <c r="S383" s="12"/>
      <c r="T383" s="12"/>
      <c r="U383" s="12"/>
      <c r="V383" s="12"/>
      <c r="W383" s="12"/>
      <c r="X383" s="12"/>
    </row>
    <row r="384" spans="2:24">
      <c r="B384" s="12"/>
      <c r="C384" s="12"/>
      <c r="D384" s="12"/>
      <c r="E384" s="12"/>
      <c r="F384" s="12"/>
      <c r="G384" s="12"/>
      <c r="H384" s="12"/>
      <c r="I384" s="12"/>
      <c r="J384" s="12"/>
      <c r="K384" s="12"/>
      <c r="L384" s="12"/>
      <c r="M384" s="12"/>
      <c r="N384" s="12"/>
      <c r="O384" s="12"/>
      <c r="P384" s="12"/>
      <c r="Q384" s="12"/>
      <c r="R384" s="12"/>
      <c r="S384" s="12"/>
      <c r="T384" s="12"/>
      <c r="U384" s="12"/>
      <c r="V384" s="12"/>
      <c r="W384" s="12"/>
      <c r="X384" s="12"/>
    </row>
    <row r="385" spans="2:24">
      <c r="B385" s="12"/>
      <c r="C385" s="12"/>
      <c r="D385" s="12"/>
      <c r="E385" s="12"/>
      <c r="F385" s="12"/>
      <c r="G385" s="12"/>
      <c r="H385" s="12"/>
      <c r="I385" s="12"/>
      <c r="J385" s="12"/>
      <c r="K385" s="12"/>
      <c r="L385" s="12"/>
      <c r="M385" s="12"/>
      <c r="N385" s="12"/>
      <c r="O385" s="12"/>
      <c r="P385" s="12"/>
      <c r="Q385" s="12"/>
      <c r="R385" s="12"/>
      <c r="S385" s="12"/>
      <c r="T385" s="12"/>
      <c r="U385" s="12"/>
      <c r="V385" s="12"/>
      <c r="W385" s="12"/>
      <c r="X385" s="12"/>
    </row>
    <row r="386" spans="2:24">
      <c r="B386" s="12"/>
      <c r="C386" s="12"/>
      <c r="D386" s="12"/>
      <c r="E386" s="12"/>
      <c r="F386" s="12"/>
      <c r="G386" s="12"/>
      <c r="H386" s="12"/>
      <c r="I386" s="12"/>
      <c r="J386" s="12"/>
      <c r="K386" s="12"/>
      <c r="L386" s="12"/>
      <c r="M386" s="12"/>
      <c r="N386" s="12"/>
      <c r="O386" s="12"/>
      <c r="P386" s="12"/>
      <c r="Q386" s="12"/>
      <c r="R386" s="12"/>
      <c r="S386" s="12"/>
      <c r="T386" s="12"/>
      <c r="U386" s="12"/>
      <c r="V386" s="12"/>
      <c r="W386" s="12"/>
      <c r="X386" s="12"/>
    </row>
    <row r="387" spans="2:24">
      <c r="B387" s="12"/>
      <c r="C387" s="12"/>
      <c r="D387" s="12"/>
      <c r="E387" s="12"/>
      <c r="F387" s="12"/>
      <c r="G387" s="12"/>
      <c r="H387" s="12"/>
      <c r="I387" s="12"/>
      <c r="J387" s="12"/>
      <c r="K387" s="12"/>
      <c r="L387" s="12"/>
      <c r="M387" s="12"/>
      <c r="N387" s="12"/>
      <c r="O387" s="12"/>
      <c r="P387" s="12"/>
      <c r="Q387" s="12"/>
      <c r="R387" s="12"/>
      <c r="S387" s="12"/>
      <c r="T387" s="12"/>
      <c r="U387" s="12"/>
      <c r="V387" s="12"/>
      <c r="W387" s="12"/>
      <c r="X387" s="12"/>
    </row>
    <row r="388" spans="2:24">
      <c r="B388" s="12"/>
      <c r="C388" s="12"/>
      <c r="D388" s="12"/>
      <c r="E388" s="12"/>
      <c r="F388" s="12"/>
      <c r="G388" s="12"/>
      <c r="H388" s="12"/>
      <c r="I388" s="12"/>
      <c r="J388" s="12"/>
      <c r="K388" s="12"/>
      <c r="L388" s="12"/>
      <c r="M388" s="12"/>
      <c r="N388" s="12"/>
      <c r="O388" s="12"/>
      <c r="P388" s="12"/>
      <c r="Q388" s="12"/>
      <c r="R388" s="12"/>
      <c r="S388" s="12"/>
      <c r="T388" s="12"/>
      <c r="U388" s="12"/>
      <c r="V388" s="12"/>
      <c r="W388" s="12"/>
      <c r="X388" s="12"/>
    </row>
    <row r="389" spans="2:24">
      <c r="B389" s="12"/>
      <c r="C389" s="12"/>
      <c r="D389" s="12"/>
      <c r="E389" s="12"/>
      <c r="F389" s="12"/>
      <c r="G389" s="12"/>
      <c r="H389" s="12"/>
      <c r="I389" s="12"/>
      <c r="J389" s="12"/>
      <c r="K389" s="12"/>
      <c r="L389" s="12"/>
      <c r="M389" s="12"/>
      <c r="N389" s="12"/>
      <c r="O389" s="12"/>
      <c r="P389" s="12"/>
      <c r="Q389" s="12"/>
      <c r="R389" s="12"/>
      <c r="S389" s="12"/>
      <c r="T389" s="12"/>
      <c r="U389" s="12"/>
      <c r="V389" s="12"/>
      <c r="W389" s="12"/>
      <c r="X389" s="12"/>
    </row>
    <row r="390" spans="2:24">
      <c r="B390" s="12"/>
      <c r="C390" s="12"/>
      <c r="D390" s="12"/>
      <c r="E390" s="12"/>
      <c r="F390" s="12"/>
      <c r="G390" s="12"/>
      <c r="H390" s="12"/>
      <c r="I390" s="12"/>
      <c r="J390" s="12"/>
      <c r="K390" s="12"/>
      <c r="L390" s="12"/>
      <c r="M390" s="12"/>
      <c r="N390" s="12"/>
      <c r="O390" s="12"/>
      <c r="P390" s="12"/>
      <c r="Q390" s="12"/>
      <c r="R390" s="12"/>
      <c r="S390" s="12"/>
      <c r="T390" s="12"/>
      <c r="U390" s="12"/>
      <c r="V390" s="12"/>
      <c r="W390" s="12"/>
      <c r="X390" s="12"/>
    </row>
    <row r="391" spans="2:24">
      <c r="B391" s="12"/>
      <c r="C391" s="12"/>
      <c r="D391" s="12"/>
      <c r="E391" s="12"/>
      <c r="F391" s="12"/>
      <c r="G391" s="12"/>
      <c r="H391" s="12"/>
      <c r="I391" s="12"/>
      <c r="J391" s="12"/>
      <c r="K391" s="12"/>
      <c r="L391" s="12"/>
      <c r="M391" s="12"/>
      <c r="N391" s="12"/>
      <c r="O391" s="12"/>
      <c r="P391" s="12"/>
      <c r="Q391" s="12"/>
      <c r="R391" s="12"/>
      <c r="S391" s="12"/>
      <c r="T391" s="12"/>
      <c r="U391" s="12"/>
      <c r="V391" s="12"/>
      <c r="W391" s="12"/>
      <c r="X391" s="12"/>
    </row>
    <row r="392" spans="2:24">
      <c r="B392" s="12"/>
      <c r="C392" s="12"/>
      <c r="D392" s="12"/>
      <c r="E392" s="12"/>
      <c r="F392" s="12"/>
      <c r="G392" s="12"/>
      <c r="H392" s="12"/>
      <c r="I392" s="12"/>
      <c r="J392" s="12"/>
      <c r="K392" s="12"/>
      <c r="L392" s="12"/>
      <c r="M392" s="12"/>
      <c r="N392" s="12"/>
      <c r="O392" s="12"/>
      <c r="P392" s="12"/>
      <c r="Q392" s="12"/>
      <c r="R392" s="12"/>
      <c r="S392" s="12"/>
      <c r="T392" s="12"/>
      <c r="U392" s="12"/>
      <c r="V392" s="12"/>
      <c r="W392" s="12"/>
      <c r="X392" s="12"/>
    </row>
    <row r="393" spans="2:24">
      <c r="B393" s="12"/>
      <c r="C393" s="12"/>
      <c r="D393" s="12"/>
      <c r="E393" s="12"/>
      <c r="F393" s="12"/>
      <c r="G393" s="12"/>
      <c r="H393" s="12"/>
      <c r="I393" s="12"/>
      <c r="J393" s="12"/>
      <c r="K393" s="12"/>
      <c r="L393" s="12"/>
      <c r="M393" s="12"/>
      <c r="N393" s="12"/>
      <c r="O393" s="12"/>
      <c r="P393" s="12"/>
      <c r="Q393" s="12"/>
      <c r="R393" s="12"/>
      <c r="S393" s="12"/>
      <c r="T393" s="12"/>
      <c r="U393" s="12"/>
      <c r="V393" s="12"/>
      <c r="W393" s="12"/>
      <c r="X393" s="12"/>
    </row>
    <row r="394" spans="2:24">
      <c r="B394" s="12"/>
      <c r="C394" s="12"/>
      <c r="D394" s="12"/>
      <c r="E394" s="12"/>
      <c r="F394" s="12"/>
      <c r="G394" s="12"/>
      <c r="H394" s="12"/>
      <c r="I394" s="12"/>
      <c r="J394" s="12"/>
      <c r="K394" s="12"/>
      <c r="L394" s="12"/>
      <c r="M394" s="12"/>
      <c r="N394" s="12"/>
      <c r="O394" s="12"/>
      <c r="P394" s="12"/>
      <c r="Q394" s="12"/>
      <c r="R394" s="12"/>
      <c r="S394" s="12"/>
      <c r="T394" s="12"/>
      <c r="U394" s="12"/>
      <c r="V394" s="12"/>
      <c r="W394" s="12"/>
      <c r="X394" s="12"/>
    </row>
    <row r="395" spans="2:24">
      <c r="B395" s="12"/>
      <c r="C395" s="12"/>
      <c r="D395" s="12"/>
      <c r="E395" s="12"/>
      <c r="F395" s="12"/>
      <c r="G395" s="12"/>
      <c r="H395" s="12"/>
      <c r="I395" s="12"/>
      <c r="J395" s="12"/>
      <c r="K395" s="12"/>
      <c r="L395" s="12"/>
      <c r="M395" s="12"/>
      <c r="N395" s="12"/>
      <c r="O395" s="12"/>
      <c r="P395" s="12"/>
      <c r="Q395" s="12"/>
      <c r="R395" s="12"/>
      <c r="S395" s="12"/>
      <c r="T395" s="12"/>
      <c r="U395" s="12"/>
      <c r="V395" s="12"/>
      <c r="W395" s="12"/>
      <c r="X395" s="12"/>
    </row>
    <row r="396" spans="2:24">
      <c r="B396" s="12"/>
      <c r="C396" s="12"/>
      <c r="D396" s="12"/>
      <c r="E396" s="12"/>
      <c r="F396" s="12"/>
      <c r="G396" s="12"/>
      <c r="H396" s="12"/>
      <c r="I396" s="12"/>
      <c r="J396" s="12"/>
      <c r="K396" s="12"/>
      <c r="L396" s="12"/>
      <c r="M396" s="12"/>
      <c r="N396" s="12"/>
      <c r="O396" s="12"/>
      <c r="P396" s="12"/>
      <c r="Q396" s="12"/>
      <c r="R396" s="12"/>
      <c r="S396" s="12"/>
      <c r="T396" s="12"/>
      <c r="U396" s="12"/>
      <c r="V396" s="12"/>
      <c r="W396" s="12"/>
      <c r="X396" s="12"/>
    </row>
    <row r="397" spans="2:24">
      <c r="B397" s="12"/>
      <c r="C397" s="12"/>
      <c r="D397" s="12"/>
      <c r="E397" s="12"/>
      <c r="F397" s="12"/>
      <c r="G397" s="12"/>
      <c r="H397" s="12"/>
      <c r="I397" s="12"/>
      <c r="J397" s="12"/>
      <c r="K397" s="12"/>
      <c r="L397" s="12"/>
      <c r="M397" s="12"/>
      <c r="N397" s="12"/>
      <c r="O397" s="12"/>
      <c r="P397" s="12"/>
      <c r="Q397" s="12"/>
      <c r="R397" s="12"/>
      <c r="S397" s="12"/>
      <c r="T397" s="12"/>
      <c r="U397" s="12"/>
      <c r="V397" s="12"/>
      <c r="W397" s="12"/>
      <c r="X397" s="12"/>
    </row>
    <row r="398" spans="2:24">
      <c r="B398" s="12"/>
      <c r="C398" s="12"/>
      <c r="D398" s="12"/>
      <c r="E398" s="12"/>
      <c r="F398" s="12"/>
      <c r="G398" s="12"/>
      <c r="H398" s="12"/>
      <c r="I398" s="12"/>
      <c r="J398" s="12"/>
      <c r="K398" s="12"/>
      <c r="L398" s="12"/>
      <c r="M398" s="12"/>
      <c r="N398" s="12"/>
      <c r="O398" s="12"/>
      <c r="P398" s="12"/>
      <c r="Q398" s="12"/>
      <c r="R398" s="12"/>
      <c r="S398" s="12"/>
      <c r="T398" s="12"/>
      <c r="U398" s="12"/>
      <c r="V398" s="12"/>
      <c r="W398" s="12"/>
      <c r="X398" s="12"/>
    </row>
    <row r="399" spans="2:24">
      <c r="B399" s="12"/>
      <c r="C399" s="12"/>
      <c r="D399" s="12"/>
      <c r="E399" s="12"/>
      <c r="F399" s="12"/>
      <c r="G399" s="12"/>
      <c r="H399" s="12"/>
      <c r="I399" s="12"/>
      <c r="J399" s="12"/>
      <c r="K399" s="12"/>
      <c r="L399" s="12"/>
      <c r="M399" s="12"/>
      <c r="N399" s="12"/>
      <c r="O399" s="12"/>
      <c r="P399" s="12"/>
      <c r="Q399" s="12"/>
      <c r="R399" s="12"/>
      <c r="S399" s="12"/>
      <c r="T399" s="12"/>
      <c r="U399" s="12"/>
      <c r="V399" s="12"/>
      <c r="W399" s="12"/>
      <c r="X399" s="12"/>
    </row>
    <row r="400" spans="2:24">
      <c r="B400" s="12"/>
      <c r="C400" s="12"/>
      <c r="D400" s="12"/>
      <c r="E400" s="12"/>
      <c r="F400" s="12"/>
      <c r="G400" s="12"/>
      <c r="H400" s="12"/>
      <c r="I400" s="12"/>
      <c r="J400" s="12"/>
      <c r="K400" s="12"/>
      <c r="L400" s="12"/>
      <c r="M400" s="12"/>
      <c r="N400" s="12"/>
      <c r="O400" s="12"/>
      <c r="P400" s="12"/>
      <c r="Q400" s="12"/>
      <c r="R400" s="12"/>
      <c r="S400" s="12"/>
      <c r="T400" s="12"/>
      <c r="U400" s="12"/>
      <c r="V400" s="12"/>
      <c r="W400" s="12"/>
      <c r="X400" s="12"/>
    </row>
    <row r="401" spans="2:24">
      <c r="B401" s="12"/>
      <c r="C401" s="12"/>
      <c r="D401" s="12"/>
      <c r="E401" s="12"/>
      <c r="F401" s="12"/>
      <c r="G401" s="12"/>
      <c r="H401" s="12"/>
      <c r="I401" s="12"/>
      <c r="J401" s="12"/>
      <c r="K401" s="12"/>
      <c r="L401" s="12"/>
      <c r="M401" s="12"/>
      <c r="N401" s="12"/>
      <c r="O401" s="12"/>
      <c r="P401" s="12"/>
      <c r="Q401" s="12"/>
      <c r="R401" s="12"/>
      <c r="S401" s="12"/>
      <c r="T401" s="12"/>
      <c r="U401" s="12"/>
      <c r="V401" s="12"/>
      <c r="W401" s="12"/>
      <c r="X401" s="12"/>
    </row>
    <row r="402" spans="2:24">
      <c r="B402" s="12"/>
      <c r="C402" s="12"/>
      <c r="D402" s="12"/>
      <c r="E402" s="12"/>
      <c r="F402" s="12"/>
      <c r="G402" s="12"/>
      <c r="H402" s="12"/>
      <c r="I402" s="12"/>
      <c r="J402" s="12"/>
      <c r="K402" s="12"/>
      <c r="L402" s="12"/>
      <c r="M402" s="12"/>
      <c r="N402" s="12"/>
      <c r="O402" s="12"/>
      <c r="P402" s="12"/>
      <c r="Q402" s="12"/>
      <c r="R402" s="12"/>
      <c r="S402" s="12"/>
      <c r="T402" s="12"/>
      <c r="U402" s="12"/>
      <c r="V402" s="12"/>
      <c r="W402" s="12"/>
      <c r="X402" s="12"/>
    </row>
    <row r="403" spans="2:24">
      <c r="B403" s="12"/>
      <c r="C403" s="12"/>
      <c r="D403" s="12"/>
      <c r="E403" s="12"/>
      <c r="F403" s="12"/>
      <c r="G403" s="12"/>
      <c r="H403" s="12"/>
      <c r="I403" s="12"/>
      <c r="J403" s="12"/>
      <c r="K403" s="12"/>
      <c r="L403" s="12"/>
      <c r="M403" s="12"/>
      <c r="N403" s="12"/>
      <c r="O403" s="12"/>
      <c r="P403" s="12"/>
      <c r="Q403" s="12"/>
      <c r="R403" s="12"/>
      <c r="S403" s="12"/>
      <c r="T403" s="12"/>
      <c r="U403" s="12"/>
      <c r="V403" s="12"/>
      <c r="W403" s="12"/>
      <c r="X403" s="12"/>
    </row>
    <row r="404" spans="2:24">
      <c r="B404" s="12"/>
      <c r="C404" s="12"/>
      <c r="D404" s="12"/>
      <c r="E404" s="12"/>
      <c r="F404" s="12"/>
      <c r="G404" s="12"/>
      <c r="H404" s="12"/>
      <c r="I404" s="12"/>
      <c r="J404" s="12"/>
      <c r="K404" s="12"/>
      <c r="L404" s="12"/>
      <c r="M404" s="12"/>
      <c r="N404" s="12"/>
      <c r="O404" s="12"/>
      <c r="P404" s="12"/>
      <c r="Q404" s="12"/>
      <c r="R404" s="12"/>
      <c r="S404" s="12"/>
      <c r="T404" s="12"/>
      <c r="U404" s="12"/>
      <c r="V404" s="12"/>
      <c r="W404" s="12"/>
      <c r="X404" s="12"/>
    </row>
    <row r="405" spans="2:24">
      <c r="B405" s="12"/>
      <c r="C405" s="12"/>
      <c r="D405" s="12"/>
      <c r="E405" s="12"/>
      <c r="F405" s="12"/>
      <c r="G405" s="12"/>
      <c r="H405" s="12"/>
      <c r="I405" s="12"/>
      <c r="J405" s="12"/>
      <c r="K405" s="12"/>
      <c r="L405" s="12"/>
      <c r="M405" s="12"/>
      <c r="N405" s="12"/>
      <c r="O405" s="12"/>
      <c r="P405" s="12"/>
      <c r="Q405" s="12"/>
      <c r="R405" s="12"/>
      <c r="S405" s="12"/>
      <c r="T405" s="12"/>
      <c r="U405" s="12"/>
      <c r="V405" s="12"/>
      <c r="W405" s="12"/>
      <c r="X405" s="12"/>
    </row>
    <row r="406" spans="2:24">
      <c r="B406" s="12"/>
      <c r="C406" s="12"/>
      <c r="D406" s="12"/>
      <c r="E406" s="12"/>
      <c r="F406" s="12"/>
      <c r="G406" s="12"/>
      <c r="H406" s="12"/>
      <c r="I406" s="12"/>
      <c r="J406" s="12"/>
      <c r="K406" s="12"/>
      <c r="L406" s="12"/>
      <c r="M406" s="12"/>
      <c r="N406" s="12"/>
      <c r="O406" s="12"/>
      <c r="P406" s="12"/>
      <c r="Q406" s="12"/>
      <c r="R406" s="12"/>
      <c r="S406" s="12"/>
      <c r="T406" s="12"/>
      <c r="U406" s="12"/>
      <c r="V406" s="12"/>
      <c r="W406" s="12"/>
      <c r="X406" s="12"/>
    </row>
    <row r="407" spans="2:24">
      <c r="B407" s="12"/>
      <c r="C407" s="12"/>
      <c r="D407" s="12"/>
      <c r="E407" s="12"/>
      <c r="F407" s="12"/>
      <c r="G407" s="12"/>
      <c r="H407" s="12"/>
      <c r="I407" s="12"/>
      <c r="J407" s="12"/>
      <c r="K407" s="12"/>
      <c r="L407" s="12"/>
      <c r="M407" s="12"/>
      <c r="N407" s="12"/>
      <c r="O407" s="12"/>
      <c r="P407" s="12"/>
      <c r="Q407" s="12"/>
      <c r="R407" s="12"/>
      <c r="S407" s="12"/>
      <c r="T407" s="12"/>
      <c r="U407" s="12"/>
      <c r="V407" s="12"/>
      <c r="W407" s="12"/>
      <c r="X407" s="12"/>
    </row>
    <row r="408" spans="2:24">
      <c r="B408" s="12"/>
      <c r="C408" s="12"/>
      <c r="D408" s="12"/>
      <c r="E408" s="12"/>
      <c r="F408" s="12"/>
      <c r="G408" s="12"/>
      <c r="H408" s="12"/>
      <c r="I408" s="12"/>
      <c r="J408" s="12"/>
      <c r="K408" s="12"/>
      <c r="L408" s="12"/>
      <c r="M408" s="12"/>
      <c r="N408" s="12"/>
      <c r="O408" s="12"/>
      <c r="P408" s="12"/>
      <c r="Q408" s="12"/>
      <c r="R408" s="12"/>
      <c r="S408" s="12"/>
      <c r="T408" s="12"/>
      <c r="U408" s="12"/>
      <c r="V408" s="12"/>
      <c r="W408" s="12"/>
      <c r="X408" s="12"/>
    </row>
    <row r="409" spans="2:24">
      <c r="B409" s="12"/>
      <c r="C409" s="12"/>
      <c r="D409" s="12"/>
      <c r="E409" s="12"/>
      <c r="F409" s="12"/>
      <c r="G409" s="12"/>
      <c r="H409" s="12"/>
      <c r="I409" s="12"/>
      <c r="J409" s="12"/>
      <c r="K409" s="12"/>
      <c r="L409" s="12"/>
      <c r="M409" s="12"/>
      <c r="N409" s="12"/>
      <c r="O409" s="12"/>
      <c r="P409" s="12"/>
      <c r="Q409" s="12"/>
      <c r="R409" s="12"/>
      <c r="S409" s="12"/>
      <c r="T409" s="12"/>
      <c r="U409" s="12"/>
      <c r="V409" s="12"/>
      <c r="W409" s="12"/>
      <c r="X409" s="12"/>
    </row>
    <row r="410" spans="2:24">
      <c r="B410" s="12"/>
      <c r="C410" s="12"/>
      <c r="D410" s="12"/>
      <c r="E410" s="12"/>
      <c r="F410" s="12"/>
      <c r="G410" s="12"/>
      <c r="H410" s="12"/>
      <c r="I410" s="12"/>
      <c r="J410" s="12"/>
      <c r="K410" s="12"/>
      <c r="L410" s="12"/>
      <c r="M410" s="12"/>
      <c r="N410" s="12"/>
      <c r="O410" s="12"/>
      <c r="P410" s="12"/>
      <c r="Q410" s="12"/>
      <c r="R410" s="12"/>
      <c r="S410" s="12"/>
      <c r="T410" s="12"/>
      <c r="U410" s="12"/>
      <c r="V410" s="12"/>
      <c r="W410" s="12"/>
      <c r="X410" s="12"/>
    </row>
    <row r="411" spans="2:24">
      <c r="B411" s="12"/>
      <c r="C411" s="12"/>
      <c r="D411" s="12"/>
      <c r="E411" s="12"/>
      <c r="F411" s="12"/>
      <c r="G411" s="12"/>
      <c r="H411" s="12"/>
      <c r="I411" s="12"/>
      <c r="J411" s="12"/>
      <c r="K411" s="12"/>
      <c r="L411" s="12"/>
      <c r="M411" s="12"/>
      <c r="N411" s="12"/>
      <c r="O411" s="12"/>
      <c r="P411" s="12"/>
      <c r="Q411" s="12"/>
      <c r="R411" s="12"/>
      <c r="S411" s="12"/>
      <c r="T411" s="12"/>
      <c r="U411" s="12"/>
      <c r="V411" s="12"/>
      <c r="W411" s="12"/>
      <c r="X411" s="12"/>
    </row>
    <row r="412" spans="2:24">
      <c r="B412" s="12"/>
      <c r="C412" s="12"/>
      <c r="D412" s="12"/>
      <c r="E412" s="12"/>
      <c r="F412" s="12"/>
      <c r="G412" s="12"/>
      <c r="H412" s="12"/>
      <c r="I412" s="12"/>
      <c r="J412" s="12"/>
      <c r="K412" s="12"/>
      <c r="L412" s="12"/>
      <c r="M412" s="12"/>
      <c r="N412" s="12"/>
      <c r="O412" s="12"/>
      <c r="P412" s="12"/>
      <c r="Q412" s="12"/>
      <c r="R412" s="12"/>
      <c r="S412" s="12"/>
      <c r="T412" s="12"/>
      <c r="U412" s="12"/>
      <c r="V412" s="12"/>
      <c r="W412" s="12"/>
      <c r="X412" s="12"/>
    </row>
    <row r="413" spans="2:24">
      <c r="B413" s="12"/>
      <c r="C413" s="12"/>
      <c r="D413" s="12"/>
      <c r="E413" s="12"/>
      <c r="F413" s="12"/>
      <c r="G413" s="12"/>
      <c r="H413" s="12"/>
      <c r="I413" s="12"/>
      <c r="J413" s="12"/>
      <c r="K413" s="12"/>
      <c r="L413" s="12"/>
      <c r="M413" s="12"/>
      <c r="N413" s="12"/>
      <c r="O413" s="12"/>
      <c r="P413" s="12"/>
      <c r="Q413" s="12"/>
      <c r="R413" s="12"/>
      <c r="S413" s="12"/>
      <c r="T413" s="12"/>
      <c r="U413" s="12"/>
      <c r="V413" s="12"/>
      <c r="W413" s="12"/>
      <c r="X413" s="12"/>
    </row>
    <row r="414" spans="2:24">
      <c r="B414" s="12"/>
      <c r="C414" s="12"/>
      <c r="D414" s="12"/>
      <c r="E414" s="12"/>
      <c r="F414" s="12"/>
      <c r="G414" s="12"/>
      <c r="H414" s="12"/>
      <c r="I414" s="12"/>
      <c r="J414" s="12"/>
      <c r="K414" s="12"/>
      <c r="L414" s="12"/>
      <c r="M414" s="12"/>
      <c r="N414" s="12"/>
      <c r="O414" s="12"/>
      <c r="P414" s="12"/>
      <c r="Q414" s="12"/>
      <c r="R414" s="12"/>
      <c r="S414" s="12"/>
      <c r="T414" s="12"/>
      <c r="U414" s="12"/>
      <c r="V414" s="12"/>
      <c r="W414" s="12"/>
      <c r="X414" s="12"/>
    </row>
    <row r="415" spans="2:24">
      <c r="B415" s="12"/>
      <c r="C415" s="12"/>
      <c r="D415" s="12"/>
      <c r="E415" s="12"/>
      <c r="F415" s="12"/>
      <c r="G415" s="12"/>
      <c r="H415" s="12"/>
      <c r="I415" s="12"/>
      <c r="J415" s="12"/>
      <c r="K415" s="12"/>
      <c r="L415" s="12"/>
      <c r="M415" s="12"/>
      <c r="N415" s="12"/>
      <c r="O415" s="12"/>
      <c r="P415" s="12"/>
      <c r="Q415" s="12"/>
      <c r="R415" s="12"/>
      <c r="S415" s="12"/>
      <c r="T415" s="12"/>
      <c r="U415" s="12"/>
      <c r="V415" s="12"/>
      <c r="W415" s="12"/>
      <c r="X415" s="12"/>
    </row>
    <row r="416" spans="2:24">
      <c r="B416" s="12"/>
      <c r="C416" s="12"/>
      <c r="D416" s="12"/>
      <c r="E416" s="12"/>
      <c r="F416" s="12"/>
      <c r="G416" s="12"/>
      <c r="H416" s="12"/>
      <c r="I416" s="12"/>
      <c r="J416" s="12"/>
      <c r="K416" s="12"/>
      <c r="L416" s="12"/>
      <c r="M416" s="12"/>
      <c r="N416" s="12"/>
      <c r="O416" s="12"/>
      <c r="P416" s="12"/>
      <c r="Q416" s="12"/>
      <c r="R416" s="12"/>
      <c r="S416" s="12"/>
      <c r="T416" s="12"/>
      <c r="U416" s="12"/>
      <c r="V416" s="12"/>
      <c r="W416" s="12"/>
      <c r="X416" s="12"/>
    </row>
    <row r="417" spans="2:24">
      <c r="B417" s="12"/>
      <c r="C417" s="12"/>
      <c r="D417" s="12"/>
      <c r="E417" s="12"/>
      <c r="F417" s="12"/>
      <c r="G417" s="12"/>
      <c r="H417" s="12"/>
      <c r="I417" s="12"/>
      <c r="J417" s="12"/>
      <c r="K417" s="12"/>
      <c r="L417" s="12"/>
      <c r="M417" s="12"/>
      <c r="N417" s="12"/>
      <c r="O417" s="12"/>
      <c r="P417" s="12"/>
      <c r="Q417" s="12"/>
      <c r="R417" s="12"/>
      <c r="S417" s="12"/>
      <c r="T417" s="12"/>
      <c r="U417" s="12"/>
      <c r="V417" s="12"/>
      <c r="W417" s="12"/>
      <c r="X417" s="12"/>
    </row>
    <row r="418" spans="2:24">
      <c r="B418" s="12"/>
      <c r="C418" s="12"/>
      <c r="D418" s="12"/>
      <c r="E418" s="12"/>
      <c r="F418" s="12"/>
      <c r="G418" s="12"/>
      <c r="H418" s="12"/>
      <c r="I418" s="12"/>
      <c r="J418" s="12"/>
      <c r="K418" s="12"/>
      <c r="L418" s="12"/>
      <c r="M418" s="12"/>
      <c r="N418" s="12"/>
      <c r="O418" s="12"/>
      <c r="P418" s="12"/>
      <c r="Q418" s="12"/>
      <c r="R418" s="12"/>
      <c r="S418" s="12"/>
      <c r="T418" s="12"/>
      <c r="U418" s="12"/>
      <c r="V418" s="12"/>
      <c r="W418" s="12"/>
      <c r="X418" s="12"/>
    </row>
    <row r="419" spans="2:24">
      <c r="B419" s="12"/>
      <c r="C419" s="12"/>
      <c r="D419" s="12"/>
      <c r="E419" s="12"/>
      <c r="F419" s="12"/>
      <c r="G419" s="12"/>
      <c r="H419" s="12"/>
      <c r="I419" s="12"/>
      <c r="J419" s="12"/>
      <c r="K419" s="12"/>
      <c r="L419" s="12"/>
      <c r="M419" s="12"/>
      <c r="N419" s="12"/>
      <c r="O419" s="12"/>
      <c r="P419" s="12"/>
      <c r="Q419" s="12"/>
      <c r="R419" s="12"/>
      <c r="S419" s="12"/>
      <c r="T419" s="12"/>
      <c r="U419" s="12"/>
      <c r="V419" s="12"/>
      <c r="W419" s="12"/>
      <c r="X419" s="12"/>
    </row>
    <row r="420" spans="2:24">
      <c r="B420" s="12"/>
      <c r="C420" s="12"/>
      <c r="D420" s="12"/>
      <c r="E420" s="12"/>
      <c r="F420" s="12"/>
      <c r="G420" s="12"/>
      <c r="H420" s="12"/>
      <c r="I420" s="12"/>
      <c r="J420" s="12"/>
      <c r="K420" s="12"/>
      <c r="L420" s="12"/>
      <c r="M420" s="12"/>
      <c r="N420" s="12"/>
      <c r="O420" s="12"/>
      <c r="P420" s="12"/>
      <c r="Q420" s="12"/>
      <c r="R420" s="12"/>
      <c r="S420" s="12"/>
      <c r="T420" s="12"/>
      <c r="U420" s="12"/>
      <c r="V420" s="12"/>
      <c r="W420" s="12"/>
      <c r="X420" s="12"/>
    </row>
    <row r="421" spans="2:24">
      <c r="B421" s="12"/>
      <c r="C421" s="12"/>
      <c r="D421" s="12"/>
      <c r="E421" s="12"/>
      <c r="F421" s="12"/>
      <c r="G421" s="12"/>
      <c r="H421" s="12"/>
      <c r="I421" s="12"/>
      <c r="J421" s="12"/>
      <c r="K421" s="12"/>
      <c r="L421" s="12"/>
      <c r="M421" s="12"/>
      <c r="N421" s="12"/>
      <c r="O421" s="12"/>
      <c r="P421" s="12"/>
      <c r="Q421" s="12"/>
      <c r="R421" s="12"/>
      <c r="S421" s="12"/>
      <c r="T421" s="12"/>
      <c r="U421" s="12"/>
      <c r="V421" s="12"/>
      <c r="W421" s="12"/>
      <c r="X421" s="12"/>
    </row>
    <row r="422" spans="2:24">
      <c r="B422" s="12"/>
      <c r="C422" s="12"/>
      <c r="D422" s="12"/>
      <c r="E422" s="12"/>
      <c r="F422" s="12"/>
      <c r="G422" s="12"/>
      <c r="H422" s="12"/>
      <c r="I422" s="12"/>
      <c r="J422" s="12"/>
      <c r="K422" s="12"/>
      <c r="L422" s="12"/>
      <c r="M422" s="12"/>
      <c r="N422" s="12"/>
      <c r="O422" s="12"/>
      <c r="P422" s="12"/>
      <c r="Q422" s="12"/>
      <c r="R422" s="12"/>
      <c r="S422" s="12"/>
      <c r="T422" s="12"/>
      <c r="U422" s="12"/>
      <c r="V422" s="12"/>
      <c r="W422" s="12"/>
      <c r="X422" s="12"/>
    </row>
    <row r="423" spans="2:24">
      <c r="B423" s="12"/>
      <c r="C423" s="12"/>
      <c r="D423" s="12"/>
      <c r="E423" s="12"/>
      <c r="F423" s="12"/>
      <c r="G423" s="12"/>
      <c r="H423" s="12"/>
      <c r="I423" s="12"/>
      <c r="J423" s="12"/>
      <c r="K423" s="12"/>
      <c r="L423" s="12"/>
      <c r="M423" s="12"/>
      <c r="N423" s="12"/>
      <c r="O423" s="12"/>
      <c r="P423" s="12"/>
      <c r="Q423" s="12"/>
      <c r="R423" s="12"/>
      <c r="S423" s="12"/>
      <c r="T423" s="12"/>
      <c r="U423" s="12"/>
      <c r="V423" s="12"/>
      <c r="W423" s="12"/>
      <c r="X423" s="12"/>
    </row>
    <row r="424" spans="2:24">
      <c r="B424" s="12"/>
      <c r="C424" s="12"/>
      <c r="D424" s="12"/>
      <c r="E424" s="12"/>
      <c r="F424" s="12"/>
      <c r="G424" s="12"/>
      <c r="H424" s="12"/>
      <c r="I424" s="12"/>
      <c r="J424" s="12"/>
      <c r="K424" s="12"/>
      <c r="L424" s="12"/>
      <c r="M424" s="12"/>
      <c r="N424" s="12"/>
      <c r="O424" s="12"/>
      <c r="P424" s="12"/>
      <c r="Q424" s="12"/>
      <c r="R424" s="12"/>
      <c r="S424" s="12"/>
      <c r="T424" s="12"/>
      <c r="U424" s="12"/>
      <c r="V424" s="12"/>
      <c r="W424" s="12"/>
      <c r="X424" s="12"/>
    </row>
    <row r="425" spans="2:24">
      <c r="B425" s="12"/>
      <c r="C425" s="12"/>
      <c r="D425" s="12"/>
      <c r="E425" s="12"/>
      <c r="F425" s="12"/>
      <c r="G425" s="12"/>
      <c r="H425" s="12"/>
      <c r="I425" s="12"/>
      <c r="J425" s="12"/>
      <c r="K425" s="12"/>
      <c r="L425" s="12"/>
      <c r="M425" s="12"/>
      <c r="N425" s="12"/>
      <c r="O425" s="12"/>
      <c r="P425" s="12"/>
      <c r="Q425" s="12"/>
      <c r="R425" s="12"/>
      <c r="S425" s="12"/>
      <c r="T425" s="12"/>
      <c r="U425" s="12"/>
      <c r="V425" s="12"/>
      <c r="W425" s="12"/>
      <c r="X425" s="12"/>
    </row>
    <row r="426" spans="2:24">
      <c r="B426" s="12"/>
      <c r="C426" s="12"/>
      <c r="D426" s="12"/>
      <c r="E426" s="12"/>
      <c r="F426" s="12"/>
      <c r="G426" s="12"/>
      <c r="H426" s="12"/>
      <c r="I426" s="12"/>
      <c r="J426" s="12"/>
      <c r="K426" s="12"/>
      <c r="L426" s="12"/>
      <c r="M426" s="12"/>
      <c r="N426" s="12"/>
      <c r="O426" s="12"/>
      <c r="P426" s="12"/>
      <c r="Q426" s="12"/>
      <c r="R426" s="12"/>
      <c r="S426" s="12"/>
      <c r="T426" s="12"/>
      <c r="U426" s="12"/>
      <c r="V426" s="12"/>
      <c r="W426" s="12"/>
      <c r="X426" s="12"/>
    </row>
    <row r="427" spans="2:24">
      <c r="B427" s="12"/>
      <c r="C427" s="12"/>
      <c r="D427" s="12"/>
      <c r="E427" s="12"/>
      <c r="F427" s="12"/>
      <c r="G427" s="12"/>
      <c r="H427" s="12"/>
      <c r="I427" s="12"/>
      <c r="J427" s="12"/>
      <c r="K427" s="12"/>
      <c r="L427" s="12"/>
      <c r="M427" s="12"/>
      <c r="N427" s="12"/>
      <c r="O427" s="12"/>
      <c r="P427" s="12"/>
      <c r="Q427" s="12"/>
      <c r="R427" s="12"/>
      <c r="S427" s="12"/>
      <c r="T427" s="12"/>
      <c r="U427" s="12"/>
      <c r="V427" s="12"/>
      <c r="W427" s="12"/>
      <c r="X427" s="12"/>
    </row>
    <row r="428" spans="2:24">
      <c r="B428" s="12"/>
      <c r="C428" s="12"/>
      <c r="D428" s="12"/>
      <c r="E428" s="12"/>
      <c r="F428" s="12"/>
      <c r="G428" s="12"/>
      <c r="H428" s="12"/>
      <c r="I428" s="12"/>
      <c r="J428" s="12"/>
      <c r="K428" s="12"/>
      <c r="L428" s="12"/>
      <c r="M428" s="12"/>
      <c r="N428" s="12"/>
      <c r="O428" s="12"/>
      <c r="P428" s="12"/>
      <c r="Q428" s="12"/>
      <c r="R428" s="12"/>
      <c r="S428" s="12"/>
      <c r="T428" s="12"/>
      <c r="U428" s="12"/>
      <c r="V428" s="12"/>
      <c r="W428" s="12"/>
      <c r="X428" s="12"/>
    </row>
    <row r="429" spans="2:24">
      <c r="B429" s="12"/>
      <c r="C429" s="12"/>
      <c r="D429" s="12"/>
      <c r="E429" s="12"/>
      <c r="F429" s="12"/>
      <c r="G429" s="12"/>
      <c r="H429" s="12"/>
      <c r="I429" s="12"/>
      <c r="J429" s="12"/>
      <c r="K429" s="12"/>
      <c r="L429" s="12"/>
      <c r="M429" s="12"/>
      <c r="N429" s="12"/>
      <c r="O429" s="12"/>
      <c r="P429" s="12"/>
      <c r="Q429" s="12"/>
      <c r="R429" s="12"/>
      <c r="S429" s="12"/>
      <c r="T429" s="12"/>
      <c r="U429" s="12"/>
      <c r="V429" s="12"/>
      <c r="W429" s="12"/>
      <c r="X429" s="12"/>
    </row>
    <row r="430" spans="2:24">
      <c r="B430" s="12"/>
      <c r="C430" s="12"/>
      <c r="D430" s="12"/>
      <c r="E430" s="12"/>
      <c r="F430" s="12"/>
      <c r="G430" s="12"/>
      <c r="H430" s="12"/>
      <c r="I430" s="12"/>
      <c r="J430" s="12"/>
      <c r="K430" s="12"/>
      <c r="L430" s="12"/>
      <c r="M430" s="12"/>
      <c r="N430" s="12"/>
      <c r="O430" s="12"/>
      <c r="P430" s="12"/>
      <c r="Q430" s="12"/>
      <c r="R430" s="12"/>
      <c r="S430" s="12"/>
      <c r="T430" s="12"/>
      <c r="U430" s="12"/>
      <c r="V430" s="12"/>
      <c r="W430" s="12"/>
      <c r="X430" s="12"/>
    </row>
    <row r="431" spans="2:24">
      <c r="B431" s="12"/>
      <c r="C431" s="12"/>
      <c r="D431" s="12"/>
      <c r="E431" s="12"/>
      <c r="F431" s="12"/>
      <c r="G431" s="12"/>
      <c r="H431" s="12"/>
      <c r="I431" s="12"/>
      <c r="J431" s="12"/>
      <c r="K431" s="12"/>
      <c r="L431" s="12"/>
      <c r="M431" s="12"/>
      <c r="N431" s="12"/>
      <c r="O431" s="12"/>
      <c r="P431" s="12"/>
      <c r="Q431" s="12"/>
      <c r="R431" s="12"/>
      <c r="S431" s="12"/>
      <c r="T431" s="12"/>
      <c r="U431" s="12"/>
      <c r="V431" s="12"/>
      <c r="W431" s="12"/>
      <c r="X431" s="12"/>
    </row>
    <row r="432" spans="2:24">
      <c r="B432" s="12"/>
      <c r="C432" s="12"/>
      <c r="D432" s="12"/>
      <c r="E432" s="12"/>
      <c r="F432" s="12"/>
      <c r="G432" s="12"/>
      <c r="H432" s="12"/>
      <c r="I432" s="12"/>
      <c r="J432" s="12"/>
      <c r="K432" s="12"/>
      <c r="L432" s="12"/>
      <c r="M432" s="12"/>
      <c r="N432" s="12"/>
      <c r="O432" s="12"/>
      <c r="P432" s="12"/>
      <c r="Q432" s="12"/>
      <c r="R432" s="12"/>
      <c r="S432" s="12"/>
      <c r="T432" s="12"/>
      <c r="U432" s="12"/>
      <c r="V432" s="12"/>
      <c r="W432" s="12"/>
      <c r="X432" s="12"/>
    </row>
    <row r="433" spans="2:24">
      <c r="B433" s="12"/>
      <c r="C433" s="12"/>
      <c r="D433" s="12"/>
      <c r="E433" s="12"/>
      <c r="F433" s="12"/>
      <c r="G433" s="12"/>
      <c r="H433" s="12"/>
      <c r="I433" s="12"/>
      <c r="J433" s="12"/>
      <c r="K433" s="12"/>
      <c r="L433" s="12"/>
      <c r="M433" s="12"/>
      <c r="N433" s="12"/>
      <c r="O433" s="12"/>
      <c r="P433" s="12"/>
      <c r="Q433" s="12"/>
      <c r="R433" s="12"/>
      <c r="S433" s="12"/>
      <c r="T433" s="12"/>
      <c r="U433" s="12"/>
      <c r="V433" s="12"/>
      <c r="W433" s="12"/>
      <c r="X433" s="12"/>
    </row>
    <row r="434" spans="2:24">
      <c r="B434" s="12"/>
      <c r="C434" s="12"/>
      <c r="D434" s="12"/>
      <c r="E434" s="12"/>
      <c r="F434" s="12"/>
      <c r="G434" s="12"/>
      <c r="H434" s="12"/>
      <c r="I434" s="12"/>
      <c r="J434" s="12"/>
      <c r="K434" s="12"/>
      <c r="L434" s="12"/>
      <c r="M434" s="12"/>
      <c r="N434" s="12"/>
      <c r="O434" s="12"/>
      <c r="P434" s="12"/>
      <c r="Q434" s="12"/>
      <c r="R434" s="12"/>
      <c r="S434" s="12"/>
      <c r="T434" s="12"/>
      <c r="U434" s="12"/>
      <c r="V434" s="12"/>
      <c r="W434" s="12"/>
      <c r="X434" s="12"/>
    </row>
    <row r="435" spans="2:24">
      <c r="B435" s="12"/>
      <c r="C435" s="12"/>
      <c r="D435" s="12"/>
      <c r="E435" s="12"/>
      <c r="F435" s="12"/>
      <c r="G435" s="12"/>
      <c r="H435" s="12"/>
      <c r="I435" s="12"/>
      <c r="J435" s="12"/>
      <c r="K435" s="12"/>
      <c r="L435" s="12"/>
      <c r="M435" s="12"/>
      <c r="N435" s="12"/>
      <c r="O435" s="12"/>
      <c r="P435" s="12"/>
      <c r="Q435" s="12"/>
      <c r="R435" s="12"/>
      <c r="S435" s="12"/>
      <c r="T435" s="12"/>
      <c r="U435" s="12"/>
      <c r="V435" s="12"/>
      <c r="W435" s="12"/>
      <c r="X435" s="12"/>
    </row>
    <row r="436" spans="2:24">
      <c r="B436" s="12"/>
      <c r="C436" s="12"/>
      <c r="D436" s="12"/>
      <c r="E436" s="12"/>
      <c r="F436" s="12"/>
      <c r="G436" s="12"/>
      <c r="H436" s="12"/>
      <c r="I436" s="12"/>
      <c r="J436" s="12"/>
      <c r="K436" s="12"/>
      <c r="L436" s="12"/>
      <c r="M436" s="12"/>
      <c r="N436" s="12"/>
      <c r="O436" s="12"/>
      <c r="P436" s="12"/>
      <c r="Q436" s="12"/>
      <c r="R436" s="12"/>
      <c r="S436" s="12"/>
      <c r="T436" s="12"/>
      <c r="U436" s="12"/>
      <c r="V436" s="12"/>
      <c r="W436" s="12"/>
      <c r="X436" s="12"/>
    </row>
    <row r="437" spans="2:24">
      <c r="B437" s="12"/>
      <c r="C437" s="12"/>
      <c r="D437" s="12"/>
      <c r="E437" s="12"/>
      <c r="F437" s="12"/>
      <c r="G437" s="12"/>
      <c r="H437" s="12"/>
      <c r="I437" s="12"/>
      <c r="J437" s="12"/>
      <c r="K437" s="12"/>
      <c r="L437" s="12"/>
      <c r="M437" s="12"/>
      <c r="N437" s="12"/>
      <c r="O437" s="12"/>
      <c r="P437" s="12"/>
      <c r="Q437" s="12"/>
      <c r="R437" s="12"/>
      <c r="S437" s="12"/>
      <c r="T437" s="12"/>
      <c r="U437" s="12"/>
      <c r="V437" s="12"/>
      <c r="W437" s="12"/>
      <c r="X437" s="12"/>
    </row>
    <row r="438" spans="2:24">
      <c r="B438" s="12"/>
      <c r="C438" s="12"/>
      <c r="D438" s="12"/>
      <c r="E438" s="12"/>
      <c r="F438" s="12"/>
      <c r="G438" s="12"/>
      <c r="H438" s="12"/>
      <c r="I438" s="12"/>
      <c r="J438" s="12"/>
      <c r="K438" s="12"/>
      <c r="L438" s="12"/>
      <c r="M438" s="12"/>
      <c r="N438" s="12"/>
      <c r="O438" s="12"/>
      <c r="P438" s="12"/>
      <c r="Q438" s="12"/>
      <c r="R438" s="12"/>
      <c r="S438" s="12"/>
      <c r="T438" s="12"/>
      <c r="U438" s="12"/>
      <c r="V438" s="12"/>
      <c r="W438" s="12"/>
      <c r="X438" s="12"/>
    </row>
    <row r="439" spans="2:24">
      <c r="B439" s="12"/>
      <c r="C439" s="12"/>
      <c r="D439" s="12"/>
      <c r="E439" s="12"/>
      <c r="F439" s="12"/>
      <c r="G439" s="12"/>
      <c r="H439" s="12"/>
      <c r="I439" s="12"/>
      <c r="J439" s="12"/>
      <c r="K439" s="12"/>
      <c r="L439" s="12"/>
      <c r="M439" s="12"/>
      <c r="N439" s="12"/>
      <c r="O439" s="12"/>
      <c r="P439" s="12"/>
      <c r="Q439" s="12"/>
      <c r="R439" s="12"/>
      <c r="S439" s="12"/>
      <c r="T439" s="12"/>
      <c r="U439" s="12"/>
      <c r="V439" s="12"/>
      <c r="W439" s="12"/>
      <c r="X439" s="12"/>
    </row>
    <row r="440" spans="2:24">
      <c r="B440" s="12"/>
      <c r="C440" s="12"/>
      <c r="D440" s="12"/>
      <c r="E440" s="12"/>
      <c r="F440" s="12"/>
      <c r="G440" s="12"/>
      <c r="H440" s="12"/>
      <c r="I440" s="12"/>
      <c r="J440" s="12"/>
      <c r="K440" s="12"/>
      <c r="L440" s="12"/>
      <c r="M440" s="12"/>
      <c r="N440" s="12"/>
      <c r="O440" s="12"/>
      <c r="P440" s="12"/>
      <c r="Q440" s="12"/>
      <c r="R440" s="12"/>
      <c r="S440" s="12"/>
      <c r="T440" s="12"/>
      <c r="U440" s="12"/>
      <c r="V440" s="12"/>
      <c r="W440" s="12"/>
      <c r="X440" s="12"/>
    </row>
    <row r="441" spans="2:24">
      <c r="B441" s="12"/>
      <c r="C441" s="12"/>
      <c r="D441" s="12"/>
      <c r="E441" s="12"/>
      <c r="F441" s="12"/>
      <c r="G441" s="12"/>
      <c r="H441" s="12"/>
      <c r="I441" s="12"/>
      <c r="J441" s="12"/>
      <c r="K441" s="12"/>
      <c r="L441" s="12"/>
      <c r="M441" s="12"/>
      <c r="N441" s="12"/>
      <c r="O441" s="12"/>
      <c r="P441" s="12"/>
      <c r="Q441" s="12"/>
      <c r="R441" s="12"/>
      <c r="S441" s="12"/>
      <c r="T441" s="12"/>
      <c r="U441" s="12"/>
      <c r="V441" s="12"/>
      <c r="W441" s="12"/>
      <c r="X441" s="12"/>
    </row>
    <row r="442" spans="2:24">
      <c r="B442" s="12"/>
      <c r="C442" s="12"/>
      <c r="D442" s="12"/>
      <c r="E442" s="12"/>
      <c r="F442" s="12"/>
      <c r="G442" s="12"/>
      <c r="H442" s="12"/>
      <c r="I442" s="12"/>
      <c r="J442" s="12"/>
      <c r="K442" s="12"/>
      <c r="L442" s="12"/>
      <c r="M442" s="12"/>
      <c r="N442" s="12"/>
      <c r="O442" s="12"/>
      <c r="P442" s="12"/>
      <c r="Q442" s="12"/>
      <c r="R442" s="12"/>
      <c r="S442" s="12"/>
      <c r="T442" s="12"/>
      <c r="U442" s="12"/>
      <c r="V442" s="12"/>
      <c r="W442" s="12"/>
      <c r="X442" s="12"/>
    </row>
    <row r="443" spans="2:24">
      <c r="B443" s="12"/>
      <c r="C443" s="12"/>
      <c r="D443" s="12"/>
      <c r="E443" s="12"/>
      <c r="F443" s="12"/>
      <c r="G443" s="12"/>
      <c r="H443" s="12"/>
      <c r="I443" s="12"/>
      <c r="J443" s="12"/>
      <c r="K443" s="12"/>
      <c r="L443" s="12"/>
      <c r="M443" s="12"/>
      <c r="N443" s="12"/>
      <c r="O443" s="12"/>
      <c r="P443" s="12"/>
      <c r="Q443" s="12"/>
      <c r="R443" s="12"/>
      <c r="S443" s="12"/>
      <c r="T443" s="12"/>
      <c r="U443" s="12"/>
      <c r="V443" s="12"/>
      <c r="W443" s="12"/>
      <c r="X443" s="12"/>
    </row>
    <row r="444" spans="2:24">
      <c r="B444" s="12"/>
      <c r="C444" s="12"/>
      <c r="D444" s="12"/>
      <c r="E444" s="12"/>
      <c r="F444" s="12"/>
      <c r="G444" s="12"/>
      <c r="H444" s="12"/>
      <c r="I444" s="12"/>
      <c r="J444" s="12"/>
      <c r="K444" s="12"/>
      <c r="L444" s="12"/>
      <c r="M444" s="12"/>
      <c r="N444" s="12"/>
      <c r="O444" s="12"/>
      <c r="P444" s="12"/>
      <c r="Q444" s="12"/>
      <c r="R444" s="12"/>
      <c r="S444" s="12"/>
      <c r="T444" s="12"/>
      <c r="U444" s="12"/>
      <c r="V444" s="12"/>
      <c r="W444" s="12"/>
      <c r="X444" s="12"/>
    </row>
    <row r="445" spans="2:24">
      <c r="B445" s="12"/>
      <c r="C445" s="12"/>
      <c r="D445" s="12"/>
      <c r="E445" s="12"/>
      <c r="F445" s="12"/>
      <c r="G445" s="12"/>
      <c r="H445" s="12"/>
      <c r="I445" s="12"/>
      <c r="J445" s="12"/>
      <c r="K445" s="12"/>
      <c r="L445" s="12"/>
      <c r="M445" s="12"/>
      <c r="N445" s="12"/>
      <c r="O445" s="12"/>
      <c r="P445" s="12"/>
      <c r="Q445" s="12"/>
      <c r="R445" s="12"/>
      <c r="S445" s="12"/>
      <c r="T445" s="12"/>
      <c r="U445" s="12"/>
      <c r="V445" s="12"/>
      <c r="W445" s="12"/>
      <c r="X445" s="12"/>
    </row>
    <row r="446" spans="2:24">
      <c r="B446" s="12"/>
      <c r="C446" s="12"/>
      <c r="D446" s="12"/>
      <c r="E446" s="12"/>
      <c r="F446" s="12"/>
      <c r="G446" s="12"/>
      <c r="H446" s="12"/>
      <c r="I446" s="12"/>
      <c r="J446" s="12"/>
      <c r="K446" s="12"/>
      <c r="L446" s="12"/>
      <c r="M446" s="12"/>
      <c r="N446" s="12"/>
      <c r="O446" s="12"/>
      <c r="P446" s="12"/>
      <c r="Q446" s="12"/>
      <c r="R446" s="12"/>
      <c r="S446" s="12"/>
      <c r="T446" s="12"/>
      <c r="U446" s="12"/>
      <c r="V446" s="12"/>
      <c r="W446" s="12"/>
      <c r="X446" s="12"/>
    </row>
    <row r="447" spans="2:24">
      <c r="B447" s="12"/>
      <c r="C447" s="12"/>
      <c r="D447" s="12"/>
      <c r="E447" s="12"/>
      <c r="F447" s="12"/>
      <c r="G447" s="12"/>
      <c r="H447" s="12"/>
      <c r="I447" s="12"/>
      <c r="J447" s="12"/>
      <c r="K447" s="12"/>
      <c r="L447" s="12"/>
      <c r="M447" s="12"/>
      <c r="N447" s="12"/>
      <c r="O447" s="12"/>
      <c r="P447" s="12"/>
      <c r="Q447" s="12"/>
      <c r="R447" s="12"/>
      <c r="S447" s="12"/>
      <c r="T447" s="12"/>
      <c r="U447" s="12"/>
      <c r="V447" s="12"/>
      <c r="W447" s="12"/>
      <c r="X447" s="12"/>
    </row>
    <row r="448" spans="2:24">
      <c r="B448" s="12"/>
      <c r="C448" s="12"/>
      <c r="D448" s="12"/>
      <c r="E448" s="12"/>
      <c r="F448" s="12"/>
      <c r="G448" s="12"/>
      <c r="H448" s="12"/>
      <c r="I448" s="12"/>
      <c r="J448" s="12"/>
      <c r="K448" s="12"/>
      <c r="L448" s="12"/>
      <c r="M448" s="12"/>
      <c r="N448" s="12"/>
      <c r="O448" s="12"/>
      <c r="P448" s="12"/>
      <c r="Q448" s="12"/>
      <c r="R448" s="12"/>
      <c r="S448" s="12"/>
      <c r="T448" s="12"/>
      <c r="U448" s="12"/>
      <c r="V448" s="12"/>
      <c r="W448" s="12"/>
      <c r="X448" s="12"/>
    </row>
    <row r="449" spans="2:24">
      <c r="B449" s="12"/>
      <c r="C449" s="12"/>
      <c r="D449" s="12"/>
      <c r="E449" s="12"/>
      <c r="F449" s="12"/>
      <c r="G449" s="12"/>
      <c r="H449" s="12"/>
      <c r="I449" s="12"/>
      <c r="J449" s="12"/>
      <c r="K449" s="12"/>
      <c r="L449" s="12"/>
      <c r="M449" s="12"/>
      <c r="N449" s="12"/>
      <c r="O449" s="12"/>
      <c r="P449" s="12"/>
      <c r="Q449" s="12"/>
      <c r="R449" s="12"/>
      <c r="S449" s="12"/>
      <c r="T449" s="12"/>
      <c r="U449" s="12"/>
      <c r="V449" s="12"/>
      <c r="W449" s="12"/>
      <c r="X449" s="12"/>
    </row>
    <row r="450" spans="2:24">
      <c r="B450" s="12"/>
      <c r="C450" s="12"/>
      <c r="D450" s="12"/>
      <c r="E450" s="12"/>
      <c r="F450" s="12"/>
      <c r="G450" s="12"/>
      <c r="H450" s="12"/>
      <c r="I450" s="12"/>
      <c r="J450" s="12"/>
      <c r="K450" s="12"/>
      <c r="L450" s="12"/>
      <c r="M450" s="12"/>
      <c r="N450" s="12"/>
      <c r="O450" s="12"/>
      <c r="P450" s="12"/>
      <c r="Q450" s="12"/>
      <c r="R450" s="12"/>
      <c r="S450" s="12"/>
      <c r="T450" s="12"/>
      <c r="U450" s="12"/>
      <c r="V450" s="12"/>
      <c r="W450" s="12"/>
      <c r="X450" s="12"/>
    </row>
    <row r="451" spans="2:24">
      <c r="B451" s="12"/>
      <c r="C451" s="12"/>
      <c r="D451" s="12"/>
      <c r="E451" s="12"/>
      <c r="F451" s="12"/>
      <c r="G451" s="12"/>
      <c r="H451" s="12"/>
      <c r="I451" s="12"/>
      <c r="J451" s="12"/>
      <c r="K451" s="12"/>
      <c r="L451" s="12"/>
      <c r="M451" s="12"/>
      <c r="N451" s="12"/>
      <c r="O451" s="12"/>
      <c r="P451" s="12"/>
      <c r="Q451" s="12"/>
      <c r="R451" s="12"/>
      <c r="S451" s="12"/>
      <c r="T451" s="12"/>
      <c r="U451" s="12"/>
      <c r="V451" s="12"/>
      <c r="W451" s="12"/>
      <c r="X451" s="12"/>
    </row>
    <row r="452" spans="2:24">
      <c r="B452" s="12"/>
      <c r="C452" s="12"/>
      <c r="D452" s="12"/>
      <c r="E452" s="12"/>
      <c r="F452" s="12"/>
      <c r="G452" s="12"/>
      <c r="H452" s="12"/>
      <c r="I452" s="12"/>
      <c r="J452" s="12"/>
      <c r="K452" s="12"/>
      <c r="L452" s="12"/>
      <c r="M452" s="12"/>
      <c r="N452" s="12"/>
      <c r="O452" s="12"/>
      <c r="P452" s="12"/>
      <c r="Q452" s="12"/>
      <c r="R452" s="12"/>
      <c r="S452" s="12"/>
      <c r="T452" s="12"/>
      <c r="U452" s="12"/>
      <c r="V452" s="12"/>
      <c r="W452" s="12"/>
      <c r="X452" s="12"/>
    </row>
    <row r="453" spans="2:24">
      <c r="B453" s="12"/>
      <c r="C453" s="12"/>
      <c r="D453" s="12"/>
      <c r="E453" s="12"/>
      <c r="F453" s="12"/>
      <c r="G453" s="12"/>
      <c r="H453" s="12"/>
      <c r="I453" s="12"/>
      <c r="J453" s="12"/>
      <c r="K453" s="12"/>
      <c r="L453" s="12"/>
      <c r="M453" s="12"/>
      <c r="N453" s="12"/>
      <c r="O453" s="12"/>
      <c r="P453" s="12"/>
      <c r="Q453" s="12"/>
      <c r="R453" s="12"/>
      <c r="S453" s="12"/>
      <c r="T453" s="12"/>
      <c r="U453" s="12"/>
      <c r="V453" s="12"/>
      <c r="W453" s="12"/>
      <c r="X453" s="12"/>
    </row>
    <row r="454" spans="2:24">
      <c r="B454" s="12"/>
      <c r="C454" s="12"/>
      <c r="D454" s="12"/>
      <c r="E454" s="12"/>
      <c r="F454" s="12"/>
      <c r="G454" s="12"/>
      <c r="H454" s="12"/>
      <c r="I454" s="12"/>
      <c r="J454" s="12"/>
      <c r="K454" s="12"/>
      <c r="L454" s="12"/>
      <c r="M454" s="12"/>
      <c r="N454" s="12"/>
      <c r="O454" s="12"/>
      <c r="P454" s="12"/>
      <c r="Q454" s="12"/>
      <c r="R454" s="12"/>
      <c r="S454" s="12"/>
      <c r="T454" s="12"/>
      <c r="U454" s="12"/>
      <c r="V454" s="12"/>
      <c r="W454" s="12"/>
      <c r="X454" s="12"/>
    </row>
    <row r="455" spans="2:24">
      <c r="B455" s="12"/>
      <c r="C455" s="12"/>
      <c r="D455" s="12"/>
      <c r="E455" s="12"/>
      <c r="F455" s="12"/>
      <c r="G455" s="12"/>
      <c r="H455" s="12"/>
      <c r="I455" s="12"/>
      <c r="J455" s="12"/>
      <c r="K455" s="12"/>
      <c r="L455" s="12"/>
      <c r="M455" s="12"/>
      <c r="N455" s="12"/>
      <c r="O455" s="12"/>
      <c r="P455" s="12"/>
      <c r="Q455" s="12"/>
      <c r="R455" s="12"/>
      <c r="S455" s="12"/>
      <c r="T455" s="12"/>
      <c r="U455" s="12"/>
      <c r="V455" s="12"/>
      <c r="W455" s="12"/>
      <c r="X455" s="12"/>
    </row>
    <row r="456" spans="2:24">
      <c r="B456" s="12"/>
      <c r="C456" s="12"/>
      <c r="D456" s="12"/>
      <c r="E456" s="12"/>
      <c r="F456" s="12"/>
      <c r="G456" s="12"/>
      <c r="H456" s="12"/>
      <c r="I456" s="12"/>
      <c r="J456" s="12"/>
      <c r="K456" s="12"/>
      <c r="L456" s="12"/>
      <c r="M456" s="12"/>
      <c r="N456" s="12"/>
      <c r="O456" s="12"/>
      <c r="P456" s="12"/>
      <c r="Q456" s="12"/>
      <c r="R456" s="12"/>
      <c r="S456" s="12"/>
      <c r="T456" s="12"/>
      <c r="U456" s="12"/>
      <c r="V456" s="12"/>
      <c r="W456" s="12"/>
      <c r="X456" s="12"/>
    </row>
    <row r="457" spans="2:24">
      <c r="B457" s="12"/>
      <c r="C457" s="12"/>
      <c r="D457" s="12"/>
      <c r="E457" s="12"/>
      <c r="F457" s="12"/>
      <c r="G457" s="12"/>
      <c r="H457" s="12"/>
      <c r="I457" s="12"/>
      <c r="J457" s="12"/>
      <c r="K457" s="12"/>
      <c r="L457" s="12"/>
      <c r="M457" s="12"/>
      <c r="N457" s="12"/>
      <c r="O457" s="12"/>
      <c r="P457" s="12"/>
      <c r="Q457" s="12"/>
      <c r="R457" s="12"/>
      <c r="S457" s="12"/>
      <c r="T457" s="12"/>
      <c r="U457" s="12"/>
      <c r="V457" s="12"/>
      <c r="W457" s="12"/>
      <c r="X457" s="12"/>
    </row>
    <row r="458" spans="2:24">
      <c r="B458" s="12"/>
      <c r="C458" s="12"/>
      <c r="D458" s="12"/>
      <c r="E458" s="12"/>
      <c r="F458" s="12"/>
      <c r="G458" s="12"/>
      <c r="H458" s="12"/>
      <c r="I458" s="12"/>
      <c r="J458" s="12"/>
      <c r="K458" s="12"/>
      <c r="L458" s="12"/>
      <c r="M458" s="12"/>
      <c r="N458" s="12"/>
      <c r="O458" s="12"/>
      <c r="P458" s="12"/>
      <c r="Q458" s="12"/>
      <c r="R458" s="12"/>
      <c r="S458" s="12"/>
      <c r="T458" s="12"/>
      <c r="U458" s="12"/>
      <c r="V458" s="12"/>
      <c r="W458" s="12"/>
      <c r="X458" s="12"/>
    </row>
    <row r="459" spans="2:24">
      <c r="B459" s="12"/>
      <c r="C459" s="12"/>
      <c r="D459" s="12"/>
      <c r="E459" s="12"/>
      <c r="F459" s="12"/>
      <c r="G459" s="12"/>
      <c r="H459" s="12"/>
      <c r="I459" s="12"/>
      <c r="J459" s="12"/>
      <c r="K459" s="12"/>
      <c r="L459" s="12"/>
      <c r="M459" s="12"/>
      <c r="N459" s="12"/>
      <c r="O459" s="12"/>
      <c r="P459" s="12"/>
      <c r="Q459" s="12"/>
      <c r="R459" s="12"/>
      <c r="S459" s="12"/>
      <c r="T459" s="12"/>
      <c r="U459" s="12"/>
      <c r="V459" s="12"/>
      <c r="W459" s="12"/>
      <c r="X459" s="12"/>
    </row>
    <row r="460" spans="2:24">
      <c r="B460" s="12"/>
      <c r="C460" s="12"/>
      <c r="D460" s="12"/>
      <c r="E460" s="12"/>
      <c r="F460" s="12"/>
      <c r="G460" s="12"/>
      <c r="H460" s="12"/>
      <c r="I460" s="12"/>
      <c r="J460" s="12"/>
      <c r="K460" s="12"/>
      <c r="L460" s="12"/>
      <c r="M460" s="12"/>
      <c r="N460" s="12"/>
      <c r="O460" s="12"/>
      <c r="P460" s="12"/>
      <c r="Q460" s="12"/>
      <c r="R460" s="12"/>
      <c r="S460" s="12"/>
      <c r="T460" s="12"/>
      <c r="U460" s="12"/>
      <c r="V460" s="12"/>
      <c r="W460" s="12"/>
      <c r="X460" s="12"/>
    </row>
    <row r="461" spans="2:24">
      <c r="B461" s="12"/>
      <c r="C461" s="12"/>
      <c r="D461" s="12"/>
      <c r="E461" s="12"/>
      <c r="F461" s="12"/>
      <c r="G461" s="12"/>
      <c r="H461" s="12"/>
      <c r="I461" s="12"/>
      <c r="J461" s="12"/>
      <c r="K461" s="12"/>
      <c r="L461" s="12"/>
      <c r="M461" s="12"/>
      <c r="N461" s="12"/>
      <c r="O461" s="12"/>
      <c r="P461" s="12"/>
      <c r="Q461" s="12"/>
      <c r="R461" s="12"/>
      <c r="S461" s="12"/>
      <c r="T461" s="12"/>
      <c r="U461" s="12"/>
      <c r="V461" s="12"/>
      <c r="W461" s="12"/>
      <c r="X461" s="12"/>
    </row>
    <row r="462" spans="2:24">
      <c r="B462" s="12"/>
      <c r="C462" s="12"/>
      <c r="D462" s="12"/>
      <c r="E462" s="12"/>
      <c r="F462" s="12"/>
      <c r="G462" s="12"/>
      <c r="H462" s="12"/>
      <c r="I462" s="12"/>
      <c r="J462" s="12"/>
      <c r="K462" s="12"/>
      <c r="L462" s="12"/>
      <c r="M462" s="12"/>
      <c r="N462" s="12"/>
      <c r="O462" s="12"/>
      <c r="P462" s="12"/>
      <c r="Q462" s="12"/>
      <c r="R462" s="12"/>
      <c r="S462" s="12"/>
      <c r="T462" s="12"/>
      <c r="U462" s="12"/>
      <c r="V462" s="12"/>
      <c r="W462" s="12"/>
      <c r="X462" s="12"/>
    </row>
    <row r="463" spans="2:24">
      <c r="B463" s="12"/>
      <c r="C463" s="12"/>
      <c r="D463" s="12"/>
      <c r="E463" s="12"/>
      <c r="F463" s="12"/>
      <c r="G463" s="12"/>
      <c r="H463" s="12"/>
      <c r="I463" s="12"/>
      <c r="J463" s="12"/>
      <c r="K463" s="12"/>
      <c r="L463" s="12"/>
      <c r="M463" s="12"/>
      <c r="N463" s="12"/>
      <c r="O463" s="12"/>
      <c r="P463" s="12"/>
      <c r="Q463" s="12"/>
      <c r="R463" s="12"/>
      <c r="S463" s="12"/>
      <c r="T463" s="12"/>
      <c r="U463" s="12"/>
      <c r="V463" s="12"/>
      <c r="W463" s="12"/>
      <c r="X463" s="12"/>
    </row>
    <row r="464" spans="2:24">
      <c r="B464" s="12"/>
      <c r="C464" s="12"/>
      <c r="D464" s="12"/>
      <c r="E464" s="12"/>
      <c r="F464" s="12"/>
      <c r="G464" s="12"/>
      <c r="H464" s="12"/>
      <c r="I464" s="12"/>
      <c r="J464" s="12"/>
      <c r="K464" s="12"/>
      <c r="L464" s="12"/>
      <c r="M464" s="12"/>
      <c r="N464" s="12"/>
      <c r="O464" s="12"/>
      <c r="P464" s="12"/>
      <c r="Q464" s="12"/>
      <c r="R464" s="12"/>
      <c r="S464" s="12"/>
      <c r="T464" s="12"/>
      <c r="U464" s="12"/>
      <c r="V464" s="12"/>
      <c r="W464" s="12"/>
      <c r="X464" s="12"/>
    </row>
    <row r="465" spans="2:24">
      <c r="B465" s="12"/>
      <c r="C465" s="12"/>
      <c r="D465" s="12"/>
      <c r="E465" s="12"/>
      <c r="F465" s="12"/>
      <c r="G465" s="12"/>
      <c r="H465" s="12"/>
      <c r="I465" s="12"/>
      <c r="J465" s="12"/>
      <c r="K465" s="12"/>
      <c r="L465" s="12"/>
      <c r="M465" s="12"/>
      <c r="N465" s="12"/>
      <c r="O465" s="12"/>
      <c r="P465" s="12"/>
      <c r="Q465" s="12"/>
      <c r="R465" s="12"/>
      <c r="S465" s="12"/>
      <c r="T465" s="12"/>
      <c r="U465" s="12"/>
      <c r="V465" s="12"/>
      <c r="W465" s="12"/>
      <c r="X465" s="12"/>
    </row>
    <row r="466" spans="2:24">
      <c r="B466" s="12"/>
      <c r="C466" s="12"/>
      <c r="D466" s="12"/>
      <c r="E466" s="12"/>
      <c r="F466" s="12"/>
      <c r="G466" s="12"/>
      <c r="H466" s="12"/>
      <c r="I466" s="12"/>
      <c r="J466" s="12"/>
      <c r="K466" s="12"/>
      <c r="L466" s="12"/>
      <c r="M466" s="12"/>
      <c r="N466" s="12"/>
      <c r="O466" s="12"/>
      <c r="P466" s="12"/>
      <c r="Q466" s="12"/>
      <c r="R466" s="12"/>
      <c r="S466" s="12"/>
      <c r="T466" s="12"/>
      <c r="U466" s="12"/>
      <c r="V466" s="12"/>
      <c r="W466" s="12"/>
      <c r="X466" s="12"/>
    </row>
    <row r="467" spans="2:24">
      <c r="B467" s="12"/>
      <c r="C467" s="12"/>
      <c r="D467" s="12"/>
      <c r="E467" s="12"/>
      <c r="F467" s="12"/>
      <c r="G467" s="12"/>
      <c r="H467" s="12"/>
      <c r="I467" s="12"/>
      <c r="J467" s="12"/>
      <c r="K467" s="12"/>
      <c r="L467" s="12"/>
      <c r="M467" s="12"/>
      <c r="N467" s="12"/>
      <c r="O467" s="12"/>
      <c r="P467" s="12"/>
      <c r="Q467" s="12"/>
      <c r="R467" s="12"/>
      <c r="S467" s="12"/>
      <c r="T467" s="12"/>
      <c r="U467" s="12"/>
      <c r="V467" s="12"/>
      <c r="W467" s="12"/>
      <c r="X467" s="12"/>
    </row>
    <row r="468" spans="2:24">
      <c r="B468" s="12"/>
      <c r="C468" s="12"/>
      <c r="D468" s="12"/>
      <c r="E468" s="12"/>
      <c r="F468" s="12"/>
      <c r="G468" s="12"/>
      <c r="H468" s="12"/>
      <c r="I468" s="12"/>
      <c r="J468" s="12"/>
      <c r="K468" s="12"/>
      <c r="L468" s="12"/>
      <c r="M468" s="12"/>
      <c r="N468" s="12"/>
      <c r="O468" s="12"/>
      <c r="P468" s="12"/>
      <c r="Q468" s="12"/>
      <c r="R468" s="12"/>
      <c r="S468" s="12"/>
      <c r="T468" s="12"/>
      <c r="U468" s="12"/>
      <c r="V468" s="12"/>
      <c r="W468" s="12"/>
      <c r="X468" s="12"/>
    </row>
    <row r="469" spans="2:24">
      <c r="B469" s="12"/>
      <c r="C469" s="12"/>
      <c r="D469" s="12"/>
      <c r="E469" s="12"/>
      <c r="F469" s="12"/>
      <c r="G469" s="12"/>
      <c r="H469" s="12"/>
      <c r="I469" s="12"/>
      <c r="J469" s="12"/>
      <c r="K469" s="12"/>
      <c r="L469" s="12"/>
      <c r="M469" s="12"/>
      <c r="N469" s="12"/>
      <c r="O469" s="12"/>
      <c r="P469" s="12"/>
      <c r="Q469" s="12"/>
      <c r="R469" s="12"/>
      <c r="S469" s="12"/>
      <c r="T469" s="12"/>
      <c r="U469" s="12"/>
      <c r="V469" s="12"/>
      <c r="W469" s="12"/>
      <c r="X469" s="12"/>
    </row>
    <row r="470" spans="2:24">
      <c r="B470" s="12"/>
      <c r="C470" s="12"/>
      <c r="D470" s="12"/>
      <c r="E470" s="12"/>
      <c r="F470" s="12"/>
      <c r="G470" s="12"/>
      <c r="H470" s="12"/>
      <c r="I470" s="12"/>
      <c r="J470" s="12"/>
      <c r="K470" s="12"/>
      <c r="L470" s="12"/>
      <c r="M470" s="12"/>
      <c r="N470" s="12"/>
      <c r="O470" s="12"/>
      <c r="P470" s="12"/>
      <c r="Q470" s="12"/>
      <c r="R470" s="12"/>
      <c r="S470" s="12"/>
      <c r="T470" s="12"/>
      <c r="U470" s="12"/>
      <c r="V470" s="12"/>
      <c r="W470" s="12"/>
      <c r="X470" s="12"/>
    </row>
    <row r="471" spans="2:24">
      <c r="B471" s="12"/>
      <c r="C471" s="12"/>
      <c r="D471" s="12"/>
      <c r="E471" s="12"/>
      <c r="F471" s="12"/>
      <c r="G471" s="12"/>
      <c r="H471" s="12"/>
      <c r="I471" s="12"/>
      <c r="J471" s="12"/>
      <c r="K471" s="12"/>
      <c r="L471" s="12"/>
      <c r="M471" s="12"/>
      <c r="N471" s="12"/>
      <c r="O471" s="12"/>
      <c r="P471" s="12"/>
      <c r="Q471" s="12"/>
      <c r="R471" s="12"/>
      <c r="S471" s="12"/>
      <c r="T471" s="12"/>
      <c r="U471" s="12"/>
      <c r="V471" s="12"/>
      <c r="W471" s="12"/>
      <c r="X471" s="12"/>
    </row>
    <row r="472" spans="2:24">
      <c r="B472" s="12"/>
      <c r="C472" s="12"/>
      <c r="D472" s="12"/>
      <c r="E472" s="12"/>
      <c r="F472" s="12"/>
      <c r="G472" s="12"/>
      <c r="H472" s="12"/>
      <c r="I472" s="12"/>
      <c r="J472" s="12"/>
      <c r="K472" s="12"/>
      <c r="L472" s="12"/>
      <c r="M472" s="12"/>
      <c r="N472" s="12"/>
      <c r="O472" s="12"/>
      <c r="P472" s="12"/>
      <c r="Q472" s="12"/>
      <c r="R472" s="12"/>
      <c r="S472" s="12"/>
      <c r="T472" s="12"/>
      <c r="U472" s="12"/>
      <c r="V472" s="12"/>
      <c r="W472" s="12"/>
      <c r="X472" s="12"/>
    </row>
    <row r="473" spans="2:24">
      <c r="B473" s="12"/>
      <c r="C473" s="12"/>
      <c r="D473" s="12"/>
      <c r="E473" s="12"/>
      <c r="F473" s="12"/>
      <c r="G473" s="12"/>
      <c r="H473" s="12"/>
      <c r="I473" s="12"/>
      <c r="J473" s="12"/>
      <c r="K473" s="12"/>
      <c r="L473" s="12"/>
      <c r="M473" s="12"/>
      <c r="N473" s="12"/>
      <c r="O473" s="12"/>
      <c r="P473" s="12"/>
      <c r="Q473" s="12"/>
      <c r="R473" s="12"/>
      <c r="S473" s="12"/>
      <c r="T473" s="12"/>
      <c r="U473" s="12"/>
      <c r="V473" s="12"/>
      <c r="W473" s="12"/>
      <c r="X473" s="12"/>
    </row>
    <row r="474" spans="2:24">
      <c r="B474" s="12"/>
      <c r="C474" s="12"/>
      <c r="D474" s="12"/>
      <c r="E474" s="12"/>
      <c r="F474" s="12"/>
      <c r="G474" s="12"/>
      <c r="H474" s="12"/>
      <c r="I474" s="12"/>
      <c r="J474" s="12"/>
      <c r="K474" s="12"/>
      <c r="L474" s="12"/>
      <c r="M474" s="12"/>
      <c r="N474" s="12"/>
      <c r="O474" s="12"/>
      <c r="P474" s="12"/>
      <c r="Q474" s="12"/>
      <c r="R474" s="12"/>
      <c r="S474" s="12"/>
      <c r="T474" s="12"/>
      <c r="U474" s="12"/>
      <c r="V474" s="12"/>
      <c r="W474" s="12"/>
      <c r="X474" s="12"/>
    </row>
    <row r="475" spans="2:24">
      <c r="B475" s="12"/>
      <c r="C475" s="12"/>
      <c r="D475" s="12"/>
      <c r="E475" s="12"/>
      <c r="F475" s="12"/>
      <c r="G475" s="12"/>
      <c r="H475" s="12"/>
      <c r="I475" s="12"/>
      <c r="J475" s="12"/>
      <c r="K475" s="12"/>
      <c r="L475" s="12"/>
      <c r="M475" s="12"/>
      <c r="N475" s="12"/>
      <c r="O475" s="12"/>
      <c r="P475" s="12"/>
      <c r="Q475" s="12"/>
      <c r="R475" s="12"/>
      <c r="S475" s="12"/>
      <c r="T475" s="12"/>
      <c r="U475" s="12"/>
      <c r="V475" s="12"/>
      <c r="W475" s="12"/>
      <c r="X475" s="12"/>
    </row>
    <row r="476" spans="2:24">
      <c r="B476" s="12"/>
      <c r="C476" s="12"/>
      <c r="D476" s="12"/>
      <c r="E476" s="12"/>
      <c r="F476" s="12"/>
      <c r="G476" s="12"/>
      <c r="H476" s="12"/>
      <c r="I476" s="12"/>
      <c r="J476" s="12"/>
      <c r="K476" s="12"/>
      <c r="L476" s="12"/>
      <c r="M476" s="12"/>
      <c r="N476" s="12"/>
      <c r="O476" s="12"/>
      <c r="P476" s="12"/>
      <c r="Q476" s="12"/>
      <c r="R476" s="12"/>
      <c r="S476" s="12"/>
      <c r="T476" s="12"/>
      <c r="U476" s="12"/>
      <c r="V476" s="12"/>
      <c r="W476" s="12"/>
      <c r="X476" s="12"/>
    </row>
    <row r="477" spans="2:24">
      <c r="B477" s="12"/>
      <c r="C477" s="12"/>
      <c r="D477" s="12"/>
      <c r="E477" s="12"/>
      <c r="F477" s="12"/>
      <c r="G477" s="12"/>
      <c r="H477" s="12"/>
      <c r="I477" s="12"/>
      <c r="J477" s="12"/>
      <c r="K477" s="12"/>
      <c r="L477" s="12"/>
      <c r="M477" s="12"/>
      <c r="N477" s="12"/>
      <c r="O477" s="12"/>
      <c r="P477" s="12"/>
      <c r="Q477" s="12"/>
      <c r="R477" s="12"/>
      <c r="S477" s="12"/>
      <c r="T477" s="12"/>
      <c r="U477" s="12"/>
      <c r="V477" s="12"/>
      <c r="W477" s="12"/>
      <c r="X477" s="12"/>
    </row>
    <row r="478" spans="2:24">
      <c r="B478" s="12"/>
      <c r="C478" s="12"/>
      <c r="D478" s="12"/>
      <c r="E478" s="12"/>
      <c r="F478" s="12"/>
      <c r="G478" s="12"/>
      <c r="H478" s="12"/>
      <c r="I478" s="12"/>
      <c r="J478" s="12"/>
      <c r="K478" s="12"/>
      <c r="L478" s="12"/>
      <c r="M478" s="12"/>
      <c r="N478" s="12"/>
      <c r="O478" s="12"/>
      <c r="P478" s="12"/>
      <c r="Q478" s="12"/>
      <c r="R478" s="12"/>
      <c r="S478" s="12"/>
      <c r="T478" s="12"/>
      <c r="U478" s="12"/>
      <c r="V478" s="12"/>
      <c r="W478" s="12"/>
      <c r="X478" s="12"/>
    </row>
    <row r="479" spans="2:24">
      <c r="B479" s="12"/>
      <c r="C479" s="12"/>
      <c r="D479" s="12"/>
      <c r="E479" s="12"/>
      <c r="F479" s="12"/>
      <c r="G479" s="12"/>
      <c r="H479" s="12"/>
      <c r="I479" s="12"/>
      <c r="J479" s="12"/>
      <c r="K479" s="12"/>
      <c r="L479" s="12"/>
      <c r="M479" s="12"/>
      <c r="N479" s="12"/>
      <c r="O479" s="12"/>
      <c r="P479" s="12"/>
      <c r="Q479" s="12"/>
      <c r="R479" s="12"/>
      <c r="S479" s="12"/>
      <c r="T479" s="12"/>
      <c r="U479" s="12"/>
      <c r="V479" s="12"/>
      <c r="W479" s="12"/>
      <c r="X479" s="12"/>
    </row>
    <row r="480" spans="2:24">
      <c r="B480" s="12"/>
      <c r="C480" s="12"/>
      <c r="D480" s="12"/>
      <c r="E480" s="12"/>
      <c r="F480" s="12"/>
      <c r="G480" s="12"/>
      <c r="H480" s="12"/>
      <c r="I480" s="12"/>
      <c r="J480" s="12"/>
      <c r="K480" s="12"/>
      <c r="L480" s="12"/>
      <c r="M480" s="12"/>
      <c r="N480" s="12"/>
      <c r="O480" s="12"/>
      <c r="P480" s="12"/>
      <c r="Q480" s="12"/>
      <c r="R480" s="12"/>
      <c r="S480" s="12"/>
      <c r="T480" s="12"/>
      <c r="U480" s="12"/>
      <c r="V480" s="12"/>
      <c r="W480" s="12"/>
      <c r="X480" s="12"/>
    </row>
    <row r="481" spans="2:24">
      <c r="B481" s="12"/>
      <c r="C481" s="12"/>
      <c r="D481" s="12"/>
      <c r="E481" s="12"/>
      <c r="F481" s="12"/>
      <c r="G481" s="12"/>
      <c r="H481" s="12"/>
      <c r="I481" s="12"/>
      <c r="J481" s="12"/>
      <c r="K481" s="12"/>
      <c r="L481" s="12"/>
      <c r="M481" s="12"/>
      <c r="N481" s="12"/>
      <c r="O481" s="12"/>
      <c r="P481" s="12"/>
      <c r="Q481" s="12"/>
      <c r="R481" s="12"/>
      <c r="S481" s="12"/>
      <c r="T481" s="12"/>
      <c r="U481" s="12"/>
      <c r="V481" s="12"/>
      <c r="W481" s="12"/>
      <c r="X481" s="12"/>
    </row>
    <row r="482" spans="2:24">
      <c r="B482" s="12"/>
      <c r="C482" s="12"/>
      <c r="D482" s="12"/>
      <c r="E482" s="12"/>
      <c r="F482" s="12"/>
      <c r="G482" s="12"/>
      <c r="H482" s="12"/>
      <c r="I482" s="12"/>
      <c r="J482" s="12"/>
      <c r="K482" s="12"/>
      <c r="L482" s="12"/>
      <c r="M482" s="12"/>
      <c r="N482" s="12"/>
      <c r="O482" s="12"/>
      <c r="P482" s="12"/>
      <c r="Q482" s="12"/>
      <c r="R482" s="12"/>
      <c r="S482" s="12"/>
      <c r="T482" s="12"/>
      <c r="U482" s="12"/>
      <c r="V482" s="12"/>
      <c r="W482" s="12"/>
      <c r="X482" s="12"/>
    </row>
    <row r="483" spans="2:24">
      <c r="B483" s="12"/>
      <c r="C483" s="12"/>
      <c r="D483" s="12"/>
      <c r="E483" s="12"/>
      <c r="F483" s="12"/>
      <c r="G483" s="12"/>
      <c r="H483" s="12"/>
      <c r="I483" s="12"/>
      <c r="J483" s="12"/>
      <c r="K483" s="12"/>
      <c r="L483" s="12"/>
      <c r="M483" s="12"/>
      <c r="N483" s="12"/>
      <c r="O483" s="12"/>
      <c r="P483" s="12"/>
      <c r="Q483" s="12"/>
      <c r="R483" s="12"/>
      <c r="S483" s="12"/>
      <c r="T483" s="12"/>
      <c r="U483" s="12"/>
      <c r="V483" s="12"/>
      <c r="W483" s="12"/>
      <c r="X483" s="12"/>
    </row>
    <row r="484" spans="2:24">
      <c r="B484" s="12"/>
      <c r="C484" s="12"/>
      <c r="D484" s="12"/>
      <c r="E484" s="12"/>
      <c r="F484" s="12"/>
      <c r="G484" s="12"/>
      <c r="H484" s="12"/>
      <c r="I484" s="12"/>
      <c r="J484" s="12"/>
      <c r="K484" s="12"/>
      <c r="L484" s="12"/>
      <c r="M484" s="12"/>
      <c r="N484" s="12"/>
      <c r="O484" s="12"/>
      <c r="P484" s="12"/>
      <c r="Q484" s="12"/>
      <c r="R484" s="12"/>
      <c r="S484" s="12"/>
      <c r="T484" s="12"/>
      <c r="U484" s="12"/>
      <c r="V484" s="12"/>
      <c r="W484" s="12"/>
      <c r="X484" s="12"/>
    </row>
    <row r="485" spans="2:24">
      <c r="B485" s="12"/>
      <c r="C485" s="12"/>
      <c r="D485" s="12"/>
      <c r="E485" s="12"/>
      <c r="F485" s="12"/>
      <c r="G485" s="12"/>
      <c r="H485" s="12"/>
      <c r="I485" s="12"/>
      <c r="J485" s="12"/>
      <c r="K485" s="12"/>
      <c r="L485" s="12"/>
      <c r="M485" s="12"/>
      <c r="N485" s="12"/>
      <c r="O485" s="12"/>
      <c r="P485" s="12"/>
      <c r="Q485" s="12"/>
      <c r="R485" s="12"/>
      <c r="S485" s="12"/>
      <c r="T485" s="12"/>
      <c r="U485" s="12"/>
      <c r="V485" s="12"/>
      <c r="W485" s="12"/>
      <c r="X485" s="12"/>
    </row>
    <row r="486" spans="2:24">
      <c r="B486" s="12"/>
      <c r="C486" s="12"/>
      <c r="D486" s="12"/>
      <c r="E486" s="12"/>
      <c r="F486" s="12"/>
      <c r="G486" s="12"/>
      <c r="H486" s="12"/>
      <c r="I486" s="12"/>
      <c r="J486" s="12"/>
      <c r="K486" s="12"/>
      <c r="L486" s="12"/>
      <c r="M486" s="12"/>
      <c r="N486" s="12"/>
      <c r="O486" s="12"/>
      <c r="P486" s="12"/>
      <c r="Q486" s="12"/>
      <c r="R486" s="12"/>
      <c r="S486" s="12"/>
      <c r="T486" s="12"/>
      <c r="U486" s="12"/>
      <c r="V486" s="12"/>
      <c r="W486" s="12"/>
      <c r="X486" s="12"/>
    </row>
    <row r="487" spans="2:24">
      <c r="B487" s="12"/>
      <c r="C487" s="12"/>
      <c r="D487" s="12"/>
      <c r="E487" s="12"/>
      <c r="F487" s="12"/>
      <c r="G487" s="12"/>
      <c r="H487" s="12"/>
      <c r="I487" s="12"/>
      <c r="J487" s="12"/>
      <c r="K487" s="12"/>
      <c r="L487" s="12"/>
      <c r="M487" s="12"/>
      <c r="N487" s="12"/>
      <c r="O487" s="12"/>
      <c r="P487" s="12"/>
      <c r="Q487" s="12"/>
      <c r="R487" s="12"/>
      <c r="S487" s="12"/>
      <c r="T487" s="12"/>
      <c r="U487" s="12"/>
      <c r="V487" s="12"/>
      <c r="W487" s="12"/>
      <c r="X487" s="12"/>
    </row>
    <row r="488" spans="2:24">
      <c r="B488" s="12"/>
      <c r="C488" s="12"/>
      <c r="D488" s="12"/>
      <c r="E488" s="12"/>
      <c r="F488" s="12"/>
      <c r="G488" s="12"/>
      <c r="H488" s="12"/>
      <c r="I488" s="12"/>
      <c r="J488" s="12"/>
      <c r="K488" s="12"/>
      <c r="L488" s="12"/>
      <c r="M488" s="12"/>
      <c r="N488" s="12"/>
      <c r="O488" s="12"/>
      <c r="P488" s="12"/>
      <c r="Q488" s="12"/>
      <c r="R488" s="12"/>
      <c r="S488" s="12"/>
      <c r="T488" s="12"/>
      <c r="U488" s="12"/>
      <c r="V488" s="12"/>
      <c r="W488" s="12"/>
      <c r="X488" s="12"/>
    </row>
    <row r="489" spans="2:24">
      <c r="B489" s="12"/>
      <c r="C489" s="12"/>
      <c r="D489" s="12"/>
      <c r="E489" s="12"/>
      <c r="F489" s="12"/>
      <c r="G489" s="12"/>
      <c r="H489" s="12"/>
      <c r="I489" s="12"/>
      <c r="J489" s="12"/>
      <c r="K489" s="12"/>
      <c r="L489" s="12"/>
      <c r="M489" s="12"/>
      <c r="N489" s="12"/>
      <c r="O489" s="12"/>
      <c r="P489" s="12"/>
      <c r="Q489" s="12"/>
      <c r="R489" s="12"/>
      <c r="S489" s="12"/>
      <c r="T489" s="12"/>
      <c r="U489" s="12"/>
      <c r="V489" s="12"/>
      <c r="W489" s="12"/>
      <c r="X489" s="12"/>
    </row>
    <row r="490" spans="2:24">
      <c r="B490" s="12"/>
      <c r="C490" s="12"/>
      <c r="D490" s="12"/>
      <c r="E490" s="12"/>
      <c r="F490" s="12"/>
      <c r="G490" s="12"/>
      <c r="H490" s="12"/>
      <c r="I490" s="12"/>
      <c r="J490" s="12"/>
      <c r="K490" s="12"/>
      <c r="L490" s="12"/>
      <c r="M490" s="12"/>
      <c r="N490" s="12"/>
      <c r="O490" s="12"/>
      <c r="P490" s="12"/>
      <c r="Q490" s="12"/>
      <c r="R490" s="12"/>
      <c r="S490" s="12"/>
      <c r="T490" s="12"/>
      <c r="U490" s="12"/>
      <c r="V490" s="12"/>
      <c r="W490" s="12"/>
      <c r="X490" s="12"/>
    </row>
    <row r="491" spans="2:24">
      <c r="B491" s="12"/>
      <c r="C491" s="12"/>
      <c r="D491" s="12"/>
      <c r="E491" s="12"/>
      <c r="F491" s="12"/>
      <c r="G491" s="12"/>
      <c r="H491" s="12"/>
      <c r="I491" s="12"/>
      <c r="J491" s="12"/>
      <c r="K491" s="12"/>
      <c r="L491" s="12"/>
      <c r="M491" s="12"/>
      <c r="N491" s="12"/>
      <c r="O491" s="12"/>
      <c r="P491" s="12"/>
      <c r="Q491" s="12"/>
      <c r="R491" s="12"/>
      <c r="S491" s="12"/>
      <c r="T491" s="12"/>
      <c r="U491" s="12"/>
      <c r="V491" s="12"/>
      <c r="W491" s="12"/>
      <c r="X491" s="12"/>
    </row>
    <row r="492" spans="2:24">
      <c r="B492" s="12"/>
      <c r="C492" s="12"/>
      <c r="D492" s="12"/>
      <c r="E492" s="12"/>
      <c r="F492" s="12"/>
      <c r="G492" s="12"/>
      <c r="H492" s="12"/>
      <c r="I492" s="12"/>
      <c r="J492" s="12"/>
      <c r="K492" s="12"/>
      <c r="L492" s="12"/>
      <c r="M492" s="12"/>
      <c r="N492" s="12"/>
      <c r="O492" s="12"/>
      <c r="P492" s="12"/>
      <c r="Q492" s="12"/>
      <c r="R492" s="12"/>
      <c r="S492" s="12"/>
      <c r="T492" s="12"/>
      <c r="U492" s="12"/>
      <c r="V492" s="12"/>
      <c r="W492" s="12"/>
      <c r="X492" s="12"/>
    </row>
    <row r="493" spans="2:24">
      <c r="B493" s="12"/>
      <c r="C493" s="12"/>
      <c r="D493" s="12"/>
      <c r="E493" s="12"/>
      <c r="F493" s="12"/>
      <c r="G493" s="12"/>
      <c r="H493" s="12"/>
      <c r="I493" s="12"/>
      <c r="J493" s="12"/>
      <c r="K493" s="12"/>
      <c r="L493" s="12"/>
      <c r="M493" s="12"/>
      <c r="N493" s="12"/>
      <c r="O493" s="12"/>
      <c r="P493" s="12"/>
      <c r="Q493" s="12"/>
      <c r="R493" s="12"/>
      <c r="S493" s="12"/>
      <c r="T493" s="12"/>
      <c r="U493" s="12"/>
      <c r="V493" s="12"/>
      <c r="W493" s="12"/>
      <c r="X493" s="12"/>
    </row>
    <row r="494" spans="2:24">
      <c r="B494" s="12"/>
      <c r="C494" s="12"/>
      <c r="D494" s="12"/>
      <c r="E494" s="12"/>
      <c r="F494" s="12"/>
      <c r="G494" s="12"/>
      <c r="H494" s="12"/>
      <c r="I494" s="12"/>
      <c r="J494" s="12"/>
      <c r="K494" s="12"/>
      <c r="L494" s="12"/>
      <c r="M494" s="12"/>
      <c r="N494" s="12"/>
      <c r="O494" s="12"/>
      <c r="P494" s="12"/>
      <c r="Q494" s="12"/>
      <c r="R494" s="12"/>
      <c r="S494" s="12"/>
      <c r="T494" s="12"/>
      <c r="U494" s="12"/>
      <c r="V494" s="12"/>
      <c r="W494" s="12"/>
      <c r="X494" s="12"/>
    </row>
    <row r="495" spans="2:24">
      <c r="B495" s="12"/>
      <c r="C495" s="12"/>
      <c r="D495" s="12"/>
      <c r="E495" s="12"/>
      <c r="F495" s="12"/>
      <c r="G495" s="12"/>
      <c r="H495" s="12"/>
      <c r="I495" s="12"/>
      <c r="J495" s="12"/>
      <c r="K495" s="12"/>
      <c r="L495" s="12"/>
      <c r="M495" s="12"/>
      <c r="N495" s="12"/>
      <c r="O495" s="12"/>
      <c r="P495" s="12"/>
      <c r="Q495" s="12"/>
      <c r="R495" s="12"/>
      <c r="S495" s="12"/>
      <c r="T495" s="12"/>
      <c r="U495" s="12"/>
      <c r="V495" s="12"/>
      <c r="W495" s="12"/>
      <c r="X495" s="12"/>
    </row>
    <row r="496" spans="2:24">
      <c r="B496" s="12"/>
      <c r="C496" s="12"/>
      <c r="D496" s="12"/>
      <c r="E496" s="12"/>
      <c r="F496" s="12"/>
      <c r="G496" s="12"/>
      <c r="H496" s="12"/>
      <c r="I496" s="12"/>
      <c r="J496" s="12"/>
      <c r="K496" s="12"/>
      <c r="L496" s="12"/>
      <c r="M496" s="12"/>
      <c r="N496" s="12"/>
      <c r="O496" s="12"/>
      <c r="P496" s="12"/>
      <c r="Q496" s="12"/>
      <c r="R496" s="12"/>
      <c r="S496" s="12"/>
      <c r="T496" s="12"/>
      <c r="U496" s="12"/>
      <c r="V496" s="12"/>
      <c r="W496" s="12"/>
      <c r="X496" s="12"/>
    </row>
    <row r="497" spans="2:24">
      <c r="B497" s="12"/>
      <c r="C497" s="12"/>
      <c r="D497" s="12"/>
      <c r="E497" s="12"/>
      <c r="F497" s="12"/>
      <c r="G497" s="12"/>
      <c r="H497" s="12"/>
      <c r="I497" s="12"/>
      <c r="J497" s="12"/>
      <c r="K497" s="12"/>
      <c r="L497" s="12"/>
      <c r="M497" s="12"/>
      <c r="N497" s="12"/>
      <c r="O497" s="12"/>
      <c r="P497" s="12"/>
      <c r="Q497" s="12"/>
      <c r="R497" s="12"/>
      <c r="S497" s="12"/>
      <c r="T497" s="12"/>
      <c r="U497" s="12"/>
      <c r="V497" s="12"/>
      <c r="W497" s="12"/>
      <c r="X497" s="12"/>
    </row>
    <row r="498" spans="2:24">
      <c r="B498" s="12"/>
      <c r="C498" s="12"/>
      <c r="D498" s="12"/>
      <c r="E498" s="12"/>
      <c r="F498" s="12"/>
      <c r="G498" s="12"/>
      <c r="H498" s="12"/>
      <c r="I498" s="12"/>
      <c r="J498" s="12"/>
      <c r="K498" s="12"/>
      <c r="L498" s="12"/>
      <c r="M498" s="12"/>
      <c r="N498" s="12"/>
      <c r="O498" s="12"/>
      <c r="P498" s="12"/>
      <c r="Q498" s="12"/>
      <c r="R498" s="12"/>
      <c r="S498" s="12"/>
      <c r="T498" s="12"/>
      <c r="U498" s="12"/>
      <c r="V498" s="12"/>
      <c r="W498" s="12"/>
      <c r="X498" s="12"/>
    </row>
    <row r="499" spans="2:24">
      <c r="B499" s="12"/>
      <c r="C499" s="12"/>
      <c r="D499" s="12"/>
      <c r="E499" s="12"/>
      <c r="F499" s="12"/>
      <c r="G499" s="12"/>
      <c r="H499" s="12"/>
      <c r="I499" s="12"/>
      <c r="J499" s="12"/>
      <c r="K499" s="12"/>
      <c r="L499" s="12"/>
      <c r="M499" s="12"/>
      <c r="N499" s="12"/>
      <c r="O499" s="12"/>
      <c r="P499" s="12"/>
      <c r="Q499" s="12"/>
      <c r="R499" s="12"/>
      <c r="S499" s="12"/>
      <c r="T499" s="12"/>
      <c r="U499" s="12"/>
      <c r="V499" s="12"/>
      <c r="W499" s="12"/>
      <c r="X499" s="12"/>
    </row>
    <row r="500" spans="2:24">
      <c r="B500" s="12"/>
      <c r="C500" s="12"/>
      <c r="D500" s="12"/>
      <c r="E500" s="12"/>
      <c r="F500" s="12"/>
      <c r="G500" s="12"/>
      <c r="H500" s="12"/>
      <c r="I500" s="12"/>
      <c r="J500" s="12"/>
      <c r="K500" s="12"/>
      <c r="L500" s="12"/>
      <c r="M500" s="12"/>
      <c r="N500" s="12"/>
      <c r="O500" s="12"/>
      <c r="P500" s="12"/>
      <c r="Q500" s="12"/>
      <c r="R500" s="12"/>
      <c r="S500" s="12"/>
      <c r="T500" s="12"/>
      <c r="U500" s="12"/>
      <c r="V500" s="12"/>
      <c r="W500" s="12"/>
      <c r="X500" s="12"/>
    </row>
    <row r="501" spans="2:24">
      <c r="B501" s="12"/>
      <c r="C501" s="12"/>
      <c r="D501" s="12"/>
      <c r="E501" s="12"/>
      <c r="F501" s="12"/>
      <c r="G501" s="12"/>
      <c r="H501" s="12"/>
      <c r="I501" s="12"/>
      <c r="J501" s="12"/>
      <c r="K501" s="12"/>
      <c r="L501" s="12"/>
      <c r="M501" s="12"/>
      <c r="N501" s="12"/>
      <c r="O501" s="12"/>
      <c r="P501" s="12"/>
      <c r="Q501" s="12"/>
      <c r="R501" s="12"/>
      <c r="S501" s="12"/>
      <c r="T501" s="12"/>
      <c r="U501" s="12"/>
      <c r="V501" s="12"/>
      <c r="W501" s="12"/>
      <c r="X501" s="12"/>
    </row>
    <row r="502" spans="2:24">
      <c r="B502" s="12"/>
      <c r="C502" s="12"/>
      <c r="D502" s="12"/>
      <c r="E502" s="12"/>
      <c r="F502" s="12"/>
      <c r="G502" s="12"/>
      <c r="H502" s="12"/>
      <c r="I502" s="12"/>
      <c r="J502" s="12"/>
      <c r="K502" s="12"/>
      <c r="L502" s="12"/>
      <c r="M502" s="12"/>
      <c r="N502" s="12"/>
      <c r="O502" s="12"/>
      <c r="P502" s="12"/>
      <c r="Q502" s="12"/>
      <c r="R502" s="12"/>
      <c r="S502" s="12"/>
      <c r="T502" s="12"/>
      <c r="U502" s="12"/>
      <c r="V502" s="12"/>
      <c r="W502" s="12"/>
      <c r="X502" s="12"/>
    </row>
    <row r="503" spans="2:24">
      <c r="B503" s="12"/>
      <c r="C503" s="12"/>
      <c r="D503" s="12"/>
      <c r="E503" s="12"/>
      <c r="F503" s="12"/>
      <c r="G503" s="12"/>
      <c r="H503" s="12"/>
      <c r="I503" s="12"/>
      <c r="J503" s="12"/>
      <c r="K503" s="12"/>
      <c r="L503" s="12"/>
      <c r="M503" s="12"/>
      <c r="N503" s="12"/>
      <c r="O503" s="12"/>
      <c r="P503" s="12"/>
      <c r="Q503" s="12"/>
      <c r="R503" s="12"/>
      <c r="S503" s="12"/>
      <c r="T503" s="12"/>
      <c r="U503" s="12"/>
      <c r="V503" s="12"/>
      <c r="W503" s="12"/>
      <c r="X503" s="12"/>
    </row>
    <row r="504" spans="2:24">
      <c r="B504" s="12"/>
      <c r="C504" s="12"/>
      <c r="D504" s="12"/>
      <c r="E504" s="12"/>
      <c r="F504" s="12"/>
      <c r="G504" s="12"/>
      <c r="H504" s="12"/>
      <c r="I504" s="12"/>
      <c r="J504" s="12"/>
      <c r="K504" s="12"/>
      <c r="L504" s="12"/>
      <c r="M504" s="12"/>
      <c r="N504" s="12"/>
      <c r="O504" s="12"/>
      <c r="P504" s="12"/>
      <c r="Q504" s="12"/>
      <c r="R504" s="12"/>
      <c r="S504" s="12"/>
      <c r="T504" s="12"/>
      <c r="U504" s="12"/>
      <c r="V504" s="12"/>
      <c r="W504" s="12"/>
      <c r="X504" s="12"/>
    </row>
    <row r="505" spans="2:24">
      <c r="B505" s="12"/>
      <c r="C505" s="12"/>
      <c r="D505" s="12"/>
      <c r="E505" s="12"/>
      <c r="F505" s="12"/>
      <c r="G505" s="12"/>
      <c r="H505" s="12"/>
      <c r="I505" s="12"/>
      <c r="J505" s="12"/>
      <c r="K505" s="12"/>
      <c r="L505" s="12"/>
      <c r="M505" s="12"/>
      <c r="N505" s="12"/>
      <c r="O505" s="12"/>
      <c r="P505" s="12"/>
      <c r="Q505" s="12"/>
      <c r="R505" s="12"/>
      <c r="S505" s="12"/>
      <c r="T505" s="12"/>
      <c r="U505" s="12"/>
      <c r="V505" s="12"/>
      <c r="W505" s="12"/>
      <c r="X505" s="12"/>
    </row>
    <row r="506" spans="2:24">
      <c r="B506" s="12"/>
      <c r="C506" s="12"/>
      <c r="D506" s="12"/>
      <c r="E506" s="12"/>
      <c r="F506" s="12"/>
      <c r="G506" s="12"/>
      <c r="H506" s="12"/>
      <c r="I506" s="12"/>
      <c r="J506" s="12"/>
      <c r="K506" s="12"/>
      <c r="L506" s="12"/>
      <c r="M506" s="12"/>
      <c r="N506" s="12"/>
      <c r="O506" s="12"/>
      <c r="P506" s="12"/>
      <c r="Q506" s="12"/>
      <c r="R506" s="12"/>
      <c r="S506" s="12"/>
      <c r="T506" s="12"/>
      <c r="U506" s="12"/>
      <c r="V506" s="12"/>
      <c r="W506" s="12"/>
      <c r="X506" s="12"/>
    </row>
    <row r="507" spans="2:24">
      <c r="B507" s="12"/>
      <c r="C507" s="12"/>
      <c r="D507" s="12"/>
      <c r="E507" s="12"/>
      <c r="F507" s="12"/>
      <c r="G507" s="12"/>
      <c r="H507" s="12"/>
      <c r="I507" s="12"/>
      <c r="J507" s="12"/>
      <c r="K507" s="12"/>
      <c r="L507" s="12"/>
      <c r="M507" s="12"/>
      <c r="N507" s="12"/>
      <c r="O507" s="12"/>
      <c r="P507" s="12"/>
      <c r="Q507" s="12"/>
      <c r="R507" s="12"/>
      <c r="S507" s="12"/>
      <c r="T507" s="12"/>
      <c r="U507" s="12"/>
      <c r="V507" s="12"/>
      <c r="W507" s="12"/>
      <c r="X507" s="12"/>
    </row>
    <row r="508" spans="2:24">
      <c r="B508" s="12"/>
      <c r="C508" s="12"/>
      <c r="D508" s="12"/>
      <c r="E508" s="12"/>
      <c r="F508" s="12"/>
      <c r="G508" s="12"/>
      <c r="H508" s="12"/>
      <c r="I508" s="12"/>
      <c r="J508" s="12"/>
      <c r="K508" s="12"/>
      <c r="L508" s="12"/>
      <c r="M508" s="12"/>
      <c r="N508" s="12"/>
      <c r="O508" s="12"/>
      <c r="P508" s="12"/>
      <c r="Q508" s="12"/>
      <c r="R508" s="12"/>
      <c r="S508" s="12"/>
      <c r="T508" s="12"/>
      <c r="U508" s="12"/>
      <c r="V508" s="12"/>
      <c r="W508" s="12"/>
      <c r="X508" s="12"/>
    </row>
    <row r="509" spans="2:24">
      <c r="B509" s="12"/>
      <c r="C509" s="12"/>
      <c r="D509" s="12"/>
      <c r="E509" s="12"/>
      <c r="F509" s="12"/>
      <c r="G509" s="12"/>
      <c r="H509" s="12"/>
      <c r="I509" s="12"/>
      <c r="J509" s="12"/>
      <c r="K509" s="12"/>
      <c r="L509" s="12"/>
      <c r="M509" s="12"/>
      <c r="N509" s="12"/>
      <c r="O509" s="12"/>
      <c r="P509" s="12"/>
      <c r="Q509" s="12"/>
      <c r="R509" s="12"/>
      <c r="S509" s="12"/>
      <c r="T509" s="12"/>
      <c r="U509" s="12"/>
      <c r="V509" s="12"/>
      <c r="W509" s="12"/>
      <c r="X509" s="12"/>
    </row>
    <row r="510" spans="2:24">
      <c r="B510" s="12"/>
      <c r="C510" s="12"/>
      <c r="D510" s="12"/>
      <c r="E510" s="12"/>
      <c r="F510" s="12"/>
      <c r="G510" s="12"/>
      <c r="H510" s="12"/>
      <c r="I510" s="12"/>
      <c r="J510" s="12"/>
      <c r="K510" s="12"/>
      <c r="L510" s="12"/>
      <c r="M510" s="12"/>
      <c r="N510" s="12"/>
      <c r="O510" s="12"/>
      <c r="P510" s="12"/>
      <c r="Q510" s="12"/>
      <c r="R510" s="12"/>
      <c r="S510" s="12"/>
      <c r="T510" s="12"/>
      <c r="U510" s="12"/>
      <c r="V510" s="12"/>
      <c r="W510" s="12"/>
      <c r="X510" s="12"/>
    </row>
    <row r="511" spans="2:24">
      <c r="B511" s="12"/>
      <c r="C511" s="12"/>
      <c r="D511" s="12"/>
      <c r="E511" s="12"/>
      <c r="F511" s="12"/>
      <c r="G511" s="12"/>
      <c r="H511" s="12"/>
      <c r="I511" s="12"/>
      <c r="J511" s="12"/>
      <c r="K511" s="12"/>
      <c r="L511" s="12"/>
      <c r="M511" s="12"/>
      <c r="N511" s="12"/>
      <c r="O511" s="12"/>
      <c r="P511" s="12"/>
      <c r="Q511" s="12"/>
      <c r="R511" s="12"/>
      <c r="S511" s="12"/>
      <c r="T511" s="12"/>
      <c r="U511" s="12"/>
      <c r="V511" s="12"/>
      <c r="W511" s="12"/>
      <c r="X511" s="12"/>
    </row>
    <row r="512" spans="2:24">
      <c r="B512" s="12"/>
      <c r="C512" s="12"/>
      <c r="D512" s="12"/>
      <c r="E512" s="12"/>
      <c r="F512" s="12"/>
      <c r="G512" s="12"/>
      <c r="H512" s="12"/>
      <c r="I512" s="12"/>
      <c r="J512" s="12"/>
      <c r="K512" s="12"/>
      <c r="L512" s="12"/>
      <c r="M512" s="12"/>
      <c r="N512" s="12"/>
      <c r="O512" s="12"/>
      <c r="P512" s="12"/>
      <c r="Q512" s="12"/>
      <c r="R512" s="12"/>
      <c r="S512" s="12"/>
      <c r="T512" s="12"/>
      <c r="U512" s="12"/>
      <c r="V512" s="12"/>
      <c r="W512" s="12"/>
      <c r="X512" s="12"/>
    </row>
    <row r="513" spans="2:24">
      <c r="B513" s="12"/>
      <c r="C513" s="12"/>
      <c r="D513" s="12"/>
      <c r="E513" s="12"/>
      <c r="F513" s="12"/>
      <c r="G513" s="12"/>
      <c r="H513" s="12"/>
      <c r="I513" s="12"/>
      <c r="J513" s="12"/>
      <c r="K513" s="12"/>
      <c r="L513" s="12"/>
      <c r="M513" s="12"/>
      <c r="N513" s="12"/>
      <c r="O513" s="12"/>
      <c r="P513" s="12"/>
      <c r="Q513" s="12"/>
      <c r="R513" s="12"/>
      <c r="S513" s="12"/>
      <c r="T513" s="12"/>
      <c r="U513" s="12"/>
      <c r="V513" s="12"/>
      <c r="W513" s="12"/>
      <c r="X513" s="12"/>
    </row>
    <row r="514" spans="2:24">
      <c r="B514" s="12"/>
      <c r="C514" s="12"/>
      <c r="D514" s="12"/>
      <c r="E514" s="12"/>
      <c r="F514" s="12"/>
      <c r="G514" s="12"/>
      <c r="H514" s="12"/>
      <c r="I514" s="12"/>
      <c r="J514" s="12"/>
      <c r="K514" s="12"/>
      <c r="L514" s="12"/>
      <c r="M514" s="12"/>
      <c r="N514" s="12"/>
      <c r="O514" s="12"/>
      <c r="P514" s="12"/>
      <c r="Q514" s="12"/>
      <c r="R514" s="12"/>
      <c r="S514" s="12"/>
      <c r="T514" s="12"/>
      <c r="U514" s="12"/>
      <c r="V514" s="12"/>
      <c r="W514" s="12"/>
      <c r="X514" s="12"/>
    </row>
    <row r="515" spans="2:24">
      <c r="B515" s="12"/>
      <c r="C515" s="12"/>
      <c r="D515" s="12"/>
      <c r="E515" s="12"/>
      <c r="F515" s="12"/>
      <c r="G515" s="12"/>
      <c r="H515" s="12"/>
      <c r="I515" s="12"/>
      <c r="J515" s="12"/>
      <c r="K515" s="12"/>
      <c r="L515" s="12"/>
      <c r="M515" s="12"/>
      <c r="N515" s="12"/>
      <c r="O515" s="12"/>
      <c r="P515" s="12"/>
      <c r="Q515" s="12"/>
      <c r="R515" s="12"/>
      <c r="S515" s="12"/>
      <c r="T515" s="12"/>
      <c r="U515" s="12"/>
      <c r="V515" s="12"/>
      <c r="W515" s="12"/>
      <c r="X515" s="12"/>
    </row>
    <row r="516" spans="2:24">
      <c r="B516" s="12"/>
      <c r="C516" s="12"/>
      <c r="D516" s="12"/>
      <c r="E516" s="12"/>
      <c r="F516" s="12"/>
      <c r="G516" s="12"/>
      <c r="H516" s="12"/>
      <c r="I516" s="12"/>
      <c r="J516" s="12"/>
      <c r="K516" s="12"/>
      <c r="L516" s="12"/>
      <c r="M516" s="12"/>
      <c r="N516" s="12"/>
      <c r="O516" s="12"/>
      <c r="P516" s="12"/>
      <c r="Q516" s="12"/>
      <c r="R516" s="12"/>
      <c r="S516" s="12"/>
      <c r="T516" s="12"/>
      <c r="U516" s="12"/>
      <c r="V516" s="12"/>
      <c r="W516" s="12"/>
      <c r="X516" s="12"/>
    </row>
    <row r="517" spans="2:24">
      <c r="B517" s="12"/>
      <c r="C517" s="12"/>
      <c r="D517" s="12"/>
      <c r="E517" s="12"/>
      <c r="F517" s="12"/>
      <c r="G517" s="12"/>
      <c r="H517" s="12"/>
      <c r="I517" s="12"/>
      <c r="J517" s="12"/>
      <c r="K517" s="12"/>
      <c r="L517" s="12"/>
      <c r="M517" s="12"/>
      <c r="N517" s="12"/>
      <c r="O517" s="12"/>
      <c r="P517" s="12"/>
      <c r="Q517" s="12"/>
      <c r="R517" s="12"/>
      <c r="S517" s="12"/>
      <c r="T517" s="12"/>
      <c r="U517" s="12"/>
      <c r="V517" s="12"/>
      <c r="W517" s="12"/>
      <c r="X517" s="12"/>
    </row>
    <row r="518" spans="2:24">
      <c r="B518" s="12"/>
      <c r="C518" s="12"/>
      <c r="D518" s="12"/>
      <c r="E518" s="12"/>
      <c r="F518" s="12"/>
      <c r="G518" s="12"/>
      <c r="H518" s="12"/>
      <c r="I518" s="12"/>
      <c r="J518" s="12"/>
      <c r="K518" s="12"/>
      <c r="L518" s="12"/>
      <c r="M518" s="12"/>
      <c r="N518" s="12"/>
      <c r="O518" s="12"/>
      <c r="P518" s="12"/>
      <c r="Q518" s="12"/>
      <c r="R518" s="12"/>
      <c r="S518" s="12"/>
      <c r="T518" s="12"/>
      <c r="U518" s="12"/>
      <c r="V518" s="12"/>
      <c r="W518" s="12"/>
      <c r="X518" s="12"/>
    </row>
    <row r="519" spans="2:24">
      <c r="B519" s="12"/>
      <c r="C519" s="12"/>
      <c r="D519" s="12"/>
      <c r="E519" s="12"/>
      <c r="F519" s="12"/>
      <c r="G519" s="12"/>
      <c r="H519" s="12"/>
      <c r="I519" s="12"/>
      <c r="J519" s="12"/>
      <c r="K519" s="12"/>
      <c r="L519" s="12"/>
      <c r="M519" s="12"/>
      <c r="N519" s="12"/>
      <c r="O519" s="12"/>
      <c r="P519" s="12"/>
      <c r="Q519" s="12"/>
      <c r="R519" s="12"/>
      <c r="S519" s="12"/>
      <c r="T519" s="12"/>
      <c r="U519" s="12"/>
      <c r="V519" s="12"/>
      <c r="W519" s="12"/>
      <c r="X519" s="12"/>
    </row>
    <row r="520" spans="2:24">
      <c r="B520" s="12"/>
      <c r="C520" s="12"/>
      <c r="D520" s="12"/>
      <c r="E520" s="12"/>
      <c r="F520" s="12"/>
      <c r="G520" s="12"/>
      <c r="H520" s="12"/>
      <c r="I520" s="12"/>
      <c r="J520" s="12"/>
      <c r="K520" s="12"/>
      <c r="L520" s="12"/>
      <c r="M520" s="12"/>
      <c r="N520" s="12"/>
      <c r="O520" s="12"/>
      <c r="P520" s="12"/>
      <c r="Q520" s="12"/>
      <c r="R520" s="12"/>
      <c r="S520" s="12"/>
      <c r="T520" s="12"/>
      <c r="U520" s="12"/>
      <c r="V520" s="12"/>
      <c r="W520" s="12"/>
      <c r="X520" s="12"/>
    </row>
    <row r="521" spans="2:24">
      <c r="B521" s="12"/>
      <c r="C521" s="12"/>
      <c r="D521" s="12"/>
      <c r="E521" s="12"/>
      <c r="F521" s="12"/>
      <c r="G521" s="12"/>
      <c r="H521" s="12"/>
      <c r="I521" s="12"/>
      <c r="J521" s="12"/>
      <c r="K521" s="12"/>
      <c r="L521" s="12"/>
      <c r="M521" s="12"/>
      <c r="N521" s="12"/>
      <c r="O521" s="12"/>
      <c r="P521" s="12"/>
      <c r="Q521" s="12"/>
      <c r="R521" s="12"/>
      <c r="S521" s="12"/>
      <c r="T521" s="12"/>
      <c r="U521" s="12"/>
      <c r="V521" s="12"/>
      <c r="W521" s="12"/>
      <c r="X521" s="12"/>
    </row>
    <row r="522" spans="2:24">
      <c r="B522" s="12"/>
      <c r="C522" s="12"/>
      <c r="D522" s="12"/>
      <c r="E522" s="12"/>
      <c r="F522" s="12"/>
      <c r="G522" s="12"/>
      <c r="H522" s="12"/>
      <c r="I522" s="12"/>
      <c r="J522" s="12"/>
      <c r="K522" s="12"/>
      <c r="L522" s="12"/>
      <c r="M522" s="12"/>
      <c r="N522" s="12"/>
      <c r="O522" s="12"/>
      <c r="P522" s="12"/>
      <c r="Q522" s="12"/>
      <c r="R522" s="12"/>
      <c r="S522" s="12"/>
      <c r="T522" s="12"/>
      <c r="U522" s="12"/>
      <c r="V522" s="12"/>
      <c r="W522" s="12"/>
      <c r="X522" s="12"/>
    </row>
    <row r="523" spans="2:24">
      <c r="B523" s="12"/>
      <c r="C523" s="12"/>
      <c r="D523" s="12"/>
      <c r="E523" s="12"/>
      <c r="F523" s="12"/>
      <c r="G523" s="12"/>
      <c r="H523" s="12"/>
      <c r="I523" s="12"/>
      <c r="J523" s="12"/>
      <c r="K523" s="12"/>
      <c r="L523" s="12"/>
      <c r="M523" s="12"/>
      <c r="N523" s="12"/>
      <c r="O523" s="12"/>
      <c r="P523" s="12"/>
      <c r="Q523" s="12"/>
      <c r="R523" s="12"/>
      <c r="S523" s="12"/>
      <c r="T523" s="12"/>
      <c r="U523" s="12"/>
      <c r="V523" s="12"/>
      <c r="W523" s="12"/>
      <c r="X523" s="12"/>
    </row>
    <row r="524" spans="2:24">
      <c r="B524" s="12"/>
      <c r="C524" s="12"/>
      <c r="D524" s="12"/>
      <c r="E524" s="12"/>
      <c r="F524" s="12"/>
      <c r="G524" s="12"/>
      <c r="H524" s="12"/>
      <c r="I524" s="12"/>
      <c r="J524" s="12"/>
      <c r="K524" s="12"/>
      <c r="L524" s="12"/>
      <c r="M524" s="12"/>
      <c r="N524" s="12"/>
      <c r="O524" s="12"/>
      <c r="P524" s="12"/>
      <c r="Q524" s="12"/>
      <c r="R524" s="12"/>
      <c r="S524" s="12"/>
      <c r="T524" s="12"/>
      <c r="U524" s="12"/>
      <c r="V524" s="12"/>
      <c r="W524" s="12"/>
      <c r="X524" s="12"/>
    </row>
    <row r="525" spans="2:24">
      <c r="B525" s="12"/>
      <c r="C525" s="12"/>
      <c r="D525" s="12"/>
      <c r="E525" s="12"/>
      <c r="F525" s="12"/>
      <c r="G525" s="12"/>
      <c r="H525" s="12"/>
      <c r="I525" s="12"/>
      <c r="J525" s="12"/>
      <c r="K525" s="12"/>
      <c r="L525" s="12"/>
      <c r="M525" s="12"/>
      <c r="N525" s="12"/>
      <c r="O525" s="12"/>
      <c r="P525" s="12"/>
      <c r="Q525" s="12"/>
      <c r="R525" s="12"/>
      <c r="S525" s="12"/>
      <c r="T525" s="12"/>
      <c r="U525" s="12"/>
      <c r="V525" s="12"/>
      <c r="W525" s="12"/>
      <c r="X525" s="12"/>
    </row>
    <row r="526" spans="2:24">
      <c r="B526" s="12"/>
      <c r="C526" s="12"/>
      <c r="D526" s="12"/>
      <c r="E526" s="12"/>
      <c r="F526" s="12"/>
      <c r="G526" s="12"/>
      <c r="H526" s="12"/>
      <c r="I526" s="12"/>
      <c r="J526" s="12"/>
      <c r="K526" s="12"/>
      <c r="L526" s="12"/>
      <c r="M526" s="12"/>
      <c r="N526" s="12"/>
      <c r="O526" s="12"/>
      <c r="P526" s="12"/>
      <c r="Q526" s="12"/>
      <c r="R526" s="12"/>
      <c r="S526" s="12"/>
      <c r="T526" s="12"/>
      <c r="U526" s="12"/>
      <c r="V526" s="12"/>
      <c r="W526" s="12"/>
      <c r="X526" s="12"/>
    </row>
    <row r="527" spans="2:24">
      <c r="B527" s="12"/>
      <c r="C527" s="12"/>
      <c r="D527" s="12"/>
      <c r="E527" s="12"/>
      <c r="F527" s="12"/>
      <c r="G527" s="12"/>
      <c r="H527" s="12"/>
      <c r="I527" s="12"/>
      <c r="J527" s="12"/>
      <c r="K527" s="12"/>
      <c r="L527" s="12"/>
      <c r="M527" s="12"/>
      <c r="N527" s="12"/>
      <c r="O527" s="12"/>
      <c r="P527" s="12"/>
      <c r="Q527" s="12"/>
      <c r="R527" s="12"/>
      <c r="S527" s="12"/>
      <c r="T527" s="12"/>
      <c r="U527" s="12"/>
      <c r="V527" s="12"/>
      <c r="W527" s="12"/>
      <c r="X527" s="12"/>
    </row>
    <row r="528" spans="2:24">
      <c r="B528" s="12"/>
      <c r="C528" s="12"/>
      <c r="D528" s="12"/>
      <c r="E528" s="12"/>
      <c r="F528" s="12"/>
      <c r="G528" s="12"/>
      <c r="H528" s="12"/>
      <c r="I528" s="12"/>
      <c r="J528" s="12"/>
      <c r="K528" s="12"/>
      <c r="L528" s="12"/>
      <c r="M528" s="12"/>
      <c r="N528" s="12"/>
      <c r="O528" s="12"/>
      <c r="P528" s="12"/>
      <c r="Q528" s="12"/>
      <c r="R528" s="12"/>
      <c r="S528" s="12"/>
      <c r="T528" s="12"/>
      <c r="U528" s="12"/>
      <c r="V528" s="12"/>
      <c r="W528" s="12"/>
      <c r="X528" s="12"/>
    </row>
    <row r="529" spans="2:24">
      <c r="B529" s="12"/>
      <c r="C529" s="12"/>
      <c r="D529" s="12"/>
      <c r="E529" s="12"/>
      <c r="F529" s="12"/>
      <c r="G529" s="12"/>
      <c r="H529" s="12"/>
      <c r="I529" s="12"/>
      <c r="J529" s="12"/>
      <c r="K529" s="12"/>
      <c r="L529" s="12"/>
      <c r="M529" s="12"/>
      <c r="N529" s="12"/>
      <c r="O529" s="12"/>
      <c r="P529" s="12"/>
      <c r="Q529" s="12"/>
      <c r="R529" s="12"/>
      <c r="S529" s="12"/>
      <c r="T529" s="12"/>
      <c r="U529" s="12"/>
      <c r="V529" s="12"/>
      <c r="W529" s="12"/>
      <c r="X529" s="12"/>
    </row>
    <row r="530" spans="2:24">
      <c r="B530" s="12"/>
      <c r="C530" s="12"/>
      <c r="D530" s="12"/>
      <c r="E530" s="12"/>
      <c r="F530" s="12"/>
      <c r="G530" s="12"/>
      <c r="H530" s="12"/>
      <c r="I530" s="12"/>
      <c r="J530" s="12"/>
      <c r="K530" s="12"/>
      <c r="L530" s="12"/>
      <c r="M530" s="12"/>
      <c r="N530" s="12"/>
      <c r="O530" s="12"/>
      <c r="P530" s="12"/>
      <c r="Q530" s="12"/>
      <c r="R530" s="12"/>
      <c r="S530" s="12"/>
      <c r="T530" s="12"/>
      <c r="U530" s="12"/>
      <c r="V530" s="12"/>
      <c r="W530" s="12"/>
      <c r="X530" s="12"/>
    </row>
    <row r="531" spans="2:24">
      <c r="B531" s="12"/>
      <c r="C531" s="12"/>
      <c r="D531" s="12"/>
      <c r="E531" s="12"/>
      <c r="F531" s="12"/>
      <c r="G531" s="12"/>
      <c r="H531" s="12"/>
      <c r="I531" s="12"/>
      <c r="J531" s="12"/>
      <c r="K531" s="12"/>
      <c r="L531" s="12"/>
      <c r="M531" s="12"/>
      <c r="N531" s="12"/>
      <c r="O531" s="12"/>
      <c r="P531" s="12"/>
      <c r="Q531" s="12"/>
      <c r="R531" s="12"/>
      <c r="S531" s="12"/>
      <c r="T531" s="12"/>
      <c r="U531" s="12"/>
      <c r="V531" s="12"/>
      <c r="W531" s="12"/>
      <c r="X531" s="12"/>
    </row>
    <row r="532" spans="2:24">
      <c r="B532" s="12"/>
      <c r="C532" s="12"/>
      <c r="D532" s="12"/>
      <c r="E532" s="12"/>
      <c r="F532" s="12"/>
      <c r="G532" s="12"/>
      <c r="H532" s="12"/>
      <c r="I532" s="12"/>
      <c r="J532" s="12"/>
      <c r="K532" s="12"/>
      <c r="L532" s="12"/>
      <c r="M532" s="12"/>
      <c r="N532" s="12"/>
      <c r="O532" s="12"/>
      <c r="P532" s="12"/>
      <c r="Q532" s="12"/>
      <c r="R532" s="12"/>
      <c r="S532" s="12"/>
      <c r="T532" s="12"/>
      <c r="U532" s="12"/>
      <c r="V532" s="12"/>
      <c r="W532" s="12"/>
      <c r="X532" s="12"/>
    </row>
    <row r="533" spans="2:24">
      <c r="B533" s="12"/>
      <c r="C533" s="12"/>
      <c r="D533" s="12"/>
      <c r="E533" s="12"/>
      <c r="F533" s="12"/>
      <c r="G533" s="12"/>
      <c r="H533" s="12"/>
      <c r="I533" s="12"/>
      <c r="J533" s="12"/>
      <c r="K533" s="12"/>
      <c r="L533" s="12"/>
      <c r="M533" s="12"/>
      <c r="N533" s="12"/>
      <c r="O533" s="12"/>
      <c r="P533" s="12"/>
      <c r="Q533" s="12"/>
      <c r="R533" s="12"/>
      <c r="S533" s="12"/>
      <c r="T533" s="12"/>
      <c r="U533" s="12"/>
      <c r="V533" s="12"/>
      <c r="W533" s="12"/>
      <c r="X533" s="12"/>
    </row>
    <row r="534" spans="2:24">
      <c r="B534" s="12"/>
      <c r="C534" s="12"/>
      <c r="D534" s="12"/>
      <c r="E534" s="12"/>
      <c r="F534" s="12"/>
      <c r="G534" s="12"/>
      <c r="H534" s="12"/>
      <c r="I534" s="12"/>
      <c r="J534" s="12"/>
      <c r="K534" s="12"/>
      <c r="L534" s="12"/>
      <c r="M534" s="12"/>
      <c r="N534" s="12"/>
      <c r="O534" s="12"/>
      <c r="P534" s="12"/>
      <c r="Q534" s="12"/>
      <c r="R534" s="12"/>
      <c r="S534" s="12"/>
      <c r="T534" s="12"/>
      <c r="U534" s="12"/>
      <c r="V534" s="12"/>
      <c r="W534" s="12"/>
      <c r="X534" s="12"/>
    </row>
    <row r="535" spans="2:24">
      <c r="B535" s="12"/>
      <c r="C535" s="12"/>
      <c r="D535" s="12"/>
      <c r="E535" s="12"/>
      <c r="F535" s="12"/>
      <c r="G535" s="12"/>
      <c r="H535" s="12"/>
      <c r="I535" s="12"/>
      <c r="J535" s="12"/>
      <c r="K535" s="12"/>
      <c r="L535" s="12"/>
      <c r="M535" s="12"/>
      <c r="N535" s="12"/>
      <c r="O535" s="12"/>
      <c r="P535" s="12"/>
      <c r="Q535" s="12"/>
      <c r="R535" s="12"/>
      <c r="S535" s="12"/>
      <c r="T535" s="12"/>
      <c r="U535" s="12"/>
      <c r="V535" s="12"/>
      <c r="W535" s="12"/>
      <c r="X535" s="12"/>
    </row>
    <row r="536" spans="2:24">
      <c r="B536" s="12"/>
      <c r="C536" s="12"/>
      <c r="D536" s="12"/>
      <c r="E536" s="12"/>
      <c r="F536" s="12"/>
      <c r="G536" s="12"/>
      <c r="H536" s="12"/>
      <c r="I536" s="12"/>
      <c r="J536" s="12"/>
      <c r="K536" s="12"/>
      <c r="L536" s="12"/>
      <c r="M536" s="12"/>
      <c r="N536" s="12"/>
      <c r="O536" s="12"/>
      <c r="P536" s="12"/>
      <c r="Q536" s="12"/>
      <c r="R536" s="12"/>
      <c r="S536" s="12"/>
      <c r="T536" s="12"/>
      <c r="U536" s="12"/>
      <c r="V536" s="12"/>
      <c r="W536" s="12"/>
      <c r="X536" s="12"/>
    </row>
    <row r="537" spans="2:24">
      <c r="B537" s="12"/>
      <c r="C537" s="12"/>
      <c r="D537" s="12"/>
      <c r="E537" s="12"/>
      <c r="F537" s="12"/>
      <c r="G537" s="12"/>
      <c r="H537" s="12"/>
      <c r="I537" s="12"/>
      <c r="J537" s="12"/>
      <c r="K537" s="12"/>
      <c r="L537" s="12"/>
      <c r="M537" s="12"/>
      <c r="N537" s="12"/>
      <c r="O537" s="12"/>
      <c r="P537" s="12"/>
      <c r="Q537" s="12"/>
      <c r="R537" s="12"/>
      <c r="S537" s="12"/>
      <c r="T537" s="12"/>
      <c r="U537" s="12"/>
      <c r="V537" s="12"/>
      <c r="W537" s="12"/>
      <c r="X537" s="12"/>
    </row>
    <row r="538" spans="2:24">
      <c r="B538" s="12"/>
      <c r="C538" s="12"/>
      <c r="D538" s="12"/>
      <c r="E538" s="12"/>
      <c r="F538" s="12"/>
      <c r="G538" s="12"/>
      <c r="H538" s="12"/>
      <c r="I538" s="12"/>
      <c r="J538" s="12"/>
      <c r="K538" s="12"/>
      <c r="L538" s="12"/>
      <c r="M538" s="12"/>
      <c r="N538" s="12"/>
      <c r="O538" s="12"/>
      <c r="P538" s="12"/>
      <c r="Q538" s="12"/>
      <c r="R538" s="12"/>
      <c r="S538" s="12"/>
      <c r="T538" s="12"/>
      <c r="U538" s="12"/>
      <c r="V538" s="12"/>
      <c r="W538" s="12"/>
      <c r="X538" s="12"/>
    </row>
    <row r="539" spans="2:24">
      <c r="B539" s="12"/>
      <c r="C539" s="12"/>
      <c r="D539" s="12"/>
      <c r="E539" s="12"/>
      <c r="F539" s="12"/>
      <c r="G539" s="12"/>
      <c r="H539" s="12"/>
      <c r="I539" s="12"/>
      <c r="J539" s="12"/>
      <c r="K539" s="12"/>
      <c r="L539" s="12"/>
      <c r="M539" s="12"/>
      <c r="N539" s="12"/>
      <c r="O539" s="12"/>
      <c r="P539" s="12"/>
      <c r="Q539" s="12"/>
      <c r="R539" s="12"/>
      <c r="S539" s="12"/>
      <c r="T539" s="12"/>
      <c r="U539" s="12"/>
      <c r="V539" s="12"/>
      <c r="W539" s="12"/>
      <c r="X539" s="12"/>
    </row>
    <row r="540" spans="2:24">
      <c r="B540" s="12"/>
      <c r="C540" s="12"/>
      <c r="D540" s="12"/>
      <c r="E540" s="12"/>
      <c r="F540" s="12"/>
      <c r="G540" s="12"/>
      <c r="H540" s="12"/>
      <c r="I540" s="12"/>
      <c r="J540" s="12"/>
      <c r="K540" s="12"/>
      <c r="L540" s="12"/>
      <c r="M540" s="12"/>
      <c r="N540" s="12"/>
      <c r="O540" s="12"/>
      <c r="P540" s="12"/>
      <c r="Q540" s="12"/>
      <c r="R540" s="12"/>
      <c r="S540" s="12"/>
      <c r="T540" s="12"/>
      <c r="U540" s="12"/>
      <c r="V540" s="12"/>
      <c r="W540" s="12"/>
      <c r="X540" s="12"/>
    </row>
    <row r="541" spans="2:24">
      <c r="B541" s="12"/>
      <c r="C541" s="12"/>
      <c r="D541" s="12"/>
      <c r="E541" s="12"/>
      <c r="F541" s="12"/>
      <c r="G541" s="12"/>
      <c r="H541" s="12"/>
      <c r="I541" s="12"/>
      <c r="J541" s="12"/>
      <c r="K541" s="12"/>
      <c r="L541" s="12"/>
      <c r="M541" s="12"/>
      <c r="N541" s="12"/>
      <c r="O541" s="12"/>
      <c r="P541" s="12"/>
      <c r="Q541" s="12"/>
      <c r="R541" s="12"/>
      <c r="S541" s="12"/>
      <c r="T541" s="12"/>
      <c r="U541" s="12"/>
      <c r="V541" s="12"/>
      <c r="W541" s="12"/>
      <c r="X541" s="12"/>
    </row>
    <row r="542" spans="2:24">
      <c r="B542" s="12"/>
      <c r="C542" s="12"/>
      <c r="D542" s="12"/>
      <c r="E542" s="12"/>
      <c r="F542" s="12"/>
      <c r="G542" s="12"/>
      <c r="H542" s="12"/>
      <c r="I542" s="12"/>
      <c r="J542" s="12"/>
      <c r="K542" s="12"/>
      <c r="L542" s="12"/>
      <c r="M542" s="12"/>
      <c r="N542" s="12"/>
      <c r="O542" s="12"/>
      <c r="P542" s="12"/>
      <c r="Q542" s="12"/>
      <c r="R542" s="12"/>
      <c r="S542" s="12"/>
      <c r="T542" s="12"/>
      <c r="U542" s="12"/>
      <c r="V542" s="12"/>
      <c r="W542" s="12"/>
      <c r="X542" s="12"/>
    </row>
    <row r="543" spans="2:24">
      <c r="B543" s="12"/>
      <c r="C543" s="12"/>
      <c r="D543" s="12"/>
      <c r="E543" s="12"/>
      <c r="F543" s="12"/>
      <c r="G543" s="12"/>
      <c r="H543" s="12"/>
      <c r="I543" s="12"/>
      <c r="J543" s="12"/>
      <c r="K543" s="12"/>
      <c r="L543" s="12"/>
      <c r="M543" s="12"/>
      <c r="N543" s="12"/>
      <c r="O543" s="12"/>
      <c r="P543" s="12"/>
      <c r="Q543" s="12"/>
      <c r="R543" s="12"/>
      <c r="S543" s="12"/>
      <c r="T543" s="12"/>
      <c r="U543" s="12"/>
      <c r="V543" s="12"/>
      <c r="W543" s="12"/>
      <c r="X543" s="12"/>
    </row>
    <row r="544" spans="2:24">
      <c r="B544" s="12"/>
      <c r="C544" s="12"/>
      <c r="D544" s="12"/>
      <c r="E544" s="12"/>
      <c r="F544" s="12"/>
      <c r="G544" s="12"/>
      <c r="H544" s="12"/>
      <c r="I544" s="12"/>
      <c r="J544" s="12"/>
      <c r="K544" s="12"/>
      <c r="L544" s="12"/>
      <c r="M544" s="12"/>
      <c r="N544" s="12"/>
      <c r="O544" s="12"/>
      <c r="P544" s="12"/>
      <c r="Q544" s="12"/>
      <c r="R544" s="12"/>
      <c r="S544" s="12"/>
      <c r="T544" s="12"/>
      <c r="U544" s="12"/>
      <c r="V544" s="12"/>
      <c r="W544" s="12"/>
      <c r="X544" s="12"/>
    </row>
    <row r="545" spans="2:24">
      <c r="B545" s="12"/>
      <c r="C545" s="12"/>
      <c r="D545" s="12"/>
      <c r="E545" s="12"/>
      <c r="F545" s="12"/>
      <c r="G545" s="12"/>
      <c r="H545" s="12"/>
      <c r="I545" s="12"/>
      <c r="J545" s="12"/>
      <c r="K545" s="12"/>
      <c r="L545" s="12"/>
      <c r="M545" s="12"/>
      <c r="N545" s="12"/>
      <c r="O545" s="12"/>
      <c r="P545" s="12"/>
      <c r="Q545" s="12"/>
      <c r="R545" s="12"/>
      <c r="S545" s="12"/>
      <c r="T545" s="12"/>
      <c r="U545" s="12"/>
      <c r="V545" s="12"/>
      <c r="W545" s="12"/>
      <c r="X545" s="12"/>
    </row>
    <row r="546" spans="2:24">
      <c r="B546" s="12"/>
      <c r="C546" s="12"/>
      <c r="D546" s="12"/>
      <c r="E546" s="12"/>
      <c r="F546" s="12"/>
      <c r="G546" s="12"/>
      <c r="H546" s="12"/>
      <c r="I546" s="12"/>
      <c r="J546" s="12"/>
      <c r="K546" s="12"/>
      <c r="L546" s="12"/>
      <c r="M546" s="12"/>
      <c r="N546" s="12"/>
      <c r="O546" s="12"/>
      <c r="P546" s="12"/>
      <c r="Q546" s="12"/>
      <c r="R546" s="12"/>
      <c r="S546" s="12"/>
      <c r="T546" s="12"/>
      <c r="U546" s="12"/>
      <c r="V546" s="12"/>
      <c r="W546" s="12"/>
      <c r="X546" s="12"/>
    </row>
    <row r="547" spans="2:24">
      <c r="B547" s="12"/>
      <c r="C547" s="12"/>
      <c r="D547" s="12"/>
      <c r="E547" s="12"/>
      <c r="F547" s="12"/>
      <c r="G547" s="12"/>
      <c r="H547" s="12"/>
      <c r="I547" s="12"/>
      <c r="J547" s="12"/>
      <c r="K547" s="12"/>
      <c r="L547" s="12"/>
      <c r="M547" s="12"/>
      <c r="N547" s="12"/>
      <c r="O547" s="12"/>
      <c r="P547" s="12"/>
      <c r="Q547" s="12"/>
      <c r="R547" s="12"/>
      <c r="S547" s="12"/>
      <c r="T547" s="12"/>
      <c r="U547" s="12"/>
      <c r="V547" s="12"/>
      <c r="W547" s="12"/>
      <c r="X547" s="12"/>
    </row>
    <row r="548" spans="2:24">
      <c r="B548" s="12"/>
      <c r="C548" s="12"/>
      <c r="D548" s="12"/>
      <c r="E548" s="12"/>
      <c r="F548" s="12"/>
      <c r="G548" s="12"/>
      <c r="H548" s="12"/>
      <c r="I548" s="12"/>
      <c r="J548" s="12"/>
      <c r="K548" s="12"/>
      <c r="L548" s="12"/>
      <c r="M548" s="12"/>
      <c r="N548" s="12"/>
      <c r="O548" s="12"/>
      <c r="P548" s="12"/>
      <c r="Q548" s="12"/>
      <c r="R548" s="12"/>
      <c r="S548" s="12"/>
      <c r="T548" s="12"/>
      <c r="U548" s="12"/>
      <c r="V548" s="12"/>
      <c r="W548" s="12"/>
      <c r="X548" s="12"/>
    </row>
    <row r="549" spans="2:24">
      <c r="B549" s="12"/>
      <c r="C549" s="12"/>
      <c r="D549" s="12"/>
      <c r="E549" s="12"/>
      <c r="F549" s="12"/>
      <c r="G549" s="12"/>
      <c r="H549" s="12"/>
      <c r="I549" s="12"/>
      <c r="J549" s="12"/>
      <c r="K549" s="12"/>
      <c r="L549" s="12"/>
      <c r="M549" s="12"/>
      <c r="N549" s="12"/>
      <c r="O549" s="12"/>
      <c r="P549" s="12"/>
      <c r="Q549" s="12"/>
      <c r="R549" s="12"/>
      <c r="S549" s="12"/>
      <c r="T549" s="12"/>
      <c r="U549" s="12"/>
      <c r="V549" s="12"/>
      <c r="W549" s="12"/>
      <c r="X549" s="12"/>
    </row>
    <row r="550" spans="2:24">
      <c r="B550" s="12"/>
      <c r="C550" s="12"/>
      <c r="D550" s="12"/>
      <c r="E550" s="12"/>
      <c r="F550" s="12"/>
      <c r="G550" s="12"/>
      <c r="H550" s="12"/>
      <c r="I550" s="12"/>
      <c r="J550" s="12"/>
      <c r="K550" s="12"/>
      <c r="L550" s="12"/>
      <c r="M550" s="12"/>
      <c r="N550" s="12"/>
      <c r="O550" s="12"/>
      <c r="P550" s="12"/>
      <c r="Q550" s="12"/>
      <c r="R550" s="12"/>
      <c r="S550" s="12"/>
      <c r="T550" s="12"/>
      <c r="U550" s="12"/>
      <c r="V550" s="12"/>
      <c r="W550" s="12"/>
      <c r="X550" s="12"/>
    </row>
    <row r="551" spans="2:24">
      <c r="B551" s="12"/>
      <c r="C551" s="12"/>
      <c r="D551" s="12"/>
      <c r="E551" s="12"/>
      <c r="F551" s="12"/>
      <c r="G551" s="12"/>
      <c r="H551" s="12"/>
      <c r="I551" s="12"/>
      <c r="J551" s="12"/>
      <c r="K551" s="12"/>
      <c r="L551" s="12"/>
      <c r="M551" s="12"/>
      <c r="N551" s="12"/>
      <c r="O551" s="12"/>
      <c r="P551" s="12"/>
      <c r="Q551" s="12"/>
      <c r="R551" s="12"/>
      <c r="S551" s="12"/>
      <c r="T551" s="12"/>
      <c r="U551" s="12"/>
      <c r="V551" s="12"/>
      <c r="W551" s="12"/>
      <c r="X551" s="12"/>
    </row>
    <row r="552" spans="2:24">
      <c r="B552" s="12"/>
      <c r="C552" s="12"/>
      <c r="D552" s="12"/>
      <c r="E552" s="12"/>
      <c r="F552" s="12"/>
      <c r="G552" s="12"/>
      <c r="H552" s="12"/>
      <c r="I552" s="12"/>
      <c r="J552" s="12"/>
      <c r="K552" s="12"/>
      <c r="L552" s="12"/>
      <c r="M552" s="12"/>
      <c r="N552" s="12"/>
      <c r="O552" s="12"/>
      <c r="P552" s="12"/>
      <c r="Q552" s="12"/>
      <c r="R552" s="12"/>
      <c r="S552" s="12"/>
      <c r="T552" s="12"/>
      <c r="U552" s="12"/>
      <c r="V552" s="12"/>
      <c r="W552" s="12"/>
      <c r="X552" s="12"/>
    </row>
    <row r="553" spans="2:24">
      <c r="B553" s="12"/>
      <c r="C553" s="12"/>
      <c r="D553" s="12"/>
      <c r="E553" s="12"/>
      <c r="F553" s="12"/>
      <c r="G553" s="12"/>
      <c r="H553" s="12"/>
      <c r="I553" s="12"/>
      <c r="J553" s="12"/>
      <c r="K553" s="12"/>
      <c r="L553" s="12"/>
      <c r="M553" s="12"/>
      <c r="N553" s="12"/>
      <c r="O553" s="12"/>
      <c r="P553" s="12"/>
      <c r="Q553" s="12"/>
      <c r="R553" s="12"/>
      <c r="S553" s="12"/>
      <c r="T553" s="12"/>
      <c r="U553" s="12"/>
      <c r="V553" s="12"/>
      <c r="W553" s="12"/>
      <c r="X553" s="12"/>
    </row>
    <row r="554" spans="2:24">
      <c r="B554" s="12"/>
      <c r="C554" s="12"/>
      <c r="D554" s="12"/>
      <c r="E554" s="12"/>
      <c r="F554" s="12"/>
      <c r="G554" s="12"/>
      <c r="H554" s="12"/>
      <c r="I554" s="12"/>
      <c r="J554" s="12"/>
      <c r="K554" s="12"/>
      <c r="L554" s="12"/>
      <c r="M554" s="12"/>
      <c r="N554" s="12"/>
      <c r="O554" s="12"/>
      <c r="P554" s="12"/>
      <c r="Q554" s="12"/>
      <c r="R554" s="12"/>
      <c r="S554" s="12"/>
      <c r="T554" s="12"/>
      <c r="U554" s="12"/>
      <c r="V554" s="12"/>
      <c r="W554" s="12"/>
      <c r="X554" s="12"/>
    </row>
    <row r="555" spans="2:24">
      <c r="B555" s="12"/>
      <c r="C555" s="12"/>
      <c r="D555" s="12"/>
      <c r="E555" s="12"/>
      <c r="F555" s="12"/>
      <c r="G555" s="12"/>
      <c r="H555" s="12"/>
      <c r="I555" s="12"/>
      <c r="J555" s="12"/>
      <c r="K555" s="12"/>
      <c r="L555" s="12"/>
      <c r="M555" s="12"/>
      <c r="N555" s="12"/>
      <c r="O555" s="12"/>
      <c r="P555" s="12"/>
      <c r="Q555" s="12"/>
      <c r="R555" s="12"/>
      <c r="S555" s="12"/>
      <c r="T555" s="12"/>
      <c r="U555" s="12"/>
      <c r="V555" s="12"/>
      <c r="W555" s="12"/>
      <c r="X555" s="12"/>
    </row>
    <row r="556" spans="2:24">
      <c r="B556" s="12"/>
      <c r="C556" s="12"/>
      <c r="D556" s="12"/>
      <c r="E556" s="12"/>
      <c r="F556" s="12"/>
      <c r="G556" s="12"/>
      <c r="H556" s="12"/>
      <c r="I556" s="12"/>
      <c r="J556" s="12"/>
      <c r="K556" s="12"/>
      <c r="L556" s="12"/>
      <c r="M556" s="12"/>
      <c r="N556" s="12"/>
      <c r="O556" s="12"/>
      <c r="P556" s="12"/>
      <c r="Q556" s="12"/>
      <c r="R556" s="12"/>
      <c r="S556" s="12"/>
      <c r="T556" s="12"/>
      <c r="U556" s="12"/>
      <c r="V556" s="12"/>
      <c r="W556" s="12"/>
      <c r="X556" s="12"/>
    </row>
    <row r="557" spans="2:24">
      <c r="B557" s="12"/>
      <c r="C557" s="12"/>
      <c r="D557" s="12"/>
      <c r="E557" s="12"/>
      <c r="F557" s="12"/>
      <c r="G557" s="12"/>
      <c r="H557" s="12"/>
      <c r="I557" s="12"/>
      <c r="J557" s="12"/>
      <c r="K557" s="12"/>
      <c r="L557" s="12"/>
      <c r="M557" s="12"/>
      <c r="N557" s="12"/>
      <c r="O557" s="12"/>
      <c r="P557" s="12"/>
      <c r="Q557" s="12"/>
      <c r="R557" s="12"/>
      <c r="S557" s="12"/>
      <c r="T557" s="12"/>
      <c r="U557" s="12"/>
      <c r="V557" s="12"/>
      <c r="W557" s="12"/>
      <c r="X557" s="12"/>
    </row>
    <row r="558" spans="2:24">
      <c r="B558" s="12"/>
      <c r="C558" s="12"/>
      <c r="D558" s="12"/>
      <c r="E558" s="12"/>
      <c r="F558" s="12"/>
      <c r="G558" s="12"/>
      <c r="H558" s="12"/>
      <c r="I558" s="12"/>
      <c r="J558" s="12"/>
      <c r="K558" s="12"/>
      <c r="L558" s="12"/>
      <c r="M558" s="12"/>
      <c r="N558" s="12"/>
      <c r="O558" s="12"/>
      <c r="P558" s="12"/>
      <c r="Q558" s="12"/>
      <c r="R558" s="12"/>
      <c r="S558" s="12"/>
      <c r="T558" s="12"/>
      <c r="U558" s="12"/>
      <c r="V558" s="12"/>
      <c r="W558" s="12"/>
      <c r="X558" s="12"/>
    </row>
    <row r="559" spans="2:24">
      <c r="B559" s="12"/>
      <c r="C559" s="12"/>
      <c r="D559" s="12"/>
      <c r="E559" s="12"/>
      <c r="F559" s="12"/>
      <c r="G559" s="12"/>
      <c r="H559" s="12"/>
      <c r="I559" s="12"/>
      <c r="J559" s="12"/>
      <c r="K559" s="12"/>
      <c r="L559" s="12"/>
      <c r="M559" s="12"/>
      <c r="N559" s="12"/>
      <c r="O559" s="12"/>
      <c r="P559" s="12"/>
      <c r="Q559" s="12"/>
      <c r="R559" s="12"/>
      <c r="S559" s="12"/>
      <c r="T559" s="12"/>
      <c r="U559" s="12"/>
      <c r="V559" s="12"/>
      <c r="W559" s="12"/>
      <c r="X559" s="12"/>
    </row>
    <row r="560" spans="2:24">
      <c r="B560" s="12"/>
      <c r="C560" s="12"/>
      <c r="D560" s="12"/>
      <c r="E560" s="12"/>
      <c r="F560" s="12"/>
      <c r="G560" s="12"/>
      <c r="H560" s="12"/>
      <c r="I560" s="12"/>
      <c r="J560" s="12"/>
      <c r="K560" s="12"/>
      <c r="L560" s="12"/>
      <c r="M560" s="12"/>
      <c r="N560" s="12"/>
      <c r="O560" s="12"/>
      <c r="P560" s="12"/>
      <c r="Q560" s="12"/>
      <c r="R560" s="12"/>
      <c r="S560" s="12"/>
      <c r="T560" s="12"/>
      <c r="U560" s="12"/>
      <c r="V560" s="12"/>
      <c r="W560" s="12"/>
      <c r="X560" s="12"/>
    </row>
    <row r="561" spans="2:24">
      <c r="B561" s="12"/>
      <c r="C561" s="12"/>
      <c r="D561" s="12"/>
      <c r="E561" s="12"/>
      <c r="F561" s="12"/>
      <c r="G561" s="12"/>
      <c r="H561" s="12"/>
      <c r="I561" s="12"/>
      <c r="J561" s="12"/>
      <c r="K561" s="12"/>
      <c r="L561" s="12"/>
      <c r="M561" s="12"/>
      <c r="N561" s="12"/>
      <c r="O561" s="12"/>
      <c r="P561" s="12"/>
      <c r="Q561" s="12"/>
      <c r="R561" s="12"/>
      <c r="S561" s="12"/>
      <c r="T561" s="12"/>
      <c r="U561" s="12"/>
      <c r="V561" s="12"/>
      <c r="W561" s="12"/>
      <c r="X561" s="12"/>
    </row>
    <row r="562" spans="2:24">
      <c r="B562" s="12"/>
      <c r="C562" s="12"/>
      <c r="D562" s="12"/>
      <c r="E562" s="12"/>
      <c r="F562" s="12"/>
      <c r="G562" s="12"/>
      <c r="H562" s="12"/>
      <c r="I562" s="12"/>
      <c r="J562" s="12"/>
      <c r="K562" s="12"/>
      <c r="L562" s="12"/>
      <c r="M562" s="12"/>
      <c r="N562" s="12"/>
      <c r="O562" s="12"/>
      <c r="P562" s="12"/>
      <c r="Q562" s="12"/>
      <c r="R562" s="12"/>
      <c r="S562" s="12"/>
      <c r="T562" s="12"/>
      <c r="U562" s="12"/>
      <c r="V562" s="12"/>
      <c r="W562" s="12"/>
      <c r="X562" s="12"/>
    </row>
    <row r="563" spans="2:24">
      <c r="B563" s="12"/>
      <c r="C563" s="12"/>
      <c r="D563" s="12"/>
      <c r="E563" s="12"/>
      <c r="F563" s="12"/>
      <c r="G563" s="12"/>
      <c r="H563" s="12"/>
      <c r="I563" s="12"/>
      <c r="J563" s="12"/>
      <c r="K563" s="12"/>
      <c r="L563" s="12"/>
      <c r="M563" s="12"/>
      <c r="N563" s="12"/>
      <c r="O563" s="12"/>
      <c r="P563" s="12"/>
      <c r="Q563" s="12"/>
      <c r="R563" s="12"/>
      <c r="S563" s="12"/>
      <c r="T563" s="12"/>
      <c r="U563" s="12"/>
      <c r="V563" s="12"/>
      <c r="W563" s="12"/>
      <c r="X563" s="12"/>
    </row>
    <row r="564" spans="2:24">
      <c r="B564" s="12"/>
      <c r="C564" s="12"/>
      <c r="D564" s="12"/>
      <c r="E564" s="12"/>
      <c r="F564" s="12"/>
      <c r="G564" s="12"/>
      <c r="H564" s="12"/>
      <c r="I564" s="12"/>
      <c r="J564" s="12"/>
      <c r="K564" s="12"/>
      <c r="L564" s="12"/>
      <c r="M564" s="12"/>
      <c r="N564" s="12"/>
      <c r="O564" s="12"/>
      <c r="P564" s="12"/>
      <c r="Q564" s="12"/>
      <c r="R564" s="12"/>
      <c r="S564" s="12"/>
      <c r="T564" s="12"/>
      <c r="U564" s="12"/>
      <c r="V564" s="12"/>
      <c r="W564" s="12"/>
      <c r="X564" s="12"/>
    </row>
    <row r="565" spans="2:24">
      <c r="B565" s="12"/>
      <c r="C565" s="12"/>
      <c r="D565" s="12"/>
      <c r="E565" s="12"/>
      <c r="F565" s="12"/>
      <c r="G565" s="12"/>
      <c r="H565" s="12"/>
      <c r="I565" s="12"/>
      <c r="J565" s="12"/>
      <c r="K565" s="12"/>
      <c r="L565" s="12"/>
      <c r="M565" s="12"/>
      <c r="N565" s="12"/>
      <c r="O565" s="12"/>
      <c r="P565" s="12"/>
      <c r="Q565" s="12"/>
      <c r="R565" s="12"/>
      <c r="S565" s="12"/>
      <c r="T565" s="12"/>
      <c r="U565" s="12"/>
      <c r="V565" s="12"/>
      <c r="W565" s="12"/>
      <c r="X565" s="12"/>
    </row>
    <row r="566" spans="2:24">
      <c r="B566" s="12"/>
      <c r="C566" s="12"/>
      <c r="D566" s="12"/>
      <c r="E566" s="12"/>
      <c r="F566" s="12"/>
      <c r="G566" s="12"/>
      <c r="H566" s="12"/>
      <c r="I566" s="12"/>
      <c r="J566" s="12"/>
      <c r="K566" s="12"/>
      <c r="L566" s="12"/>
      <c r="M566" s="12"/>
      <c r="N566" s="12"/>
      <c r="O566" s="12"/>
      <c r="P566" s="12"/>
      <c r="Q566" s="12"/>
      <c r="R566" s="12"/>
      <c r="S566" s="12"/>
      <c r="T566" s="12"/>
      <c r="U566" s="12"/>
      <c r="V566" s="12"/>
      <c r="W566" s="12"/>
      <c r="X566" s="12"/>
    </row>
    <row r="567" spans="2:24">
      <c r="B567" s="12"/>
      <c r="C567" s="12"/>
      <c r="D567" s="12"/>
      <c r="E567" s="12"/>
      <c r="F567" s="12"/>
      <c r="G567" s="12"/>
      <c r="H567" s="12"/>
      <c r="I567" s="12"/>
      <c r="J567" s="12"/>
      <c r="K567" s="12"/>
      <c r="L567" s="12"/>
      <c r="M567" s="12"/>
      <c r="N567" s="12"/>
      <c r="O567" s="12"/>
      <c r="P567" s="12"/>
      <c r="Q567" s="12"/>
      <c r="R567" s="12"/>
      <c r="S567" s="12"/>
      <c r="T567" s="12"/>
      <c r="U567" s="12"/>
      <c r="V567" s="12"/>
      <c r="W567" s="12"/>
      <c r="X567" s="12"/>
    </row>
    <row r="568" spans="2:24">
      <c r="B568" s="12"/>
      <c r="C568" s="12"/>
      <c r="D568" s="12"/>
      <c r="E568" s="12"/>
      <c r="F568" s="12"/>
      <c r="G568" s="12"/>
      <c r="H568" s="12"/>
      <c r="I568" s="12"/>
      <c r="J568" s="12"/>
      <c r="K568" s="12"/>
      <c r="L568" s="12"/>
      <c r="M568" s="12"/>
      <c r="N568" s="12"/>
      <c r="O568" s="12"/>
      <c r="P568" s="12"/>
      <c r="Q568" s="12"/>
      <c r="R568" s="12"/>
      <c r="S568" s="12"/>
      <c r="T568" s="12"/>
      <c r="U568" s="12"/>
      <c r="V568" s="12"/>
      <c r="W568" s="12"/>
      <c r="X568" s="12"/>
    </row>
    <row r="569" spans="2:24">
      <c r="B569" s="12"/>
      <c r="C569" s="12"/>
      <c r="D569" s="12"/>
      <c r="E569" s="12"/>
      <c r="F569" s="12"/>
      <c r="G569" s="12"/>
      <c r="H569" s="12"/>
      <c r="I569" s="12"/>
      <c r="J569" s="12"/>
      <c r="K569" s="12"/>
      <c r="L569" s="12"/>
      <c r="M569" s="12"/>
      <c r="N569" s="12"/>
      <c r="O569" s="12"/>
      <c r="P569" s="12"/>
      <c r="Q569" s="12"/>
      <c r="R569" s="12"/>
      <c r="S569" s="12"/>
      <c r="T569" s="12"/>
      <c r="U569" s="12"/>
      <c r="V569" s="12"/>
      <c r="W569" s="12"/>
      <c r="X569" s="12"/>
    </row>
    <row r="570" spans="2:24">
      <c r="B570" s="12"/>
      <c r="C570" s="12"/>
      <c r="D570" s="12"/>
      <c r="E570" s="12"/>
      <c r="F570" s="12"/>
      <c r="G570" s="12"/>
      <c r="H570" s="12"/>
      <c r="I570" s="12"/>
      <c r="J570" s="12"/>
      <c r="K570" s="12"/>
      <c r="L570" s="12"/>
      <c r="M570" s="12"/>
      <c r="N570" s="12"/>
      <c r="O570" s="12"/>
      <c r="P570" s="12"/>
      <c r="Q570" s="12"/>
      <c r="R570" s="12"/>
      <c r="S570" s="12"/>
      <c r="T570" s="12"/>
      <c r="U570" s="12"/>
      <c r="V570" s="12"/>
      <c r="W570" s="12"/>
      <c r="X570" s="12"/>
    </row>
    <row r="571" spans="2:24">
      <c r="B571" s="12"/>
      <c r="C571" s="12"/>
      <c r="D571" s="12"/>
      <c r="E571" s="12"/>
      <c r="F571" s="12"/>
      <c r="G571" s="12"/>
      <c r="H571" s="12"/>
      <c r="I571" s="12"/>
      <c r="J571" s="12"/>
      <c r="K571" s="12"/>
      <c r="L571" s="12"/>
      <c r="M571" s="12"/>
      <c r="N571" s="12"/>
      <c r="O571" s="12"/>
      <c r="P571" s="12"/>
      <c r="Q571" s="12"/>
      <c r="R571" s="12"/>
      <c r="S571" s="12"/>
      <c r="T571" s="12"/>
      <c r="U571" s="12"/>
      <c r="V571" s="12"/>
      <c r="W571" s="12"/>
      <c r="X571" s="12"/>
    </row>
    <row r="572" spans="2:24">
      <c r="B572" s="12"/>
      <c r="C572" s="12"/>
      <c r="D572" s="12"/>
      <c r="E572" s="12"/>
      <c r="F572" s="12"/>
      <c r="G572" s="12"/>
      <c r="H572" s="12"/>
      <c r="I572" s="12"/>
      <c r="J572" s="12"/>
      <c r="K572" s="12"/>
      <c r="L572" s="12"/>
      <c r="M572" s="12"/>
      <c r="N572" s="12"/>
      <c r="O572" s="12"/>
      <c r="P572" s="12"/>
      <c r="Q572" s="12"/>
      <c r="R572" s="12"/>
      <c r="S572" s="12"/>
      <c r="T572" s="12"/>
      <c r="U572" s="12"/>
      <c r="V572" s="12"/>
      <c r="W572" s="12"/>
      <c r="X572" s="12"/>
    </row>
    <row r="573" spans="2:24">
      <c r="B573" s="12"/>
      <c r="C573" s="12"/>
      <c r="D573" s="12"/>
      <c r="E573" s="12"/>
      <c r="F573" s="12"/>
      <c r="G573" s="12"/>
      <c r="H573" s="12"/>
      <c r="I573" s="12"/>
      <c r="J573" s="12"/>
      <c r="K573" s="12"/>
      <c r="L573" s="12"/>
      <c r="M573" s="12"/>
      <c r="N573" s="12"/>
      <c r="O573" s="12"/>
      <c r="P573" s="12"/>
      <c r="Q573" s="12"/>
      <c r="R573" s="12"/>
      <c r="S573" s="12"/>
      <c r="T573" s="12"/>
      <c r="U573" s="12"/>
      <c r="V573" s="12"/>
      <c r="W573" s="12"/>
      <c r="X573" s="12"/>
    </row>
    <row r="574" spans="2:24">
      <c r="B574" s="12"/>
      <c r="C574" s="12"/>
      <c r="D574" s="12"/>
      <c r="E574" s="12"/>
      <c r="F574" s="12"/>
      <c r="G574" s="12"/>
      <c r="H574" s="12"/>
      <c r="I574" s="12"/>
      <c r="J574" s="12"/>
      <c r="K574" s="12"/>
      <c r="L574" s="12"/>
      <c r="M574" s="12"/>
      <c r="N574" s="12"/>
      <c r="O574" s="12"/>
      <c r="P574" s="12"/>
      <c r="Q574" s="12"/>
      <c r="R574" s="12"/>
      <c r="S574" s="12"/>
      <c r="T574" s="12"/>
      <c r="U574" s="12"/>
      <c r="V574" s="12"/>
      <c r="W574" s="12"/>
      <c r="X574" s="12"/>
    </row>
    <row r="575" spans="2:24">
      <c r="B575" s="12"/>
      <c r="C575" s="12"/>
      <c r="D575" s="12"/>
      <c r="E575" s="12"/>
      <c r="F575" s="12"/>
      <c r="G575" s="12"/>
      <c r="H575" s="12"/>
      <c r="I575" s="12"/>
      <c r="J575" s="12"/>
      <c r="K575" s="12"/>
      <c r="L575" s="12"/>
      <c r="M575" s="12"/>
      <c r="N575" s="12"/>
      <c r="O575" s="12"/>
      <c r="P575" s="12"/>
      <c r="Q575" s="12"/>
      <c r="R575" s="12"/>
      <c r="S575" s="12"/>
      <c r="T575" s="12"/>
      <c r="U575" s="12"/>
      <c r="V575" s="12"/>
      <c r="W575" s="12"/>
      <c r="X575" s="12"/>
    </row>
    <row r="576" spans="2:24">
      <c r="B576" s="12"/>
      <c r="C576" s="12"/>
      <c r="D576" s="12"/>
      <c r="E576" s="12"/>
      <c r="F576" s="12"/>
      <c r="G576" s="12"/>
      <c r="H576" s="12"/>
      <c r="I576" s="12"/>
      <c r="J576" s="12"/>
      <c r="K576" s="12"/>
      <c r="L576" s="12"/>
      <c r="M576" s="12"/>
      <c r="N576" s="12"/>
      <c r="O576" s="12"/>
      <c r="P576" s="12"/>
      <c r="Q576" s="12"/>
      <c r="R576" s="12"/>
      <c r="S576" s="12"/>
      <c r="T576" s="12"/>
      <c r="U576" s="12"/>
      <c r="V576" s="12"/>
      <c r="W576" s="12"/>
      <c r="X576" s="12"/>
    </row>
    <row r="577" spans="2:24">
      <c r="B577" s="12"/>
      <c r="C577" s="12"/>
      <c r="D577" s="12"/>
      <c r="E577" s="12"/>
      <c r="F577" s="12"/>
      <c r="G577" s="12"/>
      <c r="H577" s="12"/>
      <c r="I577" s="12"/>
      <c r="J577" s="12"/>
      <c r="K577" s="12"/>
      <c r="L577" s="12"/>
      <c r="M577" s="12"/>
      <c r="N577" s="12"/>
      <c r="O577" s="12"/>
      <c r="P577" s="12"/>
      <c r="Q577" s="12"/>
      <c r="R577" s="12"/>
      <c r="S577" s="12"/>
      <c r="T577" s="12"/>
      <c r="U577" s="12"/>
      <c r="V577" s="12"/>
      <c r="W577" s="12"/>
      <c r="X577" s="12"/>
    </row>
    <row r="578" spans="2:24">
      <c r="B578" s="12"/>
      <c r="C578" s="12"/>
      <c r="D578" s="12"/>
      <c r="E578" s="12"/>
      <c r="F578" s="12"/>
      <c r="G578" s="12"/>
      <c r="H578" s="12"/>
      <c r="I578" s="12"/>
      <c r="J578" s="12"/>
      <c r="K578" s="12"/>
      <c r="L578" s="12"/>
      <c r="M578" s="12"/>
      <c r="N578" s="12"/>
      <c r="O578" s="12"/>
      <c r="P578" s="12"/>
      <c r="Q578" s="12"/>
      <c r="R578" s="12"/>
      <c r="S578" s="12"/>
      <c r="T578" s="12"/>
      <c r="U578" s="12"/>
      <c r="V578" s="12"/>
      <c r="W578" s="12"/>
      <c r="X578" s="12"/>
    </row>
    <row r="579" spans="2:24">
      <c r="B579" s="12"/>
      <c r="C579" s="12"/>
      <c r="D579" s="12"/>
      <c r="E579" s="12"/>
      <c r="F579" s="12"/>
      <c r="G579" s="12"/>
      <c r="H579" s="12"/>
      <c r="I579" s="12"/>
      <c r="J579" s="12"/>
      <c r="K579" s="12"/>
      <c r="L579" s="12"/>
      <c r="M579" s="12"/>
      <c r="N579" s="12"/>
      <c r="O579" s="12"/>
      <c r="P579" s="12"/>
      <c r="Q579" s="12"/>
      <c r="R579" s="12"/>
      <c r="S579" s="12"/>
      <c r="T579" s="12"/>
      <c r="U579" s="12"/>
      <c r="V579" s="12"/>
      <c r="W579" s="12"/>
      <c r="X579" s="12"/>
    </row>
    <row r="580" spans="2:24">
      <c r="B580" s="12"/>
      <c r="C580" s="12"/>
      <c r="D580" s="12"/>
      <c r="E580" s="12"/>
      <c r="F580" s="12"/>
      <c r="G580" s="12"/>
      <c r="H580" s="12"/>
      <c r="I580" s="12"/>
      <c r="J580" s="12"/>
      <c r="K580" s="12"/>
      <c r="L580" s="12"/>
      <c r="M580" s="12"/>
      <c r="N580" s="12"/>
      <c r="O580" s="12"/>
      <c r="P580" s="12"/>
      <c r="Q580" s="12"/>
      <c r="R580" s="12"/>
      <c r="S580" s="12"/>
      <c r="T580" s="12"/>
      <c r="U580" s="12"/>
      <c r="V580" s="12"/>
      <c r="W580" s="12"/>
      <c r="X580" s="12"/>
    </row>
    <row r="581" spans="2:24">
      <c r="B581" s="12"/>
      <c r="C581" s="12"/>
      <c r="D581" s="12"/>
      <c r="E581" s="12"/>
      <c r="F581" s="12"/>
      <c r="G581" s="12"/>
      <c r="H581" s="12"/>
      <c r="I581" s="12"/>
      <c r="J581" s="12"/>
      <c r="K581" s="12"/>
      <c r="L581" s="12"/>
      <c r="M581" s="12"/>
      <c r="N581" s="12"/>
      <c r="O581" s="12"/>
      <c r="P581" s="12"/>
      <c r="Q581" s="12"/>
      <c r="R581" s="12"/>
      <c r="S581" s="12"/>
      <c r="T581" s="12"/>
      <c r="U581" s="12"/>
      <c r="V581" s="12"/>
      <c r="W581" s="12"/>
      <c r="X581" s="12"/>
    </row>
    <row r="582" spans="2:24">
      <c r="B582" s="12"/>
      <c r="C582" s="12"/>
      <c r="D582" s="12"/>
      <c r="E582" s="12"/>
      <c r="F582" s="12"/>
      <c r="G582" s="12"/>
      <c r="H582" s="12"/>
      <c r="I582" s="12"/>
      <c r="J582" s="12"/>
      <c r="K582" s="12"/>
      <c r="L582" s="12"/>
      <c r="M582" s="12"/>
      <c r="N582" s="12"/>
      <c r="O582" s="12"/>
      <c r="P582" s="12"/>
      <c r="Q582" s="12"/>
      <c r="R582" s="12"/>
      <c r="S582" s="12"/>
      <c r="T582" s="12"/>
      <c r="U582" s="12"/>
      <c r="V582" s="12"/>
      <c r="W582" s="12"/>
      <c r="X582" s="12"/>
    </row>
    <row r="583" spans="2:24">
      <c r="B583" s="12"/>
      <c r="C583" s="12"/>
      <c r="D583" s="12"/>
      <c r="E583" s="12"/>
      <c r="F583" s="12"/>
      <c r="G583" s="12"/>
      <c r="H583" s="12"/>
      <c r="I583" s="12"/>
      <c r="J583" s="12"/>
      <c r="K583" s="12"/>
      <c r="L583" s="12"/>
      <c r="M583" s="12"/>
      <c r="N583" s="12"/>
      <c r="O583" s="12"/>
      <c r="P583" s="12"/>
      <c r="Q583" s="12"/>
      <c r="R583" s="12"/>
      <c r="S583" s="12"/>
      <c r="T583" s="12"/>
      <c r="U583" s="12"/>
      <c r="V583" s="12"/>
      <c r="W583" s="12"/>
      <c r="X583" s="12"/>
    </row>
    <row r="584" spans="2:24">
      <c r="B584" s="12"/>
      <c r="C584" s="12"/>
      <c r="D584" s="12"/>
      <c r="E584" s="12"/>
      <c r="F584" s="12"/>
      <c r="G584" s="12"/>
      <c r="H584" s="12"/>
      <c r="I584" s="12"/>
      <c r="J584" s="12"/>
      <c r="K584" s="12"/>
      <c r="L584" s="12"/>
      <c r="M584" s="12"/>
      <c r="N584" s="12"/>
      <c r="O584" s="12"/>
      <c r="P584" s="12"/>
      <c r="Q584" s="12"/>
      <c r="R584" s="12"/>
      <c r="S584" s="12"/>
      <c r="T584" s="12"/>
      <c r="U584" s="12"/>
      <c r="V584" s="12"/>
      <c r="W584" s="12"/>
      <c r="X584" s="12"/>
    </row>
    <row r="585" spans="2:24">
      <c r="B585" s="12"/>
      <c r="C585" s="12"/>
      <c r="D585" s="12"/>
      <c r="E585" s="12"/>
      <c r="F585" s="12"/>
      <c r="G585" s="12"/>
      <c r="H585" s="12"/>
      <c r="I585" s="12"/>
      <c r="J585" s="12"/>
      <c r="K585" s="12"/>
      <c r="L585" s="12"/>
      <c r="M585" s="12"/>
      <c r="N585" s="12"/>
      <c r="O585" s="12"/>
      <c r="P585" s="12"/>
      <c r="Q585" s="12"/>
      <c r="R585" s="12"/>
      <c r="S585" s="12"/>
      <c r="T585" s="12"/>
      <c r="U585" s="12"/>
      <c r="V585" s="12"/>
      <c r="W585" s="12"/>
      <c r="X585" s="12"/>
    </row>
    <row r="586" spans="2:24">
      <c r="B586" s="12"/>
      <c r="C586" s="12"/>
      <c r="D586" s="12"/>
      <c r="E586" s="12"/>
      <c r="F586" s="12"/>
      <c r="G586" s="12"/>
      <c r="H586" s="12"/>
      <c r="I586" s="12"/>
      <c r="J586" s="12"/>
      <c r="K586" s="12"/>
      <c r="L586" s="12"/>
      <c r="M586" s="12"/>
      <c r="N586" s="12"/>
      <c r="O586" s="12"/>
      <c r="P586" s="12"/>
      <c r="Q586" s="12"/>
      <c r="R586" s="12"/>
      <c r="S586" s="12"/>
      <c r="T586" s="12"/>
      <c r="U586" s="12"/>
      <c r="V586" s="12"/>
      <c r="W586" s="12"/>
      <c r="X586" s="12"/>
    </row>
    <row r="587" spans="2:24">
      <c r="B587" s="12"/>
      <c r="C587" s="12"/>
      <c r="D587" s="12"/>
      <c r="E587" s="12"/>
      <c r="F587" s="12"/>
      <c r="G587" s="12"/>
      <c r="H587" s="12"/>
      <c r="I587" s="12"/>
      <c r="J587" s="12"/>
      <c r="K587" s="12"/>
      <c r="L587" s="12"/>
      <c r="M587" s="12"/>
      <c r="N587" s="12"/>
      <c r="O587" s="12"/>
      <c r="P587" s="12"/>
      <c r="Q587" s="12"/>
      <c r="R587" s="12"/>
      <c r="S587" s="12"/>
      <c r="T587" s="12"/>
      <c r="U587" s="12"/>
      <c r="V587" s="12"/>
      <c r="W587" s="12"/>
      <c r="X587" s="12"/>
    </row>
    <row r="588" spans="2:24">
      <c r="B588" s="12"/>
      <c r="C588" s="12"/>
      <c r="D588" s="12"/>
      <c r="E588" s="12"/>
      <c r="F588" s="12"/>
      <c r="G588" s="12"/>
      <c r="H588" s="12"/>
      <c r="I588" s="12"/>
      <c r="J588" s="12"/>
      <c r="K588" s="12"/>
      <c r="L588" s="12"/>
      <c r="M588" s="12"/>
      <c r="N588" s="12"/>
      <c r="O588" s="12"/>
      <c r="P588" s="12"/>
      <c r="Q588" s="12"/>
      <c r="R588" s="12"/>
      <c r="S588" s="12"/>
      <c r="T588" s="12"/>
      <c r="U588" s="12"/>
      <c r="V588" s="12"/>
      <c r="W588" s="12"/>
      <c r="X588" s="12"/>
    </row>
    <row r="589" spans="2:24">
      <c r="B589" s="12"/>
      <c r="C589" s="12"/>
      <c r="D589" s="12"/>
      <c r="E589" s="12"/>
      <c r="F589" s="12"/>
      <c r="G589" s="12"/>
      <c r="H589" s="12"/>
      <c r="I589" s="12"/>
      <c r="J589" s="12"/>
      <c r="K589" s="12"/>
      <c r="L589" s="12"/>
      <c r="M589" s="12"/>
      <c r="N589" s="12"/>
      <c r="O589" s="12"/>
      <c r="P589" s="12"/>
      <c r="Q589" s="12"/>
      <c r="R589" s="12"/>
      <c r="S589" s="12"/>
      <c r="T589" s="12"/>
      <c r="U589" s="12"/>
      <c r="V589" s="12"/>
      <c r="W589" s="12"/>
      <c r="X589" s="12"/>
    </row>
    <row r="590" spans="2:24">
      <c r="B590" s="12"/>
      <c r="C590" s="12"/>
      <c r="D590" s="12"/>
      <c r="E590" s="12"/>
      <c r="F590" s="12"/>
      <c r="G590" s="12"/>
      <c r="H590" s="12"/>
      <c r="I590" s="12"/>
      <c r="J590" s="12"/>
      <c r="K590" s="12"/>
      <c r="L590" s="12"/>
      <c r="M590" s="12"/>
      <c r="N590" s="12"/>
      <c r="O590" s="12"/>
      <c r="P590" s="12"/>
      <c r="Q590" s="12"/>
      <c r="R590" s="12"/>
      <c r="S590" s="12"/>
      <c r="T590" s="12"/>
      <c r="U590" s="12"/>
      <c r="V590" s="12"/>
      <c r="W590" s="12"/>
      <c r="X590" s="12"/>
    </row>
    <row r="591" spans="2:24">
      <c r="B591" s="12"/>
      <c r="C591" s="12"/>
      <c r="D591" s="12"/>
      <c r="E591" s="12"/>
      <c r="F591" s="12"/>
      <c r="G591" s="12"/>
      <c r="H591" s="12"/>
      <c r="I591" s="12"/>
      <c r="J591" s="12"/>
      <c r="K591" s="12"/>
      <c r="L591" s="12"/>
      <c r="M591" s="12"/>
      <c r="N591" s="12"/>
      <c r="O591" s="12"/>
      <c r="P591" s="12"/>
      <c r="Q591" s="12"/>
      <c r="R591" s="12"/>
      <c r="S591" s="12"/>
      <c r="T591" s="12"/>
      <c r="U591" s="12"/>
      <c r="V591" s="12"/>
      <c r="W591" s="12"/>
      <c r="X591" s="12"/>
    </row>
    <row r="592" spans="2:24">
      <c r="B592" s="12"/>
      <c r="C592" s="12"/>
      <c r="D592" s="12"/>
      <c r="E592" s="12"/>
      <c r="F592" s="12"/>
      <c r="G592" s="12"/>
      <c r="H592" s="12"/>
      <c r="I592" s="12"/>
      <c r="J592" s="12"/>
      <c r="K592" s="12"/>
      <c r="L592" s="12"/>
      <c r="M592" s="12"/>
      <c r="N592" s="12"/>
      <c r="O592" s="12"/>
      <c r="P592" s="12"/>
      <c r="Q592" s="12"/>
      <c r="R592" s="12"/>
      <c r="S592" s="12"/>
      <c r="T592" s="12"/>
      <c r="U592" s="12"/>
      <c r="V592" s="12"/>
      <c r="W592" s="12"/>
      <c r="X592" s="12"/>
    </row>
    <row r="593" spans="2:24">
      <c r="B593" s="12"/>
      <c r="C593" s="12"/>
      <c r="D593" s="12"/>
      <c r="E593" s="12"/>
      <c r="F593" s="12"/>
      <c r="G593" s="12"/>
      <c r="H593" s="12"/>
      <c r="I593" s="12"/>
      <c r="J593" s="12"/>
      <c r="K593" s="12"/>
      <c r="L593" s="12"/>
      <c r="M593" s="12"/>
      <c r="N593" s="12"/>
      <c r="O593" s="12"/>
      <c r="P593" s="12"/>
      <c r="Q593" s="12"/>
      <c r="R593" s="12"/>
      <c r="S593" s="12"/>
      <c r="T593" s="12"/>
      <c r="U593" s="12"/>
      <c r="V593" s="12"/>
      <c r="W593" s="12"/>
      <c r="X593" s="12"/>
    </row>
    <row r="594" spans="2:24">
      <c r="B594" s="12"/>
      <c r="C594" s="12"/>
      <c r="D594" s="12"/>
      <c r="E594" s="12"/>
      <c r="F594" s="12"/>
      <c r="G594" s="12"/>
      <c r="H594" s="12"/>
      <c r="I594" s="12"/>
      <c r="J594" s="12"/>
      <c r="K594" s="12"/>
      <c r="L594" s="12"/>
      <c r="M594" s="12"/>
      <c r="N594" s="12"/>
      <c r="O594" s="12"/>
      <c r="P594" s="12"/>
      <c r="Q594" s="12"/>
      <c r="R594" s="12"/>
      <c r="S594" s="12"/>
      <c r="T594" s="12"/>
      <c r="U594" s="12"/>
      <c r="V594" s="12"/>
      <c r="W594" s="12"/>
      <c r="X594" s="12"/>
    </row>
    <row r="595" spans="2:24">
      <c r="B595" s="12"/>
      <c r="C595" s="12"/>
      <c r="D595" s="12"/>
      <c r="E595" s="12"/>
      <c r="F595" s="12"/>
      <c r="G595" s="12"/>
      <c r="H595" s="12"/>
      <c r="I595" s="12"/>
      <c r="J595" s="12"/>
      <c r="K595" s="12"/>
      <c r="L595" s="12"/>
      <c r="M595" s="12"/>
      <c r="N595" s="12"/>
      <c r="O595" s="12"/>
      <c r="P595" s="12"/>
      <c r="Q595" s="12"/>
      <c r="R595" s="12"/>
      <c r="S595" s="12"/>
      <c r="T595" s="12"/>
      <c r="U595" s="12"/>
      <c r="V595" s="12"/>
      <c r="W595" s="12"/>
      <c r="X595" s="12"/>
    </row>
    <row r="596" spans="2:24">
      <c r="B596" s="12"/>
      <c r="C596" s="12"/>
      <c r="D596" s="12"/>
      <c r="E596" s="12"/>
      <c r="F596" s="12"/>
      <c r="G596" s="12"/>
      <c r="H596" s="12"/>
      <c r="I596" s="12"/>
      <c r="J596" s="12"/>
      <c r="K596" s="12"/>
      <c r="L596" s="12"/>
      <c r="M596" s="12"/>
      <c r="N596" s="12"/>
      <c r="O596" s="12"/>
      <c r="P596" s="12"/>
      <c r="Q596" s="12"/>
      <c r="R596" s="12"/>
      <c r="S596" s="12"/>
      <c r="T596" s="12"/>
      <c r="U596" s="12"/>
      <c r="V596" s="12"/>
      <c r="W596" s="12"/>
      <c r="X596" s="12"/>
    </row>
    <row r="597" spans="2:24">
      <c r="B597" s="12"/>
      <c r="C597" s="12"/>
      <c r="D597" s="12"/>
      <c r="E597" s="12"/>
      <c r="F597" s="12"/>
      <c r="G597" s="12"/>
      <c r="H597" s="12"/>
      <c r="I597" s="12"/>
      <c r="J597" s="12"/>
      <c r="K597" s="12"/>
      <c r="L597" s="12"/>
      <c r="M597" s="12"/>
      <c r="N597" s="12"/>
      <c r="O597" s="12"/>
      <c r="P597" s="12"/>
      <c r="Q597" s="12"/>
      <c r="R597" s="12"/>
      <c r="S597" s="12"/>
      <c r="T597" s="12"/>
      <c r="U597" s="12"/>
      <c r="V597" s="12"/>
      <c r="W597" s="12"/>
      <c r="X597" s="12"/>
    </row>
    <row r="598" spans="2:24">
      <c r="B598" s="12"/>
      <c r="C598" s="12"/>
      <c r="D598" s="12"/>
      <c r="E598" s="12"/>
      <c r="F598" s="12"/>
      <c r="G598" s="12"/>
      <c r="H598" s="12"/>
      <c r="I598" s="12"/>
      <c r="J598" s="12"/>
      <c r="K598" s="12"/>
      <c r="L598" s="12"/>
      <c r="M598" s="12"/>
      <c r="N598" s="12"/>
      <c r="O598" s="12"/>
      <c r="P598" s="12"/>
      <c r="Q598" s="12"/>
      <c r="R598" s="12"/>
      <c r="S598" s="12"/>
      <c r="T598" s="12"/>
      <c r="U598" s="12"/>
      <c r="V598" s="12"/>
      <c r="W598" s="12"/>
      <c r="X598" s="12"/>
    </row>
    <row r="599" spans="2:24">
      <c r="B599" s="12"/>
      <c r="C599" s="12"/>
      <c r="D599" s="12"/>
      <c r="E599" s="12"/>
      <c r="F599" s="12"/>
      <c r="G599" s="12"/>
      <c r="H599" s="12"/>
      <c r="I599" s="12"/>
      <c r="J599" s="12"/>
      <c r="K599" s="12"/>
      <c r="L599" s="12"/>
      <c r="M599" s="12"/>
      <c r="N599" s="12"/>
      <c r="O599" s="12"/>
      <c r="P599" s="12"/>
      <c r="Q599" s="12"/>
      <c r="R599" s="12"/>
      <c r="S599" s="12"/>
      <c r="T599" s="12"/>
      <c r="U599" s="12"/>
      <c r="V599" s="12"/>
      <c r="W599" s="12"/>
      <c r="X599" s="12"/>
    </row>
    <row r="600" spans="2:24">
      <c r="B600" s="12"/>
      <c r="C600" s="12"/>
      <c r="D600" s="12"/>
      <c r="E600" s="12"/>
      <c r="F600" s="12"/>
      <c r="G600" s="12"/>
      <c r="H600" s="12"/>
      <c r="I600" s="12"/>
      <c r="J600" s="12"/>
      <c r="K600" s="12"/>
      <c r="L600" s="12"/>
      <c r="M600" s="12"/>
      <c r="N600" s="12"/>
      <c r="O600" s="12"/>
      <c r="P600" s="12"/>
      <c r="Q600" s="12"/>
      <c r="R600" s="12"/>
      <c r="S600" s="12"/>
      <c r="T600" s="12"/>
      <c r="U600" s="12"/>
      <c r="V600" s="12"/>
      <c r="W600" s="12"/>
      <c r="X600" s="12"/>
    </row>
    <row r="601" spans="2:24">
      <c r="B601" s="12"/>
      <c r="C601" s="12"/>
      <c r="D601" s="12"/>
      <c r="E601" s="12"/>
      <c r="F601" s="12"/>
      <c r="G601" s="12"/>
      <c r="H601" s="12"/>
      <c r="I601" s="12"/>
      <c r="J601" s="12"/>
      <c r="K601" s="12"/>
      <c r="L601" s="12"/>
      <c r="M601" s="12"/>
      <c r="N601" s="12"/>
      <c r="O601" s="12"/>
      <c r="P601" s="12"/>
      <c r="Q601" s="12"/>
      <c r="R601" s="12"/>
      <c r="S601" s="12"/>
      <c r="T601" s="12"/>
      <c r="U601" s="12"/>
      <c r="V601" s="12"/>
      <c r="W601" s="12"/>
      <c r="X601" s="12"/>
    </row>
    <row r="602" spans="2:24">
      <c r="B602" s="12"/>
      <c r="C602" s="12"/>
      <c r="D602" s="12"/>
      <c r="E602" s="12"/>
      <c r="F602" s="12"/>
      <c r="G602" s="12"/>
      <c r="H602" s="12"/>
      <c r="I602" s="12"/>
      <c r="J602" s="12"/>
      <c r="K602" s="12"/>
      <c r="L602" s="12"/>
      <c r="M602" s="12"/>
      <c r="N602" s="12"/>
      <c r="O602" s="12"/>
      <c r="P602" s="12"/>
      <c r="Q602" s="12"/>
      <c r="R602" s="12"/>
      <c r="S602" s="12"/>
      <c r="T602" s="12"/>
      <c r="U602" s="12"/>
      <c r="V602" s="12"/>
      <c r="W602" s="12"/>
      <c r="X602" s="12"/>
    </row>
    <row r="603" spans="2:24">
      <c r="B603" s="12"/>
      <c r="C603" s="12"/>
      <c r="D603" s="12"/>
      <c r="E603" s="12"/>
      <c r="F603" s="12"/>
      <c r="G603" s="12"/>
      <c r="H603" s="12"/>
      <c r="I603" s="12"/>
      <c r="J603" s="12"/>
      <c r="K603" s="12"/>
      <c r="L603" s="12"/>
      <c r="M603" s="12"/>
      <c r="N603" s="12"/>
      <c r="O603" s="12"/>
      <c r="P603" s="12"/>
      <c r="Q603" s="12"/>
      <c r="R603" s="12"/>
      <c r="S603" s="12"/>
      <c r="T603" s="12"/>
      <c r="U603" s="12"/>
      <c r="V603" s="12"/>
      <c r="W603" s="12"/>
      <c r="X603" s="12"/>
    </row>
    <row r="604" spans="2:24">
      <c r="B604" s="12"/>
      <c r="C604" s="12"/>
      <c r="D604" s="12"/>
      <c r="E604" s="12"/>
      <c r="F604" s="12"/>
      <c r="G604" s="12"/>
      <c r="H604" s="12"/>
      <c r="I604" s="12"/>
      <c r="J604" s="12"/>
      <c r="K604" s="12"/>
      <c r="L604" s="12"/>
      <c r="M604" s="12"/>
      <c r="N604" s="12"/>
      <c r="O604" s="12"/>
      <c r="P604" s="12"/>
      <c r="Q604" s="12"/>
      <c r="R604" s="12"/>
      <c r="S604" s="12"/>
      <c r="T604" s="12"/>
      <c r="U604" s="12"/>
      <c r="V604" s="12"/>
      <c r="W604" s="12"/>
      <c r="X604" s="12"/>
    </row>
    <row r="605" spans="2:24">
      <c r="B605" s="12"/>
      <c r="C605" s="12"/>
      <c r="D605" s="12"/>
      <c r="E605" s="12"/>
      <c r="F605" s="12"/>
      <c r="G605" s="12"/>
      <c r="H605" s="12"/>
      <c r="I605" s="12"/>
      <c r="J605" s="12"/>
      <c r="K605" s="12"/>
      <c r="L605" s="12"/>
      <c r="M605" s="12"/>
      <c r="N605" s="12"/>
      <c r="O605" s="12"/>
      <c r="P605" s="12"/>
      <c r="Q605" s="12"/>
      <c r="R605" s="12"/>
      <c r="S605" s="12"/>
      <c r="T605" s="12"/>
      <c r="U605" s="12"/>
      <c r="V605" s="12"/>
      <c r="W605" s="12"/>
      <c r="X605" s="12"/>
    </row>
    <row r="606" spans="2:24">
      <c r="B606" s="12"/>
      <c r="C606" s="12"/>
      <c r="D606" s="12"/>
      <c r="E606" s="12"/>
      <c r="F606" s="12"/>
      <c r="G606" s="12"/>
      <c r="H606" s="12"/>
      <c r="I606" s="12"/>
      <c r="J606" s="12"/>
      <c r="K606" s="12"/>
      <c r="L606" s="12"/>
      <c r="M606" s="12"/>
      <c r="N606" s="12"/>
      <c r="O606" s="12"/>
      <c r="P606" s="12"/>
      <c r="Q606" s="12"/>
      <c r="R606" s="12"/>
      <c r="S606" s="12"/>
      <c r="T606" s="12"/>
      <c r="U606" s="12"/>
      <c r="V606" s="12"/>
      <c r="W606" s="12"/>
      <c r="X606" s="12"/>
    </row>
    <row r="607" spans="2:24">
      <c r="B607" s="12"/>
      <c r="C607" s="12"/>
      <c r="D607" s="12"/>
      <c r="E607" s="12"/>
      <c r="F607" s="12"/>
      <c r="G607" s="12"/>
      <c r="H607" s="12"/>
      <c r="I607" s="12"/>
      <c r="J607" s="12"/>
      <c r="K607" s="12"/>
      <c r="L607" s="12"/>
      <c r="M607" s="12"/>
      <c r="N607" s="12"/>
      <c r="O607" s="12"/>
      <c r="P607" s="12"/>
      <c r="Q607" s="12"/>
      <c r="R607" s="12"/>
      <c r="S607" s="12"/>
      <c r="T607" s="12"/>
      <c r="U607" s="12"/>
      <c r="V607" s="12"/>
      <c r="W607" s="12"/>
      <c r="X607" s="12"/>
    </row>
    <row r="608" spans="2:24">
      <c r="B608" s="12"/>
      <c r="C608" s="12"/>
      <c r="D608" s="12"/>
      <c r="E608" s="12"/>
      <c r="F608" s="12"/>
      <c r="G608" s="12"/>
      <c r="H608" s="12"/>
      <c r="I608" s="12"/>
      <c r="J608" s="12"/>
      <c r="K608" s="12"/>
      <c r="L608" s="12"/>
      <c r="M608" s="12"/>
      <c r="N608" s="12"/>
      <c r="O608" s="12"/>
      <c r="P608" s="12"/>
      <c r="Q608" s="12"/>
      <c r="R608" s="12"/>
      <c r="S608" s="12"/>
      <c r="T608" s="12"/>
      <c r="U608" s="12"/>
      <c r="V608" s="12"/>
      <c r="W608" s="12"/>
      <c r="X608" s="12"/>
    </row>
    <row r="609" spans="2:24">
      <c r="B609" s="12"/>
      <c r="C609" s="12"/>
      <c r="D609" s="12"/>
      <c r="E609" s="12"/>
      <c r="F609" s="12"/>
      <c r="G609" s="12"/>
      <c r="H609" s="12"/>
      <c r="I609" s="12"/>
      <c r="J609" s="12"/>
      <c r="K609" s="12"/>
      <c r="L609" s="12"/>
      <c r="M609" s="12"/>
      <c r="N609" s="12"/>
      <c r="O609" s="12"/>
      <c r="P609" s="12"/>
      <c r="Q609" s="12"/>
      <c r="R609" s="12"/>
      <c r="S609" s="12"/>
      <c r="T609" s="12"/>
      <c r="U609" s="12"/>
      <c r="V609" s="12"/>
      <c r="W609" s="12"/>
      <c r="X609" s="12"/>
    </row>
    <row r="610" spans="2:24">
      <c r="B610" s="12"/>
      <c r="C610" s="12"/>
      <c r="D610" s="12"/>
      <c r="E610" s="12"/>
      <c r="F610" s="12"/>
      <c r="G610" s="12"/>
      <c r="H610" s="12"/>
      <c r="I610" s="12"/>
      <c r="J610" s="12"/>
      <c r="K610" s="12"/>
      <c r="L610" s="12"/>
      <c r="M610" s="12"/>
      <c r="N610" s="12"/>
      <c r="O610" s="12"/>
      <c r="P610" s="12"/>
      <c r="Q610" s="12"/>
      <c r="R610" s="12"/>
      <c r="S610" s="12"/>
      <c r="T610" s="12"/>
      <c r="U610" s="12"/>
      <c r="V610" s="12"/>
      <c r="W610" s="12"/>
      <c r="X610" s="12"/>
    </row>
    <row r="611" spans="2:24">
      <c r="B611" s="12"/>
      <c r="C611" s="12"/>
      <c r="D611" s="12"/>
      <c r="E611" s="12"/>
      <c r="F611" s="12"/>
      <c r="G611" s="12"/>
      <c r="H611" s="12"/>
      <c r="I611" s="12"/>
      <c r="J611" s="12"/>
      <c r="K611" s="12"/>
      <c r="L611" s="12"/>
      <c r="M611" s="12"/>
      <c r="N611" s="12"/>
      <c r="O611" s="12"/>
      <c r="P611" s="12"/>
      <c r="Q611" s="12"/>
      <c r="R611" s="12"/>
      <c r="S611" s="12"/>
      <c r="T611" s="12"/>
      <c r="U611" s="12"/>
      <c r="V611" s="12"/>
      <c r="W611" s="12"/>
      <c r="X611" s="12"/>
    </row>
    <row r="612" spans="2:24">
      <c r="B612" s="12"/>
      <c r="C612" s="12"/>
      <c r="D612" s="12"/>
      <c r="E612" s="12"/>
      <c r="F612" s="12"/>
      <c r="G612" s="12"/>
      <c r="H612" s="12"/>
      <c r="I612" s="12"/>
      <c r="J612" s="12"/>
      <c r="K612" s="12"/>
      <c r="L612" s="12"/>
      <c r="M612" s="12"/>
      <c r="N612" s="12"/>
      <c r="O612" s="12"/>
      <c r="P612" s="12"/>
      <c r="Q612" s="12"/>
      <c r="R612" s="12"/>
      <c r="S612" s="12"/>
      <c r="T612" s="12"/>
      <c r="U612" s="12"/>
      <c r="V612" s="12"/>
      <c r="W612" s="12"/>
      <c r="X612" s="12"/>
    </row>
    <row r="613" spans="2:24">
      <c r="B613" s="12"/>
      <c r="C613" s="12"/>
      <c r="D613" s="12"/>
      <c r="E613" s="12"/>
      <c r="F613" s="12"/>
      <c r="G613" s="12"/>
      <c r="H613" s="12"/>
      <c r="I613" s="12"/>
      <c r="J613" s="12"/>
      <c r="K613" s="12"/>
      <c r="L613" s="12"/>
      <c r="M613" s="12"/>
      <c r="N613" s="12"/>
      <c r="O613" s="12"/>
      <c r="P613" s="12"/>
      <c r="Q613" s="12"/>
      <c r="R613" s="12"/>
      <c r="S613" s="12"/>
      <c r="T613" s="12"/>
      <c r="U613" s="12"/>
      <c r="V613" s="12"/>
      <c r="W613" s="12"/>
      <c r="X613" s="12"/>
    </row>
    <row r="614" spans="2:24">
      <c r="B614" s="12"/>
      <c r="C614" s="12"/>
      <c r="D614" s="12"/>
      <c r="E614" s="12"/>
      <c r="F614" s="12"/>
      <c r="G614" s="12"/>
      <c r="H614" s="12"/>
      <c r="I614" s="12"/>
      <c r="J614" s="12"/>
      <c r="K614" s="12"/>
      <c r="L614" s="12"/>
      <c r="M614" s="12"/>
      <c r="N614" s="12"/>
      <c r="O614" s="12"/>
      <c r="P614" s="12"/>
      <c r="Q614" s="12"/>
      <c r="R614" s="12"/>
      <c r="S614" s="12"/>
      <c r="T614" s="12"/>
      <c r="U614" s="12"/>
      <c r="V614" s="12"/>
      <c r="W614" s="12"/>
      <c r="X614" s="12"/>
    </row>
    <row r="615" spans="2:24">
      <c r="B615" s="12"/>
      <c r="C615" s="12"/>
      <c r="D615" s="12"/>
      <c r="E615" s="12"/>
      <c r="F615" s="12"/>
      <c r="G615" s="12"/>
      <c r="H615" s="12"/>
      <c r="I615" s="12"/>
      <c r="J615" s="12"/>
      <c r="K615" s="12"/>
      <c r="L615" s="12"/>
      <c r="M615" s="12"/>
      <c r="N615" s="12"/>
      <c r="O615" s="12"/>
      <c r="P615" s="12"/>
      <c r="Q615" s="12"/>
      <c r="R615" s="12"/>
      <c r="S615" s="12"/>
      <c r="T615" s="12"/>
      <c r="U615" s="12"/>
      <c r="V615" s="12"/>
      <c r="W615" s="12"/>
      <c r="X615" s="12"/>
    </row>
    <row r="616" spans="2:24">
      <c r="B616" s="12"/>
      <c r="C616" s="12"/>
      <c r="D616" s="12"/>
      <c r="E616" s="12"/>
      <c r="F616" s="12"/>
      <c r="G616" s="12"/>
      <c r="H616" s="12"/>
      <c r="I616" s="12"/>
      <c r="J616" s="12"/>
      <c r="K616" s="12"/>
      <c r="L616" s="12"/>
      <c r="M616" s="12"/>
      <c r="N616" s="12"/>
      <c r="O616" s="12"/>
      <c r="P616" s="12"/>
      <c r="Q616" s="12"/>
      <c r="R616" s="12"/>
      <c r="S616" s="12"/>
      <c r="T616" s="12"/>
      <c r="U616" s="12"/>
      <c r="V616" s="12"/>
      <c r="W616" s="12"/>
      <c r="X616" s="12"/>
    </row>
    <row r="617" spans="2:24">
      <c r="B617" s="12"/>
      <c r="C617" s="12"/>
      <c r="D617" s="12"/>
      <c r="E617" s="12"/>
      <c r="F617" s="12"/>
      <c r="G617" s="12"/>
      <c r="H617" s="12"/>
      <c r="I617" s="12"/>
      <c r="J617" s="12"/>
      <c r="K617" s="12"/>
      <c r="L617" s="12"/>
      <c r="M617" s="12"/>
      <c r="N617" s="12"/>
      <c r="O617" s="12"/>
      <c r="P617" s="12"/>
      <c r="Q617" s="12"/>
      <c r="R617" s="12"/>
      <c r="S617" s="12"/>
      <c r="T617" s="12"/>
      <c r="U617" s="12"/>
      <c r="V617" s="12"/>
      <c r="W617" s="12"/>
      <c r="X617" s="12"/>
    </row>
    <row r="618" spans="2:24">
      <c r="B618" s="12"/>
      <c r="C618" s="12"/>
      <c r="D618" s="12"/>
      <c r="E618" s="12"/>
      <c r="F618" s="12"/>
      <c r="G618" s="12"/>
      <c r="H618" s="12"/>
      <c r="I618" s="12"/>
      <c r="J618" s="12"/>
      <c r="K618" s="12"/>
      <c r="L618" s="12"/>
      <c r="M618" s="12"/>
      <c r="N618" s="12"/>
      <c r="O618" s="12"/>
      <c r="P618" s="12"/>
      <c r="Q618" s="12"/>
      <c r="R618" s="12"/>
      <c r="S618" s="12"/>
      <c r="T618" s="12"/>
      <c r="U618" s="12"/>
      <c r="V618" s="12"/>
      <c r="W618" s="12"/>
      <c r="X618" s="12"/>
    </row>
    <row r="619" spans="2:24">
      <c r="B619" s="12"/>
      <c r="C619" s="12"/>
      <c r="D619" s="12"/>
      <c r="E619" s="12"/>
      <c r="F619" s="12"/>
      <c r="G619" s="12"/>
      <c r="H619" s="12"/>
      <c r="I619" s="12"/>
      <c r="J619" s="12"/>
      <c r="K619" s="12"/>
      <c r="L619" s="12"/>
      <c r="M619" s="12"/>
      <c r="N619" s="12"/>
      <c r="O619" s="12"/>
      <c r="P619" s="12"/>
      <c r="Q619" s="12"/>
      <c r="R619" s="12"/>
      <c r="S619" s="12"/>
      <c r="T619" s="12"/>
      <c r="U619" s="12"/>
      <c r="V619" s="12"/>
      <c r="W619" s="12"/>
      <c r="X619" s="12"/>
    </row>
    <row r="620" spans="2:24">
      <c r="B620" s="12"/>
      <c r="C620" s="12"/>
      <c r="D620" s="12"/>
      <c r="E620" s="12"/>
      <c r="F620" s="12"/>
      <c r="G620" s="12"/>
      <c r="H620" s="12"/>
      <c r="I620" s="12"/>
      <c r="J620" s="12"/>
      <c r="K620" s="12"/>
      <c r="L620" s="12"/>
      <c r="M620" s="12"/>
      <c r="N620" s="12"/>
      <c r="O620" s="12"/>
      <c r="P620" s="12"/>
      <c r="Q620" s="12"/>
      <c r="R620" s="12"/>
      <c r="S620" s="12"/>
      <c r="T620" s="12"/>
      <c r="U620" s="12"/>
      <c r="V620" s="12"/>
      <c r="W620" s="12"/>
      <c r="X620" s="12"/>
    </row>
    <row r="621" spans="2:24">
      <c r="B621" s="12"/>
      <c r="C621" s="12"/>
      <c r="D621" s="12"/>
      <c r="E621" s="12"/>
      <c r="F621" s="12"/>
      <c r="G621" s="12"/>
      <c r="H621" s="12"/>
      <c r="I621" s="12"/>
      <c r="J621" s="12"/>
      <c r="K621" s="12"/>
      <c r="L621" s="12"/>
      <c r="M621" s="12"/>
      <c r="N621" s="12"/>
      <c r="O621" s="12"/>
      <c r="P621" s="12"/>
      <c r="Q621" s="12"/>
      <c r="R621" s="12"/>
      <c r="S621" s="12"/>
      <c r="T621" s="12"/>
      <c r="U621" s="12"/>
      <c r="V621" s="12"/>
      <c r="W621" s="12"/>
      <c r="X621" s="12"/>
    </row>
    <row r="622" spans="2:24">
      <c r="B622" s="12"/>
      <c r="C622" s="12"/>
      <c r="D622" s="12"/>
      <c r="E622" s="12"/>
      <c r="F622" s="12"/>
      <c r="G622" s="12"/>
      <c r="H622" s="12"/>
      <c r="I622" s="12"/>
      <c r="J622" s="12"/>
      <c r="K622" s="12"/>
      <c r="L622" s="12"/>
      <c r="M622" s="12"/>
      <c r="N622" s="12"/>
      <c r="O622" s="12"/>
      <c r="P622" s="12"/>
      <c r="Q622" s="12"/>
      <c r="R622" s="12"/>
      <c r="S622" s="12"/>
      <c r="T622" s="12"/>
      <c r="U622" s="12"/>
      <c r="V622" s="12"/>
      <c r="W622" s="12"/>
      <c r="X622" s="12"/>
    </row>
    <row r="623" spans="2:24">
      <c r="B623" s="12"/>
      <c r="C623" s="12"/>
      <c r="D623" s="12"/>
      <c r="E623" s="12"/>
      <c r="F623" s="12"/>
      <c r="G623" s="12"/>
      <c r="H623" s="12"/>
      <c r="I623" s="12"/>
      <c r="J623" s="12"/>
      <c r="K623" s="12"/>
      <c r="L623" s="12"/>
      <c r="M623" s="12"/>
      <c r="N623" s="12"/>
      <c r="O623" s="12"/>
      <c r="P623" s="12"/>
      <c r="Q623" s="12"/>
      <c r="R623" s="12"/>
      <c r="S623" s="12"/>
      <c r="T623" s="12"/>
      <c r="U623" s="12"/>
      <c r="V623" s="12"/>
      <c r="W623" s="12"/>
      <c r="X623" s="12"/>
    </row>
    <row r="624" spans="2:24">
      <c r="B624" s="12"/>
      <c r="C624" s="12"/>
      <c r="D624" s="12"/>
      <c r="E624" s="12"/>
      <c r="F624" s="12"/>
      <c r="G624" s="12"/>
      <c r="H624" s="12"/>
      <c r="I624" s="12"/>
      <c r="J624" s="12"/>
      <c r="K624" s="12"/>
      <c r="L624" s="12"/>
      <c r="M624" s="12"/>
      <c r="N624" s="12"/>
      <c r="O624" s="12"/>
      <c r="P624" s="12"/>
      <c r="Q624" s="12"/>
      <c r="R624" s="12"/>
      <c r="S624" s="12"/>
      <c r="T624" s="12"/>
      <c r="U624" s="12"/>
      <c r="V624" s="12"/>
      <c r="W624" s="12"/>
      <c r="X624" s="12"/>
    </row>
    <row r="625" spans="2:24">
      <c r="B625" s="12"/>
      <c r="C625" s="12"/>
      <c r="D625" s="12"/>
      <c r="E625" s="12"/>
      <c r="F625" s="12"/>
      <c r="G625" s="12"/>
      <c r="H625" s="12"/>
      <c r="I625" s="12"/>
      <c r="J625" s="12"/>
      <c r="K625" s="12"/>
      <c r="L625" s="12"/>
      <c r="M625" s="12"/>
      <c r="N625" s="12"/>
      <c r="O625" s="12"/>
      <c r="P625" s="12"/>
      <c r="Q625" s="12"/>
      <c r="R625" s="12"/>
      <c r="S625" s="12"/>
      <c r="T625" s="12"/>
      <c r="U625" s="12"/>
      <c r="V625" s="12"/>
      <c r="W625" s="12"/>
      <c r="X625" s="12"/>
    </row>
    <row r="626" spans="2:24">
      <c r="B626" s="12"/>
      <c r="C626" s="12"/>
      <c r="D626" s="12"/>
      <c r="E626" s="12"/>
      <c r="F626" s="12"/>
      <c r="G626" s="12"/>
      <c r="H626" s="12"/>
      <c r="I626" s="12"/>
      <c r="J626" s="12"/>
      <c r="K626" s="12"/>
      <c r="L626" s="12"/>
      <c r="M626" s="12"/>
      <c r="N626" s="12"/>
      <c r="O626" s="12"/>
      <c r="P626" s="12"/>
      <c r="Q626" s="12"/>
      <c r="R626" s="12"/>
      <c r="S626" s="12"/>
      <c r="T626" s="12"/>
      <c r="U626" s="12"/>
      <c r="V626" s="12"/>
      <c r="W626" s="12"/>
      <c r="X626" s="12"/>
    </row>
    <row r="627" spans="2:24">
      <c r="B627" s="12"/>
      <c r="C627" s="12"/>
      <c r="D627" s="12"/>
      <c r="E627" s="12"/>
      <c r="F627" s="12"/>
      <c r="G627" s="12"/>
      <c r="H627" s="12"/>
      <c r="I627" s="12"/>
      <c r="J627" s="12"/>
      <c r="K627" s="12"/>
      <c r="L627" s="12"/>
      <c r="M627" s="12"/>
      <c r="N627" s="12"/>
      <c r="O627" s="12"/>
      <c r="P627" s="12"/>
      <c r="Q627" s="12"/>
      <c r="R627" s="12"/>
      <c r="S627" s="12"/>
      <c r="T627" s="12"/>
      <c r="U627" s="12"/>
      <c r="V627" s="12"/>
      <c r="W627" s="12"/>
      <c r="X627" s="12"/>
    </row>
    <row r="628" spans="2:24">
      <c r="B628" s="12"/>
      <c r="C628" s="12"/>
      <c r="D628" s="12"/>
      <c r="E628" s="12"/>
      <c r="F628" s="12"/>
      <c r="G628" s="12"/>
      <c r="H628" s="12"/>
      <c r="I628" s="12"/>
      <c r="J628" s="12"/>
      <c r="K628" s="12"/>
      <c r="L628" s="12"/>
      <c r="M628" s="12"/>
      <c r="N628" s="12"/>
      <c r="O628" s="12"/>
      <c r="P628" s="12"/>
      <c r="Q628" s="12"/>
      <c r="R628" s="12"/>
      <c r="S628" s="12"/>
      <c r="T628" s="12"/>
      <c r="U628" s="12"/>
      <c r="V628" s="12"/>
      <c r="W628" s="12"/>
      <c r="X628" s="12"/>
    </row>
    <row r="629" spans="2:24">
      <c r="B629" s="12"/>
      <c r="C629" s="12"/>
      <c r="D629" s="12"/>
      <c r="E629" s="12"/>
      <c r="F629" s="12"/>
      <c r="G629" s="12"/>
      <c r="H629" s="12"/>
      <c r="I629" s="12"/>
      <c r="J629" s="12"/>
      <c r="K629" s="12"/>
      <c r="L629" s="12"/>
      <c r="M629" s="12"/>
      <c r="N629" s="12"/>
      <c r="O629" s="12"/>
      <c r="P629" s="12"/>
      <c r="Q629" s="12"/>
      <c r="R629" s="12"/>
      <c r="S629" s="12"/>
      <c r="T629" s="12"/>
      <c r="U629" s="12"/>
      <c r="V629" s="12"/>
      <c r="W629" s="12"/>
      <c r="X629" s="12"/>
    </row>
    <row r="630" spans="2:24">
      <c r="B630" s="12"/>
      <c r="C630" s="12"/>
      <c r="D630" s="12"/>
      <c r="E630" s="12"/>
      <c r="F630" s="12"/>
      <c r="G630" s="12"/>
      <c r="H630" s="12"/>
      <c r="I630" s="12"/>
      <c r="J630" s="12"/>
      <c r="K630" s="12"/>
      <c r="L630" s="12"/>
      <c r="M630" s="12"/>
      <c r="N630" s="12"/>
      <c r="O630" s="12"/>
      <c r="P630" s="12"/>
      <c r="Q630" s="12"/>
      <c r="R630" s="12"/>
      <c r="S630" s="12"/>
      <c r="T630" s="12"/>
      <c r="U630" s="12"/>
      <c r="V630" s="12"/>
      <c r="W630" s="12"/>
      <c r="X630" s="12"/>
    </row>
    <row r="631" spans="2:24">
      <c r="B631" s="12"/>
      <c r="C631" s="12"/>
      <c r="D631" s="12"/>
      <c r="E631" s="12"/>
      <c r="F631" s="12"/>
      <c r="G631" s="12"/>
      <c r="H631" s="12"/>
      <c r="I631" s="12"/>
      <c r="J631" s="12"/>
      <c r="K631" s="12"/>
      <c r="L631" s="12"/>
      <c r="M631" s="12"/>
      <c r="N631" s="12"/>
      <c r="O631" s="12"/>
      <c r="P631" s="12"/>
      <c r="Q631" s="12"/>
      <c r="R631" s="12"/>
      <c r="S631" s="12"/>
      <c r="T631" s="12"/>
      <c r="U631" s="12"/>
      <c r="V631" s="12"/>
      <c r="W631" s="12"/>
      <c r="X631" s="12"/>
    </row>
    <row r="632" spans="2:24">
      <c r="B632" s="12"/>
      <c r="C632" s="12"/>
      <c r="D632" s="12"/>
      <c r="E632" s="12"/>
      <c r="F632" s="12"/>
      <c r="G632" s="12"/>
      <c r="H632" s="12"/>
      <c r="I632" s="12"/>
      <c r="J632" s="12"/>
      <c r="K632" s="12"/>
      <c r="L632" s="12"/>
      <c r="M632" s="12"/>
      <c r="N632" s="12"/>
      <c r="O632" s="12"/>
      <c r="P632" s="12"/>
      <c r="Q632" s="12"/>
      <c r="R632" s="12"/>
      <c r="S632" s="12"/>
      <c r="T632" s="12"/>
      <c r="U632" s="12"/>
      <c r="V632" s="12"/>
      <c r="W632" s="12"/>
      <c r="X632" s="12"/>
    </row>
    <row r="633" spans="2:24">
      <c r="B633" s="12"/>
      <c r="C633" s="12"/>
      <c r="D633" s="12"/>
      <c r="E633" s="12"/>
      <c r="F633" s="12"/>
      <c r="G633" s="12"/>
      <c r="H633" s="12"/>
      <c r="I633" s="12"/>
      <c r="J633" s="12"/>
      <c r="K633" s="12"/>
      <c r="L633" s="12"/>
      <c r="M633" s="12"/>
      <c r="N633" s="12"/>
      <c r="O633" s="12"/>
      <c r="P633" s="12"/>
      <c r="Q633" s="12"/>
      <c r="R633" s="12"/>
      <c r="S633" s="12"/>
      <c r="T633" s="12"/>
      <c r="U633" s="12"/>
      <c r="V633" s="12"/>
      <c r="W633" s="12"/>
      <c r="X633" s="12"/>
    </row>
    <row r="634" spans="2:24">
      <c r="B634" s="12"/>
      <c r="C634" s="12"/>
      <c r="D634" s="12"/>
      <c r="E634" s="12"/>
      <c r="F634" s="12"/>
      <c r="G634" s="12"/>
      <c r="H634" s="12"/>
      <c r="I634" s="12"/>
      <c r="J634" s="12"/>
      <c r="K634" s="12"/>
      <c r="L634" s="12"/>
      <c r="M634" s="12"/>
      <c r="N634" s="12"/>
      <c r="O634" s="12"/>
      <c r="P634" s="12"/>
      <c r="Q634" s="12"/>
      <c r="R634" s="12"/>
      <c r="S634" s="12"/>
      <c r="T634" s="12"/>
      <c r="U634" s="12"/>
      <c r="V634" s="12"/>
      <c r="W634" s="12"/>
      <c r="X634" s="12"/>
    </row>
    <row r="635" spans="2:24">
      <c r="B635" s="12"/>
      <c r="C635" s="12"/>
      <c r="D635" s="12"/>
      <c r="E635" s="12"/>
      <c r="F635" s="12"/>
      <c r="G635" s="12"/>
      <c r="H635" s="12"/>
      <c r="I635" s="12"/>
      <c r="J635" s="12"/>
      <c r="K635" s="12"/>
      <c r="L635" s="12"/>
      <c r="M635" s="12"/>
      <c r="N635" s="12"/>
      <c r="O635" s="12"/>
      <c r="P635" s="12"/>
      <c r="Q635" s="12"/>
      <c r="R635" s="12"/>
      <c r="S635" s="12"/>
      <c r="T635" s="12"/>
      <c r="U635" s="12"/>
      <c r="V635" s="12"/>
      <c r="W635" s="12"/>
      <c r="X635" s="12"/>
    </row>
    <row r="636" spans="2:24">
      <c r="B636" s="12"/>
      <c r="C636" s="12"/>
      <c r="D636" s="12"/>
      <c r="E636" s="12"/>
      <c r="F636" s="12"/>
      <c r="G636" s="12"/>
      <c r="H636" s="12"/>
      <c r="I636" s="12"/>
      <c r="J636" s="12"/>
      <c r="K636" s="12"/>
      <c r="L636" s="12"/>
      <c r="M636" s="12"/>
      <c r="N636" s="12"/>
      <c r="O636" s="12"/>
      <c r="P636" s="12"/>
      <c r="Q636" s="12"/>
      <c r="R636" s="12"/>
      <c r="S636" s="12"/>
      <c r="T636" s="12"/>
      <c r="U636" s="12"/>
      <c r="V636" s="12"/>
      <c r="W636" s="12"/>
      <c r="X636" s="12"/>
    </row>
    <row r="637" spans="2:24">
      <c r="B637" s="12"/>
      <c r="C637" s="12"/>
      <c r="D637" s="12"/>
      <c r="E637" s="12"/>
      <c r="F637" s="12"/>
      <c r="G637" s="12"/>
      <c r="H637" s="12"/>
      <c r="I637" s="12"/>
      <c r="J637" s="12"/>
      <c r="K637" s="12"/>
      <c r="L637" s="12"/>
      <c r="M637" s="12"/>
      <c r="N637" s="12"/>
      <c r="O637" s="12"/>
      <c r="P637" s="12"/>
      <c r="Q637" s="12"/>
      <c r="R637" s="12"/>
      <c r="S637" s="12"/>
      <c r="T637" s="12"/>
      <c r="U637" s="12"/>
      <c r="V637" s="12"/>
      <c r="W637" s="12"/>
      <c r="X637" s="12"/>
    </row>
    <row r="638" spans="2:24">
      <c r="B638" s="12"/>
      <c r="C638" s="12"/>
      <c r="D638" s="12"/>
      <c r="E638" s="12"/>
      <c r="F638" s="12"/>
      <c r="G638" s="12"/>
      <c r="H638" s="12"/>
      <c r="I638" s="12"/>
      <c r="J638" s="12"/>
      <c r="K638" s="12"/>
      <c r="L638" s="12"/>
      <c r="M638" s="12"/>
      <c r="N638" s="12"/>
      <c r="O638" s="12"/>
      <c r="P638" s="12"/>
      <c r="Q638" s="12"/>
      <c r="R638" s="12"/>
      <c r="S638" s="12"/>
      <c r="T638" s="12"/>
      <c r="U638" s="12"/>
      <c r="V638" s="12"/>
      <c r="W638" s="12"/>
      <c r="X638" s="12"/>
    </row>
    <row r="639" spans="2:24">
      <c r="B639" s="12"/>
      <c r="C639" s="12"/>
      <c r="D639" s="12"/>
      <c r="E639" s="12"/>
      <c r="F639" s="12"/>
      <c r="G639" s="12"/>
      <c r="H639" s="12"/>
      <c r="I639" s="12"/>
      <c r="J639" s="12"/>
      <c r="K639" s="12"/>
      <c r="L639" s="12"/>
      <c r="M639" s="12"/>
      <c r="N639" s="12"/>
      <c r="O639" s="12"/>
      <c r="P639" s="12"/>
      <c r="Q639" s="12"/>
      <c r="R639" s="12"/>
      <c r="S639" s="12"/>
      <c r="T639" s="12"/>
      <c r="U639" s="12"/>
      <c r="V639" s="12"/>
      <c r="W639" s="12"/>
      <c r="X639" s="12"/>
    </row>
    <row r="640" spans="2:24">
      <c r="B640" s="12"/>
      <c r="C640" s="12"/>
      <c r="D640" s="12"/>
      <c r="E640" s="12"/>
      <c r="F640" s="12"/>
      <c r="G640" s="12"/>
      <c r="H640" s="12"/>
      <c r="I640" s="12"/>
      <c r="J640" s="12"/>
      <c r="K640" s="12"/>
      <c r="L640" s="12"/>
      <c r="M640" s="12"/>
      <c r="N640" s="12"/>
      <c r="O640" s="12"/>
      <c r="P640" s="12"/>
      <c r="Q640" s="12"/>
      <c r="R640" s="12"/>
      <c r="S640" s="12"/>
      <c r="T640" s="12"/>
      <c r="U640" s="12"/>
      <c r="V640" s="12"/>
      <c r="W640" s="12"/>
      <c r="X640" s="12"/>
    </row>
    <row r="641" spans="2:24">
      <c r="B641" s="12"/>
      <c r="C641" s="12"/>
      <c r="D641" s="12"/>
      <c r="E641" s="12"/>
      <c r="F641" s="12"/>
      <c r="G641" s="12"/>
      <c r="H641" s="12"/>
      <c r="I641" s="12"/>
      <c r="J641" s="12"/>
      <c r="K641" s="12"/>
      <c r="L641" s="12"/>
      <c r="M641" s="12"/>
      <c r="N641" s="12"/>
      <c r="O641" s="12"/>
      <c r="P641" s="12"/>
      <c r="Q641" s="12"/>
      <c r="R641" s="12"/>
      <c r="S641" s="12"/>
      <c r="T641" s="12"/>
      <c r="U641" s="12"/>
      <c r="V641" s="12"/>
      <c r="W641" s="12"/>
      <c r="X641" s="12"/>
    </row>
    <row r="642" spans="2:24">
      <c r="B642" s="12"/>
      <c r="C642" s="12"/>
      <c r="D642" s="12"/>
      <c r="E642" s="12"/>
      <c r="F642" s="12"/>
      <c r="G642" s="12"/>
      <c r="H642" s="12"/>
      <c r="I642" s="12"/>
      <c r="J642" s="12"/>
      <c r="K642" s="12"/>
      <c r="L642" s="12"/>
      <c r="M642" s="12"/>
      <c r="N642" s="12"/>
      <c r="O642" s="12"/>
      <c r="P642" s="12"/>
      <c r="Q642" s="12"/>
      <c r="R642" s="12"/>
      <c r="S642" s="12"/>
      <c r="T642" s="12"/>
      <c r="U642" s="12"/>
      <c r="V642" s="12"/>
      <c r="W642" s="12"/>
      <c r="X642" s="12"/>
    </row>
    <row r="643" spans="2:24">
      <c r="B643" s="12"/>
      <c r="C643" s="12"/>
      <c r="D643" s="12"/>
      <c r="E643" s="12"/>
      <c r="F643" s="12"/>
      <c r="G643" s="12"/>
      <c r="H643" s="12"/>
      <c r="I643" s="12"/>
      <c r="J643" s="12"/>
      <c r="K643" s="12"/>
      <c r="L643" s="12"/>
      <c r="M643" s="12"/>
      <c r="N643" s="12"/>
      <c r="O643" s="12"/>
      <c r="P643" s="12"/>
      <c r="Q643" s="12"/>
      <c r="R643" s="12"/>
      <c r="S643" s="12"/>
      <c r="T643" s="12"/>
      <c r="U643" s="12"/>
      <c r="V643" s="12"/>
      <c r="W643" s="12"/>
      <c r="X643" s="12"/>
    </row>
    <row r="644" spans="2:24">
      <c r="B644" s="12"/>
      <c r="C644" s="12"/>
      <c r="D644" s="12"/>
      <c r="E644" s="12"/>
      <c r="F644" s="12"/>
      <c r="G644" s="12"/>
      <c r="H644" s="12"/>
      <c r="I644" s="12"/>
      <c r="J644" s="12"/>
      <c r="K644" s="12"/>
      <c r="L644" s="12"/>
      <c r="M644" s="12"/>
      <c r="N644" s="12"/>
      <c r="O644" s="12"/>
      <c r="P644" s="12"/>
      <c r="Q644" s="12"/>
      <c r="R644" s="12"/>
      <c r="S644" s="12"/>
      <c r="T644" s="12"/>
      <c r="U644" s="12"/>
      <c r="V644" s="12"/>
      <c r="W644" s="12"/>
      <c r="X644" s="12"/>
    </row>
    <row r="645" spans="2:24">
      <c r="B645" s="12"/>
      <c r="C645" s="12"/>
      <c r="D645" s="12"/>
      <c r="E645" s="12"/>
      <c r="F645" s="12"/>
      <c r="G645" s="12"/>
      <c r="H645" s="12"/>
      <c r="I645" s="12"/>
      <c r="J645" s="12"/>
      <c r="K645" s="12"/>
      <c r="L645" s="12"/>
      <c r="M645" s="12"/>
      <c r="N645" s="12"/>
      <c r="O645" s="12"/>
      <c r="P645" s="12"/>
      <c r="Q645" s="12"/>
      <c r="R645" s="12"/>
      <c r="S645" s="12"/>
      <c r="T645" s="12"/>
      <c r="U645" s="12"/>
      <c r="V645" s="12"/>
      <c r="W645" s="12"/>
      <c r="X645" s="12"/>
    </row>
    <row r="646" spans="2:24">
      <c r="B646" s="12"/>
      <c r="C646" s="12"/>
      <c r="D646" s="12"/>
      <c r="E646" s="12"/>
      <c r="F646" s="12"/>
      <c r="G646" s="12"/>
      <c r="H646" s="12"/>
      <c r="I646" s="12"/>
      <c r="J646" s="12"/>
      <c r="K646" s="12"/>
      <c r="L646" s="12"/>
      <c r="M646" s="12"/>
      <c r="N646" s="12"/>
      <c r="O646" s="12"/>
      <c r="P646" s="12"/>
      <c r="Q646" s="12"/>
      <c r="R646" s="12"/>
      <c r="S646" s="12"/>
      <c r="T646" s="12"/>
      <c r="U646" s="12"/>
      <c r="V646" s="12"/>
      <c r="W646" s="12"/>
      <c r="X646" s="12"/>
    </row>
    <row r="647" spans="2:24">
      <c r="B647" s="12"/>
      <c r="C647" s="12"/>
      <c r="D647" s="12"/>
      <c r="E647" s="12"/>
      <c r="F647" s="12"/>
      <c r="G647" s="12"/>
      <c r="H647" s="12"/>
      <c r="I647" s="12"/>
      <c r="J647" s="12"/>
      <c r="K647" s="12"/>
      <c r="L647" s="12"/>
      <c r="M647" s="12"/>
      <c r="N647" s="12"/>
      <c r="O647" s="12"/>
      <c r="P647" s="12"/>
      <c r="Q647" s="12"/>
      <c r="R647" s="12"/>
      <c r="S647" s="12"/>
      <c r="T647" s="12"/>
      <c r="U647" s="12"/>
      <c r="V647" s="12"/>
      <c r="W647" s="12"/>
      <c r="X647" s="12"/>
    </row>
    <row r="648" spans="2:24">
      <c r="B648" s="12"/>
      <c r="C648" s="12"/>
      <c r="D648" s="12"/>
      <c r="E648" s="12"/>
      <c r="F648" s="12"/>
      <c r="G648" s="12"/>
      <c r="H648" s="12"/>
      <c r="I648" s="12"/>
      <c r="J648" s="12"/>
      <c r="K648" s="12"/>
      <c r="L648" s="12"/>
      <c r="M648" s="12"/>
      <c r="N648" s="12"/>
      <c r="O648" s="12"/>
      <c r="P648" s="12"/>
      <c r="Q648" s="12"/>
      <c r="R648" s="12"/>
      <c r="S648" s="12"/>
      <c r="T648" s="12"/>
      <c r="U648" s="12"/>
      <c r="V648" s="12"/>
      <c r="W648" s="12"/>
      <c r="X648" s="12"/>
    </row>
    <row r="649" spans="2:24">
      <c r="B649" s="12"/>
      <c r="C649" s="12"/>
      <c r="D649" s="12"/>
      <c r="E649" s="12"/>
      <c r="F649" s="12"/>
      <c r="G649" s="12"/>
      <c r="H649" s="12"/>
      <c r="I649" s="12"/>
      <c r="J649" s="12"/>
      <c r="K649" s="12"/>
      <c r="L649" s="12"/>
      <c r="M649" s="12"/>
      <c r="N649" s="12"/>
      <c r="O649" s="12"/>
      <c r="P649" s="12"/>
      <c r="Q649" s="12"/>
      <c r="R649" s="12"/>
      <c r="S649" s="12"/>
      <c r="T649" s="12"/>
      <c r="U649" s="12"/>
      <c r="V649" s="12"/>
      <c r="W649" s="12"/>
      <c r="X649" s="12"/>
    </row>
    <row r="650" spans="2:24">
      <c r="B650" s="12"/>
      <c r="C650" s="12"/>
      <c r="D650" s="12"/>
      <c r="E650" s="12"/>
      <c r="F650" s="12"/>
      <c r="G650" s="12"/>
      <c r="H650" s="12"/>
      <c r="I650" s="12"/>
      <c r="J650" s="12"/>
      <c r="K650" s="12"/>
      <c r="L650" s="12"/>
      <c r="M650" s="12"/>
      <c r="N650" s="12"/>
      <c r="O650" s="12"/>
      <c r="P650" s="12"/>
      <c r="Q650" s="12"/>
      <c r="R650" s="12"/>
      <c r="S650" s="12"/>
      <c r="T650" s="12"/>
      <c r="U650" s="12"/>
      <c r="V650" s="12"/>
      <c r="W650" s="12"/>
      <c r="X650" s="12"/>
    </row>
    <row r="651" spans="2:24">
      <c r="B651" s="12"/>
      <c r="C651" s="12"/>
      <c r="D651" s="12"/>
      <c r="E651" s="12"/>
      <c r="F651" s="12"/>
      <c r="G651" s="12"/>
      <c r="H651" s="12"/>
      <c r="I651" s="12"/>
      <c r="J651" s="12"/>
      <c r="K651" s="12"/>
      <c r="L651" s="12"/>
      <c r="M651" s="12"/>
      <c r="N651" s="12"/>
      <c r="O651" s="12"/>
      <c r="P651" s="12"/>
      <c r="Q651" s="12"/>
      <c r="R651" s="12"/>
      <c r="S651" s="12"/>
      <c r="T651" s="12"/>
      <c r="U651" s="12"/>
      <c r="V651" s="12"/>
      <c r="W651" s="12"/>
      <c r="X651" s="12"/>
    </row>
    <row r="652" spans="2:24">
      <c r="B652" s="12"/>
      <c r="C652" s="12"/>
      <c r="D652" s="12"/>
      <c r="E652" s="12"/>
      <c r="F652" s="12"/>
      <c r="G652" s="12"/>
      <c r="H652" s="12"/>
      <c r="I652" s="12"/>
      <c r="J652" s="12"/>
      <c r="K652" s="12"/>
      <c r="L652" s="12"/>
      <c r="M652" s="12"/>
      <c r="N652" s="12"/>
      <c r="O652" s="12"/>
      <c r="P652" s="12"/>
      <c r="Q652" s="12"/>
      <c r="R652" s="12"/>
      <c r="S652" s="12"/>
      <c r="T652" s="12"/>
      <c r="U652" s="12"/>
      <c r="V652" s="12"/>
      <c r="W652" s="12"/>
      <c r="X652" s="12"/>
    </row>
    <row r="653" spans="2:24">
      <c r="B653" s="12"/>
      <c r="C653" s="12"/>
      <c r="D653" s="12"/>
      <c r="E653" s="12"/>
      <c r="F653" s="12"/>
      <c r="G653" s="12"/>
      <c r="H653" s="12"/>
      <c r="I653" s="12"/>
      <c r="J653" s="12"/>
      <c r="K653" s="12"/>
      <c r="L653" s="12"/>
      <c r="M653" s="12"/>
      <c r="N653" s="12"/>
      <c r="O653" s="12"/>
      <c r="P653" s="12"/>
      <c r="Q653" s="12"/>
      <c r="R653" s="12"/>
      <c r="S653" s="12"/>
      <c r="T653" s="12"/>
      <c r="U653" s="12"/>
      <c r="V653" s="12"/>
      <c r="W653" s="12"/>
      <c r="X653" s="12"/>
    </row>
    <row r="654" spans="2:24">
      <c r="B654" s="12"/>
      <c r="C654" s="12"/>
      <c r="D654" s="12"/>
      <c r="E654" s="12"/>
      <c r="F654" s="12"/>
      <c r="G654" s="12"/>
      <c r="H654" s="12"/>
      <c r="I654" s="12"/>
      <c r="J654" s="12"/>
      <c r="K654" s="12"/>
      <c r="L654" s="12"/>
      <c r="M654" s="12"/>
      <c r="N654" s="12"/>
      <c r="O654" s="12"/>
      <c r="P654" s="12"/>
      <c r="Q654" s="12"/>
      <c r="R654" s="12"/>
      <c r="S654" s="12"/>
      <c r="T654" s="12"/>
      <c r="U654" s="12"/>
      <c r="V654" s="12"/>
      <c r="W654" s="12"/>
      <c r="X654" s="12"/>
    </row>
    <row r="655" spans="2:24">
      <c r="B655" s="12"/>
      <c r="C655" s="12"/>
      <c r="D655" s="12"/>
      <c r="E655" s="12"/>
      <c r="F655" s="12"/>
      <c r="G655" s="12"/>
      <c r="H655" s="12"/>
      <c r="I655" s="12"/>
      <c r="J655" s="12"/>
      <c r="K655" s="12"/>
      <c r="L655" s="12"/>
      <c r="M655" s="12"/>
      <c r="N655" s="12"/>
      <c r="O655" s="12"/>
      <c r="P655" s="12"/>
      <c r="Q655" s="12"/>
      <c r="R655" s="12"/>
      <c r="S655" s="12"/>
      <c r="T655" s="12"/>
      <c r="U655" s="12"/>
      <c r="V655" s="12"/>
      <c r="W655" s="12"/>
      <c r="X655" s="12"/>
    </row>
    <row r="656" spans="2:24">
      <c r="B656" s="12"/>
      <c r="C656" s="12"/>
      <c r="D656" s="12"/>
      <c r="E656" s="12"/>
      <c r="F656" s="12"/>
      <c r="G656" s="12"/>
      <c r="H656" s="12"/>
      <c r="I656" s="12"/>
      <c r="J656" s="12"/>
      <c r="K656" s="12"/>
      <c r="L656" s="12"/>
      <c r="M656" s="12"/>
      <c r="N656" s="12"/>
      <c r="O656" s="12"/>
      <c r="P656" s="12"/>
      <c r="Q656" s="12"/>
      <c r="R656" s="12"/>
      <c r="S656" s="12"/>
      <c r="T656" s="12"/>
      <c r="U656" s="12"/>
      <c r="V656" s="12"/>
      <c r="W656" s="12"/>
      <c r="X656" s="12"/>
    </row>
    <row r="657" spans="2:24">
      <c r="B657" s="12"/>
      <c r="C657" s="12"/>
      <c r="D657" s="12"/>
      <c r="E657" s="12"/>
      <c r="F657" s="12"/>
      <c r="G657" s="12"/>
      <c r="H657" s="12"/>
      <c r="I657" s="12"/>
      <c r="J657" s="12"/>
      <c r="K657" s="12"/>
      <c r="L657" s="12"/>
      <c r="M657" s="12"/>
      <c r="N657" s="12"/>
      <c r="O657" s="12"/>
      <c r="P657" s="12"/>
      <c r="Q657" s="12"/>
      <c r="R657" s="12"/>
      <c r="S657" s="12"/>
      <c r="T657" s="12"/>
      <c r="U657" s="12"/>
      <c r="V657" s="12"/>
      <c r="W657" s="12"/>
      <c r="X657" s="12"/>
    </row>
    <row r="658" spans="2:24">
      <c r="B658" s="12"/>
      <c r="C658" s="12"/>
      <c r="D658" s="12"/>
      <c r="E658" s="12"/>
      <c r="F658" s="12"/>
      <c r="G658" s="12"/>
      <c r="H658" s="12"/>
      <c r="I658" s="12"/>
      <c r="J658" s="12"/>
      <c r="K658" s="12"/>
      <c r="L658" s="12"/>
      <c r="M658" s="12"/>
      <c r="N658" s="12"/>
      <c r="O658" s="12"/>
      <c r="P658" s="12"/>
      <c r="Q658" s="12"/>
      <c r="R658" s="12"/>
      <c r="S658" s="12"/>
      <c r="T658" s="12"/>
      <c r="U658" s="12"/>
      <c r="V658" s="12"/>
      <c r="W658" s="12"/>
      <c r="X658" s="12"/>
    </row>
    <row r="659" spans="2:24">
      <c r="B659" s="12"/>
      <c r="C659" s="12"/>
      <c r="D659" s="12"/>
      <c r="E659" s="12"/>
      <c r="F659" s="12"/>
      <c r="G659" s="12"/>
      <c r="H659" s="12"/>
      <c r="I659" s="12"/>
      <c r="J659" s="12"/>
      <c r="K659" s="12"/>
      <c r="L659" s="12"/>
      <c r="M659" s="12"/>
      <c r="N659" s="12"/>
      <c r="O659" s="12"/>
      <c r="P659" s="12"/>
      <c r="Q659" s="12"/>
      <c r="R659" s="12"/>
      <c r="S659" s="12"/>
      <c r="T659" s="12"/>
      <c r="U659" s="12"/>
      <c r="V659" s="12"/>
      <c r="W659" s="12"/>
      <c r="X659" s="12"/>
    </row>
    <row r="660" spans="2:24">
      <c r="B660" s="12"/>
      <c r="C660" s="12"/>
      <c r="D660" s="12"/>
      <c r="E660" s="12"/>
      <c r="F660" s="12"/>
      <c r="G660" s="12"/>
      <c r="H660" s="12"/>
      <c r="I660" s="12"/>
      <c r="J660" s="12"/>
      <c r="K660" s="12"/>
      <c r="L660" s="12"/>
      <c r="M660" s="12"/>
      <c r="N660" s="12"/>
      <c r="O660" s="12"/>
      <c r="P660" s="12"/>
      <c r="Q660" s="12"/>
      <c r="R660" s="12"/>
      <c r="S660" s="12"/>
      <c r="T660" s="12"/>
      <c r="U660" s="12"/>
      <c r="V660" s="12"/>
      <c r="W660" s="12"/>
      <c r="X660" s="12"/>
    </row>
    <row r="661" spans="2:24">
      <c r="B661" s="12"/>
      <c r="C661" s="12"/>
      <c r="D661" s="12"/>
      <c r="E661" s="12"/>
      <c r="F661" s="12"/>
      <c r="G661" s="12"/>
      <c r="H661" s="12"/>
      <c r="I661" s="12"/>
      <c r="J661" s="12"/>
      <c r="K661" s="12"/>
      <c r="L661" s="12"/>
      <c r="M661" s="12"/>
      <c r="N661" s="12"/>
      <c r="O661" s="12"/>
      <c r="P661" s="12"/>
      <c r="Q661" s="12"/>
      <c r="R661" s="12"/>
      <c r="S661" s="12"/>
      <c r="T661" s="12"/>
      <c r="U661" s="12"/>
      <c r="V661" s="12"/>
      <c r="W661" s="12"/>
      <c r="X661" s="12"/>
    </row>
    <row r="662" spans="2:24">
      <c r="B662" s="12"/>
      <c r="C662" s="12"/>
      <c r="D662" s="12"/>
      <c r="E662" s="12"/>
      <c r="F662" s="12"/>
      <c r="G662" s="12"/>
      <c r="H662" s="12"/>
      <c r="I662" s="12"/>
      <c r="J662" s="12"/>
      <c r="K662" s="12"/>
      <c r="L662" s="12"/>
      <c r="M662" s="12"/>
      <c r="N662" s="12"/>
      <c r="O662" s="12"/>
      <c r="P662" s="12"/>
      <c r="Q662" s="12"/>
      <c r="R662" s="12"/>
      <c r="S662" s="12"/>
      <c r="T662" s="12"/>
      <c r="U662" s="12"/>
      <c r="V662" s="12"/>
      <c r="W662" s="12"/>
      <c r="X662" s="12"/>
    </row>
    <row r="663" spans="2:24">
      <c r="B663" s="12"/>
      <c r="C663" s="12"/>
      <c r="D663" s="12"/>
      <c r="E663" s="12"/>
      <c r="F663" s="12"/>
      <c r="G663" s="12"/>
      <c r="H663" s="12"/>
      <c r="I663" s="12"/>
      <c r="J663" s="12"/>
      <c r="K663" s="12"/>
      <c r="L663" s="12"/>
      <c r="M663" s="12"/>
      <c r="N663" s="12"/>
      <c r="O663" s="12"/>
      <c r="P663" s="12"/>
      <c r="Q663" s="12"/>
      <c r="R663" s="12"/>
      <c r="S663" s="12"/>
      <c r="T663" s="12"/>
      <c r="U663" s="12"/>
      <c r="V663" s="12"/>
      <c r="W663" s="12"/>
      <c r="X663" s="12"/>
    </row>
    <row r="664" spans="2:24">
      <c r="B664" s="12"/>
      <c r="C664" s="12"/>
      <c r="D664" s="12"/>
      <c r="E664" s="12"/>
      <c r="F664" s="12"/>
      <c r="G664" s="12"/>
      <c r="H664" s="12"/>
      <c r="I664" s="12"/>
      <c r="J664" s="12"/>
      <c r="K664" s="12"/>
      <c r="L664" s="12"/>
      <c r="M664" s="12"/>
      <c r="N664" s="12"/>
      <c r="O664" s="12"/>
      <c r="P664" s="12"/>
      <c r="Q664" s="12"/>
      <c r="R664" s="12"/>
      <c r="S664" s="12"/>
      <c r="T664" s="12"/>
      <c r="U664" s="12"/>
      <c r="V664" s="12"/>
      <c r="W664" s="12"/>
      <c r="X664" s="12"/>
    </row>
    <row r="665" spans="2:24">
      <c r="B665" s="12"/>
      <c r="C665" s="12"/>
      <c r="D665" s="12"/>
      <c r="E665" s="12"/>
      <c r="F665" s="12"/>
      <c r="G665" s="12"/>
      <c r="H665" s="12"/>
      <c r="I665" s="12"/>
      <c r="J665" s="12"/>
      <c r="K665" s="12"/>
      <c r="L665" s="12"/>
      <c r="M665" s="12"/>
      <c r="N665" s="12"/>
      <c r="O665" s="12"/>
      <c r="P665" s="12"/>
      <c r="Q665" s="12"/>
      <c r="R665" s="12"/>
      <c r="S665" s="12"/>
      <c r="T665" s="12"/>
      <c r="U665" s="12"/>
      <c r="V665" s="12"/>
      <c r="W665" s="12"/>
      <c r="X665" s="12"/>
    </row>
    <row r="666" spans="2:24">
      <c r="B666" s="12"/>
      <c r="C666" s="12"/>
      <c r="D666" s="12"/>
      <c r="E666" s="12"/>
      <c r="F666" s="12"/>
      <c r="G666" s="12"/>
      <c r="H666" s="12"/>
      <c r="I666" s="12"/>
      <c r="J666" s="12"/>
      <c r="K666" s="12"/>
      <c r="L666" s="12"/>
      <c r="M666" s="12"/>
      <c r="N666" s="12"/>
      <c r="O666" s="12"/>
      <c r="P666" s="12"/>
      <c r="Q666" s="12"/>
      <c r="R666" s="12"/>
      <c r="S666" s="12"/>
      <c r="T666" s="12"/>
      <c r="U666" s="12"/>
      <c r="V666" s="12"/>
      <c r="W666" s="12"/>
      <c r="X666" s="12"/>
    </row>
    <row r="667" spans="2:24">
      <c r="B667" s="12"/>
      <c r="C667" s="12"/>
      <c r="D667" s="12"/>
      <c r="E667" s="12"/>
      <c r="F667" s="12"/>
      <c r="G667" s="12"/>
      <c r="H667" s="12"/>
      <c r="I667" s="12"/>
      <c r="J667" s="12"/>
      <c r="K667" s="12"/>
      <c r="L667" s="12"/>
      <c r="M667" s="12"/>
      <c r="N667" s="12"/>
      <c r="O667" s="12"/>
      <c r="P667" s="12"/>
      <c r="Q667" s="12"/>
      <c r="R667" s="12"/>
      <c r="S667" s="12"/>
      <c r="T667" s="12"/>
      <c r="U667" s="12"/>
      <c r="V667" s="12"/>
      <c r="W667" s="12"/>
      <c r="X667" s="12"/>
    </row>
    <row r="668" spans="2:24">
      <c r="B668" s="12"/>
      <c r="C668" s="12"/>
      <c r="D668" s="12"/>
      <c r="E668" s="12"/>
      <c r="F668" s="12"/>
      <c r="G668" s="12"/>
      <c r="H668" s="12"/>
      <c r="I668" s="12"/>
      <c r="J668" s="12"/>
      <c r="K668" s="12"/>
      <c r="L668" s="12"/>
      <c r="M668" s="12"/>
      <c r="N668" s="12"/>
      <c r="O668" s="12"/>
      <c r="P668" s="12"/>
      <c r="Q668" s="12"/>
      <c r="R668" s="12"/>
      <c r="S668" s="12"/>
      <c r="T668" s="12"/>
      <c r="U668" s="12"/>
      <c r="V668" s="12"/>
      <c r="W668" s="12"/>
      <c r="X668" s="12"/>
    </row>
    <row r="669" spans="2:24">
      <c r="B669" s="12"/>
      <c r="C669" s="12"/>
      <c r="D669" s="12"/>
      <c r="E669" s="12"/>
      <c r="F669" s="12"/>
      <c r="G669" s="12"/>
      <c r="H669" s="12"/>
      <c r="I669" s="12"/>
      <c r="J669" s="12"/>
      <c r="K669" s="12"/>
      <c r="L669" s="12"/>
      <c r="M669" s="12"/>
      <c r="N669" s="12"/>
      <c r="O669" s="12"/>
      <c r="P669" s="12"/>
      <c r="Q669" s="12"/>
      <c r="R669" s="12"/>
      <c r="S669" s="12"/>
      <c r="T669" s="12"/>
      <c r="U669" s="12"/>
      <c r="V669" s="12"/>
      <c r="W669" s="12"/>
      <c r="X669" s="12"/>
    </row>
    <row r="670" spans="2:24">
      <c r="B670" s="12"/>
      <c r="C670" s="12"/>
      <c r="D670" s="12"/>
      <c r="E670" s="12"/>
      <c r="F670" s="12"/>
      <c r="G670" s="12"/>
      <c r="H670" s="12"/>
      <c r="I670" s="12"/>
      <c r="J670" s="12"/>
      <c r="K670" s="12"/>
      <c r="L670" s="12"/>
      <c r="M670" s="12"/>
      <c r="N670" s="12"/>
      <c r="O670" s="12"/>
      <c r="P670" s="12"/>
      <c r="Q670" s="12"/>
      <c r="R670" s="12"/>
      <c r="S670" s="12"/>
      <c r="T670" s="12"/>
      <c r="U670" s="12"/>
      <c r="V670" s="12"/>
      <c r="W670" s="12"/>
      <c r="X670" s="12"/>
    </row>
    <row r="671" spans="2:24">
      <c r="B671" s="12"/>
      <c r="C671" s="12"/>
      <c r="D671" s="12"/>
      <c r="E671" s="12"/>
      <c r="F671" s="12"/>
      <c r="G671" s="12"/>
      <c r="H671" s="12"/>
      <c r="I671" s="12"/>
      <c r="J671" s="12"/>
      <c r="K671" s="12"/>
      <c r="L671" s="12"/>
      <c r="M671" s="12"/>
      <c r="N671" s="12"/>
      <c r="O671" s="12"/>
      <c r="P671" s="12"/>
      <c r="Q671" s="12"/>
      <c r="R671" s="12"/>
      <c r="S671" s="12"/>
      <c r="T671" s="12"/>
      <c r="U671" s="12"/>
      <c r="V671" s="12"/>
      <c r="W671" s="12"/>
      <c r="X671" s="12"/>
    </row>
    <row r="672" spans="2:24">
      <c r="B672" s="12"/>
      <c r="C672" s="12"/>
      <c r="D672" s="12"/>
      <c r="E672" s="12"/>
      <c r="F672" s="12"/>
      <c r="G672" s="12"/>
      <c r="H672" s="12"/>
      <c r="I672" s="12"/>
      <c r="J672" s="12"/>
      <c r="K672" s="12"/>
      <c r="L672" s="12"/>
      <c r="M672" s="12"/>
      <c r="N672" s="12"/>
      <c r="O672" s="12"/>
      <c r="P672" s="12"/>
      <c r="Q672" s="12"/>
      <c r="R672" s="12"/>
      <c r="S672" s="12"/>
      <c r="T672" s="12"/>
      <c r="U672" s="12"/>
      <c r="V672" s="12"/>
      <c r="W672" s="12"/>
      <c r="X672" s="12"/>
    </row>
    <row r="673" spans="2:24">
      <c r="B673" s="12"/>
      <c r="C673" s="12"/>
      <c r="D673" s="12"/>
      <c r="E673" s="12"/>
      <c r="F673" s="12"/>
      <c r="G673" s="12"/>
      <c r="H673" s="12"/>
      <c r="I673" s="12"/>
      <c r="J673" s="12"/>
      <c r="K673" s="12"/>
      <c r="L673" s="12"/>
      <c r="M673" s="12"/>
      <c r="N673" s="12"/>
      <c r="O673" s="12"/>
      <c r="P673" s="12"/>
      <c r="Q673" s="12"/>
      <c r="R673" s="12"/>
      <c r="S673" s="12"/>
      <c r="T673" s="12"/>
      <c r="U673" s="12"/>
      <c r="V673" s="12"/>
      <c r="W673" s="12"/>
      <c r="X673" s="12"/>
    </row>
    <row r="674" spans="2:24">
      <c r="B674" s="12"/>
      <c r="C674" s="12"/>
      <c r="D674" s="12"/>
      <c r="E674" s="12"/>
      <c r="F674" s="12"/>
      <c r="G674" s="12"/>
      <c r="H674" s="12"/>
      <c r="I674" s="12"/>
      <c r="J674" s="12"/>
      <c r="K674" s="12"/>
      <c r="L674" s="12"/>
      <c r="M674" s="12"/>
      <c r="N674" s="12"/>
      <c r="O674" s="12"/>
      <c r="P674" s="12"/>
      <c r="Q674" s="12"/>
      <c r="R674" s="12"/>
      <c r="S674" s="12"/>
      <c r="T674" s="12"/>
      <c r="U674" s="12"/>
      <c r="V674" s="12"/>
      <c r="W674" s="12"/>
      <c r="X674" s="12"/>
    </row>
    <row r="675" spans="2:24">
      <c r="B675" s="12"/>
      <c r="C675" s="12"/>
      <c r="D675" s="12"/>
      <c r="E675" s="12"/>
      <c r="F675" s="12"/>
      <c r="G675" s="12"/>
      <c r="H675" s="12"/>
      <c r="I675" s="12"/>
      <c r="J675" s="12"/>
      <c r="K675" s="12"/>
      <c r="L675" s="12"/>
      <c r="M675" s="12"/>
      <c r="N675" s="12"/>
      <c r="O675" s="12"/>
      <c r="P675" s="12"/>
      <c r="Q675" s="12"/>
      <c r="R675" s="12"/>
      <c r="S675" s="12"/>
      <c r="T675" s="12"/>
      <c r="U675" s="12"/>
      <c r="V675" s="12"/>
      <c r="W675" s="12"/>
      <c r="X675" s="12"/>
    </row>
    <row r="676" spans="2:24">
      <c r="B676" s="12"/>
      <c r="C676" s="12"/>
      <c r="D676" s="12"/>
      <c r="E676" s="12"/>
      <c r="F676" s="12"/>
      <c r="G676" s="12"/>
      <c r="H676" s="12"/>
      <c r="I676" s="12"/>
      <c r="J676" s="12"/>
      <c r="K676" s="12"/>
      <c r="L676" s="12"/>
      <c r="M676" s="12"/>
      <c r="N676" s="12"/>
      <c r="O676" s="12"/>
      <c r="P676" s="12"/>
      <c r="Q676" s="12"/>
      <c r="R676" s="12"/>
      <c r="S676" s="12"/>
      <c r="T676" s="12"/>
      <c r="U676" s="12"/>
      <c r="V676" s="12"/>
      <c r="W676" s="12"/>
      <c r="X676" s="12"/>
    </row>
    <row r="677" spans="2:24">
      <c r="B677" s="12"/>
      <c r="C677" s="12"/>
      <c r="D677" s="12"/>
      <c r="E677" s="12"/>
      <c r="F677" s="12"/>
      <c r="G677" s="12"/>
      <c r="H677" s="12"/>
      <c r="I677" s="12"/>
      <c r="J677" s="12"/>
      <c r="K677" s="12"/>
      <c r="L677" s="12"/>
      <c r="M677" s="12"/>
      <c r="N677" s="12"/>
      <c r="O677" s="12"/>
      <c r="P677" s="12"/>
      <c r="Q677" s="12"/>
      <c r="R677" s="12"/>
      <c r="S677" s="12"/>
      <c r="T677" s="12"/>
      <c r="U677" s="12"/>
      <c r="V677" s="12"/>
      <c r="W677" s="12"/>
      <c r="X677" s="12"/>
    </row>
    <row r="678" spans="2:24">
      <c r="B678" s="12"/>
      <c r="C678" s="12"/>
      <c r="D678" s="12"/>
      <c r="E678" s="12"/>
      <c r="F678" s="12"/>
      <c r="G678" s="12"/>
      <c r="H678" s="12"/>
      <c r="I678" s="12"/>
      <c r="J678" s="12"/>
      <c r="K678" s="12"/>
      <c r="L678" s="12"/>
      <c r="M678" s="12"/>
      <c r="N678" s="12"/>
      <c r="O678" s="12"/>
      <c r="P678" s="12"/>
      <c r="Q678" s="12"/>
      <c r="R678" s="12"/>
      <c r="S678" s="12"/>
      <c r="T678" s="12"/>
      <c r="U678" s="12"/>
      <c r="V678" s="12"/>
      <c r="W678" s="12"/>
      <c r="X678" s="12"/>
    </row>
    <row r="679" spans="2:24">
      <c r="B679" s="12"/>
      <c r="C679" s="12"/>
      <c r="D679" s="12"/>
      <c r="E679" s="12"/>
      <c r="F679" s="12"/>
      <c r="G679" s="12"/>
      <c r="H679" s="12"/>
      <c r="I679" s="12"/>
      <c r="J679" s="12"/>
      <c r="K679" s="12"/>
      <c r="L679" s="12"/>
      <c r="M679" s="12"/>
      <c r="N679" s="12"/>
      <c r="O679" s="12"/>
      <c r="P679" s="12"/>
      <c r="Q679" s="12"/>
      <c r="R679" s="12"/>
      <c r="S679" s="12"/>
      <c r="T679" s="12"/>
      <c r="U679" s="12"/>
      <c r="V679" s="12"/>
      <c r="W679" s="12"/>
      <c r="X679" s="12"/>
    </row>
    <row r="680" spans="2:24">
      <c r="B680" s="12"/>
      <c r="C680" s="12"/>
      <c r="D680" s="12"/>
      <c r="E680" s="12"/>
      <c r="F680" s="12"/>
      <c r="G680" s="12"/>
      <c r="H680" s="12"/>
      <c r="I680" s="12"/>
      <c r="J680" s="12"/>
      <c r="K680" s="12"/>
      <c r="L680" s="12"/>
      <c r="M680" s="12"/>
      <c r="N680" s="12"/>
      <c r="O680" s="12"/>
      <c r="P680" s="12"/>
      <c r="Q680" s="12"/>
      <c r="R680" s="12"/>
      <c r="S680" s="12"/>
      <c r="T680" s="12"/>
      <c r="U680" s="12"/>
      <c r="V680" s="12"/>
      <c r="W680" s="12"/>
      <c r="X680" s="12"/>
    </row>
    <row r="681" spans="2:24">
      <c r="B681" s="12"/>
      <c r="C681" s="12"/>
      <c r="D681" s="12"/>
      <c r="E681" s="12"/>
      <c r="F681" s="12"/>
      <c r="G681" s="12"/>
      <c r="H681" s="12"/>
      <c r="I681" s="12"/>
      <c r="J681" s="12"/>
      <c r="K681" s="12"/>
      <c r="L681" s="12"/>
      <c r="M681" s="12"/>
      <c r="N681" s="12"/>
      <c r="O681" s="12"/>
      <c r="P681" s="12"/>
      <c r="Q681" s="12"/>
      <c r="R681" s="12"/>
      <c r="S681" s="12"/>
      <c r="T681" s="12"/>
      <c r="U681" s="12"/>
      <c r="V681" s="12"/>
      <c r="W681" s="12"/>
      <c r="X681" s="12"/>
    </row>
    <row r="682" spans="2:24">
      <c r="B682" s="12"/>
      <c r="C682" s="12"/>
      <c r="D682" s="12"/>
      <c r="E682" s="12"/>
      <c r="F682" s="12"/>
      <c r="G682" s="12"/>
      <c r="H682" s="12"/>
      <c r="I682" s="12"/>
      <c r="J682" s="12"/>
      <c r="K682" s="12"/>
      <c r="L682" s="12"/>
      <c r="M682" s="12"/>
      <c r="N682" s="12"/>
      <c r="O682" s="12"/>
      <c r="P682" s="12"/>
      <c r="Q682" s="12"/>
      <c r="R682" s="12"/>
      <c r="S682" s="12"/>
      <c r="T682" s="12"/>
      <c r="U682" s="12"/>
      <c r="V682" s="12"/>
      <c r="W682" s="12"/>
      <c r="X682" s="12"/>
    </row>
    <row r="683" spans="2:24">
      <c r="B683" s="12"/>
      <c r="C683" s="12"/>
      <c r="D683" s="12"/>
      <c r="E683" s="12"/>
      <c r="F683" s="12"/>
      <c r="G683" s="12"/>
      <c r="H683" s="12"/>
      <c r="I683" s="12"/>
      <c r="J683" s="12"/>
      <c r="K683" s="12"/>
      <c r="L683" s="12"/>
      <c r="M683" s="12"/>
      <c r="N683" s="12"/>
      <c r="O683" s="12"/>
      <c r="P683" s="12"/>
      <c r="Q683" s="12"/>
      <c r="R683" s="12"/>
      <c r="S683" s="12"/>
      <c r="T683" s="12"/>
      <c r="U683" s="12"/>
      <c r="V683" s="12"/>
      <c r="W683" s="12"/>
      <c r="X683" s="12"/>
    </row>
    <row r="684" spans="2:24">
      <c r="B684" s="12"/>
      <c r="C684" s="12"/>
      <c r="D684" s="12"/>
      <c r="E684" s="12"/>
      <c r="F684" s="12"/>
      <c r="G684" s="12"/>
      <c r="H684" s="12"/>
      <c r="I684" s="12"/>
      <c r="J684" s="12"/>
      <c r="K684" s="12"/>
      <c r="L684" s="12"/>
      <c r="M684" s="12"/>
      <c r="N684" s="12"/>
      <c r="O684" s="12"/>
      <c r="P684" s="12"/>
      <c r="Q684" s="12"/>
      <c r="R684" s="12"/>
      <c r="S684" s="12"/>
      <c r="T684" s="12"/>
      <c r="U684" s="12"/>
      <c r="V684" s="12"/>
      <c r="W684" s="12"/>
      <c r="X684" s="12"/>
    </row>
    <row r="685" spans="2:24">
      <c r="B685" s="12"/>
      <c r="C685" s="12"/>
      <c r="D685" s="12"/>
      <c r="E685" s="12"/>
      <c r="F685" s="12"/>
      <c r="G685" s="12"/>
      <c r="H685" s="12"/>
      <c r="I685" s="12"/>
      <c r="J685" s="12"/>
      <c r="K685" s="12"/>
      <c r="L685" s="12"/>
      <c r="M685" s="12"/>
      <c r="N685" s="12"/>
      <c r="O685" s="12"/>
      <c r="P685" s="12"/>
      <c r="Q685" s="12"/>
      <c r="R685" s="12"/>
      <c r="S685" s="12"/>
      <c r="T685" s="12"/>
      <c r="U685" s="12"/>
      <c r="V685" s="12"/>
      <c r="W685" s="12"/>
      <c r="X685" s="12"/>
    </row>
    <row r="686" spans="2:24">
      <c r="B686" s="12"/>
      <c r="C686" s="12"/>
      <c r="D686" s="12"/>
      <c r="E686" s="12"/>
      <c r="F686" s="12"/>
      <c r="G686" s="12"/>
      <c r="H686" s="12"/>
      <c r="I686" s="12"/>
      <c r="J686" s="12"/>
      <c r="K686" s="12"/>
      <c r="L686" s="12"/>
      <c r="M686" s="12"/>
      <c r="N686" s="12"/>
      <c r="O686" s="12"/>
      <c r="P686" s="12"/>
      <c r="Q686" s="12"/>
      <c r="R686" s="12"/>
      <c r="S686" s="12"/>
      <c r="T686" s="12"/>
      <c r="U686" s="12"/>
      <c r="V686" s="12"/>
      <c r="W686" s="12"/>
      <c r="X686" s="12"/>
    </row>
    <row r="687" spans="2:24">
      <c r="B687" s="12"/>
      <c r="C687" s="12"/>
      <c r="D687" s="12"/>
      <c r="E687" s="12"/>
      <c r="F687" s="12"/>
      <c r="G687" s="12"/>
      <c r="H687" s="12"/>
      <c r="I687" s="12"/>
      <c r="J687" s="12"/>
      <c r="K687" s="12"/>
      <c r="L687" s="12"/>
      <c r="M687" s="12"/>
      <c r="N687" s="12"/>
      <c r="O687" s="12"/>
      <c r="P687" s="12"/>
      <c r="Q687" s="12"/>
      <c r="R687" s="12"/>
      <c r="S687" s="12"/>
      <c r="T687" s="12"/>
      <c r="U687" s="12"/>
      <c r="V687" s="12"/>
      <c r="W687" s="12"/>
      <c r="X687" s="12"/>
    </row>
    <row r="688" spans="2:24">
      <c r="B688" s="12"/>
      <c r="C688" s="12"/>
      <c r="D688" s="12"/>
      <c r="E688" s="12"/>
      <c r="F688" s="12"/>
      <c r="G688" s="12"/>
      <c r="H688" s="12"/>
      <c r="I688" s="12"/>
      <c r="J688" s="12"/>
      <c r="K688" s="12"/>
      <c r="L688" s="12"/>
      <c r="M688" s="12"/>
      <c r="N688" s="12"/>
      <c r="O688" s="12"/>
      <c r="P688" s="12"/>
      <c r="Q688" s="12"/>
      <c r="R688" s="12"/>
      <c r="S688" s="12"/>
      <c r="T688" s="12"/>
      <c r="U688" s="12"/>
      <c r="V688" s="12"/>
      <c r="W688" s="12"/>
      <c r="X688" s="12"/>
    </row>
    <row r="689" spans="2:24">
      <c r="B689" s="12"/>
      <c r="C689" s="12"/>
      <c r="D689" s="12"/>
      <c r="E689" s="12"/>
      <c r="F689" s="12"/>
      <c r="G689" s="12"/>
      <c r="H689" s="12"/>
      <c r="I689" s="12"/>
      <c r="J689" s="12"/>
      <c r="K689" s="12"/>
      <c r="L689" s="12"/>
      <c r="M689" s="12"/>
      <c r="N689" s="12"/>
      <c r="O689" s="12"/>
      <c r="P689" s="12"/>
      <c r="Q689" s="12"/>
      <c r="R689" s="12"/>
      <c r="S689" s="12"/>
      <c r="T689" s="12"/>
      <c r="U689" s="12"/>
      <c r="V689" s="12"/>
      <c r="W689" s="12"/>
      <c r="X689" s="12"/>
    </row>
    <row r="690" spans="2:24">
      <c r="B690" s="12"/>
      <c r="C690" s="12"/>
      <c r="D690" s="12"/>
      <c r="E690" s="12"/>
      <c r="F690" s="12"/>
      <c r="G690" s="12"/>
      <c r="H690" s="12"/>
      <c r="I690" s="12"/>
      <c r="J690" s="12"/>
      <c r="K690" s="12"/>
      <c r="L690" s="12"/>
      <c r="M690" s="12"/>
      <c r="N690" s="12"/>
      <c r="O690" s="12"/>
      <c r="P690" s="12"/>
      <c r="Q690" s="12"/>
      <c r="R690" s="12"/>
      <c r="S690" s="12"/>
      <c r="T690" s="12"/>
      <c r="U690" s="12"/>
      <c r="V690" s="12"/>
      <c r="W690" s="12"/>
      <c r="X690" s="12"/>
    </row>
    <row r="691" spans="2:24">
      <c r="B691" s="12"/>
      <c r="C691" s="12"/>
      <c r="D691" s="12"/>
      <c r="E691" s="12"/>
      <c r="F691" s="12"/>
      <c r="G691" s="12"/>
      <c r="H691" s="12"/>
      <c r="I691" s="12"/>
      <c r="J691" s="12"/>
      <c r="K691" s="12"/>
      <c r="L691" s="12"/>
      <c r="M691" s="12"/>
      <c r="N691" s="12"/>
      <c r="O691" s="12"/>
      <c r="P691" s="12"/>
      <c r="Q691" s="12"/>
      <c r="R691" s="12"/>
      <c r="S691" s="12"/>
      <c r="T691" s="12"/>
      <c r="U691" s="12"/>
      <c r="V691" s="12"/>
      <c r="W691" s="12"/>
      <c r="X691" s="12"/>
    </row>
    <row r="692" spans="2:24">
      <c r="B692" s="12"/>
      <c r="C692" s="12"/>
      <c r="D692" s="12"/>
      <c r="E692" s="12"/>
      <c r="F692" s="12"/>
      <c r="G692" s="12"/>
      <c r="H692" s="12"/>
      <c r="I692" s="12"/>
      <c r="J692" s="12"/>
      <c r="K692" s="12"/>
      <c r="L692" s="12"/>
      <c r="M692" s="12"/>
      <c r="N692" s="12"/>
      <c r="O692" s="12"/>
      <c r="P692" s="12"/>
      <c r="Q692" s="12"/>
      <c r="R692" s="12"/>
      <c r="S692" s="12"/>
      <c r="T692" s="12"/>
      <c r="U692" s="12"/>
      <c r="V692" s="12"/>
      <c r="W692" s="12"/>
      <c r="X692" s="12"/>
    </row>
    <row r="693" spans="2:24">
      <c r="B693" s="12"/>
      <c r="C693" s="12"/>
      <c r="D693" s="12"/>
      <c r="E693" s="12"/>
      <c r="F693" s="12"/>
      <c r="G693" s="12"/>
      <c r="H693" s="12"/>
      <c r="I693" s="12"/>
      <c r="J693" s="12"/>
      <c r="K693" s="12"/>
      <c r="L693" s="12"/>
      <c r="M693" s="12"/>
      <c r="N693" s="12"/>
      <c r="O693" s="12"/>
      <c r="P693" s="12"/>
      <c r="Q693" s="12"/>
      <c r="R693" s="12"/>
      <c r="S693" s="12"/>
      <c r="T693" s="12"/>
      <c r="U693" s="12"/>
      <c r="V693" s="12"/>
      <c r="W693" s="12"/>
      <c r="X693" s="12"/>
    </row>
    <row r="694" spans="2:24">
      <c r="B694" s="12"/>
      <c r="C694" s="12"/>
      <c r="D694" s="12"/>
      <c r="E694" s="12"/>
      <c r="F694" s="12"/>
      <c r="G694" s="12"/>
      <c r="H694" s="12"/>
      <c r="I694" s="12"/>
      <c r="J694" s="12"/>
      <c r="K694" s="12"/>
      <c r="L694" s="12"/>
      <c r="M694" s="12"/>
      <c r="N694" s="12"/>
      <c r="O694" s="12"/>
      <c r="P694" s="12"/>
      <c r="Q694" s="12"/>
      <c r="R694" s="12"/>
      <c r="S694" s="12"/>
      <c r="T694" s="12"/>
      <c r="U694" s="12"/>
      <c r="V694" s="12"/>
      <c r="W694" s="12"/>
      <c r="X694" s="12"/>
    </row>
    <row r="695" spans="2:24">
      <c r="B695" s="12"/>
      <c r="C695" s="12"/>
      <c r="D695" s="12"/>
      <c r="E695" s="12"/>
      <c r="F695" s="12"/>
      <c r="G695" s="12"/>
      <c r="H695" s="12"/>
      <c r="I695" s="12"/>
      <c r="J695" s="12"/>
      <c r="K695" s="12"/>
      <c r="L695" s="12"/>
      <c r="M695" s="12"/>
      <c r="N695" s="12"/>
      <c r="O695" s="12"/>
      <c r="P695" s="12"/>
      <c r="Q695" s="12"/>
      <c r="R695" s="12"/>
      <c r="S695" s="12"/>
      <c r="T695" s="12"/>
      <c r="U695" s="12"/>
      <c r="V695" s="12"/>
      <c r="W695" s="12"/>
      <c r="X695" s="12"/>
    </row>
    <row r="696" spans="2:24">
      <c r="B696" s="12"/>
      <c r="C696" s="12"/>
      <c r="D696" s="12"/>
      <c r="E696" s="12"/>
      <c r="F696" s="12"/>
      <c r="G696" s="12"/>
      <c r="H696" s="12"/>
      <c r="I696" s="12"/>
      <c r="J696" s="12"/>
      <c r="K696" s="12"/>
      <c r="L696" s="12"/>
      <c r="M696" s="12"/>
      <c r="N696" s="12"/>
      <c r="O696" s="12"/>
      <c r="P696" s="12"/>
      <c r="Q696" s="12"/>
      <c r="R696" s="12"/>
      <c r="S696" s="12"/>
      <c r="T696" s="12"/>
      <c r="U696" s="12"/>
      <c r="V696" s="12"/>
      <c r="W696" s="12"/>
      <c r="X696" s="12"/>
    </row>
    <row r="697" spans="2:24">
      <c r="B697" s="12"/>
      <c r="C697" s="12"/>
      <c r="D697" s="12"/>
      <c r="E697" s="12"/>
      <c r="F697" s="12"/>
      <c r="G697" s="12"/>
      <c r="H697" s="12"/>
      <c r="I697" s="12"/>
      <c r="J697" s="12"/>
      <c r="K697" s="12"/>
      <c r="L697" s="12"/>
      <c r="M697" s="12"/>
      <c r="N697" s="12"/>
      <c r="O697" s="12"/>
      <c r="P697" s="12"/>
      <c r="Q697" s="12"/>
      <c r="R697" s="12"/>
      <c r="S697" s="12"/>
      <c r="T697" s="12"/>
      <c r="U697" s="12"/>
      <c r="V697" s="12"/>
      <c r="W697" s="12"/>
      <c r="X697" s="12"/>
    </row>
    <row r="698" spans="2:24">
      <c r="B698" s="12"/>
      <c r="C698" s="12"/>
      <c r="D698" s="12"/>
      <c r="E698" s="12"/>
      <c r="F698" s="12"/>
      <c r="G698" s="12"/>
      <c r="H698" s="12"/>
      <c r="I698" s="12"/>
      <c r="J698" s="12"/>
      <c r="K698" s="12"/>
      <c r="L698" s="12"/>
      <c r="M698" s="12"/>
      <c r="N698" s="12"/>
      <c r="O698" s="12"/>
      <c r="P698" s="12"/>
      <c r="Q698" s="12"/>
      <c r="R698" s="12"/>
      <c r="S698" s="12"/>
      <c r="T698" s="12"/>
      <c r="U698" s="12"/>
      <c r="V698" s="12"/>
      <c r="W698" s="12"/>
      <c r="X698" s="12"/>
    </row>
    <row r="699" spans="2:24">
      <c r="B699" s="12"/>
      <c r="C699" s="12"/>
      <c r="D699" s="12"/>
      <c r="E699" s="12"/>
      <c r="F699" s="12"/>
      <c r="G699" s="12"/>
      <c r="H699" s="12"/>
      <c r="I699" s="12"/>
      <c r="J699" s="12"/>
      <c r="K699" s="12"/>
      <c r="L699" s="12"/>
      <c r="M699" s="12"/>
      <c r="N699" s="12"/>
      <c r="O699" s="12"/>
      <c r="P699" s="12"/>
      <c r="Q699" s="12"/>
      <c r="R699" s="12"/>
      <c r="S699" s="12"/>
      <c r="T699" s="12"/>
      <c r="U699" s="12"/>
      <c r="V699" s="12"/>
      <c r="W699" s="12"/>
      <c r="X699" s="12"/>
    </row>
    <row r="700" spans="2:24">
      <c r="B700" s="12"/>
      <c r="C700" s="12"/>
      <c r="D700" s="12"/>
      <c r="E700" s="12"/>
      <c r="F700" s="12"/>
      <c r="G700" s="12"/>
      <c r="H700" s="12"/>
      <c r="I700" s="12"/>
      <c r="J700" s="12"/>
      <c r="K700" s="12"/>
      <c r="L700" s="12"/>
      <c r="M700" s="12"/>
      <c r="N700" s="12"/>
      <c r="O700" s="12"/>
      <c r="P700" s="12"/>
      <c r="Q700" s="12"/>
      <c r="R700" s="12"/>
      <c r="S700" s="12"/>
      <c r="T700" s="12"/>
      <c r="U700" s="12"/>
      <c r="V700" s="12"/>
      <c r="W700" s="12"/>
      <c r="X700" s="12"/>
    </row>
    <row r="701" spans="2:24">
      <c r="B701" s="12"/>
      <c r="C701" s="12"/>
      <c r="D701" s="12"/>
      <c r="E701" s="12"/>
      <c r="F701" s="12"/>
      <c r="G701" s="12"/>
      <c r="H701" s="12"/>
      <c r="I701" s="12"/>
      <c r="J701" s="12"/>
      <c r="K701" s="12"/>
      <c r="L701" s="12"/>
      <c r="M701" s="12"/>
      <c r="N701" s="12"/>
      <c r="O701" s="12"/>
      <c r="P701" s="12"/>
      <c r="Q701" s="12"/>
      <c r="R701" s="12"/>
      <c r="S701" s="12"/>
      <c r="T701" s="12"/>
      <c r="U701" s="12"/>
      <c r="V701" s="12"/>
      <c r="W701" s="12"/>
      <c r="X701" s="12"/>
    </row>
    <row r="702" spans="2:24">
      <c r="B702" s="12"/>
      <c r="C702" s="12"/>
      <c r="D702" s="12"/>
      <c r="E702" s="12"/>
      <c r="F702" s="12"/>
      <c r="G702" s="12"/>
      <c r="H702" s="12"/>
      <c r="I702" s="12"/>
      <c r="J702" s="12"/>
      <c r="K702" s="12"/>
      <c r="L702" s="12"/>
      <c r="M702" s="12"/>
      <c r="N702" s="12"/>
      <c r="O702" s="12"/>
      <c r="P702" s="12"/>
      <c r="Q702" s="12"/>
      <c r="R702" s="12"/>
      <c r="S702" s="12"/>
      <c r="T702" s="12"/>
      <c r="U702" s="12"/>
      <c r="V702" s="12"/>
      <c r="W702" s="12"/>
      <c r="X702" s="12"/>
    </row>
    <row r="703" spans="2:24">
      <c r="B703" s="12"/>
      <c r="C703" s="12"/>
      <c r="D703" s="12"/>
      <c r="E703" s="12"/>
      <c r="F703" s="12"/>
      <c r="G703" s="12"/>
      <c r="H703" s="12"/>
      <c r="I703" s="12"/>
      <c r="J703" s="12"/>
      <c r="K703" s="12"/>
      <c r="L703" s="12"/>
      <c r="M703" s="12"/>
      <c r="N703" s="12"/>
      <c r="O703" s="12"/>
      <c r="P703" s="12"/>
      <c r="Q703" s="12"/>
      <c r="R703" s="12"/>
      <c r="S703" s="12"/>
      <c r="T703" s="12"/>
      <c r="U703" s="12"/>
      <c r="V703" s="12"/>
      <c r="W703" s="12"/>
      <c r="X703" s="12"/>
    </row>
    <row r="704" spans="2:24">
      <c r="B704" s="12"/>
      <c r="C704" s="12"/>
      <c r="D704" s="12"/>
      <c r="E704" s="12"/>
      <c r="F704" s="12"/>
      <c r="G704" s="12"/>
      <c r="H704" s="12"/>
      <c r="I704" s="12"/>
      <c r="J704" s="12"/>
      <c r="K704" s="12"/>
      <c r="L704" s="12"/>
      <c r="M704" s="12"/>
      <c r="N704" s="12"/>
      <c r="O704" s="12"/>
      <c r="P704" s="12"/>
      <c r="Q704" s="12"/>
      <c r="R704" s="12"/>
      <c r="S704" s="12"/>
      <c r="T704" s="12"/>
      <c r="U704" s="12"/>
      <c r="V704" s="12"/>
      <c r="W704" s="12"/>
      <c r="X704" s="12"/>
    </row>
    <row r="705" spans="2:24">
      <c r="B705" s="12"/>
      <c r="C705" s="12"/>
      <c r="D705" s="12"/>
      <c r="E705" s="12"/>
      <c r="F705" s="12"/>
      <c r="G705" s="12"/>
      <c r="H705" s="12"/>
      <c r="I705" s="12"/>
      <c r="J705" s="12"/>
      <c r="K705" s="12"/>
      <c r="L705" s="12"/>
      <c r="M705" s="12"/>
      <c r="N705" s="12"/>
      <c r="O705" s="12"/>
      <c r="P705" s="12"/>
      <c r="Q705" s="12"/>
      <c r="R705" s="12"/>
      <c r="S705" s="12"/>
      <c r="T705" s="12"/>
      <c r="U705" s="12"/>
      <c r="V705" s="12"/>
      <c r="W705" s="12"/>
      <c r="X705" s="12"/>
    </row>
    <row r="706" spans="2:24">
      <c r="B706" s="12"/>
      <c r="C706" s="12"/>
      <c r="D706" s="12"/>
      <c r="E706" s="12"/>
      <c r="F706" s="12"/>
      <c r="G706" s="12"/>
      <c r="H706" s="12"/>
      <c r="I706" s="12"/>
      <c r="J706" s="12"/>
      <c r="K706" s="12"/>
      <c r="L706" s="12"/>
      <c r="M706" s="12"/>
      <c r="N706" s="12"/>
      <c r="O706" s="12"/>
      <c r="P706" s="12"/>
      <c r="Q706" s="12"/>
      <c r="R706" s="12"/>
      <c r="S706" s="12"/>
      <c r="T706" s="12"/>
      <c r="U706" s="12"/>
      <c r="V706" s="12"/>
      <c r="W706" s="12"/>
      <c r="X706" s="12"/>
    </row>
    <row r="707" spans="2:24">
      <c r="B707" s="12"/>
      <c r="C707" s="12"/>
      <c r="D707" s="12"/>
      <c r="E707" s="12"/>
      <c r="F707" s="12"/>
      <c r="G707" s="12"/>
      <c r="H707" s="12"/>
      <c r="I707" s="12"/>
      <c r="J707" s="12"/>
      <c r="K707" s="12"/>
      <c r="L707" s="12"/>
      <c r="M707" s="12"/>
      <c r="N707" s="12"/>
      <c r="O707" s="12"/>
      <c r="P707" s="12"/>
      <c r="Q707" s="12"/>
      <c r="R707" s="12"/>
      <c r="S707" s="12"/>
      <c r="T707" s="12"/>
      <c r="U707" s="12"/>
      <c r="V707" s="12"/>
      <c r="W707" s="12"/>
      <c r="X707" s="12"/>
    </row>
    <row r="708" spans="2:24">
      <c r="B708" s="12"/>
      <c r="C708" s="12"/>
      <c r="D708" s="12"/>
      <c r="E708" s="12"/>
      <c r="F708" s="12"/>
      <c r="G708" s="12"/>
      <c r="H708" s="12"/>
      <c r="I708" s="12"/>
      <c r="J708" s="12"/>
      <c r="K708" s="12"/>
      <c r="L708" s="12"/>
      <c r="M708" s="12"/>
      <c r="N708" s="12"/>
      <c r="O708" s="12"/>
      <c r="P708" s="12"/>
      <c r="Q708" s="12"/>
      <c r="R708" s="12"/>
      <c r="S708" s="12"/>
      <c r="T708" s="12"/>
      <c r="U708" s="12"/>
      <c r="V708" s="12"/>
      <c r="W708" s="12"/>
      <c r="X708" s="12"/>
    </row>
    <row r="709" spans="2:24">
      <c r="B709" s="12"/>
      <c r="C709" s="12"/>
      <c r="D709" s="12"/>
      <c r="E709" s="12"/>
      <c r="F709" s="12"/>
      <c r="G709" s="12"/>
      <c r="H709" s="12"/>
      <c r="I709" s="12"/>
      <c r="J709" s="12"/>
      <c r="K709" s="12"/>
      <c r="L709" s="12"/>
      <c r="M709" s="12"/>
      <c r="N709" s="12"/>
      <c r="O709" s="12"/>
      <c r="P709" s="12"/>
      <c r="Q709" s="12"/>
      <c r="R709" s="12"/>
      <c r="S709" s="12"/>
      <c r="T709" s="12"/>
      <c r="U709" s="12"/>
      <c r="V709" s="12"/>
      <c r="W709" s="12"/>
      <c r="X709" s="12"/>
    </row>
    <row r="710" spans="2:24">
      <c r="B710" s="12"/>
      <c r="C710" s="12"/>
      <c r="D710" s="12"/>
      <c r="E710" s="12"/>
      <c r="F710" s="12"/>
      <c r="G710" s="12"/>
      <c r="H710" s="12"/>
      <c r="I710" s="12"/>
      <c r="J710" s="12"/>
      <c r="K710" s="12"/>
      <c r="L710" s="12"/>
      <c r="M710" s="12"/>
      <c r="N710" s="12"/>
      <c r="O710" s="12"/>
      <c r="P710" s="12"/>
      <c r="Q710" s="12"/>
      <c r="R710" s="12"/>
      <c r="S710" s="12"/>
      <c r="T710" s="12"/>
      <c r="U710" s="12"/>
      <c r="V710" s="12"/>
      <c r="W710" s="12"/>
      <c r="X710" s="12"/>
    </row>
    <row r="711" spans="2:24">
      <c r="B711" s="12"/>
      <c r="C711" s="12"/>
      <c r="D711" s="12"/>
      <c r="E711" s="12"/>
      <c r="F711" s="12"/>
      <c r="G711" s="12"/>
      <c r="H711" s="12"/>
      <c r="I711" s="12"/>
      <c r="J711" s="12"/>
      <c r="K711" s="12"/>
      <c r="L711" s="12"/>
      <c r="M711" s="12"/>
      <c r="N711" s="12"/>
      <c r="O711" s="12"/>
      <c r="P711" s="12"/>
      <c r="Q711" s="12"/>
      <c r="R711" s="12"/>
      <c r="S711" s="12"/>
      <c r="T711" s="12"/>
      <c r="U711" s="12"/>
      <c r="V711" s="12"/>
      <c r="W711" s="12"/>
      <c r="X711" s="12"/>
    </row>
    <row r="712" spans="2:24">
      <c r="B712" s="12"/>
      <c r="C712" s="12"/>
      <c r="D712" s="12"/>
      <c r="E712" s="12"/>
      <c r="F712" s="12"/>
      <c r="G712" s="12"/>
      <c r="H712" s="12"/>
      <c r="I712" s="12"/>
      <c r="J712" s="12"/>
      <c r="K712" s="12"/>
      <c r="L712" s="12"/>
      <c r="M712" s="12"/>
      <c r="N712" s="12"/>
      <c r="O712" s="12"/>
      <c r="P712" s="12"/>
      <c r="Q712" s="12"/>
      <c r="R712" s="12"/>
      <c r="S712" s="12"/>
      <c r="T712" s="12"/>
      <c r="U712" s="12"/>
      <c r="V712" s="12"/>
      <c r="W712" s="12"/>
      <c r="X712" s="12"/>
    </row>
    <row r="713" spans="2:24">
      <c r="B713" s="12"/>
      <c r="C713" s="12"/>
      <c r="D713" s="12"/>
      <c r="E713" s="12"/>
      <c r="F713" s="12"/>
      <c r="G713" s="12"/>
      <c r="H713" s="12"/>
      <c r="I713" s="12"/>
      <c r="J713" s="12"/>
      <c r="K713" s="12"/>
      <c r="L713" s="12"/>
      <c r="M713" s="12"/>
      <c r="N713" s="12"/>
      <c r="O713" s="12"/>
      <c r="P713" s="12"/>
      <c r="Q713" s="12"/>
      <c r="R713" s="12"/>
      <c r="S713" s="12"/>
      <c r="T713" s="12"/>
      <c r="U713" s="12"/>
      <c r="V713" s="12"/>
      <c r="W713" s="12"/>
      <c r="X713" s="12"/>
    </row>
    <row r="714" spans="2:24">
      <c r="B714" s="12"/>
      <c r="C714" s="12"/>
      <c r="D714" s="12"/>
      <c r="E714" s="12"/>
      <c r="F714" s="12"/>
      <c r="G714" s="12"/>
      <c r="H714" s="12"/>
      <c r="I714" s="12"/>
      <c r="J714" s="12"/>
      <c r="K714" s="12"/>
      <c r="L714" s="12"/>
      <c r="M714" s="12"/>
      <c r="N714" s="12"/>
      <c r="O714" s="12"/>
      <c r="P714" s="12"/>
      <c r="Q714" s="12"/>
      <c r="R714" s="12"/>
      <c r="S714" s="12"/>
      <c r="T714" s="12"/>
      <c r="U714" s="12"/>
      <c r="V714" s="12"/>
      <c r="W714" s="12"/>
      <c r="X714" s="12"/>
    </row>
    <row r="715" spans="2:24">
      <c r="B715" s="12"/>
      <c r="C715" s="12"/>
      <c r="D715" s="12"/>
      <c r="E715" s="12"/>
      <c r="F715" s="12"/>
      <c r="G715" s="12"/>
      <c r="H715" s="12"/>
      <c r="I715" s="12"/>
      <c r="J715" s="12"/>
      <c r="K715" s="12"/>
      <c r="L715" s="12"/>
      <c r="M715" s="12"/>
      <c r="N715" s="12"/>
      <c r="O715" s="12"/>
      <c r="P715" s="12"/>
      <c r="Q715" s="12"/>
      <c r="R715" s="12"/>
      <c r="S715" s="12"/>
      <c r="T715" s="12"/>
      <c r="U715" s="12"/>
      <c r="V715" s="12"/>
      <c r="W715" s="12"/>
      <c r="X715" s="12"/>
    </row>
    <row r="716" spans="2:24">
      <c r="B716" s="12"/>
      <c r="C716" s="12"/>
      <c r="D716" s="12"/>
      <c r="E716" s="12"/>
      <c r="F716" s="12"/>
      <c r="G716" s="12"/>
      <c r="H716" s="12"/>
      <c r="I716" s="12"/>
      <c r="J716" s="12"/>
      <c r="K716" s="12"/>
      <c r="L716" s="12"/>
      <c r="M716" s="12"/>
      <c r="N716" s="12"/>
      <c r="O716" s="12"/>
      <c r="P716" s="12"/>
      <c r="Q716" s="12"/>
      <c r="R716" s="12"/>
      <c r="S716" s="12"/>
      <c r="T716" s="12"/>
      <c r="U716" s="12"/>
      <c r="V716" s="12"/>
      <c r="W716" s="12"/>
      <c r="X716" s="12"/>
    </row>
    <row r="717" spans="2:24">
      <c r="B717" s="12"/>
      <c r="C717" s="12"/>
      <c r="D717" s="12"/>
      <c r="E717" s="12"/>
      <c r="F717" s="12"/>
      <c r="G717" s="12"/>
      <c r="H717" s="12"/>
      <c r="I717" s="12"/>
      <c r="J717" s="12"/>
      <c r="K717" s="12"/>
      <c r="L717" s="12"/>
      <c r="M717" s="12"/>
      <c r="N717" s="12"/>
      <c r="O717" s="12"/>
      <c r="P717" s="12"/>
      <c r="Q717" s="12"/>
      <c r="R717" s="12"/>
      <c r="S717" s="12"/>
      <c r="T717" s="12"/>
      <c r="U717" s="12"/>
      <c r="V717" s="12"/>
      <c r="W717" s="12"/>
      <c r="X717" s="12"/>
    </row>
    <row r="718" spans="2:24">
      <c r="B718" s="12"/>
      <c r="C718" s="12"/>
      <c r="D718" s="12"/>
      <c r="E718" s="12"/>
      <c r="F718" s="12"/>
      <c r="G718" s="12"/>
      <c r="H718" s="12"/>
      <c r="I718" s="12"/>
      <c r="J718" s="12"/>
      <c r="K718" s="12"/>
      <c r="L718" s="12"/>
      <c r="M718" s="12"/>
      <c r="N718" s="12"/>
      <c r="O718" s="12"/>
      <c r="P718" s="12"/>
      <c r="Q718" s="12"/>
      <c r="R718" s="12"/>
      <c r="S718" s="12"/>
      <c r="T718" s="12"/>
      <c r="U718" s="12"/>
      <c r="V718" s="12"/>
      <c r="W718" s="12"/>
      <c r="X718" s="12"/>
    </row>
    <row r="719" spans="2:24">
      <c r="B719" s="12"/>
      <c r="C719" s="12"/>
      <c r="D719" s="12"/>
      <c r="E719" s="12"/>
      <c r="F719" s="12"/>
      <c r="G719" s="12"/>
      <c r="H719" s="12"/>
      <c r="I719" s="12"/>
      <c r="J719" s="12"/>
      <c r="K719" s="12"/>
      <c r="L719" s="12"/>
      <c r="M719" s="12"/>
      <c r="N719" s="12"/>
      <c r="O719" s="12"/>
      <c r="P719" s="12"/>
      <c r="Q719" s="12"/>
      <c r="R719" s="12"/>
      <c r="S719" s="12"/>
      <c r="T719" s="12"/>
      <c r="U719" s="12"/>
      <c r="V719" s="12"/>
      <c r="W719" s="12"/>
      <c r="X719" s="12"/>
    </row>
    <row r="720" spans="2:24">
      <c r="B720" s="12"/>
      <c r="C720" s="12"/>
      <c r="D720" s="12"/>
      <c r="E720" s="12"/>
      <c r="F720" s="12"/>
      <c r="G720" s="12"/>
      <c r="H720" s="12"/>
      <c r="I720" s="12"/>
      <c r="J720" s="12"/>
      <c r="K720" s="12"/>
      <c r="L720" s="12"/>
      <c r="M720" s="12"/>
      <c r="N720" s="12"/>
      <c r="O720" s="12"/>
      <c r="P720" s="12"/>
      <c r="Q720" s="12"/>
      <c r="R720" s="12"/>
      <c r="S720" s="12"/>
      <c r="T720" s="12"/>
      <c r="U720" s="12"/>
      <c r="V720" s="12"/>
      <c r="W720" s="12"/>
      <c r="X720" s="12"/>
    </row>
    <row r="721" spans="2:24">
      <c r="B721" s="12"/>
      <c r="C721" s="12"/>
      <c r="D721" s="12"/>
      <c r="E721" s="12"/>
      <c r="F721" s="12"/>
      <c r="G721" s="12"/>
      <c r="H721" s="12"/>
      <c r="I721" s="12"/>
      <c r="J721" s="12"/>
      <c r="K721" s="12"/>
      <c r="L721" s="12"/>
      <c r="M721" s="12"/>
      <c r="N721" s="12"/>
      <c r="O721" s="12"/>
      <c r="P721" s="12"/>
      <c r="Q721" s="12"/>
      <c r="R721" s="12"/>
      <c r="S721" s="12"/>
      <c r="T721" s="12"/>
      <c r="U721" s="12"/>
      <c r="V721" s="12"/>
      <c r="W721" s="12"/>
      <c r="X721" s="12"/>
    </row>
    <row r="722" spans="2:24">
      <c r="B722" s="12"/>
      <c r="C722" s="12"/>
      <c r="D722" s="12"/>
      <c r="E722" s="12"/>
      <c r="F722" s="12"/>
      <c r="G722" s="12"/>
      <c r="H722" s="12"/>
      <c r="I722" s="12"/>
      <c r="J722" s="12"/>
      <c r="K722" s="12"/>
      <c r="L722" s="12"/>
      <c r="M722" s="12"/>
      <c r="N722" s="12"/>
      <c r="O722" s="12"/>
      <c r="P722" s="12"/>
      <c r="Q722" s="12"/>
      <c r="R722" s="12"/>
      <c r="S722" s="12"/>
      <c r="T722" s="12"/>
      <c r="U722" s="12"/>
      <c r="V722" s="12"/>
      <c r="W722" s="12"/>
      <c r="X722" s="12"/>
    </row>
    <row r="723" spans="2:24">
      <c r="B723" s="12"/>
      <c r="C723" s="12"/>
      <c r="D723" s="12"/>
      <c r="E723" s="12"/>
      <c r="F723" s="12"/>
      <c r="G723" s="12"/>
      <c r="H723" s="12"/>
      <c r="I723" s="12"/>
      <c r="J723" s="12"/>
      <c r="K723" s="12"/>
      <c r="L723" s="12"/>
      <c r="M723" s="12"/>
      <c r="N723" s="12"/>
      <c r="O723" s="12"/>
      <c r="P723" s="12"/>
      <c r="Q723" s="12"/>
      <c r="R723" s="12"/>
      <c r="S723" s="12"/>
      <c r="T723" s="12"/>
      <c r="U723" s="12"/>
      <c r="V723" s="12"/>
      <c r="W723" s="12"/>
      <c r="X723" s="12"/>
    </row>
    <row r="724" spans="2:24">
      <c r="B724" s="12"/>
      <c r="C724" s="12"/>
      <c r="D724" s="12"/>
      <c r="E724" s="12"/>
      <c r="F724" s="12"/>
      <c r="G724" s="12"/>
      <c r="H724" s="12"/>
      <c r="I724" s="12"/>
      <c r="J724" s="12"/>
      <c r="K724" s="12"/>
      <c r="L724" s="12"/>
      <c r="M724" s="12"/>
      <c r="N724" s="12"/>
      <c r="O724" s="12"/>
      <c r="P724" s="12"/>
      <c r="Q724" s="12"/>
      <c r="R724" s="12"/>
      <c r="S724" s="12"/>
      <c r="T724" s="12"/>
      <c r="U724" s="12"/>
      <c r="V724" s="12"/>
      <c r="W724" s="12"/>
      <c r="X724" s="12"/>
    </row>
    <row r="725" spans="2:24">
      <c r="B725" s="12"/>
      <c r="C725" s="12"/>
      <c r="D725" s="12"/>
      <c r="E725" s="12"/>
      <c r="F725" s="12"/>
      <c r="G725" s="12"/>
      <c r="H725" s="12"/>
      <c r="I725" s="12"/>
      <c r="J725" s="12"/>
      <c r="K725" s="12"/>
      <c r="L725" s="12"/>
      <c r="M725" s="12"/>
      <c r="N725" s="12"/>
      <c r="O725" s="12"/>
      <c r="P725" s="12"/>
      <c r="Q725" s="12"/>
      <c r="R725" s="12"/>
      <c r="S725" s="12"/>
      <c r="T725" s="12"/>
      <c r="U725" s="12"/>
      <c r="V725" s="12"/>
      <c r="W725" s="12"/>
      <c r="X725" s="12"/>
    </row>
    <row r="726" spans="2:24">
      <c r="B726" s="12"/>
      <c r="C726" s="12"/>
      <c r="D726" s="12"/>
      <c r="E726" s="12"/>
      <c r="F726" s="12"/>
      <c r="G726" s="12"/>
      <c r="H726" s="12"/>
      <c r="I726" s="12"/>
      <c r="J726" s="12"/>
      <c r="K726" s="12"/>
      <c r="L726" s="12"/>
      <c r="M726" s="12"/>
      <c r="N726" s="12"/>
      <c r="O726" s="12"/>
      <c r="P726" s="12"/>
      <c r="Q726" s="12"/>
      <c r="R726" s="12"/>
      <c r="S726" s="12"/>
      <c r="T726" s="12"/>
      <c r="U726" s="12"/>
      <c r="V726" s="12"/>
      <c r="W726" s="12"/>
      <c r="X726" s="12"/>
    </row>
    <row r="727" spans="2:24">
      <c r="B727" s="12"/>
      <c r="C727" s="12"/>
      <c r="D727" s="12"/>
      <c r="E727" s="12"/>
      <c r="F727" s="12"/>
      <c r="G727" s="12"/>
      <c r="H727" s="12"/>
      <c r="I727" s="12"/>
      <c r="J727" s="12"/>
      <c r="K727" s="12"/>
      <c r="L727" s="12"/>
      <c r="M727" s="12"/>
      <c r="N727" s="12"/>
      <c r="O727" s="12"/>
      <c r="P727" s="12"/>
      <c r="Q727" s="12"/>
      <c r="R727" s="12"/>
      <c r="S727" s="12"/>
      <c r="T727" s="12"/>
      <c r="U727" s="12"/>
      <c r="V727" s="12"/>
      <c r="W727" s="12"/>
      <c r="X727" s="12"/>
    </row>
    <row r="728" spans="2:24">
      <c r="B728" s="12"/>
      <c r="C728" s="12"/>
      <c r="D728" s="12"/>
      <c r="E728" s="12"/>
      <c r="F728" s="12"/>
      <c r="G728" s="12"/>
      <c r="H728" s="12"/>
      <c r="I728" s="12"/>
      <c r="J728" s="12"/>
      <c r="K728" s="12"/>
      <c r="L728" s="12"/>
      <c r="M728" s="12"/>
      <c r="N728" s="12"/>
      <c r="O728" s="12"/>
      <c r="P728" s="12"/>
      <c r="Q728" s="12"/>
      <c r="R728" s="12"/>
      <c r="S728" s="12"/>
      <c r="T728" s="12"/>
      <c r="U728" s="12"/>
      <c r="V728" s="12"/>
      <c r="W728" s="12"/>
      <c r="X728" s="12"/>
    </row>
    <row r="729" spans="2:24">
      <c r="B729" s="12"/>
      <c r="C729" s="12"/>
      <c r="D729" s="12"/>
      <c r="E729" s="12"/>
      <c r="F729" s="12"/>
      <c r="G729" s="12"/>
      <c r="H729" s="12"/>
      <c r="I729" s="12"/>
      <c r="J729" s="12"/>
      <c r="K729" s="12"/>
      <c r="L729" s="12"/>
      <c r="M729" s="12"/>
      <c r="N729" s="12"/>
      <c r="O729" s="12"/>
      <c r="P729" s="12"/>
      <c r="Q729" s="12"/>
      <c r="R729" s="12"/>
      <c r="S729" s="12"/>
      <c r="T729" s="12"/>
      <c r="U729" s="12"/>
      <c r="V729" s="12"/>
      <c r="W729" s="12"/>
      <c r="X729" s="12"/>
    </row>
    <row r="730" spans="2:24">
      <c r="B730" s="12"/>
      <c r="C730" s="12"/>
      <c r="D730" s="12"/>
      <c r="E730" s="12"/>
      <c r="F730" s="12"/>
      <c r="G730" s="12"/>
      <c r="H730" s="12"/>
      <c r="I730" s="12"/>
      <c r="J730" s="12"/>
      <c r="K730" s="12"/>
      <c r="L730" s="12"/>
      <c r="M730" s="12"/>
      <c r="N730" s="12"/>
      <c r="O730" s="12"/>
      <c r="P730" s="12"/>
      <c r="Q730" s="12"/>
      <c r="R730" s="12"/>
      <c r="S730" s="12"/>
      <c r="T730" s="12"/>
      <c r="U730" s="12"/>
      <c r="V730" s="12"/>
      <c r="W730" s="12"/>
      <c r="X730" s="12"/>
    </row>
    <row r="731" spans="2:24">
      <c r="B731" s="12"/>
      <c r="C731" s="12"/>
      <c r="D731" s="12"/>
      <c r="E731" s="12"/>
      <c r="F731" s="12"/>
      <c r="G731" s="12"/>
      <c r="H731" s="12"/>
      <c r="I731" s="12"/>
      <c r="J731" s="12"/>
      <c r="K731" s="12"/>
      <c r="L731" s="12"/>
      <c r="M731" s="12"/>
      <c r="N731" s="12"/>
      <c r="O731" s="12"/>
      <c r="P731" s="12"/>
      <c r="Q731" s="12"/>
      <c r="R731" s="12"/>
      <c r="S731" s="12"/>
      <c r="T731" s="12"/>
      <c r="U731" s="12"/>
      <c r="V731" s="12"/>
      <c r="W731" s="12"/>
      <c r="X731" s="12"/>
    </row>
    <row r="732" spans="2:24">
      <c r="B732" s="12"/>
      <c r="C732" s="12"/>
      <c r="D732" s="12"/>
      <c r="E732" s="12"/>
      <c r="F732" s="12"/>
      <c r="G732" s="12"/>
      <c r="H732" s="12"/>
      <c r="I732" s="12"/>
      <c r="J732" s="12"/>
      <c r="K732" s="12"/>
      <c r="L732" s="12"/>
      <c r="M732" s="12"/>
      <c r="N732" s="12"/>
      <c r="O732" s="12"/>
      <c r="P732" s="12"/>
      <c r="Q732" s="12"/>
      <c r="R732" s="12"/>
      <c r="S732" s="12"/>
      <c r="T732" s="12"/>
      <c r="U732" s="12"/>
      <c r="V732" s="12"/>
      <c r="W732" s="12"/>
      <c r="X732" s="12"/>
    </row>
    <row r="733" spans="2:24">
      <c r="B733" s="12"/>
      <c r="C733" s="12"/>
      <c r="D733" s="12"/>
      <c r="E733" s="12"/>
      <c r="F733" s="12"/>
      <c r="G733" s="12"/>
      <c r="H733" s="12"/>
      <c r="I733" s="12"/>
      <c r="J733" s="12"/>
      <c r="K733" s="12"/>
      <c r="L733" s="12"/>
      <c r="M733" s="12"/>
      <c r="N733" s="12"/>
      <c r="O733" s="12"/>
      <c r="P733" s="12"/>
      <c r="Q733" s="12"/>
      <c r="R733" s="12"/>
      <c r="S733" s="12"/>
      <c r="T733" s="12"/>
      <c r="U733" s="12"/>
      <c r="V733" s="12"/>
      <c r="W733" s="12"/>
      <c r="X733" s="12"/>
    </row>
    <row r="734" spans="2:24">
      <c r="B734" s="12"/>
      <c r="C734" s="12"/>
      <c r="D734" s="12"/>
      <c r="E734" s="12"/>
      <c r="F734" s="12"/>
      <c r="G734" s="12"/>
      <c r="H734" s="12"/>
      <c r="I734" s="12"/>
      <c r="J734" s="12"/>
      <c r="K734" s="12"/>
      <c r="L734" s="12"/>
      <c r="M734" s="12"/>
      <c r="N734" s="12"/>
      <c r="O734" s="12"/>
      <c r="P734" s="12"/>
      <c r="Q734" s="12"/>
      <c r="R734" s="12"/>
      <c r="S734" s="12"/>
      <c r="T734" s="12"/>
      <c r="U734" s="12"/>
      <c r="V734" s="12"/>
      <c r="W734" s="12"/>
      <c r="X734" s="12"/>
    </row>
    <row r="735" spans="2:24">
      <c r="B735" s="12"/>
      <c r="C735" s="12"/>
      <c r="D735" s="12"/>
      <c r="E735" s="12"/>
      <c r="F735" s="12"/>
      <c r="G735" s="12"/>
      <c r="H735" s="12"/>
      <c r="I735" s="12"/>
      <c r="J735" s="12"/>
      <c r="K735" s="12"/>
      <c r="L735" s="12"/>
      <c r="M735" s="12"/>
      <c r="N735" s="12"/>
      <c r="O735" s="12"/>
      <c r="P735" s="12"/>
      <c r="Q735" s="12"/>
      <c r="R735" s="12"/>
      <c r="S735" s="12"/>
      <c r="T735" s="12"/>
      <c r="U735" s="12"/>
      <c r="V735" s="12"/>
      <c r="W735" s="12"/>
      <c r="X735" s="12"/>
    </row>
    <row r="736" spans="2:24">
      <c r="B736" s="12"/>
      <c r="C736" s="12"/>
      <c r="D736" s="12"/>
      <c r="E736" s="12"/>
      <c r="F736" s="12"/>
      <c r="G736" s="12"/>
      <c r="H736" s="12"/>
      <c r="I736" s="12"/>
      <c r="J736" s="12"/>
      <c r="K736" s="12"/>
      <c r="L736" s="12"/>
      <c r="M736" s="12"/>
      <c r="N736" s="12"/>
      <c r="O736" s="12"/>
      <c r="P736" s="12"/>
      <c r="Q736" s="12"/>
      <c r="R736" s="12"/>
      <c r="S736" s="12"/>
      <c r="T736" s="12"/>
      <c r="U736" s="12"/>
      <c r="V736" s="12"/>
      <c r="W736" s="12"/>
      <c r="X736" s="12"/>
    </row>
    <row r="737" spans="2:24">
      <c r="B737" s="12"/>
      <c r="C737" s="12"/>
      <c r="D737" s="12"/>
      <c r="E737" s="12"/>
      <c r="F737" s="12"/>
      <c r="G737" s="12"/>
      <c r="H737" s="12"/>
      <c r="I737" s="12"/>
      <c r="J737" s="12"/>
      <c r="K737" s="12"/>
      <c r="L737" s="12"/>
      <c r="M737" s="12"/>
      <c r="N737" s="12"/>
      <c r="O737" s="12"/>
      <c r="P737" s="12"/>
      <c r="Q737" s="12"/>
      <c r="R737" s="12"/>
      <c r="S737" s="12"/>
      <c r="T737" s="12"/>
      <c r="U737" s="12"/>
      <c r="V737" s="12"/>
      <c r="W737" s="12"/>
      <c r="X737" s="12"/>
    </row>
    <row r="738" spans="2:24">
      <c r="B738" s="12"/>
      <c r="C738" s="12"/>
      <c r="D738" s="12"/>
      <c r="E738" s="12"/>
      <c r="F738" s="12"/>
      <c r="G738" s="12"/>
      <c r="H738" s="12"/>
      <c r="I738" s="12"/>
      <c r="J738" s="12"/>
      <c r="K738" s="12"/>
      <c r="L738" s="12"/>
      <c r="M738" s="12"/>
      <c r="N738" s="12"/>
      <c r="O738" s="12"/>
      <c r="P738" s="12"/>
      <c r="Q738" s="12"/>
      <c r="R738" s="12"/>
      <c r="S738" s="12"/>
      <c r="T738" s="12"/>
      <c r="U738" s="12"/>
      <c r="V738" s="12"/>
      <c r="W738" s="12"/>
      <c r="X738" s="12"/>
    </row>
    <row r="739" spans="2:24">
      <c r="B739" s="12"/>
      <c r="C739" s="12"/>
      <c r="D739" s="12"/>
      <c r="E739" s="12"/>
      <c r="F739" s="12"/>
      <c r="G739" s="12"/>
      <c r="H739" s="12"/>
      <c r="I739" s="12"/>
      <c r="J739" s="12"/>
      <c r="K739" s="12"/>
      <c r="L739" s="12"/>
      <c r="M739" s="12"/>
      <c r="N739" s="12"/>
      <c r="O739" s="12"/>
      <c r="P739" s="12"/>
      <c r="Q739" s="12"/>
      <c r="R739" s="12"/>
      <c r="S739" s="12"/>
      <c r="T739" s="12"/>
      <c r="U739" s="12"/>
      <c r="V739" s="12"/>
      <c r="W739" s="12"/>
      <c r="X739" s="12"/>
    </row>
    <row r="740" spans="2:24">
      <c r="B740" s="12"/>
      <c r="C740" s="12"/>
      <c r="D740" s="12"/>
      <c r="E740" s="12"/>
      <c r="F740" s="12"/>
      <c r="G740" s="12"/>
      <c r="H740" s="12"/>
      <c r="I740" s="12"/>
      <c r="J740" s="12"/>
      <c r="K740" s="12"/>
      <c r="L740" s="12"/>
      <c r="M740" s="12"/>
      <c r="N740" s="12"/>
      <c r="O740" s="12"/>
      <c r="P740" s="12"/>
      <c r="Q740" s="12"/>
      <c r="R740" s="12"/>
      <c r="S740" s="12"/>
      <c r="T740" s="12"/>
      <c r="U740" s="12"/>
      <c r="V740" s="12"/>
      <c r="W740" s="12"/>
      <c r="X740" s="12"/>
    </row>
    <row r="741" spans="2:24">
      <c r="B741" s="12"/>
      <c r="C741" s="12"/>
      <c r="D741" s="12"/>
      <c r="E741" s="12"/>
      <c r="F741" s="12"/>
      <c r="G741" s="12"/>
      <c r="H741" s="12"/>
      <c r="I741" s="12"/>
      <c r="J741" s="12"/>
      <c r="K741" s="12"/>
      <c r="L741" s="12"/>
      <c r="M741" s="12"/>
      <c r="N741" s="12"/>
      <c r="O741" s="12"/>
      <c r="P741" s="12"/>
      <c r="Q741" s="12"/>
      <c r="R741" s="12"/>
      <c r="S741" s="12"/>
      <c r="T741" s="12"/>
      <c r="U741" s="12"/>
      <c r="V741" s="12"/>
      <c r="W741" s="12"/>
      <c r="X741" s="12"/>
    </row>
    <row r="742" spans="2:24">
      <c r="B742" s="12"/>
      <c r="C742" s="12"/>
      <c r="D742" s="12"/>
      <c r="E742" s="12"/>
      <c r="F742" s="12"/>
      <c r="G742" s="12"/>
      <c r="H742" s="12"/>
      <c r="I742" s="12"/>
      <c r="J742" s="12"/>
      <c r="K742" s="12"/>
      <c r="L742" s="12"/>
      <c r="M742" s="12"/>
      <c r="N742" s="12"/>
      <c r="O742" s="12"/>
      <c r="P742" s="12"/>
      <c r="Q742" s="12"/>
      <c r="R742" s="12"/>
      <c r="S742" s="12"/>
      <c r="T742" s="12"/>
      <c r="U742" s="12"/>
      <c r="V742" s="12"/>
      <c r="W742" s="12"/>
      <c r="X742" s="12"/>
    </row>
    <row r="743" spans="2:24">
      <c r="B743" s="12"/>
      <c r="C743" s="12"/>
      <c r="D743" s="12"/>
      <c r="E743" s="12"/>
      <c r="F743" s="12"/>
      <c r="G743" s="12"/>
      <c r="H743" s="12"/>
      <c r="I743" s="12"/>
      <c r="J743" s="12"/>
      <c r="K743" s="12"/>
      <c r="L743" s="12"/>
      <c r="M743" s="12"/>
      <c r="N743" s="12"/>
      <c r="O743" s="12"/>
      <c r="P743" s="12"/>
      <c r="Q743" s="12"/>
      <c r="R743" s="12"/>
      <c r="S743" s="12"/>
      <c r="T743" s="12"/>
      <c r="U743" s="12"/>
      <c r="V743" s="12"/>
      <c r="W743" s="12"/>
      <c r="X743" s="12"/>
    </row>
    <row r="744" spans="2:24">
      <c r="B744" s="12"/>
      <c r="C744" s="12"/>
      <c r="D744" s="12"/>
      <c r="E744" s="12"/>
      <c r="F744" s="12"/>
      <c r="G744" s="12"/>
      <c r="H744" s="12"/>
      <c r="I744" s="12"/>
      <c r="J744" s="12"/>
      <c r="K744" s="12"/>
      <c r="L744" s="12"/>
      <c r="M744" s="12"/>
      <c r="N744" s="12"/>
      <c r="O744" s="12"/>
      <c r="P744" s="12"/>
      <c r="Q744" s="12"/>
      <c r="R744" s="12"/>
      <c r="S744" s="12"/>
      <c r="T744" s="12"/>
      <c r="U744" s="12"/>
      <c r="V744" s="12"/>
      <c r="W744" s="12"/>
      <c r="X744" s="12"/>
    </row>
    <row r="745" spans="2:24">
      <c r="B745" s="12"/>
      <c r="C745" s="12"/>
      <c r="D745" s="12"/>
      <c r="E745" s="12"/>
      <c r="F745" s="12"/>
      <c r="G745" s="12"/>
      <c r="H745" s="12"/>
      <c r="I745" s="12"/>
      <c r="J745" s="12"/>
      <c r="K745" s="12"/>
      <c r="L745" s="12"/>
      <c r="M745" s="12"/>
      <c r="N745" s="12"/>
      <c r="O745" s="12"/>
      <c r="P745" s="12"/>
      <c r="Q745" s="12"/>
      <c r="R745" s="12"/>
      <c r="S745" s="12"/>
      <c r="T745" s="12"/>
      <c r="U745" s="12"/>
      <c r="V745" s="12"/>
      <c r="W745" s="12"/>
      <c r="X745" s="12"/>
    </row>
    <row r="746" spans="2:24">
      <c r="B746" s="12"/>
      <c r="C746" s="12"/>
      <c r="D746" s="12"/>
      <c r="E746" s="12"/>
      <c r="F746" s="12"/>
      <c r="G746" s="12"/>
      <c r="H746" s="12"/>
      <c r="I746" s="12"/>
      <c r="J746" s="12"/>
      <c r="K746" s="12"/>
      <c r="L746" s="12"/>
      <c r="M746" s="12"/>
      <c r="N746" s="12"/>
      <c r="O746" s="12"/>
      <c r="P746" s="12"/>
      <c r="Q746" s="12"/>
      <c r="R746" s="12"/>
      <c r="S746" s="12"/>
      <c r="T746" s="12"/>
      <c r="U746" s="12"/>
      <c r="V746" s="12"/>
      <c r="W746" s="12"/>
      <c r="X746" s="12"/>
    </row>
    <row r="747" spans="2:24">
      <c r="B747" s="12"/>
      <c r="C747" s="12"/>
      <c r="D747" s="12"/>
      <c r="E747" s="12"/>
      <c r="F747" s="12"/>
      <c r="G747" s="12"/>
      <c r="H747" s="12"/>
      <c r="I747" s="12"/>
      <c r="J747" s="12"/>
      <c r="K747" s="12"/>
      <c r="L747" s="12"/>
      <c r="M747" s="12"/>
      <c r="N747" s="12"/>
      <c r="O747" s="12"/>
      <c r="P747" s="12"/>
      <c r="Q747" s="12"/>
      <c r="R747" s="12"/>
      <c r="S747" s="12"/>
      <c r="T747" s="12"/>
      <c r="U747" s="12"/>
      <c r="V747" s="12"/>
      <c r="W747" s="12"/>
      <c r="X747" s="12"/>
    </row>
    <row r="748" spans="2:24">
      <c r="B748" s="12"/>
      <c r="C748" s="12"/>
      <c r="D748" s="12"/>
      <c r="E748" s="12"/>
      <c r="F748" s="12"/>
      <c r="G748" s="12"/>
      <c r="H748" s="12"/>
      <c r="I748" s="12"/>
      <c r="J748" s="12"/>
      <c r="K748" s="12"/>
      <c r="L748" s="12"/>
      <c r="M748" s="12"/>
      <c r="N748" s="12"/>
      <c r="O748" s="12"/>
      <c r="P748" s="12"/>
      <c r="Q748" s="12"/>
      <c r="R748" s="12"/>
      <c r="S748" s="12"/>
      <c r="T748" s="12"/>
      <c r="U748" s="12"/>
      <c r="V748" s="12"/>
      <c r="W748" s="12"/>
      <c r="X748" s="12"/>
    </row>
    <row r="749" spans="2:24">
      <c r="B749" s="12"/>
      <c r="C749" s="12"/>
      <c r="D749" s="12"/>
      <c r="E749" s="12"/>
      <c r="F749" s="12"/>
      <c r="G749" s="12"/>
      <c r="H749" s="12"/>
      <c r="I749" s="12"/>
      <c r="J749" s="12"/>
      <c r="K749" s="12"/>
      <c r="L749" s="12"/>
      <c r="M749" s="12"/>
      <c r="N749" s="12"/>
      <c r="O749" s="12"/>
      <c r="P749" s="12"/>
      <c r="Q749" s="12"/>
      <c r="R749" s="12"/>
      <c r="S749" s="12"/>
      <c r="T749" s="12"/>
      <c r="U749" s="12"/>
      <c r="V749" s="12"/>
      <c r="W749" s="12"/>
      <c r="X749" s="12"/>
    </row>
    <row r="750" spans="2:24">
      <c r="B750" s="12"/>
      <c r="C750" s="12"/>
      <c r="D750" s="12"/>
      <c r="E750" s="12"/>
      <c r="F750" s="12"/>
      <c r="G750" s="12"/>
      <c r="H750" s="12"/>
      <c r="I750" s="12"/>
      <c r="J750" s="12"/>
      <c r="K750" s="12"/>
      <c r="L750" s="12"/>
      <c r="M750" s="12"/>
      <c r="N750" s="12"/>
      <c r="O750" s="12"/>
      <c r="P750" s="12"/>
      <c r="Q750" s="12"/>
      <c r="R750" s="12"/>
      <c r="S750" s="12"/>
      <c r="T750" s="12"/>
      <c r="U750" s="12"/>
      <c r="V750" s="12"/>
      <c r="W750" s="12"/>
      <c r="X750" s="12"/>
    </row>
    <row r="751" spans="2:24">
      <c r="B751" s="12"/>
      <c r="C751" s="12"/>
      <c r="D751" s="12"/>
      <c r="E751" s="12"/>
      <c r="F751" s="12"/>
      <c r="G751" s="12"/>
      <c r="H751" s="12"/>
      <c r="I751" s="12"/>
      <c r="J751" s="12"/>
      <c r="K751" s="12"/>
      <c r="L751" s="12"/>
      <c r="M751" s="12"/>
      <c r="N751" s="12"/>
      <c r="O751" s="12"/>
      <c r="P751" s="12"/>
      <c r="Q751" s="12"/>
      <c r="R751" s="12"/>
      <c r="S751" s="12"/>
      <c r="T751" s="12"/>
      <c r="U751" s="12"/>
      <c r="V751" s="12"/>
      <c r="W751" s="12"/>
      <c r="X751" s="12"/>
    </row>
    <row r="752" spans="2:24">
      <c r="B752" s="12"/>
      <c r="C752" s="12"/>
      <c r="D752" s="12"/>
      <c r="E752" s="12"/>
      <c r="F752" s="12"/>
      <c r="G752" s="12"/>
      <c r="H752" s="12"/>
      <c r="I752" s="12"/>
      <c r="J752" s="12"/>
      <c r="K752" s="12"/>
      <c r="L752" s="12"/>
      <c r="M752" s="12"/>
      <c r="N752" s="12"/>
      <c r="O752" s="12"/>
      <c r="P752" s="12"/>
      <c r="Q752" s="12"/>
      <c r="R752" s="12"/>
      <c r="S752" s="12"/>
      <c r="T752" s="12"/>
      <c r="U752" s="12"/>
      <c r="V752" s="12"/>
      <c r="W752" s="12"/>
      <c r="X752" s="12"/>
    </row>
    <row r="753" spans="2:24">
      <c r="B753" s="12"/>
      <c r="C753" s="12"/>
      <c r="D753" s="12"/>
      <c r="E753" s="12"/>
      <c r="F753" s="12"/>
      <c r="G753" s="12"/>
      <c r="H753" s="12"/>
      <c r="I753" s="12"/>
      <c r="J753" s="12"/>
      <c r="K753" s="12"/>
      <c r="L753" s="12"/>
      <c r="M753" s="12"/>
      <c r="N753" s="12"/>
      <c r="O753" s="12"/>
      <c r="P753" s="12"/>
      <c r="Q753" s="12"/>
      <c r="R753" s="12"/>
      <c r="S753" s="12"/>
      <c r="T753" s="12"/>
      <c r="U753" s="12"/>
      <c r="V753" s="12"/>
      <c r="W753" s="12"/>
      <c r="X753" s="12"/>
    </row>
    <row r="754" spans="2:24">
      <c r="B754" s="12"/>
      <c r="C754" s="12"/>
      <c r="D754" s="12"/>
      <c r="E754" s="12"/>
      <c r="F754" s="12"/>
      <c r="G754" s="12"/>
      <c r="H754" s="12"/>
      <c r="I754" s="12"/>
      <c r="J754" s="12"/>
      <c r="K754" s="12"/>
      <c r="L754" s="12"/>
      <c r="M754" s="12"/>
      <c r="N754" s="12"/>
      <c r="O754" s="12"/>
      <c r="P754" s="12"/>
      <c r="Q754" s="12"/>
      <c r="R754" s="12"/>
      <c r="S754" s="12"/>
      <c r="T754" s="12"/>
      <c r="U754" s="12"/>
      <c r="V754" s="12"/>
      <c r="W754" s="12"/>
      <c r="X754" s="12"/>
    </row>
    <row r="755" spans="2:24">
      <c r="B755" s="12"/>
      <c r="C755" s="12"/>
      <c r="D755" s="12"/>
      <c r="E755" s="12"/>
      <c r="F755" s="12"/>
      <c r="G755" s="12"/>
      <c r="H755" s="12"/>
      <c r="I755" s="12"/>
      <c r="J755" s="12"/>
      <c r="K755" s="12"/>
      <c r="L755" s="12"/>
      <c r="M755" s="12"/>
      <c r="N755" s="12"/>
      <c r="O755" s="12"/>
      <c r="P755" s="12"/>
      <c r="Q755" s="12"/>
      <c r="R755" s="12"/>
      <c r="S755" s="12"/>
      <c r="T755" s="12"/>
      <c r="U755" s="12"/>
      <c r="V755" s="12"/>
      <c r="W755" s="12"/>
      <c r="X755" s="12"/>
    </row>
    <row r="756" spans="2:24">
      <c r="B756" s="12"/>
      <c r="C756" s="12"/>
      <c r="D756" s="12"/>
      <c r="E756" s="12"/>
      <c r="F756" s="12"/>
      <c r="G756" s="12"/>
      <c r="H756" s="12"/>
      <c r="I756" s="12"/>
      <c r="J756" s="12"/>
      <c r="K756" s="12"/>
      <c r="L756" s="12"/>
      <c r="M756" s="12"/>
      <c r="N756" s="12"/>
      <c r="O756" s="12"/>
      <c r="P756" s="12"/>
      <c r="Q756" s="12"/>
      <c r="R756" s="12"/>
      <c r="S756" s="12"/>
      <c r="T756" s="12"/>
      <c r="U756" s="12"/>
      <c r="V756" s="12"/>
      <c r="W756" s="12"/>
      <c r="X756" s="12"/>
    </row>
    <row r="757" spans="2:24">
      <c r="B757" s="12"/>
      <c r="C757" s="12"/>
      <c r="D757" s="12"/>
      <c r="E757" s="12"/>
      <c r="F757" s="12"/>
      <c r="G757" s="12"/>
      <c r="H757" s="12"/>
      <c r="I757" s="12"/>
      <c r="J757" s="12"/>
      <c r="K757" s="12"/>
      <c r="L757" s="12"/>
      <c r="M757" s="12"/>
      <c r="N757" s="12"/>
      <c r="O757" s="12"/>
      <c r="P757" s="12"/>
      <c r="Q757" s="12"/>
      <c r="R757" s="12"/>
      <c r="S757" s="12"/>
      <c r="T757" s="12"/>
      <c r="U757" s="12"/>
      <c r="V757" s="12"/>
      <c r="W757" s="12"/>
      <c r="X757" s="12"/>
    </row>
    <row r="758" spans="2:24">
      <c r="B758" s="12"/>
      <c r="C758" s="12"/>
      <c r="D758" s="12"/>
      <c r="E758" s="12"/>
      <c r="F758" s="12"/>
      <c r="G758" s="12"/>
      <c r="H758" s="12"/>
      <c r="I758" s="12"/>
      <c r="J758" s="12"/>
      <c r="K758" s="12"/>
      <c r="L758" s="12"/>
      <c r="M758" s="12"/>
      <c r="N758" s="12"/>
      <c r="O758" s="12"/>
      <c r="P758" s="12"/>
      <c r="Q758" s="12"/>
      <c r="R758" s="12"/>
      <c r="S758" s="12"/>
      <c r="T758" s="12"/>
      <c r="U758" s="12"/>
      <c r="V758" s="12"/>
      <c r="W758" s="12"/>
      <c r="X758" s="12"/>
    </row>
    <row r="759" spans="2:24">
      <c r="B759" s="12"/>
      <c r="C759" s="12"/>
      <c r="D759" s="12"/>
      <c r="E759" s="12"/>
      <c r="F759" s="12"/>
      <c r="G759" s="12"/>
      <c r="H759" s="12"/>
      <c r="I759" s="12"/>
      <c r="J759" s="12"/>
      <c r="K759" s="12"/>
      <c r="L759" s="12"/>
      <c r="M759" s="12"/>
      <c r="N759" s="12"/>
      <c r="O759" s="12"/>
      <c r="P759" s="12"/>
      <c r="Q759" s="12"/>
      <c r="R759" s="12"/>
      <c r="S759" s="12"/>
      <c r="T759" s="12"/>
      <c r="U759" s="12"/>
      <c r="V759" s="12"/>
      <c r="W759" s="12"/>
      <c r="X759" s="12"/>
    </row>
    <row r="760" spans="2:24">
      <c r="B760" s="12"/>
      <c r="C760" s="12"/>
      <c r="D760" s="12"/>
      <c r="E760" s="12"/>
      <c r="F760" s="12"/>
      <c r="G760" s="12"/>
      <c r="H760" s="12"/>
      <c r="I760" s="12"/>
      <c r="J760" s="12"/>
      <c r="K760" s="12"/>
      <c r="L760" s="12"/>
      <c r="M760" s="12"/>
      <c r="N760" s="12"/>
      <c r="O760" s="12"/>
      <c r="P760" s="12"/>
      <c r="Q760" s="12"/>
      <c r="R760" s="12"/>
      <c r="S760" s="12"/>
      <c r="T760" s="12"/>
      <c r="U760" s="12"/>
      <c r="V760" s="12"/>
      <c r="W760" s="12"/>
      <c r="X760" s="12"/>
    </row>
    <row r="761" spans="2:24">
      <c r="B761" s="12"/>
      <c r="C761" s="12"/>
      <c r="D761" s="12"/>
      <c r="E761" s="12"/>
      <c r="F761" s="12"/>
      <c r="G761" s="12"/>
      <c r="H761" s="12"/>
      <c r="I761" s="12"/>
      <c r="J761" s="12"/>
      <c r="K761" s="12"/>
      <c r="L761" s="12"/>
      <c r="M761" s="12"/>
      <c r="N761" s="12"/>
      <c r="O761" s="12"/>
      <c r="P761" s="12"/>
      <c r="Q761" s="12"/>
      <c r="R761" s="12"/>
      <c r="S761" s="12"/>
      <c r="T761" s="12"/>
      <c r="U761" s="12"/>
      <c r="V761" s="12"/>
      <c r="W761" s="12"/>
      <c r="X761" s="12"/>
    </row>
    <row r="762" spans="2:24">
      <c r="B762" s="12"/>
      <c r="C762" s="12"/>
      <c r="D762" s="12"/>
      <c r="E762" s="12"/>
      <c r="F762" s="12"/>
      <c r="G762" s="12"/>
      <c r="H762" s="12"/>
      <c r="I762" s="12"/>
      <c r="J762" s="12"/>
      <c r="K762" s="12"/>
      <c r="L762" s="12"/>
      <c r="M762" s="12"/>
      <c r="N762" s="12"/>
      <c r="O762" s="12"/>
      <c r="P762" s="12"/>
      <c r="Q762" s="12"/>
      <c r="R762" s="12"/>
      <c r="S762" s="12"/>
      <c r="T762" s="12"/>
      <c r="U762" s="12"/>
      <c r="V762" s="12"/>
      <c r="W762" s="12"/>
      <c r="X762" s="12"/>
    </row>
    <row r="763" spans="2:24">
      <c r="B763" s="12"/>
      <c r="C763" s="12"/>
      <c r="D763" s="12"/>
      <c r="E763" s="12"/>
      <c r="F763" s="12"/>
      <c r="G763" s="12"/>
      <c r="H763" s="12"/>
      <c r="I763" s="12"/>
      <c r="J763" s="12"/>
      <c r="K763" s="12"/>
      <c r="L763" s="12"/>
      <c r="M763" s="12"/>
      <c r="N763" s="12"/>
      <c r="O763" s="12"/>
      <c r="P763" s="12"/>
      <c r="Q763" s="12"/>
      <c r="R763" s="12"/>
      <c r="S763" s="12"/>
      <c r="T763" s="12"/>
      <c r="U763" s="12"/>
      <c r="V763" s="12"/>
      <c r="W763" s="12"/>
      <c r="X763" s="12"/>
    </row>
    <row r="764" spans="2:24">
      <c r="B764" s="12"/>
      <c r="C764" s="12"/>
      <c r="D764" s="12"/>
      <c r="E764" s="12"/>
      <c r="F764" s="12"/>
      <c r="G764" s="12"/>
      <c r="H764" s="12"/>
      <c r="I764" s="12"/>
      <c r="J764" s="12"/>
      <c r="K764" s="12"/>
      <c r="L764" s="12"/>
      <c r="M764" s="12"/>
      <c r="N764" s="12"/>
      <c r="O764" s="12"/>
      <c r="P764" s="12"/>
      <c r="Q764" s="12"/>
      <c r="R764" s="12"/>
      <c r="S764" s="12"/>
      <c r="T764" s="12"/>
      <c r="U764" s="12"/>
      <c r="V764" s="12"/>
      <c r="W764" s="12"/>
      <c r="X764" s="12"/>
    </row>
    <row r="765" spans="2:24">
      <c r="B765" s="12"/>
      <c r="C765" s="12"/>
      <c r="D765" s="12"/>
      <c r="E765" s="12"/>
      <c r="F765" s="12"/>
      <c r="G765" s="12"/>
      <c r="H765" s="12"/>
      <c r="I765" s="12"/>
      <c r="J765" s="12"/>
      <c r="K765" s="12"/>
      <c r="L765" s="12"/>
      <c r="M765" s="12"/>
      <c r="N765" s="12"/>
      <c r="O765" s="12"/>
      <c r="P765" s="12"/>
      <c r="Q765" s="12"/>
      <c r="R765" s="12"/>
      <c r="S765" s="12"/>
      <c r="T765" s="12"/>
      <c r="U765" s="12"/>
      <c r="V765" s="12"/>
      <c r="W765" s="12"/>
      <c r="X765" s="12"/>
    </row>
    <row r="766" spans="2:24">
      <c r="B766" s="12"/>
      <c r="C766" s="12"/>
      <c r="D766" s="12"/>
      <c r="E766" s="12"/>
      <c r="F766" s="12"/>
      <c r="G766" s="12"/>
      <c r="H766" s="12"/>
      <c r="I766" s="12"/>
      <c r="J766" s="12"/>
      <c r="K766" s="12"/>
      <c r="L766" s="12"/>
      <c r="M766" s="12"/>
      <c r="N766" s="12"/>
      <c r="O766" s="12"/>
      <c r="P766" s="12"/>
      <c r="Q766" s="12"/>
      <c r="R766" s="12"/>
      <c r="S766" s="12"/>
      <c r="T766" s="12"/>
      <c r="U766" s="12"/>
      <c r="V766" s="12"/>
      <c r="W766" s="12"/>
      <c r="X766" s="12"/>
    </row>
    <row r="767" spans="2:24">
      <c r="B767" s="12"/>
      <c r="C767" s="12"/>
      <c r="D767" s="12"/>
      <c r="E767" s="12"/>
      <c r="F767" s="12"/>
      <c r="G767" s="12"/>
      <c r="H767" s="12"/>
      <c r="I767" s="12"/>
      <c r="J767" s="12"/>
      <c r="K767" s="12"/>
      <c r="L767" s="12"/>
      <c r="M767" s="12"/>
      <c r="N767" s="12"/>
      <c r="O767" s="12"/>
      <c r="P767" s="12"/>
      <c r="Q767" s="12"/>
      <c r="R767" s="12"/>
      <c r="S767" s="12"/>
      <c r="T767" s="12"/>
      <c r="U767" s="12"/>
      <c r="V767" s="12"/>
      <c r="W767" s="12"/>
      <c r="X767" s="12"/>
    </row>
    <row r="768" spans="2:24">
      <c r="B768" s="12"/>
      <c r="C768" s="12"/>
      <c r="D768" s="12"/>
      <c r="E768" s="12"/>
      <c r="F768" s="12"/>
      <c r="G768" s="12"/>
      <c r="H768" s="12"/>
      <c r="I768" s="12"/>
      <c r="J768" s="12"/>
      <c r="K768" s="12"/>
      <c r="L768" s="12"/>
      <c r="M768" s="12"/>
      <c r="N768" s="12"/>
      <c r="O768" s="12"/>
      <c r="P768" s="12"/>
      <c r="Q768" s="12"/>
      <c r="R768" s="12"/>
      <c r="S768" s="12"/>
      <c r="T768" s="12"/>
      <c r="U768" s="12"/>
      <c r="V768" s="12"/>
      <c r="W768" s="12"/>
      <c r="X768" s="12"/>
    </row>
    <row r="769" spans="2:24">
      <c r="B769" s="12"/>
      <c r="C769" s="12"/>
      <c r="D769" s="12"/>
      <c r="E769" s="12"/>
      <c r="F769" s="12"/>
      <c r="G769" s="12"/>
      <c r="H769" s="12"/>
      <c r="I769" s="12"/>
      <c r="J769" s="12"/>
      <c r="K769" s="12"/>
      <c r="L769" s="12"/>
      <c r="M769" s="12"/>
      <c r="N769" s="12"/>
      <c r="O769" s="12"/>
      <c r="P769" s="12"/>
      <c r="Q769" s="12"/>
      <c r="R769" s="12"/>
      <c r="S769" s="12"/>
      <c r="T769" s="12"/>
      <c r="U769" s="12"/>
      <c r="V769" s="12"/>
      <c r="W769" s="12"/>
      <c r="X769" s="12"/>
    </row>
    <row r="770" spans="2:24">
      <c r="B770" s="12"/>
      <c r="C770" s="12"/>
      <c r="D770" s="12"/>
      <c r="E770" s="12"/>
      <c r="F770" s="12"/>
      <c r="G770" s="12"/>
      <c r="H770" s="12"/>
      <c r="I770" s="12"/>
      <c r="J770" s="12"/>
      <c r="K770" s="12"/>
      <c r="L770" s="12"/>
      <c r="M770" s="12"/>
      <c r="N770" s="12"/>
      <c r="O770" s="12"/>
      <c r="P770" s="12"/>
      <c r="Q770" s="12"/>
      <c r="R770" s="12"/>
      <c r="S770" s="12"/>
      <c r="T770" s="12"/>
      <c r="U770" s="12"/>
      <c r="V770" s="12"/>
      <c r="W770" s="12"/>
      <c r="X770" s="12"/>
    </row>
    <row r="771" spans="2:24">
      <c r="B771" s="12"/>
      <c r="C771" s="12"/>
      <c r="D771" s="12"/>
      <c r="E771" s="12"/>
      <c r="F771" s="12"/>
      <c r="G771" s="12"/>
      <c r="H771" s="12"/>
      <c r="I771" s="12"/>
      <c r="J771" s="12"/>
      <c r="K771" s="12"/>
      <c r="L771" s="12"/>
      <c r="M771" s="12"/>
      <c r="N771" s="12"/>
      <c r="O771" s="12"/>
      <c r="P771" s="12"/>
      <c r="Q771" s="12"/>
      <c r="R771" s="12"/>
      <c r="S771" s="12"/>
      <c r="T771" s="12"/>
      <c r="U771" s="12"/>
      <c r="V771" s="12"/>
      <c r="W771" s="12"/>
      <c r="X771" s="12"/>
    </row>
    <row r="772" spans="2:24">
      <c r="B772" s="12"/>
      <c r="C772" s="12"/>
      <c r="D772" s="12"/>
      <c r="E772" s="12"/>
      <c r="F772" s="12"/>
      <c r="G772" s="12"/>
      <c r="H772" s="12"/>
      <c r="I772" s="12"/>
      <c r="J772" s="12"/>
      <c r="K772" s="12"/>
      <c r="L772" s="12"/>
      <c r="M772" s="12"/>
      <c r="N772" s="12"/>
      <c r="O772" s="12"/>
      <c r="P772" s="12"/>
      <c r="Q772" s="12"/>
      <c r="R772" s="12"/>
      <c r="S772" s="12"/>
      <c r="T772" s="12"/>
      <c r="U772" s="12"/>
      <c r="V772" s="12"/>
      <c r="W772" s="12"/>
      <c r="X772" s="12"/>
    </row>
    <row r="773" spans="2:24">
      <c r="B773" s="12"/>
      <c r="C773" s="12"/>
      <c r="D773" s="12"/>
      <c r="E773" s="12"/>
      <c r="F773" s="12"/>
      <c r="G773" s="12"/>
      <c r="H773" s="12"/>
      <c r="I773" s="12"/>
      <c r="J773" s="12"/>
      <c r="K773" s="12"/>
      <c r="L773" s="12"/>
      <c r="M773" s="12"/>
      <c r="N773" s="12"/>
      <c r="O773" s="12"/>
      <c r="P773" s="12"/>
      <c r="Q773" s="12"/>
      <c r="R773" s="12"/>
      <c r="S773" s="12"/>
      <c r="T773" s="12"/>
      <c r="U773" s="12"/>
      <c r="V773" s="12"/>
      <c r="W773" s="12"/>
      <c r="X773" s="12"/>
    </row>
    <row r="774" spans="2:24">
      <c r="B774" s="12"/>
      <c r="C774" s="12"/>
      <c r="D774" s="12"/>
      <c r="E774" s="12"/>
      <c r="F774" s="12"/>
      <c r="G774" s="12"/>
      <c r="H774" s="12"/>
      <c r="I774" s="12"/>
      <c r="J774" s="12"/>
      <c r="K774" s="12"/>
      <c r="L774" s="12"/>
      <c r="M774" s="12"/>
      <c r="N774" s="12"/>
      <c r="O774" s="12"/>
      <c r="P774" s="12"/>
      <c r="Q774" s="12"/>
      <c r="R774" s="12"/>
      <c r="S774" s="12"/>
      <c r="T774" s="12"/>
      <c r="U774" s="12"/>
      <c r="V774" s="12"/>
      <c r="W774" s="12"/>
      <c r="X774" s="12"/>
    </row>
    <row r="775" spans="2:24">
      <c r="B775" s="12"/>
      <c r="C775" s="12"/>
      <c r="D775" s="12"/>
      <c r="E775" s="12"/>
      <c r="F775" s="12"/>
      <c r="G775" s="12"/>
      <c r="H775" s="12"/>
      <c r="I775" s="12"/>
      <c r="J775" s="12"/>
      <c r="K775" s="12"/>
      <c r="L775" s="12"/>
      <c r="M775" s="12"/>
      <c r="N775" s="12"/>
      <c r="O775" s="12"/>
      <c r="P775" s="12"/>
      <c r="Q775" s="12"/>
      <c r="R775" s="12"/>
      <c r="S775" s="12"/>
      <c r="T775" s="12"/>
      <c r="U775" s="12"/>
      <c r="V775" s="12"/>
      <c r="W775" s="12"/>
      <c r="X775" s="12"/>
    </row>
    <row r="776" spans="2:24">
      <c r="B776" s="12"/>
      <c r="C776" s="12"/>
      <c r="D776" s="12"/>
      <c r="E776" s="12"/>
      <c r="F776" s="12"/>
      <c r="G776" s="12"/>
      <c r="H776" s="12"/>
      <c r="I776" s="12"/>
      <c r="J776" s="12"/>
      <c r="K776" s="12"/>
      <c r="L776" s="12"/>
      <c r="M776" s="12"/>
      <c r="N776" s="12"/>
      <c r="O776" s="12"/>
      <c r="P776" s="12"/>
      <c r="Q776" s="12"/>
      <c r="R776" s="12"/>
      <c r="S776" s="12"/>
      <c r="T776" s="12"/>
      <c r="U776" s="12"/>
      <c r="V776" s="12"/>
      <c r="W776" s="12"/>
      <c r="X776" s="12"/>
    </row>
    <row r="777" spans="2:24">
      <c r="B777" s="12"/>
      <c r="C777" s="12"/>
      <c r="D777" s="12"/>
      <c r="E777" s="12"/>
      <c r="F777" s="12"/>
      <c r="G777" s="12"/>
      <c r="H777" s="12"/>
      <c r="I777" s="12"/>
      <c r="J777" s="12"/>
      <c r="K777" s="12"/>
      <c r="L777" s="12"/>
      <c r="M777" s="12"/>
      <c r="N777" s="12"/>
      <c r="O777" s="12"/>
      <c r="P777" s="12"/>
      <c r="Q777" s="12"/>
      <c r="R777" s="12"/>
      <c r="S777" s="12"/>
      <c r="T777" s="12"/>
      <c r="U777" s="12"/>
      <c r="V777" s="12"/>
      <c r="W777" s="12"/>
      <c r="X777" s="12"/>
    </row>
    <row r="778" spans="2:24">
      <c r="B778" s="12"/>
      <c r="C778" s="12"/>
      <c r="D778" s="12"/>
      <c r="E778" s="12"/>
      <c r="F778" s="12"/>
      <c r="G778" s="12"/>
      <c r="H778" s="12"/>
      <c r="I778" s="12"/>
      <c r="J778" s="12"/>
      <c r="K778" s="12"/>
      <c r="L778" s="12"/>
      <c r="M778" s="12"/>
      <c r="N778" s="12"/>
      <c r="O778" s="12"/>
      <c r="P778" s="12"/>
      <c r="Q778" s="12"/>
      <c r="R778" s="12"/>
      <c r="S778" s="12"/>
      <c r="T778" s="12"/>
      <c r="U778" s="12"/>
      <c r="V778" s="12"/>
      <c r="W778" s="12"/>
      <c r="X778" s="12"/>
    </row>
    <row r="779" spans="2:24">
      <c r="B779" s="12"/>
      <c r="C779" s="12"/>
      <c r="D779" s="12"/>
      <c r="E779" s="12"/>
      <c r="F779" s="12"/>
      <c r="G779" s="12"/>
      <c r="H779" s="12"/>
      <c r="I779" s="12"/>
      <c r="J779" s="12"/>
      <c r="K779" s="12"/>
      <c r="L779" s="12"/>
      <c r="M779" s="12"/>
      <c r="N779" s="12"/>
      <c r="O779" s="12"/>
      <c r="P779" s="12"/>
      <c r="Q779" s="12"/>
      <c r="R779" s="12"/>
      <c r="S779" s="12"/>
      <c r="T779" s="12"/>
      <c r="U779" s="12"/>
      <c r="V779" s="12"/>
      <c r="W779" s="12"/>
      <c r="X779" s="12"/>
    </row>
    <row r="780" spans="2:24">
      <c r="B780" s="12"/>
      <c r="C780" s="12"/>
      <c r="D780" s="12"/>
      <c r="E780" s="12"/>
      <c r="F780" s="12"/>
      <c r="G780" s="12"/>
      <c r="H780" s="12"/>
      <c r="I780" s="12"/>
      <c r="J780" s="12"/>
      <c r="K780" s="12"/>
      <c r="L780" s="12"/>
      <c r="M780" s="12"/>
      <c r="N780" s="12"/>
      <c r="O780" s="12"/>
      <c r="P780" s="12"/>
      <c r="Q780" s="12"/>
      <c r="R780" s="12"/>
      <c r="S780" s="12"/>
      <c r="T780" s="12"/>
      <c r="U780" s="12"/>
      <c r="V780" s="12"/>
      <c r="W780" s="12"/>
      <c r="X780" s="12"/>
    </row>
    <row r="781" spans="2:24">
      <c r="B781" s="12"/>
      <c r="C781" s="12"/>
      <c r="D781" s="12"/>
      <c r="E781" s="12"/>
      <c r="F781" s="12"/>
      <c r="G781" s="12"/>
      <c r="H781" s="12"/>
      <c r="I781" s="12"/>
      <c r="J781" s="12"/>
      <c r="K781" s="12"/>
      <c r="L781" s="12"/>
      <c r="M781" s="12"/>
      <c r="N781" s="12"/>
      <c r="O781" s="12"/>
      <c r="P781" s="12"/>
      <c r="Q781" s="12"/>
      <c r="R781" s="12"/>
      <c r="S781" s="12"/>
      <c r="T781" s="12"/>
      <c r="U781" s="12"/>
      <c r="V781" s="12"/>
      <c r="W781" s="12"/>
      <c r="X781" s="12"/>
    </row>
    <row r="782" spans="2:24">
      <c r="B782" s="12"/>
      <c r="C782" s="12"/>
      <c r="D782" s="12"/>
      <c r="E782" s="12"/>
      <c r="F782" s="12"/>
      <c r="G782" s="12"/>
      <c r="H782" s="12"/>
      <c r="I782" s="12"/>
      <c r="J782" s="12"/>
      <c r="K782" s="12"/>
      <c r="L782" s="12"/>
      <c r="M782" s="12"/>
      <c r="N782" s="12"/>
      <c r="O782" s="12"/>
      <c r="P782" s="12"/>
      <c r="Q782" s="12"/>
      <c r="R782" s="12"/>
      <c r="S782" s="12"/>
      <c r="T782" s="12"/>
      <c r="U782" s="12"/>
      <c r="V782" s="12"/>
      <c r="W782" s="12"/>
      <c r="X782" s="12"/>
    </row>
    <row r="783" spans="2:24">
      <c r="B783" s="12"/>
      <c r="C783" s="12"/>
      <c r="D783" s="12"/>
      <c r="E783" s="12"/>
      <c r="F783" s="12"/>
      <c r="G783" s="12"/>
      <c r="H783" s="12"/>
      <c r="I783" s="12"/>
      <c r="J783" s="12"/>
      <c r="K783" s="12"/>
      <c r="L783" s="12"/>
      <c r="M783" s="12"/>
      <c r="N783" s="12"/>
      <c r="O783" s="12"/>
      <c r="P783" s="12"/>
      <c r="Q783" s="12"/>
      <c r="R783" s="12"/>
      <c r="S783" s="12"/>
      <c r="T783" s="12"/>
      <c r="U783" s="12"/>
      <c r="V783" s="12"/>
      <c r="W783" s="12"/>
      <c r="X783" s="12"/>
    </row>
    <row r="784" spans="2:24">
      <c r="B784" s="12"/>
      <c r="C784" s="12"/>
      <c r="D784" s="12"/>
      <c r="E784" s="12"/>
      <c r="F784" s="12"/>
      <c r="G784" s="12"/>
      <c r="H784" s="12"/>
      <c r="I784" s="12"/>
      <c r="J784" s="12"/>
      <c r="K784" s="12"/>
      <c r="L784" s="12"/>
      <c r="M784" s="12"/>
      <c r="N784" s="12"/>
      <c r="O784" s="12"/>
      <c r="P784" s="12"/>
      <c r="Q784" s="12"/>
      <c r="R784" s="12"/>
      <c r="S784" s="12"/>
      <c r="T784" s="12"/>
      <c r="U784" s="12"/>
      <c r="V784" s="12"/>
      <c r="W784" s="12"/>
      <c r="X784" s="12"/>
    </row>
    <row r="785" spans="2:24">
      <c r="B785" s="12"/>
      <c r="C785" s="12"/>
      <c r="D785" s="12"/>
      <c r="E785" s="12"/>
      <c r="F785" s="12"/>
      <c r="G785" s="12"/>
      <c r="H785" s="12"/>
      <c r="I785" s="12"/>
      <c r="J785" s="12"/>
      <c r="K785" s="12"/>
      <c r="L785" s="12"/>
      <c r="M785" s="12"/>
      <c r="N785" s="12"/>
      <c r="O785" s="12"/>
      <c r="P785" s="12"/>
      <c r="Q785" s="12"/>
      <c r="R785" s="12"/>
      <c r="S785" s="12"/>
      <c r="T785" s="12"/>
      <c r="U785" s="12"/>
      <c r="V785" s="12"/>
      <c r="W785" s="12"/>
      <c r="X785" s="12"/>
    </row>
    <row r="786" spans="2:24">
      <c r="B786" s="12"/>
      <c r="C786" s="12"/>
      <c r="D786" s="12"/>
      <c r="E786" s="12"/>
      <c r="F786" s="12"/>
      <c r="G786" s="12"/>
      <c r="H786" s="12"/>
      <c r="I786" s="12"/>
      <c r="J786" s="12"/>
      <c r="K786" s="12"/>
      <c r="L786" s="12"/>
      <c r="M786" s="12"/>
      <c r="N786" s="12"/>
      <c r="O786" s="12"/>
      <c r="P786" s="12"/>
      <c r="Q786" s="12"/>
      <c r="R786" s="12"/>
      <c r="S786" s="12"/>
      <c r="T786" s="12"/>
      <c r="U786" s="12"/>
      <c r="V786" s="12"/>
      <c r="W786" s="12"/>
      <c r="X786" s="12"/>
    </row>
    <row r="787" spans="2:24">
      <c r="B787" s="12"/>
      <c r="C787" s="12"/>
      <c r="D787" s="12"/>
      <c r="E787" s="12"/>
      <c r="F787" s="12"/>
      <c r="G787" s="12"/>
      <c r="H787" s="12"/>
      <c r="I787" s="12"/>
      <c r="J787" s="12"/>
      <c r="K787" s="12"/>
      <c r="L787" s="12"/>
      <c r="M787" s="12"/>
      <c r="N787" s="12"/>
      <c r="O787" s="12"/>
      <c r="P787" s="12"/>
      <c r="Q787" s="12"/>
      <c r="R787" s="12"/>
      <c r="S787" s="12"/>
      <c r="T787" s="12"/>
      <c r="U787" s="12"/>
      <c r="V787" s="12"/>
      <c r="W787" s="12"/>
      <c r="X787" s="12"/>
    </row>
    <row r="788" spans="2:24">
      <c r="B788" s="12"/>
      <c r="C788" s="12"/>
      <c r="D788" s="12"/>
      <c r="E788" s="12"/>
      <c r="F788" s="12"/>
      <c r="G788" s="12"/>
      <c r="H788" s="12"/>
      <c r="I788" s="12"/>
      <c r="J788" s="12"/>
      <c r="K788" s="12"/>
      <c r="L788" s="12"/>
      <c r="M788" s="12"/>
      <c r="N788" s="12"/>
      <c r="O788" s="12"/>
      <c r="P788" s="12"/>
      <c r="Q788" s="12"/>
      <c r="R788" s="12"/>
      <c r="S788" s="12"/>
      <c r="T788" s="12"/>
      <c r="U788" s="12"/>
      <c r="V788" s="12"/>
      <c r="W788" s="12"/>
      <c r="X788" s="12"/>
    </row>
    <row r="789" spans="2:24">
      <c r="B789" s="12"/>
      <c r="C789" s="12"/>
      <c r="D789" s="12"/>
      <c r="E789" s="12"/>
      <c r="F789" s="12"/>
      <c r="G789" s="12"/>
      <c r="H789" s="12"/>
      <c r="I789" s="12"/>
      <c r="J789" s="12"/>
      <c r="K789" s="12"/>
      <c r="L789" s="12"/>
      <c r="M789" s="12"/>
      <c r="N789" s="12"/>
      <c r="O789" s="12"/>
      <c r="P789" s="12"/>
      <c r="Q789" s="12"/>
      <c r="R789" s="12"/>
      <c r="S789" s="12"/>
      <c r="T789" s="12"/>
      <c r="U789" s="12"/>
      <c r="V789" s="12"/>
      <c r="W789" s="12"/>
      <c r="X789" s="12"/>
    </row>
    <row r="790" spans="2:24">
      <c r="B790" s="12"/>
      <c r="C790" s="12"/>
      <c r="D790" s="12"/>
      <c r="E790" s="12"/>
      <c r="F790" s="12"/>
      <c r="G790" s="12"/>
      <c r="H790" s="12"/>
      <c r="I790" s="12"/>
      <c r="J790" s="12"/>
      <c r="K790" s="12"/>
      <c r="L790" s="12"/>
      <c r="M790" s="12"/>
      <c r="N790" s="12"/>
      <c r="O790" s="12"/>
      <c r="P790" s="12"/>
      <c r="Q790" s="12"/>
      <c r="R790" s="12"/>
      <c r="S790" s="12"/>
      <c r="T790" s="12"/>
      <c r="U790" s="12"/>
      <c r="V790" s="12"/>
      <c r="W790" s="12"/>
      <c r="X790" s="12"/>
    </row>
    <row r="791" spans="2:24">
      <c r="B791" s="12"/>
      <c r="C791" s="12"/>
      <c r="D791" s="12"/>
      <c r="E791" s="12"/>
      <c r="F791" s="12"/>
      <c r="G791" s="12"/>
      <c r="H791" s="12"/>
      <c r="I791" s="12"/>
      <c r="J791" s="12"/>
      <c r="K791" s="12"/>
      <c r="L791" s="12"/>
      <c r="M791" s="12"/>
      <c r="N791" s="12"/>
      <c r="O791" s="12"/>
      <c r="P791" s="12"/>
      <c r="Q791" s="12"/>
      <c r="R791" s="12"/>
      <c r="S791" s="12"/>
      <c r="T791" s="12"/>
      <c r="U791" s="12"/>
      <c r="V791" s="12"/>
      <c r="W791" s="12"/>
      <c r="X791" s="12"/>
    </row>
    <row r="792" spans="2:24">
      <c r="B792" s="12"/>
      <c r="C792" s="12"/>
      <c r="D792" s="12"/>
      <c r="E792" s="12"/>
      <c r="F792" s="12"/>
      <c r="G792" s="12"/>
      <c r="H792" s="12"/>
      <c r="I792" s="12"/>
      <c r="J792" s="12"/>
      <c r="K792" s="12"/>
      <c r="L792" s="12"/>
      <c r="M792" s="12"/>
      <c r="N792" s="12"/>
      <c r="O792" s="12"/>
      <c r="P792" s="12"/>
      <c r="Q792" s="12"/>
      <c r="R792" s="12"/>
      <c r="S792" s="12"/>
      <c r="T792" s="12"/>
      <c r="U792" s="12"/>
      <c r="V792" s="12"/>
      <c r="W792" s="12"/>
      <c r="X792" s="12"/>
    </row>
    <row r="793" spans="2:24">
      <c r="B793" s="12"/>
      <c r="C793" s="12"/>
      <c r="D793" s="12"/>
      <c r="E793" s="12"/>
      <c r="F793" s="12"/>
      <c r="G793" s="12"/>
      <c r="H793" s="12"/>
      <c r="I793" s="12"/>
      <c r="J793" s="12"/>
      <c r="K793" s="12"/>
      <c r="L793" s="12"/>
      <c r="M793" s="12"/>
      <c r="N793" s="12"/>
      <c r="O793" s="12"/>
      <c r="P793" s="12"/>
      <c r="Q793" s="12"/>
      <c r="R793" s="12"/>
      <c r="S793" s="12"/>
      <c r="T793" s="12"/>
      <c r="U793" s="12"/>
      <c r="V793" s="12"/>
      <c r="W793" s="12"/>
      <c r="X793" s="12"/>
    </row>
    <row r="794" spans="2:24">
      <c r="B794" s="12"/>
      <c r="C794" s="12"/>
      <c r="D794" s="12"/>
      <c r="E794" s="12"/>
      <c r="F794" s="12"/>
      <c r="G794" s="12"/>
      <c r="H794" s="12"/>
      <c r="I794" s="12"/>
      <c r="J794" s="12"/>
      <c r="K794" s="12"/>
      <c r="L794" s="12"/>
      <c r="M794" s="12"/>
      <c r="N794" s="12"/>
      <c r="O794" s="12"/>
      <c r="P794" s="12"/>
      <c r="Q794" s="12"/>
      <c r="R794" s="12"/>
      <c r="S794" s="12"/>
      <c r="T794" s="12"/>
      <c r="U794" s="12"/>
      <c r="V794" s="12"/>
      <c r="W794" s="12"/>
      <c r="X794" s="12"/>
    </row>
    <row r="795" spans="2:24">
      <c r="B795" s="12"/>
      <c r="C795" s="12"/>
      <c r="D795" s="12"/>
      <c r="E795" s="12"/>
      <c r="F795" s="12"/>
      <c r="G795" s="12"/>
      <c r="H795" s="12"/>
      <c r="I795" s="12"/>
      <c r="J795" s="12"/>
      <c r="K795" s="12"/>
      <c r="L795" s="12"/>
      <c r="M795" s="12"/>
      <c r="N795" s="12"/>
      <c r="O795" s="12"/>
      <c r="P795" s="12"/>
      <c r="Q795" s="12"/>
      <c r="R795" s="12"/>
      <c r="S795" s="12"/>
      <c r="T795" s="12"/>
      <c r="U795" s="12"/>
      <c r="V795" s="12"/>
      <c r="W795" s="12"/>
      <c r="X795" s="12"/>
    </row>
    <row r="796" spans="2:24">
      <c r="B796" s="12"/>
      <c r="C796" s="12"/>
      <c r="D796" s="12"/>
      <c r="E796" s="12"/>
      <c r="F796" s="12"/>
      <c r="G796" s="12"/>
      <c r="H796" s="12"/>
      <c r="I796" s="12"/>
      <c r="J796" s="12"/>
      <c r="K796" s="12"/>
      <c r="L796" s="12"/>
      <c r="M796" s="12"/>
      <c r="N796" s="12"/>
      <c r="O796" s="12"/>
      <c r="P796" s="12"/>
      <c r="Q796" s="12"/>
      <c r="R796" s="12"/>
      <c r="S796" s="12"/>
      <c r="T796" s="12"/>
      <c r="U796" s="12"/>
      <c r="V796" s="12"/>
      <c r="W796" s="12"/>
      <c r="X796" s="12"/>
    </row>
    <row r="797" spans="2:24">
      <c r="B797" s="12"/>
      <c r="C797" s="12"/>
      <c r="D797" s="12"/>
      <c r="E797" s="12"/>
      <c r="F797" s="12"/>
      <c r="G797" s="12"/>
      <c r="H797" s="12"/>
      <c r="I797" s="12"/>
      <c r="J797" s="12"/>
      <c r="K797" s="12"/>
      <c r="L797" s="12"/>
      <c r="M797" s="12"/>
      <c r="N797" s="12"/>
      <c r="O797" s="12"/>
      <c r="P797" s="12"/>
      <c r="Q797" s="12"/>
      <c r="R797" s="12"/>
      <c r="S797" s="12"/>
      <c r="T797" s="12"/>
      <c r="U797" s="12"/>
      <c r="V797" s="12"/>
      <c r="W797" s="12"/>
      <c r="X797" s="12"/>
    </row>
    <row r="798" spans="2:24">
      <c r="B798" s="12"/>
      <c r="C798" s="12"/>
      <c r="D798" s="12"/>
      <c r="E798" s="12"/>
      <c r="F798" s="12"/>
      <c r="G798" s="12"/>
      <c r="H798" s="12"/>
      <c r="I798" s="12"/>
      <c r="J798" s="12"/>
      <c r="K798" s="12"/>
      <c r="L798" s="12"/>
      <c r="M798" s="12"/>
      <c r="N798" s="12"/>
      <c r="O798" s="12"/>
      <c r="P798" s="12"/>
      <c r="Q798" s="12"/>
      <c r="R798" s="12"/>
      <c r="S798" s="12"/>
      <c r="T798" s="12"/>
      <c r="U798" s="12"/>
      <c r="V798" s="12"/>
      <c r="W798" s="12"/>
      <c r="X798" s="12"/>
    </row>
    <row r="799" spans="2:24">
      <c r="B799" s="12"/>
      <c r="C799" s="12"/>
      <c r="D799" s="12"/>
      <c r="E799" s="12"/>
      <c r="F799" s="12"/>
      <c r="G799" s="12"/>
      <c r="H799" s="12"/>
      <c r="I799" s="12"/>
      <c r="J799" s="12"/>
      <c r="K799" s="12"/>
      <c r="L799" s="12"/>
      <c r="M799" s="12"/>
      <c r="N799" s="12"/>
      <c r="O799" s="12"/>
      <c r="P799" s="12"/>
      <c r="Q799" s="12"/>
      <c r="R799" s="12"/>
      <c r="S799" s="12"/>
      <c r="T799" s="12"/>
      <c r="U799" s="12"/>
      <c r="V799" s="12"/>
      <c r="W799" s="12"/>
      <c r="X799" s="12"/>
    </row>
    <row r="800" spans="2:24">
      <c r="B800" s="12"/>
      <c r="C800" s="12"/>
      <c r="D800" s="12"/>
      <c r="E800" s="12"/>
      <c r="F800" s="12"/>
      <c r="G800" s="12"/>
      <c r="H800" s="12"/>
      <c r="I800" s="12"/>
      <c r="J800" s="12"/>
      <c r="K800" s="12"/>
      <c r="L800" s="12"/>
      <c r="M800" s="12"/>
      <c r="N800" s="12"/>
      <c r="O800" s="12"/>
      <c r="P800" s="12"/>
      <c r="Q800" s="12"/>
      <c r="R800" s="12"/>
      <c r="S800" s="12"/>
      <c r="T800" s="12"/>
      <c r="U800" s="12"/>
      <c r="V800" s="12"/>
      <c r="W800" s="12"/>
      <c r="X800" s="12"/>
    </row>
    <row r="801" spans="2:24">
      <c r="B801" s="12"/>
      <c r="C801" s="12"/>
      <c r="D801" s="12"/>
      <c r="E801" s="12"/>
      <c r="F801" s="12"/>
      <c r="G801" s="12"/>
      <c r="H801" s="12"/>
      <c r="I801" s="12"/>
      <c r="J801" s="12"/>
      <c r="K801" s="12"/>
      <c r="L801" s="12"/>
      <c r="M801" s="12"/>
      <c r="N801" s="12"/>
      <c r="O801" s="12"/>
      <c r="P801" s="12"/>
      <c r="Q801" s="12"/>
      <c r="R801" s="12"/>
      <c r="S801" s="12"/>
      <c r="T801" s="12"/>
      <c r="U801" s="12"/>
      <c r="V801" s="12"/>
      <c r="W801" s="12"/>
      <c r="X801" s="12"/>
    </row>
    <row r="802" spans="2:24">
      <c r="B802" s="12"/>
      <c r="C802" s="12"/>
      <c r="D802" s="12"/>
      <c r="E802" s="12"/>
      <c r="F802" s="12"/>
      <c r="G802" s="12"/>
      <c r="H802" s="12"/>
      <c r="I802" s="12"/>
      <c r="J802" s="12"/>
      <c r="K802" s="12"/>
      <c r="L802" s="12"/>
      <c r="M802" s="12"/>
      <c r="N802" s="12"/>
      <c r="O802" s="12"/>
      <c r="P802" s="12"/>
      <c r="Q802" s="12"/>
      <c r="R802" s="12"/>
      <c r="S802" s="12"/>
      <c r="T802" s="12"/>
      <c r="U802" s="12"/>
      <c r="V802" s="12"/>
      <c r="W802" s="12"/>
      <c r="X802" s="12"/>
    </row>
    <row r="803" spans="2:24">
      <c r="B803" s="12"/>
      <c r="C803" s="12"/>
      <c r="D803" s="12"/>
      <c r="E803" s="12"/>
      <c r="F803" s="12"/>
      <c r="G803" s="12"/>
      <c r="H803" s="12"/>
      <c r="I803" s="12"/>
      <c r="J803" s="12"/>
      <c r="K803" s="12"/>
      <c r="L803" s="12"/>
      <c r="M803" s="12"/>
      <c r="N803" s="12"/>
      <c r="O803" s="12"/>
      <c r="P803" s="12"/>
      <c r="Q803" s="12"/>
      <c r="R803" s="12"/>
      <c r="S803" s="12"/>
      <c r="T803" s="12"/>
      <c r="U803" s="12"/>
      <c r="V803" s="12"/>
      <c r="W803" s="12"/>
      <c r="X803" s="12"/>
    </row>
    <row r="804" spans="2:24">
      <c r="B804" s="12"/>
      <c r="C804" s="12"/>
      <c r="D804" s="12"/>
      <c r="E804" s="12"/>
      <c r="F804" s="12"/>
      <c r="G804" s="12"/>
      <c r="H804" s="12"/>
      <c r="I804" s="12"/>
      <c r="J804" s="12"/>
      <c r="K804" s="12"/>
      <c r="L804" s="12"/>
      <c r="M804" s="12"/>
      <c r="N804" s="12"/>
      <c r="O804" s="12"/>
      <c r="P804" s="12"/>
      <c r="Q804" s="12"/>
      <c r="R804" s="12"/>
      <c r="S804" s="12"/>
      <c r="T804" s="12"/>
      <c r="U804" s="12"/>
      <c r="V804" s="12"/>
      <c r="W804" s="12"/>
      <c r="X804" s="12"/>
    </row>
    <row r="805" spans="2:24">
      <c r="B805" s="12"/>
      <c r="C805" s="12"/>
      <c r="D805" s="12"/>
      <c r="E805" s="12"/>
      <c r="F805" s="12"/>
      <c r="G805" s="12"/>
      <c r="H805" s="12"/>
      <c r="I805" s="12"/>
      <c r="J805" s="12"/>
      <c r="K805" s="12"/>
      <c r="L805" s="12"/>
      <c r="M805" s="12"/>
      <c r="N805" s="12"/>
      <c r="O805" s="12"/>
      <c r="P805" s="12"/>
      <c r="Q805" s="12"/>
      <c r="R805" s="12"/>
      <c r="S805" s="12"/>
      <c r="T805" s="12"/>
      <c r="U805" s="12"/>
      <c r="V805" s="12"/>
      <c r="W805" s="12"/>
      <c r="X805" s="12"/>
    </row>
    <row r="806" spans="2:24">
      <c r="B806" s="12"/>
      <c r="C806" s="12"/>
      <c r="D806" s="12"/>
      <c r="E806" s="12"/>
      <c r="F806" s="12"/>
      <c r="G806" s="12"/>
      <c r="H806" s="12"/>
      <c r="I806" s="12"/>
      <c r="J806" s="12"/>
      <c r="K806" s="12"/>
      <c r="L806" s="12"/>
      <c r="M806" s="12"/>
      <c r="N806" s="12"/>
      <c r="O806" s="12"/>
      <c r="P806" s="12"/>
      <c r="Q806" s="12"/>
      <c r="R806" s="12"/>
      <c r="S806" s="12"/>
      <c r="T806" s="12"/>
      <c r="U806" s="12"/>
      <c r="V806" s="12"/>
      <c r="W806" s="12"/>
      <c r="X806" s="12"/>
    </row>
    <row r="807" spans="2:24">
      <c r="B807" s="12"/>
      <c r="C807" s="12"/>
      <c r="D807" s="12"/>
      <c r="E807" s="12"/>
      <c r="F807" s="12"/>
      <c r="G807" s="12"/>
      <c r="H807" s="12"/>
      <c r="I807" s="12"/>
      <c r="J807" s="12"/>
      <c r="K807" s="12"/>
      <c r="L807" s="12"/>
      <c r="M807" s="12"/>
      <c r="N807" s="12"/>
      <c r="O807" s="12"/>
      <c r="P807" s="12"/>
      <c r="Q807" s="12"/>
      <c r="R807" s="12"/>
      <c r="S807" s="12"/>
      <c r="T807" s="12"/>
      <c r="U807" s="12"/>
      <c r="V807" s="12"/>
      <c r="W807" s="12"/>
      <c r="X807" s="12"/>
    </row>
    <row r="808" spans="2:24">
      <c r="B808" s="12"/>
      <c r="C808" s="12"/>
      <c r="D808" s="12"/>
      <c r="E808" s="12"/>
      <c r="F808" s="12"/>
      <c r="G808" s="12"/>
      <c r="H808" s="12"/>
      <c r="I808" s="12"/>
      <c r="J808" s="12"/>
      <c r="K808" s="12"/>
      <c r="L808" s="12"/>
      <c r="M808" s="12"/>
      <c r="N808" s="12"/>
      <c r="O808" s="12"/>
      <c r="P808" s="12"/>
      <c r="Q808" s="12"/>
      <c r="R808" s="12"/>
      <c r="S808" s="12"/>
      <c r="T808" s="12"/>
      <c r="U808" s="12"/>
      <c r="V808" s="12"/>
      <c r="W808" s="12"/>
      <c r="X808" s="12"/>
    </row>
    <row r="809" spans="2:24">
      <c r="B809" s="12"/>
      <c r="C809" s="12"/>
      <c r="D809" s="12"/>
      <c r="E809" s="12"/>
      <c r="F809" s="12"/>
      <c r="G809" s="12"/>
      <c r="H809" s="12"/>
      <c r="I809" s="12"/>
      <c r="J809" s="12"/>
      <c r="K809" s="12"/>
      <c r="L809" s="12"/>
      <c r="M809" s="12"/>
      <c r="N809" s="12"/>
      <c r="O809" s="12"/>
      <c r="P809" s="12"/>
      <c r="Q809" s="12"/>
      <c r="R809" s="12"/>
      <c r="S809" s="12"/>
      <c r="T809" s="12"/>
      <c r="U809" s="12"/>
      <c r="V809" s="12"/>
      <c r="W809" s="12"/>
      <c r="X809" s="12"/>
    </row>
    <row r="810" spans="2:24">
      <c r="B810" s="12"/>
      <c r="C810" s="12"/>
      <c r="D810" s="12"/>
      <c r="E810" s="12"/>
      <c r="F810" s="12"/>
      <c r="G810" s="12"/>
      <c r="H810" s="12"/>
      <c r="I810" s="12"/>
      <c r="J810" s="12"/>
      <c r="K810" s="12"/>
      <c r="L810" s="12"/>
      <c r="M810" s="12"/>
      <c r="N810" s="12"/>
      <c r="O810" s="12"/>
      <c r="P810" s="12"/>
      <c r="Q810" s="12"/>
      <c r="R810" s="12"/>
      <c r="S810" s="12"/>
      <c r="T810" s="12"/>
      <c r="U810" s="12"/>
      <c r="V810" s="12"/>
      <c r="W810" s="12"/>
      <c r="X810" s="12"/>
    </row>
    <row r="811" spans="2:24">
      <c r="B811" s="12"/>
      <c r="C811" s="12"/>
      <c r="D811" s="12"/>
      <c r="E811" s="12"/>
      <c r="F811" s="12"/>
      <c r="G811" s="12"/>
      <c r="H811" s="12"/>
      <c r="I811" s="12"/>
      <c r="J811" s="12"/>
      <c r="K811" s="12"/>
      <c r="L811" s="12"/>
      <c r="M811" s="12"/>
      <c r="N811" s="12"/>
      <c r="O811" s="12"/>
      <c r="P811" s="12"/>
      <c r="Q811" s="12"/>
      <c r="R811" s="12"/>
      <c r="S811" s="12"/>
      <c r="T811" s="12"/>
      <c r="U811" s="12"/>
      <c r="V811" s="12"/>
      <c r="W811" s="12"/>
      <c r="X811" s="12"/>
    </row>
    <row r="812" spans="2:24">
      <c r="B812" s="12"/>
      <c r="C812" s="12"/>
      <c r="D812" s="12"/>
      <c r="E812" s="12"/>
      <c r="F812" s="12"/>
      <c r="G812" s="12"/>
      <c r="H812" s="12"/>
      <c r="I812" s="12"/>
      <c r="J812" s="12"/>
      <c r="K812" s="12"/>
      <c r="L812" s="12"/>
      <c r="M812" s="12"/>
      <c r="N812" s="12"/>
      <c r="O812" s="12"/>
      <c r="P812" s="12"/>
      <c r="Q812" s="12"/>
      <c r="R812" s="12"/>
      <c r="S812" s="12"/>
      <c r="T812" s="12"/>
      <c r="U812" s="12"/>
      <c r="V812" s="12"/>
      <c r="W812" s="12"/>
      <c r="X812" s="12"/>
    </row>
    <row r="813" spans="2:24">
      <c r="B813" s="12"/>
      <c r="C813" s="12"/>
      <c r="D813" s="12"/>
      <c r="E813" s="12"/>
      <c r="F813" s="12"/>
      <c r="G813" s="12"/>
      <c r="H813" s="12"/>
      <c r="I813" s="12"/>
      <c r="J813" s="12"/>
      <c r="K813" s="12"/>
      <c r="L813" s="12"/>
      <c r="M813" s="12"/>
      <c r="N813" s="12"/>
      <c r="O813" s="12"/>
      <c r="P813" s="12"/>
      <c r="Q813" s="12"/>
      <c r="R813" s="12"/>
      <c r="S813" s="12"/>
      <c r="T813" s="12"/>
      <c r="U813" s="12"/>
      <c r="V813" s="12"/>
      <c r="W813" s="12"/>
      <c r="X813" s="12"/>
    </row>
    <row r="814" spans="2:24">
      <c r="B814" s="12"/>
      <c r="C814" s="12"/>
      <c r="D814" s="12"/>
      <c r="E814" s="12"/>
      <c r="F814" s="12"/>
      <c r="G814" s="12"/>
      <c r="H814" s="12"/>
      <c r="I814" s="12"/>
      <c r="J814" s="12"/>
      <c r="K814" s="12"/>
      <c r="L814" s="12"/>
      <c r="M814" s="12"/>
      <c r="N814" s="12"/>
      <c r="O814" s="12"/>
      <c r="P814" s="12"/>
      <c r="Q814" s="12"/>
      <c r="R814" s="12"/>
      <c r="S814" s="12"/>
      <c r="T814" s="12"/>
      <c r="U814" s="12"/>
      <c r="V814" s="12"/>
      <c r="W814" s="12"/>
      <c r="X814" s="12"/>
    </row>
    <row r="815" spans="2:24">
      <c r="B815" s="12"/>
      <c r="C815" s="12"/>
      <c r="D815" s="12"/>
      <c r="E815" s="12"/>
      <c r="F815" s="12"/>
      <c r="G815" s="12"/>
      <c r="H815" s="12"/>
      <c r="I815" s="12"/>
      <c r="J815" s="12"/>
      <c r="K815" s="12"/>
      <c r="L815" s="12"/>
      <c r="M815" s="12"/>
      <c r="N815" s="12"/>
      <c r="O815" s="12"/>
      <c r="P815" s="12"/>
      <c r="Q815" s="12"/>
      <c r="R815" s="12"/>
      <c r="S815" s="12"/>
      <c r="T815" s="12"/>
      <c r="U815" s="12"/>
      <c r="V815" s="12"/>
      <c r="W815" s="12"/>
      <c r="X815" s="12"/>
    </row>
    <row r="816" spans="2:24">
      <c r="B816" s="12"/>
      <c r="C816" s="12"/>
      <c r="D816" s="12"/>
      <c r="E816" s="12"/>
      <c r="F816" s="12"/>
      <c r="G816" s="12"/>
      <c r="H816" s="12"/>
      <c r="I816" s="12"/>
      <c r="J816" s="12"/>
      <c r="K816" s="12"/>
      <c r="L816" s="12"/>
      <c r="M816" s="12"/>
      <c r="N816" s="12"/>
      <c r="O816" s="12"/>
      <c r="P816" s="12"/>
      <c r="Q816" s="12"/>
      <c r="R816" s="12"/>
      <c r="S816" s="12"/>
      <c r="T816" s="12"/>
      <c r="U816" s="12"/>
      <c r="V816" s="12"/>
      <c r="W816" s="12"/>
      <c r="X816" s="12"/>
    </row>
    <row r="817" spans="2:24">
      <c r="B817" s="12"/>
      <c r="C817" s="12"/>
      <c r="D817" s="12"/>
      <c r="E817" s="12"/>
      <c r="F817" s="12"/>
      <c r="G817" s="12"/>
      <c r="H817" s="12"/>
      <c r="I817" s="12"/>
      <c r="J817" s="12"/>
      <c r="K817" s="12"/>
      <c r="L817" s="12"/>
      <c r="M817" s="12"/>
      <c r="N817" s="12"/>
      <c r="O817" s="12"/>
      <c r="P817" s="12"/>
      <c r="Q817" s="12"/>
      <c r="R817" s="12"/>
      <c r="S817" s="12"/>
      <c r="T817" s="12"/>
      <c r="U817" s="12"/>
      <c r="V817" s="12"/>
      <c r="W817" s="12"/>
      <c r="X817" s="12"/>
    </row>
    <row r="818" spans="2:24">
      <c r="B818" s="12"/>
      <c r="C818" s="12"/>
      <c r="D818" s="12"/>
      <c r="E818" s="12"/>
      <c r="F818" s="12"/>
      <c r="G818" s="12"/>
      <c r="H818" s="12"/>
      <c r="I818" s="12"/>
      <c r="J818" s="12"/>
      <c r="K818" s="12"/>
      <c r="L818" s="12"/>
      <c r="M818" s="12"/>
      <c r="N818" s="12"/>
      <c r="O818" s="12"/>
      <c r="P818" s="12"/>
      <c r="Q818" s="12"/>
      <c r="R818" s="12"/>
      <c r="S818" s="12"/>
      <c r="T818" s="12"/>
      <c r="U818" s="12"/>
      <c r="V818" s="12"/>
      <c r="W818" s="12"/>
      <c r="X818" s="12"/>
    </row>
    <row r="819" spans="2:24">
      <c r="B819" s="12"/>
      <c r="C819" s="12"/>
      <c r="D819" s="12"/>
      <c r="E819" s="12"/>
      <c r="F819" s="12"/>
      <c r="G819" s="12"/>
      <c r="H819" s="12"/>
      <c r="I819" s="12"/>
      <c r="J819" s="12"/>
      <c r="K819" s="12"/>
      <c r="L819" s="12"/>
      <c r="M819" s="12"/>
      <c r="N819" s="12"/>
      <c r="O819" s="12"/>
      <c r="P819" s="12"/>
      <c r="Q819" s="12"/>
      <c r="R819" s="12"/>
      <c r="S819" s="12"/>
      <c r="T819" s="12"/>
      <c r="U819" s="12"/>
      <c r="V819" s="12"/>
      <c r="W819" s="12"/>
      <c r="X819" s="12"/>
    </row>
    <row r="820" spans="2:24">
      <c r="B820" s="12"/>
      <c r="C820" s="12"/>
      <c r="D820" s="12"/>
      <c r="E820" s="12"/>
      <c r="F820" s="12"/>
      <c r="G820" s="12"/>
      <c r="H820" s="12"/>
      <c r="I820" s="12"/>
      <c r="J820" s="12"/>
      <c r="K820" s="12"/>
      <c r="L820" s="12"/>
      <c r="M820" s="12"/>
      <c r="N820" s="12"/>
      <c r="O820" s="12"/>
      <c r="P820" s="12"/>
      <c r="Q820" s="12"/>
      <c r="R820" s="12"/>
      <c r="S820" s="12"/>
      <c r="T820" s="12"/>
      <c r="U820" s="12"/>
      <c r="V820" s="12"/>
      <c r="W820" s="12"/>
      <c r="X820" s="12"/>
    </row>
    <row r="821" spans="2:24">
      <c r="B821" s="12"/>
      <c r="C821" s="12"/>
      <c r="D821" s="12"/>
      <c r="E821" s="12"/>
      <c r="F821" s="12"/>
      <c r="G821" s="12"/>
      <c r="H821" s="12"/>
      <c r="I821" s="12"/>
      <c r="J821" s="12"/>
      <c r="K821" s="12"/>
      <c r="L821" s="12"/>
      <c r="M821" s="12"/>
      <c r="N821" s="12"/>
      <c r="O821" s="12"/>
      <c r="P821" s="12"/>
      <c r="Q821" s="12"/>
      <c r="R821" s="12"/>
      <c r="S821" s="12"/>
      <c r="T821" s="12"/>
      <c r="U821" s="12"/>
      <c r="V821" s="12"/>
      <c r="W821" s="12"/>
      <c r="X821" s="12"/>
    </row>
    <row r="822" spans="2:24">
      <c r="B822" s="12"/>
      <c r="C822" s="12"/>
      <c r="D822" s="12"/>
      <c r="E822" s="12"/>
      <c r="F822" s="12"/>
      <c r="G822" s="12"/>
      <c r="H822" s="12"/>
      <c r="I822" s="12"/>
      <c r="J822" s="12"/>
      <c r="K822" s="12"/>
      <c r="L822" s="12"/>
      <c r="M822" s="12"/>
      <c r="N822" s="12"/>
      <c r="O822" s="12"/>
      <c r="P822" s="12"/>
      <c r="Q822" s="12"/>
      <c r="R822" s="12"/>
      <c r="S822" s="12"/>
      <c r="T822" s="12"/>
      <c r="U822" s="12"/>
      <c r="V822" s="12"/>
      <c r="W822" s="12"/>
      <c r="X822" s="12"/>
    </row>
    <row r="823" spans="2:24">
      <c r="B823" s="12"/>
      <c r="C823" s="12"/>
      <c r="D823" s="12"/>
      <c r="E823" s="12"/>
      <c r="F823" s="12"/>
      <c r="G823" s="12"/>
      <c r="H823" s="12"/>
      <c r="I823" s="12"/>
      <c r="J823" s="12"/>
      <c r="K823" s="12"/>
      <c r="L823" s="12"/>
      <c r="M823" s="12"/>
      <c r="N823" s="12"/>
      <c r="O823" s="12"/>
      <c r="P823" s="12"/>
      <c r="Q823" s="12"/>
      <c r="R823" s="12"/>
      <c r="S823" s="12"/>
      <c r="T823" s="12"/>
      <c r="U823" s="12"/>
      <c r="V823" s="12"/>
      <c r="W823" s="12"/>
      <c r="X823" s="12"/>
    </row>
    <row r="824" spans="2:24">
      <c r="B824" s="12"/>
      <c r="C824" s="12"/>
      <c r="D824" s="12"/>
      <c r="E824" s="12"/>
      <c r="F824" s="12"/>
      <c r="G824" s="12"/>
      <c r="H824" s="12"/>
      <c r="I824" s="12"/>
      <c r="J824" s="12"/>
      <c r="K824" s="12"/>
      <c r="L824" s="12"/>
      <c r="M824" s="12"/>
      <c r="N824" s="12"/>
      <c r="O824" s="12"/>
      <c r="P824" s="12"/>
      <c r="Q824" s="12"/>
      <c r="R824" s="12"/>
      <c r="S824" s="12"/>
      <c r="T824" s="12"/>
      <c r="U824" s="12"/>
      <c r="V824" s="12"/>
      <c r="W824" s="12"/>
      <c r="X824" s="12"/>
    </row>
    <row r="825" spans="2:24">
      <c r="B825" s="12"/>
      <c r="C825" s="12"/>
      <c r="D825" s="12"/>
      <c r="E825" s="12"/>
      <c r="F825" s="12"/>
      <c r="G825" s="12"/>
      <c r="H825" s="12"/>
      <c r="I825" s="12"/>
      <c r="J825" s="12"/>
      <c r="K825" s="12"/>
      <c r="L825" s="12"/>
      <c r="M825" s="12"/>
      <c r="N825" s="12"/>
      <c r="O825" s="12"/>
      <c r="P825" s="12"/>
      <c r="Q825" s="12"/>
      <c r="R825" s="12"/>
      <c r="S825" s="12"/>
      <c r="T825" s="12"/>
      <c r="U825" s="12"/>
      <c r="V825" s="12"/>
      <c r="W825" s="12"/>
      <c r="X825" s="12"/>
    </row>
    <row r="826" spans="2:24">
      <c r="B826" s="12"/>
      <c r="C826" s="12"/>
      <c r="D826" s="12"/>
      <c r="E826" s="12"/>
      <c r="F826" s="12"/>
      <c r="G826" s="12"/>
      <c r="H826" s="12"/>
      <c r="I826" s="12"/>
      <c r="J826" s="12"/>
      <c r="K826" s="12"/>
      <c r="L826" s="12"/>
      <c r="M826" s="12"/>
      <c r="N826" s="12"/>
      <c r="O826" s="12"/>
      <c r="P826" s="12"/>
      <c r="Q826" s="12"/>
      <c r="R826" s="12"/>
      <c r="S826" s="12"/>
      <c r="T826" s="12"/>
      <c r="U826" s="12"/>
      <c r="V826" s="12"/>
      <c r="W826" s="12"/>
      <c r="X826" s="12"/>
    </row>
    <row r="827" spans="2:24">
      <c r="B827" s="12"/>
      <c r="C827" s="12"/>
      <c r="D827" s="12"/>
      <c r="E827" s="12"/>
      <c r="F827" s="12"/>
      <c r="G827" s="12"/>
      <c r="H827" s="12"/>
      <c r="I827" s="12"/>
      <c r="J827" s="12"/>
      <c r="K827" s="12"/>
      <c r="L827" s="12"/>
      <c r="M827" s="12"/>
      <c r="N827" s="12"/>
      <c r="O827" s="12"/>
      <c r="P827" s="12"/>
      <c r="Q827" s="12"/>
      <c r="R827" s="12"/>
      <c r="S827" s="12"/>
      <c r="T827" s="12"/>
      <c r="U827" s="12"/>
      <c r="V827" s="12"/>
      <c r="W827" s="12"/>
      <c r="X827" s="12"/>
    </row>
    <row r="828" spans="2:24">
      <c r="B828" s="12"/>
      <c r="C828" s="12"/>
      <c r="D828" s="12"/>
      <c r="E828" s="12"/>
      <c r="F828" s="12"/>
      <c r="G828" s="12"/>
      <c r="H828" s="12"/>
      <c r="I828" s="12"/>
      <c r="J828" s="12"/>
      <c r="K828" s="12"/>
      <c r="L828" s="12"/>
      <c r="M828" s="12"/>
      <c r="N828" s="12"/>
      <c r="O828" s="12"/>
      <c r="P828" s="12"/>
      <c r="Q828" s="12"/>
      <c r="R828" s="12"/>
      <c r="S828" s="12"/>
      <c r="T828" s="12"/>
      <c r="U828" s="12"/>
      <c r="V828" s="12"/>
      <c r="W828" s="12"/>
      <c r="X828" s="12"/>
    </row>
    <row r="829" spans="2:24">
      <c r="B829" s="12"/>
      <c r="C829" s="12"/>
      <c r="D829" s="12"/>
      <c r="E829" s="12"/>
      <c r="F829" s="12"/>
      <c r="G829" s="12"/>
      <c r="H829" s="12"/>
      <c r="I829" s="12"/>
      <c r="J829" s="12"/>
      <c r="K829" s="12"/>
      <c r="L829" s="12"/>
      <c r="M829" s="12"/>
      <c r="N829" s="12"/>
      <c r="O829" s="12"/>
      <c r="P829" s="12"/>
      <c r="Q829" s="12"/>
      <c r="R829" s="12"/>
      <c r="S829" s="12"/>
      <c r="T829" s="12"/>
      <c r="U829" s="12"/>
      <c r="V829" s="12"/>
      <c r="W829" s="12"/>
      <c r="X829" s="12"/>
    </row>
    <row r="830" spans="2:24">
      <c r="B830" s="12"/>
      <c r="C830" s="12"/>
      <c r="D830" s="12"/>
      <c r="E830" s="12"/>
      <c r="F830" s="12"/>
      <c r="G830" s="12"/>
      <c r="H830" s="12"/>
      <c r="I830" s="12"/>
      <c r="J830" s="12"/>
      <c r="K830" s="12"/>
      <c r="L830" s="12"/>
      <c r="M830" s="12"/>
      <c r="N830" s="12"/>
      <c r="O830" s="12"/>
      <c r="P830" s="12"/>
      <c r="Q830" s="12"/>
      <c r="R830" s="12"/>
      <c r="S830" s="12"/>
      <c r="T830" s="12"/>
      <c r="U830" s="12"/>
      <c r="V830" s="12"/>
      <c r="W830" s="12"/>
      <c r="X830" s="12"/>
    </row>
    <row r="831" spans="2:24">
      <c r="B831" s="12"/>
      <c r="C831" s="12"/>
      <c r="D831" s="12"/>
      <c r="E831" s="12"/>
      <c r="F831" s="12"/>
      <c r="G831" s="12"/>
      <c r="H831" s="12"/>
      <c r="I831" s="12"/>
      <c r="J831" s="12"/>
      <c r="K831" s="12"/>
      <c r="L831" s="12"/>
      <c r="M831" s="12"/>
      <c r="N831" s="12"/>
      <c r="O831" s="12"/>
      <c r="P831" s="12"/>
      <c r="Q831" s="12"/>
      <c r="R831" s="12"/>
      <c r="S831" s="12"/>
      <c r="T831" s="12"/>
      <c r="U831" s="12"/>
      <c r="V831" s="12"/>
      <c r="W831" s="12"/>
      <c r="X831" s="12"/>
    </row>
    <row r="832" spans="2:24">
      <c r="B832" s="12"/>
      <c r="C832" s="12"/>
      <c r="D832" s="12"/>
      <c r="E832" s="12"/>
      <c r="F832" s="12"/>
      <c r="G832" s="12"/>
      <c r="H832" s="12"/>
      <c r="I832" s="12"/>
      <c r="J832" s="12"/>
      <c r="K832" s="12"/>
      <c r="L832" s="12"/>
      <c r="M832" s="12"/>
      <c r="N832" s="12"/>
      <c r="O832" s="12"/>
      <c r="P832" s="12"/>
      <c r="Q832" s="12"/>
      <c r="R832" s="12"/>
      <c r="S832" s="12"/>
      <c r="T832" s="12"/>
      <c r="U832" s="12"/>
      <c r="V832" s="12"/>
      <c r="W832" s="12"/>
      <c r="X832" s="12"/>
    </row>
    <row r="833" spans="2:24">
      <c r="B833" s="12"/>
      <c r="C833" s="12"/>
      <c r="D833" s="12"/>
      <c r="E833" s="12"/>
      <c r="F833" s="12"/>
      <c r="G833" s="12"/>
      <c r="H833" s="12"/>
      <c r="I833" s="12"/>
      <c r="J833" s="12"/>
      <c r="K833" s="12"/>
      <c r="L833" s="12"/>
      <c r="M833" s="12"/>
      <c r="N833" s="12"/>
      <c r="O833" s="12"/>
      <c r="P833" s="12"/>
      <c r="Q833" s="12"/>
      <c r="R833" s="12"/>
      <c r="S833" s="12"/>
      <c r="T833" s="12"/>
      <c r="U833" s="12"/>
      <c r="V833" s="12"/>
      <c r="W833" s="12"/>
      <c r="X833" s="12"/>
    </row>
    <row r="834" spans="2:24">
      <c r="B834" s="12"/>
      <c r="C834" s="12"/>
      <c r="D834" s="12"/>
      <c r="E834" s="12"/>
      <c r="F834" s="12"/>
      <c r="G834" s="12"/>
      <c r="H834" s="12"/>
      <c r="I834" s="12"/>
      <c r="J834" s="12"/>
      <c r="K834" s="12"/>
      <c r="L834" s="12"/>
      <c r="M834" s="12"/>
      <c r="N834" s="12"/>
      <c r="O834" s="12"/>
      <c r="P834" s="12"/>
      <c r="Q834" s="12"/>
      <c r="R834" s="12"/>
      <c r="S834" s="12"/>
      <c r="T834" s="12"/>
      <c r="U834" s="12"/>
      <c r="V834" s="12"/>
      <c r="W834" s="12"/>
      <c r="X834" s="12"/>
    </row>
    <row r="835" spans="2:24">
      <c r="B835" s="12"/>
      <c r="C835" s="12"/>
      <c r="D835" s="12"/>
      <c r="E835" s="12"/>
      <c r="F835" s="12"/>
      <c r="G835" s="12"/>
      <c r="H835" s="12"/>
      <c r="I835" s="12"/>
      <c r="J835" s="12"/>
      <c r="K835" s="12"/>
      <c r="L835" s="12"/>
      <c r="M835" s="12"/>
      <c r="N835" s="12"/>
      <c r="O835" s="12"/>
      <c r="P835" s="12"/>
      <c r="Q835" s="12"/>
      <c r="R835" s="12"/>
      <c r="S835" s="12"/>
      <c r="T835" s="12"/>
      <c r="U835" s="12"/>
      <c r="V835" s="12"/>
      <c r="W835" s="12"/>
      <c r="X835" s="12"/>
    </row>
    <row r="836" spans="2:24">
      <c r="B836" s="12"/>
      <c r="C836" s="12"/>
      <c r="D836" s="12"/>
      <c r="E836" s="12"/>
      <c r="F836" s="12"/>
      <c r="G836" s="12"/>
      <c r="H836" s="12"/>
      <c r="I836" s="12"/>
      <c r="J836" s="12"/>
      <c r="K836" s="12"/>
      <c r="L836" s="12"/>
      <c r="M836" s="12"/>
      <c r="N836" s="12"/>
      <c r="O836" s="12"/>
      <c r="P836" s="12"/>
      <c r="Q836" s="12"/>
      <c r="R836" s="12"/>
      <c r="S836" s="12"/>
      <c r="T836" s="12"/>
      <c r="U836" s="12"/>
      <c r="V836" s="12"/>
      <c r="W836" s="12"/>
      <c r="X836" s="12"/>
    </row>
    <row r="837" spans="2:24">
      <c r="B837" s="12"/>
      <c r="C837" s="12"/>
      <c r="D837" s="12"/>
      <c r="E837" s="12"/>
      <c r="F837" s="12"/>
      <c r="G837" s="12"/>
      <c r="H837" s="12"/>
      <c r="I837" s="12"/>
      <c r="J837" s="12"/>
      <c r="K837" s="12"/>
      <c r="L837" s="12"/>
      <c r="M837" s="12"/>
      <c r="N837" s="12"/>
      <c r="O837" s="12"/>
      <c r="P837" s="12"/>
      <c r="Q837" s="12"/>
      <c r="R837" s="12"/>
      <c r="S837" s="12"/>
      <c r="T837" s="12"/>
      <c r="U837" s="12"/>
      <c r="V837" s="12"/>
      <c r="W837" s="12"/>
      <c r="X837" s="12"/>
    </row>
    <row r="838" spans="2:24">
      <c r="B838" s="12"/>
      <c r="C838" s="12"/>
      <c r="D838" s="12"/>
      <c r="E838" s="12"/>
      <c r="F838" s="12"/>
      <c r="G838" s="12"/>
      <c r="H838" s="12"/>
      <c r="I838" s="12"/>
      <c r="J838" s="12"/>
      <c r="K838" s="12"/>
      <c r="L838" s="12"/>
      <c r="M838" s="12"/>
      <c r="N838" s="12"/>
      <c r="O838" s="12"/>
      <c r="P838" s="12"/>
      <c r="Q838" s="12"/>
      <c r="R838" s="12"/>
      <c r="S838" s="12"/>
      <c r="T838" s="12"/>
      <c r="U838" s="12"/>
      <c r="V838" s="12"/>
      <c r="W838" s="12"/>
      <c r="X838" s="12"/>
    </row>
    <row r="839" spans="2:24">
      <c r="B839" s="12"/>
      <c r="C839" s="12"/>
      <c r="D839" s="12"/>
      <c r="E839" s="12"/>
      <c r="F839" s="12"/>
      <c r="G839" s="12"/>
      <c r="H839" s="12"/>
      <c r="I839" s="12"/>
      <c r="J839" s="12"/>
      <c r="K839" s="12"/>
      <c r="L839" s="12"/>
      <c r="M839" s="12"/>
      <c r="N839" s="12"/>
      <c r="O839" s="12"/>
      <c r="P839" s="12"/>
      <c r="Q839" s="12"/>
      <c r="R839" s="12"/>
      <c r="S839" s="12"/>
      <c r="T839" s="12"/>
      <c r="U839" s="12"/>
      <c r="V839" s="12"/>
      <c r="W839" s="12"/>
      <c r="X839" s="12"/>
    </row>
    <row r="840" spans="2:24">
      <c r="B840" s="12"/>
      <c r="C840" s="12"/>
      <c r="D840" s="12"/>
      <c r="E840" s="12"/>
      <c r="F840" s="12"/>
      <c r="G840" s="12"/>
      <c r="H840" s="12"/>
      <c r="I840" s="12"/>
      <c r="J840" s="12"/>
      <c r="K840" s="12"/>
      <c r="L840" s="12"/>
      <c r="M840" s="12"/>
      <c r="N840" s="12"/>
      <c r="O840" s="12"/>
      <c r="P840" s="12"/>
      <c r="Q840" s="12"/>
      <c r="R840" s="12"/>
      <c r="S840" s="12"/>
      <c r="T840" s="12"/>
      <c r="U840" s="12"/>
      <c r="V840" s="12"/>
      <c r="W840" s="12"/>
      <c r="X840" s="12"/>
    </row>
    <row r="841" spans="2:24">
      <c r="B841" s="12"/>
      <c r="C841" s="12"/>
      <c r="D841" s="12"/>
      <c r="E841" s="12"/>
      <c r="F841" s="12"/>
      <c r="G841" s="12"/>
      <c r="H841" s="12"/>
      <c r="I841" s="12"/>
      <c r="J841" s="12"/>
      <c r="K841" s="12"/>
      <c r="L841" s="12"/>
      <c r="M841" s="12"/>
      <c r="N841" s="12"/>
      <c r="O841" s="12"/>
      <c r="P841" s="12"/>
      <c r="Q841" s="12"/>
      <c r="R841" s="12"/>
      <c r="S841" s="12"/>
      <c r="T841" s="12"/>
      <c r="U841" s="12"/>
      <c r="V841" s="12"/>
      <c r="W841" s="12"/>
      <c r="X841" s="12"/>
    </row>
    <row r="842" spans="2:24">
      <c r="B842" s="12"/>
      <c r="C842" s="12"/>
      <c r="D842" s="12"/>
      <c r="E842" s="12"/>
      <c r="F842" s="12"/>
      <c r="G842" s="12"/>
      <c r="H842" s="12"/>
      <c r="I842" s="12"/>
      <c r="J842" s="12"/>
      <c r="K842" s="12"/>
      <c r="L842" s="12"/>
      <c r="M842" s="12"/>
      <c r="N842" s="12"/>
      <c r="O842" s="12"/>
      <c r="P842" s="12"/>
      <c r="Q842" s="12"/>
      <c r="R842" s="12"/>
      <c r="S842" s="12"/>
      <c r="T842" s="12"/>
      <c r="U842" s="12"/>
      <c r="V842" s="12"/>
      <c r="W842" s="12"/>
      <c r="X842" s="12"/>
    </row>
    <row r="843" spans="2:24">
      <c r="B843" s="12"/>
      <c r="C843" s="12"/>
      <c r="D843" s="12"/>
      <c r="E843" s="12"/>
      <c r="F843" s="12"/>
      <c r="G843" s="12"/>
      <c r="H843" s="12"/>
      <c r="I843" s="12"/>
      <c r="J843" s="12"/>
      <c r="K843" s="12"/>
      <c r="L843" s="12"/>
      <c r="M843" s="12"/>
      <c r="N843" s="12"/>
      <c r="O843" s="12"/>
      <c r="P843" s="12"/>
      <c r="Q843" s="12"/>
      <c r="R843" s="12"/>
      <c r="S843" s="12"/>
      <c r="T843" s="12"/>
      <c r="U843" s="12"/>
      <c r="V843" s="12"/>
      <c r="W843" s="12"/>
      <c r="X843" s="12"/>
    </row>
    <row r="844" spans="2:24">
      <c r="B844" s="12"/>
      <c r="C844" s="12"/>
      <c r="D844" s="12"/>
      <c r="E844" s="12"/>
      <c r="F844" s="12"/>
      <c r="G844" s="12"/>
      <c r="H844" s="12"/>
      <c r="I844" s="12"/>
      <c r="J844" s="12"/>
      <c r="K844" s="12"/>
      <c r="L844" s="12"/>
      <c r="M844" s="12"/>
      <c r="N844" s="12"/>
      <c r="O844" s="12"/>
      <c r="P844" s="12"/>
      <c r="Q844" s="12"/>
      <c r="R844" s="12"/>
      <c r="S844" s="12"/>
      <c r="T844" s="12"/>
      <c r="U844" s="12"/>
      <c r="V844" s="12"/>
      <c r="W844" s="12"/>
      <c r="X844" s="12"/>
    </row>
    <row r="845" spans="2:24">
      <c r="B845" s="12"/>
      <c r="C845" s="12"/>
      <c r="D845" s="12"/>
      <c r="E845" s="12"/>
      <c r="F845" s="12"/>
      <c r="G845" s="12"/>
      <c r="H845" s="12"/>
      <c r="I845" s="12"/>
      <c r="J845" s="12"/>
      <c r="K845" s="12"/>
      <c r="L845" s="12"/>
      <c r="M845" s="12"/>
      <c r="N845" s="12"/>
      <c r="O845" s="12"/>
      <c r="P845" s="12"/>
      <c r="Q845" s="12"/>
      <c r="R845" s="12"/>
      <c r="S845" s="12"/>
      <c r="T845" s="12"/>
      <c r="U845" s="12"/>
      <c r="V845" s="12"/>
      <c r="W845" s="12"/>
      <c r="X845" s="12"/>
    </row>
    <row r="846" spans="2:24">
      <c r="B846" s="12"/>
      <c r="C846" s="12"/>
      <c r="D846" s="12"/>
      <c r="E846" s="12"/>
      <c r="F846" s="12"/>
      <c r="G846" s="12"/>
      <c r="H846" s="12"/>
      <c r="I846" s="12"/>
      <c r="J846" s="12"/>
      <c r="K846" s="12"/>
      <c r="L846" s="12"/>
      <c r="M846" s="12"/>
      <c r="N846" s="12"/>
      <c r="O846" s="12"/>
      <c r="P846" s="12"/>
      <c r="Q846" s="12"/>
      <c r="R846" s="12"/>
      <c r="S846" s="12"/>
      <c r="T846" s="12"/>
      <c r="U846" s="12"/>
      <c r="V846" s="12"/>
      <c r="W846" s="12"/>
      <c r="X846" s="12"/>
    </row>
    <row r="847" spans="2:24">
      <c r="B847" s="12"/>
      <c r="C847" s="12"/>
      <c r="D847" s="12"/>
      <c r="E847" s="12"/>
      <c r="F847" s="12"/>
      <c r="G847" s="12"/>
      <c r="H847" s="12"/>
      <c r="I847" s="12"/>
      <c r="J847" s="12"/>
      <c r="K847" s="12"/>
      <c r="L847" s="12"/>
      <c r="M847" s="12"/>
      <c r="N847" s="12"/>
      <c r="O847" s="12"/>
      <c r="P847" s="12"/>
      <c r="Q847" s="12"/>
      <c r="R847" s="12"/>
      <c r="S847" s="12"/>
      <c r="T847" s="12"/>
      <c r="U847" s="12"/>
      <c r="V847" s="12"/>
      <c r="W847" s="12"/>
      <c r="X847" s="12"/>
    </row>
    <row r="848" spans="2:24">
      <c r="B848" s="12"/>
      <c r="C848" s="12"/>
      <c r="D848" s="12"/>
      <c r="E848" s="12"/>
      <c r="F848" s="12"/>
      <c r="G848" s="12"/>
      <c r="H848" s="12"/>
      <c r="I848" s="12"/>
      <c r="J848" s="12"/>
      <c r="K848" s="12"/>
      <c r="L848" s="12"/>
      <c r="M848" s="12"/>
      <c r="N848" s="12"/>
      <c r="O848" s="12"/>
      <c r="P848" s="12"/>
      <c r="Q848" s="12"/>
      <c r="R848" s="12"/>
      <c r="S848" s="12"/>
      <c r="T848" s="12"/>
      <c r="U848" s="12"/>
      <c r="V848" s="12"/>
      <c r="W848" s="12"/>
      <c r="X848" s="12"/>
    </row>
    <row r="849" spans="2:24">
      <c r="B849" s="12"/>
      <c r="C849" s="12"/>
      <c r="D849" s="12"/>
      <c r="E849" s="12"/>
      <c r="F849" s="12"/>
      <c r="G849" s="12"/>
      <c r="H849" s="12"/>
      <c r="I849" s="12"/>
      <c r="J849" s="12"/>
      <c r="K849" s="12"/>
      <c r="L849" s="12"/>
      <c r="M849" s="12"/>
      <c r="N849" s="12"/>
      <c r="O849" s="12"/>
      <c r="P849" s="12"/>
      <c r="Q849" s="12"/>
      <c r="R849" s="12"/>
      <c r="S849" s="12"/>
      <c r="T849" s="12"/>
      <c r="U849" s="12"/>
      <c r="V849" s="12"/>
      <c r="W849" s="12"/>
      <c r="X849" s="12"/>
    </row>
    <row r="850" spans="2:24">
      <c r="B850" s="12"/>
      <c r="C850" s="12"/>
      <c r="D850" s="12"/>
      <c r="E850" s="12"/>
      <c r="F850" s="12"/>
      <c r="G850" s="12"/>
      <c r="H850" s="12"/>
      <c r="I850" s="12"/>
      <c r="J850" s="12"/>
      <c r="K850" s="12"/>
      <c r="L850" s="12"/>
      <c r="M850" s="12"/>
      <c r="N850" s="12"/>
      <c r="O850" s="12"/>
      <c r="P850" s="12"/>
      <c r="Q850" s="12"/>
      <c r="R850" s="12"/>
      <c r="S850" s="12"/>
      <c r="T850" s="12"/>
      <c r="U850" s="12"/>
      <c r="V850" s="12"/>
      <c r="W850" s="12"/>
      <c r="X850" s="12"/>
    </row>
    <row r="851" spans="2:24">
      <c r="B851" s="12"/>
      <c r="C851" s="12"/>
      <c r="D851" s="12"/>
      <c r="E851" s="12"/>
      <c r="F851" s="12"/>
      <c r="G851" s="12"/>
      <c r="H851" s="12"/>
      <c r="I851" s="12"/>
      <c r="J851" s="12"/>
      <c r="K851" s="12"/>
      <c r="L851" s="12"/>
      <c r="M851" s="12"/>
      <c r="N851" s="12"/>
      <c r="O851" s="12"/>
      <c r="P851" s="12"/>
      <c r="Q851" s="12"/>
      <c r="R851" s="12"/>
      <c r="S851" s="12"/>
      <c r="T851" s="12"/>
      <c r="U851" s="12"/>
      <c r="V851" s="12"/>
      <c r="W851" s="12"/>
      <c r="X851" s="12"/>
    </row>
    <row r="852" spans="2:24">
      <c r="B852" s="12"/>
      <c r="C852" s="12"/>
      <c r="D852" s="12"/>
      <c r="E852" s="12"/>
      <c r="F852" s="12"/>
      <c r="G852" s="12"/>
      <c r="H852" s="12"/>
      <c r="I852" s="12"/>
      <c r="J852" s="12"/>
      <c r="K852" s="12"/>
      <c r="L852" s="12"/>
      <c r="M852" s="12"/>
      <c r="N852" s="12"/>
      <c r="O852" s="12"/>
      <c r="P852" s="12"/>
      <c r="Q852" s="12"/>
      <c r="R852" s="12"/>
      <c r="S852" s="12"/>
      <c r="T852" s="12"/>
      <c r="U852" s="12"/>
      <c r="V852" s="12"/>
      <c r="W852" s="12"/>
      <c r="X852" s="12"/>
    </row>
    <row r="853" spans="2:24">
      <c r="B853" s="12"/>
      <c r="C853" s="12"/>
      <c r="D853" s="12"/>
      <c r="E853" s="12"/>
      <c r="F853" s="12"/>
      <c r="G853" s="12"/>
      <c r="H853" s="12"/>
      <c r="I853" s="12"/>
      <c r="J853" s="12"/>
      <c r="K853" s="12"/>
      <c r="L853" s="12"/>
      <c r="M853" s="12"/>
      <c r="N853" s="12"/>
      <c r="O853" s="12"/>
      <c r="P853" s="12"/>
      <c r="Q853" s="12"/>
      <c r="R853" s="12"/>
      <c r="S853" s="12"/>
      <c r="T853" s="12"/>
      <c r="U853" s="12"/>
      <c r="V853" s="12"/>
      <c r="W853" s="12"/>
      <c r="X853" s="12"/>
    </row>
    <row r="854" spans="2:24">
      <c r="B854" s="12"/>
      <c r="C854" s="12"/>
      <c r="D854" s="12"/>
      <c r="E854" s="12"/>
      <c r="F854" s="12"/>
      <c r="G854" s="12"/>
      <c r="H854" s="12"/>
      <c r="I854" s="12"/>
      <c r="J854" s="12"/>
      <c r="K854" s="12"/>
      <c r="L854" s="12"/>
      <c r="M854" s="12"/>
      <c r="N854" s="12"/>
      <c r="O854" s="12"/>
      <c r="P854" s="12"/>
      <c r="Q854" s="12"/>
      <c r="R854" s="12"/>
      <c r="S854" s="12"/>
      <c r="T854" s="12"/>
      <c r="U854" s="12"/>
      <c r="V854" s="12"/>
      <c r="W854" s="12"/>
      <c r="X854" s="12"/>
    </row>
    <row r="855" spans="2:24">
      <c r="B855" s="12"/>
      <c r="C855" s="12"/>
      <c r="D855" s="12"/>
      <c r="E855" s="12"/>
      <c r="F855" s="12"/>
      <c r="G855" s="12"/>
      <c r="H855" s="12"/>
      <c r="I855" s="12"/>
      <c r="J855" s="12"/>
      <c r="K855" s="12"/>
      <c r="L855" s="12"/>
      <c r="M855" s="12"/>
      <c r="N855" s="12"/>
      <c r="O855" s="12"/>
      <c r="P855" s="12"/>
      <c r="Q855" s="12"/>
      <c r="R855" s="12"/>
      <c r="S855" s="12"/>
      <c r="T855" s="12"/>
      <c r="U855" s="12"/>
      <c r="V855" s="12"/>
      <c r="W855" s="12"/>
      <c r="X855" s="12"/>
    </row>
    <row r="856" spans="2:24">
      <c r="B856" s="12"/>
      <c r="C856" s="12"/>
      <c r="D856" s="12"/>
      <c r="E856" s="12"/>
      <c r="F856" s="12"/>
      <c r="G856" s="12"/>
      <c r="H856" s="12"/>
      <c r="I856" s="12"/>
      <c r="J856" s="12"/>
      <c r="K856" s="12"/>
      <c r="L856" s="12"/>
      <c r="M856" s="12"/>
      <c r="N856" s="12"/>
      <c r="O856" s="12"/>
      <c r="P856" s="12"/>
      <c r="Q856" s="12"/>
      <c r="R856" s="12"/>
      <c r="S856" s="12"/>
      <c r="T856" s="12"/>
      <c r="U856" s="12"/>
      <c r="V856" s="12"/>
      <c r="W856" s="12"/>
      <c r="X856" s="12"/>
    </row>
    <row r="857" spans="2:24">
      <c r="B857" s="12"/>
      <c r="C857" s="12"/>
      <c r="D857" s="12"/>
      <c r="E857" s="12"/>
      <c r="F857" s="12"/>
      <c r="G857" s="12"/>
      <c r="H857" s="12"/>
      <c r="I857" s="12"/>
      <c r="J857" s="12"/>
      <c r="K857" s="12"/>
      <c r="L857" s="12"/>
      <c r="M857" s="12"/>
      <c r="N857" s="12"/>
      <c r="O857" s="12"/>
      <c r="P857" s="12"/>
      <c r="Q857" s="12"/>
      <c r="R857" s="12"/>
      <c r="S857" s="12"/>
      <c r="T857" s="12"/>
      <c r="U857" s="12"/>
      <c r="V857" s="12"/>
      <c r="W857" s="12"/>
      <c r="X857" s="12"/>
    </row>
    <row r="858" spans="2:24">
      <c r="B858" s="12"/>
      <c r="C858" s="12"/>
      <c r="D858" s="12"/>
      <c r="E858" s="12"/>
      <c r="F858" s="12"/>
      <c r="G858" s="12"/>
      <c r="H858" s="12"/>
      <c r="I858" s="12"/>
      <c r="J858" s="12"/>
      <c r="K858" s="12"/>
      <c r="L858" s="12"/>
      <c r="M858" s="12"/>
      <c r="N858" s="12"/>
      <c r="O858" s="12"/>
      <c r="P858" s="12"/>
      <c r="Q858" s="12"/>
      <c r="R858" s="12"/>
      <c r="S858" s="12"/>
      <c r="T858" s="12"/>
      <c r="U858" s="12"/>
      <c r="V858" s="12"/>
      <c r="W858" s="12"/>
      <c r="X858" s="12"/>
    </row>
    <row r="859" spans="2:24">
      <c r="B859" s="12"/>
      <c r="C859" s="12"/>
      <c r="D859" s="12"/>
      <c r="E859" s="12"/>
      <c r="F859" s="12"/>
      <c r="G859" s="12"/>
      <c r="H859" s="12"/>
      <c r="I859" s="12"/>
      <c r="J859" s="12"/>
      <c r="K859" s="12"/>
      <c r="L859" s="12"/>
      <c r="M859" s="12"/>
      <c r="N859" s="12"/>
      <c r="O859" s="12"/>
      <c r="P859" s="12"/>
      <c r="Q859" s="12"/>
      <c r="R859" s="12"/>
      <c r="S859" s="12"/>
      <c r="T859" s="12"/>
      <c r="U859" s="12"/>
      <c r="V859" s="12"/>
      <c r="W859" s="12"/>
      <c r="X859" s="12"/>
    </row>
    <row r="860" spans="2:24">
      <c r="B860" s="12"/>
      <c r="C860" s="12"/>
      <c r="D860" s="12"/>
      <c r="E860" s="12"/>
      <c r="F860" s="12"/>
      <c r="G860" s="12"/>
      <c r="H860" s="12"/>
      <c r="I860" s="12"/>
      <c r="J860" s="12"/>
      <c r="K860" s="12"/>
      <c r="L860" s="12"/>
      <c r="M860" s="12"/>
      <c r="N860" s="12"/>
      <c r="O860" s="12"/>
      <c r="P860" s="12"/>
      <c r="Q860" s="12"/>
      <c r="R860" s="12"/>
      <c r="S860" s="12"/>
      <c r="T860" s="12"/>
      <c r="U860" s="12"/>
      <c r="V860" s="12"/>
      <c r="W860" s="12"/>
      <c r="X860" s="12"/>
    </row>
    <row r="861" spans="2:24">
      <c r="B861" s="12"/>
      <c r="C861" s="12"/>
      <c r="D861" s="12"/>
      <c r="E861" s="12"/>
      <c r="F861" s="12"/>
      <c r="G861" s="12"/>
      <c r="H861" s="12"/>
      <c r="I861" s="12"/>
      <c r="J861" s="12"/>
      <c r="K861" s="12"/>
      <c r="L861" s="12"/>
      <c r="M861" s="12"/>
      <c r="N861" s="12"/>
      <c r="O861" s="12"/>
      <c r="P861" s="12"/>
      <c r="Q861" s="12"/>
      <c r="R861" s="12"/>
      <c r="S861" s="12"/>
      <c r="T861" s="12"/>
      <c r="U861" s="12"/>
      <c r="V861" s="12"/>
      <c r="W861" s="12"/>
      <c r="X861" s="12"/>
    </row>
    <row r="862" spans="2:24">
      <c r="B862" s="12"/>
      <c r="C862" s="12"/>
      <c r="D862" s="12"/>
      <c r="E862" s="12"/>
      <c r="F862" s="12"/>
      <c r="G862" s="12"/>
      <c r="H862" s="12"/>
      <c r="I862" s="12"/>
      <c r="J862" s="12"/>
      <c r="K862" s="12"/>
      <c r="L862" s="12"/>
      <c r="M862" s="12"/>
      <c r="N862" s="12"/>
      <c r="O862" s="12"/>
      <c r="P862" s="12"/>
      <c r="Q862" s="12"/>
      <c r="R862" s="12"/>
      <c r="S862" s="12"/>
      <c r="T862" s="12"/>
      <c r="U862" s="12"/>
      <c r="V862" s="12"/>
      <c r="W862" s="12"/>
      <c r="X862" s="12"/>
    </row>
    <row r="863" spans="2:24">
      <c r="B863" s="12"/>
      <c r="C863" s="12"/>
      <c r="D863" s="12"/>
      <c r="E863" s="12"/>
      <c r="F863" s="12"/>
      <c r="G863" s="12"/>
      <c r="H863" s="12"/>
      <c r="I863" s="12"/>
      <c r="J863" s="12"/>
      <c r="K863" s="12"/>
      <c r="L863" s="12"/>
      <c r="M863" s="12"/>
      <c r="N863" s="12"/>
      <c r="O863" s="12"/>
      <c r="P863" s="12"/>
      <c r="Q863" s="12"/>
      <c r="R863" s="12"/>
      <c r="S863" s="12"/>
      <c r="T863" s="12"/>
      <c r="U863" s="12"/>
      <c r="V863" s="12"/>
      <c r="W863" s="12"/>
      <c r="X863" s="12"/>
    </row>
    <row r="864" spans="2:24">
      <c r="B864" s="12"/>
      <c r="C864" s="12"/>
      <c r="D864" s="12"/>
      <c r="E864" s="12"/>
      <c r="F864" s="12"/>
      <c r="G864" s="12"/>
      <c r="H864" s="12"/>
      <c r="I864" s="12"/>
      <c r="J864" s="12"/>
      <c r="K864" s="12"/>
      <c r="L864" s="12"/>
      <c r="M864" s="12"/>
      <c r="N864" s="12"/>
      <c r="O864" s="12"/>
      <c r="P864" s="12"/>
      <c r="Q864" s="12"/>
      <c r="R864" s="12"/>
      <c r="S864" s="12"/>
      <c r="T864" s="12"/>
      <c r="U864" s="12"/>
      <c r="V864" s="12"/>
      <c r="W864" s="12"/>
      <c r="X864" s="12"/>
    </row>
    <row r="865" spans="2:24">
      <c r="B865" s="12"/>
      <c r="C865" s="12"/>
      <c r="D865" s="12"/>
      <c r="E865" s="12"/>
      <c r="F865" s="12"/>
      <c r="G865" s="12"/>
      <c r="H865" s="12"/>
      <c r="I865" s="12"/>
      <c r="J865" s="12"/>
      <c r="K865" s="12"/>
      <c r="L865" s="12"/>
      <c r="M865" s="12"/>
      <c r="N865" s="12"/>
      <c r="O865" s="12"/>
      <c r="P865" s="12"/>
      <c r="Q865" s="12"/>
      <c r="R865" s="12"/>
      <c r="S865" s="12"/>
      <c r="T865" s="12"/>
      <c r="U865" s="12"/>
      <c r="V865" s="12"/>
      <c r="W865" s="12"/>
      <c r="X865" s="12"/>
    </row>
    <row r="866" spans="2:24">
      <c r="B866" s="12"/>
      <c r="C866" s="12"/>
      <c r="D866" s="12"/>
      <c r="E866" s="12"/>
      <c r="F866" s="12"/>
      <c r="G866" s="12"/>
      <c r="H866" s="12"/>
      <c r="I866" s="12"/>
      <c r="J866" s="12"/>
      <c r="K866" s="12"/>
      <c r="L866" s="12"/>
      <c r="M866" s="12"/>
      <c r="N866" s="12"/>
      <c r="O866" s="12"/>
      <c r="P866" s="12"/>
      <c r="Q866" s="12"/>
      <c r="R866" s="12"/>
      <c r="S866" s="12"/>
      <c r="T866" s="12"/>
      <c r="U866" s="12"/>
      <c r="V866" s="12"/>
      <c r="W866" s="12"/>
      <c r="X866" s="12"/>
    </row>
    <row r="867" spans="2:24">
      <c r="B867" s="12"/>
      <c r="C867" s="12"/>
      <c r="D867" s="12"/>
      <c r="E867" s="12"/>
      <c r="F867" s="12"/>
      <c r="G867" s="12"/>
      <c r="H867" s="12"/>
      <c r="I867" s="12"/>
      <c r="J867" s="12"/>
      <c r="K867" s="12"/>
      <c r="L867" s="12"/>
      <c r="M867" s="12"/>
      <c r="N867" s="12"/>
      <c r="O867" s="12"/>
      <c r="P867" s="12"/>
      <c r="Q867" s="12"/>
      <c r="R867" s="12"/>
      <c r="S867" s="12"/>
      <c r="T867" s="12"/>
      <c r="U867" s="12"/>
      <c r="V867" s="12"/>
      <c r="W867" s="12"/>
      <c r="X867" s="12"/>
    </row>
    <row r="868" spans="2:24">
      <c r="B868" s="12"/>
      <c r="C868" s="12"/>
      <c r="D868" s="12"/>
      <c r="E868" s="12"/>
      <c r="F868" s="12"/>
      <c r="G868" s="12"/>
      <c r="H868" s="12"/>
      <c r="I868" s="12"/>
      <c r="J868" s="12"/>
      <c r="K868" s="12"/>
      <c r="L868" s="12"/>
      <c r="M868" s="12"/>
      <c r="N868" s="12"/>
      <c r="O868" s="12"/>
      <c r="P868" s="12"/>
      <c r="Q868" s="12"/>
      <c r="R868" s="12"/>
      <c r="S868" s="12"/>
      <c r="T868" s="12"/>
      <c r="U868" s="12"/>
      <c r="V868" s="12"/>
      <c r="W868" s="12"/>
      <c r="X868" s="12"/>
    </row>
    <row r="869" spans="2:24">
      <c r="B869" s="12"/>
      <c r="C869" s="12"/>
      <c r="D869" s="12"/>
      <c r="E869" s="12"/>
      <c r="F869" s="12"/>
      <c r="G869" s="12"/>
      <c r="H869" s="12"/>
      <c r="I869" s="12"/>
      <c r="J869" s="12"/>
      <c r="K869" s="12"/>
      <c r="L869" s="12"/>
      <c r="M869" s="12"/>
      <c r="N869" s="12"/>
      <c r="O869" s="12"/>
      <c r="P869" s="12"/>
      <c r="Q869" s="12"/>
      <c r="R869" s="12"/>
      <c r="S869" s="12"/>
      <c r="T869" s="12"/>
      <c r="U869" s="12"/>
      <c r="V869" s="12"/>
      <c r="W869" s="12"/>
      <c r="X869" s="12"/>
    </row>
    <row r="870" spans="2:24">
      <c r="B870" s="12"/>
      <c r="C870" s="12"/>
      <c r="D870" s="12"/>
      <c r="E870" s="12"/>
      <c r="F870" s="12"/>
      <c r="G870" s="12"/>
      <c r="H870" s="12"/>
      <c r="I870" s="12"/>
      <c r="J870" s="12"/>
      <c r="K870" s="12"/>
      <c r="L870" s="12"/>
      <c r="M870" s="12"/>
      <c r="N870" s="12"/>
      <c r="O870" s="12"/>
      <c r="P870" s="12"/>
      <c r="Q870" s="12"/>
      <c r="R870" s="12"/>
      <c r="S870" s="12"/>
      <c r="T870" s="12"/>
      <c r="U870" s="12"/>
      <c r="V870" s="12"/>
      <c r="W870" s="12"/>
      <c r="X870" s="12"/>
    </row>
    <row r="871" spans="2:24">
      <c r="B871" s="12"/>
      <c r="C871" s="12"/>
      <c r="D871" s="12"/>
      <c r="E871" s="12"/>
      <c r="F871" s="12"/>
      <c r="G871" s="12"/>
      <c r="H871" s="12"/>
      <c r="I871" s="12"/>
      <c r="J871" s="12"/>
      <c r="K871" s="12"/>
      <c r="L871" s="12"/>
      <c r="M871" s="12"/>
      <c r="N871" s="12"/>
      <c r="O871" s="12"/>
      <c r="P871" s="12"/>
      <c r="Q871" s="12"/>
      <c r="R871" s="12"/>
      <c r="S871" s="12"/>
      <c r="T871" s="12"/>
      <c r="U871" s="12"/>
      <c r="V871" s="12"/>
      <c r="W871" s="12"/>
      <c r="X871" s="12"/>
    </row>
    <row r="872" spans="2:24">
      <c r="B872" s="12"/>
      <c r="C872" s="12"/>
      <c r="D872" s="12"/>
      <c r="E872" s="12"/>
      <c r="F872" s="12"/>
      <c r="G872" s="12"/>
      <c r="H872" s="12"/>
      <c r="I872" s="12"/>
      <c r="J872" s="12"/>
      <c r="K872" s="12"/>
      <c r="L872" s="12"/>
      <c r="M872" s="12"/>
      <c r="N872" s="12"/>
      <c r="O872" s="12"/>
      <c r="P872" s="12"/>
      <c r="Q872" s="12"/>
      <c r="R872" s="12"/>
      <c r="S872" s="12"/>
      <c r="T872" s="12"/>
      <c r="U872" s="12"/>
      <c r="V872" s="12"/>
      <c r="W872" s="12"/>
      <c r="X872" s="12"/>
    </row>
    <row r="873" spans="2:24">
      <c r="B873" s="12"/>
      <c r="C873" s="12"/>
      <c r="D873" s="12"/>
      <c r="E873" s="12"/>
      <c r="F873" s="12"/>
      <c r="G873" s="12"/>
      <c r="H873" s="12"/>
      <c r="I873" s="12"/>
      <c r="J873" s="12"/>
      <c r="K873" s="12"/>
      <c r="L873" s="12"/>
      <c r="M873" s="12"/>
      <c r="N873" s="12"/>
      <c r="O873" s="12"/>
      <c r="P873" s="12"/>
      <c r="Q873" s="12"/>
      <c r="R873" s="12"/>
      <c r="S873" s="12"/>
      <c r="T873" s="12"/>
      <c r="U873" s="12"/>
      <c r="V873" s="12"/>
      <c r="W873" s="12"/>
      <c r="X873" s="12"/>
    </row>
    <row r="874" spans="2:24">
      <c r="B874" s="12"/>
      <c r="C874" s="12"/>
      <c r="D874" s="12"/>
      <c r="E874" s="12"/>
      <c r="F874" s="12"/>
      <c r="G874" s="12"/>
      <c r="H874" s="12"/>
      <c r="I874" s="12"/>
      <c r="J874" s="12"/>
      <c r="K874" s="12"/>
      <c r="L874" s="12"/>
      <c r="M874" s="12"/>
      <c r="N874" s="12"/>
      <c r="O874" s="12"/>
      <c r="P874" s="12"/>
      <c r="Q874" s="12"/>
      <c r="R874" s="12"/>
      <c r="S874" s="12"/>
      <c r="T874" s="12"/>
      <c r="U874" s="12"/>
      <c r="V874" s="12"/>
      <c r="W874" s="12"/>
      <c r="X874" s="12"/>
    </row>
    <row r="875" spans="2:24">
      <c r="B875" s="12"/>
      <c r="C875" s="12"/>
      <c r="D875" s="12"/>
      <c r="E875" s="12"/>
      <c r="F875" s="12"/>
      <c r="G875" s="12"/>
      <c r="H875" s="12"/>
      <c r="I875" s="12"/>
      <c r="J875" s="12"/>
      <c r="K875" s="12"/>
      <c r="L875" s="12"/>
      <c r="M875" s="12"/>
      <c r="N875" s="12"/>
      <c r="O875" s="12"/>
      <c r="P875" s="12"/>
      <c r="Q875" s="12"/>
      <c r="R875" s="12"/>
      <c r="S875" s="12"/>
      <c r="T875" s="12"/>
      <c r="U875" s="12"/>
      <c r="V875" s="12"/>
      <c r="W875" s="12"/>
      <c r="X875" s="12"/>
    </row>
    <row r="876" spans="2:24">
      <c r="B876" s="12"/>
      <c r="C876" s="12"/>
      <c r="D876" s="12"/>
      <c r="E876" s="12"/>
      <c r="F876" s="12"/>
      <c r="G876" s="12"/>
      <c r="H876" s="12"/>
      <c r="I876" s="12"/>
      <c r="J876" s="12"/>
      <c r="K876" s="12"/>
      <c r="L876" s="12"/>
      <c r="M876" s="12"/>
      <c r="N876" s="12"/>
      <c r="O876" s="12"/>
      <c r="P876" s="12"/>
      <c r="Q876" s="12"/>
      <c r="R876" s="12"/>
      <c r="S876" s="12"/>
      <c r="T876" s="12"/>
      <c r="U876" s="12"/>
      <c r="V876" s="12"/>
      <c r="W876" s="12"/>
      <c r="X876" s="12"/>
    </row>
    <row r="877" spans="2:24">
      <c r="B877" s="12"/>
      <c r="C877" s="12"/>
      <c r="D877" s="12"/>
      <c r="E877" s="12"/>
      <c r="F877" s="12"/>
      <c r="G877" s="12"/>
      <c r="H877" s="12"/>
      <c r="I877" s="12"/>
      <c r="J877" s="12"/>
      <c r="K877" s="12"/>
      <c r="L877" s="12"/>
      <c r="M877" s="12"/>
      <c r="N877" s="12"/>
      <c r="O877" s="12"/>
      <c r="P877" s="12"/>
      <c r="Q877" s="12"/>
      <c r="R877" s="12"/>
      <c r="S877" s="12"/>
      <c r="T877" s="12"/>
      <c r="U877" s="12"/>
      <c r="V877" s="12"/>
      <c r="W877" s="12"/>
      <c r="X877" s="12"/>
    </row>
    <row r="878" spans="2:24">
      <c r="B878" s="12"/>
      <c r="C878" s="12"/>
      <c r="D878" s="12"/>
      <c r="E878" s="12"/>
      <c r="F878" s="12"/>
      <c r="G878" s="12"/>
      <c r="H878" s="12"/>
      <c r="I878" s="12"/>
      <c r="J878" s="12"/>
      <c r="K878" s="12"/>
      <c r="L878" s="12"/>
      <c r="M878" s="12"/>
      <c r="N878" s="12"/>
      <c r="O878" s="12"/>
      <c r="P878" s="12"/>
      <c r="Q878" s="12"/>
      <c r="R878" s="12"/>
      <c r="S878" s="12"/>
      <c r="T878" s="12"/>
      <c r="U878" s="12"/>
      <c r="V878" s="12"/>
      <c r="W878" s="12"/>
      <c r="X878" s="12"/>
    </row>
    <row r="879" spans="2:24">
      <c r="B879" s="12"/>
      <c r="C879" s="12"/>
      <c r="D879" s="12"/>
      <c r="E879" s="12"/>
      <c r="F879" s="12"/>
      <c r="G879" s="12"/>
      <c r="H879" s="12"/>
      <c r="I879" s="12"/>
      <c r="J879" s="12"/>
      <c r="K879" s="12"/>
      <c r="L879" s="12"/>
      <c r="M879" s="12"/>
      <c r="N879" s="12"/>
      <c r="O879" s="12"/>
      <c r="P879" s="12"/>
      <c r="Q879" s="12"/>
      <c r="R879" s="12"/>
      <c r="S879" s="12"/>
      <c r="T879" s="12"/>
      <c r="U879" s="12"/>
      <c r="V879" s="12"/>
      <c r="W879" s="12"/>
      <c r="X879" s="12"/>
    </row>
    <row r="880" spans="2:24">
      <c r="B880" s="12"/>
      <c r="C880" s="12"/>
      <c r="D880" s="12"/>
      <c r="E880" s="12"/>
      <c r="F880" s="12"/>
      <c r="G880" s="12"/>
      <c r="H880" s="12"/>
      <c r="I880" s="12"/>
      <c r="J880" s="12"/>
      <c r="K880" s="12"/>
      <c r="L880" s="12"/>
      <c r="M880" s="12"/>
      <c r="N880" s="12"/>
      <c r="O880" s="12"/>
      <c r="P880" s="12"/>
      <c r="Q880" s="12"/>
      <c r="R880" s="12"/>
      <c r="S880" s="12"/>
      <c r="T880" s="12"/>
      <c r="U880" s="12"/>
      <c r="V880" s="12"/>
      <c r="W880" s="12"/>
      <c r="X880" s="12"/>
    </row>
    <row r="881" spans="2:24">
      <c r="B881" s="12"/>
      <c r="C881" s="12"/>
      <c r="D881" s="12"/>
      <c r="E881" s="12"/>
      <c r="F881" s="12"/>
      <c r="G881" s="12"/>
      <c r="H881" s="12"/>
      <c r="I881" s="12"/>
      <c r="J881" s="12"/>
      <c r="K881" s="12"/>
      <c r="L881" s="12"/>
      <c r="M881" s="12"/>
      <c r="N881" s="12"/>
      <c r="O881" s="12"/>
      <c r="P881" s="12"/>
      <c r="Q881" s="12"/>
      <c r="R881" s="12"/>
      <c r="S881" s="12"/>
      <c r="T881" s="12"/>
      <c r="U881" s="12"/>
      <c r="V881" s="12"/>
      <c r="W881" s="12"/>
      <c r="X881" s="12"/>
    </row>
    <row r="882" spans="2:24">
      <c r="B882" s="12"/>
      <c r="C882" s="12"/>
      <c r="D882" s="12"/>
      <c r="E882" s="12"/>
      <c r="F882" s="12"/>
      <c r="G882" s="12"/>
      <c r="H882" s="12"/>
      <c r="I882" s="12"/>
      <c r="J882" s="12"/>
      <c r="K882" s="12"/>
      <c r="L882" s="12"/>
      <c r="M882" s="12"/>
      <c r="N882" s="12"/>
      <c r="O882" s="12"/>
      <c r="P882" s="12"/>
      <c r="Q882" s="12"/>
      <c r="R882" s="12"/>
      <c r="S882" s="12"/>
      <c r="T882" s="12"/>
      <c r="U882" s="12"/>
      <c r="V882" s="12"/>
      <c r="W882" s="12"/>
      <c r="X882" s="12"/>
    </row>
    <row r="883" spans="2:24">
      <c r="B883" s="12"/>
      <c r="C883" s="12"/>
      <c r="D883" s="12"/>
      <c r="E883" s="12"/>
      <c r="F883" s="12"/>
      <c r="G883" s="12"/>
      <c r="H883" s="12"/>
      <c r="I883" s="12"/>
      <c r="J883" s="12"/>
      <c r="K883" s="12"/>
      <c r="L883" s="12"/>
      <c r="M883" s="12"/>
      <c r="N883" s="12"/>
      <c r="O883" s="12"/>
      <c r="P883" s="12"/>
      <c r="Q883" s="12"/>
      <c r="R883" s="12"/>
      <c r="S883" s="12"/>
      <c r="T883" s="12"/>
      <c r="U883" s="12"/>
      <c r="V883" s="12"/>
      <c r="W883" s="12"/>
      <c r="X883" s="12"/>
    </row>
    <row r="884" spans="2:24">
      <c r="B884" s="12"/>
      <c r="C884" s="12"/>
      <c r="D884" s="12"/>
      <c r="E884" s="12"/>
      <c r="F884" s="12"/>
      <c r="G884" s="12"/>
      <c r="H884" s="12"/>
      <c r="I884" s="12"/>
      <c r="J884" s="12"/>
      <c r="K884" s="12"/>
      <c r="L884" s="12"/>
      <c r="M884" s="12"/>
      <c r="N884" s="12"/>
      <c r="O884" s="12"/>
      <c r="P884" s="12"/>
      <c r="Q884" s="12"/>
      <c r="R884" s="12"/>
      <c r="S884" s="12"/>
      <c r="T884" s="12"/>
      <c r="U884" s="12"/>
      <c r="V884" s="12"/>
      <c r="W884" s="12"/>
      <c r="X884" s="12"/>
    </row>
    <row r="885" spans="2:24">
      <c r="B885" s="12"/>
      <c r="C885" s="12"/>
      <c r="D885" s="12"/>
      <c r="E885" s="12"/>
      <c r="F885" s="12"/>
      <c r="G885" s="12"/>
      <c r="H885" s="12"/>
      <c r="I885" s="12"/>
      <c r="J885" s="12"/>
      <c r="K885" s="12"/>
      <c r="L885" s="12"/>
      <c r="M885" s="12"/>
      <c r="N885" s="12"/>
      <c r="O885" s="12"/>
      <c r="P885" s="12"/>
      <c r="Q885" s="12"/>
      <c r="R885" s="12"/>
      <c r="S885" s="12"/>
      <c r="T885" s="12"/>
      <c r="U885" s="12"/>
      <c r="V885" s="12"/>
      <c r="W885" s="12"/>
      <c r="X885" s="12"/>
    </row>
    <row r="886" spans="2:24">
      <c r="B886" s="12"/>
      <c r="C886" s="12"/>
      <c r="D886" s="12"/>
      <c r="E886" s="12"/>
      <c r="F886" s="12"/>
      <c r="G886" s="12"/>
      <c r="H886" s="12"/>
      <c r="I886" s="12"/>
      <c r="J886" s="12"/>
      <c r="K886" s="12"/>
      <c r="L886" s="12"/>
      <c r="M886" s="12"/>
      <c r="N886" s="12"/>
      <c r="O886" s="12"/>
      <c r="P886" s="12"/>
      <c r="Q886" s="12"/>
      <c r="R886" s="12"/>
      <c r="S886" s="12"/>
      <c r="T886" s="12"/>
      <c r="U886" s="12"/>
      <c r="V886" s="12"/>
      <c r="W886" s="12"/>
      <c r="X886" s="12"/>
    </row>
    <row r="887" spans="2:24">
      <c r="B887" s="12"/>
      <c r="C887" s="12"/>
      <c r="D887" s="12"/>
      <c r="E887" s="12"/>
      <c r="F887" s="12"/>
      <c r="G887" s="12"/>
      <c r="H887" s="12"/>
      <c r="I887" s="12"/>
      <c r="J887" s="12"/>
      <c r="K887" s="12"/>
      <c r="L887" s="12"/>
      <c r="M887" s="12"/>
      <c r="N887" s="12"/>
      <c r="O887" s="12"/>
      <c r="P887" s="12"/>
      <c r="Q887" s="12"/>
      <c r="R887" s="12"/>
      <c r="S887" s="12"/>
      <c r="T887" s="12"/>
      <c r="U887" s="12"/>
      <c r="V887" s="12"/>
      <c r="W887" s="12"/>
      <c r="X887" s="12"/>
    </row>
    <row r="888" spans="2:24">
      <c r="B888" s="12"/>
      <c r="C888" s="12"/>
      <c r="D888" s="12"/>
      <c r="E888" s="12"/>
      <c r="F888" s="12"/>
      <c r="G888" s="12"/>
      <c r="H888" s="12"/>
      <c r="I888" s="12"/>
      <c r="J888" s="12"/>
      <c r="K888" s="12"/>
      <c r="L888" s="12"/>
      <c r="M888" s="12"/>
      <c r="N888" s="12"/>
      <c r="O888" s="12"/>
      <c r="P888" s="12"/>
      <c r="Q888" s="12"/>
      <c r="R888" s="12"/>
      <c r="S888" s="12"/>
      <c r="T888" s="12"/>
      <c r="U888" s="12"/>
      <c r="V888" s="12"/>
      <c r="W888" s="12"/>
      <c r="X888" s="12"/>
    </row>
    <row r="889" spans="2:24">
      <c r="B889" s="12"/>
      <c r="C889" s="12"/>
      <c r="D889" s="12"/>
      <c r="E889" s="12"/>
      <c r="F889" s="12"/>
      <c r="G889" s="12"/>
      <c r="H889" s="12"/>
      <c r="I889" s="12"/>
      <c r="J889" s="12"/>
      <c r="K889" s="12"/>
      <c r="L889" s="12"/>
      <c r="M889" s="12"/>
      <c r="N889" s="12"/>
      <c r="O889" s="12"/>
      <c r="P889" s="12"/>
      <c r="Q889" s="12"/>
      <c r="R889" s="12"/>
      <c r="S889" s="12"/>
      <c r="T889" s="12"/>
      <c r="U889" s="12"/>
      <c r="V889" s="12"/>
      <c r="W889" s="12"/>
      <c r="X889" s="12"/>
    </row>
    <row r="890" spans="2:24">
      <c r="B890" s="12"/>
      <c r="C890" s="12"/>
      <c r="D890" s="12"/>
      <c r="E890" s="12"/>
      <c r="F890" s="12"/>
      <c r="G890" s="12"/>
      <c r="H890" s="12"/>
      <c r="I890" s="12"/>
      <c r="J890" s="12"/>
      <c r="K890" s="12"/>
      <c r="L890" s="12"/>
      <c r="M890" s="12"/>
      <c r="N890" s="12"/>
      <c r="O890" s="12"/>
      <c r="P890" s="12"/>
      <c r="Q890" s="12"/>
      <c r="R890" s="12"/>
      <c r="S890" s="12"/>
      <c r="T890" s="12"/>
      <c r="U890" s="12"/>
      <c r="V890" s="12"/>
      <c r="W890" s="12"/>
      <c r="X890" s="12"/>
    </row>
    <row r="891" spans="2:24">
      <c r="B891" s="12"/>
      <c r="C891" s="12"/>
      <c r="D891" s="12"/>
      <c r="E891" s="12"/>
      <c r="F891" s="12"/>
      <c r="G891" s="12"/>
      <c r="H891" s="12"/>
      <c r="I891" s="12"/>
      <c r="J891" s="12"/>
      <c r="K891" s="12"/>
      <c r="L891" s="12"/>
      <c r="M891" s="12"/>
      <c r="N891" s="12"/>
      <c r="O891" s="12"/>
      <c r="P891" s="12"/>
      <c r="Q891" s="12"/>
      <c r="R891" s="12"/>
      <c r="S891" s="12"/>
      <c r="T891" s="12"/>
      <c r="U891" s="12"/>
      <c r="V891" s="12"/>
      <c r="W891" s="12"/>
      <c r="X891" s="12"/>
    </row>
    <row r="892" spans="2:24">
      <c r="B892" s="12"/>
      <c r="C892" s="12"/>
      <c r="D892" s="12"/>
      <c r="E892" s="12"/>
      <c r="F892" s="12"/>
      <c r="G892" s="12"/>
      <c r="H892" s="12"/>
      <c r="I892" s="12"/>
      <c r="J892" s="12"/>
      <c r="K892" s="12"/>
      <c r="L892" s="12"/>
      <c r="M892" s="12"/>
      <c r="N892" s="12"/>
      <c r="O892" s="12"/>
      <c r="P892" s="12"/>
      <c r="Q892" s="12"/>
      <c r="R892" s="12"/>
      <c r="S892" s="12"/>
      <c r="T892" s="12"/>
      <c r="U892" s="12"/>
      <c r="V892" s="12"/>
      <c r="W892" s="12"/>
      <c r="X892" s="12"/>
    </row>
    <row r="893" spans="2:24">
      <c r="B893" s="12"/>
      <c r="C893" s="12"/>
      <c r="D893" s="12"/>
      <c r="E893" s="12"/>
      <c r="F893" s="12"/>
      <c r="G893" s="12"/>
      <c r="H893" s="12"/>
      <c r="I893" s="12"/>
      <c r="J893" s="12"/>
      <c r="K893" s="12"/>
      <c r="L893" s="12"/>
      <c r="M893" s="12"/>
      <c r="N893" s="12"/>
      <c r="O893" s="12"/>
      <c r="P893" s="12"/>
      <c r="Q893" s="12"/>
      <c r="R893" s="12"/>
      <c r="S893" s="12"/>
      <c r="T893" s="12"/>
      <c r="U893" s="12"/>
      <c r="V893" s="12"/>
      <c r="W893" s="12"/>
      <c r="X893" s="12"/>
    </row>
    <row r="894" spans="2:24">
      <c r="B894" s="12"/>
      <c r="C894" s="12"/>
      <c r="D894" s="12"/>
      <c r="E894" s="12"/>
      <c r="F894" s="12"/>
      <c r="G894" s="12"/>
      <c r="H894" s="12"/>
      <c r="I894" s="12"/>
      <c r="J894" s="12"/>
      <c r="K894" s="12"/>
      <c r="L894" s="12"/>
      <c r="M894" s="12"/>
      <c r="N894" s="12"/>
      <c r="O894" s="12"/>
      <c r="P894" s="12"/>
      <c r="Q894" s="12"/>
      <c r="R894" s="12"/>
      <c r="S894" s="12"/>
      <c r="T894" s="12"/>
      <c r="U894" s="12"/>
      <c r="V894" s="12"/>
      <c r="W894" s="12"/>
      <c r="X894" s="12"/>
    </row>
    <row r="895" spans="2:24">
      <c r="B895" s="12"/>
      <c r="C895" s="12"/>
      <c r="D895" s="12"/>
      <c r="E895" s="12"/>
      <c r="F895" s="12"/>
      <c r="G895" s="12"/>
      <c r="H895" s="12"/>
      <c r="I895" s="12"/>
      <c r="J895" s="12"/>
      <c r="K895" s="12"/>
      <c r="L895" s="12"/>
      <c r="M895" s="12"/>
      <c r="N895" s="12"/>
      <c r="O895" s="12"/>
      <c r="P895" s="12"/>
      <c r="Q895" s="12"/>
      <c r="R895" s="12"/>
      <c r="S895" s="12"/>
      <c r="T895" s="12"/>
      <c r="U895" s="12"/>
      <c r="V895" s="12"/>
      <c r="W895" s="12"/>
      <c r="X895" s="12"/>
    </row>
    <row r="896" spans="2:24">
      <c r="B896" s="12"/>
      <c r="C896" s="12"/>
      <c r="D896" s="12"/>
      <c r="E896" s="12"/>
      <c r="F896" s="12"/>
      <c r="G896" s="12"/>
      <c r="H896" s="12"/>
      <c r="I896" s="12"/>
      <c r="J896" s="12"/>
      <c r="K896" s="12"/>
      <c r="L896" s="12"/>
      <c r="M896" s="12"/>
      <c r="N896" s="12"/>
      <c r="O896" s="12"/>
      <c r="P896" s="12"/>
      <c r="Q896" s="12"/>
      <c r="R896" s="12"/>
      <c r="S896" s="12"/>
      <c r="T896" s="12"/>
      <c r="U896" s="12"/>
      <c r="V896" s="12"/>
      <c r="W896" s="12"/>
      <c r="X896" s="12"/>
    </row>
    <row r="897" spans="2:24">
      <c r="B897" s="12"/>
      <c r="C897" s="12"/>
      <c r="D897" s="12"/>
      <c r="E897" s="12"/>
      <c r="F897" s="12"/>
      <c r="G897" s="12"/>
      <c r="H897" s="12"/>
      <c r="I897" s="12"/>
      <c r="J897" s="12"/>
      <c r="K897" s="12"/>
      <c r="L897" s="12"/>
      <c r="M897" s="12"/>
      <c r="N897" s="12"/>
      <c r="O897" s="12"/>
      <c r="P897" s="12"/>
      <c r="Q897" s="12"/>
      <c r="R897" s="12"/>
      <c r="S897" s="12"/>
      <c r="T897" s="12"/>
      <c r="U897" s="12"/>
      <c r="V897" s="12"/>
      <c r="W897" s="12"/>
      <c r="X897" s="12"/>
    </row>
    <row r="898" spans="2:24">
      <c r="B898" s="12"/>
      <c r="C898" s="12"/>
      <c r="D898" s="12"/>
      <c r="E898" s="12"/>
      <c r="F898" s="12"/>
      <c r="G898" s="12"/>
      <c r="H898" s="12"/>
      <c r="I898" s="12"/>
      <c r="J898" s="12"/>
      <c r="K898" s="12"/>
      <c r="L898" s="12"/>
      <c r="M898" s="12"/>
      <c r="N898" s="12"/>
      <c r="O898" s="12"/>
      <c r="P898" s="12"/>
      <c r="Q898" s="12"/>
      <c r="R898" s="12"/>
      <c r="S898" s="12"/>
      <c r="T898" s="12"/>
      <c r="U898" s="12"/>
      <c r="V898" s="12"/>
      <c r="W898" s="12"/>
      <c r="X898" s="12"/>
    </row>
    <row r="899" spans="2:24">
      <c r="B899" s="12"/>
      <c r="C899" s="12"/>
      <c r="D899" s="12"/>
      <c r="E899" s="12"/>
      <c r="F899" s="12"/>
      <c r="G899" s="12"/>
      <c r="H899" s="12"/>
      <c r="I899" s="12"/>
      <c r="J899" s="12"/>
      <c r="K899" s="12"/>
      <c r="L899" s="12"/>
      <c r="M899" s="12"/>
      <c r="N899" s="12"/>
      <c r="O899" s="12"/>
      <c r="P899" s="12"/>
      <c r="Q899" s="12"/>
      <c r="R899" s="12"/>
      <c r="S899" s="12"/>
      <c r="T899" s="12"/>
      <c r="U899" s="12"/>
      <c r="V899" s="12"/>
      <c r="W899" s="12"/>
      <c r="X899" s="12"/>
    </row>
    <row r="900" spans="2:24">
      <c r="B900" s="12"/>
      <c r="C900" s="12"/>
      <c r="D900" s="12"/>
      <c r="E900" s="12"/>
      <c r="F900" s="12"/>
      <c r="G900" s="12"/>
      <c r="H900" s="12"/>
      <c r="I900" s="12"/>
      <c r="J900" s="12"/>
      <c r="K900" s="12"/>
      <c r="L900" s="12"/>
      <c r="M900" s="12"/>
      <c r="N900" s="12"/>
      <c r="O900" s="12"/>
      <c r="P900" s="12"/>
      <c r="Q900" s="12"/>
      <c r="R900" s="12"/>
      <c r="S900" s="12"/>
      <c r="T900" s="12"/>
      <c r="U900" s="12"/>
      <c r="V900" s="12"/>
      <c r="W900" s="12"/>
      <c r="X900" s="12"/>
    </row>
    <row r="901" spans="2:24">
      <c r="B901" s="12"/>
      <c r="C901" s="12"/>
      <c r="D901" s="12"/>
      <c r="E901" s="12"/>
      <c r="F901" s="12"/>
      <c r="G901" s="12"/>
      <c r="H901" s="12"/>
      <c r="I901" s="12"/>
      <c r="J901" s="12"/>
      <c r="K901" s="12"/>
      <c r="L901" s="12"/>
      <c r="M901" s="12"/>
      <c r="N901" s="12"/>
      <c r="O901" s="12"/>
      <c r="P901" s="12"/>
      <c r="Q901" s="12"/>
      <c r="R901" s="12"/>
      <c r="S901" s="12"/>
      <c r="T901" s="12"/>
      <c r="U901" s="12"/>
      <c r="V901" s="12"/>
      <c r="W901" s="12"/>
      <c r="X901" s="12"/>
    </row>
    <row r="902" spans="2:24">
      <c r="B902" s="12"/>
      <c r="C902" s="12"/>
      <c r="D902" s="12"/>
      <c r="E902" s="12"/>
      <c r="F902" s="12"/>
      <c r="G902" s="12"/>
      <c r="H902" s="12"/>
      <c r="I902" s="12"/>
      <c r="J902" s="12"/>
      <c r="K902" s="12"/>
      <c r="L902" s="12"/>
      <c r="M902" s="12"/>
      <c r="N902" s="12"/>
      <c r="O902" s="12"/>
      <c r="P902" s="12"/>
      <c r="Q902" s="12"/>
      <c r="R902" s="12"/>
      <c r="S902" s="12"/>
      <c r="T902" s="12"/>
      <c r="U902" s="12"/>
      <c r="V902" s="12"/>
      <c r="W902" s="12"/>
      <c r="X902" s="12"/>
    </row>
    <row r="903" spans="2:24">
      <c r="B903" s="12"/>
      <c r="C903" s="12"/>
      <c r="D903" s="12"/>
      <c r="E903" s="12"/>
      <c r="F903" s="12"/>
      <c r="G903" s="12"/>
      <c r="H903" s="12"/>
      <c r="I903" s="12"/>
      <c r="J903" s="12"/>
      <c r="K903" s="12"/>
      <c r="L903" s="12"/>
      <c r="M903" s="12"/>
      <c r="N903" s="12"/>
      <c r="O903" s="12"/>
      <c r="P903" s="12"/>
      <c r="Q903" s="12"/>
      <c r="R903" s="12"/>
      <c r="S903" s="12"/>
      <c r="T903" s="12"/>
      <c r="U903" s="12"/>
      <c r="V903" s="12"/>
      <c r="W903" s="12"/>
      <c r="X903" s="12"/>
    </row>
    <row r="904" spans="2:24">
      <c r="B904" s="12"/>
      <c r="C904" s="12"/>
      <c r="D904" s="12"/>
      <c r="E904" s="12"/>
      <c r="F904" s="12"/>
      <c r="G904" s="12"/>
      <c r="H904" s="12"/>
      <c r="I904" s="12"/>
      <c r="J904" s="12"/>
      <c r="K904" s="12"/>
      <c r="L904" s="12"/>
      <c r="M904" s="12"/>
      <c r="N904" s="12"/>
      <c r="O904" s="12"/>
      <c r="P904" s="12"/>
      <c r="Q904" s="12"/>
      <c r="R904" s="12"/>
      <c r="S904" s="12"/>
      <c r="T904" s="12"/>
      <c r="U904" s="12"/>
      <c r="V904" s="12"/>
      <c r="W904" s="12"/>
      <c r="X904" s="12"/>
    </row>
    <row r="905" spans="2:24">
      <c r="B905" s="12"/>
      <c r="C905" s="12"/>
      <c r="D905" s="12"/>
      <c r="E905" s="12"/>
      <c r="F905" s="12"/>
      <c r="G905" s="12"/>
      <c r="H905" s="12"/>
      <c r="I905" s="12"/>
      <c r="J905" s="12"/>
      <c r="K905" s="12"/>
      <c r="L905" s="12"/>
      <c r="M905" s="12"/>
      <c r="N905" s="12"/>
      <c r="O905" s="12"/>
      <c r="P905" s="12"/>
      <c r="Q905" s="12"/>
      <c r="R905" s="12"/>
      <c r="S905" s="12"/>
      <c r="T905" s="12"/>
      <c r="U905" s="12"/>
      <c r="V905" s="12"/>
      <c r="W905" s="12"/>
      <c r="X905" s="12"/>
    </row>
    <row r="906" spans="2:24">
      <c r="B906" s="12"/>
      <c r="C906" s="12"/>
      <c r="D906" s="12"/>
      <c r="E906" s="12"/>
      <c r="F906" s="12"/>
      <c r="G906" s="12"/>
      <c r="H906" s="12"/>
      <c r="I906" s="12"/>
      <c r="J906" s="12"/>
      <c r="K906" s="12"/>
      <c r="L906" s="12"/>
      <c r="M906" s="12"/>
      <c r="N906" s="12"/>
      <c r="O906" s="12"/>
      <c r="P906" s="12"/>
      <c r="Q906" s="12"/>
      <c r="R906" s="12"/>
      <c r="S906" s="12"/>
      <c r="T906" s="12"/>
      <c r="U906" s="12"/>
      <c r="V906" s="12"/>
      <c r="W906" s="12"/>
      <c r="X906" s="12"/>
    </row>
    <row r="907" spans="2:24">
      <c r="B907" s="12"/>
      <c r="C907" s="12"/>
      <c r="D907" s="12"/>
      <c r="E907" s="12"/>
      <c r="F907" s="12"/>
      <c r="G907" s="12"/>
      <c r="H907" s="12"/>
      <c r="I907" s="12"/>
      <c r="J907" s="12"/>
      <c r="K907" s="12"/>
      <c r="L907" s="12"/>
      <c r="M907" s="12"/>
      <c r="N907" s="12"/>
      <c r="O907" s="12"/>
      <c r="P907" s="12"/>
      <c r="Q907" s="12"/>
      <c r="R907" s="12"/>
      <c r="S907" s="12"/>
      <c r="T907" s="12"/>
      <c r="U907" s="12"/>
      <c r="V907" s="12"/>
      <c r="W907" s="12"/>
      <c r="X907" s="12"/>
    </row>
    <row r="908" spans="2:24">
      <c r="B908" s="12"/>
      <c r="C908" s="12"/>
      <c r="D908" s="12"/>
      <c r="E908" s="12"/>
      <c r="F908" s="12"/>
      <c r="G908" s="12"/>
      <c r="H908" s="12"/>
      <c r="I908" s="12"/>
      <c r="J908" s="12"/>
      <c r="K908" s="12"/>
      <c r="L908" s="12"/>
      <c r="M908" s="12"/>
      <c r="N908" s="12"/>
      <c r="O908" s="12"/>
      <c r="P908" s="12"/>
      <c r="Q908" s="12"/>
      <c r="R908" s="12"/>
      <c r="S908" s="12"/>
      <c r="T908" s="12"/>
      <c r="U908" s="12"/>
      <c r="V908" s="12"/>
      <c r="W908" s="12"/>
      <c r="X908" s="12"/>
    </row>
    <row r="909" spans="2:24">
      <c r="B909" s="12"/>
      <c r="C909" s="12"/>
      <c r="D909" s="12"/>
      <c r="E909" s="12"/>
      <c r="F909" s="12"/>
      <c r="G909" s="12"/>
      <c r="H909" s="12"/>
      <c r="I909" s="12"/>
      <c r="J909" s="12"/>
      <c r="K909" s="12"/>
      <c r="L909" s="12"/>
      <c r="M909" s="12"/>
      <c r="N909" s="12"/>
      <c r="O909" s="12"/>
      <c r="P909" s="12"/>
      <c r="Q909" s="12"/>
      <c r="R909" s="12"/>
      <c r="S909" s="12"/>
      <c r="T909" s="12"/>
      <c r="U909" s="12"/>
      <c r="V909" s="12"/>
      <c r="W909" s="12"/>
      <c r="X909" s="12"/>
    </row>
    <row r="910" spans="2:24">
      <c r="B910" s="12"/>
      <c r="C910" s="12"/>
      <c r="D910" s="12"/>
      <c r="E910" s="12"/>
      <c r="F910" s="12"/>
      <c r="G910" s="12"/>
      <c r="H910" s="12"/>
      <c r="I910" s="12"/>
      <c r="J910" s="12"/>
      <c r="K910" s="12"/>
      <c r="L910" s="12"/>
      <c r="M910" s="12"/>
      <c r="N910" s="12"/>
      <c r="O910" s="12"/>
      <c r="P910" s="12"/>
      <c r="Q910" s="12"/>
      <c r="R910" s="12"/>
      <c r="S910" s="12"/>
      <c r="T910" s="12"/>
      <c r="U910" s="12"/>
      <c r="V910" s="12"/>
      <c r="W910" s="12"/>
      <c r="X910" s="12"/>
    </row>
    <row r="911" spans="2:24">
      <c r="B911" s="12"/>
      <c r="C911" s="12"/>
      <c r="D911" s="12"/>
      <c r="E911" s="12"/>
      <c r="F911" s="12"/>
      <c r="G911" s="12"/>
      <c r="H911" s="12"/>
      <c r="I911" s="12"/>
      <c r="J911" s="12"/>
      <c r="K911" s="12"/>
      <c r="L911" s="12"/>
      <c r="M911" s="12"/>
      <c r="N911" s="12"/>
      <c r="O911" s="12"/>
      <c r="P911" s="12"/>
      <c r="Q911" s="12"/>
      <c r="R911" s="12"/>
      <c r="S911" s="12"/>
      <c r="T911" s="12"/>
      <c r="U911" s="12"/>
      <c r="V911" s="12"/>
      <c r="W911" s="12"/>
      <c r="X911" s="12"/>
    </row>
    <row r="912" spans="2:24">
      <c r="B912" s="12"/>
      <c r="C912" s="12"/>
      <c r="D912" s="12"/>
      <c r="E912" s="12"/>
      <c r="F912" s="12"/>
      <c r="G912" s="12"/>
      <c r="H912" s="12"/>
      <c r="I912" s="12"/>
      <c r="J912" s="12"/>
      <c r="K912" s="12"/>
      <c r="L912" s="12"/>
      <c r="M912" s="12"/>
      <c r="N912" s="12"/>
      <c r="O912" s="12"/>
      <c r="P912" s="12"/>
      <c r="Q912" s="12"/>
      <c r="R912" s="12"/>
      <c r="S912" s="12"/>
      <c r="T912" s="12"/>
      <c r="U912" s="12"/>
      <c r="V912" s="12"/>
      <c r="W912" s="12"/>
      <c r="X912" s="12"/>
    </row>
    <row r="913" spans="2:24">
      <c r="B913" s="12"/>
      <c r="C913" s="12"/>
      <c r="D913" s="12"/>
      <c r="E913" s="12"/>
      <c r="F913" s="12"/>
      <c r="G913" s="12"/>
      <c r="H913" s="12"/>
      <c r="I913" s="12"/>
      <c r="J913" s="12"/>
      <c r="K913" s="12"/>
      <c r="L913" s="12"/>
      <c r="M913" s="12"/>
      <c r="N913" s="12"/>
      <c r="O913" s="12"/>
      <c r="P913" s="12"/>
      <c r="Q913" s="12"/>
      <c r="R913" s="12"/>
      <c r="S913" s="12"/>
      <c r="T913" s="12"/>
      <c r="U913" s="12"/>
      <c r="V913" s="12"/>
      <c r="W913" s="12"/>
      <c r="X913" s="12"/>
    </row>
    <row r="914" spans="2:24">
      <c r="B914" s="12"/>
      <c r="C914" s="12"/>
      <c r="D914" s="12"/>
      <c r="E914" s="12"/>
      <c r="F914" s="12"/>
      <c r="G914" s="12"/>
      <c r="H914" s="12"/>
      <c r="I914" s="12"/>
      <c r="J914" s="12"/>
      <c r="K914" s="12"/>
      <c r="L914" s="12"/>
      <c r="M914" s="12"/>
      <c r="N914" s="12"/>
      <c r="O914" s="12"/>
      <c r="P914" s="12"/>
      <c r="Q914" s="12"/>
      <c r="R914" s="12"/>
      <c r="S914" s="12"/>
      <c r="T914" s="12"/>
      <c r="U914" s="12"/>
      <c r="V914" s="12"/>
      <c r="W914" s="12"/>
      <c r="X914" s="12"/>
    </row>
    <row r="915" spans="2:24">
      <c r="B915" s="12"/>
      <c r="C915" s="12"/>
      <c r="D915" s="12"/>
      <c r="E915" s="12"/>
      <c r="F915" s="12"/>
      <c r="G915" s="12"/>
      <c r="H915" s="12"/>
      <c r="I915" s="12"/>
      <c r="J915" s="12"/>
      <c r="K915" s="12"/>
      <c r="L915" s="12"/>
      <c r="M915" s="12"/>
      <c r="N915" s="12"/>
      <c r="O915" s="12"/>
      <c r="P915" s="12"/>
      <c r="Q915" s="12"/>
      <c r="R915" s="12"/>
      <c r="S915" s="12"/>
      <c r="T915" s="12"/>
      <c r="U915" s="12"/>
      <c r="V915" s="12"/>
      <c r="W915" s="12"/>
      <c r="X915" s="12"/>
    </row>
    <row r="916" spans="2:24">
      <c r="B916" s="12"/>
      <c r="C916" s="12"/>
      <c r="D916" s="12"/>
      <c r="E916" s="12"/>
      <c r="F916" s="12"/>
      <c r="G916" s="12"/>
      <c r="H916" s="12"/>
      <c r="I916" s="12"/>
      <c r="J916" s="12"/>
      <c r="K916" s="12"/>
      <c r="L916" s="12"/>
      <c r="M916" s="12"/>
      <c r="N916" s="12"/>
      <c r="O916" s="12"/>
      <c r="P916" s="12"/>
      <c r="Q916" s="12"/>
      <c r="R916" s="12"/>
      <c r="S916" s="12"/>
      <c r="T916" s="12"/>
      <c r="U916" s="12"/>
      <c r="V916" s="12"/>
      <c r="W916" s="12"/>
      <c r="X916" s="12"/>
    </row>
    <row r="917" spans="2:24">
      <c r="B917" s="12"/>
      <c r="C917" s="12"/>
      <c r="D917" s="12"/>
      <c r="E917" s="12"/>
      <c r="F917" s="12"/>
      <c r="G917" s="12"/>
      <c r="H917" s="12"/>
      <c r="I917" s="12"/>
      <c r="J917" s="12"/>
      <c r="K917" s="12"/>
      <c r="L917" s="12"/>
      <c r="M917" s="12"/>
      <c r="N917" s="12"/>
      <c r="O917" s="12"/>
      <c r="P917" s="12"/>
      <c r="Q917" s="12"/>
      <c r="R917" s="12"/>
      <c r="S917" s="12"/>
      <c r="T917" s="12"/>
      <c r="U917" s="12"/>
      <c r="V917" s="12"/>
      <c r="W917" s="12"/>
      <c r="X917" s="12"/>
    </row>
    <row r="918" spans="2:24">
      <c r="B918" s="12"/>
      <c r="C918" s="12"/>
      <c r="D918" s="12"/>
      <c r="E918" s="12"/>
      <c r="F918" s="12"/>
      <c r="G918" s="12"/>
      <c r="H918" s="12"/>
      <c r="I918" s="12"/>
      <c r="J918" s="12"/>
      <c r="K918" s="12"/>
      <c r="L918" s="12"/>
      <c r="M918" s="12"/>
      <c r="N918" s="12"/>
      <c r="O918" s="12"/>
      <c r="P918" s="12"/>
      <c r="Q918" s="12"/>
      <c r="R918" s="12"/>
      <c r="S918" s="12"/>
      <c r="T918" s="12"/>
      <c r="U918" s="12"/>
      <c r="V918" s="12"/>
      <c r="W918" s="12"/>
      <c r="X918" s="12"/>
    </row>
    <row r="919" spans="2:24">
      <c r="B919" s="12"/>
      <c r="C919" s="12"/>
      <c r="D919" s="12"/>
      <c r="E919" s="12"/>
      <c r="F919" s="12"/>
      <c r="G919" s="12"/>
      <c r="H919" s="12"/>
      <c r="I919" s="12"/>
      <c r="J919" s="12"/>
      <c r="K919" s="12"/>
      <c r="L919" s="12"/>
      <c r="M919" s="12"/>
      <c r="N919" s="12"/>
      <c r="O919" s="12"/>
      <c r="P919" s="12"/>
      <c r="Q919" s="12"/>
      <c r="R919" s="12"/>
      <c r="S919" s="12"/>
      <c r="T919" s="12"/>
      <c r="U919" s="12"/>
      <c r="V919" s="12"/>
      <c r="W919" s="12"/>
      <c r="X919" s="12"/>
    </row>
    <row r="920" spans="2:24">
      <c r="B920" s="12"/>
      <c r="C920" s="12"/>
      <c r="D920" s="12"/>
      <c r="E920" s="12"/>
      <c r="F920" s="12"/>
      <c r="G920" s="12"/>
      <c r="H920" s="12"/>
      <c r="I920" s="12"/>
      <c r="J920" s="12"/>
      <c r="K920" s="12"/>
      <c r="L920" s="12"/>
      <c r="M920" s="12"/>
      <c r="N920" s="12"/>
      <c r="O920" s="12"/>
      <c r="P920" s="12"/>
      <c r="Q920" s="12"/>
      <c r="R920" s="12"/>
      <c r="S920" s="12"/>
      <c r="T920" s="12"/>
      <c r="U920" s="12"/>
      <c r="V920" s="12"/>
      <c r="W920" s="12"/>
      <c r="X920" s="12"/>
    </row>
    <row r="921" spans="2:24">
      <c r="B921" s="12"/>
      <c r="C921" s="12"/>
      <c r="D921" s="12"/>
      <c r="E921" s="12"/>
      <c r="F921" s="12"/>
      <c r="G921" s="12"/>
      <c r="H921" s="12"/>
      <c r="I921" s="12"/>
      <c r="J921" s="12"/>
      <c r="K921" s="12"/>
      <c r="L921" s="12"/>
      <c r="M921" s="12"/>
      <c r="N921" s="12"/>
      <c r="O921" s="12"/>
      <c r="P921" s="12"/>
      <c r="Q921" s="12"/>
      <c r="R921" s="12"/>
      <c r="S921" s="12"/>
      <c r="T921" s="12"/>
      <c r="U921" s="12"/>
      <c r="V921" s="12"/>
      <c r="W921" s="12"/>
      <c r="X921" s="12"/>
    </row>
    <row r="922" spans="2:24">
      <c r="B922" s="12"/>
      <c r="C922" s="12"/>
      <c r="D922" s="12"/>
      <c r="E922" s="12"/>
      <c r="F922" s="12"/>
      <c r="G922" s="12"/>
      <c r="H922" s="12"/>
      <c r="I922" s="12"/>
      <c r="J922" s="12"/>
      <c r="K922" s="12"/>
      <c r="L922" s="12"/>
      <c r="M922" s="12"/>
      <c r="N922" s="12"/>
      <c r="O922" s="12"/>
      <c r="P922" s="12"/>
      <c r="Q922" s="12"/>
      <c r="R922" s="12"/>
      <c r="S922" s="12"/>
      <c r="T922" s="12"/>
      <c r="U922" s="12"/>
      <c r="V922" s="12"/>
      <c r="W922" s="12"/>
      <c r="X922" s="12"/>
    </row>
    <row r="923" spans="2:24">
      <c r="B923" s="12"/>
      <c r="C923" s="12"/>
      <c r="D923" s="12"/>
      <c r="E923" s="12"/>
      <c r="F923" s="12"/>
      <c r="G923" s="12"/>
      <c r="H923" s="12"/>
      <c r="I923" s="12"/>
      <c r="J923" s="12"/>
      <c r="K923" s="12"/>
      <c r="L923" s="12"/>
      <c r="M923" s="12"/>
      <c r="N923" s="12"/>
      <c r="O923" s="12"/>
      <c r="P923" s="12"/>
      <c r="Q923" s="12"/>
      <c r="R923" s="12"/>
      <c r="S923" s="12"/>
      <c r="T923" s="12"/>
      <c r="U923" s="12"/>
      <c r="V923" s="12"/>
      <c r="W923" s="12"/>
      <c r="X923" s="12"/>
    </row>
    <row r="924" spans="2:24">
      <c r="B924" s="12"/>
      <c r="C924" s="12"/>
      <c r="D924" s="12"/>
      <c r="E924" s="12"/>
      <c r="F924" s="12"/>
      <c r="G924" s="12"/>
      <c r="H924" s="12"/>
      <c r="I924" s="12"/>
      <c r="J924" s="12"/>
      <c r="K924" s="12"/>
      <c r="L924" s="12"/>
      <c r="M924" s="12"/>
      <c r="N924" s="12"/>
      <c r="O924" s="12"/>
      <c r="P924" s="12"/>
      <c r="Q924" s="12"/>
      <c r="R924" s="12"/>
      <c r="S924" s="12"/>
      <c r="T924" s="12"/>
      <c r="U924" s="12"/>
      <c r="V924" s="12"/>
      <c r="W924" s="12"/>
      <c r="X924" s="12"/>
    </row>
    <row r="925" spans="2:24">
      <c r="B925" s="12"/>
      <c r="C925" s="12"/>
      <c r="D925" s="12"/>
      <c r="E925" s="12"/>
      <c r="F925" s="12"/>
      <c r="G925" s="12"/>
      <c r="H925" s="12"/>
      <c r="I925" s="12"/>
      <c r="J925" s="12"/>
      <c r="K925" s="12"/>
      <c r="L925" s="12"/>
      <c r="M925" s="12"/>
      <c r="N925" s="12"/>
      <c r="O925" s="12"/>
      <c r="P925" s="12"/>
      <c r="Q925" s="12"/>
      <c r="R925" s="12"/>
      <c r="S925" s="12"/>
      <c r="T925" s="12"/>
      <c r="U925" s="12"/>
      <c r="V925" s="12"/>
      <c r="W925" s="12"/>
      <c r="X925" s="12"/>
    </row>
    <row r="926" spans="2:24">
      <c r="B926" s="12"/>
      <c r="C926" s="12"/>
      <c r="D926" s="12"/>
      <c r="E926" s="12"/>
      <c r="F926" s="12"/>
      <c r="G926" s="12"/>
      <c r="H926" s="12"/>
      <c r="I926" s="12"/>
      <c r="J926" s="12"/>
      <c r="K926" s="12"/>
      <c r="L926" s="12"/>
      <c r="M926" s="12"/>
      <c r="N926" s="12"/>
      <c r="O926" s="12"/>
      <c r="P926" s="12"/>
      <c r="Q926" s="12"/>
      <c r="R926" s="12"/>
      <c r="S926" s="12"/>
      <c r="T926" s="12"/>
      <c r="U926" s="12"/>
      <c r="V926" s="12"/>
      <c r="W926" s="12"/>
      <c r="X926" s="12"/>
    </row>
    <row r="927" spans="2:24">
      <c r="B927" s="12"/>
      <c r="C927" s="12"/>
      <c r="D927" s="12"/>
      <c r="E927" s="12"/>
      <c r="F927" s="12"/>
      <c r="G927" s="12"/>
      <c r="H927" s="12"/>
      <c r="I927" s="12"/>
      <c r="J927" s="12"/>
      <c r="K927" s="12"/>
      <c r="L927" s="12"/>
      <c r="M927" s="12"/>
      <c r="N927" s="12"/>
      <c r="O927" s="12"/>
      <c r="P927" s="12"/>
      <c r="Q927" s="12"/>
      <c r="R927" s="12"/>
      <c r="S927" s="12"/>
      <c r="T927" s="12"/>
      <c r="U927" s="12"/>
      <c r="V927" s="12"/>
      <c r="W927" s="12"/>
      <c r="X927" s="12"/>
    </row>
    <row r="928" spans="2:24">
      <c r="B928" s="12"/>
      <c r="C928" s="12"/>
      <c r="D928" s="12"/>
      <c r="E928" s="12"/>
      <c r="F928" s="12"/>
      <c r="G928" s="12"/>
      <c r="H928" s="12"/>
      <c r="I928" s="12"/>
      <c r="J928" s="12"/>
      <c r="K928" s="12"/>
      <c r="L928" s="12"/>
      <c r="M928" s="12"/>
      <c r="N928" s="12"/>
      <c r="O928" s="12"/>
      <c r="P928" s="12"/>
      <c r="Q928" s="12"/>
      <c r="R928" s="12"/>
      <c r="S928" s="12"/>
      <c r="T928" s="12"/>
      <c r="U928" s="12"/>
      <c r="V928" s="12"/>
      <c r="W928" s="12"/>
      <c r="X928" s="12"/>
    </row>
    <row r="929" spans="2:24">
      <c r="B929" s="12"/>
      <c r="C929" s="12"/>
      <c r="D929" s="12"/>
      <c r="E929" s="12"/>
      <c r="F929" s="12"/>
      <c r="G929" s="12"/>
      <c r="H929" s="12"/>
      <c r="I929" s="12"/>
      <c r="J929" s="12"/>
      <c r="K929" s="12"/>
      <c r="L929" s="12"/>
      <c r="M929" s="12"/>
      <c r="N929" s="12"/>
      <c r="O929" s="12"/>
      <c r="P929" s="12"/>
      <c r="Q929" s="12"/>
      <c r="R929" s="12"/>
      <c r="S929" s="12"/>
      <c r="T929" s="12"/>
      <c r="U929" s="12"/>
      <c r="V929" s="12"/>
      <c r="W929" s="12"/>
      <c r="X929" s="12"/>
    </row>
    <row r="930" spans="2:24">
      <c r="B930" s="12"/>
      <c r="C930" s="12"/>
      <c r="D930" s="12"/>
      <c r="E930" s="12"/>
      <c r="F930" s="12"/>
      <c r="G930" s="12"/>
      <c r="H930" s="12"/>
      <c r="I930" s="12"/>
      <c r="J930" s="12"/>
      <c r="K930" s="12"/>
      <c r="L930" s="12"/>
      <c r="M930" s="12"/>
      <c r="N930" s="12"/>
      <c r="O930" s="12"/>
      <c r="P930" s="12"/>
      <c r="Q930" s="12"/>
      <c r="R930" s="12"/>
      <c r="S930" s="12"/>
      <c r="T930" s="12"/>
      <c r="U930" s="12"/>
      <c r="V930" s="12"/>
      <c r="W930" s="12"/>
      <c r="X930" s="12"/>
    </row>
    <row r="931" spans="2:24">
      <c r="B931" s="12"/>
      <c r="C931" s="12"/>
      <c r="D931" s="12"/>
      <c r="E931" s="12"/>
      <c r="F931" s="12"/>
      <c r="G931" s="12"/>
      <c r="H931" s="12"/>
      <c r="I931" s="12"/>
      <c r="J931" s="12"/>
      <c r="K931" s="12"/>
      <c r="L931" s="12"/>
      <c r="M931" s="12"/>
      <c r="N931" s="12"/>
      <c r="O931" s="12"/>
      <c r="P931" s="12"/>
      <c r="Q931" s="12"/>
      <c r="R931" s="12"/>
      <c r="S931" s="12"/>
      <c r="T931" s="12"/>
      <c r="U931" s="12"/>
      <c r="V931" s="12"/>
      <c r="W931" s="12"/>
      <c r="X931" s="12"/>
    </row>
    <row r="932" spans="2:24">
      <c r="B932" s="12"/>
      <c r="C932" s="12"/>
      <c r="D932" s="12"/>
      <c r="E932" s="12"/>
      <c r="F932" s="12"/>
      <c r="G932" s="12"/>
      <c r="H932" s="12"/>
      <c r="I932" s="12"/>
      <c r="J932" s="12"/>
      <c r="K932" s="12"/>
      <c r="L932" s="12"/>
      <c r="M932" s="12"/>
      <c r="N932" s="12"/>
      <c r="O932" s="12"/>
      <c r="P932" s="12"/>
      <c r="Q932" s="12"/>
      <c r="R932" s="12"/>
      <c r="S932" s="12"/>
      <c r="T932" s="12"/>
      <c r="U932" s="12"/>
      <c r="V932" s="12"/>
      <c r="W932" s="12"/>
      <c r="X932" s="12"/>
    </row>
    <row r="933" spans="2:24">
      <c r="B933" s="12"/>
      <c r="C933" s="12"/>
      <c r="D933" s="12"/>
      <c r="E933" s="12"/>
      <c r="F933" s="12"/>
      <c r="G933" s="12"/>
      <c r="H933" s="12"/>
      <c r="I933" s="12"/>
      <c r="J933" s="12"/>
      <c r="K933" s="12"/>
      <c r="L933" s="12"/>
      <c r="M933" s="12"/>
      <c r="N933" s="12"/>
      <c r="O933" s="12"/>
      <c r="P933" s="12"/>
      <c r="Q933" s="12"/>
      <c r="R933" s="12"/>
      <c r="S933" s="12"/>
      <c r="T933" s="12"/>
      <c r="U933" s="12"/>
      <c r="V933" s="12"/>
      <c r="W933" s="12"/>
      <c r="X933" s="12"/>
    </row>
    <row r="934" spans="2:24">
      <c r="B934" s="12"/>
      <c r="C934" s="12"/>
      <c r="D934" s="12"/>
      <c r="E934" s="12"/>
      <c r="F934" s="12"/>
      <c r="G934" s="12"/>
      <c r="H934" s="12"/>
      <c r="I934" s="12"/>
      <c r="J934" s="12"/>
      <c r="K934" s="12"/>
      <c r="L934" s="12"/>
      <c r="M934" s="12"/>
      <c r="N934" s="12"/>
      <c r="O934" s="12"/>
      <c r="P934" s="12"/>
      <c r="Q934" s="12"/>
      <c r="R934" s="12"/>
      <c r="S934" s="12"/>
      <c r="T934" s="12"/>
      <c r="U934" s="12"/>
      <c r="V934" s="12"/>
      <c r="W934" s="12"/>
      <c r="X934" s="12"/>
    </row>
    <row r="935" spans="2:24">
      <c r="B935" s="12"/>
      <c r="C935" s="12"/>
      <c r="D935" s="12"/>
      <c r="E935" s="12"/>
      <c r="F935" s="12"/>
      <c r="G935" s="12"/>
      <c r="H935" s="12"/>
      <c r="I935" s="12"/>
      <c r="J935" s="12"/>
      <c r="K935" s="12"/>
      <c r="L935" s="12"/>
      <c r="M935" s="12"/>
      <c r="N935" s="12"/>
      <c r="O935" s="12"/>
      <c r="P935" s="12"/>
      <c r="Q935" s="12"/>
      <c r="R935" s="12"/>
      <c r="S935" s="12"/>
      <c r="T935" s="12"/>
      <c r="U935" s="12"/>
      <c r="V935" s="12"/>
      <c r="W935" s="12"/>
      <c r="X935" s="12"/>
    </row>
    <row r="936" spans="2:24">
      <c r="B936" s="12"/>
      <c r="C936" s="12"/>
      <c r="D936" s="12"/>
      <c r="E936" s="12"/>
      <c r="F936" s="12"/>
      <c r="G936" s="12"/>
      <c r="H936" s="12"/>
      <c r="I936" s="12"/>
      <c r="J936" s="12"/>
      <c r="K936" s="12"/>
      <c r="L936" s="12"/>
      <c r="M936" s="12"/>
      <c r="N936" s="12"/>
      <c r="O936" s="12"/>
      <c r="P936" s="12"/>
      <c r="Q936" s="12"/>
      <c r="R936" s="12"/>
      <c r="S936" s="12"/>
      <c r="T936" s="12"/>
      <c r="U936" s="12"/>
      <c r="V936" s="12"/>
      <c r="W936" s="12"/>
      <c r="X936" s="12"/>
    </row>
    <row r="937" spans="2:24">
      <c r="B937" s="12"/>
      <c r="C937" s="12"/>
      <c r="D937" s="12"/>
      <c r="E937" s="12"/>
      <c r="F937" s="12"/>
      <c r="G937" s="12"/>
      <c r="H937" s="12"/>
      <c r="I937" s="12"/>
      <c r="J937" s="12"/>
      <c r="K937" s="12"/>
      <c r="L937" s="12"/>
      <c r="M937" s="12"/>
      <c r="N937" s="12"/>
      <c r="O937" s="12"/>
      <c r="P937" s="12"/>
      <c r="Q937" s="12"/>
      <c r="R937" s="12"/>
      <c r="S937" s="12"/>
      <c r="T937" s="12"/>
      <c r="U937" s="12"/>
      <c r="V937" s="12"/>
      <c r="W937" s="12"/>
      <c r="X937" s="12"/>
    </row>
    <row r="938" spans="2:24">
      <c r="B938" s="12"/>
      <c r="C938" s="12"/>
      <c r="D938" s="12"/>
      <c r="E938" s="12"/>
      <c r="F938" s="12"/>
      <c r="G938" s="12"/>
      <c r="H938" s="12"/>
      <c r="I938" s="12"/>
      <c r="J938" s="12"/>
      <c r="K938" s="12"/>
      <c r="L938" s="12"/>
      <c r="M938" s="12"/>
      <c r="N938" s="12"/>
      <c r="O938" s="12"/>
      <c r="P938" s="12"/>
      <c r="Q938" s="12"/>
      <c r="R938" s="12"/>
      <c r="S938" s="12"/>
      <c r="T938" s="12"/>
      <c r="U938" s="12"/>
      <c r="V938" s="12"/>
      <c r="W938" s="12"/>
      <c r="X938" s="12"/>
    </row>
    <row r="939" spans="2:24">
      <c r="B939" s="12"/>
      <c r="C939" s="12"/>
      <c r="D939" s="12"/>
      <c r="E939" s="12"/>
      <c r="F939" s="12"/>
      <c r="G939" s="12"/>
      <c r="H939" s="12"/>
      <c r="I939" s="12"/>
      <c r="J939" s="12"/>
      <c r="K939" s="12"/>
      <c r="L939" s="12"/>
      <c r="M939" s="12"/>
      <c r="N939" s="12"/>
      <c r="O939" s="12"/>
      <c r="P939" s="12"/>
      <c r="Q939" s="12"/>
      <c r="R939" s="12"/>
      <c r="S939" s="12"/>
      <c r="T939" s="12"/>
      <c r="U939" s="12"/>
      <c r="V939" s="12"/>
      <c r="W939" s="12"/>
      <c r="X939" s="12"/>
    </row>
    <row r="940" spans="2:24">
      <c r="B940" s="12"/>
      <c r="C940" s="12"/>
      <c r="D940" s="12"/>
      <c r="E940" s="12"/>
      <c r="F940" s="12"/>
      <c r="G940" s="12"/>
      <c r="H940" s="12"/>
      <c r="I940" s="12"/>
      <c r="J940" s="12"/>
      <c r="K940" s="12"/>
      <c r="L940" s="12"/>
      <c r="M940" s="12"/>
      <c r="N940" s="12"/>
      <c r="O940" s="12"/>
      <c r="P940" s="12"/>
      <c r="Q940" s="12"/>
      <c r="R940" s="12"/>
      <c r="S940" s="12"/>
      <c r="T940" s="12"/>
      <c r="U940" s="12"/>
      <c r="V940" s="12"/>
      <c r="W940" s="12"/>
      <c r="X940" s="12"/>
    </row>
    <row r="941" spans="2:24">
      <c r="B941" s="12"/>
      <c r="C941" s="12"/>
      <c r="D941" s="12"/>
      <c r="E941" s="12"/>
      <c r="F941" s="12"/>
      <c r="G941" s="12"/>
      <c r="H941" s="12"/>
      <c r="I941" s="12"/>
      <c r="J941" s="12"/>
      <c r="K941" s="12"/>
      <c r="L941" s="12"/>
      <c r="M941" s="12"/>
      <c r="N941" s="12"/>
      <c r="O941" s="12"/>
      <c r="P941" s="12"/>
      <c r="Q941" s="12"/>
      <c r="R941" s="12"/>
      <c r="S941" s="12"/>
      <c r="T941" s="12"/>
      <c r="U941" s="12"/>
      <c r="V941" s="12"/>
      <c r="W941" s="12"/>
      <c r="X941" s="12"/>
    </row>
    <row r="942" spans="2:24">
      <c r="B942" s="12"/>
      <c r="C942" s="12"/>
      <c r="D942" s="12"/>
      <c r="E942" s="12"/>
      <c r="F942" s="12"/>
      <c r="G942" s="12"/>
      <c r="H942" s="12"/>
      <c r="I942" s="12"/>
      <c r="J942" s="12"/>
      <c r="K942" s="12"/>
      <c r="L942" s="12"/>
      <c r="M942" s="12"/>
      <c r="N942" s="12"/>
      <c r="O942" s="12"/>
      <c r="P942" s="12"/>
      <c r="Q942" s="12"/>
      <c r="R942" s="12"/>
      <c r="S942" s="12"/>
      <c r="T942" s="12"/>
      <c r="U942" s="12"/>
      <c r="V942" s="12"/>
      <c r="W942" s="12"/>
      <c r="X942" s="12"/>
    </row>
    <row r="943" spans="2:24">
      <c r="B943" s="12"/>
      <c r="C943" s="12"/>
      <c r="D943" s="12"/>
      <c r="E943" s="12"/>
      <c r="F943" s="12"/>
      <c r="G943" s="12"/>
      <c r="H943" s="12"/>
      <c r="I943" s="12"/>
      <c r="J943" s="12"/>
      <c r="K943" s="12"/>
      <c r="L943" s="12"/>
      <c r="M943" s="12"/>
      <c r="N943" s="12"/>
      <c r="O943" s="12"/>
      <c r="P943" s="12"/>
      <c r="Q943" s="12"/>
      <c r="R943" s="12"/>
      <c r="S943" s="12"/>
      <c r="T943" s="12"/>
      <c r="U943" s="12"/>
      <c r="V943" s="12"/>
      <c r="W943" s="12"/>
      <c r="X943" s="12"/>
    </row>
    <row r="944" spans="2:24">
      <c r="B944" s="12"/>
      <c r="C944" s="12"/>
      <c r="D944" s="12"/>
      <c r="E944" s="12"/>
      <c r="F944" s="12"/>
      <c r="G944" s="12"/>
      <c r="H944" s="12"/>
      <c r="I944" s="12"/>
      <c r="J944" s="12"/>
      <c r="K944" s="12"/>
      <c r="L944" s="12"/>
      <c r="M944" s="12"/>
      <c r="N944" s="12"/>
      <c r="O944" s="12"/>
      <c r="P944" s="12"/>
      <c r="Q944" s="12"/>
      <c r="R944" s="12"/>
      <c r="S944" s="12"/>
      <c r="T944" s="12"/>
      <c r="U944" s="12"/>
      <c r="V944" s="12"/>
      <c r="W944" s="12"/>
      <c r="X944" s="12"/>
    </row>
    <row r="945" spans="2:24">
      <c r="B945" s="12"/>
      <c r="C945" s="12"/>
      <c r="D945" s="12"/>
      <c r="E945" s="12"/>
      <c r="F945" s="12"/>
      <c r="G945" s="12"/>
      <c r="H945" s="12"/>
      <c r="I945" s="12"/>
      <c r="J945" s="12"/>
      <c r="K945" s="12"/>
      <c r="L945" s="12"/>
      <c r="M945" s="12"/>
      <c r="N945" s="12"/>
      <c r="O945" s="12"/>
      <c r="P945" s="12"/>
      <c r="Q945" s="12"/>
      <c r="R945" s="12"/>
      <c r="S945" s="12"/>
      <c r="T945" s="12"/>
      <c r="U945" s="12"/>
      <c r="V945" s="12"/>
      <c r="W945" s="12"/>
      <c r="X945" s="12"/>
    </row>
    <row r="946" spans="2:24">
      <c r="B946" s="12"/>
      <c r="C946" s="12"/>
      <c r="D946" s="12"/>
      <c r="E946" s="12"/>
      <c r="F946" s="12"/>
      <c r="G946" s="12"/>
      <c r="H946" s="12"/>
      <c r="I946" s="12"/>
      <c r="J946" s="12"/>
      <c r="K946" s="12"/>
      <c r="L946" s="12"/>
      <c r="M946" s="12"/>
      <c r="N946" s="12"/>
      <c r="O946" s="12"/>
      <c r="P946" s="12"/>
      <c r="Q946" s="12"/>
      <c r="R946" s="12"/>
      <c r="S946" s="12"/>
      <c r="T946" s="12"/>
      <c r="U946" s="12"/>
      <c r="V946" s="12"/>
      <c r="W946" s="12"/>
      <c r="X946" s="12"/>
    </row>
    <row r="947" spans="2:24">
      <c r="B947" s="12"/>
      <c r="C947" s="12"/>
      <c r="D947" s="12"/>
      <c r="E947" s="12"/>
      <c r="F947" s="12"/>
      <c r="G947" s="12"/>
      <c r="H947" s="12"/>
      <c r="I947" s="12"/>
      <c r="J947" s="12"/>
      <c r="K947" s="12"/>
      <c r="L947" s="12"/>
      <c r="M947" s="12"/>
      <c r="N947" s="12"/>
      <c r="O947" s="12"/>
      <c r="P947" s="12"/>
      <c r="Q947" s="12"/>
      <c r="R947" s="12"/>
      <c r="S947" s="12"/>
      <c r="T947" s="12"/>
      <c r="U947" s="12"/>
      <c r="V947" s="12"/>
      <c r="W947" s="12"/>
      <c r="X947" s="12"/>
    </row>
    <row r="948" spans="2:24">
      <c r="B948" s="12"/>
      <c r="C948" s="12"/>
      <c r="D948" s="12"/>
      <c r="E948" s="12"/>
      <c r="F948" s="12"/>
      <c r="G948" s="12"/>
      <c r="H948" s="12"/>
      <c r="I948" s="12"/>
      <c r="J948" s="12"/>
      <c r="K948" s="12"/>
      <c r="L948" s="12"/>
      <c r="M948" s="12"/>
      <c r="N948" s="12"/>
      <c r="O948" s="12"/>
      <c r="P948" s="12"/>
      <c r="Q948" s="12"/>
      <c r="R948" s="12"/>
      <c r="S948" s="12"/>
      <c r="T948" s="12"/>
      <c r="U948" s="12"/>
      <c r="V948" s="12"/>
      <c r="W948" s="12"/>
      <c r="X948" s="12"/>
    </row>
    <row r="949" spans="2:24">
      <c r="B949" s="12"/>
      <c r="C949" s="12"/>
      <c r="D949" s="12"/>
      <c r="E949" s="12"/>
      <c r="F949" s="12"/>
      <c r="G949" s="12"/>
      <c r="H949" s="12"/>
      <c r="I949" s="12"/>
      <c r="J949" s="12"/>
      <c r="K949" s="12"/>
      <c r="L949" s="12"/>
      <c r="M949" s="12"/>
      <c r="N949" s="12"/>
      <c r="O949" s="12"/>
      <c r="P949" s="12"/>
      <c r="Q949" s="12"/>
      <c r="R949" s="12"/>
      <c r="S949" s="12"/>
      <c r="T949" s="12"/>
      <c r="U949" s="12"/>
      <c r="V949" s="12"/>
      <c r="W949" s="12"/>
      <c r="X949" s="12"/>
    </row>
    <row r="950" spans="2:24">
      <c r="B950" s="12"/>
      <c r="C950" s="12"/>
      <c r="D950" s="12"/>
      <c r="E950" s="12"/>
      <c r="F950" s="12"/>
      <c r="G950" s="12"/>
      <c r="H950" s="12"/>
      <c r="I950" s="12"/>
      <c r="J950" s="12"/>
      <c r="K950" s="12"/>
      <c r="L950" s="12"/>
      <c r="M950" s="12"/>
      <c r="N950" s="12"/>
      <c r="O950" s="12"/>
      <c r="P950" s="12"/>
      <c r="Q950" s="12"/>
      <c r="R950" s="12"/>
      <c r="S950" s="12"/>
      <c r="T950" s="12"/>
      <c r="U950" s="12"/>
      <c r="V950" s="12"/>
      <c r="W950" s="12"/>
      <c r="X950" s="12"/>
    </row>
    <row r="951" spans="2:24">
      <c r="B951" s="12"/>
      <c r="C951" s="12"/>
      <c r="D951" s="12"/>
      <c r="E951" s="12"/>
      <c r="F951" s="12"/>
      <c r="G951" s="12"/>
      <c r="H951" s="12"/>
      <c r="I951" s="12"/>
      <c r="J951" s="12"/>
      <c r="K951" s="12"/>
      <c r="L951" s="12"/>
      <c r="M951" s="12"/>
      <c r="N951" s="12"/>
      <c r="O951" s="12"/>
      <c r="P951" s="12"/>
      <c r="Q951" s="12"/>
      <c r="R951" s="12"/>
      <c r="S951" s="12"/>
      <c r="T951" s="12"/>
      <c r="U951" s="12"/>
      <c r="V951" s="12"/>
      <c r="W951" s="12"/>
      <c r="X951" s="12"/>
    </row>
    <row r="952" spans="2:24">
      <c r="B952" s="12"/>
      <c r="C952" s="12"/>
      <c r="D952" s="12"/>
      <c r="E952" s="12"/>
      <c r="F952" s="12"/>
      <c r="G952" s="12"/>
      <c r="H952" s="12"/>
      <c r="I952" s="12"/>
      <c r="J952" s="12"/>
      <c r="K952" s="12"/>
      <c r="L952" s="12"/>
      <c r="M952" s="12"/>
      <c r="N952" s="12"/>
      <c r="O952" s="12"/>
      <c r="P952" s="12"/>
      <c r="Q952" s="12"/>
      <c r="R952" s="12"/>
      <c r="S952" s="12"/>
      <c r="T952" s="12"/>
      <c r="U952" s="12"/>
      <c r="V952" s="12"/>
      <c r="W952" s="12"/>
      <c r="X952" s="12"/>
    </row>
    <row r="953" spans="2:24">
      <c r="B953" s="12"/>
      <c r="C953" s="12"/>
      <c r="D953" s="12"/>
      <c r="E953" s="12"/>
      <c r="F953" s="12"/>
      <c r="G953" s="12"/>
      <c r="H953" s="12"/>
      <c r="I953" s="12"/>
      <c r="J953" s="12"/>
      <c r="K953" s="12"/>
      <c r="L953" s="12"/>
      <c r="M953" s="12"/>
      <c r="N953" s="12"/>
      <c r="O953" s="12"/>
      <c r="P953" s="12"/>
      <c r="Q953" s="12"/>
      <c r="R953" s="12"/>
      <c r="S953" s="12"/>
      <c r="T953" s="12"/>
      <c r="U953" s="12"/>
      <c r="V953" s="12"/>
      <c r="W953" s="12"/>
      <c r="X953" s="12"/>
    </row>
    <row r="954" spans="2:24">
      <c r="B954" s="12"/>
      <c r="C954" s="12"/>
      <c r="D954" s="12"/>
      <c r="E954" s="12"/>
      <c r="F954" s="12"/>
      <c r="G954" s="12"/>
      <c r="H954" s="12"/>
      <c r="I954" s="12"/>
      <c r="J954" s="12"/>
      <c r="K954" s="12"/>
      <c r="L954" s="12"/>
      <c r="M954" s="12"/>
      <c r="N954" s="12"/>
      <c r="O954" s="12"/>
      <c r="P954" s="12"/>
      <c r="Q954" s="12"/>
      <c r="R954" s="12"/>
      <c r="S954" s="12"/>
      <c r="T954" s="12"/>
      <c r="U954" s="12"/>
      <c r="V954" s="12"/>
      <c r="W954" s="12"/>
      <c r="X954" s="12"/>
    </row>
    <row r="955" spans="2:24">
      <c r="B955" s="12"/>
      <c r="C955" s="12"/>
      <c r="D955" s="12"/>
      <c r="E955" s="12"/>
      <c r="F955" s="12"/>
      <c r="G955" s="12"/>
      <c r="H955" s="12"/>
      <c r="I955" s="12"/>
      <c r="J955" s="12"/>
      <c r="K955" s="12"/>
      <c r="L955" s="12"/>
      <c r="M955" s="12"/>
      <c r="N955" s="12"/>
      <c r="O955" s="12"/>
      <c r="P955" s="12"/>
      <c r="Q955" s="12"/>
      <c r="R955" s="12"/>
      <c r="S955" s="12"/>
      <c r="T955" s="12"/>
      <c r="U955" s="12"/>
      <c r="V955" s="12"/>
      <c r="W955" s="12"/>
      <c r="X955" s="12"/>
    </row>
    <row r="956" spans="2:24">
      <c r="B956" s="12"/>
      <c r="C956" s="12"/>
      <c r="D956" s="12"/>
      <c r="E956" s="12"/>
      <c r="F956" s="12"/>
      <c r="G956" s="12"/>
      <c r="H956" s="12"/>
      <c r="I956" s="12"/>
      <c r="J956" s="12"/>
      <c r="K956" s="12"/>
      <c r="L956" s="12"/>
      <c r="M956" s="12"/>
      <c r="N956" s="12"/>
      <c r="O956" s="12"/>
      <c r="P956" s="12"/>
      <c r="Q956" s="12"/>
      <c r="R956" s="12"/>
      <c r="S956" s="12"/>
      <c r="T956" s="12"/>
      <c r="U956" s="12"/>
      <c r="V956" s="12"/>
      <c r="W956" s="12"/>
      <c r="X956" s="12"/>
    </row>
    <row r="957" spans="2:24">
      <c r="B957" s="12"/>
      <c r="C957" s="12"/>
      <c r="D957" s="12"/>
      <c r="E957" s="12"/>
      <c r="F957" s="12"/>
      <c r="G957" s="12"/>
      <c r="H957" s="12"/>
      <c r="I957" s="12"/>
      <c r="J957" s="12"/>
      <c r="K957" s="12"/>
      <c r="L957" s="12"/>
      <c r="M957" s="12"/>
      <c r="N957" s="12"/>
      <c r="O957" s="12"/>
      <c r="P957" s="12"/>
      <c r="Q957" s="12"/>
      <c r="R957" s="12"/>
      <c r="S957" s="12"/>
      <c r="T957" s="12"/>
      <c r="U957" s="12"/>
      <c r="V957" s="12"/>
      <c r="W957" s="12"/>
      <c r="X957" s="12"/>
    </row>
    <row r="958" spans="2:24">
      <c r="B958" s="12"/>
      <c r="C958" s="12"/>
      <c r="D958" s="12"/>
      <c r="E958" s="12"/>
      <c r="F958" s="12"/>
      <c r="G958" s="12"/>
      <c r="H958" s="12"/>
      <c r="I958" s="12"/>
      <c r="J958" s="12"/>
      <c r="K958" s="12"/>
      <c r="L958" s="12"/>
      <c r="M958" s="12"/>
      <c r="N958" s="12"/>
      <c r="O958" s="12"/>
      <c r="P958" s="12"/>
      <c r="Q958" s="12"/>
      <c r="R958" s="12"/>
      <c r="S958" s="12"/>
      <c r="T958" s="12"/>
      <c r="U958" s="12"/>
      <c r="V958" s="12"/>
      <c r="W958" s="12"/>
      <c r="X958" s="12"/>
    </row>
    <row r="959" spans="2:24">
      <c r="B959" s="12"/>
      <c r="C959" s="12"/>
      <c r="D959" s="12"/>
      <c r="E959" s="12"/>
      <c r="F959" s="12"/>
      <c r="G959" s="12"/>
      <c r="H959" s="12"/>
      <c r="I959" s="12"/>
      <c r="J959" s="12"/>
      <c r="K959" s="12"/>
      <c r="L959" s="12"/>
      <c r="M959" s="12"/>
      <c r="N959" s="12"/>
      <c r="O959" s="12"/>
      <c r="P959" s="12"/>
      <c r="Q959" s="12"/>
      <c r="R959" s="12"/>
      <c r="S959" s="12"/>
      <c r="T959" s="12"/>
      <c r="U959" s="12"/>
      <c r="V959" s="12"/>
      <c r="W959" s="12"/>
      <c r="X959" s="12"/>
    </row>
    <row r="960" spans="2:24">
      <c r="B960" s="12"/>
      <c r="C960" s="12"/>
      <c r="D960" s="12"/>
      <c r="E960" s="12"/>
      <c r="F960" s="12"/>
      <c r="G960" s="12"/>
      <c r="H960" s="12"/>
      <c r="I960" s="12"/>
      <c r="J960" s="12"/>
      <c r="K960" s="12"/>
      <c r="L960" s="12"/>
      <c r="M960" s="12"/>
      <c r="N960" s="12"/>
      <c r="O960" s="12"/>
      <c r="P960" s="12"/>
      <c r="Q960" s="12"/>
      <c r="R960" s="12"/>
      <c r="S960" s="12"/>
      <c r="T960" s="12"/>
      <c r="U960" s="12"/>
      <c r="V960" s="12"/>
      <c r="W960" s="12"/>
      <c r="X960" s="12"/>
    </row>
    <row r="961" spans="2:24">
      <c r="B961" s="12"/>
      <c r="C961" s="12"/>
      <c r="D961" s="12"/>
      <c r="E961" s="12"/>
      <c r="F961" s="12"/>
      <c r="G961" s="12"/>
      <c r="H961" s="12"/>
      <c r="I961" s="12"/>
      <c r="J961" s="12"/>
      <c r="K961" s="12"/>
      <c r="L961" s="12"/>
      <c r="M961" s="12"/>
      <c r="N961" s="12"/>
      <c r="O961" s="12"/>
      <c r="P961" s="12"/>
      <c r="Q961" s="12"/>
      <c r="R961" s="12"/>
      <c r="S961" s="12"/>
      <c r="T961" s="12"/>
      <c r="U961" s="12"/>
      <c r="V961" s="12"/>
      <c r="W961" s="12"/>
      <c r="X961" s="12"/>
    </row>
    <row r="962" spans="2:24">
      <c r="B962" s="12"/>
      <c r="C962" s="12"/>
      <c r="D962" s="12"/>
      <c r="E962" s="12"/>
      <c r="F962" s="12"/>
      <c r="G962" s="12"/>
      <c r="H962" s="12"/>
      <c r="I962" s="12"/>
      <c r="J962" s="12"/>
      <c r="K962" s="12"/>
      <c r="L962" s="12"/>
      <c r="M962" s="12"/>
      <c r="N962" s="12"/>
      <c r="O962" s="12"/>
      <c r="P962" s="12"/>
      <c r="Q962" s="12"/>
      <c r="R962" s="12"/>
      <c r="S962" s="12"/>
      <c r="T962" s="12"/>
      <c r="U962" s="12"/>
      <c r="V962" s="12"/>
      <c r="W962" s="12"/>
      <c r="X962" s="12"/>
    </row>
    <row r="963" spans="2:24">
      <c r="B963" s="12"/>
      <c r="C963" s="12"/>
      <c r="D963" s="12"/>
      <c r="E963" s="12"/>
      <c r="F963" s="12"/>
      <c r="G963" s="12"/>
      <c r="H963" s="12"/>
      <c r="I963" s="12"/>
      <c r="J963" s="12"/>
      <c r="K963" s="12"/>
      <c r="L963" s="12"/>
      <c r="M963" s="12"/>
      <c r="N963" s="12"/>
      <c r="O963" s="12"/>
      <c r="P963" s="12"/>
      <c r="Q963" s="12"/>
      <c r="R963" s="12"/>
      <c r="S963" s="12"/>
      <c r="T963" s="12"/>
      <c r="U963" s="12"/>
      <c r="V963" s="12"/>
      <c r="W963" s="12"/>
      <c r="X963" s="12"/>
    </row>
    <row r="964" spans="2:24">
      <c r="B964" s="12"/>
      <c r="C964" s="12"/>
      <c r="D964" s="12"/>
      <c r="E964" s="12"/>
      <c r="F964" s="12"/>
      <c r="G964" s="12"/>
      <c r="H964" s="12"/>
      <c r="I964" s="12"/>
      <c r="J964" s="12"/>
      <c r="K964" s="12"/>
      <c r="L964" s="12"/>
      <c r="M964" s="12"/>
      <c r="N964" s="12"/>
      <c r="O964" s="12"/>
      <c r="P964" s="12"/>
      <c r="Q964" s="12"/>
      <c r="R964" s="12"/>
      <c r="S964" s="12"/>
      <c r="T964" s="12"/>
      <c r="U964" s="12"/>
      <c r="V964" s="12"/>
      <c r="W964" s="12"/>
      <c r="X964" s="12"/>
    </row>
    <row r="965" spans="2:24">
      <c r="B965" s="12"/>
      <c r="C965" s="12"/>
      <c r="D965" s="12"/>
      <c r="E965" s="12"/>
      <c r="F965" s="12"/>
      <c r="G965" s="12"/>
      <c r="H965" s="12"/>
      <c r="I965" s="12"/>
      <c r="J965" s="12"/>
      <c r="K965" s="12"/>
      <c r="L965" s="12"/>
      <c r="M965" s="12"/>
      <c r="N965" s="12"/>
      <c r="O965" s="12"/>
      <c r="P965" s="12"/>
      <c r="Q965" s="12"/>
      <c r="R965" s="12"/>
      <c r="S965" s="12"/>
      <c r="T965" s="12"/>
      <c r="U965" s="12"/>
      <c r="V965" s="12"/>
      <c r="W965" s="12"/>
      <c r="X965" s="12"/>
    </row>
    <row r="966" spans="2:24">
      <c r="B966" s="12"/>
      <c r="C966" s="12"/>
      <c r="D966" s="12"/>
      <c r="E966" s="12"/>
      <c r="F966" s="12"/>
      <c r="G966" s="12"/>
      <c r="H966" s="12"/>
      <c r="I966" s="12"/>
      <c r="J966" s="12"/>
      <c r="K966" s="12"/>
      <c r="L966" s="12"/>
      <c r="M966" s="12"/>
      <c r="N966" s="12"/>
      <c r="O966" s="12"/>
      <c r="P966" s="12"/>
      <c r="Q966" s="12"/>
      <c r="R966" s="12"/>
      <c r="S966" s="12"/>
      <c r="T966" s="12"/>
      <c r="U966" s="12"/>
      <c r="V966" s="12"/>
      <c r="W966" s="12"/>
      <c r="X966" s="12"/>
    </row>
    <row r="967" spans="2:24">
      <c r="B967" s="12"/>
      <c r="C967" s="12"/>
      <c r="D967" s="12"/>
      <c r="E967" s="12"/>
      <c r="F967" s="12"/>
      <c r="G967" s="12"/>
      <c r="H967" s="12"/>
      <c r="I967" s="12"/>
      <c r="J967" s="12"/>
      <c r="K967" s="12"/>
      <c r="L967" s="12"/>
      <c r="M967" s="12"/>
      <c r="N967" s="12"/>
      <c r="O967" s="12"/>
      <c r="P967" s="12"/>
      <c r="Q967" s="12"/>
      <c r="R967" s="12"/>
      <c r="S967" s="12"/>
      <c r="T967" s="12"/>
      <c r="U967" s="12"/>
      <c r="V967" s="12"/>
      <c r="W967" s="12"/>
      <c r="X967" s="12"/>
    </row>
    <row r="968" spans="2:24">
      <c r="B968" s="12"/>
      <c r="C968" s="12"/>
      <c r="D968" s="12"/>
      <c r="E968" s="12"/>
      <c r="F968" s="12"/>
      <c r="G968" s="12"/>
      <c r="H968" s="12"/>
      <c r="I968" s="12"/>
      <c r="J968" s="12"/>
      <c r="K968" s="12"/>
      <c r="L968" s="12"/>
      <c r="M968" s="12"/>
      <c r="N968" s="12"/>
      <c r="O968" s="12"/>
      <c r="P968" s="12"/>
      <c r="Q968" s="12"/>
      <c r="R968" s="12"/>
      <c r="S968" s="12"/>
      <c r="T968" s="12"/>
      <c r="U968" s="12"/>
      <c r="V968" s="12"/>
      <c r="W968" s="12"/>
      <c r="X968" s="12"/>
    </row>
    <row r="969" spans="2:24">
      <c r="B969" s="12"/>
      <c r="C969" s="12"/>
      <c r="D969" s="12"/>
      <c r="E969" s="12"/>
      <c r="F969" s="12"/>
      <c r="G969" s="12"/>
      <c r="H969" s="12"/>
      <c r="I969" s="12"/>
      <c r="J969" s="12"/>
      <c r="K969" s="12"/>
      <c r="L969" s="12"/>
      <c r="M969" s="12"/>
      <c r="N969" s="12"/>
      <c r="O969" s="12"/>
      <c r="P969" s="12"/>
      <c r="Q969" s="12"/>
      <c r="R969" s="12"/>
      <c r="S969" s="12"/>
      <c r="T969" s="12"/>
      <c r="U969" s="12"/>
      <c r="V969" s="12"/>
      <c r="W969" s="12"/>
      <c r="X969" s="12"/>
    </row>
    <row r="970" spans="2:24">
      <c r="B970" s="12"/>
      <c r="C970" s="12"/>
      <c r="D970" s="12"/>
      <c r="E970" s="12"/>
      <c r="F970" s="12"/>
      <c r="G970" s="12"/>
      <c r="H970" s="12"/>
      <c r="I970" s="12"/>
      <c r="J970" s="12"/>
      <c r="K970" s="12"/>
      <c r="L970" s="12"/>
      <c r="M970" s="12"/>
      <c r="N970" s="12"/>
      <c r="O970" s="12"/>
      <c r="P970" s="12"/>
      <c r="Q970" s="12"/>
      <c r="R970" s="12"/>
      <c r="S970" s="12"/>
      <c r="T970" s="12"/>
      <c r="U970" s="12"/>
      <c r="V970" s="12"/>
      <c r="W970" s="12"/>
      <c r="X970" s="12"/>
    </row>
    <row r="971" spans="2:24">
      <c r="B971" s="12"/>
      <c r="C971" s="12"/>
      <c r="D971" s="12"/>
      <c r="E971" s="12"/>
      <c r="F971" s="12"/>
      <c r="G971" s="12"/>
      <c r="H971" s="12"/>
      <c r="I971" s="12"/>
      <c r="J971" s="12"/>
      <c r="K971" s="12"/>
      <c r="L971" s="12"/>
      <c r="M971" s="12"/>
      <c r="N971" s="12"/>
      <c r="O971" s="12"/>
      <c r="P971" s="12"/>
      <c r="Q971" s="12"/>
      <c r="R971" s="12"/>
      <c r="S971" s="12"/>
      <c r="T971" s="12"/>
      <c r="U971" s="12"/>
      <c r="V971" s="12"/>
      <c r="W971" s="12"/>
      <c r="X971" s="12"/>
    </row>
    <row r="972" spans="2:24">
      <c r="B972" s="12"/>
      <c r="C972" s="12"/>
      <c r="D972" s="12"/>
      <c r="E972" s="12"/>
      <c r="F972" s="12"/>
      <c r="G972" s="12"/>
      <c r="H972" s="12"/>
      <c r="I972" s="12"/>
      <c r="J972" s="12"/>
      <c r="K972" s="12"/>
      <c r="L972" s="12"/>
      <c r="M972" s="12"/>
      <c r="N972" s="12"/>
      <c r="O972" s="12"/>
      <c r="P972" s="12"/>
      <c r="Q972" s="12"/>
      <c r="R972" s="12"/>
      <c r="S972" s="12"/>
      <c r="T972" s="12"/>
      <c r="U972" s="12"/>
      <c r="V972" s="12"/>
      <c r="W972" s="12"/>
      <c r="X972" s="12"/>
    </row>
    <row r="973" spans="2:24">
      <c r="B973" s="12"/>
      <c r="C973" s="12"/>
      <c r="D973" s="12"/>
      <c r="E973" s="12"/>
      <c r="F973" s="12"/>
      <c r="G973" s="12"/>
      <c r="H973" s="12"/>
      <c r="I973" s="12"/>
      <c r="J973" s="12"/>
      <c r="K973" s="12"/>
      <c r="L973" s="12"/>
      <c r="M973" s="12"/>
      <c r="N973" s="12"/>
      <c r="O973" s="12"/>
      <c r="P973" s="12"/>
      <c r="Q973" s="12"/>
      <c r="R973" s="12"/>
      <c r="S973" s="12"/>
      <c r="T973" s="12"/>
      <c r="U973" s="12"/>
      <c r="V973" s="12"/>
      <c r="W973" s="12"/>
      <c r="X973" s="12"/>
    </row>
    <row r="974" spans="2:24">
      <c r="B974" s="12"/>
      <c r="C974" s="12"/>
      <c r="D974" s="12"/>
      <c r="E974" s="12"/>
      <c r="F974" s="12"/>
      <c r="G974" s="12"/>
      <c r="H974" s="12"/>
      <c r="I974" s="12"/>
      <c r="J974" s="12"/>
      <c r="K974" s="12"/>
      <c r="L974" s="12"/>
      <c r="M974" s="12"/>
      <c r="N974" s="12"/>
      <c r="O974" s="12"/>
      <c r="P974" s="12"/>
      <c r="Q974" s="12"/>
      <c r="R974" s="12"/>
      <c r="S974" s="12"/>
      <c r="T974" s="12"/>
      <c r="U974" s="12"/>
      <c r="V974" s="12"/>
      <c r="W974" s="12"/>
      <c r="X974" s="12"/>
    </row>
    <row r="975" spans="2:24">
      <c r="B975" s="12"/>
      <c r="C975" s="12"/>
      <c r="D975" s="12"/>
      <c r="E975" s="12"/>
      <c r="F975" s="12"/>
      <c r="G975" s="12"/>
      <c r="H975" s="12"/>
      <c r="I975" s="12"/>
      <c r="J975" s="12"/>
      <c r="K975" s="12"/>
      <c r="L975" s="12"/>
      <c r="M975" s="12"/>
      <c r="N975" s="12"/>
      <c r="O975" s="12"/>
      <c r="P975" s="12"/>
      <c r="Q975" s="12"/>
      <c r="R975" s="12"/>
      <c r="S975" s="12"/>
      <c r="T975" s="12"/>
      <c r="U975" s="12"/>
      <c r="V975" s="12"/>
      <c r="W975" s="12"/>
      <c r="X975" s="12"/>
    </row>
    <row r="976" spans="2:24">
      <c r="B976" s="12"/>
      <c r="C976" s="12"/>
      <c r="D976" s="12"/>
      <c r="E976" s="12"/>
      <c r="F976" s="12"/>
      <c r="G976" s="12"/>
      <c r="H976" s="12"/>
      <c r="I976" s="12"/>
      <c r="J976" s="12"/>
      <c r="K976" s="12"/>
      <c r="L976" s="12"/>
      <c r="M976" s="12"/>
      <c r="N976" s="12"/>
      <c r="O976" s="12"/>
      <c r="P976" s="12"/>
      <c r="Q976" s="12"/>
      <c r="R976" s="12"/>
      <c r="S976" s="12"/>
      <c r="T976" s="12"/>
      <c r="U976" s="12"/>
      <c r="V976" s="12"/>
      <c r="W976" s="12"/>
      <c r="X976" s="12"/>
    </row>
    <row r="977" spans="2:24">
      <c r="B977" s="12"/>
      <c r="C977" s="12"/>
      <c r="D977" s="12"/>
      <c r="E977" s="12"/>
      <c r="F977" s="12"/>
      <c r="G977" s="12"/>
      <c r="H977" s="12"/>
      <c r="I977" s="12"/>
      <c r="J977" s="12"/>
      <c r="K977" s="12"/>
      <c r="L977" s="12"/>
      <c r="M977" s="12"/>
      <c r="N977" s="12"/>
      <c r="O977" s="12"/>
      <c r="P977" s="12"/>
      <c r="Q977" s="12"/>
      <c r="R977" s="12"/>
      <c r="S977" s="12"/>
      <c r="T977" s="12"/>
      <c r="U977" s="12"/>
      <c r="V977" s="12"/>
      <c r="W977" s="12"/>
      <c r="X977" s="12"/>
    </row>
    <row r="978" spans="2:24">
      <c r="B978" s="12"/>
      <c r="C978" s="12"/>
      <c r="D978" s="12"/>
      <c r="E978" s="12"/>
      <c r="F978" s="12"/>
      <c r="G978" s="12"/>
      <c r="H978" s="12"/>
      <c r="I978" s="12"/>
      <c r="J978" s="12"/>
      <c r="K978" s="12"/>
      <c r="L978" s="12"/>
      <c r="M978" s="12"/>
      <c r="N978" s="12"/>
      <c r="O978" s="12"/>
      <c r="P978" s="12"/>
      <c r="Q978" s="12"/>
      <c r="R978" s="12"/>
      <c r="S978" s="12"/>
      <c r="T978" s="12"/>
      <c r="U978" s="12"/>
      <c r="V978" s="12"/>
      <c r="W978" s="12"/>
      <c r="X978" s="12"/>
    </row>
    <row r="979" spans="2:24">
      <c r="B979" s="12"/>
      <c r="C979" s="12"/>
      <c r="D979" s="12"/>
      <c r="E979" s="12"/>
      <c r="F979" s="12"/>
      <c r="G979" s="12"/>
      <c r="H979" s="12"/>
      <c r="I979" s="12"/>
      <c r="J979" s="12"/>
      <c r="K979" s="12"/>
      <c r="L979" s="12"/>
      <c r="M979" s="12"/>
      <c r="N979" s="12"/>
      <c r="O979" s="12"/>
      <c r="P979" s="12"/>
      <c r="Q979" s="12"/>
      <c r="R979" s="12"/>
      <c r="S979" s="12"/>
      <c r="T979" s="12"/>
      <c r="U979" s="12"/>
      <c r="V979" s="12"/>
      <c r="W979" s="12"/>
      <c r="X979" s="12"/>
    </row>
    <row r="980" spans="2:24">
      <c r="B980" s="12"/>
      <c r="C980" s="12"/>
      <c r="D980" s="12"/>
      <c r="E980" s="12"/>
      <c r="F980" s="12"/>
      <c r="G980" s="12"/>
      <c r="H980" s="12"/>
      <c r="I980" s="12"/>
      <c r="J980" s="12"/>
      <c r="K980" s="12"/>
      <c r="L980" s="12"/>
      <c r="M980" s="12"/>
      <c r="N980" s="12"/>
      <c r="O980" s="12"/>
      <c r="P980" s="12"/>
      <c r="Q980" s="12"/>
      <c r="R980" s="12"/>
      <c r="S980" s="12"/>
      <c r="T980" s="12"/>
      <c r="U980" s="12"/>
      <c r="V980" s="12"/>
      <c r="W980" s="12"/>
      <c r="X980" s="12"/>
    </row>
    <row r="981" spans="2:24">
      <c r="B981" s="12"/>
      <c r="C981" s="12"/>
      <c r="D981" s="12"/>
      <c r="E981" s="12"/>
      <c r="F981" s="12"/>
      <c r="G981" s="12"/>
      <c r="H981" s="12"/>
      <c r="I981" s="12"/>
      <c r="J981" s="12"/>
      <c r="K981" s="12"/>
      <c r="L981" s="12"/>
      <c r="M981" s="12"/>
      <c r="N981" s="12"/>
      <c r="O981" s="12"/>
      <c r="P981" s="12"/>
      <c r="Q981" s="12"/>
      <c r="R981" s="12"/>
      <c r="S981" s="12"/>
      <c r="T981" s="12"/>
      <c r="U981" s="12"/>
      <c r="V981" s="12"/>
      <c r="W981" s="12"/>
      <c r="X981" s="12"/>
    </row>
    <row r="982" spans="2:24">
      <c r="B982" s="12"/>
      <c r="C982" s="12"/>
      <c r="D982" s="12"/>
      <c r="E982" s="12"/>
      <c r="F982" s="12"/>
      <c r="G982" s="12"/>
      <c r="H982" s="12"/>
      <c r="I982" s="12"/>
      <c r="J982" s="12"/>
      <c r="K982" s="12"/>
      <c r="L982" s="12"/>
      <c r="M982" s="12"/>
      <c r="N982" s="12"/>
      <c r="O982" s="12"/>
      <c r="P982" s="12"/>
      <c r="Q982" s="12"/>
      <c r="R982" s="12"/>
      <c r="S982" s="12"/>
      <c r="T982" s="12"/>
      <c r="U982" s="12"/>
      <c r="V982" s="12"/>
      <c r="W982" s="12"/>
      <c r="X982" s="12"/>
    </row>
    <row r="983" spans="2:24">
      <c r="B983" s="12"/>
      <c r="C983" s="12"/>
      <c r="D983" s="12"/>
      <c r="E983" s="12"/>
      <c r="F983" s="12"/>
      <c r="G983" s="12"/>
      <c r="H983" s="12"/>
      <c r="I983" s="12"/>
      <c r="J983" s="12"/>
      <c r="K983" s="12"/>
      <c r="L983" s="12"/>
      <c r="M983" s="12"/>
      <c r="N983" s="12"/>
      <c r="O983" s="12"/>
      <c r="P983" s="12"/>
      <c r="Q983" s="12"/>
      <c r="R983" s="12"/>
      <c r="S983" s="12"/>
      <c r="T983" s="12"/>
      <c r="U983" s="12"/>
      <c r="V983" s="12"/>
      <c r="W983" s="12"/>
      <c r="X983" s="12"/>
    </row>
    <row r="984" spans="2:24">
      <c r="B984" s="12"/>
      <c r="C984" s="12"/>
      <c r="D984" s="12"/>
      <c r="E984" s="12"/>
      <c r="F984" s="12"/>
      <c r="G984" s="12"/>
      <c r="H984" s="12"/>
      <c r="I984" s="12"/>
      <c r="J984" s="12"/>
      <c r="K984" s="12"/>
      <c r="L984" s="12"/>
      <c r="M984" s="12"/>
      <c r="N984" s="12"/>
      <c r="O984" s="12"/>
      <c r="P984" s="12"/>
      <c r="Q984" s="12"/>
      <c r="R984" s="12"/>
      <c r="S984" s="12"/>
      <c r="T984" s="12"/>
      <c r="U984" s="12"/>
      <c r="V984" s="12"/>
      <c r="W984" s="12"/>
      <c r="X984" s="12"/>
    </row>
    <row r="985" spans="2:24">
      <c r="B985" s="12"/>
      <c r="C985" s="12"/>
      <c r="D985" s="12"/>
      <c r="E985" s="12"/>
      <c r="F985" s="12"/>
      <c r="G985" s="12"/>
      <c r="H985" s="12"/>
      <c r="I985" s="12"/>
      <c r="J985" s="12"/>
      <c r="K985" s="12"/>
      <c r="L985" s="12"/>
      <c r="M985" s="12"/>
      <c r="N985" s="12"/>
      <c r="O985" s="12"/>
      <c r="P985" s="12"/>
      <c r="Q985" s="12"/>
      <c r="R985" s="12"/>
      <c r="S985" s="12"/>
      <c r="T985" s="12"/>
      <c r="U985" s="12"/>
      <c r="V985" s="12"/>
      <c r="W985" s="12"/>
      <c r="X985" s="12"/>
    </row>
    <row r="986" spans="2:24">
      <c r="B986" s="12"/>
      <c r="C986" s="12"/>
      <c r="D986" s="12"/>
      <c r="E986" s="12"/>
      <c r="F986" s="12"/>
      <c r="G986" s="12"/>
      <c r="H986" s="12"/>
      <c r="I986" s="12"/>
      <c r="J986" s="12"/>
      <c r="K986" s="12"/>
      <c r="L986" s="12"/>
      <c r="M986" s="12"/>
      <c r="N986" s="12"/>
      <c r="O986" s="12"/>
      <c r="P986" s="12"/>
      <c r="Q986" s="12"/>
      <c r="R986" s="12"/>
      <c r="S986" s="12"/>
      <c r="T986" s="12"/>
      <c r="U986" s="12"/>
      <c r="V986" s="12"/>
      <c r="W986" s="12"/>
      <c r="X986" s="12"/>
    </row>
    <row r="987" spans="2:24">
      <c r="B987" s="12"/>
      <c r="C987" s="12"/>
      <c r="D987" s="12"/>
      <c r="E987" s="12"/>
      <c r="F987" s="12"/>
      <c r="G987" s="12"/>
      <c r="H987" s="12"/>
      <c r="I987" s="12"/>
      <c r="J987" s="12"/>
      <c r="K987" s="12"/>
      <c r="L987" s="12"/>
      <c r="M987" s="12"/>
      <c r="N987" s="12"/>
      <c r="O987" s="12"/>
      <c r="P987" s="12"/>
      <c r="Q987" s="12"/>
      <c r="R987" s="12"/>
      <c r="S987" s="12"/>
      <c r="T987" s="12"/>
      <c r="U987" s="12"/>
      <c r="V987" s="12"/>
      <c r="W987" s="12"/>
      <c r="X987" s="12"/>
    </row>
    <row r="988" spans="2:24">
      <c r="B988" s="12"/>
      <c r="C988" s="12"/>
      <c r="D988" s="12"/>
      <c r="E988" s="12"/>
      <c r="F988" s="12"/>
      <c r="G988" s="12"/>
      <c r="H988" s="12"/>
      <c r="I988" s="12"/>
      <c r="J988" s="12"/>
      <c r="K988" s="12"/>
      <c r="L988" s="12"/>
      <c r="M988" s="12"/>
      <c r="N988" s="12"/>
      <c r="O988" s="12"/>
      <c r="P988" s="12"/>
      <c r="Q988" s="12"/>
      <c r="R988" s="12"/>
      <c r="S988" s="12"/>
      <c r="T988" s="12"/>
      <c r="U988" s="12"/>
      <c r="V988" s="12"/>
      <c r="W988" s="12"/>
      <c r="X988" s="12"/>
    </row>
    <row r="989" spans="2:24">
      <c r="B989" s="12"/>
      <c r="C989" s="12"/>
      <c r="D989" s="12"/>
      <c r="E989" s="12"/>
      <c r="F989" s="12"/>
      <c r="G989" s="12"/>
      <c r="H989" s="12"/>
      <c r="I989" s="12"/>
      <c r="J989" s="12"/>
      <c r="K989" s="12"/>
      <c r="L989" s="12"/>
      <c r="M989" s="12"/>
      <c r="N989" s="12"/>
      <c r="O989" s="12"/>
      <c r="P989" s="12"/>
      <c r="Q989" s="12"/>
      <c r="R989" s="12"/>
      <c r="S989" s="12"/>
      <c r="T989" s="12"/>
      <c r="U989" s="12"/>
      <c r="V989" s="12"/>
      <c r="W989" s="12"/>
      <c r="X989" s="12"/>
    </row>
    <row r="990" spans="2:24">
      <c r="B990" s="12"/>
      <c r="C990" s="12"/>
      <c r="D990" s="12"/>
      <c r="E990" s="12"/>
      <c r="F990" s="12"/>
      <c r="G990" s="12"/>
      <c r="H990" s="12"/>
      <c r="I990" s="12"/>
      <c r="J990" s="12"/>
      <c r="K990" s="12"/>
      <c r="L990" s="12"/>
      <c r="M990" s="12"/>
      <c r="N990" s="12"/>
      <c r="O990" s="12"/>
      <c r="P990" s="12"/>
      <c r="Q990" s="12"/>
      <c r="R990" s="12"/>
      <c r="S990" s="12"/>
      <c r="T990" s="12"/>
      <c r="U990" s="12"/>
      <c r="V990" s="12"/>
      <c r="W990" s="12"/>
      <c r="X990" s="12"/>
    </row>
    <row r="991" spans="2:24">
      <c r="B991" s="12"/>
      <c r="C991" s="12"/>
      <c r="D991" s="12"/>
      <c r="E991" s="12"/>
      <c r="F991" s="12"/>
      <c r="G991" s="12"/>
      <c r="H991" s="12"/>
      <c r="I991" s="12"/>
      <c r="J991" s="12"/>
      <c r="K991" s="12"/>
      <c r="L991" s="12"/>
      <c r="M991" s="12"/>
      <c r="N991" s="12"/>
      <c r="O991" s="12"/>
      <c r="P991" s="12"/>
      <c r="Q991" s="12"/>
      <c r="R991" s="12"/>
      <c r="S991" s="12"/>
      <c r="T991" s="12"/>
      <c r="U991" s="12"/>
      <c r="V991" s="12"/>
      <c r="W991" s="12"/>
      <c r="X991" s="12"/>
    </row>
    <row r="992" spans="2:24">
      <c r="B992" s="12"/>
      <c r="C992" s="12"/>
      <c r="D992" s="12"/>
      <c r="E992" s="12"/>
      <c r="F992" s="12"/>
      <c r="G992" s="12"/>
      <c r="H992" s="12"/>
      <c r="I992" s="12"/>
      <c r="J992" s="12"/>
      <c r="K992" s="12"/>
      <c r="L992" s="12"/>
      <c r="M992" s="12"/>
      <c r="N992" s="12"/>
      <c r="O992" s="12"/>
      <c r="P992" s="12"/>
      <c r="Q992" s="12"/>
      <c r="R992" s="12"/>
      <c r="S992" s="12"/>
      <c r="T992" s="12"/>
      <c r="U992" s="12"/>
      <c r="V992" s="12"/>
      <c r="W992" s="12"/>
      <c r="X992" s="12"/>
    </row>
    <row r="993" spans="2:24">
      <c r="B993" s="12"/>
      <c r="C993" s="12"/>
      <c r="D993" s="12"/>
      <c r="E993" s="12"/>
      <c r="F993" s="12"/>
      <c r="G993" s="12"/>
      <c r="H993" s="12"/>
      <c r="I993" s="12"/>
      <c r="J993" s="12"/>
      <c r="K993" s="12"/>
      <c r="L993" s="12"/>
      <c r="M993" s="12"/>
      <c r="N993" s="12"/>
      <c r="O993" s="12"/>
      <c r="P993" s="12"/>
      <c r="Q993" s="12"/>
      <c r="R993" s="12"/>
      <c r="S993" s="12"/>
      <c r="T993" s="12"/>
      <c r="U993" s="12"/>
      <c r="V993" s="12"/>
      <c r="W993" s="12"/>
      <c r="X993" s="12"/>
    </row>
    <row r="994" spans="2:24">
      <c r="B994" s="12"/>
      <c r="C994" s="12"/>
      <c r="D994" s="12"/>
      <c r="E994" s="12"/>
      <c r="F994" s="12"/>
      <c r="G994" s="12"/>
      <c r="H994" s="12"/>
      <c r="I994" s="12"/>
      <c r="J994" s="12"/>
      <c r="K994" s="12"/>
      <c r="L994" s="12"/>
      <c r="M994" s="12"/>
      <c r="N994" s="12"/>
      <c r="O994" s="12"/>
      <c r="P994" s="12"/>
      <c r="Q994" s="12"/>
      <c r="R994" s="12"/>
      <c r="S994" s="12"/>
      <c r="T994" s="12"/>
      <c r="U994" s="12"/>
      <c r="V994" s="12"/>
      <c r="W994" s="12"/>
      <c r="X994" s="12"/>
    </row>
    <row r="995" spans="2:24">
      <c r="B995" s="12"/>
      <c r="C995" s="12"/>
      <c r="D995" s="12"/>
      <c r="E995" s="12"/>
      <c r="F995" s="12"/>
      <c r="G995" s="12"/>
      <c r="H995" s="12"/>
      <c r="I995" s="12"/>
      <c r="J995" s="12"/>
      <c r="K995" s="12"/>
      <c r="L995" s="12"/>
      <c r="M995" s="12"/>
      <c r="N995" s="12"/>
      <c r="O995" s="12"/>
      <c r="P995" s="12"/>
      <c r="Q995" s="12"/>
      <c r="R995" s="12"/>
      <c r="S995" s="12"/>
      <c r="T995" s="12"/>
      <c r="U995" s="12"/>
      <c r="V995" s="12"/>
      <c r="W995" s="12"/>
      <c r="X995" s="12"/>
    </row>
    <row r="996" spans="2:24">
      <c r="B996" s="12"/>
      <c r="C996" s="12"/>
      <c r="D996" s="12"/>
      <c r="E996" s="12"/>
      <c r="F996" s="12"/>
      <c r="G996" s="12"/>
      <c r="H996" s="12"/>
      <c r="I996" s="12"/>
      <c r="J996" s="12"/>
      <c r="K996" s="12"/>
      <c r="L996" s="12"/>
      <c r="M996" s="12"/>
      <c r="N996" s="12"/>
      <c r="O996" s="12"/>
      <c r="P996" s="12"/>
      <c r="Q996" s="12"/>
      <c r="R996" s="12"/>
      <c r="S996" s="12"/>
      <c r="T996" s="12"/>
      <c r="U996" s="12"/>
      <c r="V996" s="12"/>
      <c r="W996" s="12"/>
      <c r="X996" s="12"/>
    </row>
    <row r="997" spans="2:24">
      <c r="B997" s="12"/>
      <c r="C997" s="12"/>
      <c r="D997" s="12"/>
      <c r="E997" s="12"/>
      <c r="F997" s="12"/>
      <c r="G997" s="12"/>
      <c r="H997" s="12"/>
      <c r="I997" s="12"/>
      <c r="J997" s="12"/>
      <c r="K997" s="12"/>
      <c r="L997" s="12"/>
      <c r="M997" s="12"/>
      <c r="N997" s="12"/>
      <c r="O997" s="12"/>
      <c r="P997" s="12"/>
      <c r="Q997" s="12"/>
      <c r="R997" s="12"/>
      <c r="S997" s="12"/>
      <c r="T997" s="12"/>
      <c r="U997" s="12"/>
      <c r="V997" s="12"/>
      <c r="W997" s="12"/>
      <c r="X997" s="12"/>
    </row>
  </sheetData>
  <phoneticPr fontId="13" type="noConversion"/>
  <hyperlinks>
    <hyperlink ref="D10" r:id="rId1" xr:uid="{1C2B3814-B174-C24B-BC23-73F1366CE10D}"/>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765D8-26B0-DB4D-A8D5-35880A35423A}">
  <sheetPr>
    <tabColor theme="4" tint="0.79998168889431442"/>
  </sheetPr>
  <dimension ref="A1"/>
  <sheetViews>
    <sheetView workbookViewId="0">
      <selection activeCell="O28" sqref="O28"/>
    </sheetView>
  </sheetViews>
  <sheetFormatPr baseColWidth="10" defaultRowHeight="16"/>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A4014-FD32-AC44-8186-BFB55981298A}">
  <dimension ref="A1:AP214"/>
  <sheetViews>
    <sheetView zoomScale="70" zoomScaleNormal="70" workbookViewId="0">
      <pane xSplit="2" ySplit="2" topLeftCell="C3" activePane="bottomRight" state="frozen"/>
      <selection pane="topRight" activeCell="C1" sqref="C1"/>
      <selection pane="bottomLeft" activeCell="A3" sqref="A3"/>
      <selection pane="bottomRight" activeCell="C7" sqref="C7"/>
    </sheetView>
  </sheetViews>
  <sheetFormatPr baseColWidth="10" defaultRowHeight="16"/>
  <cols>
    <col min="1" max="1" width="12.33203125" customWidth="1"/>
    <col min="2" max="2" width="10.6640625" style="1" customWidth="1"/>
    <col min="3" max="3" width="12.6640625" style="1" customWidth="1"/>
    <col min="4" max="4" width="11.83203125" style="1" bestFit="1" customWidth="1"/>
    <col min="5" max="17" width="13" style="1" bestFit="1" customWidth="1"/>
    <col min="18" max="23" width="14.5" style="1" bestFit="1" customWidth="1"/>
    <col min="24" max="25" width="14.5" bestFit="1" customWidth="1"/>
    <col min="26" max="26" width="15.6640625" customWidth="1"/>
    <col min="27" max="27" width="15.83203125" customWidth="1"/>
    <col min="28" max="28" width="15.6640625" customWidth="1"/>
    <col min="29" max="32" width="14.5" bestFit="1" customWidth="1"/>
    <col min="33" max="33" width="15.33203125" customWidth="1"/>
    <col min="34" max="34" width="12.83203125" customWidth="1"/>
    <col min="35" max="37" width="14.5" bestFit="1" customWidth="1"/>
    <col min="38" max="38" width="14" bestFit="1" customWidth="1"/>
    <col min="40" max="40" width="12.5" bestFit="1" customWidth="1"/>
    <col min="41" max="41" width="15.1640625" bestFit="1" customWidth="1"/>
    <col min="42" max="42" width="14" bestFit="1" customWidth="1"/>
  </cols>
  <sheetData>
    <row r="1" spans="1:38" ht="21">
      <c r="A1" s="52"/>
      <c r="B1" s="52"/>
      <c r="AB1" s="1"/>
      <c r="AC1" s="81"/>
    </row>
    <row r="2" spans="1:38" ht="22" thickBot="1">
      <c r="A2" s="52"/>
      <c r="B2" s="212" t="s">
        <v>175</v>
      </c>
      <c r="C2" s="213">
        <v>2000</v>
      </c>
      <c r="D2" s="213">
        <v>2001</v>
      </c>
      <c r="E2" s="213">
        <v>2002</v>
      </c>
      <c r="F2" s="213">
        <v>2003</v>
      </c>
      <c r="G2" s="213">
        <v>2004</v>
      </c>
      <c r="H2" s="213">
        <v>2005</v>
      </c>
      <c r="I2" s="213">
        <v>2006</v>
      </c>
      <c r="J2" s="213">
        <v>2007</v>
      </c>
      <c r="K2" s="213">
        <v>2008</v>
      </c>
      <c r="L2" s="213">
        <v>2009</v>
      </c>
      <c r="M2" s="213">
        <v>2010</v>
      </c>
      <c r="N2" s="213">
        <v>2011</v>
      </c>
      <c r="O2" s="213">
        <v>2012</v>
      </c>
      <c r="P2" s="213">
        <v>2013</v>
      </c>
      <c r="Q2" s="213">
        <v>2014</v>
      </c>
      <c r="R2" s="213">
        <v>2015</v>
      </c>
      <c r="S2" s="213">
        <v>2016</v>
      </c>
      <c r="T2" s="213">
        <v>2017</v>
      </c>
      <c r="U2" s="213">
        <v>2018</v>
      </c>
      <c r="V2" s="213">
        <v>2019</v>
      </c>
      <c r="W2" s="213">
        <v>2020</v>
      </c>
      <c r="X2" s="213">
        <v>2021</v>
      </c>
      <c r="Y2" s="213">
        <v>2022</v>
      </c>
      <c r="Z2" s="213">
        <v>2023</v>
      </c>
      <c r="AA2" s="213">
        <v>2024</v>
      </c>
      <c r="AB2" s="213">
        <v>2025</v>
      </c>
      <c r="AC2" s="213">
        <v>2026</v>
      </c>
      <c r="AD2" s="213">
        <v>2027</v>
      </c>
      <c r="AE2" s="213">
        <v>2028</v>
      </c>
      <c r="AF2" s="213">
        <v>2029</v>
      </c>
      <c r="AG2" s="213">
        <v>2030</v>
      </c>
      <c r="AH2" s="213">
        <v>2031</v>
      </c>
      <c r="AI2" s="213">
        <v>2032</v>
      </c>
      <c r="AJ2" s="213">
        <v>2033</v>
      </c>
      <c r="AK2" s="213">
        <v>2034</v>
      </c>
      <c r="AL2" s="213">
        <v>2035</v>
      </c>
    </row>
    <row r="3" spans="1:38" ht="17" thickTop="1"/>
    <row r="4" spans="1:38" ht="21">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row>
    <row r="5" spans="1:38">
      <c r="A5" s="1"/>
      <c r="B5" s="82"/>
      <c r="C5" s="47">
        <f t="shared" ref="C5:AL5" si="0">B5+C47-C87</f>
        <v>31745449</v>
      </c>
      <c r="D5" s="47">
        <f t="shared" si="0"/>
        <v>55808075</v>
      </c>
      <c r="E5" s="47">
        <f t="shared" si="0"/>
        <v>72927229</v>
      </c>
      <c r="F5" s="47">
        <f t="shared" si="0"/>
        <v>84559967</v>
      </c>
      <c r="G5" s="47">
        <f t="shared" si="0"/>
        <v>92255324</v>
      </c>
      <c r="H5" s="47">
        <f t="shared" si="0"/>
        <v>97335087</v>
      </c>
      <c r="I5" s="47">
        <f t="shared" si="0"/>
        <v>100788217</v>
      </c>
      <c r="J5" s="47">
        <f t="shared" si="0"/>
        <v>71541698</v>
      </c>
      <c r="K5" s="47">
        <f t="shared" si="0"/>
        <v>49447155</v>
      </c>
      <c r="L5" s="47">
        <f t="shared" si="0"/>
        <v>72284765</v>
      </c>
      <c r="M5" s="47">
        <f t="shared" si="0"/>
        <v>93659865</v>
      </c>
      <c r="N5" s="47">
        <f t="shared" si="0"/>
        <v>106334651</v>
      </c>
      <c r="O5" s="47">
        <f t="shared" si="0"/>
        <v>114198537</v>
      </c>
      <c r="P5" s="47">
        <f t="shared" si="0"/>
        <v>120106826</v>
      </c>
      <c r="Q5" s="47">
        <f t="shared" si="0"/>
        <v>121755884</v>
      </c>
      <c r="R5" s="47">
        <f t="shared" si="0"/>
        <v>121202579</v>
      </c>
      <c r="S5" s="47">
        <f t="shared" si="0"/>
        <v>119137845</v>
      </c>
      <c r="T5" s="47">
        <f t="shared" si="0"/>
        <v>113580241</v>
      </c>
      <c r="U5" s="47">
        <f t="shared" si="0"/>
        <v>108103281</v>
      </c>
      <c r="V5" s="47">
        <f t="shared" si="0"/>
        <v>104217360</v>
      </c>
      <c r="W5" s="47">
        <f t="shared" si="0"/>
        <v>102718939</v>
      </c>
      <c r="X5" s="47">
        <f t="shared" si="0"/>
        <v>77778331</v>
      </c>
      <c r="Y5" s="47">
        <f t="shared" si="0"/>
        <v>78464291</v>
      </c>
      <c r="Z5" s="47">
        <f t="shared" si="0"/>
        <v>80311913</v>
      </c>
      <c r="AA5" s="47">
        <f t="shared" si="0"/>
        <v>82461509</v>
      </c>
      <c r="AB5" s="47">
        <f t="shared" si="0"/>
        <v>84483442</v>
      </c>
      <c r="AC5" s="47">
        <f t="shared" si="0"/>
        <v>86225518</v>
      </c>
      <c r="AD5" s="47">
        <f t="shared" si="0"/>
        <v>87684671</v>
      </c>
      <c r="AE5" s="47">
        <f t="shared" si="0"/>
        <v>88918662</v>
      </c>
      <c r="AF5" s="47">
        <f t="shared" si="0"/>
        <v>89996208</v>
      </c>
      <c r="AG5" s="47" t="e">
        <f t="shared" si="0"/>
        <v>#REF!</v>
      </c>
      <c r="AH5" s="47" t="e">
        <f t="shared" si="0"/>
        <v>#REF!</v>
      </c>
      <c r="AI5" s="47" t="e">
        <f t="shared" si="0"/>
        <v>#REF!</v>
      </c>
      <c r="AJ5" s="47" t="e">
        <f t="shared" si="0"/>
        <v>#REF!</v>
      </c>
      <c r="AK5" s="47" t="e">
        <f t="shared" si="0"/>
        <v>#REF!</v>
      </c>
      <c r="AL5" s="47" t="e">
        <f t="shared" si="0"/>
        <v>#REF!</v>
      </c>
    </row>
    <row r="6" spans="1:3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83"/>
      <c r="AL6" s="83"/>
    </row>
    <row r="7" spans="1:38">
      <c r="A7" s="1" t="s">
        <v>6902</v>
      </c>
      <c r="B7" s="7">
        <v>2000</v>
      </c>
      <c r="C7" s="83">
        <f>$C$47-(SUM($C$50:C50))</f>
        <v>31745449.237963092</v>
      </c>
      <c r="D7" s="83">
        <f>$C$47-(SUM($C$50:D50))</f>
        <v>24062625.904704258</v>
      </c>
      <c r="E7" s="83">
        <f>$C$47-(SUM($C$50:E50))</f>
        <v>17119153.540551338</v>
      </c>
      <c r="F7" s="83">
        <f>$C$47-(SUM($C$50:F50))</f>
        <v>11632737.739054427</v>
      </c>
      <c r="G7" s="83">
        <f>$C$47-(SUM($C$50:G50))</f>
        <v>7695356.7824555412</v>
      </c>
      <c r="H7" s="83">
        <f>$C$47-(SUM($C$50:H50))</f>
        <v>5079763.4710899442</v>
      </c>
      <c r="I7" s="83">
        <f>$C$47-(SUM($C$50:I50))</f>
        <v>3453130.3309613019</v>
      </c>
      <c r="J7" s="83">
        <f>$C$47-(SUM($C$50:J50))</f>
        <v>2498930.5791303217</v>
      </c>
      <c r="K7" s="83">
        <f>$C$47-(SUM($C$50:K50))</f>
        <v>1968082.4728267118</v>
      </c>
      <c r="L7" s="83">
        <f>$C$47-(SUM($C$50:L50))</f>
        <v>1686851.1526194587</v>
      </c>
      <c r="M7" s="83">
        <f>$C$47-(SUM($C$50:M50))</f>
        <v>1544512.175443776</v>
      </c>
      <c r="N7" s="83">
        <f>$C$47-(SUM($C$50:N50))</f>
        <v>1475505.2930553034</v>
      </c>
      <c r="O7" s="83">
        <f>$C$47-(SUM($C$50:O50))</f>
        <v>1443389.3799393028</v>
      </c>
      <c r="P7" s="83">
        <f>$C$47-(SUM($C$50:P50))</f>
        <v>1429014.1425901428</v>
      </c>
      <c r="Q7" s="83">
        <f>$C$47-(SUM($C$50:Q50))</f>
        <v>1422815.8285080418</v>
      </c>
      <c r="R7" s="83">
        <f>$C$47-(SUM($C$50:R50))</f>
        <v>1420237.6948995739</v>
      </c>
      <c r="S7" s="83">
        <f>$C$47-(SUM($C$50:S50))</f>
        <v>1419201.9577111006</v>
      </c>
      <c r="T7" s="83">
        <f>$C$47-(SUM($C$50:T50))</f>
        <v>1418799.6231698394</v>
      </c>
      <c r="U7" s="83">
        <f>$C$47-(SUM($C$50:U50))</f>
        <v>1418648.353462033</v>
      </c>
      <c r="V7" s="83">
        <f>$C$47-(SUM($C$50:V50))</f>
        <v>1418593.2553883642</v>
      </c>
      <c r="W7" s="83">
        <f>$C$47-(SUM($C$50:W50))</f>
        <v>1418573.7973448262</v>
      </c>
      <c r="X7" s="83">
        <f>$C$47-(SUM($C$50:X50))</f>
        <v>1418567.1297502741</v>
      </c>
      <c r="Y7" s="83">
        <f>$C$47-(SUM($C$50:Y50))</f>
        <v>1418564.9112996534</v>
      </c>
      <c r="Z7" s="83">
        <f>$C$47-(SUM($C$50:Z50))</f>
        <v>1418564.1941301152</v>
      </c>
      <c r="AA7" s="83">
        <f>$C$47-(SUM($C$50:AA50))</f>
        <v>1418563.9687339142</v>
      </c>
      <c r="AB7" s="83">
        <f>$C$47-(SUM($C$50:AB50))</f>
        <v>1418563.8998262137</v>
      </c>
      <c r="AC7" s="83">
        <f>$C$47-(SUM($C$50:AC50))</f>
        <v>1418563.8793233931</v>
      </c>
      <c r="AD7" s="83">
        <f>$C$47-(SUM($C$50:AD50))</f>
        <v>1418563.8733832315</v>
      </c>
      <c r="AE7" s="83">
        <f>$C$47-(SUM($C$50:AE50))</f>
        <v>1418563.8717066571</v>
      </c>
      <c r="AF7" s="83">
        <f>$C$47-(SUM($C$50:AF50))</f>
        <v>1418563.8712454662</v>
      </c>
      <c r="AG7" s="83" t="e">
        <f>$C$47-(SUM($C$50:AG50))</f>
        <v>#REF!</v>
      </c>
      <c r="AH7" s="83" t="e">
        <f>$C$47-(SUM($C$50:AH50))</f>
        <v>#REF!</v>
      </c>
      <c r="AI7" s="83" t="e">
        <f>$C$47-(SUM($C$50:AI50))</f>
        <v>#REF!</v>
      </c>
      <c r="AJ7" s="83" t="e">
        <f>$C$47-(SUM($C$50:AJ50))</f>
        <v>#REF!</v>
      </c>
      <c r="AK7" s="83" t="e">
        <f>$C$47-(SUM($C$50:AK50))</f>
        <v>#REF!</v>
      </c>
      <c r="AL7" s="83" t="e">
        <f>$C$47-(SUM($C$50:AL50))</f>
        <v>#REF!</v>
      </c>
    </row>
    <row r="8" spans="1:38">
      <c r="A8" s="1"/>
      <c r="B8" s="7">
        <v>2001</v>
      </c>
      <c r="C8" s="83"/>
      <c r="D8" s="83">
        <f>$D$47-(SUM($D$51:D51))</f>
        <v>31745449.237963092</v>
      </c>
      <c r="E8" s="83">
        <f>$D$47-(SUM($D$51:E51))</f>
        <v>24062625.904704258</v>
      </c>
      <c r="F8" s="83">
        <f>$D$47-(SUM($D$51:F51))</f>
        <v>17119153.540551338</v>
      </c>
      <c r="G8" s="83">
        <f>$D$47-(SUM($D$51:G51))</f>
        <v>11632737.739054427</v>
      </c>
      <c r="H8" s="83">
        <f>$D$47-(SUM($D$51:H51))</f>
        <v>7695356.7824555412</v>
      </c>
      <c r="I8" s="83">
        <f>$D$47-(SUM($D$51:I51))</f>
        <v>5079763.4710899442</v>
      </c>
      <c r="J8" s="83">
        <f>$D$47-(SUM($D$51:J51))</f>
        <v>3453130.3309613019</v>
      </c>
      <c r="K8" s="83">
        <f>$D$47-(SUM($D$51:K51))</f>
        <v>2498930.5791303217</v>
      </c>
      <c r="L8" s="83">
        <f>$D$47-(SUM($D$51:L51))</f>
        <v>1968082.4728267118</v>
      </c>
      <c r="M8" s="83">
        <f>$D$47-(SUM($D$51:M51))</f>
        <v>1686851.1526194587</v>
      </c>
      <c r="N8" s="83">
        <f>$D$47-(SUM($D$51:N51))</f>
        <v>1544512.175443776</v>
      </c>
      <c r="O8" s="83">
        <f>$D$47-(SUM($D$51:O51))</f>
        <v>1475505.2930553034</v>
      </c>
      <c r="P8" s="83">
        <f>$D$47-(SUM($D$51:P51))</f>
        <v>1443389.3799393028</v>
      </c>
      <c r="Q8" s="83">
        <f>$D$47-(SUM($D$51:Q51))</f>
        <v>1429014.1425901428</v>
      </c>
      <c r="R8" s="83">
        <f>$D$47-(SUM($D$51:R51))</f>
        <v>1422815.8285080418</v>
      </c>
      <c r="S8" s="83">
        <f>$D$47-(SUM($D$51:S51))</f>
        <v>1420237.6948995739</v>
      </c>
      <c r="T8" s="83">
        <f>$D$47-(SUM($D$51:T51))</f>
        <v>1419201.9577111006</v>
      </c>
      <c r="U8" s="83">
        <f>$D$47-(SUM($D$51:U51))</f>
        <v>1418799.6231698394</v>
      </c>
      <c r="V8" s="83">
        <f>$D$47-(SUM($D$51:V51))</f>
        <v>1418648.353462033</v>
      </c>
      <c r="W8" s="83">
        <f>$D$47-(SUM($D$51:W51))</f>
        <v>1418593.2553883642</v>
      </c>
      <c r="X8" s="83">
        <f>$D$47-(SUM($D$51:X51))</f>
        <v>1418573.7973448262</v>
      </c>
      <c r="Y8" s="83">
        <f>$D$47-(SUM($D$51:Y51))</f>
        <v>1418567.1297502741</v>
      </c>
      <c r="Z8" s="83">
        <f>$D$47-(SUM($D$51:Z51))</f>
        <v>1418564.9112996534</v>
      </c>
      <c r="AA8" s="83">
        <f>$D$47-(SUM($D$51:AA51))</f>
        <v>1418564.1941301152</v>
      </c>
      <c r="AB8" s="83">
        <f>$D$47-(SUM($D$51:AB51))</f>
        <v>1418563.9687339142</v>
      </c>
      <c r="AC8" s="83">
        <f>$D$47-(SUM($D$51:AC51))</f>
        <v>1418563.8998262137</v>
      </c>
      <c r="AD8" s="83">
        <f>$D$47-(SUM($D$51:AD51))</f>
        <v>1418563.8793233931</v>
      </c>
      <c r="AE8" s="83">
        <f>$D$47-(SUM($D$51:AE51))</f>
        <v>1418563.8733832315</v>
      </c>
      <c r="AF8" s="83">
        <f>$D$47-(SUM($D$51:AF51))</f>
        <v>1418563.8717066571</v>
      </c>
      <c r="AG8" s="83">
        <f>$D$47-(SUM($D$51:AG51))</f>
        <v>1418563.8712454662</v>
      </c>
      <c r="AH8" s="83" t="e">
        <f>$D$47-(SUM($D$51:AH51))</f>
        <v>#REF!</v>
      </c>
      <c r="AI8" s="83" t="e">
        <f>$D$47-(SUM($D$51:AI51))</f>
        <v>#REF!</v>
      </c>
      <c r="AJ8" s="83" t="e">
        <f>$D$47-(SUM($D$51:AJ51))</f>
        <v>#REF!</v>
      </c>
      <c r="AK8" s="83" t="e">
        <f>$D$47-(SUM($D$51:AK51))</f>
        <v>#REF!</v>
      </c>
      <c r="AL8" s="83" t="e">
        <f>$D$47-(SUM($D$51:AL51))</f>
        <v>#REF!</v>
      </c>
    </row>
    <row r="9" spans="1:38">
      <c r="A9" s="1"/>
      <c r="B9" s="7">
        <v>2002</v>
      </c>
      <c r="C9" s="83"/>
      <c r="D9" s="83"/>
      <c r="E9" s="83">
        <f>$E$47-(SUM($E$52:E52))</f>
        <v>31745449.237963092</v>
      </c>
      <c r="F9" s="83">
        <f>$E$47-(SUM($E$52:F52))</f>
        <v>24062625.904704258</v>
      </c>
      <c r="G9" s="83">
        <f>$E$47-(SUM($E$52:G52))</f>
        <v>17119153.540551338</v>
      </c>
      <c r="H9" s="83">
        <f>$E$47-(SUM($E$52:H52))</f>
        <v>11632737.739054427</v>
      </c>
      <c r="I9" s="83">
        <f>$E$47-(SUM($E$52:I52))</f>
        <v>7695356.7824555412</v>
      </c>
      <c r="J9" s="83">
        <f>$E$47-(SUM($E$52:J52))</f>
        <v>5079763.4710899442</v>
      </c>
      <c r="K9" s="83">
        <f>$E$47-(SUM($E$52:K52))</f>
        <v>3453130.3309613019</v>
      </c>
      <c r="L9" s="83">
        <f>$E$47-(SUM($E$52:L52))</f>
        <v>2498930.5791303217</v>
      </c>
      <c r="M9" s="83">
        <f>$E$47-(SUM($E$52:M52))</f>
        <v>1968082.4728267118</v>
      </c>
      <c r="N9" s="83">
        <f>$E$47-(SUM($E$52:N52))</f>
        <v>1686851.1526194587</v>
      </c>
      <c r="O9" s="83">
        <f>$E$47-(SUM($E$52:O52))</f>
        <v>1544512.175443776</v>
      </c>
      <c r="P9" s="83">
        <f>$E$47-(SUM($E$52:P52))</f>
        <v>1475505.2930553034</v>
      </c>
      <c r="Q9" s="83">
        <f>$E$47-(SUM($E$52:Q52))</f>
        <v>1443389.3799393028</v>
      </c>
      <c r="R9" s="83">
        <f>$E$47-(SUM($E$52:R52))</f>
        <v>1429014.1425901428</v>
      </c>
      <c r="S9" s="83">
        <f>$E$47-(SUM($E$52:S52))</f>
        <v>1422815.8285080418</v>
      </c>
      <c r="T9" s="83">
        <f>$E$47-(SUM($E$52:T52))</f>
        <v>1420237.6948995739</v>
      </c>
      <c r="U9" s="83">
        <f>$E$47-(SUM($E$52:U52))</f>
        <v>1419201.9577111006</v>
      </c>
      <c r="V9" s="83">
        <f>$E$47-(SUM($E$52:V52))</f>
        <v>1418799.6231698394</v>
      </c>
      <c r="W9" s="83">
        <f>$E$47-(SUM($E$52:W52))</f>
        <v>1418648.353462033</v>
      </c>
      <c r="X9" s="83">
        <f>$E$47-(SUM($E$52:X52))</f>
        <v>1418593.2553883642</v>
      </c>
      <c r="Y9" s="83">
        <f>$E$47-(SUM($E$52:Y52))</f>
        <v>1418573.7973448262</v>
      </c>
      <c r="Z9" s="83">
        <f>$E$47-(SUM($E$52:Z52))</f>
        <v>1418567.1297502741</v>
      </c>
      <c r="AA9" s="83">
        <f>$E$47-(SUM($E$52:AA52))</f>
        <v>1418564.9112996534</v>
      </c>
      <c r="AB9" s="83">
        <f>$E$47-(SUM($E$52:AB52))</f>
        <v>1418564.1941301152</v>
      </c>
      <c r="AC9" s="83">
        <f>$E$47-(SUM($E$52:AC52))</f>
        <v>1418563.9687339142</v>
      </c>
      <c r="AD9" s="83">
        <f>$E$47-(SUM($E$52:AD52))</f>
        <v>1418563.8998262137</v>
      </c>
      <c r="AE9" s="83">
        <f>$E$47-(SUM($E$52:AE52))</f>
        <v>1418563.8793233931</v>
      </c>
      <c r="AF9" s="83">
        <f>$E$47-(SUM($E$52:AF52))</f>
        <v>1418563.8733832315</v>
      </c>
      <c r="AG9" s="83">
        <f>$E$47-(SUM($E$52:AG52))</f>
        <v>1418563.8717066571</v>
      </c>
      <c r="AH9" s="83">
        <f>$E$47-(SUM($E$52:AH52))</f>
        <v>1418563.8712454662</v>
      </c>
      <c r="AI9" s="83" t="e">
        <f>$E$47-(SUM($E$52:AI52))</f>
        <v>#REF!</v>
      </c>
      <c r="AJ9" s="83" t="e">
        <f>$E$47-(SUM($E$52:AJ52))</f>
        <v>#REF!</v>
      </c>
      <c r="AK9" s="83" t="e">
        <f>$E$47-(SUM($E$52:AK52))</f>
        <v>#REF!</v>
      </c>
      <c r="AL9" s="83" t="e">
        <f>$E$47-(SUM($E$52:AL52))</f>
        <v>#REF!</v>
      </c>
    </row>
    <row r="10" spans="1:38">
      <c r="A10" s="1"/>
      <c r="B10" s="7">
        <v>2003</v>
      </c>
      <c r="C10" s="83"/>
      <c r="D10" s="83"/>
      <c r="E10" s="83"/>
      <c r="F10" s="83">
        <f>$F$47-(SUM($F$53:F53))</f>
        <v>31745449.237963092</v>
      </c>
      <c r="G10" s="83">
        <f>$F$47-(SUM($F$53:G53))</f>
        <v>24062625.904704258</v>
      </c>
      <c r="H10" s="83">
        <f>$F$47-(SUM($F$53:H53))</f>
        <v>17119153.540551338</v>
      </c>
      <c r="I10" s="83">
        <f>$F$47-(SUM($F$53:I53))</f>
        <v>11632737.739054427</v>
      </c>
      <c r="J10" s="83">
        <f>$F$47-(SUM($F$53:J53))</f>
        <v>7695356.7824555412</v>
      </c>
      <c r="K10" s="83">
        <f>$F$47-(SUM($F$53:K53))</f>
        <v>5079763.4710899442</v>
      </c>
      <c r="L10" s="83">
        <f>$F$47-(SUM($F$53:L53))</f>
        <v>3453130.3309613019</v>
      </c>
      <c r="M10" s="83">
        <f>$F$47-(SUM($F$53:M53))</f>
        <v>2498930.5791303217</v>
      </c>
      <c r="N10" s="83">
        <f>$F$47-(SUM($F$53:N53))</f>
        <v>1968082.4728267118</v>
      </c>
      <c r="O10" s="83">
        <f>$F$47-(SUM($F$53:O53))</f>
        <v>1686851.1526194587</v>
      </c>
      <c r="P10" s="83">
        <f>$F$47-(SUM($F$53:P53))</f>
        <v>1544512.175443776</v>
      </c>
      <c r="Q10" s="83">
        <f>$F$47-(SUM($F$53:Q53))</f>
        <v>1475505.2930553034</v>
      </c>
      <c r="R10" s="83">
        <f>$F$47-(SUM($F$53:R53))</f>
        <v>1443389.3799393028</v>
      </c>
      <c r="S10" s="83">
        <f>$F$47-(SUM($F$53:S53))</f>
        <v>1429014.1425901428</v>
      </c>
      <c r="T10" s="83">
        <f>$F$47-(SUM($F$53:T53))</f>
        <v>1422815.8285080418</v>
      </c>
      <c r="U10" s="83">
        <f>$F$47-(SUM($F$53:U53))</f>
        <v>1420237.6948995739</v>
      </c>
      <c r="V10" s="83">
        <f>$F$47-(SUM($F$53:V53))</f>
        <v>1419201.9577111006</v>
      </c>
      <c r="W10" s="83">
        <f>$F$47-(SUM($F$53:W53))</f>
        <v>1418799.6231698394</v>
      </c>
      <c r="X10" s="83">
        <f>$F$47-(SUM($F$53:X53))</f>
        <v>1418648.353462033</v>
      </c>
      <c r="Y10" s="83">
        <f>$F$47-(SUM($F$53:Y53))</f>
        <v>1418593.2553883642</v>
      </c>
      <c r="Z10" s="83">
        <f>$F$47-(SUM($F$53:Z53))</f>
        <v>1418573.7973448262</v>
      </c>
      <c r="AA10" s="83">
        <f>$F$47-(SUM($F$53:AA53))</f>
        <v>1418567.1297502741</v>
      </c>
      <c r="AB10" s="83">
        <f>$F$47-(SUM($F$53:AB53))</f>
        <v>1418564.9112996534</v>
      </c>
      <c r="AC10" s="83">
        <f>$F$47-(SUM($F$53:AC53))</f>
        <v>1418564.1941301152</v>
      </c>
      <c r="AD10" s="83">
        <f>$F$47-(SUM($F$53:AD53))</f>
        <v>1418563.9687339142</v>
      </c>
      <c r="AE10" s="83">
        <f>$F$47-(SUM($F$53:AE53))</f>
        <v>1418563.8998262137</v>
      </c>
      <c r="AF10" s="83">
        <f>$F$47-(SUM($F$53:AF53))</f>
        <v>1418563.8793233931</v>
      </c>
      <c r="AG10" s="83">
        <f>$F$47-(SUM($F$53:AG53))</f>
        <v>1418563.8733832315</v>
      </c>
      <c r="AH10" s="83">
        <f>$F$47-(SUM($F$53:AH53))</f>
        <v>1418563.8717066571</v>
      </c>
      <c r="AI10" s="83">
        <f>$F$47-(SUM($F$53:AI53))</f>
        <v>1418563.8712454662</v>
      </c>
      <c r="AJ10" s="83" t="e">
        <f>$F$47-(SUM($F$53:AJ53))</f>
        <v>#REF!</v>
      </c>
      <c r="AK10" s="83" t="e">
        <f>$F$47-(SUM($F$53:AK53))</f>
        <v>#REF!</v>
      </c>
      <c r="AL10" s="83" t="e">
        <f>$F$47-(SUM($F$53:AL53))</f>
        <v>#REF!</v>
      </c>
    </row>
    <row r="11" spans="1:38">
      <c r="A11" s="1"/>
      <c r="B11" s="7">
        <v>2004</v>
      </c>
      <c r="C11" s="83"/>
      <c r="D11" s="83"/>
      <c r="E11" s="83"/>
      <c r="F11" s="83"/>
      <c r="G11" s="83">
        <f>$G$47-(SUM($G$54:G54))</f>
        <v>31745449.237963092</v>
      </c>
      <c r="H11" s="83">
        <f>$G$47-(SUM($G$54:H54))</f>
        <v>24062625.904704258</v>
      </c>
      <c r="I11" s="83">
        <f>$G$47-(SUM($G$54:I54))</f>
        <v>17119153.540551338</v>
      </c>
      <c r="J11" s="83">
        <f>$G$47-(SUM($G$54:J54))</f>
        <v>11632737.739054427</v>
      </c>
      <c r="K11" s="83">
        <f>$G$47-(SUM($G$54:K54))</f>
        <v>7695356.7824555412</v>
      </c>
      <c r="L11" s="83">
        <f>$G$47-(SUM($G$54:L54))</f>
        <v>5079763.4710899442</v>
      </c>
      <c r="M11" s="83">
        <f>$G$47-(SUM($G$54:M54))</f>
        <v>3453130.3309613019</v>
      </c>
      <c r="N11" s="83">
        <f>$G$47-(SUM($G$54:N54))</f>
        <v>2498930.5791303217</v>
      </c>
      <c r="O11" s="83">
        <f>$G$47-(SUM($G$54:O54))</f>
        <v>1968082.4728267118</v>
      </c>
      <c r="P11" s="83">
        <f>$G$47-(SUM($G$54:P54))</f>
        <v>1686851.1526194587</v>
      </c>
      <c r="Q11" s="83">
        <f>$G$47-(SUM($G$54:Q54))</f>
        <v>1544512.175443776</v>
      </c>
      <c r="R11" s="83">
        <f>$G$47-(SUM($G$54:R54))</f>
        <v>1475505.2930553034</v>
      </c>
      <c r="S11" s="83">
        <f>$G$47-(SUM($G$54:S54))</f>
        <v>1443389.3799393028</v>
      </c>
      <c r="T11" s="83">
        <f>$G$47-(SUM($G$54:T54))</f>
        <v>1429014.1425901428</v>
      </c>
      <c r="U11" s="83">
        <f>$G$47-(SUM($G$54:U54))</f>
        <v>1422815.8285080418</v>
      </c>
      <c r="V11" s="83">
        <f>$G$47-(SUM($G$54:V54))</f>
        <v>1420237.6948995739</v>
      </c>
      <c r="W11" s="83">
        <f>$G$47-(SUM($G$54:W54))</f>
        <v>1419201.9577111006</v>
      </c>
      <c r="X11" s="83">
        <f>$G$47-(SUM($G$54:X54))</f>
        <v>1418799.6231698394</v>
      </c>
      <c r="Y11" s="83">
        <f>$G$47-(SUM($G$54:Y54))</f>
        <v>1418648.353462033</v>
      </c>
      <c r="Z11" s="83">
        <f>$G$47-(SUM($G$54:Z54))</f>
        <v>1418593.2553883642</v>
      </c>
      <c r="AA11" s="83">
        <f>$G$47-(SUM($G$54:AA54))</f>
        <v>1418573.7973448262</v>
      </c>
      <c r="AB11" s="83">
        <f>$G$47-(SUM($G$54:AB54))</f>
        <v>1418567.1297502741</v>
      </c>
      <c r="AC11" s="83">
        <f>$G$47-(SUM($G$54:AC54))</f>
        <v>1418564.9112996534</v>
      </c>
      <c r="AD11" s="83">
        <f>$G$47-(SUM($G$54:AD54))</f>
        <v>1418564.1941301152</v>
      </c>
      <c r="AE11" s="83">
        <f>$G$47-(SUM($G$54:AE54))</f>
        <v>1418563.9687339142</v>
      </c>
      <c r="AF11" s="83">
        <f>$G$47-(SUM($G$54:AF54))</f>
        <v>1418563.8998262137</v>
      </c>
      <c r="AG11" s="83">
        <f>$G$47-(SUM($G$54:AG54))</f>
        <v>1418563.8793233931</v>
      </c>
      <c r="AH11" s="83">
        <f>$G$47-(SUM($G$54:AH54))</f>
        <v>1418563.8733832315</v>
      </c>
      <c r="AI11" s="83">
        <f>$G$47-(SUM($G$54:AI54))</f>
        <v>1418563.8717066571</v>
      </c>
      <c r="AJ11" s="83">
        <f>$G$47-(SUM($G$54:AJ54))</f>
        <v>1418563.8712454662</v>
      </c>
      <c r="AK11" s="83" t="e">
        <f>$G$47-(SUM($G$54:AK54))</f>
        <v>#REF!</v>
      </c>
      <c r="AL11" s="83" t="e">
        <f>$G$47-(SUM($G$54:AL54))</f>
        <v>#REF!</v>
      </c>
    </row>
    <row r="12" spans="1:38">
      <c r="A12" s="1"/>
      <c r="B12" s="7">
        <v>2005</v>
      </c>
      <c r="C12" s="83"/>
      <c r="D12" s="83"/>
      <c r="E12" s="83"/>
      <c r="F12" s="83"/>
      <c r="G12" s="83"/>
      <c r="H12" s="83">
        <f>$H$47-(SUM($H$55:H55))</f>
        <v>31745449.237963092</v>
      </c>
      <c r="I12" s="83">
        <f>$H$47-(SUM($H$55:I55))</f>
        <v>24062625.904704258</v>
      </c>
      <c r="J12" s="83">
        <f>$H$47-(SUM($H$55:J55))</f>
        <v>17119153.540551338</v>
      </c>
      <c r="K12" s="83">
        <f>$H$47-(SUM($H$55:K55))</f>
        <v>11632737.739054427</v>
      </c>
      <c r="L12" s="83">
        <f>$H$47-(SUM($H$55:L55))</f>
        <v>7695356.7824555412</v>
      </c>
      <c r="M12" s="83">
        <f>$H$47-(SUM($H$55:M55))</f>
        <v>5079763.4710899442</v>
      </c>
      <c r="N12" s="83">
        <f>$H$47-(SUM($H$55:N55))</f>
        <v>3453130.3309613019</v>
      </c>
      <c r="O12" s="83">
        <f>$H$47-(SUM($H$55:O55))</f>
        <v>2498930.5791303217</v>
      </c>
      <c r="P12" s="83">
        <f>$H$47-(SUM($H$55:P55))</f>
        <v>1968082.4728267118</v>
      </c>
      <c r="Q12" s="83">
        <f>$H$47-(SUM($H$55:Q55))</f>
        <v>1686851.1526194587</v>
      </c>
      <c r="R12" s="83">
        <f>$H$47-(SUM($H$55:R55))</f>
        <v>1544512.175443776</v>
      </c>
      <c r="S12" s="83">
        <f>$H$47-(SUM($H$55:S55))</f>
        <v>1475505.2930553034</v>
      </c>
      <c r="T12" s="83">
        <f>$H$47-(SUM($H$55:T55))</f>
        <v>1443389.3799393028</v>
      </c>
      <c r="U12" s="83">
        <f>$H$47-(SUM($H$55:U55))</f>
        <v>1429014.1425901428</v>
      </c>
      <c r="V12" s="83">
        <f>$H$47-(SUM($H$55:V55))</f>
        <v>1422815.8285080418</v>
      </c>
      <c r="W12" s="83">
        <f>$H$47-(SUM($H$55:W55))</f>
        <v>1420237.6948995739</v>
      </c>
      <c r="X12" s="83">
        <f>$H$47-(SUM($H$55:X55))</f>
        <v>1419201.9577111006</v>
      </c>
      <c r="Y12" s="83">
        <f>$H$47-(SUM($H$55:Y55))</f>
        <v>1418799.6231698394</v>
      </c>
      <c r="Z12" s="83">
        <f>$H$47-(SUM($H$55:Z55))</f>
        <v>1418648.353462033</v>
      </c>
      <c r="AA12" s="83">
        <f>$H$47-(SUM($H$55:AA55))</f>
        <v>1418593.2553883642</v>
      </c>
      <c r="AB12" s="83">
        <f>$H$47-(SUM($H$55:AB55))</f>
        <v>1418573.7973448262</v>
      </c>
      <c r="AC12" s="83">
        <f>$H$47-(SUM($H$55:AC55))</f>
        <v>1418567.1297502741</v>
      </c>
      <c r="AD12" s="83">
        <f>$H$47-(SUM($H$55:AD55))</f>
        <v>1418564.9112996534</v>
      </c>
      <c r="AE12" s="83">
        <f>$H$47-(SUM($H$55:AE55))</f>
        <v>1418564.1941301152</v>
      </c>
      <c r="AF12" s="83">
        <f>$H$47-(SUM($H$55:AF55))</f>
        <v>1418563.9687339142</v>
      </c>
      <c r="AG12" s="83">
        <f>$H$47-(SUM($H$55:AG55))</f>
        <v>1418563.8998262137</v>
      </c>
      <c r="AH12" s="83">
        <f>$H$47-(SUM($H$55:AH55))</f>
        <v>1418563.8793233931</v>
      </c>
      <c r="AI12" s="83">
        <f>$H$47-(SUM($H$55:AI55))</f>
        <v>1418563.8733832315</v>
      </c>
      <c r="AJ12" s="83">
        <f>$H$47-(SUM($H$55:AJ55))</f>
        <v>1418563.8717066571</v>
      </c>
      <c r="AK12" s="83">
        <f>$H$47-(SUM($H$55:AK55))</f>
        <v>1418563.8712454662</v>
      </c>
      <c r="AL12" s="83" t="e">
        <f>$H$47-(SUM($H$55:AL55))</f>
        <v>#REF!</v>
      </c>
    </row>
    <row r="13" spans="1:38">
      <c r="A13" s="1"/>
      <c r="B13" s="7">
        <v>2006</v>
      </c>
      <c r="C13" s="83"/>
      <c r="D13" s="83"/>
      <c r="E13" s="83"/>
      <c r="F13" s="83"/>
      <c r="G13" s="83"/>
      <c r="H13" s="83"/>
      <c r="I13" s="83">
        <f>$I$47-(SUM($I$56:I56))</f>
        <v>31745449.237963092</v>
      </c>
      <c r="J13" s="83">
        <f>$I$47-(SUM($I$56:J56))</f>
        <v>24062625.904704258</v>
      </c>
      <c r="K13" s="83">
        <f>$I$47-(SUM($I$56:K56))</f>
        <v>17119153.540551338</v>
      </c>
      <c r="L13" s="83">
        <f>$I$47-(SUM($I$56:L56))</f>
        <v>11632737.739054427</v>
      </c>
      <c r="M13" s="83">
        <f>$I$47-(SUM($I$56:M56))</f>
        <v>7695356.7824555412</v>
      </c>
      <c r="N13" s="83">
        <f>$I$47-(SUM($I$56:N56))</f>
        <v>5079763.4710899442</v>
      </c>
      <c r="O13" s="83">
        <f>$I$47-(SUM($I$56:O56))</f>
        <v>3453130.3309613019</v>
      </c>
      <c r="P13" s="83">
        <f>$I$47-(SUM($I$56:P56))</f>
        <v>2498930.5791303217</v>
      </c>
      <c r="Q13" s="83">
        <f>$I$47-(SUM($I$56:Q56))</f>
        <v>1968082.4728267118</v>
      </c>
      <c r="R13" s="83">
        <f>$I$47-(SUM($I$56:R56))</f>
        <v>1686851.1526194587</v>
      </c>
      <c r="S13" s="83">
        <f>$I$47-(SUM($I$56:S56))</f>
        <v>1544512.175443776</v>
      </c>
      <c r="T13" s="83">
        <f>$I$47-(SUM($I$56:T56))</f>
        <v>1475505.2930553034</v>
      </c>
      <c r="U13" s="83">
        <f>$I$47-(SUM($I$56:U56))</f>
        <v>1443389.3799393028</v>
      </c>
      <c r="V13" s="83">
        <f>$I$47-(SUM($I$56:V56))</f>
        <v>1429014.1425901428</v>
      </c>
      <c r="W13" s="83">
        <f>$I$47-(SUM($I$56:W56))</f>
        <v>1422815.8285080418</v>
      </c>
      <c r="X13" s="83">
        <f>$I$47-(SUM($I$56:X56))</f>
        <v>1420237.6948995739</v>
      </c>
      <c r="Y13" s="83">
        <f>$I$47-(SUM($I$56:Y56))</f>
        <v>1419201.9577111006</v>
      </c>
      <c r="Z13" s="83">
        <f>$I$47-(SUM($I$56:Z56))</f>
        <v>1418799.6231698394</v>
      </c>
      <c r="AA13" s="83">
        <f>$I$47-(SUM($I$56:AA56))</f>
        <v>1418648.353462033</v>
      </c>
      <c r="AB13" s="83">
        <f>$I$47-(SUM($I$56:AB56))</f>
        <v>1418593.2553883642</v>
      </c>
      <c r="AC13" s="83">
        <f>$I$47-(SUM($I$56:AC56))</f>
        <v>1418573.7973448262</v>
      </c>
      <c r="AD13" s="83">
        <f>$I$47-(SUM($I$56:AD56))</f>
        <v>1418567.1297502741</v>
      </c>
      <c r="AE13" s="83">
        <f>$I$47-(SUM($I$56:AE56))</f>
        <v>1418564.9112996534</v>
      </c>
      <c r="AF13" s="83">
        <f>$I$47-(SUM($I$56:AF56))</f>
        <v>1418564.1941301152</v>
      </c>
      <c r="AG13" s="83">
        <f>$I$47-(SUM($I$56:AG56))</f>
        <v>1418563.9687339142</v>
      </c>
      <c r="AH13" s="83">
        <f>$I$47-(SUM($I$56:AH56))</f>
        <v>1418563.8998262137</v>
      </c>
      <c r="AI13" s="83">
        <f>$I$47-(SUM($I$56:AI56))</f>
        <v>1418563.8793233931</v>
      </c>
      <c r="AJ13" s="83">
        <f>$I$47-(SUM($I$56:AJ56))</f>
        <v>1418563.8733832315</v>
      </c>
      <c r="AK13" s="83">
        <f>$I$47-(SUM($I$56:AK56))</f>
        <v>1418563.8717066571</v>
      </c>
      <c r="AL13" s="83">
        <f>$I$47-(SUM($I$56:AL56))</f>
        <v>1418563.8712454662</v>
      </c>
    </row>
    <row r="14" spans="1:38">
      <c r="A14" s="1"/>
      <c r="B14" s="7">
        <v>2007</v>
      </c>
      <c r="C14" s="83"/>
      <c r="D14" s="83"/>
      <c r="E14" s="83"/>
      <c r="F14" s="83"/>
      <c r="G14" s="83"/>
      <c r="H14" s="83"/>
      <c r="I14" s="83"/>
      <c r="J14" s="83">
        <f>$J$47-(SUM($J$57:J57))</f>
        <v>0</v>
      </c>
      <c r="K14" s="83">
        <f>$J$47-(SUM($J$57:K57))</f>
        <v>0</v>
      </c>
      <c r="L14" s="83">
        <f>$J$47-(SUM($J$57:L57))</f>
        <v>0</v>
      </c>
      <c r="M14" s="83">
        <f>$J$47-(SUM($J$57:M57))</f>
        <v>0</v>
      </c>
      <c r="N14" s="83">
        <f>$J$47-(SUM($J$57:N57))</f>
        <v>0</v>
      </c>
      <c r="O14" s="83">
        <f>$J$47-(SUM($J$57:O57))</f>
        <v>0</v>
      </c>
      <c r="P14" s="83">
        <f>$J$47-(SUM($J$57:P57))</f>
        <v>0</v>
      </c>
      <c r="Q14" s="83">
        <f>$J$47-(SUM($J$57:Q57))</f>
        <v>0</v>
      </c>
      <c r="R14" s="83">
        <f>$J$47-(SUM($J$57:R57))</f>
        <v>0</v>
      </c>
      <c r="S14" s="83">
        <f>$J$47-(SUM($J$57:S57))</f>
        <v>0</v>
      </c>
      <c r="T14" s="83">
        <f>$J$47-(SUM($J$57:T57))</f>
        <v>0</v>
      </c>
      <c r="U14" s="83">
        <f>$J$47-(SUM($J$57:U57))</f>
        <v>0</v>
      </c>
      <c r="V14" s="83">
        <f>$J$47-(SUM($J$57:V57))</f>
        <v>0</v>
      </c>
      <c r="W14" s="83">
        <f>$J$47-(SUM($J$57:W57))</f>
        <v>0</v>
      </c>
      <c r="X14" s="83">
        <f>$J$47-(SUM($J$57:X57))</f>
        <v>0</v>
      </c>
      <c r="Y14" s="83">
        <f>$J$47-(SUM($J$57:Y57))</f>
        <v>0</v>
      </c>
      <c r="Z14" s="83">
        <f>$J$47-(SUM($J$57:Z57))</f>
        <v>0</v>
      </c>
      <c r="AA14" s="83">
        <f>$J$47-(SUM($J$57:AA57))</f>
        <v>0</v>
      </c>
      <c r="AB14" s="83">
        <f>$J$47-(SUM($J$57:AB57))</f>
        <v>0</v>
      </c>
      <c r="AC14" s="83">
        <f>$J$47-(SUM($J$57:AC57))</f>
        <v>0</v>
      </c>
      <c r="AD14" s="83">
        <f>$J$47-(SUM($J$57:AD57))</f>
        <v>0</v>
      </c>
      <c r="AE14" s="83">
        <f>$J$47-(SUM($J$57:AE57))</f>
        <v>0</v>
      </c>
      <c r="AF14" s="83">
        <f>$J$47-(SUM($J$57:AF57))</f>
        <v>0</v>
      </c>
      <c r="AG14" s="83">
        <f>$J$47-(SUM($J$57:AG57))</f>
        <v>0</v>
      </c>
      <c r="AH14" s="83">
        <f>$J$47-(SUM($J$57:AH57))</f>
        <v>0</v>
      </c>
      <c r="AI14" s="83">
        <f>$J$47-(SUM($J$57:AI57))</f>
        <v>0</v>
      </c>
      <c r="AJ14" s="83">
        <f>$J$47-(SUM($J$57:AJ57))</f>
        <v>0</v>
      </c>
      <c r="AK14" s="83">
        <f>$J$47-(SUM($J$57:AK57))</f>
        <v>0</v>
      </c>
      <c r="AL14" s="83">
        <f>$J$47-(SUM($J$57:AL57))</f>
        <v>0</v>
      </c>
    </row>
    <row r="15" spans="1:38">
      <c r="A15" s="1"/>
      <c r="B15" s="7">
        <v>2008</v>
      </c>
      <c r="C15" s="83"/>
      <c r="D15" s="83"/>
      <c r="E15" s="83"/>
      <c r="F15" s="83"/>
      <c r="G15" s="83"/>
      <c r="H15" s="83"/>
      <c r="I15" s="83"/>
      <c r="J15" s="83"/>
      <c r="K15" s="83">
        <f>$K$47-(SUM($K$58:K58))</f>
        <v>0</v>
      </c>
      <c r="L15" s="83">
        <f>$K$47-(SUM($K$58:L58))</f>
        <v>0</v>
      </c>
      <c r="M15" s="83">
        <f>$K$47-(SUM($K$58:M58))</f>
        <v>0</v>
      </c>
      <c r="N15" s="83">
        <f>$K$47-(SUM($K$58:N58))</f>
        <v>0</v>
      </c>
      <c r="O15" s="83">
        <f>$K$47-(SUM($K$58:O58))</f>
        <v>0</v>
      </c>
      <c r="P15" s="83">
        <f>$K$47-(SUM($K$58:P58))</f>
        <v>0</v>
      </c>
      <c r="Q15" s="83">
        <f>$K$47-(SUM($K$58:Q58))</f>
        <v>0</v>
      </c>
      <c r="R15" s="83">
        <f>$K$47-(SUM($K$58:R58))</f>
        <v>0</v>
      </c>
      <c r="S15" s="83">
        <f>$K$47-(SUM($K$58:S58))</f>
        <v>0</v>
      </c>
      <c r="T15" s="83">
        <f>$K$47-(SUM($K$58:T58))</f>
        <v>0</v>
      </c>
      <c r="U15" s="83">
        <f>$K$47-(SUM($K$58:U58))</f>
        <v>0</v>
      </c>
      <c r="V15" s="83">
        <f>$K$47-(SUM($K$58:V58))</f>
        <v>0</v>
      </c>
      <c r="W15" s="83">
        <f>$K$47-(SUM($K$58:W58))</f>
        <v>0</v>
      </c>
      <c r="X15" s="83">
        <f>$K$47-(SUM($K$58:X58))</f>
        <v>0</v>
      </c>
      <c r="Y15" s="83">
        <f>$K$47-(SUM($K$58:Y58))</f>
        <v>0</v>
      </c>
      <c r="Z15" s="83">
        <f>$K$47-(SUM($K$58:Z58))</f>
        <v>0</v>
      </c>
      <c r="AA15" s="83">
        <f>$K$47-(SUM($K$58:AA58))</f>
        <v>0</v>
      </c>
      <c r="AB15" s="83">
        <f>$K$47-(SUM($K$58:AB58))</f>
        <v>0</v>
      </c>
      <c r="AC15" s="83">
        <f>$K$47-(SUM($K$58:AC58))</f>
        <v>0</v>
      </c>
      <c r="AD15" s="83">
        <f>$K$47-(SUM($K$58:AD58))</f>
        <v>0</v>
      </c>
      <c r="AE15" s="83">
        <f>$K$47-(SUM($K$58:AE58))</f>
        <v>0</v>
      </c>
      <c r="AF15" s="83">
        <f>$K$47-(SUM($K$58:AF58))</f>
        <v>0</v>
      </c>
      <c r="AG15" s="83">
        <f>$K$47-(SUM($K$58:AG58))</f>
        <v>0</v>
      </c>
      <c r="AH15" s="83">
        <f>$K$47-(SUM($K$58:AH58))</f>
        <v>0</v>
      </c>
      <c r="AI15" s="83">
        <f>$K$47-(SUM($K$58:AI58))</f>
        <v>0</v>
      </c>
      <c r="AJ15" s="83">
        <f>$K$47-(SUM($K$58:AJ58))</f>
        <v>0</v>
      </c>
      <c r="AK15" s="83">
        <f>$K$47-(SUM($K$58:AK58))</f>
        <v>0</v>
      </c>
      <c r="AL15" s="83">
        <f>$K$47-(SUM($K$58:AL58))</f>
        <v>0</v>
      </c>
    </row>
    <row r="16" spans="1:38">
      <c r="A16" s="1"/>
      <c r="B16" s="7">
        <v>2009</v>
      </c>
      <c r="C16" s="83"/>
      <c r="D16" s="83"/>
      <c r="E16" s="83"/>
      <c r="F16" s="83"/>
      <c r="G16" s="83"/>
      <c r="H16" s="83"/>
      <c r="I16" s="83"/>
      <c r="J16" s="83"/>
      <c r="K16" s="83"/>
      <c r="L16" s="83">
        <f>$L$47-(SUM($L$59:L59))</f>
        <v>38269912.81973169</v>
      </c>
      <c r="M16" s="83">
        <f>$L$47-(SUM($L$59:M59))</f>
        <v>29008082.030403681</v>
      </c>
      <c r="N16" s="83">
        <f>$L$47-(SUM($L$59:N59))</f>
        <v>20637556.855268419</v>
      </c>
      <c r="O16" s="83">
        <f>$L$47-(SUM($L$59:O59))</f>
        <v>14023548.880701881</v>
      </c>
      <c r="P16" s="83">
        <f>$L$47-(SUM($L$59:P59))</f>
        <v>9276940.1678248495</v>
      </c>
      <c r="Q16" s="83">
        <f>$L$47-(SUM($L$59:Q59))</f>
        <v>6123778.6785197631</v>
      </c>
      <c r="R16" s="83">
        <f>$L$47-(SUM($L$59:R59))</f>
        <v>4162832.7805494145</v>
      </c>
      <c r="S16" s="83">
        <f>$L$47-(SUM($L$59:S59))</f>
        <v>3012521.7220588028</v>
      </c>
      <c r="T16" s="83">
        <f>$L$47-(SUM($L$59:T59))</f>
        <v>2372571.3910216093</v>
      </c>
      <c r="U16" s="83">
        <f>$L$47-(SUM($L$59:U59))</f>
        <v>2033540.1797814444</v>
      </c>
      <c r="V16" s="83">
        <f>$L$47-(SUM($L$59:V59))</f>
        <v>1861947.0734268874</v>
      </c>
      <c r="W16" s="83">
        <f>$L$47-(SUM($L$59:W59))</f>
        <v>1778757.5947342962</v>
      </c>
      <c r="X16" s="83">
        <f>$L$47-(SUM($L$59:X59))</f>
        <v>1740041.0786799043</v>
      </c>
      <c r="Y16" s="83">
        <f>$L$47-(SUM($L$59:Y59))</f>
        <v>1722711.3796735555</v>
      </c>
      <c r="Z16" s="83">
        <f>$L$47-(SUM($L$59:Z59))</f>
        <v>1715239.160969913</v>
      </c>
      <c r="AA16" s="83">
        <f>$L$47-(SUM($L$59:AA59))</f>
        <v>1712131.1580654979</v>
      </c>
      <c r="AB16" s="83">
        <f>$L$47-(SUM($L$59:AB59))</f>
        <v>1710882.5516397431</v>
      </c>
      <c r="AC16" s="83">
        <f>$L$47-(SUM($L$59:AC59))</f>
        <v>1710397.5275437459</v>
      </c>
      <c r="AD16" s="83">
        <f>$L$47-(SUM($L$59:AD59))</f>
        <v>1710215.1682239324</v>
      </c>
      <c r="AE16" s="83">
        <f>$L$47-(SUM($L$59:AE59))</f>
        <v>1710148.7461531609</v>
      </c>
      <c r="AF16" s="83">
        <f>$L$47-(SUM($L$59:AF59))</f>
        <v>1710125.289007403</v>
      </c>
      <c r="AG16" s="83">
        <f>$L$47-(SUM($L$59:AG59))</f>
        <v>1710117.2510596588</v>
      </c>
      <c r="AH16" s="83">
        <f>$L$47-(SUM($L$59:AH59))</f>
        <v>1710114.57666336</v>
      </c>
      <c r="AI16" s="83">
        <f>$L$47-(SUM($L$59:AI59))</f>
        <v>1710113.712097995</v>
      </c>
      <c r="AJ16" s="83">
        <f>$L$47-(SUM($L$59:AJ59))</f>
        <v>1710113.4403773844</v>
      </c>
      <c r="AK16" s="83">
        <f>$L$47-(SUM($L$59:AK59))</f>
        <v>1710113.3573074713</v>
      </c>
      <c r="AL16" s="83">
        <f>$L$47-(SUM($L$59:AL59))</f>
        <v>1710113.3325908259</v>
      </c>
    </row>
    <row r="17" spans="1:38">
      <c r="A17" s="1"/>
      <c r="B17" s="7">
        <v>2010</v>
      </c>
      <c r="C17" s="83"/>
      <c r="D17" s="83"/>
      <c r="E17" s="83"/>
      <c r="F17" s="83"/>
      <c r="G17" s="83"/>
      <c r="H17" s="83"/>
      <c r="I17" s="83"/>
      <c r="J17" s="83"/>
      <c r="K17" s="83"/>
      <c r="L17" s="83"/>
      <c r="M17" s="83">
        <f>$M$47-(SUM($M$60:M60))</f>
        <v>40725156.834618561</v>
      </c>
      <c r="N17" s="83">
        <f>$M$47-(SUM($M$60:N60))</f>
        <v>30869124.153075419</v>
      </c>
      <c r="O17" s="83">
        <f>$M$47-(SUM($M$60:O60))</f>
        <v>21961579.676785272</v>
      </c>
      <c r="P17" s="83">
        <f>$M$47-(SUM($M$60:P60))</f>
        <v>14923243.495084807</v>
      </c>
      <c r="Q17" s="83">
        <f>$M$47-(SUM($M$60:Q60))</f>
        <v>9872111.4171246812</v>
      </c>
      <c r="R17" s="83">
        <f>$M$47-(SUM($M$60:R60))</f>
        <v>6516655.7414948121</v>
      </c>
      <c r="S17" s="83">
        <f>$M$47-(SUM($M$60:S60))</f>
        <v>4429903.4247278646</v>
      </c>
      <c r="T17" s="83">
        <f>$M$47-(SUM($M$60:T60))</f>
        <v>3205793.0253576264</v>
      </c>
      <c r="U17" s="83">
        <f>$M$47-(SUM($M$60:U60))</f>
        <v>2524786.0494436845</v>
      </c>
      <c r="V17" s="83">
        <f>$M$47-(SUM($M$60:V60))</f>
        <v>2164003.9563507661</v>
      </c>
      <c r="W17" s="83">
        <f>$M$47-(SUM($M$60:W60))</f>
        <v>1981402.1249605045</v>
      </c>
      <c r="X17" s="83">
        <f>$M$47-(SUM($M$60:X60))</f>
        <v>1892875.5431858227</v>
      </c>
      <c r="Y17" s="83">
        <f>$M$47-(SUM($M$60:Y60))</f>
        <v>1851675.1308453977</v>
      </c>
      <c r="Z17" s="83">
        <f>$M$47-(SUM($M$60:Z60))</f>
        <v>1833233.6279014349</v>
      </c>
      <c r="AA17" s="83">
        <f>$M$47-(SUM($M$60:AA60))</f>
        <v>1825282.0216346085</v>
      </c>
      <c r="AB17" s="83">
        <f>$M$47-(SUM($M$60:AB60))</f>
        <v>1821974.6217374355</v>
      </c>
      <c r="AC17" s="83">
        <f>$M$47-(SUM($M$60:AC60))</f>
        <v>1820645.9097345322</v>
      </c>
      <c r="AD17" s="83">
        <f>$M$47-(SUM($M$60:AD60))</f>
        <v>1820129.7684391215</v>
      </c>
      <c r="AE17" s="83">
        <f>$M$47-(SUM($M$60:AE60))</f>
        <v>1819935.7096772268</v>
      </c>
      <c r="AF17" s="83">
        <f>$M$47-(SUM($M$60:AF60))</f>
        <v>1819865.0262329727</v>
      </c>
      <c r="AG17" s="83">
        <f>$M$47-(SUM($M$60:AG60))</f>
        <v>1819840.0641708821</v>
      </c>
      <c r="AH17" s="83">
        <f>$M$47-(SUM($M$60:AH60))</f>
        <v>1819831.5105406716</v>
      </c>
      <c r="AI17" s="83">
        <f>$M$47-(SUM($M$60:AI60))</f>
        <v>1819828.6645658389</v>
      </c>
      <c r="AJ17" s="83">
        <f>$M$47-(SUM($M$60:AJ60))</f>
        <v>1819827.7445334345</v>
      </c>
      <c r="AK17" s="83">
        <f>$M$47-(SUM($M$60:AK60))</f>
        <v>1819827.4553803131</v>
      </c>
      <c r="AL17" s="83">
        <f>$M$47-(SUM($M$60:AL60))</f>
        <v>1819827.3669809699</v>
      </c>
    </row>
    <row r="18" spans="1:38">
      <c r="A18" s="1"/>
      <c r="B18" s="7">
        <v>2011</v>
      </c>
      <c r="C18" s="83"/>
      <c r="D18" s="83"/>
      <c r="E18" s="83"/>
      <c r="F18" s="83"/>
      <c r="G18" s="83"/>
      <c r="H18" s="83"/>
      <c r="I18" s="83"/>
      <c r="J18" s="83"/>
      <c r="K18" s="83"/>
      <c r="L18" s="83"/>
      <c r="M18" s="83"/>
      <c r="N18" s="83">
        <f>$N$47-(SUM($N$61:N61))</f>
        <v>37121195.528841197</v>
      </c>
      <c r="O18" s="83">
        <f>$N$47-(SUM($N$61:O61))</f>
        <v>28137369.688808955</v>
      </c>
      <c r="P18" s="83">
        <f>$N$47-(SUM($N$61:P61))</f>
        <v>20018095.856936604</v>
      </c>
      <c r="Q18" s="83">
        <f>$N$47-(SUM($N$61:Q61))</f>
        <v>13602615.25707981</v>
      </c>
      <c r="R18" s="83">
        <f>$N$47-(SUM($N$61:R61))</f>
        <v>8998481.6924284101</v>
      </c>
      <c r="S18" s="83">
        <f>$N$47-(SUM($N$61:S61))</f>
        <v>5939966.1235568598</v>
      </c>
      <c r="T18" s="83">
        <f>$N$47-(SUM($N$61:T61))</f>
        <v>4037880.3664525226</v>
      </c>
      <c r="U18" s="83">
        <f>$N$47-(SUM($N$61:U61))</f>
        <v>2922097.2727632746</v>
      </c>
      <c r="V18" s="83">
        <f>$N$47-(SUM($N$61:V61))</f>
        <v>2301355.8177440688</v>
      </c>
      <c r="W18" s="83">
        <f>$N$47-(SUM($N$61:W61))</f>
        <v>1972501.0345594808</v>
      </c>
      <c r="X18" s="83">
        <f>$N$47-(SUM($N$61:X61))</f>
        <v>1806058.5009066612</v>
      </c>
      <c r="Y18" s="83">
        <f>$N$47-(SUM($N$61:Y61))</f>
        <v>1725366.0541003048</v>
      </c>
      <c r="Z18" s="83">
        <f>$N$47-(SUM($N$61:Z61))</f>
        <v>1687811.6606680378</v>
      </c>
      <c r="AA18" s="83">
        <f>$N$47-(SUM($N$61:AA61))</f>
        <v>1671002.1333429813</v>
      </c>
      <c r="AB18" s="83">
        <f>$N$47-(SUM($N$61:AB61))</f>
        <v>1663754.2022374496</v>
      </c>
      <c r="AC18" s="83">
        <f>$N$47-(SUM($N$61:AC61))</f>
        <v>1660739.4897644296</v>
      </c>
      <c r="AD18" s="83">
        <f>$N$47-(SUM($N$61:AD61))</f>
        <v>1659528.3617567047</v>
      </c>
      <c r="AE18" s="83">
        <f>$N$47-(SUM($N$61:AE61))</f>
        <v>1659057.8962401375</v>
      </c>
      <c r="AF18" s="83">
        <f>$N$47-(SUM($N$61:AF61))</f>
        <v>1658881.0106538236</v>
      </c>
      <c r="AG18" s="83">
        <f>$N$47-(SUM($N$61:AG61))</f>
        <v>1658816.5823210999</v>
      </c>
      <c r="AH18" s="83">
        <f>$N$47-(SUM($N$61:AH61))</f>
        <v>1658793.8292696774</v>
      </c>
      <c r="AI18" s="83">
        <f>$N$47-(SUM($N$61:AI61))</f>
        <v>1658786.0325905681</v>
      </c>
      <c r="AJ18" s="83">
        <f>$N$47-(SUM($N$61:AJ61))</f>
        <v>1658783.438469477</v>
      </c>
      <c r="AK18" s="83">
        <f>$N$47-(SUM($N$61:AK61))</f>
        <v>1658782.5998550802</v>
      </c>
      <c r="AL18" s="83">
        <f>$N$47-(SUM($N$61:AL61))</f>
        <v>1658782.3362904862</v>
      </c>
    </row>
    <row r="19" spans="1:38">
      <c r="A19" s="1"/>
      <c r="B19" s="7">
        <v>2012</v>
      </c>
      <c r="C19" s="83"/>
      <c r="D19" s="83"/>
      <c r="E19" s="83"/>
      <c r="F19" s="83"/>
      <c r="G19" s="83"/>
      <c r="H19" s="83"/>
      <c r="I19" s="83"/>
      <c r="J19" s="83"/>
      <c r="K19" s="83"/>
      <c r="L19" s="83"/>
      <c r="M19" s="83"/>
      <c r="N19" s="83"/>
      <c r="O19" s="83">
        <f>$O$47-(SUM($O$62:O62))</f>
        <v>36005638.592341676</v>
      </c>
      <c r="P19" s="83">
        <f>$O$47-(SUM($O$62:P62))</f>
        <v>27291792.452299569</v>
      </c>
      <c r="Q19" s="83">
        <f>$O$47-(SUM($O$62:Q62))</f>
        <v>19416517.01847038</v>
      </c>
      <c r="R19" s="83">
        <f>$O$47-(SUM($O$62:R62))</f>
        <v>13193832.846158274</v>
      </c>
      <c r="S19" s="83">
        <f>$O$47-(SUM($O$62:S62))</f>
        <v>8728061.5584067777</v>
      </c>
      <c r="T19" s="83">
        <f>$O$47-(SUM($O$62:T62))</f>
        <v>5761459.7387999967</v>
      </c>
      <c r="U19" s="83">
        <f>$O$47-(SUM($O$62:U62))</f>
        <v>3916534.9898454696</v>
      </c>
      <c r="V19" s="83">
        <f>$O$47-(SUM($O$62:V62))</f>
        <v>2834283.1322077885</v>
      </c>
      <c r="W19" s="83">
        <f>$O$47-(SUM($O$62:W62))</f>
        <v>2232196.0450249165</v>
      </c>
      <c r="X19" s="83">
        <f>$O$47-(SUM($O$62:X62))</f>
        <v>1913223.9240029082</v>
      </c>
      <c r="Y19" s="83">
        <f>$O$47-(SUM($O$62:Y62))</f>
        <v>1751783.2799794376</v>
      </c>
      <c r="Z19" s="83">
        <f>$O$47-(SUM($O$62:Z62))</f>
        <v>1673515.7825173959</v>
      </c>
      <c r="AA19" s="83">
        <f>$O$47-(SUM($O$62:AA62))</f>
        <v>1637089.9643772915</v>
      </c>
      <c r="AB19" s="83">
        <f>$O$47-(SUM($O$62:AB62))</f>
        <v>1620785.5927871093</v>
      </c>
      <c r="AC19" s="83">
        <f>$O$47-(SUM($O$62:AC62))</f>
        <v>1613755.4747046977</v>
      </c>
      <c r="AD19" s="83">
        <f>$O$47-(SUM($O$62:AD62))</f>
        <v>1610831.359621197</v>
      </c>
      <c r="AE19" s="83">
        <f>$O$47-(SUM($O$62:AE62))</f>
        <v>1609656.6281311736</v>
      </c>
      <c r="AF19" s="83">
        <f>$O$47-(SUM($O$62:AF62))</f>
        <v>1609200.3009273186</v>
      </c>
      <c r="AG19" s="83">
        <f>$O$47-(SUM($O$62:AG62))</f>
        <v>1609028.7310626581</v>
      </c>
      <c r="AH19" s="83">
        <f>$O$47-(SUM($O$62:AH62))</f>
        <v>1608966.2389141694</v>
      </c>
      <c r="AI19" s="83">
        <f>$O$47-(SUM($O$62:AI62))</f>
        <v>1608944.1696317941</v>
      </c>
      <c r="AJ19" s="83">
        <f>$O$47-(SUM($O$62:AJ62))</f>
        <v>1608936.6072565466</v>
      </c>
      <c r="AK19" s="83">
        <f>$O$47-(SUM($O$62:AK62))</f>
        <v>1608934.091093339</v>
      </c>
      <c r="AL19" s="83">
        <f>$O$47-(SUM($O$62:AL62))</f>
        <v>1608933.2776807696</v>
      </c>
    </row>
    <row r="20" spans="1:38">
      <c r="A20" s="1"/>
      <c r="B20" s="7">
        <v>2013</v>
      </c>
      <c r="C20" s="83"/>
      <c r="D20" s="83"/>
      <c r="E20" s="83"/>
      <c r="F20" s="83"/>
      <c r="G20" s="83"/>
      <c r="H20" s="83"/>
      <c r="I20" s="83"/>
      <c r="J20" s="83"/>
      <c r="K20" s="83"/>
      <c r="L20" s="83"/>
      <c r="M20" s="83"/>
      <c r="N20" s="83"/>
      <c r="O20" s="83"/>
      <c r="P20" s="83">
        <f>$P$47-(SUM($P$63:P63))</f>
        <v>36550469.802259527</v>
      </c>
      <c r="Q20" s="83">
        <f>$P$47-(SUM($P$63:Q63))</f>
        <v>27704767.221917342</v>
      </c>
      <c r="R20" s="83">
        <f>$P$47-(SUM($P$63:R63))</f>
        <v>19710324.457336739</v>
      </c>
      <c r="S20" s="83">
        <f>$P$47-(SUM($P$63:S63))</f>
        <v>13393479.684655264</v>
      </c>
      <c r="T20" s="83">
        <f>$P$47-(SUM($P$63:T63))</f>
        <v>8860133.1040039659</v>
      </c>
      <c r="U20" s="83">
        <f>$P$47-(SUM($P$63:U63))</f>
        <v>5848641.1693510264</v>
      </c>
      <c r="V20" s="83">
        <f>$P$47-(SUM($P$63:V63))</f>
        <v>3975799.3323381245</v>
      </c>
      <c r="W20" s="83">
        <f>$P$47-(SUM($P$63:W63))</f>
        <v>2877171.0233421251</v>
      </c>
      <c r="X20" s="83">
        <f>$P$47-(SUM($P$63:X63))</f>
        <v>2265973.2565820962</v>
      </c>
      <c r="Y20" s="83">
        <f>$P$47-(SUM($P$63:Y63))</f>
        <v>1942174.5035818592</v>
      </c>
      <c r="Z20" s="83">
        <f>$P$47-(SUM($P$63:Z63))</f>
        <v>1778290.9671434239</v>
      </c>
      <c r="AA20" s="83">
        <f>$P$47-(SUM($P$63:AA63))</f>
        <v>1698839.1391985342</v>
      </c>
      <c r="AB20" s="83">
        <f>$P$47-(SUM($P$63:AB63))</f>
        <v>1661862.1317629367</v>
      </c>
      <c r="AC20" s="83">
        <f>$P$47-(SUM($P$63:AC63))</f>
        <v>1645311.0451901108</v>
      </c>
      <c r="AD20" s="83">
        <f>$P$47-(SUM($P$63:AD63))</f>
        <v>1638174.548554495</v>
      </c>
      <c r="AE20" s="83">
        <f>$P$47-(SUM($P$63:AE63))</f>
        <v>1635206.1862580255</v>
      </c>
      <c r="AF20" s="83">
        <f>$P$47-(SUM($P$63:AF63))</f>
        <v>1634013.6789305508</v>
      </c>
      <c r="AG20" s="83">
        <f>$P$47-(SUM($P$63:AG63))</f>
        <v>1633550.446660921</v>
      </c>
      <c r="AH20" s="83">
        <f>$P$47-(SUM($P$63:AH63))</f>
        <v>1633376.2806302011</v>
      </c>
      <c r="AI20" s="83">
        <f>$P$47-(SUM($P$63:AI63))</f>
        <v>1633312.8428611308</v>
      </c>
      <c r="AJ20" s="83">
        <f>$P$47-(SUM($P$63:AJ63))</f>
        <v>1633290.439630121</v>
      </c>
      <c r="AK20" s="83">
        <f>$P$47-(SUM($P$63:AK63))</f>
        <v>1633282.7628222927</v>
      </c>
      <c r="AL20" s="83">
        <f>$P$47-(SUM($P$63:AL63))</f>
        <v>1633280.2085849345</v>
      </c>
    </row>
    <row r="21" spans="1:38">
      <c r="A21" s="1"/>
      <c r="B21" s="7">
        <v>2014</v>
      </c>
      <c r="C21" s="83"/>
      <c r="D21" s="83"/>
      <c r="E21" s="83"/>
      <c r="F21" s="83"/>
      <c r="G21" s="83"/>
      <c r="H21" s="83"/>
      <c r="I21" s="83"/>
      <c r="J21" s="83"/>
      <c r="K21" s="83"/>
      <c r="L21" s="83"/>
      <c r="M21" s="83"/>
      <c r="N21" s="83"/>
      <c r="O21" s="83"/>
      <c r="P21" s="83"/>
      <c r="Q21" s="83">
        <f>$Q$47-(SUM($Q$64:Q64))</f>
        <v>34065925.228475459</v>
      </c>
      <c r="R21" s="83">
        <f>$Q$47-(SUM($Q$64:R64))</f>
        <v>25821515.667517073</v>
      </c>
      <c r="S21" s="83">
        <f>$Q$47-(SUM($Q$64:S64))</f>
        <v>18370500.921745084</v>
      </c>
      <c r="T21" s="83">
        <f>$Q$47-(SUM($Q$64:T64))</f>
        <v>12483048.233168416</v>
      </c>
      <c r="U21" s="83">
        <f>$Q$47-(SUM($Q$64:U64))</f>
        <v>8257859.1593556032</v>
      </c>
      <c r="V21" s="83">
        <f>$Q$47-(SUM($Q$64:V64))</f>
        <v>5451075.5632196665</v>
      </c>
      <c r="W21" s="83">
        <f>$Q$47-(SUM($Q$64:W64))</f>
        <v>3705541.5022457615</v>
      </c>
      <c r="X21" s="83">
        <f>$Q$47-(SUM($Q$64:X64))</f>
        <v>2681593.2457494661</v>
      </c>
      <c r="Y21" s="83">
        <f>$Q$47-(SUM($Q$64:Y64))</f>
        <v>2111942.0884619877</v>
      </c>
      <c r="Z21" s="83">
        <f>$Q$47-(SUM($Q$64:Z64))</f>
        <v>1810153.7894755304</v>
      </c>
      <c r="AA21" s="83">
        <f>$Q$47-(SUM($Q$64:AA64))</f>
        <v>1657410.354748331</v>
      </c>
      <c r="AB21" s="83">
        <f>$Q$47-(SUM($Q$64:AB64))</f>
        <v>1583359.3221712038</v>
      </c>
      <c r="AC21" s="83">
        <f>$Q$47-(SUM($Q$64:AC64))</f>
        <v>1548895.8535129726</v>
      </c>
      <c r="AD21" s="83">
        <f>$Q$47-(SUM($Q$64:AD64))</f>
        <v>1533469.8389996067</v>
      </c>
      <c r="AE21" s="83">
        <f>$Q$47-(SUM($Q$64:AE64))</f>
        <v>1526818.4508752599</v>
      </c>
      <c r="AF21" s="83">
        <f>$Q$47-(SUM($Q$64:AF64))</f>
        <v>1524051.8651490137</v>
      </c>
      <c r="AG21" s="83">
        <f>$Q$47-(SUM($Q$64:AG64))</f>
        <v>1522940.4193680957</v>
      </c>
      <c r="AH21" s="83">
        <f>$Q$47-(SUM($Q$64:AH64))</f>
        <v>1522508.6756464392</v>
      </c>
      <c r="AI21" s="83">
        <f>$Q$47-(SUM($Q$64:AI64))</f>
        <v>1522346.3486773968</v>
      </c>
      <c r="AJ21" s="83">
        <f>$Q$47-(SUM($Q$64:AJ64))</f>
        <v>1522287.2231364772</v>
      </c>
      <c r="AK21" s="83">
        <f>$Q$47-(SUM($Q$64:AK64))</f>
        <v>1522266.3427812681</v>
      </c>
      <c r="AL21" s="83">
        <f>$Q$47-(SUM($Q$64:AL64))</f>
        <v>1522259.1878099963</v>
      </c>
    </row>
    <row r="22" spans="1:38">
      <c r="A22" s="1"/>
      <c r="B22" s="7">
        <v>2015</v>
      </c>
      <c r="C22" s="83"/>
      <c r="D22" s="83"/>
      <c r="E22" s="83"/>
      <c r="F22" s="83"/>
      <c r="G22" s="83"/>
      <c r="H22" s="83"/>
      <c r="I22" s="83"/>
      <c r="J22" s="83"/>
      <c r="K22" s="83"/>
      <c r="L22" s="83"/>
      <c r="M22" s="83"/>
      <c r="N22" s="83"/>
      <c r="O22" s="83"/>
      <c r="P22" s="83"/>
      <c r="Q22" s="83"/>
      <c r="R22" s="83">
        <f>$R$47-(SUM($R$65:R65))</f>
        <v>32376610.931588877</v>
      </c>
      <c r="S22" s="83">
        <f>$R$47-(SUM($R$65:S65))</f>
        <v>24541038.026241817</v>
      </c>
      <c r="T22" s="83">
        <f>$R$47-(SUM($R$65:T65))</f>
        <v>17459515.835036464</v>
      </c>
      <c r="U22" s="83">
        <f>$R$47-(SUM($R$65:U65))</f>
        <v>11864019.344107475</v>
      </c>
      <c r="V22" s="83">
        <f>$R$47-(SUM($R$65:V65))</f>
        <v>7848355.5440563373</v>
      </c>
      <c r="W22" s="83">
        <f>$R$47-(SUM($R$65:W65))</f>
        <v>5180759.1159018427</v>
      </c>
      <c r="X22" s="83">
        <f>$R$47-(SUM($R$65:X65))</f>
        <v>3521785.3237340525</v>
      </c>
      <c r="Y22" s="83">
        <f>$R$47-(SUM($R$65:Y65))</f>
        <v>2548614.2123576924</v>
      </c>
      <c r="Z22" s="83">
        <f>$R$47-(SUM($R$65:Z65))</f>
        <v>2007211.8062134609</v>
      </c>
      <c r="AA22" s="83">
        <f>$R$47-(SUM($R$65:AA65))</f>
        <v>1720389.0566636249</v>
      </c>
      <c r="AB22" s="83">
        <f>$R$47-(SUM($R$65:AB65))</f>
        <v>1575220.1018987224</v>
      </c>
      <c r="AC22" s="83">
        <f>$R$47-(SUM($R$65:AC65))</f>
        <v>1504841.2275616229</v>
      </c>
      <c r="AD22" s="83">
        <f>$R$47-(SUM($R$65:AD65))</f>
        <v>1472086.7872046679</v>
      </c>
      <c r="AE22" s="83">
        <f>$R$47-(SUM($R$65:AE65))</f>
        <v>1457425.7419879436</v>
      </c>
      <c r="AF22" s="83">
        <f>$R$47-(SUM($R$65:AF65))</f>
        <v>1451104.1932845786</v>
      </c>
      <c r="AG22" s="83">
        <f>$R$47-(SUM($R$65:AG65))</f>
        <v>1448474.8013315648</v>
      </c>
      <c r="AH22" s="83">
        <f>$R$47-(SUM($R$65:AH65))</f>
        <v>1447418.4716596454</v>
      </c>
      <c r="AI22" s="83">
        <f>$R$47-(SUM($R$65:AI65))</f>
        <v>1447008.1379198655</v>
      </c>
      <c r="AJ22" s="83">
        <f>$R$47-(SUM($R$65:AJ65))</f>
        <v>1446853.8606740534</v>
      </c>
      <c r="AK22" s="83">
        <f>$R$47-(SUM($R$65:AK65))</f>
        <v>1446797.6671427861</v>
      </c>
      <c r="AL22" s="83">
        <f>$R$47-(SUM($R$65:AL65))</f>
        <v>1446777.8222352341</v>
      </c>
    </row>
    <row r="23" spans="1:38">
      <c r="A23" s="1"/>
      <c r="B23" s="7">
        <v>2016</v>
      </c>
      <c r="C23" s="83"/>
      <c r="D23" s="83"/>
      <c r="E23" s="83"/>
      <c r="F23" s="83"/>
      <c r="G23" s="83"/>
      <c r="H23" s="83"/>
      <c r="I23" s="83"/>
      <c r="J23" s="83"/>
      <c r="K23" s="83"/>
      <c r="L23" s="83"/>
      <c r="M23" s="83"/>
      <c r="N23" s="83"/>
      <c r="O23" s="83"/>
      <c r="P23" s="83"/>
      <c r="Q23" s="83"/>
      <c r="R23" s="83"/>
      <c r="S23" s="83">
        <f>$S$47-(SUM($S$66:S66))</f>
        <v>30567698.350476146</v>
      </c>
      <c r="T23" s="83">
        <f>$S$47-(SUM($S$66:T66))</f>
        <v>23169906.485234164</v>
      </c>
      <c r="U23" s="83">
        <f>$S$47-(SUM($S$66:U66))</f>
        <v>16484035.791097708</v>
      </c>
      <c r="V23" s="83">
        <f>$S$47-(SUM($S$66:V66))</f>
        <v>11201165.103450004</v>
      </c>
      <c r="W23" s="83">
        <f>$S$47-(SUM($S$66:W66))</f>
        <v>7409860.3255577981</v>
      </c>
      <c r="X23" s="83">
        <f>$S$47-(SUM($S$66:X66))</f>
        <v>4891305.0910728984</v>
      </c>
      <c r="Y23" s="83">
        <f>$S$47-(SUM($S$66:Y66))</f>
        <v>3325019.7699353024</v>
      </c>
      <c r="Z23" s="83">
        <f>$S$47-(SUM($S$66:Z66))</f>
        <v>2406220.6702146381</v>
      </c>
      <c r="AA23" s="83">
        <f>$S$47-(SUM($S$66:AA66))</f>
        <v>1895066.9403752983</v>
      </c>
      <c r="AB23" s="83">
        <f>$S$47-(SUM($S$66:AB66))</f>
        <v>1624269.2553792</v>
      </c>
      <c r="AC23" s="83">
        <f>$S$47-(SUM($S$66:AC66))</f>
        <v>1487211.030585885</v>
      </c>
      <c r="AD23" s="83">
        <f>$S$47-(SUM($S$66:AD66))</f>
        <v>1420764.2920582369</v>
      </c>
      <c r="AE23" s="83">
        <f>$S$47-(SUM($S$66:AE66))</f>
        <v>1389839.873977989</v>
      </c>
      <c r="AF23" s="83">
        <f>$S$47-(SUM($S$66:AF66))</f>
        <v>1375997.9555438906</v>
      </c>
      <c r="AG23" s="83">
        <f>$S$47-(SUM($S$66:AG66))</f>
        <v>1370029.5978834629</v>
      </c>
      <c r="AH23" s="83">
        <f>$S$47-(SUM($S$66:AH66))</f>
        <v>1367547.112603128</v>
      </c>
      <c r="AI23" s="83">
        <f>$S$47-(SUM($S$66:AI66))</f>
        <v>1366549.8010921031</v>
      </c>
      <c r="AJ23" s="83">
        <f>$S$47-(SUM($S$66:AJ66))</f>
        <v>1366162.3930954114</v>
      </c>
      <c r="AK23" s="83">
        <f>$S$47-(SUM($S$66:AK66))</f>
        <v>1366016.7354686037</v>
      </c>
      <c r="AL23" s="83">
        <f>$S$47-(SUM($S$66:AL66))</f>
        <v>1365963.6815243065</v>
      </c>
    </row>
    <row r="24" spans="1:38">
      <c r="A24" s="1"/>
      <c r="B24" s="7">
        <v>2017</v>
      </c>
      <c r="C24" s="83"/>
      <c r="D24" s="83"/>
      <c r="E24" s="83"/>
      <c r="F24" s="83"/>
      <c r="G24" s="83"/>
      <c r="H24" s="83"/>
      <c r="I24" s="83"/>
      <c r="J24" s="83"/>
      <c r="K24" s="83"/>
      <c r="L24" s="83"/>
      <c r="M24" s="83"/>
      <c r="N24" s="83"/>
      <c r="O24" s="83"/>
      <c r="P24" s="83"/>
      <c r="Q24" s="83"/>
      <c r="R24" s="83"/>
      <c r="S24" s="83"/>
      <c r="T24" s="83">
        <f>$T$47-(SUM($T$67:T67))</f>
        <v>26200970.37538258</v>
      </c>
      <c r="U24" s="83">
        <f>$T$47-(SUM($T$67:U67))</f>
        <v>19859985.088165749</v>
      </c>
      <c r="V24" s="83">
        <f>$T$47-(SUM($T$67:V67))</f>
        <v>14129219.952295478</v>
      </c>
      <c r="W24" s="83">
        <f>$T$47-(SUM($T$67:W67))</f>
        <v>9601030.2012382671</v>
      </c>
      <c r="X24" s="83">
        <f>$T$47-(SUM($T$67:X67))</f>
        <v>6351329.7157565802</v>
      </c>
      <c r="Y24" s="83">
        <f>$T$47-(SUM($T$67:Y67))</f>
        <v>4192560.9942484498</v>
      </c>
      <c r="Z24" s="83">
        <f>$T$47-(SUM($T$67:Z67))</f>
        <v>2850026.3085159399</v>
      </c>
      <c r="AA24" s="83">
        <f>$T$47-(SUM($T$67:AA67))</f>
        <v>2062481.6358129531</v>
      </c>
      <c r="AB24" s="83">
        <f>$T$47-(SUM($T$67:AB67))</f>
        <v>1624348.4280315973</v>
      </c>
      <c r="AC24" s="83">
        <f>$T$47-(SUM($T$67:AC67))</f>
        <v>1392235.3640725501</v>
      </c>
      <c r="AD24" s="83">
        <f>$T$47-(SUM($T$67:AD67))</f>
        <v>1274756.4997387491</v>
      </c>
      <c r="AE24" s="83">
        <f>$T$47-(SUM($T$67:AE67))</f>
        <v>1217801.965323288</v>
      </c>
      <c r="AF24" s="83">
        <f>$T$47-(SUM($T$67:AF67))</f>
        <v>1191295.2341750488</v>
      </c>
      <c r="AG24" s="83">
        <f>$T$47-(SUM($T$67:AG67))</f>
        <v>1179430.6936829276</v>
      </c>
      <c r="AH24" s="83">
        <f>$T$47-(SUM($T$67:AH67))</f>
        <v>1174314.9417392351</v>
      </c>
      <c r="AI24" s="83">
        <f>$T$47-(SUM($T$67:AI67))</f>
        <v>1172187.0902228542</v>
      </c>
      <c r="AJ24" s="83">
        <f>$T$47-(SUM($T$67:AJ67))</f>
        <v>1171332.2489765249</v>
      </c>
      <c r="AK24" s="83">
        <f>$T$47-(SUM($T$67:AK67))</f>
        <v>1171000.1838884652</v>
      </c>
      <c r="AL24" s="83">
        <f>$T$47-(SUM($T$67:AL67))</f>
        <v>1170875.3340839036</v>
      </c>
    </row>
    <row r="25" spans="1:38">
      <c r="A25" s="1"/>
      <c r="B25" s="7">
        <v>2018</v>
      </c>
      <c r="C25" s="83"/>
      <c r="D25" s="83"/>
      <c r="E25" s="83"/>
      <c r="F25" s="83"/>
      <c r="G25" s="83"/>
      <c r="H25" s="83"/>
      <c r="I25" s="83"/>
      <c r="J25" s="83"/>
      <c r="K25" s="83"/>
      <c r="L25" s="83"/>
      <c r="M25" s="83"/>
      <c r="N25" s="83"/>
      <c r="O25" s="83"/>
      <c r="P25" s="83"/>
      <c r="Q25" s="83"/>
      <c r="R25" s="83"/>
      <c r="S25" s="83"/>
      <c r="T25" s="83"/>
      <c r="U25" s="83">
        <f>$U$47-(SUM($U$68:U68))</f>
        <v>24419676.408021472</v>
      </c>
      <c r="V25" s="83">
        <f>$U$47-(SUM($U$68:V68))</f>
        <v>18509788.086963475</v>
      </c>
      <c r="W25" s="83">
        <f>$U$47-(SUM($U$68:W68))</f>
        <v>13168633.611257158</v>
      </c>
      <c r="X25" s="83">
        <f>$U$47-(SUM($U$68:X68))</f>
        <v>8948296.4691324458</v>
      </c>
      <c r="Y25" s="83">
        <f>$U$47-(SUM($U$68:Y68))</f>
        <v>5919529.4753338657</v>
      </c>
      <c r="Z25" s="83">
        <f>$U$47-(SUM($U$68:Z68))</f>
        <v>3907526.3753068112</v>
      </c>
      <c r="AA25" s="83">
        <f>$U$47-(SUM($U$68:AA68))</f>
        <v>2656264.9860364534</v>
      </c>
      <c r="AB25" s="83">
        <f>$U$47-(SUM($U$68:AB68))</f>
        <v>1922262.1690134108</v>
      </c>
      <c r="AC25" s="83">
        <f>$U$47-(SUM($U$68:AC68))</f>
        <v>1513915.7984651849</v>
      </c>
      <c r="AD25" s="83">
        <f>$U$47-(SUM($U$68:AD68))</f>
        <v>1297583.1271653511</v>
      </c>
      <c r="AE25" s="83">
        <f>$U$47-(SUM($U$68:AE68))</f>
        <v>1188091.1575660631</v>
      </c>
      <c r="AF25" s="83">
        <f>$U$47-(SUM($U$68:AF68))</f>
        <v>1135008.7228138819</v>
      </c>
      <c r="AG25" s="83">
        <f>$U$47-(SUM($U$68:AG68))</f>
        <v>1110304.0730241723</v>
      </c>
      <c r="AH25" s="83">
        <f>$U$47-(SUM($U$68:AH68))</f>
        <v>1099246.1528251655</v>
      </c>
      <c r="AI25" s="83">
        <f>$U$47-(SUM($U$68:AI68))</f>
        <v>1094478.1993769221</v>
      </c>
      <c r="AJ25" s="83">
        <f>$U$47-(SUM($U$68:AJ68))</f>
        <v>1092495.0115510561</v>
      </c>
      <c r="AK25" s="83">
        <f>$U$47-(SUM($U$68:AK68))</f>
        <v>1091698.2873718925</v>
      </c>
      <c r="AL25" s="83">
        <f>$U$47-(SUM($U$68:AL68))</f>
        <v>1091388.7979949489</v>
      </c>
    </row>
    <row r="26" spans="1:38">
      <c r="A26" s="1"/>
      <c r="B26" s="7">
        <v>2019</v>
      </c>
      <c r="C26" s="83"/>
      <c r="D26" s="83"/>
      <c r="E26" s="83"/>
      <c r="F26" s="83"/>
      <c r="G26" s="83"/>
      <c r="H26" s="83"/>
      <c r="I26" s="83"/>
      <c r="J26" s="83"/>
      <c r="K26" s="83"/>
      <c r="L26" s="83"/>
      <c r="M26" s="83"/>
      <c r="N26" s="83"/>
      <c r="O26" s="83"/>
      <c r="P26" s="83"/>
      <c r="Q26" s="83"/>
      <c r="R26" s="83"/>
      <c r="S26" s="83"/>
      <c r="T26" s="83"/>
      <c r="U26" s="83"/>
      <c r="V26" s="83">
        <f>$V$47-(SUM($V$69:V69))</f>
        <v>23993057.427288435</v>
      </c>
      <c r="W26" s="83">
        <f>$V$47-(SUM($V$69:W69))</f>
        <v>18186416.605896223</v>
      </c>
      <c r="X26" s="83">
        <f>$V$47-(SUM($V$69:X69))</f>
        <v>12938573.681100348</v>
      </c>
      <c r="Y26" s="83">
        <f>$V$47-(SUM($V$69:Y69))</f>
        <v>8791967.0790466554</v>
      </c>
      <c r="Z26" s="83">
        <f>$V$47-(SUM($V$69:Z69))</f>
        <v>5816113.5418468602</v>
      </c>
      <c r="AA26" s="83">
        <f>$V$47-(SUM($V$69:AA69))</f>
        <v>3839260.7319965959</v>
      </c>
      <c r="AB26" s="83">
        <f>$V$47-(SUM($V$69:AB69))</f>
        <v>2609859.2498602159</v>
      </c>
      <c r="AC26" s="83">
        <f>$V$47-(SUM($V$69:AC69))</f>
        <v>1888679.6794855483</v>
      </c>
      <c r="AD26" s="83">
        <f>$V$47-(SUM($V$69:AD69))</f>
        <v>1487467.2409959808</v>
      </c>
      <c r="AE26" s="83">
        <f>$V$47-(SUM($V$69:AE69))</f>
        <v>1274913.9655483738</v>
      </c>
      <c r="AF26" s="83">
        <f>$V$47-(SUM($V$69:AF69))</f>
        <v>1167334.8530929871</v>
      </c>
      <c r="AG26" s="83">
        <f>$V$47-(SUM($V$69:AG69))</f>
        <v>1115179.7842006311</v>
      </c>
      <c r="AH26" s="83">
        <f>$V$47-(SUM($V$69:AH69))</f>
        <v>1090906.7319610491</v>
      </c>
      <c r="AI26" s="83">
        <f>$V$47-(SUM($V$69:AI69))</f>
        <v>1080041.9969036281</v>
      </c>
      <c r="AJ26" s="83">
        <f>$V$47-(SUM($V$69:AJ69))</f>
        <v>1075357.3410145454</v>
      </c>
      <c r="AK26" s="83">
        <f>$V$47-(SUM($V$69:AK69))</f>
        <v>1073408.8000674807</v>
      </c>
      <c r="AL26" s="83">
        <f>$V$47-(SUM($V$69:AL69))</f>
        <v>1072625.9948957413</v>
      </c>
    </row>
    <row r="27" spans="1:38">
      <c r="A27" s="1"/>
      <c r="B27" s="7">
        <v>2020</v>
      </c>
      <c r="C27" s="83"/>
      <c r="D27" s="83"/>
      <c r="E27" s="83"/>
      <c r="F27" s="83"/>
      <c r="G27" s="83"/>
      <c r="H27" s="83"/>
      <c r="I27" s="83"/>
      <c r="J27" s="83"/>
      <c r="K27" s="83"/>
      <c r="L27" s="83"/>
      <c r="M27" s="83"/>
      <c r="N27" s="83"/>
      <c r="O27" s="83"/>
      <c r="P27" s="83"/>
      <c r="Q27" s="83"/>
      <c r="R27" s="83"/>
      <c r="S27" s="83"/>
      <c r="T27" s="83"/>
      <c r="U27" s="83"/>
      <c r="V27" s="83"/>
      <c r="W27" s="83">
        <f>$W$47-(SUM($W$70:W70))</f>
        <v>24687801.606469005</v>
      </c>
      <c r="X27" s="83">
        <f>$W$47-(SUM($W$70:X70))</f>
        <v>18713023.401023924</v>
      </c>
      <c r="Y27" s="83">
        <f>$W$47-(SUM($W$70:Y70))</f>
        <v>13313223.672210684</v>
      </c>
      <c r="Z27" s="83">
        <f>$W$47-(SUM($W$70:Z70))</f>
        <v>9046547.7205603868</v>
      </c>
      <c r="AA27" s="83">
        <f>$W$47-(SUM($W$70:AA70))</f>
        <v>5984525.2184702717</v>
      </c>
      <c r="AB27" s="83">
        <f>$W$47-(SUM($W$70:AB70))</f>
        <v>3950430.5591015629</v>
      </c>
      <c r="AC27" s="83">
        <f>$W$47-(SUM($W$70:AC70))</f>
        <v>2685430.4657344706</v>
      </c>
      <c r="AD27" s="83">
        <f>$W$47-(SUM($W$70:AD70))</f>
        <v>1943368.38340066</v>
      </c>
      <c r="AE27" s="83">
        <f>$W$47-(SUM($W$70:AE70))</f>
        <v>1530538.4173367023</v>
      </c>
      <c r="AF27" s="83">
        <f>$W$47-(SUM($W$70:AF70))</f>
        <v>1311830.4385408238</v>
      </c>
      <c r="AG27" s="83">
        <f>$W$47-(SUM($W$70:AG70))</f>
        <v>1201136.2598873824</v>
      </c>
      <c r="AH27" s="83">
        <f>$W$47-(SUM($W$70:AH70))</f>
        <v>1147470.9861935936</v>
      </c>
      <c r="AI27" s="83">
        <f>$W$47-(SUM($W$70:AI70))</f>
        <v>1122495.0822309442</v>
      </c>
      <c r="AJ27" s="83">
        <f>$W$47-(SUM($W$70:AJ70))</f>
        <v>1111315.7473580427</v>
      </c>
      <c r="AK27" s="83">
        <f>$W$47-(SUM($W$70:AK70))</f>
        <v>1106495.4423371106</v>
      </c>
      <c r="AL27" s="83">
        <f>$W$47-(SUM($W$70:AL70))</f>
        <v>1104490.4793402515</v>
      </c>
    </row>
    <row r="28" spans="1:38">
      <c r="A28" s="1"/>
      <c r="B28" s="7">
        <v>2021</v>
      </c>
      <c r="C28" s="83"/>
      <c r="D28" s="83"/>
      <c r="E28" s="83"/>
      <c r="F28" s="83"/>
      <c r="G28" s="83"/>
      <c r="H28" s="83"/>
      <c r="I28" s="83"/>
      <c r="J28" s="83"/>
      <c r="K28" s="83"/>
      <c r="L28" s="83"/>
      <c r="M28" s="83"/>
      <c r="N28" s="83"/>
      <c r="O28" s="83"/>
      <c r="P28" s="83"/>
      <c r="Q28" s="83"/>
      <c r="R28" s="83"/>
      <c r="S28" s="83"/>
      <c r="T28" s="83"/>
      <c r="U28" s="83"/>
      <c r="V28" s="83"/>
      <c r="W28" s="83"/>
      <c r="X28" s="83">
        <f>$X$47-(SUM($X$71:X71))</f>
        <v>181631.89253139615</v>
      </c>
      <c r="Y28" s="83">
        <f>$X$47-(SUM($X$71:Y71))</f>
        <v>137674.54508471349</v>
      </c>
      <c r="Z28" s="83">
        <f>$X$47-(SUM($X$71:Z71))</f>
        <v>97947.401304609812</v>
      </c>
      <c r="AA28" s="83">
        <f>$X$47-(SUM($X$71:AA71))</f>
        <v>66556.820633653144</v>
      </c>
      <c r="AB28" s="83">
        <f>$X$47-(SUM($X$71:AB71))</f>
        <v>44029.057696566975</v>
      </c>
      <c r="AC28" s="83">
        <f>$X$47-(SUM($X$71:AC71))</f>
        <v>29063.91545918223</v>
      </c>
      <c r="AD28" s="83">
        <f>$X$47-(SUM($X$71:AD71))</f>
        <v>19757.118334303668</v>
      </c>
      <c r="AE28" s="83">
        <f>$X$47-(SUM($X$71:AE71))</f>
        <v>14297.655295085075</v>
      </c>
      <c r="AF28" s="83">
        <f>$X$47-(SUM($X$71:AF71))</f>
        <v>11260.402759394725</v>
      </c>
      <c r="AG28" s="83">
        <f>$X$47-(SUM($X$71:AG71))</f>
        <v>9651.3350613618968</v>
      </c>
      <c r="AH28" s="83">
        <f>$X$47-(SUM($X$71:AH71))</f>
        <v>8836.94123717607</v>
      </c>
      <c r="AI28" s="83">
        <f>$X$47-(SUM($X$71:AI71))</f>
        <v>8442.117697211128</v>
      </c>
      <c r="AJ28" s="83">
        <f>$X$47-(SUM($X$71:AJ71))</f>
        <v>8258.3661920455343</v>
      </c>
      <c r="AK28" s="83">
        <f>$X$47-(SUM($X$71:AK71))</f>
        <v>8176.1181335681176</v>
      </c>
      <c r="AL28" s="83">
        <f>$X$47-(SUM($X$71:AL71))</f>
        <v>8140.6544200513454</v>
      </c>
    </row>
    <row r="29" spans="1:38">
      <c r="A29" s="1"/>
      <c r="B29" s="7">
        <v>2022</v>
      </c>
      <c r="C29" s="83"/>
      <c r="D29" s="83"/>
      <c r="E29" s="83"/>
      <c r="F29" s="83"/>
      <c r="G29" s="83"/>
      <c r="H29" s="83"/>
      <c r="I29" s="83"/>
      <c r="J29" s="83"/>
      <c r="K29" s="83"/>
      <c r="L29" s="83"/>
      <c r="M29" s="83"/>
      <c r="N29" s="83"/>
      <c r="O29" s="83"/>
      <c r="P29" s="83"/>
      <c r="Q29" s="83"/>
      <c r="R29" s="83"/>
      <c r="S29" s="83"/>
      <c r="T29" s="83"/>
      <c r="U29" s="83"/>
      <c r="V29" s="83"/>
      <c r="W29" s="83"/>
      <c r="X29" s="83"/>
      <c r="Y29" s="83">
        <f>$Y$47-(SUM($Y$72:Y72))</f>
        <v>19199102.161079943</v>
      </c>
      <c r="Z29" s="83">
        <f>$Y$47-(SUM($Y$72:Z72))</f>
        <v>14552662.636627669</v>
      </c>
      <c r="AA29" s="83">
        <f>$Y$47-(SUM($Y$72:AA72))</f>
        <v>10353369.872719036</v>
      </c>
      <c r="AB29" s="83">
        <f>$Y$47-(SUM($Y$72:AB72))</f>
        <v>7035279.878732197</v>
      </c>
      <c r="AC29" s="83">
        <f>$Y$47-(SUM($Y$72:AC72))</f>
        <v>4654019.5391420834</v>
      </c>
      <c r="AD29" s="83">
        <f>$Y$47-(SUM($Y$72:AD72))</f>
        <v>3072153.6527808681</v>
      </c>
      <c r="AE29" s="83">
        <f>$Y$47-(SUM($Y$72:AE72))</f>
        <v>2088393.8829370216</v>
      </c>
      <c r="AF29" s="83">
        <f>$Y$47-(SUM($Y$72:AF72))</f>
        <v>1511310.2707267962</v>
      </c>
      <c r="AG29" s="83">
        <f>$Y$47-(SUM($Y$72:AG72))</f>
        <v>1190262.4585335776</v>
      </c>
      <c r="AH29" s="83">
        <f>$Y$47-(SUM($Y$72:AH72))</f>
        <v>1020178.5889659822</v>
      </c>
      <c r="AI29" s="83">
        <f>$Y$47-(SUM($Y$72:AI72))</f>
        <v>934094.42163180187</v>
      </c>
      <c r="AJ29" s="83">
        <f>$Y$47-(SUM($Y$72:AJ72))</f>
        <v>892360.24503021315</v>
      </c>
      <c r="AK29" s="83">
        <f>$Y$47-(SUM($Y$72:AK72))</f>
        <v>872937.09268203005</v>
      </c>
      <c r="AL29" s="83">
        <f>$Y$47-(SUM($Y$72:AL72))</f>
        <v>864243.19616831467</v>
      </c>
    </row>
    <row r="30" spans="1:38">
      <c r="A30" s="1"/>
      <c r="B30" s="7">
        <v>2023</v>
      </c>
      <c r="C30" s="83"/>
      <c r="D30" s="83"/>
      <c r="E30" s="83"/>
      <c r="F30" s="83"/>
      <c r="G30" s="83"/>
      <c r="H30" s="83"/>
      <c r="I30" s="83"/>
      <c r="J30" s="83"/>
      <c r="K30" s="83"/>
      <c r="L30" s="83"/>
      <c r="M30" s="83"/>
      <c r="N30" s="83"/>
      <c r="O30" s="83"/>
      <c r="P30" s="83"/>
      <c r="Q30" s="83"/>
      <c r="R30" s="83"/>
      <c r="S30" s="83"/>
      <c r="T30" s="83"/>
      <c r="U30" s="83"/>
      <c r="V30" s="83"/>
      <c r="W30" s="83"/>
      <c r="X30" s="83"/>
      <c r="Y30" s="83"/>
      <c r="Z30" s="83">
        <f>$Z$47-(SUM($Z$73:Z73))</f>
        <v>19199102.161079943</v>
      </c>
      <c r="AA30" s="83">
        <f>$Z$47-(SUM($Z$73:AA73))</f>
        <v>14552662.636627669</v>
      </c>
      <c r="AB30" s="83">
        <f>$Z$47-(SUM($Z$73:AB73))</f>
        <v>10353369.872719036</v>
      </c>
      <c r="AC30" s="83">
        <f>$Z$47-(SUM($Z$73:AC73))</f>
        <v>7035279.878732197</v>
      </c>
      <c r="AD30" s="83">
        <f>$Z$47-(SUM($Z$73:AD73))</f>
        <v>4654019.5391420834</v>
      </c>
      <c r="AE30" s="83">
        <f>$Z$47-(SUM($Z$73:AE73))</f>
        <v>3072153.6527808681</v>
      </c>
      <c r="AF30" s="83">
        <f>$Z$47-(SUM($Z$73:AF73))</f>
        <v>2088393.8829370216</v>
      </c>
      <c r="AG30" s="83">
        <f>$Z$47-(SUM($Z$73:AG73))</f>
        <v>1511310.2707267962</v>
      </c>
      <c r="AH30" s="83">
        <f>$Z$47-(SUM($Z$73:AH73))</f>
        <v>1190262.4585335776</v>
      </c>
      <c r="AI30" s="83">
        <f>$Z$47-(SUM($Z$73:AI73))</f>
        <v>1020178.5889659822</v>
      </c>
      <c r="AJ30" s="83">
        <f>$Z$47-(SUM($Z$73:AJ73))</f>
        <v>934094.42163180187</v>
      </c>
      <c r="AK30" s="83">
        <f>$Z$47-(SUM($Z$73:AK73))</f>
        <v>892360.24503021315</v>
      </c>
      <c r="AL30" s="83">
        <f>$Z$47-(SUM($Z$73:AL73))</f>
        <v>872937.09268203005</v>
      </c>
    </row>
    <row r="31" spans="1:38">
      <c r="A31" s="1"/>
      <c r="B31" s="7">
        <v>2024</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$AA$47-(SUM($AA$74:AA74))</f>
        <v>19199102.161079943</v>
      </c>
      <c r="AB31" s="83">
        <f>$AA$47-(SUM($AA$74:AB74))</f>
        <v>14552662.636627669</v>
      </c>
      <c r="AC31" s="83">
        <f>$AA$47-(SUM($AA$74:AC74))</f>
        <v>10353369.872719036</v>
      </c>
      <c r="AD31" s="83">
        <f>$AA$47-(SUM($AA$74:AD74))</f>
        <v>7035279.878732197</v>
      </c>
      <c r="AE31" s="83">
        <f>$AA$47-(SUM($AA$74:AE74))</f>
        <v>4654019.5391420834</v>
      </c>
      <c r="AF31" s="83">
        <f>$AA$47-(SUM($AA$74:AF74))</f>
        <v>3072153.6527808681</v>
      </c>
      <c r="AG31" s="83">
        <f>$AA$47-(SUM($AA$74:AG74))</f>
        <v>2088393.8829370216</v>
      </c>
      <c r="AH31" s="83">
        <f>$AA$47-(SUM($AA$74:AH74))</f>
        <v>1511310.2707267962</v>
      </c>
      <c r="AI31" s="83">
        <f>$AA$47-(SUM($AA$74:AI74))</f>
        <v>1190262.4585335776</v>
      </c>
      <c r="AJ31" s="83">
        <f>$AA$47-(SUM($AA$74:AJ74))</f>
        <v>1020178.5889659822</v>
      </c>
      <c r="AK31" s="83">
        <f>$AA$47-(SUM($AA$74:AK74))</f>
        <v>934094.42163180187</v>
      </c>
      <c r="AL31" s="83">
        <f>$AA$47-(SUM($AA$74:AL74))</f>
        <v>892360.24503021315</v>
      </c>
    </row>
    <row r="32" spans="1:38">
      <c r="A32" s="86"/>
      <c r="B32" s="7">
        <v>2025</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$AB$47-(SUM($AB$75:AB75))</f>
        <v>19199102.161079943</v>
      </c>
      <c r="AC32" s="83">
        <f>$AB$47-(SUM($AB$75:AC75))</f>
        <v>14552662.636627669</v>
      </c>
      <c r="AD32" s="83">
        <f>$AB$47-(SUM($AB$75:AD75))</f>
        <v>10353369.872719036</v>
      </c>
      <c r="AE32" s="83">
        <f>$AB$47-(SUM($AB$75:AE75))</f>
        <v>7035279.878732197</v>
      </c>
      <c r="AF32" s="83">
        <f>$AB$47-(SUM($AB$75:AF75))</f>
        <v>4654019.5391420834</v>
      </c>
      <c r="AG32" s="83">
        <f>$AB$47-(SUM($AB$75:AG75))</f>
        <v>3072153.6527808681</v>
      </c>
      <c r="AH32" s="83">
        <f>$AB$47-(SUM($AB$75:AH75))</f>
        <v>2088393.8829370216</v>
      </c>
      <c r="AI32" s="83">
        <f>$AB$47-(SUM($AB$75:AI75))</f>
        <v>1511310.2707267962</v>
      </c>
      <c r="AJ32" s="83">
        <f>$AB$47-(SUM($AB$75:AJ75))</f>
        <v>1190262.4585335776</v>
      </c>
      <c r="AK32" s="83">
        <f>$AB$47-(SUM($AB$75:AK75))</f>
        <v>1020178.5889659822</v>
      </c>
      <c r="AL32" s="83">
        <f>$AB$47-(SUM($AB$75:AL75))</f>
        <v>934094.42163180187</v>
      </c>
    </row>
    <row r="33" spans="1:38">
      <c r="A33" s="1"/>
      <c r="B33" s="7">
        <v>2026</v>
      </c>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f>$AC$47-(SUM($AC$76:AC76))</f>
        <v>19199102.161079943</v>
      </c>
      <c r="AD33" s="83">
        <f>$AC$47-(SUM($AC$76:AD76))</f>
        <v>14552662.636627669</v>
      </c>
      <c r="AE33" s="83">
        <f>$AC$47-(SUM($AC$76:AE76))</f>
        <v>10353369.872719036</v>
      </c>
      <c r="AF33" s="83">
        <f>$AC$47-(SUM($AC$76:AF76))</f>
        <v>7035279.878732197</v>
      </c>
      <c r="AG33" s="83">
        <f>$AC$47-(SUM($AC$76:AG76))</f>
        <v>4654019.5391420834</v>
      </c>
      <c r="AH33" s="83">
        <f>$AC$47-(SUM($AC$76:AH76))</f>
        <v>3072153.6527808681</v>
      </c>
      <c r="AI33" s="83">
        <f>$AC$47-(SUM($AC$76:AI76))</f>
        <v>2088393.8829370216</v>
      </c>
      <c r="AJ33" s="83">
        <f>$AC$47-(SUM($AC$76:AJ76))</f>
        <v>1511310.2707267962</v>
      </c>
      <c r="AK33" s="83">
        <f>$AC$47-(SUM($AC$76:AK76))</f>
        <v>1190262.4585335776</v>
      </c>
      <c r="AL33" s="83">
        <f>$AC$47-(SUM($AC$76:AL76))</f>
        <v>1020178.5889659822</v>
      </c>
    </row>
    <row r="34" spans="1:38">
      <c r="A34" s="1"/>
      <c r="B34" s="7">
        <v>2027</v>
      </c>
      <c r="C34" s="83"/>
      <c r="D34" s="83"/>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f>$AD$47-(SUM($AD$77:AD77))</f>
        <v>19199102.161079943</v>
      </c>
      <c r="AE34" s="83">
        <f>$AD$47-(SUM($AD$77:AE77))</f>
        <v>14552662.636627669</v>
      </c>
      <c r="AF34" s="83">
        <f>$AD$47-(SUM($AD$77:AF77))</f>
        <v>10353369.872719036</v>
      </c>
      <c r="AG34" s="83">
        <f>$AD$47-(SUM($AD$77:AG77))</f>
        <v>7035279.878732197</v>
      </c>
      <c r="AH34" s="83">
        <f>$AD$47-(SUM($AD$77:AH77))</f>
        <v>4654019.5391420834</v>
      </c>
      <c r="AI34" s="83">
        <f>$AD$47-(SUM($AD$77:AI77))</f>
        <v>3072153.6527808681</v>
      </c>
      <c r="AJ34" s="83">
        <f>$AD$47-(SUM($AD$77:AJ77))</f>
        <v>2088393.8829370216</v>
      </c>
      <c r="AK34" s="83">
        <f>$AD$47-(SUM($AD$77:AK77))</f>
        <v>1511310.2707267962</v>
      </c>
      <c r="AL34" s="83">
        <f>$AD$47-(SUM($AD$77:AL77))</f>
        <v>1190262.4585335776</v>
      </c>
    </row>
    <row r="35" spans="1:38">
      <c r="A35" s="1"/>
      <c r="B35" s="7">
        <v>2028</v>
      </c>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f>$AE$47-(SUM($AE$78:AE78))</f>
        <v>19199102.161079943</v>
      </c>
      <c r="AF35" s="83">
        <f>$AE$47-(SUM($AE$78:AF78))</f>
        <v>14552662.636627669</v>
      </c>
      <c r="AG35" s="83">
        <f>$AE$47-(SUM($AE$78:AG78))</f>
        <v>10353369.872719036</v>
      </c>
      <c r="AH35" s="83">
        <f>$AE$47-(SUM($AE$78:AH78))</f>
        <v>7035279.878732197</v>
      </c>
      <c r="AI35" s="83">
        <f>$AE$47-(SUM($AE$78:AI78))</f>
        <v>4654019.5391420834</v>
      </c>
      <c r="AJ35" s="83">
        <f>$AE$47-(SUM($AE$78:AJ78))</f>
        <v>3072153.6527808681</v>
      </c>
      <c r="AK35" s="83">
        <f>$AE$47-(SUM($AE$78:AK78))</f>
        <v>2088393.8829370216</v>
      </c>
      <c r="AL35" s="83">
        <f>$AE$47-(SUM($AE$78:AL78))</f>
        <v>1511310.2707267962</v>
      </c>
    </row>
    <row r="36" spans="1:38">
      <c r="A36" s="1"/>
      <c r="B36" s="7">
        <v>2029</v>
      </c>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f>$AF$47-(SUM($AF$79:AF79))</f>
        <v>19199102.161079943</v>
      </c>
      <c r="AG36" s="83">
        <f>$AF$47-(SUM($AF$79:AG79))</f>
        <v>14552662.636627669</v>
      </c>
      <c r="AH36" s="83">
        <f>$AF$47-(SUM($AF$79:AH79))</f>
        <v>10353369.872719036</v>
      </c>
      <c r="AI36" s="83">
        <f>$AF$47-(SUM($AF$79:AI79))</f>
        <v>7035279.878732197</v>
      </c>
      <c r="AJ36" s="83">
        <f>$AF$47-(SUM($AF$79:AJ79))</f>
        <v>4654019.5391420834</v>
      </c>
      <c r="AK36" s="83">
        <f>$AF$47-(SUM($AF$79:AK79))</f>
        <v>3072153.6527808681</v>
      </c>
      <c r="AL36" s="83">
        <f>$AF$47-(SUM($AF$79:AL79))</f>
        <v>2088393.8829370216</v>
      </c>
    </row>
    <row r="37" spans="1:38">
      <c r="A37" s="1"/>
      <c r="B37" s="7">
        <v>2030</v>
      </c>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f>$AG$47-(SUM($AG$80:AG80))</f>
        <v>19199102.161079943</v>
      </c>
      <c r="AH37" s="83">
        <f>$AG$47-(SUM($AG$80:AH80))</f>
        <v>14552662.636627669</v>
      </c>
      <c r="AI37" s="83">
        <f>$AG$47-(SUM($AG$80:AI80))</f>
        <v>10353369.872719036</v>
      </c>
      <c r="AJ37" s="83">
        <f>$AG$47-(SUM($AG$80:AJ80))</f>
        <v>7035279.878732197</v>
      </c>
      <c r="AK37" s="83">
        <f>$AG$47-(SUM($AG$80:AK80))</f>
        <v>4654019.5391420834</v>
      </c>
      <c r="AL37" s="83">
        <f>$AG$47-(SUM($AG$80:AL80))</f>
        <v>3072153.6527808681</v>
      </c>
    </row>
    <row r="38" spans="1:38">
      <c r="A38" s="1"/>
      <c r="B38" s="7">
        <v>2031</v>
      </c>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f>$AH$47-(SUM($AH$81:AH81))</f>
        <v>19199102.161079943</v>
      </c>
      <c r="AI38" s="83">
        <f>$AH$47-(SUM($AH$81:AI81))</f>
        <v>14552662.636627669</v>
      </c>
      <c r="AJ38" s="83">
        <f>$AH$47-(SUM($AH$81:AJ81))</f>
        <v>10353369.872719036</v>
      </c>
      <c r="AK38" s="83">
        <f>$AH$47-(SUM($AH$81:AK81))</f>
        <v>7035279.878732197</v>
      </c>
      <c r="AL38" s="83">
        <f>$AH$47-(SUM($AH$81:AL81))</f>
        <v>4654019.5391420834</v>
      </c>
    </row>
    <row r="39" spans="1:38">
      <c r="A39" s="1"/>
      <c r="B39" s="7">
        <v>2032</v>
      </c>
      <c r="C39" s="83"/>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f>$AI$47-(SUM($AI$82:AI82))</f>
        <v>19199102.161079943</v>
      </c>
      <c r="AJ39" s="83">
        <f>$AI$47-(SUM($AI$82:AJ82))</f>
        <v>14552662.636627669</v>
      </c>
      <c r="AK39" s="83">
        <f>$AI$47-(SUM($AI$82:AK82))</f>
        <v>10353369.872719036</v>
      </c>
      <c r="AL39" s="83">
        <f>$AI$47-(SUM($AI$82:AL82))</f>
        <v>7035279.878732197</v>
      </c>
    </row>
    <row r="40" spans="1:38">
      <c r="A40" s="1"/>
      <c r="B40" s="7">
        <v>2033</v>
      </c>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f>$AJ$47-(SUM($AJ$83:AJ83))</f>
        <v>19199102.161079943</v>
      </c>
      <c r="AK40" s="83">
        <f>$AJ$47-(SUM($AJ$83:AK83))</f>
        <v>14552662.636627669</v>
      </c>
      <c r="AL40" s="83">
        <f>$AJ$47-(SUM($AJ$83:AL83))</f>
        <v>10353369.872719036</v>
      </c>
    </row>
    <row r="41" spans="1:38">
      <c r="A41" s="1"/>
      <c r="B41" s="7">
        <v>2034</v>
      </c>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83">
        <f>$AK$47-(SUM($AK$84:AK84))</f>
        <v>19199102.161079943</v>
      </c>
      <c r="AL41" s="83">
        <f>$AK$47-(SUM($AK$84:AL84))</f>
        <v>14552662.636627669</v>
      </c>
    </row>
    <row r="42" spans="1:38">
      <c r="A42" s="1"/>
      <c r="B42" s="7">
        <v>2035</v>
      </c>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83"/>
      <c r="AL42" s="83">
        <f>$AL$47-(SUM($AL$85:AL85))</f>
        <v>19199102.161079943</v>
      </c>
    </row>
    <row r="43" spans="1:38">
      <c r="A43" s="1"/>
      <c r="N43" s="84"/>
      <c r="O43" s="84"/>
      <c r="P43" s="84"/>
      <c r="Q43" s="84"/>
      <c r="R43" s="84"/>
      <c r="S43" s="84"/>
      <c r="T43" s="84"/>
      <c r="U43" s="84"/>
      <c r="V43" s="84"/>
      <c r="W43" s="84"/>
      <c r="X43" s="84"/>
      <c r="Y43" s="84"/>
      <c r="Z43" s="84"/>
      <c r="AA43" s="84"/>
      <c r="AB43" s="84"/>
      <c r="AC43" s="84"/>
      <c r="AD43" s="84"/>
      <c r="AE43" s="84"/>
      <c r="AF43" s="84"/>
      <c r="AG43" s="84"/>
      <c r="AH43" s="84"/>
      <c r="AI43" s="84"/>
      <c r="AJ43" s="84"/>
      <c r="AK43" s="84"/>
      <c r="AL43" s="84"/>
    </row>
    <row r="44" spans="1:38" ht="21">
      <c r="B44" s="52" t="s">
        <v>6927</v>
      </c>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row>
    <row r="45" spans="1:38" ht="19">
      <c r="B45" s="166" t="s">
        <v>7656</v>
      </c>
      <c r="C45" s="167" t="e">
        <f>(VLOOKUP(C2,Inflows!$E$18:$F$29,2,FALSE ))</f>
        <v>#N/A</v>
      </c>
      <c r="D45" s="167" t="e">
        <f>(VLOOKUP(D2,Inflows!$E$18:$F$29,2,FALSE ))</f>
        <v>#N/A</v>
      </c>
      <c r="E45" s="167" t="e">
        <f>(VLOOKUP(E2,Inflows!$E$18:$F$29,2,FALSE ))</f>
        <v>#N/A</v>
      </c>
      <c r="F45" s="167" t="e">
        <f>(VLOOKUP(F2,Inflows!$E$18:$F$29,2,FALSE ))</f>
        <v>#N/A</v>
      </c>
      <c r="G45" s="167" t="e">
        <f>(VLOOKUP(G2,Inflows!$E$18:$F$29,2,FALSE ))</f>
        <v>#N/A</v>
      </c>
      <c r="H45" s="167" t="e">
        <f>(VLOOKUP(H2,Inflows!$E$18:$F$29,2,FALSE ))</f>
        <v>#N/A</v>
      </c>
      <c r="I45" s="167" t="e">
        <f>(VLOOKUP(I2,Inflows!$E$18:$F$29,2,FALSE ))</f>
        <v>#N/A</v>
      </c>
      <c r="J45" s="167" t="e">
        <f>(VLOOKUP(J2,Inflows!$E$18:$F$29,2,FALSE ))</f>
        <v>#N/A</v>
      </c>
      <c r="K45" s="167" t="e">
        <f>(VLOOKUP(K2,Inflows!$E$18:$F$29,2,FALSE ))</f>
        <v>#N/A</v>
      </c>
      <c r="L45" s="167">
        <f>(VLOOKUP(L2,Inflows!$E$18:$F$29,2,FALSE ))</f>
        <v>46303099</v>
      </c>
      <c r="M45" s="167">
        <f>(VLOOKUP(M2,Inflows!$E$18:$F$29,2,FALSE ))</f>
        <v>49273720</v>
      </c>
      <c r="N45" s="167">
        <f>(VLOOKUP(N2,Inflows!$E$18:$F$29,2,FALSE ))</f>
        <v>44913256</v>
      </c>
      <c r="O45" s="167">
        <f>(VLOOKUP(O2,Inflows!$E$18:$F$29,2,FALSE ))</f>
        <v>43563534</v>
      </c>
      <c r="P45" s="167">
        <f>(VLOOKUP(P2,Inflows!$E$18:$F$29,2,FALSE ))</f>
        <v>44118744</v>
      </c>
      <c r="Q45" s="167">
        <f>(VLOOKUP(Q2,Inflows!$E$18:$F$29,2,FALSE ))</f>
        <v>41122482</v>
      </c>
      <c r="R45" s="167">
        <f>(VLOOKUP(R2,Inflows!$E$18:$F$29,2,FALSE ))</f>
        <v>39069589</v>
      </c>
      <c r="S45" s="167">
        <f>(VLOOKUP(S2,Inflows!$E$18:$F$29,2,FALSE ))</f>
        <v>36882022</v>
      </c>
      <c r="T45" s="167">
        <f>(VLOOKUP(T2,Inflows!$E$18:$F$29,2,FALSE ))</f>
        <v>31565301</v>
      </c>
      <c r="U45" s="167">
        <f>(VLOOKUP(U2,Inflows!$E$18:$F$29,2,FALSE ))</f>
        <v>29393691</v>
      </c>
      <c r="V45" s="167">
        <f>(VLOOKUP(V2,Inflows!$E$18:$F$29,2,FALSE ))</f>
        <v>28868296</v>
      </c>
      <c r="W45" s="167">
        <f>(VLOOKUP(W2,Inflows!$E$18:$F$29,2,FALSE ))</f>
        <v>29606472</v>
      </c>
      <c r="X45" s="167" t="e">
        <f>(VLOOKUP(X2,Inflows!$E$18:$F$29,2,FALSE ))</f>
        <v>#N/A</v>
      </c>
      <c r="Y45" s="167" t="e">
        <f>(VLOOKUP(Y2,Inflows!$E$18:$F$29,2,FALSE ))</f>
        <v>#N/A</v>
      </c>
      <c r="Z45" s="167" t="e">
        <f>(VLOOKUP(Z2,Inflows!$E$18:$F$29,2,FALSE ))</f>
        <v>#N/A</v>
      </c>
      <c r="AA45" s="167" t="e">
        <f>(VLOOKUP(AA2,Inflows!$E$18:$F$29,2,FALSE ))</f>
        <v>#N/A</v>
      </c>
      <c r="AB45" s="167" t="e">
        <f>(VLOOKUP(AB2,Inflows!$E$18:$F$29,2,FALSE ))</f>
        <v>#N/A</v>
      </c>
      <c r="AC45" s="167" t="e">
        <f>(VLOOKUP(AC2,Inflows!$E$18:$F$29,2,FALSE ))</f>
        <v>#N/A</v>
      </c>
      <c r="AD45" s="167" t="e">
        <f>(VLOOKUP(AD2,Inflows!$E$18:$F$29,2,FALSE ))</f>
        <v>#N/A</v>
      </c>
      <c r="AE45" s="167" t="e">
        <f>(VLOOKUP(AE2,Inflows!$E$18:$F$29,2,FALSE ))</f>
        <v>#N/A</v>
      </c>
      <c r="AF45" s="167" t="e">
        <f>(VLOOKUP(AF2,Inflows!$E$18:$F$29,2,FALSE ))</f>
        <v>#N/A</v>
      </c>
      <c r="AG45" s="167" t="e">
        <f>(VLOOKUP(AG2,Inflows!$E$18:$F$29,2,FALSE ))</f>
        <v>#N/A</v>
      </c>
      <c r="AH45" s="167" t="e">
        <f>(VLOOKUP(AH2,Inflows!$E$18:$F$29,2,FALSE ))</f>
        <v>#N/A</v>
      </c>
      <c r="AI45" s="167" t="e">
        <f>(VLOOKUP(AI2,Inflows!$E$18:$F$29,2,FALSE ))</f>
        <v>#N/A</v>
      </c>
      <c r="AJ45" s="167" t="e">
        <f>(VLOOKUP(AJ2,Inflows!$E$18:$F$29,2,FALSE ))</f>
        <v>#N/A</v>
      </c>
      <c r="AK45" s="167" t="e">
        <f>(VLOOKUP(AK2,Inflows!$E$18:$F$29,2,FALSE ))</f>
        <v>#N/A</v>
      </c>
      <c r="AL45" s="167" t="e">
        <f>(VLOOKUP(AL2,Inflows!$E$18:$F$29,2,FALSE ))</f>
        <v>#N/A</v>
      </c>
    </row>
    <row r="46" spans="1:38" ht="19">
      <c r="B46" s="166" t="s">
        <v>7657</v>
      </c>
      <c r="C46" s="7">
        <f>(VLOOKUP(C2,Inflows!$E$95:$F$109,2,FALSE ))</f>
        <v>2863402</v>
      </c>
      <c r="D46" s="7">
        <f>(VLOOKUP(D2,Inflows!$E$95:$F$109,2,FALSE ))</f>
        <v>3044012</v>
      </c>
      <c r="E46" s="7">
        <f>(VLOOKUP(E2,Inflows!$E$95:$F$109,2,FALSE ))</f>
        <v>2780863</v>
      </c>
      <c r="F46" s="7">
        <f>(VLOOKUP(F2,Inflows!$E$95:$F$109,2,FALSE ))</f>
        <v>3352922</v>
      </c>
      <c r="G46" s="7">
        <f>(VLOOKUP(G2,Inflows!$E$95:$F$109,2,FALSE ))</f>
        <v>3694624</v>
      </c>
      <c r="H46" s="7">
        <f>(VLOOKUP(H2,Inflows!$E$95:$F$109,2,FALSE ))</f>
        <v>6186527</v>
      </c>
      <c r="I46" s="7" t="e">
        <f>(VLOOKUP(I2,Inflows!$E$95:$F$109,2,FALSE ))</f>
        <v>#N/A</v>
      </c>
      <c r="J46" s="7" t="e">
        <f>(VLOOKUP(J2,Inflows!$E$95:$F$109,2,FALSE ))</f>
        <v>#N/A</v>
      </c>
      <c r="K46" s="7" t="e">
        <f>(VLOOKUP(K2,Inflows!$E$95:$F$109,2,FALSE ))</f>
        <v>#N/A</v>
      </c>
      <c r="L46" s="7" t="e">
        <f>(VLOOKUP(L2,Inflows!$E$95:$F$109,2,FALSE ))</f>
        <v>#N/A</v>
      </c>
      <c r="M46" s="7" t="e">
        <f>(VLOOKUP(M2,Inflows!$E$95:$F$109,2,FALSE ))</f>
        <v>#N/A</v>
      </c>
      <c r="N46" s="7" t="e">
        <f>(VLOOKUP(N2,Inflows!$E$95:$F$109,2,FALSE ))</f>
        <v>#N/A</v>
      </c>
      <c r="O46" s="7" t="e">
        <f>(VLOOKUP(O2,Inflows!$E$95:$F$109,2,FALSE ))</f>
        <v>#N/A</v>
      </c>
      <c r="P46" s="7">
        <f>(VLOOKUP(P2,Inflows!$E$95:$F$109,2,FALSE ))</f>
        <v>103986</v>
      </c>
      <c r="Q46" s="7">
        <f>(VLOOKUP(Q2,Inflows!$E$95:$F$109,2,FALSE ))</f>
        <v>94176</v>
      </c>
      <c r="R46" s="7">
        <f>(VLOOKUP(R2,Inflows!$E$95:$F$109,2,FALSE ))</f>
        <v>103153</v>
      </c>
      <c r="S46" s="7">
        <f>(VLOOKUP(S2,Inflows!$E$95:$F$109,2,FALSE ))</f>
        <v>102101</v>
      </c>
      <c r="T46" s="7">
        <f>(VLOOKUP(T2,Inflows!$E$95:$F$109,2,FALSE ))</f>
        <v>135480</v>
      </c>
      <c r="U46" s="7">
        <f>(VLOOKUP(U2,Inflows!$E$95:$F$109,2,FALSE ))</f>
        <v>151887</v>
      </c>
      <c r="V46" s="7">
        <f>(VLOOKUP(V2,Inflows!$E$95:$F$109,2,FALSE ))</f>
        <v>161112</v>
      </c>
      <c r="W46" s="7">
        <f>(VLOOKUP(W2,Inflows!$E$95:$F$109,2,FALSE ))</f>
        <v>263513</v>
      </c>
      <c r="X46" s="7">
        <f>(VLOOKUP(X2,Inflows!$E$95:$F$109,2,FALSE ))</f>
        <v>219758</v>
      </c>
      <c r="Y46" s="7" t="e">
        <f>(VLOOKUP(Y2,Inflows!$E$95:$F$109,2,FALSE ))</f>
        <v>#N/A</v>
      </c>
      <c r="Z46" s="7" t="e">
        <f>(VLOOKUP(Z2,Inflows!$E$95:$F$109,2,FALSE ))</f>
        <v>#N/A</v>
      </c>
      <c r="AA46" s="7" t="e">
        <f>(VLOOKUP(AA2,Inflows!$E$95:$F$109,2,FALSE ))</f>
        <v>#N/A</v>
      </c>
      <c r="AB46" s="7" t="e">
        <f>(VLOOKUP(AB2,Inflows!$E$95:$F$109,2,FALSE ))</f>
        <v>#N/A</v>
      </c>
      <c r="AC46" s="7" t="e">
        <f>(VLOOKUP(AC2,Inflows!$E$95:$F$109,2,FALSE ))</f>
        <v>#N/A</v>
      </c>
      <c r="AD46" s="7" t="e">
        <f>(VLOOKUP(AD2,Inflows!$E$95:$F$109,2,FALSE ))</f>
        <v>#N/A</v>
      </c>
      <c r="AE46" s="7" t="e">
        <f>(VLOOKUP(AE2,Inflows!$E$95:$F$109,2,FALSE ))</f>
        <v>#N/A</v>
      </c>
      <c r="AF46" s="7" t="e">
        <f>(VLOOKUP(AF2,Inflows!$E$95:$F$109,2,FALSE ))</f>
        <v>#N/A</v>
      </c>
      <c r="AG46" s="7" t="e">
        <f>(VLOOKUP(AG2,Inflows!$E$95:$F$109,2,FALSE ))</f>
        <v>#N/A</v>
      </c>
      <c r="AH46" s="7" t="e">
        <f>(VLOOKUP(AH2,Inflows!$E$95:$F$109,2,FALSE ))</f>
        <v>#N/A</v>
      </c>
      <c r="AI46" s="7" t="e">
        <f>(VLOOKUP(AI2,Inflows!$E$95:$F$109,2,FALSE ))</f>
        <v>#N/A</v>
      </c>
      <c r="AJ46" s="7" t="e">
        <f>(VLOOKUP(AJ2,Inflows!$E$95:$F$109,2,FALSE ))</f>
        <v>#N/A</v>
      </c>
      <c r="AK46" s="7" t="e">
        <f>(VLOOKUP(AK2,Inflows!$E$95:$F$109,2,FALSE ))</f>
        <v>#N/A</v>
      </c>
      <c r="AL46" s="7" t="e">
        <f>(VLOOKUP(AL2,Inflows!$E$95:$F$109,2,FALSE ))</f>
        <v>#N/A</v>
      </c>
    </row>
    <row r="47" spans="1:38">
      <c r="A47" s="1"/>
      <c r="B47" s="7" t="s">
        <v>7658</v>
      </c>
      <c r="C47" s="254">
        <v>38409094</v>
      </c>
      <c r="D47" s="254">
        <v>38409094</v>
      </c>
      <c r="E47" s="254">
        <v>38409094</v>
      </c>
      <c r="F47" s="254">
        <v>38409094</v>
      </c>
      <c r="G47" s="254">
        <v>38409094</v>
      </c>
      <c r="H47" s="254">
        <v>38409094</v>
      </c>
      <c r="I47" s="254">
        <v>38409094</v>
      </c>
      <c r="J47" s="258">
        <f>SUMIF(J45:J46,"&lt;&gt;#N/A")</f>
        <v>0</v>
      </c>
      <c r="K47" s="258">
        <f t="shared" ref="K47:X47" si="1">SUMIF(K45:K46,"&lt;&gt;#N/A")</f>
        <v>0</v>
      </c>
      <c r="L47" s="258">
        <f t="shared" si="1"/>
        <v>46303099</v>
      </c>
      <c r="M47" s="258">
        <f t="shared" si="1"/>
        <v>49273720</v>
      </c>
      <c r="N47" s="258">
        <f t="shared" si="1"/>
        <v>44913256</v>
      </c>
      <c r="O47" s="258">
        <f t="shared" si="1"/>
        <v>43563534</v>
      </c>
      <c r="P47" s="258">
        <f t="shared" si="1"/>
        <v>44222730</v>
      </c>
      <c r="Q47" s="258">
        <f t="shared" si="1"/>
        <v>41216658</v>
      </c>
      <c r="R47" s="258">
        <f t="shared" si="1"/>
        <v>39172742</v>
      </c>
      <c r="S47" s="258">
        <f t="shared" si="1"/>
        <v>36984123</v>
      </c>
      <c r="T47" s="258">
        <f t="shared" si="1"/>
        <v>31700781</v>
      </c>
      <c r="U47" s="258">
        <f t="shared" si="1"/>
        <v>29545578</v>
      </c>
      <c r="V47" s="258">
        <f t="shared" si="1"/>
        <v>29029408</v>
      </c>
      <c r="W47" s="258">
        <f t="shared" si="1"/>
        <v>29869985</v>
      </c>
      <c r="X47" s="258">
        <f t="shared" si="1"/>
        <v>219758</v>
      </c>
      <c r="Y47" s="254">
        <v>23229160</v>
      </c>
      <c r="Z47" s="254">
        <v>23229160</v>
      </c>
      <c r="AA47" s="254">
        <v>23229160</v>
      </c>
      <c r="AB47" s="254">
        <v>23229160</v>
      </c>
      <c r="AC47" s="254">
        <v>23229160</v>
      </c>
      <c r="AD47" s="254">
        <v>23229160</v>
      </c>
      <c r="AE47" s="254">
        <v>23229160</v>
      </c>
      <c r="AF47" s="254">
        <v>23229160</v>
      </c>
      <c r="AG47" s="254">
        <v>23229160</v>
      </c>
      <c r="AH47" s="254">
        <v>23229160</v>
      </c>
      <c r="AI47" s="254">
        <v>23229160</v>
      </c>
      <c r="AJ47" s="254">
        <v>23229160</v>
      </c>
      <c r="AK47" s="254">
        <v>23229160</v>
      </c>
      <c r="AL47" s="254">
        <v>23229160</v>
      </c>
    </row>
    <row r="48" spans="1:38">
      <c r="D48" s="86"/>
      <c r="O48" s="87"/>
      <c r="P48" s="87"/>
      <c r="Q48" s="87"/>
      <c r="R48" s="87"/>
      <c r="S48" s="87"/>
      <c r="T48" s="87"/>
      <c r="U48" s="87"/>
      <c r="V48" s="87"/>
      <c r="W48" s="87"/>
      <c r="X48" s="87"/>
      <c r="Y48" s="87"/>
      <c r="Z48" s="87"/>
      <c r="AA48" s="87"/>
      <c r="AB48" s="87"/>
      <c r="AC48" s="87"/>
      <c r="AD48" s="87"/>
      <c r="AE48" s="87"/>
      <c r="AF48" s="87"/>
      <c r="AG48" s="87"/>
      <c r="AH48" s="87"/>
      <c r="AI48" s="87"/>
      <c r="AJ48" s="87"/>
      <c r="AK48" s="87"/>
      <c r="AL48" s="87"/>
    </row>
    <row r="49" spans="1:42" ht="21">
      <c r="B49" s="52" t="s">
        <v>6926</v>
      </c>
      <c r="C49"/>
      <c r="R49" s="86"/>
      <c r="S49" s="86"/>
    </row>
    <row r="50" spans="1:42">
      <c r="A50" s="1" t="s">
        <v>6902</v>
      </c>
      <c r="B50" s="7">
        <v>2000</v>
      </c>
      <c r="C50" s="50">
        <f>(SUM($C$47:$C$47)*Product_lifespan!C21)</f>
        <v>6663644.7620369084</v>
      </c>
      <c r="D50" s="50">
        <f>(SUM($C$47:$C$47)*Product_lifespan!D21)</f>
        <v>7682823.3332588347</v>
      </c>
      <c r="E50" s="50">
        <f>(SUM($C$47:$C$47)*Product_lifespan!E21)</f>
        <v>6943472.3641529204</v>
      </c>
      <c r="F50" s="50">
        <f>(SUM($C$47:$C$47)*Product_lifespan!F21)</f>
        <v>5486415.8014969099</v>
      </c>
      <c r="G50" s="50">
        <f>(SUM($C$47:$C$47)*Product_lifespan!G21)</f>
        <v>3937380.9565988872</v>
      </c>
      <c r="H50" s="50">
        <f>(SUM($C$47:$C$47)*Product_lifespan!H21)</f>
        <v>2615593.3113655974</v>
      </c>
      <c r="I50" s="50">
        <f>(SUM($C$47:$C$47)*Product_lifespan!I21)</f>
        <v>1626633.140128644</v>
      </c>
      <c r="J50" s="50">
        <f>(SUM($C$47:$C$47)*Product_lifespan!J21)</f>
        <v>954199.75183097902</v>
      </c>
      <c r="K50" s="50">
        <f>(SUM($C$47:$C$47)*Product_lifespan!K21)</f>
        <v>530848.10630361317</v>
      </c>
      <c r="L50" s="50">
        <f>(SUM($C$47:$C$47)*Product_lifespan!L21)</f>
        <v>281231.32020725595</v>
      </c>
      <c r="M50" s="50">
        <f>(SUM($C$47:$C$47)*Product_lifespan!M21)</f>
        <v>142338.97717567955</v>
      </c>
      <c r="N50" s="50">
        <f>(SUM($C$47:$C$47)*Product_lifespan!N21)</f>
        <v>69006.882388472412</v>
      </c>
      <c r="O50" s="50">
        <f>(SUM($C$47:$C$47)*Product_lifespan!O21)</f>
        <v>32115.913116002845</v>
      </c>
      <c r="P50" s="50">
        <f>(SUM($C$47:$C$47)*Product_lifespan!P21)</f>
        <v>14375.237349158964</v>
      </c>
      <c r="Q50" s="50">
        <f>(SUM($C$47:$C$47)*Product_lifespan!Q21)</f>
        <v>6198.314082101434</v>
      </c>
      <c r="R50" s="50">
        <f>(SUM($C$47:$C$47)*Product_lifespan!R21)</f>
        <v>2578.1336084671034</v>
      </c>
      <c r="S50" s="50">
        <f>(SUM($C$47:$C$47)*Product_lifespan!S21)</f>
        <v>1035.7371884729157</v>
      </c>
      <c r="T50" s="50">
        <f>(SUM($C$47:$C$47)*Product_lifespan!T21)</f>
        <v>402.33454126462811</v>
      </c>
      <c r="U50" s="50">
        <f>(SUM($C$47:$C$47)*Product_lifespan!U21)</f>
        <v>151.26970780997311</v>
      </c>
      <c r="V50" s="50">
        <f>(SUM($C$47:$C$47)*Product_lifespan!V21)</f>
        <v>55.098073670942831</v>
      </c>
      <c r="W50" s="50">
        <f>(SUM($C$47:$C$47)*Product_lifespan!W21)</f>
        <v>19.458043540910662</v>
      </c>
      <c r="X50" s="50">
        <f>(SUM($C$47:$C$47)*Product_lifespan!X21)</f>
        <v>6.6675945495009303</v>
      </c>
      <c r="Y50" s="50">
        <f>(SUM($C$47:$C$47)*Product_lifespan!Y21)</f>
        <v>2.2184506225757428</v>
      </c>
      <c r="Z50" s="50">
        <f>(SUM($C$47:$C$47)*Product_lifespan!Z21)</f>
        <v>0.7171695414448418</v>
      </c>
      <c r="AA50" s="50">
        <f>(SUM($C$47:$C$47)*Product_lifespan!AA21)</f>
        <v>0.22539620064111962</v>
      </c>
      <c r="AB50" s="50">
        <f>(SUM($C$47:$C$47)*Product_lifespan!AB21)</f>
        <v>6.8907702166625992E-2</v>
      </c>
      <c r="AC50" s="50">
        <f>(SUM($C$47:$C$47)*Product_lifespan!AC21)</f>
        <v>2.0502817658606461E-2</v>
      </c>
      <c r="AD50" s="50">
        <f>(SUM($C$47:$C$47)*Product_lifespan!AD21)</f>
        <v>5.9401606143611452E-3</v>
      </c>
      <c r="AE50" s="50">
        <f>(SUM($C$47:$C$47)*Product_lifespan!AE21)</f>
        <v>1.6765766052670502E-3</v>
      </c>
      <c r="AF50" s="50">
        <f>(SUM($C$47:$C$47)*Product_lifespan!AF21)</f>
        <v>4.6118967944547068E-4</v>
      </c>
      <c r="AG50" s="50" t="e">
        <f>(SUM($C$47:$C$47)*Product_lifespan!#REF!)</f>
        <v>#REF!</v>
      </c>
      <c r="AH50" s="50" t="e">
        <f>(SUM($C$47:$C$47)*Product_lifespan!#REF!)</f>
        <v>#REF!</v>
      </c>
      <c r="AI50" s="50" t="e">
        <f>(SUM($C$47:$C$47)*Product_lifespan!#REF!)</f>
        <v>#REF!</v>
      </c>
      <c r="AJ50" s="50" t="e">
        <f>(SUM($C$47:$C$47)*Product_lifespan!#REF!)</f>
        <v>#REF!</v>
      </c>
      <c r="AK50" s="50" t="e">
        <f>(SUM($C$47:$C$47)*Product_lifespan!#REF!)</f>
        <v>#REF!</v>
      </c>
      <c r="AL50" s="50" t="e">
        <f>(SUM($C$47:$C$47)*Product_lifespan!#REF!)</f>
        <v>#REF!</v>
      </c>
    </row>
    <row r="51" spans="1:42">
      <c r="B51" s="7">
        <v>2001</v>
      </c>
      <c r="C51" s="8"/>
      <c r="D51" s="50">
        <f>(SUM($D$47:$D$47)*Product_lifespan!C21)</f>
        <v>6663644.7620369084</v>
      </c>
      <c r="E51" s="50">
        <f>(SUM($D$47:$D$47)*Product_lifespan!D21)</f>
        <v>7682823.3332588347</v>
      </c>
      <c r="F51" s="50">
        <f>(SUM($D$47:$D$47)*Product_lifespan!E21)</f>
        <v>6943472.3641529204</v>
      </c>
      <c r="G51" s="50">
        <f>(SUM($D$47:$D$47)*Product_lifespan!F21)</f>
        <v>5486415.8014969099</v>
      </c>
      <c r="H51" s="50">
        <f>(SUM($D$47:$D$47)*Product_lifespan!G21)</f>
        <v>3937380.9565988872</v>
      </c>
      <c r="I51" s="50">
        <f>(SUM($D$47:$D$47)*Product_lifespan!H21)</f>
        <v>2615593.3113655974</v>
      </c>
      <c r="J51" s="50">
        <f>(SUM($D$47:$D$47)*Product_lifespan!I21)</f>
        <v>1626633.140128644</v>
      </c>
      <c r="K51" s="50">
        <f>(SUM($D$47:$D$47)*Product_lifespan!J21)</f>
        <v>954199.75183097902</v>
      </c>
      <c r="L51" s="50">
        <f>(SUM($D$47:$D$47)*Product_lifespan!K21)</f>
        <v>530848.10630361317</v>
      </c>
      <c r="M51" s="50">
        <f>(SUM($D$47:$D$47)*Product_lifespan!L21)</f>
        <v>281231.32020725595</v>
      </c>
      <c r="N51" s="50">
        <f>(SUM($D$47:$D$47)*Product_lifespan!M21)</f>
        <v>142338.97717567955</v>
      </c>
      <c r="O51" s="50">
        <f>(SUM($D$47:$D$47)*Product_lifespan!N21)</f>
        <v>69006.882388472412</v>
      </c>
      <c r="P51" s="50">
        <f>(SUM($D$47:$D$47)*Product_lifespan!O21)</f>
        <v>32115.913116002845</v>
      </c>
      <c r="Q51" s="50">
        <f>(SUM($D$47:$D$47)*Product_lifespan!P21)</f>
        <v>14375.237349158964</v>
      </c>
      <c r="R51" s="50">
        <f>(SUM($D$47:$D$47)*Product_lifespan!Q21)</f>
        <v>6198.314082101434</v>
      </c>
      <c r="S51" s="50">
        <f>(SUM($D$47:$D$47)*Product_lifespan!R21)</f>
        <v>2578.1336084671034</v>
      </c>
      <c r="T51" s="50">
        <f>(SUM($D$47:$D$47)*Product_lifespan!S21)</f>
        <v>1035.7371884729157</v>
      </c>
      <c r="U51" s="50">
        <f>(SUM($D$47:$D$47)*Product_lifespan!T21)</f>
        <v>402.33454126462811</v>
      </c>
      <c r="V51" s="50">
        <f>(SUM($D$47:$D$47)*Product_lifespan!U21)</f>
        <v>151.26970780997311</v>
      </c>
      <c r="W51" s="50">
        <f>(SUM($D$47:$D$47)*Product_lifespan!V21)</f>
        <v>55.098073670942831</v>
      </c>
      <c r="X51" s="50">
        <f>(SUM($D$47:$D$47)*Product_lifespan!W21)</f>
        <v>19.458043540910662</v>
      </c>
      <c r="Y51" s="50">
        <f>(SUM($D$47:$D$47)*Product_lifespan!X21)</f>
        <v>6.6675945495009303</v>
      </c>
      <c r="Z51" s="50">
        <f>(SUM($D$47:$D$47)*Product_lifespan!Y21)</f>
        <v>2.2184506225757428</v>
      </c>
      <c r="AA51" s="50">
        <f>(SUM($D$47:$D$47)*Product_lifespan!Z21)</f>
        <v>0.7171695414448418</v>
      </c>
      <c r="AB51" s="50">
        <f>(SUM($D$47:$D$47)*Product_lifespan!AA21)</f>
        <v>0.22539620064111962</v>
      </c>
      <c r="AC51" s="50">
        <f>(SUM($D$47:$D$47)*Product_lifespan!AB21)</f>
        <v>6.8907702166625992E-2</v>
      </c>
      <c r="AD51" s="50">
        <f>(SUM($D$47:$D$47)*Product_lifespan!AC21)</f>
        <v>2.0502817658606461E-2</v>
      </c>
      <c r="AE51" s="50">
        <f>(SUM($D$47:$D$47)*Product_lifespan!AD21)</f>
        <v>5.9401606143611452E-3</v>
      </c>
      <c r="AF51" s="50">
        <f>(SUM($D$47:$D$47)*Product_lifespan!AE21)</f>
        <v>1.6765766052670502E-3</v>
      </c>
      <c r="AG51" s="50">
        <f>(SUM($D$47:$D$47)*Product_lifespan!AF21)</f>
        <v>4.6118967944547068E-4</v>
      </c>
      <c r="AH51" s="50" t="e">
        <f>(SUM($D$47:$D$47)*Product_lifespan!#REF!)</f>
        <v>#REF!</v>
      </c>
      <c r="AI51" s="50" t="e">
        <f>(SUM($D$47:$D$47)*Product_lifespan!#REF!)</f>
        <v>#REF!</v>
      </c>
      <c r="AJ51" s="50" t="e">
        <f>(SUM($D$47:$D$47)*Product_lifespan!#REF!)</f>
        <v>#REF!</v>
      </c>
      <c r="AK51" s="50" t="e">
        <f>(SUM($D$47:$D$47)*Product_lifespan!#REF!)</f>
        <v>#REF!</v>
      </c>
      <c r="AL51" s="50" t="e">
        <f>(SUM($D$47:$D$47)*Product_lifespan!#REF!)</f>
        <v>#REF!</v>
      </c>
    </row>
    <row r="52" spans="1:42">
      <c r="B52" s="7">
        <v>2002</v>
      </c>
      <c r="C52" s="8"/>
      <c r="D52" s="50"/>
      <c r="E52" s="50">
        <f>(SUM($E$47:$E$47)*Product_lifespan!C21)</f>
        <v>6663644.7620369084</v>
      </c>
      <c r="F52" s="50">
        <f>(SUM($E$47:$E$47)*Product_lifespan!D21)</f>
        <v>7682823.3332588347</v>
      </c>
      <c r="G52" s="50">
        <f>(SUM($E$47:$E$47)*Product_lifespan!E21)</f>
        <v>6943472.3641529204</v>
      </c>
      <c r="H52" s="50">
        <f>(SUM($E$47:$E$47)*Product_lifespan!F21)</f>
        <v>5486415.8014969099</v>
      </c>
      <c r="I52" s="50">
        <f>(SUM($E$47:$E$47)*Product_lifespan!G21)</f>
        <v>3937380.9565988872</v>
      </c>
      <c r="J52" s="50">
        <f>(SUM($E$47:$E$47)*Product_lifespan!H21)</f>
        <v>2615593.3113655974</v>
      </c>
      <c r="K52" s="50">
        <f>(SUM($E$47:$E$47)*Product_lifespan!I21)</f>
        <v>1626633.140128644</v>
      </c>
      <c r="L52" s="50">
        <f>(SUM($E$47:$E$47)*Product_lifespan!J21)</f>
        <v>954199.75183097902</v>
      </c>
      <c r="M52" s="50">
        <f>(SUM($E$47:$E$47)*Product_lifespan!K21)</f>
        <v>530848.10630361317</v>
      </c>
      <c r="N52" s="50">
        <f>(SUM($E$47:$E$47)*Product_lifespan!L21)</f>
        <v>281231.32020725595</v>
      </c>
      <c r="O52" s="50">
        <f>(SUM($E$47:$E$47)*Product_lifespan!M21)</f>
        <v>142338.97717567955</v>
      </c>
      <c r="P52" s="50">
        <f>(SUM($E$47:$E$47)*Product_lifespan!N21)</f>
        <v>69006.882388472412</v>
      </c>
      <c r="Q52" s="50">
        <f>(SUM($E$47:$E$47)*Product_lifespan!O21)</f>
        <v>32115.913116002845</v>
      </c>
      <c r="R52" s="50">
        <f>(SUM($E$47:$E$47)*Product_lifespan!P21)</f>
        <v>14375.237349158964</v>
      </c>
      <c r="S52" s="50">
        <f>(SUM($E$47:$E$47)*Product_lifespan!Q21)</f>
        <v>6198.314082101434</v>
      </c>
      <c r="T52" s="50">
        <f>(SUM($E$47:$E$47)*Product_lifespan!R21)</f>
        <v>2578.1336084671034</v>
      </c>
      <c r="U52" s="50">
        <f>(SUM($E$47:$E$47)*Product_lifespan!S21)</f>
        <v>1035.7371884729157</v>
      </c>
      <c r="V52" s="50">
        <f>(SUM($E$47:$E$47)*Product_lifespan!T21)</f>
        <v>402.33454126462811</v>
      </c>
      <c r="W52" s="50">
        <f>(SUM($E$47:$E$47)*Product_lifespan!U21)</f>
        <v>151.26970780997311</v>
      </c>
      <c r="X52" s="50">
        <f>(SUM($E$47:$E$47)*Product_lifespan!V21)</f>
        <v>55.098073670942831</v>
      </c>
      <c r="Y52" s="50">
        <f>(SUM($E$47:$E$47)*Product_lifespan!W21)</f>
        <v>19.458043540910662</v>
      </c>
      <c r="Z52" s="50">
        <f>(SUM($E$47:$E$47)*Product_lifespan!X21)</f>
        <v>6.6675945495009303</v>
      </c>
      <c r="AA52" s="50">
        <f>(SUM($E$47:$E$47)*Product_lifespan!Y21)</f>
        <v>2.2184506225757428</v>
      </c>
      <c r="AB52" s="50">
        <f>(SUM($E$47:$E$47)*Product_lifespan!Z21)</f>
        <v>0.7171695414448418</v>
      </c>
      <c r="AC52" s="50">
        <f>(SUM($E$47:$E$47)*Product_lifespan!AA21)</f>
        <v>0.22539620064111962</v>
      </c>
      <c r="AD52" s="50">
        <f>(SUM($E$47:$E$47)*Product_lifespan!AB21)</f>
        <v>6.8907702166625992E-2</v>
      </c>
      <c r="AE52" s="50">
        <f>(SUM($E$47:$E$47)*Product_lifespan!AC21)</f>
        <v>2.0502817658606461E-2</v>
      </c>
      <c r="AF52" s="50">
        <f>(SUM($E$47:$E$47)*Product_lifespan!AD21)</f>
        <v>5.9401606143611452E-3</v>
      </c>
      <c r="AG52" s="50">
        <f>(SUM($E$47:$E$47)*Product_lifespan!AE21)</f>
        <v>1.6765766052670502E-3</v>
      </c>
      <c r="AH52" s="50">
        <f>(SUM($E$47:$E$47)*Product_lifespan!AF21)</f>
        <v>4.6118967944547068E-4</v>
      </c>
      <c r="AI52" s="50" t="e">
        <f>(SUM($E$47:$E$47)*Product_lifespan!#REF!)</f>
        <v>#REF!</v>
      </c>
      <c r="AJ52" s="50" t="e">
        <f>(SUM($E$47:$E$47)*Product_lifespan!#REF!)</f>
        <v>#REF!</v>
      </c>
      <c r="AK52" s="50" t="e">
        <f>(SUM($E$47:$E$47)*Product_lifespan!#REF!)</f>
        <v>#REF!</v>
      </c>
      <c r="AL52" s="50" t="e">
        <f>(SUM($E$47:$E$47)*Product_lifespan!#REF!)</f>
        <v>#REF!</v>
      </c>
    </row>
    <row r="53" spans="1:42">
      <c r="B53" s="7">
        <v>2003</v>
      </c>
      <c r="C53" s="8"/>
      <c r="D53" s="50"/>
      <c r="E53" s="8"/>
      <c r="F53" s="50">
        <f>(SUM($F$47:$F$47)*Product_lifespan!C21)</f>
        <v>6663644.7620369084</v>
      </c>
      <c r="G53" s="50">
        <f>(SUM($F$47:$F$47)*Product_lifespan!D21)</f>
        <v>7682823.3332588347</v>
      </c>
      <c r="H53" s="50">
        <f>(SUM($F$47:$F$47)*Product_lifespan!E21)</f>
        <v>6943472.3641529204</v>
      </c>
      <c r="I53" s="50">
        <f>(SUM($F$47:$F$47)*Product_lifespan!F21)</f>
        <v>5486415.8014969099</v>
      </c>
      <c r="J53" s="50">
        <f>(SUM($F$47:$F$47)*Product_lifespan!G21)</f>
        <v>3937380.9565988872</v>
      </c>
      <c r="K53" s="50">
        <f>(SUM($F$47:$F$47)*Product_lifespan!H21)</f>
        <v>2615593.3113655974</v>
      </c>
      <c r="L53" s="50">
        <f>(SUM($F$47:$F$47)*Product_lifespan!I21)</f>
        <v>1626633.140128644</v>
      </c>
      <c r="M53" s="50">
        <f>(SUM($F$47:$F$47)*Product_lifespan!J21)</f>
        <v>954199.75183097902</v>
      </c>
      <c r="N53" s="50">
        <f>(SUM($F$47:$F$47)*Product_lifespan!K21)</f>
        <v>530848.10630361317</v>
      </c>
      <c r="O53" s="50">
        <f>(SUM($F$47:$F$47)*Product_lifespan!L21)</f>
        <v>281231.32020725595</v>
      </c>
      <c r="P53" s="50">
        <f>(SUM($F$47:$F$47)*Product_lifespan!M21)</f>
        <v>142338.97717567955</v>
      </c>
      <c r="Q53" s="50">
        <f>(SUM($F$47:$F$47)*Product_lifespan!N21)</f>
        <v>69006.882388472412</v>
      </c>
      <c r="R53" s="50">
        <f>(SUM($F$47:$F$47)*Product_lifespan!O21)</f>
        <v>32115.913116002845</v>
      </c>
      <c r="S53" s="50">
        <f>(SUM($F$47:$F$47)*Product_lifespan!P21)</f>
        <v>14375.237349158964</v>
      </c>
      <c r="T53" s="50">
        <f>(SUM($F$47:$F$47)*Product_lifespan!Q21)</f>
        <v>6198.314082101434</v>
      </c>
      <c r="U53" s="50">
        <f>(SUM($F$47:$F$47)*Product_lifespan!R21)</f>
        <v>2578.1336084671034</v>
      </c>
      <c r="V53" s="50">
        <f>(SUM($F$47:$F$47)*Product_lifespan!S21)</f>
        <v>1035.7371884729157</v>
      </c>
      <c r="W53" s="50">
        <f>(SUM($F$47:$F$47)*Product_lifespan!T21)</f>
        <v>402.33454126462811</v>
      </c>
      <c r="X53" s="50">
        <f>(SUM($F$47:$F$47)*Product_lifespan!U21)</f>
        <v>151.26970780997311</v>
      </c>
      <c r="Y53" s="50">
        <f>(SUM($F$47:$F$47)*Product_lifespan!V21)</f>
        <v>55.098073670942831</v>
      </c>
      <c r="Z53" s="50">
        <f>(SUM($F$47:$F$47)*Product_lifespan!W21)</f>
        <v>19.458043540910662</v>
      </c>
      <c r="AA53" s="50">
        <f>(SUM($F$47:$F$47)*Product_lifespan!X21)</f>
        <v>6.6675945495009303</v>
      </c>
      <c r="AB53" s="50">
        <f>(SUM($F$47:$F$47)*Product_lifespan!Y21)</f>
        <v>2.2184506225757428</v>
      </c>
      <c r="AC53" s="50">
        <f>(SUM($F$47:$F$47)*Product_lifespan!Z21)</f>
        <v>0.7171695414448418</v>
      </c>
      <c r="AD53" s="50">
        <f>(SUM($F$47:$F$47)*Product_lifespan!AA21)</f>
        <v>0.22539620064111962</v>
      </c>
      <c r="AE53" s="50">
        <f>(SUM($F$47:$F$47)*Product_lifespan!AB21)</f>
        <v>6.8907702166625992E-2</v>
      </c>
      <c r="AF53" s="50">
        <f>(SUM($F$47:$F$47)*Product_lifespan!AC21)</f>
        <v>2.0502817658606461E-2</v>
      </c>
      <c r="AG53" s="50">
        <f>(SUM($F$47:$F$47)*Product_lifespan!AD21)</f>
        <v>5.9401606143611452E-3</v>
      </c>
      <c r="AH53" s="50">
        <f>(SUM($F$47:$F$47)*Product_lifespan!AE21)</f>
        <v>1.6765766052670502E-3</v>
      </c>
      <c r="AI53" s="50">
        <f>(SUM($F$47:$F$47)*Product_lifespan!AF21)</f>
        <v>4.6118967944547068E-4</v>
      </c>
      <c r="AJ53" s="50" t="e">
        <f>(SUM($F$47:$F$47)*Product_lifespan!#REF!)</f>
        <v>#REF!</v>
      </c>
      <c r="AK53" s="50" t="e">
        <f>(SUM($F$47:$F$47)*Product_lifespan!#REF!)</f>
        <v>#REF!</v>
      </c>
      <c r="AL53" s="50" t="e">
        <f>(SUM($F$47:$F$47)*Product_lifespan!#REF!)</f>
        <v>#REF!</v>
      </c>
    </row>
    <row r="54" spans="1:42">
      <c r="B54" s="7">
        <v>2004</v>
      </c>
      <c r="C54" s="8"/>
      <c r="D54" s="50"/>
      <c r="E54" s="8"/>
      <c r="F54" s="8"/>
      <c r="G54" s="50">
        <f>(SUM($G$47:$G$47)*Product_lifespan!C21)</f>
        <v>6663644.7620369084</v>
      </c>
      <c r="H54" s="50">
        <f>(SUM($G$47:$G$47)*Product_lifespan!D21)</f>
        <v>7682823.3332588347</v>
      </c>
      <c r="I54" s="50">
        <f>(SUM($G$47:$G$47)*Product_lifespan!E21)</f>
        <v>6943472.3641529204</v>
      </c>
      <c r="J54" s="50">
        <f>(SUM($G$47:$G$47)*Product_lifespan!F21)</f>
        <v>5486415.8014969099</v>
      </c>
      <c r="K54" s="50">
        <f>(SUM($G$47:$G$47)*Product_lifespan!G21)</f>
        <v>3937380.9565988872</v>
      </c>
      <c r="L54" s="50">
        <f>(SUM($G$47:$G$47)*Product_lifespan!H21)</f>
        <v>2615593.3113655974</v>
      </c>
      <c r="M54" s="50">
        <f>(SUM($G$47:$G$47)*Product_lifespan!I21)</f>
        <v>1626633.140128644</v>
      </c>
      <c r="N54" s="50">
        <f>(SUM($G$47:$G$47)*Product_lifespan!J21)</f>
        <v>954199.75183097902</v>
      </c>
      <c r="O54" s="50">
        <f>(SUM($G$47:$G$47)*Product_lifespan!K21)</f>
        <v>530848.10630361317</v>
      </c>
      <c r="P54" s="50">
        <f>(SUM($G$47:$G$47)*Product_lifespan!L21)</f>
        <v>281231.32020725595</v>
      </c>
      <c r="Q54" s="50">
        <f>(SUM($G$47:$G$47)*Product_lifespan!M21)</f>
        <v>142338.97717567955</v>
      </c>
      <c r="R54" s="50">
        <f>(SUM($G$47:$G$47)*Product_lifespan!N21)</f>
        <v>69006.882388472412</v>
      </c>
      <c r="S54" s="50">
        <f>(SUM($G$47:$G$47)*Product_lifespan!O21)</f>
        <v>32115.913116002845</v>
      </c>
      <c r="T54" s="50">
        <f>(SUM($G$47:$G$47)*Product_lifespan!P21)</f>
        <v>14375.237349158964</v>
      </c>
      <c r="U54" s="50">
        <f>(SUM($G$47:$G$47)*Product_lifespan!Q21)</f>
        <v>6198.314082101434</v>
      </c>
      <c r="V54" s="50">
        <f>(SUM($G$47:$G$47)*Product_lifespan!R21)</f>
        <v>2578.1336084671034</v>
      </c>
      <c r="W54" s="50">
        <f>(SUM($G$47:$G$47)*Product_lifespan!S21)</f>
        <v>1035.7371884729157</v>
      </c>
      <c r="X54" s="50">
        <f>(SUM($G$47:$G$47)*Product_lifespan!T21)</f>
        <v>402.33454126462811</v>
      </c>
      <c r="Y54" s="50">
        <f>(SUM($G$47:$G$47)*Product_lifespan!U21)</f>
        <v>151.26970780997311</v>
      </c>
      <c r="Z54" s="50">
        <f>(SUM($G$47:$G$47)*Product_lifespan!V21)</f>
        <v>55.098073670942831</v>
      </c>
      <c r="AA54" s="50">
        <f>(SUM($G$47:$G$47)*Product_lifespan!W21)</f>
        <v>19.458043540910662</v>
      </c>
      <c r="AB54" s="50">
        <f>(SUM($G$47:$G$47)*Product_lifespan!X21)</f>
        <v>6.6675945495009303</v>
      </c>
      <c r="AC54" s="50">
        <f>(SUM($G$47:$G$47)*Product_lifespan!Y21)</f>
        <v>2.2184506225757428</v>
      </c>
      <c r="AD54" s="50">
        <f>(SUM($G$47:$G$47)*Product_lifespan!Z21)</f>
        <v>0.7171695414448418</v>
      </c>
      <c r="AE54" s="50">
        <f>(SUM($G$47:$G$47)*Product_lifespan!AA21)</f>
        <v>0.22539620064111962</v>
      </c>
      <c r="AF54" s="50">
        <f>(SUM($G$47:$G$47)*Product_lifespan!AB21)</f>
        <v>6.8907702166625992E-2</v>
      </c>
      <c r="AG54" s="50">
        <f>(SUM($G$47:$G$47)*Product_lifespan!AC21)</f>
        <v>2.0502817658606461E-2</v>
      </c>
      <c r="AH54" s="50">
        <f>(SUM($G$47:$G$47)*Product_lifespan!AD21)</f>
        <v>5.9401606143611452E-3</v>
      </c>
      <c r="AI54" s="50">
        <f>(SUM($G$47:$G$47)*Product_lifespan!AE21)</f>
        <v>1.6765766052670502E-3</v>
      </c>
      <c r="AJ54" s="50">
        <f>(SUM($G$47:$G$47)*Product_lifespan!AF21)</f>
        <v>4.6118967944547068E-4</v>
      </c>
      <c r="AK54" s="50" t="e">
        <f>(SUM($G$47:$G$47)*Product_lifespan!#REF!)</f>
        <v>#REF!</v>
      </c>
      <c r="AL54" s="50" t="e">
        <f>(SUM($G$47:$G$47)*Product_lifespan!#REF!)</f>
        <v>#REF!</v>
      </c>
    </row>
    <row r="55" spans="1:42">
      <c r="B55" s="7">
        <v>2005</v>
      </c>
      <c r="C55" s="8"/>
      <c r="D55" s="8"/>
      <c r="E55" s="8"/>
      <c r="F55" s="8"/>
      <c r="G55" s="8"/>
      <c r="H55" s="50">
        <f>(SUM($H$47:$H$47)*Product_lifespan!C21)</f>
        <v>6663644.7620369084</v>
      </c>
      <c r="I55" s="50">
        <f>(SUM($H$47:$H$47)*Product_lifespan!D21)</f>
        <v>7682823.3332588347</v>
      </c>
      <c r="J55" s="50">
        <f>(SUM($H$47:$H$47)*Product_lifespan!E21)</f>
        <v>6943472.3641529204</v>
      </c>
      <c r="K55" s="50">
        <f>(SUM($H$47:$H$47)*Product_lifespan!F21)</f>
        <v>5486415.8014969099</v>
      </c>
      <c r="L55" s="50">
        <f>(SUM($H$47:$H$47)*Product_lifespan!G21)</f>
        <v>3937380.9565988872</v>
      </c>
      <c r="M55" s="50">
        <f>(SUM($H$47:$H$47)*Product_lifespan!H21)</f>
        <v>2615593.3113655974</v>
      </c>
      <c r="N55" s="50">
        <f>(SUM($H$47:$H$47)*Product_lifespan!I21)</f>
        <v>1626633.140128644</v>
      </c>
      <c r="O55" s="50">
        <f>(SUM($H$47:$H$47)*Product_lifespan!J21)</f>
        <v>954199.75183097902</v>
      </c>
      <c r="P55" s="50">
        <f>(SUM($H$47:$H$47)*Product_lifespan!K21)</f>
        <v>530848.10630361317</v>
      </c>
      <c r="Q55" s="50">
        <f>(SUM($H$47:$H$47)*Product_lifespan!L21)</f>
        <v>281231.32020725595</v>
      </c>
      <c r="R55" s="50">
        <f>(SUM($H$47:$H$47)*Product_lifespan!M21)</f>
        <v>142338.97717567955</v>
      </c>
      <c r="S55" s="50">
        <f>(SUM($H$47:$H$47)*Product_lifespan!N21)</f>
        <v>69006.882388472412</v>
      </c>
      <c r="T55" s="50">
        <f>(SUM($H$47:$H$47)*Product_lifespan!O21)</f>
        <v>32115.913116002845</v>
      </c>
      <c r="U55" s="50">
        <f>(SUM($H$47:$H$47)*Product_lifespan!P21)</f>
        <v>14375.237349158964</v>
      </c>
      <c r="V55" s="50">
        <f>(SUM($H$47:$H$47)*Product_lifespan!Q21)</f>
        <v>6198.314082101434</v>
      </c>
      <c r="W55" s="50">
        <f>(SUM($H$47:$H$47)*Product_lifespan!R21)</f>
        <v>2578.1336084671034</v>
      </c>
      <c r="X55" s="50">
        <f>(SUM($H$47:$H$47)*Product_lifespan!S21)</f>
        <v>1035.7371884729157</v>
      </c>
      <c r="Y55" s="50">
        <f>(SUM($H$47:$H$47)*Product_lifespan!T21)</f>
        <v>402.33454126462811</v>
      </c>
      <c r="Z55" s="50">
        <f>(SUM($H$47:$H$47)*Product_lifespan!U21)</f>
        <v>151.26970780997311</v>
      </c>
      <c r="AA55" s="50">
        <f>(SUM($H$47:$H$47)*Product_lifespan!V21)</f>
        <v>55.098073670942831</v>
      </c>
      <c r="AB55" s="50">
        <f>(SUM($H$47:$H$47)*Product_lifespan!W21)</f>
        <v>19.458043540910662</v>
      </c>
      <c r="AC55" s="50">
        <f>(SUM($H$47:$H$47)*Product_lifespan!X21)</f>
        <v>6.6675945495009303</v>
      </c>
      <c r="AD55" s="50">
        <f>(SUM($H$47:$H$47)*Product_lifespan!Y21)</f>
        <v>2.2184506225757428</v>
      </c>
      <c r="AE55" s="50">
        <f>(SUM($H$47:$H$47)*Product_lifespan!Z21)</f>
        <v>0.7171695414448418</v>
      </c>
      <c r="AF55" s="50">
        <f>(SUM($H$47:$H$47)*Product_lifespan!AA21)</f>
        <v>0.22539620064111962</v>
      </c>
      <c r="AG55" s="50">
        <f>(SUM($H$47:$H$47)*Product_lifespan!AB21)</f>
        <v>6.8907702166625992E-2</v>
      </c>
      <c r="AH55" s="50">
        <f>(SUM($H$47:$H$47)*Product_lifespan!AC21)</f>
        <v>2.0502817658606461E-2</v>
      </c>
      <c r="AI55" s="50">
        <f>(SUM($H$47:$H$47)*Product_lifespan!AD21)</f>
        <v>5.9401606143611452E-3</v>
      </c>
      <c r="AJ55" s="50">
        <f>(SUM($H$47:$H$47)*Product_lifespan!AE21)</f>
        <v>1.6765766052670502E-3</v>
      </c>
      <c r="AK55" s="50">
        <f>(SUM($H$47:$H$47)*Product_lifespan!AF21)</f>
        <v>4.6118967944547068E-4</v>
      </c>
      <c r="AL55" s="50" t="e">
        <f>(SUM($H$47:$H$47)*Product_lifespan!#REF!)</f>
        <v>#REF!</v>
      </c>
    </row>
    <row r="56" spans="1:42">
      <c r="B56" s="7">
        <v>2006</v>
      </c>
      <c r="C56" s="8"/>
      <c r="D56" s="8"/>
      <c r="E56" s="8"/>
      <c r="F56" s="8"/>
      <c r="G56" s="8"/>
      <c r="H56" s="8"/>
      <c r="I56" s="50">
        <f>(SUM($I$47:$I$47)*Product_lifespan!C21)</f>
        <v>6663644.7620369084</v>
      </c>
      <c r="J56" s="50">
        <f>(SUM($I$47:$I$47)*Product_lifespan!D21)</f>
        <v>7682823.3332588347</v>
      </c>
      <c r="K56" s="50">
        <f>(SUM($I$47:$I$47)*Product_lifespan!E21)</f>
        <v>6943472.3641529204</v>
      </c>
      <c r="L56" s="50">
        <f>(SUM($I$47:$I$47)*Product_lifespan!F21)</f>
        <v>5486415.8014969099</v>
      </c>
      <c r="M56" s="50">
        <f>(SUM($I$47:$I$47)*Product_lifespan!G21)</f>
        <v>3937380.9565988872</v>
      </c>
      <c r="N56" s="50">
        <f>(SUM($I$47:$I$47)*Product_lifespan!H21)</f>
        <v>2615593.3113655974</v>
      </c>
      <c r="O56" s="50">
        <f>(SUM($I$47:$I$47)*Product_lifespan!I21)</f>
        <v>1626633.140128644</v>
      </c>
      <c r="P56" s="50">
        <f>(SUM($I$47:$I$47)*Product_lifespan!J21)</f>
        <v>954199.75183097902</v>
      </c>
      <c r="Q56" s="50">
        <f>(SUM($I$47:$I$47)*Product_lifespan!K21)</f>
        <v>530848.10630361317</v>
      </c>
      <c r="R56" s="50">
        <f>(SUM($I$47:$I$47)*Product_lifespan!L21)</f>
        <v>281231.32020725595</v>
      </c>
      <c r="S56" s="50">
        <f>(SUM($I$47:$I$47)*Product_lifespan!M21)</f>
        <v>142338.97717567955</v>
      </c>
      <c r="T56" s="50">
        <f>(SUM($I$47:$I$47)*Product_lifespan!N21)</f>
        <v>69006.882388472412</v>
      </c>
      <c r="U56" s="50">
        <f>(SUM($I$47:$I$47)*Product_lifespan!O21)</f>
        <v>32115.913116002845</v>
      </c>
      <c r="V56" s="50">
        <f>(SUM($I$47:$I$47)*Product_lifespan!P21)</f>
        <v>14375.237349158964</v>
      </c>
      <c r="W56" s="50">
        <f>(SUM($I$47:$I$47)*Product_lifespan!Q21)</f>
        <v>6198.314082101434</v>
      </c>
      <c r="X56" s="50">
        <f>(SUM($I$47:$I$47)*Product_lifespan!R21)</f>
        <v>2578.1336084671034</v>
      </c>
      <c r="Y56" s="50">
        <f>(SUM($I$47:$I$47)*Product_lifespan!S21)</f>
        <v>1035.7371884729157</v>
      </c>
      <c r="Z56" s="50">
        <f>(SUM($I$47:$I$47)*Product_lifespan!T21)</f>
        <v>402.33454126462811</v>
      </c>
      <c r="AA56" s="50">
        <f>(SUM($I$47:$I$47)*Product_lifespan!U21)</f>
        <v>151.26970780997311</v>
      </c>
      <c r="AB56" s="50">
        <f>(SUM($I$47:$I$47)*Product_lifespan!V21)</f>
        <v>55.098073670942831</v>
      </c>
      <c r="AC56" s="50">
        <f>(SUM($I$47:$I$47)*Product_lifespan!W21)</f>
        <v>19.458043540910662</v>
      </c>
      <c r="AD56" s="50">
        <f>(SUM($I$47:$I$47)*Product_lifespan!X21)</f>
        <v>6.6675945495009303</v>
      </c>
      <c r="AE56" s="50">
        <f>(SUM($I$47:$I$47)*Product_lifespan!Y21)</f>
        <v>2.2184506225757428</v>
      </c>
      <c r="AF56" s="50">
        <f>(SUM($I$47:$I$47)*Product_lifespan!Z21)</f>
        <v>0.7171695414448418</v>
      </c>
      <c r="AG56" s="50">
        <f>(SUM($I$47:$I$47)*Product_lifespan!AA21)</f>
        <v>0.22539620064111962</v>
      </c>
      <c r="AH56" s="50">
        <f>(SUM($I$47:$I$47)*Product_lifespan!AB21)</f>
        <v>6.8907702166625992E-2</v>
      </c>
      <c r="AI56" s="50">
        <f>(SUM($I$47:$I$47)*Product_lifespan!AC21)</f>
        <v>2.0502817658606461E-2</v>
      </c>
      <c r="AJ56" s="50">
        <f>(SUM($I$47:$I$47)*Product_lifespan!AD21)</f>
        <v>5.9401606143611452E-3</v>
      </c>
      <c r="AK56" s="50">
        <f>(SUM($I$47:$I$47)*Product_lifespan!AE21)</f>
        <v>1.6765766052670502E-3</v>
      </c>
      <c r="AL56" s="50">
        <f>(SUM($I$47:$I$47)*Product_lifespan!AF21)</f>
        <v>4.6118967944547068E-4</v>
      </c>
    </row>
    <row r="57" spans="1:42">
      <c r="B57" s="7">
        <v>2007</v>
      </c>
      <c r="C57" s="8"/>
      <c r="D57" s="8"/>
      <c r="E57" s="8"/>
      <c r="F57" s="8"/>
      <c r="G57" s="8"/>
      <c r="H57" s="8"/>
      <c r="I57" s="8"/>
      <c r="J57" s="50">
        <f>(SUM($J$47:$J$47)*Product_lifespan!C21)</f>
        <v>0</v>
      </c>
      <c r="K57" s="50">
        <f>(SUM($J$47:$J$47)*Product_lifespan!D21)</f>
        <v>0</v>
      </c>
      <c r="L57" s="50">
        <f>(SUM($J$47:$J$47)*Product_lifespan!E21)</f>
        <v>0</v>
      </c>
      <c r="M57" s="50">
        <f>(SUM($J$47:$J$47)*Product_lifespan!F21)</f>
        <v>0</v>
      </c>
      <c r="N57" s="50">
        <f>(SUM($J$47:$J$47)*Product_lifespan!G21)</f>
        <v>0</v>
      </c>
      <c r="O57" s="50">
        <f>(SUM($J$47:$J$47)*Product_lifespan!H21)</f>
        <v>0</v>
      </c>
      <c r="P57" s="50">
        <f>(SUM($J$47:$J$47)*Product_lifespan!I21)</f>
        <v>0</v>
      </c>
      <c r="Q57" s="50">
        <f>(SUM($J$47:$J$47)*Product_lifespan!J21)</f>
        <v>0</v>
      </c>
      <c r="R57" s="50">
        <f>(SUM($J$47:$J$47)*Product_lifespan!K21)</f>
        <v>0</v>
      </c>
      <c r="S57" s="50">
        <f>(SUM($J$47:$J$47)*Product_lifespan!L21)</f>
        <v>0</v>
      </c>
      <c r="T57" s="50">
        <f>(SUM($J$47:$J$47)*Product_lifespan!M21)</f>
        <v>0</v>
      </c>
      <c r="U57" s="50">
        <f>(SUM($J$47:$J$47)*Product_lifespan!N21)</f>
        <v>0</v>
      </c>
      <c r="V57" s="50">
        <f>(SUM($J$47:$J$47)*Product_lifespan!O21)</f>
        <v>0</v>
      </c>
      <c r="W57" s="50">
        <f>(SUM($J$47:$J$47)*Product_lifespan!P21)</f>
        <v>0</v>
      </c>
      <c r="X57" s="50">
        <f>(SUM($J$47:$J$47)*Product_lifespan!Q21)</f>
        <v>0</v>
      </c>
      <c r="Y57" s="50">
        <f>(SUM($J$47:$J$47)*Product_lifespan!R21)</f>
        <v>0</v>
      </c>
      <c r="Z57" s="50">
        <f>(SUM($J$47:$J$47)*Product_lifespan!S21)</f>
        <v>0</v>
      </c>
      <c r="AA57" s="50">
        <f>(SUM($J$47:$J$47)*Product_lifespan!T21)</f>
        <v>0</v>
      </c>
      <c r="AB57" s="50">
        <f>(SUM($J$47:$J$47)*Product_lifespan!U21)</f>
        <v>0</v>
      </c>
      <c r="AC57" s="50">
        <f>(SUM($J$47:$J$47)*Product_lifespan!V21)</f>
        <v>0</v>
      </c>
      <c r="AD57" s="50">
        <f>(SUM($J$47:$J$47)*Product_lifespan!W21)</f>
        <v>0</v>
      </c>
      <c r="AE57" s="50">
        <f>(SUM($J$47:$J$47)*Product_lifespan!X21)</f>
        <v>0</v>
      </c>
      <c r="AF57" s="50">
        <f>(SUM($J$47:$J$47)*Product_lifespan!Y21)</f>
        <v>0</v>
      </c>
      <c r="AG57" s="50">
        <f>(SUM($J$47:$J$47)*Product_lifespan!Z21)</f>
        <v>0</v>
      </c>
      <c r="AH57" s="50">
        <f>(SUM($J$47:$J$47)*Product_lifespan!AA21)</f>
        <v>0</v>
      </c>
      <c r="AI57" s="50">
        <f>(SUM($J$47:$J$47)*Product_lifespan!AB21)</f>
        <v>0</v>
      </c>
      <c r="AJ57" s="50">
        <f>(SUM($J$47:$J$47)*Product_lifespan!AC21)</f>
        <v>0</v>
      </c>
      <c r="AK57" s="50">
        <f>(SUM($J$47:$J$47)*Product_lifespan!AD21)</f>
        <v>0</v>
      </c>
      <c r="AL57" s="50">
        <f>(SUM($J$47:$J$47)*Product_lifespan!AE21)</f>
        <v>0</v>
      </c>
    </row>
    <row r="58" spans="1:42">
      <c r="B58" s="7">
        <v>2008</v>
      </c>
      <c r="C58" s="8"/>
      <c r="D58" s="8"/>
      <c r="E58" s="8"/>
      <c r="F58" s="8"/>
      <c r="G58" s="8"/>
      <c r="H58" s="8"/>
      <c r="I58" s="8"/>
      <c r="J58" s="8"/>
      <c r="K58" s="50">
        <f>(SUM($K$47:$K$47)*Product_lifespan!C21)</f>
        <v>0</v>
      </c>
      <c r="L58" s="50">
        <f>(SUM($K$47:$K$47)*Product_lifespan!D21)</f>
        <v>0</v>
      </c>
      <c r="M58" s="50">
        <f>(SUM($K$47:$K$47)*Product_lifespan!E21)</f>
        <v>0</v>
      </c>
      <c r="N58" s="50">
        <f>(SUM($K$47:$K$47)*Product_lifespan!F21)</f>
        <v>0</v>
      </c>
      <c r="O58" s="50">
        <f>(SUM($K$47:$K$47)*Product_lifespan!G21)</f>
        <v>0</v>
      </c>
      <c r="P58" s="50">
        <f>(SUM($K$47:$K$47)*Product_lifespan!H21)</f>
        <v>0</v>
      </c>
      <c r="Q58" s="50">
        <f>(SUM($K$47:$K$47)*Product_lifespan!I21)</f>
        <v>0</v>
      </c>
      <c r="R58" s="50">
        <f>(SUM($K$47:$K$47)*Product_lifespan!J21)</f>
        <v>0</v>
      </c>
      <c r="S58" s="50">
        <f>(SUM($K$47:$K$47)*Product_lifespan!K21)</f>
        <v>0</v>
      </c>
      <c r="T58" s="50">
        <f>(SUM($K$47:$K$47)*Product_lifespan!L21)</f>
        <v>0</v>
      </c>
      <c r="U58" s="50">
        <f>(SUM($K$47:$K$47)*Product_lifespan!M21)</f>
        <v>0</v>
      </c>
      <c r="V58" s="50">
        <f>(SUM($K$47:$K$47)*Product_lifespan!N21)</f>
        <v>0</v>
      </c>
      <c r="W58" s="50">
        <f>(SUM($K$47:$K$47)*Product_lifespan!O21)</f>
        <v>0</v>
      </c>
      <c r="X58" s="50">
        <f>(SUM($K$47:$K$47)*Product_lifespan!P21)</f>
        <v>0</v>
      </c>
      <c r="Y58" s="50">
        <f>(SUM($K$47:$K$47)*Product_lifespan!Q21)</f>
        <v>0</v>
      </c>
      <c r="Z58" s="50">
        <f>(SUM($K$47:$K$47)*Product_lifespan!R21)</f>
        <v>0</v>
      </c>
      <c r="AA58" s="50">
        <f>(SUM($K$47:$K$47)*Product_lifespan!S21)</f>
        <v>0</v>
      </c>
      <c r="AB58" s="50">
        <f>(SUM($K$47:$K$47)*Product_lifespan!T21)</f>
        <v>0</v>
      </c>
      <c r="AC58" s="50">
        <f>(SUM($K$47:$K$47)*Product_lifespan!U21)</f>
        <v>0</v>
      </c>
      <c r="AD58" s="50">
        <f>(SUM($K$47:$K$47)*Product_lifespan!V21)</f>
        <v>0</v>
      </c>
      <c r="AE58" s="50">
        <f>(SUM($K$47:$K$47)*Product_lifespan!W21)</f>
        <v>0</v>
      </c>
      <c r="AF58" s="50">
        <f>(SUM($K$47:$K$47)*Product_lifespan!X21)</f>
        <v>0</v>
      </c>
      <c r="AG58" s="50">
        <f>(SUM($K$47:$K$47)*Product_lifespan!Y21)</f>
        <v>0</v>
      </c>
      <c r="AH58" s="50">
        <f>(SUM($K$47:$K$47)*Product_lifespan!Z21)</f>
        <v>0</v>
      </c>
      <c r="AI58" s="50">
        <f>(SUM($K$47:$K$47)*Product_lifespan!AA21)</f>
        <v>0</v>
      </c>
      <c r="AJ58" s="50">
        <f>(SUM($K$47:$K$47)*Product_lifespan!AB21)</f>
        <v>0</v>
      </c>
      <c r="AK58" s="50">
        <f>(SUM($K$47:$K$47)*Product_lifespan!AC21)</f>
        <v>0</v>
      </c>
      <c r="AL58" s="50">
        <f>(SUM($K$47:$K$47)*Product_lifespan!AD21)</f>
        <v>0</v>
      </c>
    </row>
    <row r="59" spans="1:42" ht="17" thickBot="1">
      <c r="B59" s="7">
        <v>2009</v>
      </c>
      <c r="C59" s="8"/>
      <c r="D59" s="8"/>
      <c r="E59" s="8"/>
      <c r="F59" s="8"/>
      <c r="G59" s="8"/>
      <c r="H59" s="8"/>
      <c r="I59" s="8"/>
      <c r="J59" s="8"/>
      <c r="K59" s="8"/>
      <c r="L59" s="50">
        <f>(SUM($L$47:$L$47)*Product_lifespan!C21)</f>
        <v>8033186.1802683081</v>
      </c>
      <c r="M59" s="50">
        <f>(SUM($L$47:$L$47)*Product_lifespan!D21)</f>
        <v>9261830.7893280126</v>
      </c>
      <c r="N59" s="50">
        <f>(SUM($L$47:$L$47)*Product_lifespan!E21)</f>
        <v>8370525.1751352614</v>
      </c>
      <c r="O59" s="50">
        <f>(SUM($L$47:$L$47)*Product_lifespan!F21)</f>
        <v>6614007.9745665379</v>
      </c>
      <c r="P59" s="50">
        <f>(SUM($L$47:$L$47)*Product_lifespan!G21)</f>
        <v>4746608.7128770333</v>
      </c>
      <c r="Q59" s="50">
        <f>(SUM($L$47:$L$47)*Product_lifespan!H21)</f>
        <v>3153161.4893050874</v>
      </c>
      <c r="R59" s="50">
        <f>(SUM($L$47:$L$47)*Product_lifespan!I21)</f>
        <v>1960945.8979703472</v>
      </c>
      <c r="S59" s="50">
        <f>(SUM($L$47:$L$47)*Product_lifespan!J21)</f>
        <v>1150311.0584906079</v>
      </c>
      <c r="T59" s="50">
        <f>(SUM($L$47:$L$47)*Product_lifespan!K21)</f>
        <v>639950.33103719458</v>
      </c>
      <c r="U59" s="50">
        <f>(SUM($L$47:$L$47)*Product_lifespan!L21)</f>
        <v>339031.2112401629</v>
      </c>
      <c r="V59" s="50">
        <f>(SUM($L$47:$L$47)*Product_lifespan!M21)</f>
        <v>171593.1063545584</v>
      </c>
      <c r="W59" s="50">
        <f>(SUM($L$47:$L$47)*Product_lifespan!N21)</f>
        <v>83189.478692592806</v>
      </c>
      <c r="X59" s="50">
        <f>(SUM($L$47:$L$47)*Product_lifespan!O21)</f>
        <v>38716.516054392698</v>
      </c>
      <c r="Y59" s="50">
        <f>(SUM($L$47:$L$47)*Product_lifespan!P21)</f>
        <v>17329.699006350034</v>
      </c>
      <c r="Z59" s="50">
        <f>(SUM($L$47:$L$47)*Product_lifespan!Q21)</f>
        <v>7472.218703639217</v>
      </c>
      <c r="AA59" s="50">
        <f>(SUM($L$47:$L$47)*Product_lifespan!R21)</f>
        <v>3108.0029044184048</v>
      </c>
      <c r="AB59" s="50">
        <f>(SUM($L$47:$L$47)*Product_lifespan!S21)</f>
        <v>1248.6064257553974</v>
      </c>
      <c r="AC59" s="50">
        <f>(SUM($L$47:$L$47)*Product_lifespan!T21)</f>
        <v>485.02409599392433</v>
      </c>
      <c r="AD59" s="50">
        <f>(SUM($L$47:$L$47)*Product_lifespan!U21)</f>
        <v>182.35931981176796</v>
      </c>
      <c r="AE59" s="50">
        <f>(SUM($L$47:$L$47)*Product_lifespan!V21)</f>
        <v>66.422070770400353</v>
      </c>
      <c r="AF59" s="50">
        <f>(SUM($L$47:$L$47)*Product_lifespan!W21)</f>
        <v>23.457145758790794</v>
      </c>
      <c r="AG59" s="50">
        <f>(SUM($L$47:$L$47)*Product_lifespan!X21)</f>
        <v>8.0379477453282799</v>
      </c>
      <c r="AH59" s="50">
        <f>(SUM($L$47:$L$47)*Product_lifespan!Y21)</f>
        <v>2.6743962980156795</v>
      </c>
      <c r="AI59" s="50">
        <f>(SUM($L$47:$L$47)*Product_lifespan!Z21)</f>
        <v>0.86456536249735838</v>
      </c>
      <c r="AJ59" s="50">
        <f>(SUM($L$47:$L$47)*Product_lifespan!AA21)</f>
        <v>0.27172061367835504</v>
      </c>
      <c r="AK59" s="50">
        <f>(SUM($L$47:$L$47)*Product_lifespan!AB21)</f>
        <v>8.3069914517738888E-2</v>
      </c>
      <c r="AL59" s="50">
        <f>(SUM($L$47:$L$47)*Product_lifespan!AC21)</f>
        <v>2.4716646422990429E-2</v>
      </c>
      <c r="AN59" s="187" t="s">
        <v>7665</v>
      </c>
      <c r="AO59" s="188">
        <v>1.56</v>
      </c>
      <c r="AP59" s="188">
        <v>6.26</v>
      </c>
    </row>
    <row r="60" spans="1:42" ht="18" thickTop="1" thickBot="1">
      <c r="B60" s="7">
        <v>2010</v>
      </c>
      <c r="C60" s="8"/>
      <c r="D60" s="8"/>
      <c r="E60" s="8"/>
      <c r="F60" s="8"/>
      <c r="G60" s="8"/>
      <c r="H60" s="8"/>
      <c r="I60" s="8"/>
      <c r="J60" s="8"/>
      <c r="K60" s="8"/>
      <c r="L60" s="8"/>
      <c r="M60" s="50">
        <f>(SUM($M$47:$M$47)*Product_lifespan!C21)</f>
        <v>8548563.165381439</v>
      </c>
      <c r="N60" s="50">
        <f>(SUM($M$47:$M$47)*Product_lifespan!D21)</f>
        <v>9856032.6815431397</v>
      </c>
      <c r="O60" s="50">
        <f>(SUM($M$47:$M$47)*Product_lifespan!E21)</f>
        <v>8907544.4762901478</v>
      </c>
      <c r="P60" s="50">
        <f>(SUM($M$47:$M$47)*Product_lifespan!F21)</f>
        <v>7038336.1817004671</v>
      </c>
      <c r="Q60" s="50">
        <f>(SUM($M$47:$M$47)*Product_lifespan!G21)</f>
        <v>5051132.0779601233</v>
      </c>
      <c r="R60" s="50">
        <f>(SUM($M$47:$M$47)*Product_lifespan!H21)</f>
        <v>3355455.6756298724</v>
      </c>
      <c r="S60" s="50">
        <f>(SUM($M$47:$M$47)*Product_lifespan!I21)</f>
        <v>2086752.3167669501</v>
      </c>
      <c r="T60" s="50">
        <f>(SUM($M$47:$M$47)*Product_lifespan!J21)</f>
        <v>1224110.3993702414</v>
      </c>
      <c r="U60" s="50">
        <f>(SUM($M$47:$M$47)*Product_lifespan!K21)</f>
        <v>681006.97591394547</v>
      </c>
      <c r="V60" s="50">
        <f>(SUM($M$47:$M$47)*Product_lifespan!L21)</f>
        <v>360782.09309291892</v>
      </c>
      <c r="W60" s="50">
        <f>(SUM($M$47:$M$47)*Product_lifespan!M21)</f>
        <v>182601.83139026465</v>
      </c>
      <c r="X60" s="50">
        <f>(SUM($M$47:$M$47)*Product_lifespan!N21)</f>
        <v>88526.581774683902</v>
      </c>
      <c r="Y60" s="50">
        <f>(SUM($M$47:$M$47)*Product_lifespan!O21)</f>
        <v>41200.412340427807</v>
      </c>
      <c r="Z60" s="50">
        <f>(SUM($M$47:$M$47)*Product_lifespan!P21)</f>
        <v>18441.502943964286</v>
      </c>
      <c r="AA60" s="50">
        <f>(SUM($M$47:$M$47)*Product_lifespan!Q21)</f>
        <v>7951.6062668263685</v>
      </c>
      <c r="AB60" s="50">
        <f>(SUM($M$47:$M$47)*Product_lifespan!R21)</f>
        <v>3307.3998971753326</v>
      </c>
      <c r="AC60" s="50">
        <f>(SUM($M$47:$M$47)*Product_lifespan!S21)</f>
        <v>1328.7120029022731</v>
      </c>
      <c r="AD60" s="50">
        <f>(SUM($M$47:$M$47)*Product_lifespan!T21)</f>
        <v>516.1412954078462</v>
      </c>
      <c r="AE60" s="50">
        <f>(SUM($M$47:$M$47)*Product_lifespan!U21)</f>
        <v>194.05876189400428</v>
      </c>
      <c r="AF60" s="50">
        <f>(SUM($M$47:$M$47)*Product_lifespan!V21)</f>
        <v>70.683444254150061</v>
      </c>
      <c r="AG60" s="50">
        <f>(SUM($M$47:$M$47)*Product_lifespan!W21)</f>
        <v>24.962062088281503</v>
      </c>
      <c r="AH60" s="50">
        <f>(SUM($M$47:$M$47)*Product_lifespan!X21)</f>
        <v>8.5536302133456985</v>
      </c>
      <c r="AI60" s="50">
        <f>(SUM($M$47:$M$47)*Product_lifespan!Y21)</f>
        <v>2.845974831133034</v>
      </c>
      <c r="AJ60" s="50">
        <f>(SUM($M$47:$M$47)*Product_lifespan!Z21)</f>
        <v>0.92003240632756222</v>
      </c>
      <c r="AK60" s="50">
        <f>(SUM($M$47:$M$47)*Product_lifespan!AA21)</f>
        <v>0.28915311773441854</v>
      </c>
      <c r="AL60" s="50">
        <f>(SUM($M$47:$M$47)*Product_lifespan!AB21)</f>
        <v>8.8399346842227583E-2</v>
      </c>
    </row>
    <row r="61" spans="1:42">
      <c r="B61" s="7">
        <v>2011</v>
      </c>
      <c r="C61" s="8"/>
      <c r="D61" s="8"/>
      <c r="E61" s="8"/>
      <c r="F61" s="8"/>
      <c r="G61" s="8"/>
      <c r="H61" s="8"/>
      <c r="I61" s="8"/>
      <c r="J61" s="8"/>
      <c r="K61" s="8"/>
      <c r="L61" s="8"/>
      <c r="M61" s="8"/>
      <c r="N61" s="50">
        <f>(SUM($N$47:$N$47)*Product_lifespan!C21)</f>
        <v>7792060.4711588025</v>
      </c>
      <c r="O61" s="50">
        <f>(SUM($N$47:$N$47)*Product_lifespan!D21)</f>
        <v>8983825.8400322422</v>
      </c>
      <c r="P61" s="50">
        <f>(SUM($N$47:$N$47)*Product_lifespan!E21)</f>
        <v>8119273.8318723515</v>
      </c>
      <c r="Q61" s="50">
        <f>(SUM($N$47:$N$47)*Product_lifespan!F21)</f>
        <v>6415480.599856792</v>
      </c>
      <c r="R61" s="50">
        <f>(SUM($N$47:$N$47)*Product_lifespan!G21)</f>
        <v>4604133.5646513999</v>
      </c>
      <c r="S61" s="50">
        <f>(SUM($N$47:$N$47)*Product_lifespan!H21)</f>
        <v>3058515.5688715489</v>
      </c>
      <c r="T61" s="50">
        <f>(SUM($N$47:$N$47)*Product_lifespan!I21)</f>
        <v>1902085.7571043372</v>
      </c>
      <c r="U61" s="50">
        <f>(SUM($N$47:$N$47)*Product_lifespan!J21)</f>
        <v>1115783.0936892505</v>
      </c>
      <c r="V61" s="50">
        <f>(SUM($N$47:$N$47)*Product_lifespan!K21)</f>
        <v>620741.4550192043</v>
      </c>
      <c r="W61" s="50">
        <f>(SUM($N$47:$N$47)*Product_lifespan!L21)</f>
        <v>328854.78318458801</v>
      </c>
      <c r="X61" s="50">
        <f>(SUM($N$47:$N$47)*Product_lifespan!M21)</f>
        <v>166442.5336528233</v>
      </c>
      <c r="Y61" s="50">
        <f>(SUM($N$47:$N$47)*Product_lifespan!N21)</f>
        <v>80692.44680635666</v>
      </c>
      <c r="Z61" s="50">
        <f>(SUM($N$47:$N$47)*Product_lifespan!O21)</f>
        <v>37554.393432263554</v>
      </c>
      <c r="AA61" s="50">
        <f>(SUM($N$47:$N$47)*Product_lifespan!P21)</f>
        <v>16809.527325053226</v>
      </c>
      <c r="AB61" s="50">
        <f>(SUM($N$47:$N$47)*Product_lifespan!Q21)</f>
        <v>7247.9311055300268</v>
      </c>
      <c r="AC61" s="50">
        <f>(SUM($N$47:$N$47)*Product_lifespan!R21)</f>
        <v>3014.7124730223209</v>
      </c>
      <c r="AD61" s="50">
        <f>(SUM($N$47:$N$47)*Product_lifespan!S21)</f>
        <v>1211.1280077214087</v>
      </c>
      <c r="AE61" s="50">
        <f>(SUM($N$47:$N$47)*Product_lifespan!T21)</f>
        <v>470.46551656388476</v>
      </c>
      <c r="AF61" s="50">
        <f>(SUM($N$47:$N$47)*Product_lifespan!U21)</f>
        <v>176.88558631230723</v>
      </c>
      <c r="AG61" s="50">
        <f>(SUM($N$47:$N$47)*Product_lifespan!V21)</f>
        <v>64.428332724794686</v>
      </c>
      <c r="AH61" s="50">
        <f>(SUM($N$47:$N$47)*Product_lifespan!W21)</f>
        <v>22.753051420897016</v>
      </c>
      <c r="AI61" s="50">
        <f>(SUM($N$47:$N$47)*Product_lifespan!X21)</f>
        <v>7.7966791121378689</v>
      </c>
      <c r="AJ61" s="50">
        <f>(SUM($N$47:$N$47)*Product_lifespan!Y21)</f>
        <v>2.5941210884876305</v>
      </c>
      <c r="AK61" s="50">
        <f>(SUM($N$47:$N$47)*Product_lifespan!Z21)</f>
        <v>0.83861439716111996</v>
      </c>
      <c r="AL61" s="50">
        <f>(SUM($N$47:$N$47)*Product_lifespan!AA21)</f>
        <v>0.26356459386472303</v>
      </c>
      <c r="AN61" s="168" t="s">
        <v>7664</v>
      </c>
      <c r="AO61" s="171" t="s">
        <v>7663</v>
      </c>
      <c r="AP61" s="169" t="s">
        <v>7662</v>
      </c>
    </row>
    <row r="62" spans="1:42" ht="17" thickBot="1">
      <c r="B62" s="7">
        <v>2012</v>
      </c>
      <c r="C62" s="8"/>
      <c r="D62" s="8"/>
      <c r="E62" s="8"/>
      <c r="F62" s="8"/>
      <c r="G62" s="8"/>
      <c r="H62" s="8"/>
      <c r="I62" s="8"/>
      <c r="J62" s="8"/>
      <c r="K62" s="8"/>
      <c r="L62" s="8"/>
      <c r="M62" s="8"/>
      <c r="N62" s="8"/>
      <c r="O62" s="50">
        <f>(SUM($O$47:$O$47)*Product_lifespan!C21)</f>
        <v>7557895.4076583209</v>
      </c>
      <c r="P62" s="50">
        <f>(SUM($O$47:$O$47)*Product_lifespan!D21)</f>
        <v>8713846.1400421094</v>
      </c>
      <c r="Q62" s="50">
        <f>(SUM($O$47:$O$47)*Product_lifespan!E21)</f>
        <v>7875275.4338291893</v>
      </c>
      <c r="R62" s="50">
        <f>(SUM($O$47:$O$47)*Product_lifespan!F21)</f>
        <v>6222684.172312106</v>
      </c>
      <c r="S62" s="50">
        <f>(SUM($O$47:$O$47)*Product_lifespan!G21)</f>
        <v>4465771.287751493</v>
      </c>
      <c r="T62" s="50">
        <f>(SUM($O$47:$O$47)*Product_lifespan!H21)</f>
        <v>2966601.8196067787</v>
      </c>
      <c r="U62" s="50">
        <f>(SUM($O$47:$O$47)*Product_lifespan!I21)</f>
        <v>1844924.7489545299</v>
      </c>
      <c r="V62" s="50">
        <f>(SUM($O$47:$O$47)*Product_lifespan!J21)</f>
        <v>1082251.8576376839</v>
      </c>
      <c r="W62" s="50">
        <f>(SUM($O$47:$O$47)*Product_lifespan!K21)</f>
        <v>602087.08718287048</v>
      </c>
      <c r="X62" s="50">
        <f>(SUM($O$47:$O$47)*Product_lifespan!L21)</f>
        <v>318972.12102200801</v>
      </c>
      <c r="Y62" s="50">
        <f>(SUM($O$47:$O$47)*Product_lifespan!M21)</f>
        <v>161440.64402346851</v>
      </c>
      <c r="Z62" s="50">
        <f>(SUM($O$47:$O$47)*Product_lifespan!N21)</f>
        <v>78267.497462039042</v>
      </c>
      <c r="AA62" s="50">
        <f>(SUM($O$47:$O$47)*Product_lifespan!O21)</f>
        <v>36425.818140100775</v>
      </c>
      <c r="AB62" s="50">
        <f>(SUM($O$47:$O$47)*Product_lifespan!P21)</f>
        <v>16304.371590180086</v>
      </c>
      <c r="AC62" s="50">
        <f>(SUM($O$47:$O$47)*Product_lifespan!Q21)</f>
        <v>7030.1180824078956</v>
      </c>
      <c r="AD62" s="50">
        <f>(SUM($O$47:$O$47)*Product_lifespan!R21)</f>
        <v>2924.1150835007811</v>
      </c>
      <c r="AE62" s="50">
        <f>(SUM($O$47:$O$47)*Product_lifespan!S21)</f>
        <v>1174.7314900243227</v>
      </c>
      <c r="AF62" s="50">
        <f>(SUM($O$47:$O$47)*Product_lifespan!T21)</f>
        <v>456.32720385844124</v>
      </c>
      <c r="AG62" s="50">
        <f>(SUM($O$47:$O$47)*Product_lifespan!U21)</f>
        <v>171.5698646614739</v>
      </c>
      <c r="AH62" s="50">
        <f>(SUM($O$47:$O$47)*Product_lifespan!V21)</f>
        <v>62.492148492193621</v>
      </c>
      <c r="AI62" s="50">
        <f>(SUM($O$47:$O$47)*Product_lifespan!W21)</f>
        <v>22.069282377968666</v>
      </c>
      <c r="AJ62" s="50">
        <f>(SUM($O$47:$O$47)*Product_lifespan!X21)</f>
        <v>7.5623752503872765</v>
      </c>
      <c r="AK62" s="50">
        <f>(SUM($O$47:$O$47)*Product_lifespan!Y21)</f>
        <v>2.5161632066588067</v>
      </c>
      <c r="AL62" s="50">
        <f>(SUM($O$47:$O$47)*Product_lifespan!Z21)</f>
        <v>0.81341256584955579</v>
      </c>
      <c r="AN62" s="170">
        <v>599100601</v>
      </c>
      <c r="AO62" s="176">
        <v>449216448</v>
      </c>
      <c r="AP62" s="174">
        <v>1048317049</v>
      </c>
    </row>
    <row r="63" spans="1:42">
      <c r="B63" s="7">
        <v>2013</v>
      </c>
      <c r="C63" s="8"/>
      <c r="D63" s="8"/>
      <c r="E63" s="8"/>
      <c r="F63" s="8"/>
      <c r="G63" s="8"/>
      <c r="H63" s="8"/>
      <c r="I63" s="8"/>
      <c r="J63" s="8"/>
      <c r="K63" s="8"/>
      <c r="L63" s="8"/>
      <c r="M63" s="8"/>
      <c r="N63" s="8"/>
      <c r="O63" s="8"/>
      <c r="P63" s="50">
        <f>(SUM($P$47:$P$47)*Product_lifespan!C21)</f>
        <v>7672260.1977404738</v>
      </c>
      <c r="Q63" s="50">
        <f>(SUM($P$47:$P$47)*Product_lifespan!D21)</f>
        <v>8845702.5803421829</v>
      </c>
      <c r="R63" s="50">
        <f>(SUM($P$47:$P$47)*Product_lifespan!E21)</f>
        <v>7994442.7645806037</v>
      </c>
      <c r="S63" s="50">
        <f>(SUM($P$47:$P$47)*Product_lifespan!F21)</f>
        <v>6316844.7726814765</v>
      </c>
      <c r="T63" s="50">
        <f>(SUM($P$47:$P$47)*Product_lifespan!G21)</f>
        <v>4533346.5806512982</v>
      </c>
      <c r="U63" s="50">
        <f>(SUM($P$47:$P$47)*Product_lifespan!H21)</f>
        <v>3011491.9346529432</v>
      </c>
      <c r="V63" s="50">
        <f>(SUM($P$47:$P$47)*Product_lifespan!I21)</f>
        <v>1872841.8370129007</v>
      </c>
      <c r="W63" s="50">
        <f>(SUM($P$47:$P$47)*Product_lifespan!J21)</f>
        <v>1098628.3089959996</v>
      </c>
      <c r="X63" s="50">
        <f>(SUM($P$47:$P$47)*Product_lifespan!K21)</f>
        <v>611197.76676002773</v>
      </c>
      <c r="Y63" s="50">
        <f>(SUM($P$47:$P$47)*Product_lifespan!L21)</f>
        <v>323798.75300024066</v>
      </c>
      <c r="Z63" s="50">
        <f>(SUM($P$47:$P$47)*Product_lifespan!M21)</f>
        <v>163883.53643843409</v>
      </c>
      <c r="AA63" s="50">
        <f>(SUM($P$47:$P$47)*Product_lifespan!N21)</f>
        <v>79451.827944891658</v>
      </c>
      <c r="AB63" s="50">
        <f>(SUM($P$47:$P$47)*Product_lifespan!O21)</f>
        <v>36977.007435594613</v>
      </c>
      <c r="AC63" s="50">
        <f>(SUM($P$47:$P$47)*Product_lifespan!P21)</f>
        <v>16551.086572824981</v>
      </c>
      <c r="AD63" s="50">
        <f>(SUM($P$47:$P$47)*Product_lifespan!Q21)</f>
        <v>7136.4966356136792</v>
      </c>
      <c r="AE63" s="50">
        <f>(SUM($P$47:$P$47)*Product_lifespan!R21)</f>
        <v>2968.3622964698525</v>
      </c>
      <c r="AF63" s="50">
        <f>(SUM($P$47:$P$47)*Product_lifespan!S21)</f>
        <v>1192.5073274781453</v>
      </c>
      <c r="AG63" s="50">
        <f>(SUM($P$47:$P$47)*Product_lifespan!T21)</f>
        <v>463.23226962915368</v>
      </c>
      <c r="AH63" s="50">
        <f>(SUM($P$47:$P$47)*Product_lifespan!U21)</f>
        <v>174.16603072333163</v>
      </c>
      <c r="AI63" s="50">
        <f>(SUM($P$47:$P$47)*Product_lifespan!V21)</f>
        <v>63.43776907287149</v>
      </c>
      <c r="AJ63" s="50">
        <f>(SUM($P$47:$P$47)*Product_lifespan!W21)</f>
        <v>22.403231011851936</v>
      </c>
      <c r="AK63" s="50">
        <f>(SUM($P$47:$P$47)*Product_lifespan!X21)</f>
        <v>7.6768078286889887</v>
      </c>
      <c r="AL63" s="50">
        <f>(SUM($P$47:$P$47)*Product_lifespan!Y21)</f>
        <v>2.5542373610921145</v>
      </c>
    </row>
    <row r="64" spans="1:42" ht="17" thickBot="1">
      <c r="B64" s="7">
        <v>2014</v>
      </c>
      <c r="C64" s="8"/>
      <c r="D64" s="8"/>
      <c r="E64" s="8"/>
      <c r="F64" s="8"/>
      <c r="G64" s="8"/>
      <c r="H64" s="8"/>
      <c r="I64" s="8"/>
      <c r="J64" s="8"/>
      <c r="K64" s="8"/>
      <c r="L64" s="8"/>
      <c r="M64" s="8"/>
      <c r="N64" s="8"/>
      <c r="O64" s="8"/>
      <c r="P64" s="8"/>
      <c r="Q64" s="50">
        <f>(SUM($Q$47:$Q$47)*Product_lifespan!C21)</f>
        <v>7150732.7715245411</v>
      </c>
      <c r="R64" s="50">
        <f>(SUM($Q$47:$Q$47)*Product_lifespan!D21)</f>
        <v>8244409.5609583873</v>
      </c>
      <c r="S64" s="50">
        <f>(SUM($Q$47:$Q$47)*Product_lifespan!E21)</f>
        <v>7451014.7457719874</v>
      </c>
      <c r="T64" s="50">
        <f>(SUM($Q$47:$Q$47)*Product_lifespan!F21)</f>
        <v>5887452.6885766694</v>
      </c>
      <c r="U64" s="50">
        <f>(SUM($Q$47:$Q$47)*Product_lifespan!G21)</f>
        <v>4225189.0738128107</v>
      </c>
      <c r="V64" s="50">
        <f>(SUM($Q$47:$Q$47)*Product_lifespan!H21)</f>
        <v>2806783.5961359399</v>
      </c>
      <c r="W64" s="50">
        <f>(SUM($Q$47:$Q$47)*Product_lifespan!I21)</f>
        <v>1745534.0609739034</v>
      </c>
      <c r="X64" s="50">
        <f>(SUM($Q$47:$Q$47)*Product_lifespan!J21)</f>
        <v>1023948.2564962958</v>
      </c>
      <c r="Y64" s="50">
        <f>(SUM($Q$47:$Q$47)*Product_lifespan!K21)</f>
        <v>569651.15728748159</v>
      </c>
      <c r="Z64" s="50">
        <f>(SUM($Q$47:$Q$47)*Product_lifespan!L21)</f>
        <v>301788.2989864577</v>
      </c>
      <c r="AA64" s="50">
        <f>(SUM($Q$47:$Q$47)*Product_lifespan!M21)</f>
        <v>152743.43472719743</v>
      </c>
      <c r="AB64" s="50">
        <f>(SUM($Q$47:$Q$47)*Product_lifespan!N21)</f>
        <v>74051.032577125879</v>
      </c>
      <c r="AC64" s="50">
        <f>(SUM($Q$47:$Q$47)*Product_lifespan!O21)</f>
        <v>34463.468658229838</v>
      </c>
      <c r="AD64" s="50">
        <f>(SUM($Q$47:$Q$47)*Product_lifespan!P21)</f>
        <v>15426.014513362685</v>
      </c>
      <c r="AE64" s="50">
        <f>(SUM($Q$47:$Q$47)*Product_lifespan!Q21)</f>
        <v>6651.3881243478099</v>
      </c>
      <c r="AF64" s="50">
        <f>(SUM($Q$47:$Q$47)*Product_lifespan!R21)</f>
        <v>2766.5857262473965</v>
      </c>
      <c r="AG64" s="50">
        <f>(SUM($Q$47:$Q$47)*Product_lifespan!S21)</f>
        <v>1111.4457809176574</v>
      </c>
      <c r="AH64" s="50">
        <f>(SUM($Q$47:$Q$47)*Product_lifespan!T21)</f>
        <v>431.74372165329038</v>
      </c>
      <c r="AI64" s="50">
        <f>(SUM($Q$47:$Q$47)*Product_lifespan!U21)</f>
        <v>162.32696903924864</v>
      </c>
      <c r="AJ64" s="50">
        <f>(SUM($Q$47:$Q$47)*Product_lifespan!V21)</f>
        <v>59.12554091887862</v>
      </c>
      <c r="AK64" s="50">
        <f>(SUM($Q$47:$Q$47)*Product_lifespan!W21)</f>
        <v>20.880355208972745</v>
      </c>
      <c r="AL64" s="50">
        <f>(SUM($Q$47:$Q$47)*Product_lifespan!X21)</f>
        <v>7.154971273975999</v>
      </c>
      <c r="AN64" s="187" t="s">
        <v>7669</v>
      </c>
      <c r="AO64" s="188">
        <v>1.56</v>
      </c>
      <c r="AP64" s="188"/>
    </row>
    <row r="65" spans="2:42" ht="18" thickTop="1" thickBot="1">
      <c r="B65" s="7">
        <v>2015</v>
      </c>
      <c r="C65" s="8"/>
      <c r="D65" s="8"/>
      <c r="E65" s="8"/>
      <c r="F65" s="8"/>
      <c r="G65" s="8"/>
      <c r="H65" s="8"/>
      <c r="I65" s="8"/>
      <c r="J65" s="8"/>
      <c r="K65" s="8"/>
      <c r="L65" s="8"/>
      <c r="M65" s="8"/>
      <c r="N65" s="8"/>
      <c r="O65" s="8"/>
      <c r="P65" s="8"/>
      <c r="Q65" s="8"/>
      <c r="R65" s="50">
        <f>(SUM($R$47:$R$47)*Product_lifespan!C21)</f>
        <v>6796131.0684111221</v>
      </c>
      <c r="S65" s="50">
        <f>(SUM($R$47:$R$47)*Product_lifespan!D21)</f>
        <v>7835572.9053470604</v>
      </c>
      <c r="T65" s="50">
        <f>(SUM($R$47:$R$47)*Product_lifespan!E21)</f>
        <v>7081522.1912053535</v>
      </c>
      <c r="U65" s="50">
        <f>(SUM($R$47:$R$47)*Product_lifespan!F21)</f>
        <v>5595496.4909289889</v>
      </c>
      <c r="V65" s="50">
        <f>(SUM($R$47:$R$47)*Product_lifespan!G21)</f>
        <v>4015663.8000511392</v>
      </c>
      <c r="W65" s="50">
        <f>(SUM($R$47:$R$47)*Product_lifespan!H21)</f>
        <v>2667596.4281544946</v>
      </c>
      <c r="X65" s="50">
        <f>(SUM($R$47:$R$47)*Product_lifespan!I21)</f>
        <v>1658973.7921677928</v>
      </c>
      <c r="Y65" s="50">
        <f>(SUM($R$47:$R$47)*Product_lifespan!J21)</f>
        <v>973171.11137635715</v>
      </c>
      <c r="Z65" s="50">
        <f>(SUM($R$47:$R$47)*Product_lifespan!K21)</f>
        <v>541402.40614423272</v>
      </c>
      <c r="AA65" s="50">
        <f>(SUM($R$47:$R$47)*Product_lifespan!L21)</f>
        <v>286822.74954983901</v>
      </c>
      <c r="AB65" s="50">
        <f>(SUM($R$47:$R$47)*Product_lifespan!M21)</f>
        <v>145168.9547648998</v>
      </c>
      <c r="AC65" s="50">
        <f>(SUM($R$47:$R$47)*Product_lifespan!N21)</f>
        <v>70378.874337102912</v>
      </c>
      <c r="AD65" s="50">
        <f>(SUM($R$47:$R$47)*Product_lifespan!O21)</f>
        <v>32754.440356952851</v>
      </c>
      <c r="AE65" s="50">
        <f>(SUM($R$47:$R$47)*Product_lifespan!P21)</f>
        <v>14661.045216723101</v>
      </c>
      <c r="AF65" s="50">
        <f>(SUM($R$47:$R$47)*Product_lifespan!Q21)</f>
        <v>6321.5487033650488</v>
      </c>
      <c r="AG65" s="50">
        <f>(SUM($R$47:$R$47)*Product_lifespan!R21)</f>
        <v>2629.3919530101612</v>
      </c>
      <c r="AH65" s="50">
        <f>(SUM($R$47:$R$47)*Product_lifespan!S21)</f>
        <v>1056.3296719223551</v>
      </c>
      <c r="AI65" s="50">
        <f>(SUM($R$47:$R$47)*Product_lifespan!T21)</f>
        <v>410.33373978172023</v>
      </c>
      <c r="AJ65" s="50">
        <f>(SUM($R$47:$R$47)*Product_lifespan!U21)</f>
        <v>154.27724581203248</v>
      </c>
      <c r="AK65" s="50">
        <f>(SUM($R$47:$R$47)*Product_lifespan!V21)</f>
        <v>56.193531266549442</v>
      </c>
      <c r="AL65" s="50">
        <f>(SUM($R$47:$R$47)*Product_lifespan!W21)</f>
        <v>19.844907548531602</v>
      </c>
    </row>
    <row r="66" spans="2:42">
      <c r="B66" s="7">
        <v>2016</v>
      </c>
      <c r="C66" s="8"/>
      <c r="D66" s="8"/>
      <c r="E66" s="8"/>
      <c r="F66" s="8"/>
      <c r="G66" s="8"/>
      <c r="H66" s="8"/>
      <c r="I66" s="8"/>
      <c r="J66" s="8"/>
      <c r="K66" s="8"/>
      <c r="L66" s="8"/>
      <c r="M66" s="8"/>
      <c r="N66" s="8"/>
      <c r="O66" s="8"/>
      <c r="P66" s="8"/>
      <c r="Q66" s="8"/>
      <c r="R66" s="8"/>
      <c r="S66" s="50">
        <f>(SUM($S$47:$S$47)*Product_lifespan!C21)</f>
        <v>6416424.6495238533</v>
      </c>
      <c r="T66" s="50">
        <f>(SUM($S$47:$S$47)*Product_lifespan!D21)</f>
        <v>7397791.8652419848</v>
      </c>
      <c r="U66" s="50">
        <f>(SUM($S$47:$S$47)*Product_lifespan!E21)</f>
        <v>6685870.6941364557</v>
      </c>
      <c r="V66" s="50">
        <f>(SUM($S$47:$S$47)*Product_lifespan!F21)</f>
        <v>5282870.687647704</v>
      </c>
      <c r="W66" s="50">
        <f>(SUM($S$47:$S$47)*Product_lifespan!G21)</f>
        <v>3791304.7778922073</v>
      </c>
      <c r="X66" s="50">
        <f>(SUM($S$47:$S$47)*Product_lifespan!H21)</f>
        <v>2518555.2344848998</v>
      </c>
      <c r="Y66" s="50">
        <f>(SUM($S$47:$S$47)*Product_lifespan!I21)</f>
        <v>1566285.3211375931</v>
      </c>
      <c r="Z66" s="50">
        <f>(SUM($S$47:$S$47)*Product_lifespan!J21)</f>
        <v>918799.09972066525</v>
      </c>
      <c r="AA66" s="50">
        <f>(SUM($S$47:$S$47)*Product_lifespan!K21)</f>
        <v>511153.7298393423</v>
      </c>
      <c r="AB66" s="50">
        <f>(SUM($S$47:$S$47)*Product_lifespan!L21)</f>
        <v>270797.68499609857</v>
      </c>
      <c r="AC66" s="50">
        <f>(SUM($S$47:$S$47)*Product_lifespan!M21)</f>
        <v>137058.22479331394</v>
      </c>
      <c r="AD66" s="50">
        <f>(SUM($S$47:$S$47)*Product_lifespan!N21)</f>
        <v>66446.738527646536</v>
      </c>
      <c r="AE66" s="50">
        <f>(SUM($S$47:$S$47)*Product_lifespan!O21)</f>
        <v>30924.418080248455</v>
      </c>
      <c r="AF66" s="50">
        <f>(SUM($S$47:$S$47)*Product_lifespan!P21)</f>
        <v>13841.918434095036</v>
      </c>
      <c r="AG66" s="50">
        <f>(SUM($S$47:$S$47)*Product_lifespan!Q21)</f>
        <v>5968.3576604298851</v>
      </c>
      <c r="AH66" s="50">
        <f>(SUM($S$47:$S$47)*Product_lifespan!R21)</f>
        <v>2482.4852803344229</v>
      </c>
      <c r="AI66" s="50">
        <f>(SUM($S$47:$S$47)*Product_lifespan!S21)</f>
        <v>997.31151102279318</v>
      </c>
      <c r="AJ66" s="50">
        <f>(SUM($S$47:$S$47)*Product_lifespan!T21)</f>
        <v>387.40799669160594</v>
      </c>
      <c r="AK66" s="50">
        <f>(SUM($S$47:$S$47)*Product_lifespan!U21)</f>
        <v>145.65762680624817</v>
      </c>
      <c r="AL66" s="50">
        <f>(SUM($S$47:$S$47)*Product_lifespan!V21)</f>
        <v>53.053944300514125</v>
      </c>
      <c r="AN66" s="168" t="s">
        <v>7664</v>
      </c>
      <c r="AO66" s="171" t="s">
        <v>7663</v>
      </c>
      <c r="AP66" s="169" t="s">
        <v>7662</v>
      </c>
    </row>
    <row r="67" spans="2:42" ht="17" thickBot="1">
      <c r="B67" s="7">
        <v>2017</v>
      </c>
      <c r="C67" s="8"/>
      <c r="D67" s="8"/>
      <c r="E67" s="8"/>
      <c r="F67" s="8"/>
      <c r="G67" s="8"/>
      <c r="H67" s="8"/>
      <c r="I67" s="8"/>
      <c r="J67" s="8"/>
      <c r="K67" s="8"/>
      <c r="L67" s="8"/>
      <c r="M67" s="8"/>
      <c r="N67" s="8"/>
      <c r="O67" s="8"/>
      <c r="P67" s="8"/>
      <c r="Q67" s="8"/>
      <c r="R67" s="8"/>
      <c r="S67" s="8"/>
      <c r="T67" s="50">
        <f>(SUM($T$47:$T$47)*Product_lifespan!C21)</f>
        <v>5499810.6246174183</v>
      </c>
      <c r="U67" s="50">
        <f>(SUM($T$47:$T$47)*Product_lifespan!D21)</f>
        <v>6340985.2872168329</v>
      </c>
      <c r="V67" s="50">
        <f>(SUM($T$47:$T$47)*Product_lifespan!E21)</f>
        <v>5730765.1358702704</v>
      </c>
      <c r="W67" s="50">
        <f>(SUM($T$47:$T$47)*Product_lifespan!F21)</f>
        <v>4528189.7510572113</v>
      </c>
      <c r="X67" s="50">
        <f>(SUM($T$47:$T$47)*Product_lifespan!G21)</f>
        <v>3249700.4854816888</v>
      </c>
      <c r="Y67" s="50">
        <f>(SUM($T$47:$T$47)*Product_lifespan!H21)</f>
        <v>2158768.7215081309</v>
      </c>
      <c r="Z67" s="50">
        <f>(SUM($T$47:$T$47)*Product_lifespan!I21)</f>
        <v>1342534.6857325104</v>
      </c>
      <c r="AA67" s="50">
        <f>(SUM($T$47:$T$47)*Product_lifespan!J21)</f>
        <v>787544.67270298582</v>
      </c>
      <c r="AB67" s="50">
        <f>(SUM($T$47:$T$47)*Product_lifespan!K21)</f>
        <v>438133.20778135408</v>
      </c>
      <c r="AC67" s="50">
        <f>(SUM($T$47:$T$47)*Product_lifespan!L21)</f>
        <v>232113.06395904825</v>
      </c>
      <c r="AD67" s="50">
        <f>(SUM($T$47:$T$47)*Product_lifespan!M21)</f>
        <v>117478.86433380116</v>
      </c>
      <c r="AE67" s="50">
        <f>(SUM($T$47:$T$47)*Product_lifespan!N21)</f>
        <v>56954.534415462149</v>
      </c>
      <c r="AF67" s="50">
        <f>(SUM($T$47:$T$47)*Product_lifespan!O21)</f>
        <v>26506.731148238847</v>
      </c>
      <c r="AG67" s="50">
        <f>(SUM($T$47:$T$47)*Product_lifespan!P21)</f>
        <v>11864.540492121705</v>
      </c>
      <c r="AH67" s="50">
        <f>(SUM($T$47:$T$47)*Product_lifespan!Q21)</f>
        <v>5115.7519436910843</v>
      </c>
      <c r="AI67" s="50">
        <f>(SUM($T$47:$T$47)*Product_lifespan!R21)</f>
        <v>2127.851516381912</v>
      </c>
      <c r="AJ67" s="50">
        <f>(SUM($T$47:$T$47)*Product_lifespan!S21)</f>
        <v>854.841246329206</v>
      </c>
      <c r="AK67" s="50">
        <f>(SUM($T$47:$T$47)*Product_lifespan!T21)</f>
        <v>332.06508805871442</v>
      </c>
      <c r="AL67" s="50">
        <f>(SUM($T$47:$T$47)*Product_lifespan!U21)</f>
        <v>124.84980455977293</v>
      </c>
      <c r="AN67" s="173">
        <f>SUM(C66:X66)</f>
        <v>32092817.908927102</v>
      </c>
      <c r="AO67" s="172">
        <f>SUM(Y66:AL66)</f>
        <v>3525341.4095485895</v>
      </c>
      <c r="AP67" s="175">
        <f>SUM(C66:AL66)</f>
        <v>35618159.318475693</v>
      </c>
    </row>
    <row r="68" spans="2:42">
      <c r="B68" s="7">
        <v>2018</v>
      </c>
      <c r="C68" s="8"/>
      <c r="D68" s="8"/>
      <c r="E68" s="8"/>
      <c r="F68" s="8"/>
      <c r="G68" s="8"/>
      <c r="H68" s="8"/>
      <c r="I68" s="8"/>
      <c r="J68" s="8"/>
      <c r="K68" s="8"/>
      <c r="L68" s="8"/>
      <c r="M68" s="8"/>
      <c r="N68" s="8"/>
      <c r="O68" s="8"/>
      <c r="P68" s="8"/>
      <c r="Q68" s="8"/>
      <c r="R68" s="8"/>
      <c r="S68" s="8"/>
      <c r="T68" s="8"/>
      <c r="U68" s="50">
        <f>(SUM($U$47:$U$47)*Product_lifespan!C21)</f>
        <v>5125901.5919785276</v>
      </c>
      <c r="V68" s="50">
        <f>(SUM($U$47:$U$47)*Product_lifespan!D21)</f>
        <v>5909888.3210579995</v>
      </c>
      <c r="W68" s="50">
        <f>(SUM($U$47:$U$47)*Product_lifespan!E21)</f>
        <v>5341154.4757063137</v>
      </c>
      <c r="X68" s="50">
        <f>(SUM($U$47:$U$47)*Product_lifespan!F21)</f>
        <v>4220337.1421247134</v>
      </c>
      <c r="Y68" s="50">
        <f>(SUM($U$47:$U$47)*Product_lifespan!G21)</f>
        <v>3028766.9937985791</v>
      </c>
      <c r="Z68" s="50">
        <f>(SUM($U$47:$U$47)*Product_lifespan!H21)</f>
        <v>2012003.1000270548</v>
      </c>
      <c r="AA68" s="50">
        <f>(SUM($U$47:$U$47)*Product_lifespan!I21)</f>
        <v>1251261.3892703583</v>
      </c>
      <c r="AB68" s="50">
        <f>(SUM($U$47:$U$47)*Product_lifespan!J21)</f>
        <v>734002.81702304236</v>
      </c>
      <c r="AC68" s="50">
        <f>(SUM($U$47:$U$47)*Product_lifespan!K21)</f>
        <v>408346.37054822728</v>
      </c>
      <c r="AD68" s="50">
        <f>(SUM($U$47:$U$47)*Product_lifespan!L21)</f>
        <v>216332.67129983482</v>
      </c>
      <c r="AE68" s="50">
        <f>(SUM($U$47:$U$47)*Product_lifespan!M21)</f>
        <v>109491.96959928969</v>
      </c>
      <c r="AF68" s="50">
        <f>(SUM($U$47:$U$47)*Product_lifespan!N21)</f>
        <v>53082.434752182329</v>
      </c>
      <c r="AG68" s="50">
        <f>(SUM($U$47:$U$47)*Product_lifespan!O21)</f>
        <v>24704.649789710871</v>
      </c>
      <c r="AH68" s="50">
        <f>(SUM($U$47:$U$47)*Product_lifespan!P21)</f>
        <v>11057.920199005199</v>
      </c>
      <c r="AI68" s="50">
        <f>(SUM($U$47:$U$47)*Product_lifespan!Q21)</f>
        <v>4767.9534482439585</v>
      </c>
      <c r="AJ68" s="50">
        <f>(SUM($U$47:$U$47)*Product_lifespan!R21)</f>
        <v>1983.1878258671311</v>
      </c>
      <c r="AK68" s="50">
        <f>(SUM($U$47:$U$47)*Product_lifespan!S21)</f>
        <v>796.72417916255029</v>
      </c>
      <c r="AL68" s="50">
        <f>(SUM($U$47:$U$47)*Product_lifespan!T21)</f>
        <v>309.48937694360325</v>
      </c>
    </row>
    <row r="69" spans="2:42">
      <c r="B69" s="7">
        <v>2019</v>
      </c>
      <c r="C69" s="8"/>
      <c r="D69" s="8"/>
      <c r="E69" s="8"/>
      <c r="F69" s="8"/>
      <c r="G69" s="8"/>
      <c r="H69" s="8"/>
      <c r="I69" s="8"/>
      <c r="J69" s="8"/>
      <c r="K69" s="8"/>
      <c r="L69" s="8"/>
      <c r="M69" s="8"/>
      <c r="N69" s="8"/>
      <c r="O69" s="8"/>
      <c r="P69" s="8"/>
      <c r="Q69" s="8"/>
      <c r="R69" s="8"/>
      <c r="S69" s="8"/>
      <c r="T69" s="8"/>
      <c r="U69" s="8"/>
      <c r="V69" s="50">
        <f>(SUM($V$47:$V$47)*Product_lifespan!C21)</f>
        <v>5036350.5727115646</v>
      </c>
      <c r="W69" s="50">
        <f>(SUM($V$47:$V$47)*Product_lifespan!D21)</f>
        <v>5806640.8213922121</v>
      </c>
      <c r="X69" s="50">
        <f>(SUM($V$47:$V$47)*Product_lifespan!E21)</f>
        <v>5247842.9247958753</v>
      </c>
      <c r="Y69" s="50">
        <f>(SUM($V$47:$V$47)*Product_lifespan!F21)</f>
        <v>4146606.6020536912</v>
      </c>
      <c r="Z69" s="50">
        <f>(SUM($V$47:$V$47)*Product_lifespan!G21)</f>
        <v>2975853.5371997938</v>
      </c>
      <c r="AA69" s="50">
        <f>(SUM($V$47:$V$47)*Product_lifespan!H21)</f>
        <v>1976852.8098502655</v>
      </c>
      <c r="AB69" s="50">
        <f>(SUM($V$47:$V$47)*Product_lifespan!I21)</f>
        <v>1229401.4821363809</v>
      </c>
      <c r="AC69" s="50">
        <f>(SUM($V$47:$V$47)*Product_lifespan!J21)</f>
        <v>721179.57037466799</v>
      </c>
      <c r="AD69" s="50">
        <f>(SUM($V$47:$V$47)*Product_lifespan!K21)</f>
        <v>401212.43848956598</v>
      </c>
      <c r="AE69" s="50">
        <f>(SUM($V$47:$V$47)*Product_lifespan!L21)</f>
        <v>212553.27544760826</v>
      </c>
      <c r="AF69" s="50">
        <f>(SUM($V$47:$V$47)*Product_lifespan!M21)</f>
        <v>107579.11245538596</v>
      </c>
      <c r="AG69" s="50">
        <f>(SUM($V$47:$V$47)*Product_lifespan!N21)</f>
        <v>52155.068892356066</v>
      </c>
      <c r="AH69" s="50">
        <f>(SUM($V$47:$V$47)*Product_lifespan!O21)</f>
        <v>24273.052239581542</v>
      </c>
      <c r="AI69" s="50">
        <f>(SUM($V$47:$V$47)*Product_lifespan!P21)</f>
        <v>10864.735057420881</v>
      </c>
      <c r="AJ69" s="50">
        <f>(SUM($V$47:$V$47)*Product_lifespan!Q21)</f>
        <v>4684.6558890836641</v>
      </c>
      <c r="AK69" s="50">
        <f>(SUM($V$47:$V$47)*Product_lifespan!R21)</f>
        <v>1948.5409470659163</v>
      </c>
      <c r="AL69" s="50">
        <f>(SUM($V$47:$V$47)*Product_lifespan!S21)</f>
        <v>782.80517173753617</v>
      </c>
    </row>
    <row r="70" spans="2:42">
      <c r="B70" s="7">
        <v>2020</v>
      </c>
      <c r="C70" s="8"/>
      <c r="D70" s="8"/>
      <c r="E70" s="8"/>
      <c r="F70" s="8"/>
      <c r="G70" s="8"/>
      <c r="H70" s="8"/>
      <c r="I70" s="8"/>
      <c r="J70" s="8"/>
      <c r="K70" s="8"/>
      <c r="L70" s="8"/>
      <c r="M70" s="8"/>
      <c r="N70" s="8"/>
      <c r="O70" s="8"/>
      <c r="P70" s="8"/>
      <c r="Q70" s="8"/>
      <c r="R70" s="8"/>
      <c r="S70" s="8"/>
      <c r="T70" s="8"/>
      <c r="U70" s="8"/>
      <c r="V70" s="8"/>
      <c r="W70" s="50">
        <f>(SUM($W$47:$W$47)*Product_lifespan!C21)</f>
        <v>5182183.3935309965</v>
      </c>
      <c r="X70" s="50">
        <f>(SUM($W$47:$W$47)*Product_lifespan!D21)</f>
        <v>5974778.2054450801</v>
      </c>
      <c r="Y70" s="50">
        <f>(SUM($W$47:$W$47)*Product_lifespan!E21)</f>
        <v>5399799.7288132403</v>
      </c>
      <c r="Z70" s="50">
        <f>(SUM($W$47:$W$47)*Product_lifespan!F21)</f>
        <v>4266675.9516502963</v>
      </c>
      <c r="AA70" s="50">
        <f>(SUM($W$47:$W$47)*Product_lifespan!G21)</f>
        <v>3062022.5020901146</v>
      </c>
      <c r="AB70" s="50">
        <f>(SUM($W$47:$W$47)*Product_lifespan!H21)</f>
        <v>2034094.6593687092</v>
      </c>
      <c r="AC70" s="50">
        <f>(SUM($W$47:$W$47)*Product_lifespan!I21)</f>
        <v>1265000.0933670939</v>
      </c>
      <c r="AD70" s="50">
        <f>(SUM($W$47:$W$47)*Product_lifespan!J21)</f>
        <v>742062.08233381051</v>
      </c>
      <c r="AE70" s="50">
        <f>(SUM($W$47:$W$47)*Product_lifespan!K21)</f>
        <v>412829.9660639569</v>
      </c>
      <c r="AF70" s="50">
        <f>(SUM($W$47:$W$47)*Product_lifespan!L21)</f>
        <v>218707.97879587923</v>
      </c>
      <c r="AG70" s="50">
        <f>(SUM($W$47:$W$47)*Product_lifespan!M21)</f>
        <v>110694.17865344314</v>
      </c>
      <c r="AH70" s="50">
        <f>(SUM($W$47:$W$47)*Product_lifespan!N21)</f>
        <v>53665.273693788113</v>
      </c>
      <c r="AI70" s="50">
        <f>(SUM($W$47:$W$47)*Product_lifespan!O21)</f>
        <v>24975.903962647706</v>
      </c>
      <c r="AJ70" s="50">
        <f>(SUM($W$47:$W$47)*Product_lifespan!P21)</f>
        <v>11179.334872903224</v>
      </c>
      <c r="AK70" s="50">
        <f>(SUM($W$47:$W$47)*Product_lifespan!Q21)</f>
        <v>4820.3050209322464</v>
      </c>
      <c r="AL70" s="50">
        <f>(SUM($W$47:$W$47)*Product_lifespan!R21)</f>
        <v>2004.9629968597608</v>
      </c>
    </row>
    <row r="71" spans="2:42">
      <c r="B71" s="7">
        <v>2021</v>
      </c>
      <c r="C71" s="8"/>
      <c r="D71" s="8"/>
      <c r="E71" s="8"/>
      <c r="F71" s="8"/>
      <c r="G71" s="8"/>
      <c r="H71" s="8"/>
      <c r="I71" s="8"/>
      <c r="J71" s="8"/>
      <c r="K71" s="8"/>
      <c r="L71" s="8"/>
      <c r="M71" s="8"/>
      <c r="N71" s="8"/>
      <c r="O71" s="8"/>
      <c r="P71" s="8"/>
      <c r="Q71" s="8"/>
      <c r="R71" s="8"/>
      <c r="S71" s="8"/>
      <c r="T71" s="8"/>
      <c r="U71" s="8"/>
      <c r="V71" s="8"/>
      <c r="W71" s="8"/>
      <c r="X71" s="50">
        <f>(SUM($X$47:$X$47)*Product_lifespan!C21)</f>
        <v>38126.107468603841</v>
      </c>
      <c r="Y71" s="50">
        <f>(SUM($X$47:$X$47)*Product_lifespan!D21)</f>
        <v>43957.347446682681</v>
      </c>
      <c r="Z71" s="50">
        <f>(SUM($X$47:$X$47)*Product_lifespan!E21)</f>
        <v>39727.143780103674</v>
      </c>
      <c r="AA71" s="50">
        <f>(SUM($X$47:$X$47)*Product_lifespan!F21)</f>
        <v>31390.580670956675</v>
      </c>
      <c r="AB71" s="50">
        <f>(SUM($X$47:$X$47)*Product_lifespan!G21)</f>
        <v>22527.762937086154</v>
      </c>
      <c r="AC71" s="50">
        <f>(SUM($X$47:$X$47)*Product_lifespan!H21)</f>
        <v>14965.142237384745</v>
      </c>
      <c r="AD71" s="50">
        <f>(SUM($X$47:$X$47)*Product_lifespan!I21)</f>
        <v>9306.7971248785652</v>
      </c>
      <c r="AE71" s="50">
        <f>(SUM($X$47:$X$47)*Product_lifespan!J21)</f>
        <v>5459.4630392185845</v>
      </c>
      <c r="AF71" s="50">
        <f>(SUM($X$47:$X$47)*Product_lifespan!K21)</f>
        <v>3037.2525356903607</v>
      </c>
      <c r="AG71" s="50">
        <f>(SUM($X$47:$X$47)*Product_lifespan!L21)</f>
        <v>1609.067698032819</v>
      </c>
      <c r="AH71" s="50">
        <f>(SUM($X$47:$X$47)*Product_lifespan!M21)</f>
        <v>814.39382418582932</v>
      </c>
      <c r="AI71" s="50">
        <f>(SUM($X$47:$X$47)*Product_lifespan!N21)</f>
        <v>394.8235399649343</v>
      </c>
      <c r="AJ71" s="50">
        <f>(SUM($X$47:$X$47)*Product_lifespan!O21)</f>
        <v>183.75150516558796</v>
      </c>
      <c r="AK71" s="50">
        <f>(SUM($X$47:$X$47)*Product_lifespan!P21)</f>
        <v>82.248058477413593</v>
      </c>
      <c r="AL71" s="50">
        <f>(SUM($X$47:$X$47)*Product_lifespan!Q21)</f>
        <v>35.463713516763683</v>
      </c>
    </row>
    <row r="72" spans="2:42">
      <c r="B72" s="7">
        <v>2022</v>
      </c>
      <c r="C72" s="8"/>
      <c r="D72" s="8"/>
      <c r="E72" s="8"/>
      <c r="F72" s="8"/>
      <c r="G72" s="8"/>
      <c r="H72" s="8"/>
      <c r="I72" s="8"/>
      <c r="J72" s="8"/>
      <c r="K72" s="8"/>
      <c r="L72" s="8"/>
      <c r="M72" s="8"/>
      <c r="N72" s="8"/>
      <c r="O72" s="8"/>
      <c r="P72" s="8"/>
      <c r="Q72" s="8"/>
      <c r="R72" s="8"/>
      <c r="S72" s="8"/>
      <c r="T72" s="8"/>
      <c r="U72" s="8"/>
      <c r="V72" s="8"/>
      <c r="W72" s="8"/>
      <c r="X72" s="51"/>
      <c r="Y72" s="50">
        <f>(SUM($Y$47:$Y$47)*Product_lifespan!C21)</f>
        <v>4030057.8389200554</v>
      </c>
      <c r="Z72" s="50">
        <f>(SUM($Y$47:$Y$47)*Product_lifespan!D21)</f>
        <v>4646439.5244522765</v>
      </c>
      <c r="AA72" s="50">
        <f>(SUM($Y$47:$Y$47)*Product_lifespan!E21)</f>
        <v>4199292.7639086321</v>
      </c>
      <c r="AB72" s="50">
        <f>(SUM($Y$47:$Y$47)*Product_lifespan!F21)</f>
        <v>3318089.9939868399</v>
      </c>
      <c r="AC72" s="50">
        <f>(SUM($Y$47:$Y$47)*Product_lifespan!G21)</f>
        <v>2381260.3395901141</v>
      </c>
      <c r="AD72" s="50">
        <f>(SUM($Y$47:$Y$47)*Product_lifespan!H21)</f>
        <v>1581865.8863612167</v>
      </c>
      <c r="AE72" s="50">
        <f>(SUM($Y$47:$Y$47)*Product_lifespan!I21)</f>
        <v>983759.76984384714</v>
      </c>
      <c r="AF72" s="50">
        <f>(SUM($Y$47:$Y$47)*Product_lifespan!J21)</f>
        <v>577083.61221022566</v>
      </c>
      <c r="AG72" s="50">
        <f>(SUM($Y$47:$Y$47)*Product_lifespan!K21)</f>
        <v>321047.81219321751</v>
      </c>
      <c r="AH72" s="50">
        <f>(SUM($Y$47:$Y$47)*Product_lifespan!L21)</f>
        <v>170083.86956759726</v>
      </c>
      <c r="AI72" s="50">
        <f>(SUM($Y$47:$Y$47)*Product_lifespan!M21)</f>
        <v>86084.167334178943</v>
      </c>
      <c r="AJ72" s="50">
        <f>(SUM($Y$47:$Y$47)*Product_lifespan!N21)</f>
        <v>41734.176601588355</v>
      </c>
      <c r="AK72" s="50">
        <f>(SUM($Y$47:$Y$47)*Product_lifespan!O21)</f>
        <v>19423.152348184227</v>
      </c>
      <c r="AL72" s="50">
        <f>(SUM($Y$47:$Y$47)*Product_lifespan!P21)</f>
        <v>8693.8965137159812</v>
      </c>
    </row>
    <row r="73" spans="2:42">
      <c r="B73" s="7">
        <v>2023</v>
      </c>
      <c r="C73" s="8"/>
      <c r="D73" s="8"/>
      <c r="E73" s="8"/>
      <c r="F73" s="8"/>
      <c r="G73" s="8"/>
      <c r="H73" s="8"/>
      <c r="I73" s="8"/>
      <c r="J73" s="8"/>
      <c r="K73" s="8"/>
      <c r="L73" s="8"/>
      <c r="M73" s="8"/>
      <c r="N73" s="8"/>
      <c r="O73" s="8"/>
      <c r="P73" s="8"/>
      <c r="Q73" s="8"/>
      <c r="R73" s="8"/>
      <c r="S73" s="8"/>
      <c r="T73" s="8"/>
      <c r="U73" s="8"/>
      <c r="V73" s="8"/>
      <c r="W73" s="8"/>
      <c r="X73" s="51"/>
      <c r="Y73" s="51"/>
      <c r="Z73" s="50">
        <f>(SUM($Z$47:$Z$47)*Product_lifespan!C21)</f>
        <v>4030057.8389200554</v>
      </c>
      <c r="AA73" s="50">
        <f>(SUM($Z$47:$Z$47)*Product_lifespan!D21)</f>
        <v>4646439.5244522765</v>
      </c>
      <c r="AB73" s="50">
        <f>(SUM($Z$47:$Z$47)*Product_lifespan!E21)</f>
        <v>4199292.7639086321</v>
      </c>
      <c r="AC73" s="50">
        <f>(SUM($Z$47:$Z$47)*Product_lifespan!F21)</f>
        <v>3318089.9939868399</v>
      </c>
      <c r="AD73" s="50">
        <f>(SUM($Z$47:$Z$47)*Product_lifespan!G21)</f>
        <v>2381260.3395901141</v>
      </c>
      <c r="AE73" s="50">
        <f>(SUM($Z$47:$Z$47)*Product_lifespan!H21)</f>
        <v>1581865.8863612167</v>
      </c>
      <c r="AF73" s="50">
        <f>(SUM($Z$47:$Z$47)*Product_lifespan!I21)</f>
        <v>983759.76984384714</v>
      </c>
      <c r="AG73" s="50">
        <f>(SUM($Z$47:$Z$47)*Product_lifespan!J21)</f>
        <v>577083.61221022566</v>
      </c>
      <c r="AH73" s="50">
        <f>(SUM($Z$47:$Z$47)*Product_lifespan!K21)</f>
        <v>321047.81219321751</v>
      </c>
      <c r="AI73" s="50">
        <f>(SUM($Z$47:$Z$47)*Product_lifespan!L21)</f>
        <v>170083.86956759726</v>
      </c>
      <c r="AJ73" s="50">
        <f>(SUM($Z$47:$Z$47)*Product_lifespan!M21)</f>
        <v>86084.167334178943</v>
      </c>
      <c r="AK73" s="50">
        <f>(SUM($Z$47:$Z$47)*Product_lifespan!N21)</f>
        <v>41734.176601588355</v>
      </c>
      <c r="AL73" s="50">
        <f>(SUM($Z$47:$Z$47)*Product_lifespan!O21)</f>
        <v>19423.152348184227</v>
      </c>
    </row>
    <row r="74" spans="2:42">
      <c r="B74" s="7">
        <v>2024</v>
      </c>
      <c r="C74" s="8"/>
      <c r="D74" s="8"/>
      <c r="E74" s="8"/>
      <c r="F74" s="8"/>
      <c r="G74" s="8"/>
      <c r="H74" s="8"/>
      <c r="I74" s="8"/>
      <c r="J74" s="8"/>
      <c r="K74" s="8"/>
      <c r="L74" s="8"/>
      <c r="M74" s="8"/>
      <c r="N74" s="8"/>
      <c r="O74" s="8"/>
      <c r="P74" s="8"/>
      <c r="Q74" s="8"/>
      <c r="R74" s="8"/>
      <c r="S74" s="8"/>
      <c r="T74" s="8"/>
      <c r="U74" s="8"/>
      <c r="V74" s="8"/>
      <c r="W74" s="8"/>
      <c r="X74" s="51"/>
      <c r="Y74" s="51"/>
      <c r="Z74" s="51"/>
      <c r="AA74" s="50">
        <f>(SUM($AA$47:$AA$47)*Product_lifespan!C21)</f>
        <v>4030057.8389200554</v>
      </c>
      <c r="AB74" s="50">
        <f>(SUM($AA$47:$AA$47)*Product_lifespan!D21)</f>
        <v>4646439.5244522765</v>
      </c>
      <c r="AC74" s="50">
        <f>(SUM($AA$47:$AA$47)*Product_lifespan!E21)</f>
        <v>4199292.7639086321</v>
      </c>
      <c r="AD74" s="50">
        <f>(SUM($AA$47:$AA$47)*Product_lifespan!F21)</f>
        <v>3318089.9939868399</v>
      </c>
      <c r="AE74" s="50">
        <f>(SUM($AA$47:$AA$47)*Product_lifespan!G21)</f>
        <v>2381260.3395901141</v>
      </c>
      <c r="AF74" s="50">
        <f>(SUM($AA$47:$AA$47)*Product_lifespan!H21)</f>
        <v>1581865.8863612167</v>
      </c>
      <c r="AG74" s="50">
        <f>(SUM($AA$47:$AA$47)*Product_lifespan!I21)</f>
        <v>983759.76984384714</v>
      </c>
      <c r="AH74" s="50">
        <f>(SUM($AA$47:$AA$47)*Product_lifespan!J21)</f>
        <v>577083.61221022566</v>
      </c>
      <c r="AI74" s="50">
        <f>(SUM($AA$47:$AA$47)*Product_lifespan!K21)</f>
        <v>321047.81219321751</v>
      </c>
      <c r="AJ74" s="50">
        <f>(SUM($AA$47:$AA$47)*Product_lifespan!L21)</f>
        <v>170083.86956759726</v>
      </c>
      <c r="AK74" s="50">
        <f>(SUM($AA$47:$AA$47)*Product_lifespan!M21)</f>
        <v>86084.167334178943</v>
      </c>
      <c r="AL74" s="50">
        <f>(SUM($AA$47:$AA$47)*Product_lifespan!N21)</f>
        <v>41734.176601588355</v>
      </c>
    </row>
    <row r="75" spans="2:42">
      <c r="B75" s="7">
        <v>2025</v>
      </c>
      <c r="C75" s="8"/>
      <c r="D75" s="8"/>
      <c r="E75" s="8"/>
      <c r="F75" s="8"/>
      <c r="G75" s="8"/>
      <c r="H75" s="8"/>
      <c r="I75" s="8"/>
      <c r="J75" s="8"/>
      <c r="K75" s="8"/>
      <c r="L75" s="8"/>
      <c r="M75" s="8"/>
      <c r="N75" s="8"/>
      <c r="O75" s="8"/>
      <c r="P75" s="8"/>
      <c r="Q75" s="8"/>
      <c r="R75" s="8"/>
      <c r="S75" s="8"/>
      <c r="T75" s="8"/>
      <c r="U75" s="8"/>
      <c r="V75" s="8"/>
      <c r="W75" s="8"/>
      <c r="X75" s="51"/>
      <c r="Y75" s="51"/>
      <c r="Z75" s="51"/>
      <c r="AA75" s="51"/>
      <c r="AB75" s="50">
        <f>(SUM($AB$47:$AB$47)*Product_lifespan!C21)</f>
        <v>4030057.8389200554</v>
      </c>
      <c r="AC75" s="50">
        <f>(SUM($AB$47:$AB$47)*Product_lifespan!D21)</f>
        <v>4646439.5244522765</v>
      </c>
      <c r="AD75" s="50">
        <f>(SUM($AB$47:$AB$47)*Product_lifespan!E21)</f>
        <v>4199292.7639086321</v>
      </c>
      <c r="AE75" s="50">
        <f>(SUM($AB$47:$AB$47)*Product_lifespan!F21)</f>
        <v>3318089.9939868399</v>
      </c>
      <c r="AF75" s="50">
        <f>(SUM($AB$47:$AB$47)*Product_lifespan!G21)</f>
        <v>2381260.3395901141</v>
      </c>
      <c r="AG75" s="50">
        <f>(SUM($AB$47:$AB$47)*Product_lifespan!H21)</f>
        <v>1581865.8863612167</v>
      </c>
      <c r="AH75" s="50">
        <f>(SUM($AB$47:$AB$47)*Product_lifespan!I21)</f>
        <v>983759.76984384714</v>
      </c>
      <c r="AI75" s="50">
        <f>(SUM($AB$47:$AB$47)*Product_lifespan!J21)</f>
        <v>577083.61221022566</v>
      </c>
      <c r="AJ75" s="50">
        <f>(SUM($AB$47:$AB$47)*Product_lifespan!K21)</f>
        <v>321047.81219321751</v>
      </c>
      <c r="AK75" s="50">
        <f>(SUM($AB$47:$AB$47)*Product_lifespan!L21)</f>
        <v>170083.86956759726</v>
      </c>
      <c r="AL75" s="50">
        <f>(SUM($AB$47:$AB$47)*Product_lifespan!M21)</f>
        <v>86084.167334178943</v>
      </c>
    </row>
    <row r="76" spans="2:42">
      <c r="B76" s="7">
        <v>2026</v>
      </c>
      <c r="C76" s="8"/>
      <c r="D76" s="8"/>
      <c r="E76" s="8"/>
      <c r="F76" s="8"/>
      <c r="G76" s="8"/>
      <c r="H76" s="8"/>
      <c r="I76" s="8"/>
      <c r="J76" s="8"/>
      <c r="K76" s="8"/>
      <c r="L76" s="8"/>
      <c r="M76" s="8"/>
      <c r="N76" s="8"/>
      <c r="O76" s="8"/>
      <c r="P76" s="8"/>
      <c r="Q76" s="8"/>
      <c r="R76" s="8"/>
      <c r="S76" s="8"/>
      <c r="T76" s="8"/>
      <c r="U76" s="8"/>
      <c r="V76" s="8"/>
      <c r="W76" s="8"/>
      <c r="X76" s="51"/>
      <c r="Y76" s="51"/>
      <c r="Z76" s="51"/>
      <c r="AA76" s="51"/>
      <c r="AB76" s="51"/>
      <c r="AC76" s="50">
        <f>(SUM($AC$47:$AC$47)*Product_lifespan!C21)</f>
        <v>4030057.8389200554</v>
      </c>
      <c r="AD76" s="50">
        <f>(SUM($AC$47:$AC$47)*Product_lifespan!D21)</f>
        <v>4646439.5244522765</v>
      </c>
      <c r="AE76" s="50">
        <f>(SUM($AC$47:$AC$47)*Product_lifespan!E21)</f>
        <v>4199292.7639086321</v>
      </c>
      <c r="AF76" s="50">
        <f>(SUM($AC$47:$AC$47)*Product_lifespan!F21)</f>
        <v>3318089.9939868399</v>
      </c>
      <c r="AG76" s="50">
        <f>(SUM($AC$47:$AC$47)*Product_lifespan!G21)</f>
        <v>2381260.3395901141</v>
      </c>
      <c r="AH76" s="50">
        <f>(SUM($AC$47:$AC$47)*Product_lifespan!H21)</f>
        <v>1581865.8863612167</v>
      </c>
      <c r="AI76" s="50">
        <f>(SUM($AC$47:$AC$47)*Product_lifespan!I21)</f>
        <v>983759.76984384714</v>
      </c>
      <c r="AJ76" s="50">
        <f>(SUM($AC$47:$AC$47)*Product_lifespan!J21)</f>
        <v>577083.61221022566</v>
      </c>
      <c r="AK76" s="50">
        <f>(SUM($AC$47:$AC$47)*Product_lifespan!K21)</f>
        <v>321047.81219321751</v>
      </c>
      <c r="AL76" s="50">
        <f>(SUM($AC$47:$AC$47)*Product_lifespan!L21)</f>
        <v>170083.86956759726</v>
      </c>
    </row>
    <row r="77" spans="2:42">
      <c r="B77" s="7">
        <v>2027</v>
      </c>
      <c r="C77" s="8"/>
      <c r="D77" s="8"/>
      <c r="E77" s="8"/>
      <c r="F77" s="8"/>
      <c r="G77" s="8"/>
      <c r="H77" s="8"/>
      <c r="I77" s="8"/>
      <c r="J77" s="8"/>
      <c r="K77" s="8"/>
      <c r="L77" s="8"/>
      <c r="M77" s="8"/>
      <c r="N77" s="8"/>
      <c r="O77" s="8"/>
      <c r="P77" s="8"/>
      <c r="Q77" s="8"/>
      <c r="R77" s="8"/>
      <c r="S77" s="8"/>
      <c r="T77" s="8"/>
      <c r="U77" s="8"/>
      <c r="V77" s="8"/>
      <c r="W77" s="8"/>
      <c r="X77" s="51"/>
      <c r="Y77" s="51"/>
      <c r="Z77" s="51"/>
      <c r="AA77" s="51"/>
      <c r="AB77" s="51"/>
      <c r="AC77" s="51"/>
      <c r="AD77" s="50">
        <f>(SUM($AD$47:$AD$47)*Product_lifespan!C21)</f>
        <v>4030057.8389200554</v>
      </c>
      <c r="AE77" s="50">
        <f>(SUM($AD$47:$AD$47)*Product_lifespan!D21)</f>
        <v>4646439.5244522765</v>
      </c>
      <c r="AF77" s="50">
        <f>(SUM($AD$47:$AD$47)*Product_lifespan!E21)</f>
        <v>4199292.7639086321</v>
      </c>
      <c r="AG77" s="50">
        <f>(SUM($AD$47:$AD$47)*Product_lifespan!F21)</f>
        <v>3318089.9939868399</v>
      </c>
      <c r="AH77" s="50">
        <f>(SUM($AD$47:$AD$47)*Product_lifespan!G21)</f>
        <v>2381260.3395901141</v>
      </c>
      <c r="AI77" s="50">
        <f>(SUM($AD$47:$AD$47)*Product_lifespan!H21)</f>
        <v>1581865.8863612167</v>
      </c>
      <c r="AJ77" s="50">
        <f>(SUM($AD$47:$AD$47)*Product_lifespan!I21)</f>
        <v>983759.76984384714</v>
      </c>
      <c r="AK77" s="50">
        <f>(SUM($AD$47:$AD$47)*Product_lifespan!J21)</f>
        <v>577083.61221022566</v>
      </c>
      <c r="AL77" s="50">
        <f>(SUM($AD$47:$AD$47)*Product_lifespan!K21)</f>
        <v>321047.81219321751</v>
      </c>
    </row>
    <row r="78" spans="2:42">
      <c r="B78" s="7">
        <v>2028</v>
      </c>
      <c r="C78" s="8"/>
      <c r="D78" s="8"/>
      <c r="E78" s="8"/>
      <c r="F78" s="8"/>
      <c r="G78" s="8"/>
      <c r="H78" s="8"/>
      <c r="I78" s="8"/>
      <c r="J78" s="8"/>
      <c r="K78" s="8"/>
      <c r="L78" s="8"/>
      <c r="M78" s="8"/>
      <c r="N78" s="8"/>
      <c r="O78" s="8"/>
      <c r="P78" s="8"/>
      <c r="Q78" s="8"/>
      <c r="R78" s="8"/>
      <c r="S78" s="8"/>
      <c r="T78" s="8"/>
      <c r="U78" s="8"/>
      <c r="V78" s="8"/>
      <c r="W78" s="8"/>
      <c r="X78" s="51"/>
      <c r="Y78" s="51"/>
      <c r="Z78" s="51"/>
      <c r="AA78" s="51"/>
      <c r="AB78" s="51"/>
      <c r="AC78" s="51"/>
      <c r="AD78" s="51"/>
      <c r="AE78" s="50">
        <f>(SUM($AE$47:$AE$47)*Product_lifespan!C21)</f>
        <v>4030057.8389200554</v>
      </c>
      <c r="AF78" s="50">
        <f>(SUM($AE$47:$AE$47)*Product_lifespan!D21)</f>
        <v>4646439.5244522765</v>
      </c>
      <c r="AG78" s="50">
        <f>(SUM($AE$47:$AE$47)*Product_lifespan!E21)</f>
        <v>4199292.7639086321</v>
      </c>
      <c r="AH78" s="50">
        <f>(SUM($AE$47:$AE$47)*Product_lifespan!F21)</f>
        <v>3318089.9939868399</v>
      </c>
      <c r="AI78" s="50">
        <f>(SUM($AE$47:$AE$47)*Product_lifespan!G21)</f>
        <v>2381260.3395901141</v>
      </c>
      <c r="AJ78" s="50">
        <f>(SUM($AE$47:$AE$47)*Product_lifespan!H21)</f>
        <v>1581865.8863612167</v>
      </c>
      <c r="AK78" s="50">
        <f>(SUM($AE$47:$AE$47)*Product_lifespan!I21)</f>
        <v>983759.76984384714</v>
      </c>
      <c r="AL78" s="50">
        <f>(SUM($AE$47:$AE$47)*Product_lifespan!J21)</f>
        <v>577083.61221022566</v>
      </c>
    </row>
    <row r="79" spans="2:42">
      <c r="B79" s="7">
        <v>2029</v>
      </c>
      <c r="C79" s="8"/>
      <c r="D79" s="8"/>
      <c r="E79" s="8"/>
      <c r="F79" s="8"/>
      <c r="G79" s="8"/>
      <c r="H79" s="8"/>
      <c r="I79" s="8"/>
      <c r="J79" s="8"/>
      <c r="K79" s="8"/>
      <c r="L79" s="8"/>
      <c r="M79" s="8"/>
      <c r="N79" s="8"/>
      <c r="O79" s="8"/>
      <c r="P79" s="8"/>
      <c r="Q79" s="8"/>
      <c r="R79" s="8"/>
      <c r="S79" s="8"/>
      <c r="T79" s="8"/>
      <c r="U79" s="8"/>
      <c r="V79" s="8"/>
      <c r="W79" s="8"/>
      <c r="X79" s="51"/>
      <c r="Y79" s="51"/>
      <c r="Z79" s="51"/>
      <c r="AA79" s="51"/>
      <c r="AB79" s="51"/>
      <c r="AC79" s="51"/>
      <c r="AD79" s="51"/>
      <c r="AE79" s="51"/>
      <c r="AF79" s="50">
        <f>(SUM($AF$47:$AF$47)*Product_lifespan!C21)</f>
        <v>4030057.8389200554</v>
      </c>
      <c r="AG79" s="50">
        <f>(SUM($AF$47:$AF$47)*Product_lifespan!D21)</f>
        <v>4646439.5244522765</v>
      </c>
      <c r="AH79" s="50">
        <f>(SUM($AF$47:$AF$47)*Product_lifespan!E21)</f>
        <v>4199292.7639086321</v>
      </c>
      <c r="AI79" s="50">
        <f>(SUM($AF$47:$AF$47)*Product_lifespan!F21)</f>
        <v>3318089.9939868399</v>
      </c>
      <c r="AJ79" s="50">
        <f>(SUM($AF$47:$AF$47)*Product_lifespan!G21)</f>
        <v>2381260.3395901141</v>
      </c>
      <c r="AK79" s="50">
        <f>(SUM($AF$47:$AF$47)*Product_lifespan!H21)</f>
        <v>1581865.8863612167</v>
      </c>
      <c r="AL79" s="50">
        <f>(SUM($AF$47:$AF$47)*Product_lifespan!I21)</f>
        <v>983759.76984384714</v>
      </c>
    </row>
    <row r="80" spans="2:42">
      <c r="B80" s="7">
        <v>2030</v>
      </c>
      <c r="C80" s="8"/>
      <c r="D80" s="8"/>
      <c r="E80" s="8"/>
      <c r="F80" s="8"/>
      <c r="G80" s="8"/>
      <c r="H80" s="8"/>
      <c r="I80" s="8"/>
      <c r="J80" s="8"/>
      <c r="K80" s="8"/>
      <c r="L80" s="8"/>
      <c r="M80" s="8"/>
      <c r="N80" s="8"/>
      <c r="O80" s="8"/>
      <c r="P80" s="8"/>
      <c r="Q80" s="8"/>
      <c r="R80" s="8"/>
      <c r="S80" s="8"/>
      <c r="T80" s="8"/>
      <c r="U80" s="8"/>
      <c r="V80" s="8"/>
      <c r="W80" s="8"/>
      <c r="X80" s="51"/>
      <c r="Y80" s="51"/>
      <c r="Z80" s="51"/>
      <c r="AA80" s="51"/>
      <c r="AB80" s="51"/>
      <c r="AC80" s="51"/>
      <c r="AD80" s="51"/>
      <c r="AE80" s="51"/>
      <c r="AF80" s="51"/>
      <c r="AG80" s="50">
        <f>(SUM($AG$47:$AG$47)*Product_lifespan!C21)</f>
        <v>4030057.8389200554</v>
      </c>
      <c r="AH80" s="50">
        <f>(SUM($AG$47:$AG$47)*Product_lifespan!D21)</f>
        <v>4646439.5244522765</v>
      </c>
      <c r="AI80" s="50">
        <f>(SUM($AG$47:$AG$47)*Product_lifespan!E21)</f>
        <v>4199292.7639086321</v>
      </c>
      <c r="AJ80" s="50">
        <f>(SUM($AG$47:$AG$47)*Product_lifespan!F21)</f>
        <v>3318089.9939868399</v>
      </c>
      <c r="AK80" s="50">
        <f>(SUM($AG$47:$AG$47)*Product_lifespan!G21)</f>
        <v>2381260.3395901141</v>
      </c>
      <c r="AL80" s="50">
        <f>(SUM($AG$47:$AG$47)*Product_lifespan!H21)</f>
        <v>1581865.8863612167</v>
      </c>
    </row>
    <row r="81" spans="1:42">
      <c r="B81" s="7">
        <v>2031</v>
      </c>
      <c r="C81" s="8"/>
      <c r="D81" s="8"/>
      <c r="E81" s="8"/>
      <c r="F81" s="8"/>
      <c r="G81" s="8"/>
      <c r="H81" s="8"/>
      <c r="I81" s="8"/>
      <c r="J81" s="8"/>
      <c r="K81" s="8"/>
      <c r="L81" s="8"/>
      <c r="M81" s="8"/>
      <c r="N81" s="8"/>
      <c r="O81" s="8"/>
      <c r="P81" s="8"/>
      <c r="Q81" s="8"/>
      <c r="R81" s="8"/>
      <c r="S81" s="8"/>
      <c r="T81" s="8"/>
      <c r="U81" s="8"/>
      <c r="V81" s="8"/>
      <c r="W81" s="8"/>
      <c r="X81" s="51"/>
      <c r="Y81" s="51"/>
      <c r="Z81" s="51"/>
      <c r="AA81" s="51"/>
      <c r="AB81" s="51"/>
      <c r="AC81" s="51"/>
      <c r="AD81" s="51"/>
      <c r="AE81" s="51"/>
      <c r="AF81" s="51"/>
      <c r="AG81" s="51"/>
      <c r="AH81" s="50">
        <f>(SUM($AH$47:$AH$47)*Product_lifespan!C21)</f>
        <v>4030057.8389200554</v>
      </c>
      <c r="AI81" s="50">
        <f>(SUM($AH$47:$AH$47)*Product_lifespan!D21)</f>
        <v>4646439.5244522765</v>
      </c>
      <c r="AJ81" s="50">
        <f>(SUM($AH$47:$AH$47)*Product_lifespan!E21)</f>
        <v>4199292.7639086321</v>
      </c>
      <c r="AK81" s="50">
        <f>(SUM($AH$47:$AH$47)*Product_lifespan!F21)</f>
        <v>3318089.9939868399</v>
      </c>
      <c r="AL81" s="50">
        <f>(SUM($AH$47:$AH$47)*Product_lifespan!G21)</f>
        <v>2381260.3395901141</v>
      </c>
    </row>
    <row r="82" spans="1:42">
      <c r="B82" s="7">
        <v>2032</v>
      </c>
      <c r="C82" s="8"/>
      <c r="D82" s="8"/>
      <c r="E82" s="8"/>
      <c r="F82" s="8"/>
      <c r="G82" s="8"/>
      <c r="H82" s="8"/>
      <c r="I82" s="8"/>
      <c r="J82" s="8"/>
      <c r="K82" s="8"/>
      <c r="L82" s="8"/>
      <c r="M82" s="8"/>
      <c r="N82" s="8"/>
      <c r="O82" s="8"/>
      <c r="P82" s="8"/>
      <c r="Q82" s="8"/>
      <c r="R82" s="8"/>
      <c r="S82" s="8"/>
      <c r="T82" s="8"/>
      <c r="U82" s="8"/>
      <c r="V82" s="8"/>
      <c r="W82" s="8"/>
      <c r="X82" s="51"/>
      <c r="Y82" s="51"/>
      <c r="Z82" s="51"/>
      <c r="AA82" s="51"/>
      <c r="AB82" s="51"/>
      <c r="AC82" s="51"/>
      <c r="AD82" s="51"/>
      <c r="AE82" s="51"/>
      <c r="AF82" s="51"/>
      <c r="AG82" s="51"/>
      <c r="AH82" s="51"/>
      <c r="AI82" s="50">
        <f>(SUM($AI$47)*Product_lifespan!C21)</f>
        <v>4030057.8389200554</v>
      </c>
      <c r="AJ82" s="50">
        <f>(SUM($AI$47)*Product_lifespan!D21)</f>
        <v>4646439.5244522765</v>
      </c>
      <c r="AK82" s="50">
        <f>(SUM($AI$47)*Product_lifespan!E21)</f>
        <v>4199292.7639086321</v>
      </c>
      <c r="AL82" s="50">
        <f>(SUM($AI$47)*Product_lifespan!F21)</f>
        <v>3318089.9939868399</v>
      </c>
    </row>
    <row r="83" spans="1:42">
      <c r="B83" s="7">
        <v>2033</v>
      </c>
      <c r="C83" s="8"/>
      <c r="D83" s="8"/>
      <c r="E83" s="8"/>
      <c r="F83" s="8"/>
      <c r="G83" s="8"/>
      <c r="H83" s="8"/>
      <c r="I83" s="8"/>
      <c r="J83" s="8"/>
      <c r="K83" s="8"/>
      <c r="L83" s="8"/>
      <c r="M83" s="8"/>
      <c r="N83" s="8"/>
      <c r="O83" s="8"/>
      <c r="P83" s="8"/>
      <c r="Q83" s="8"/>
      <c r="R83" s="8"/>
      <c r="S83" s="8"/>
      <c r="T83" s="8"/>
      <c r="U83" s="8"/>
      <c r="V83" s="8"/>
      <c r="W83" s="8"/>
      <c r="X83" s="51"/>
      <c r="Y83" s="51"/>
      <c r="Z83" s="51"/>
      <c r="AA83" s="51"/>
      <c r="AB83" s="51"/>
      <c r="AC83" s="51"/>
      <c r="AD83" s="51"/>
      <c r="AE83" s="51"/>
      <c r="AF83" s="51"/>
      <c r="AG83" s="51"/>
      <c r="AH83" s="51"/>
      <c r="AI83" s="51"/>
      <c r="AJ83" s="50">
        <f>(SUM($AJ$47:$AJ$47)*Product_lifespan!C21)</f>
        <v>4030057.8389200554</v>
      </c>
      <c r="AK83" s="50">
        <f>(SUM($AJ$47:$AJ$47)*Product_lifespan!D21)</f>
        <v>4646439.5244522765</v>
      </c>
      <c r="AL83" s="50">
        <f>(SUM($AJ$47:$AJ$47)*Product_lifespan!E21)</f>
        <v>4199292.7639086321</v>
      </c>
    </row>
    <row r="84" spans="1:42">
      <c r="B84" s="7">
        <v>2034</v>
      </c>
      <c r="C84" s="8"/>
      <c r="D84" s="8"/>
      <c r="E84" s="8"/>
      <c r="F84" s="8"/>
      <c r="G84" s="8"/>
      <c r="H84" s="8"/>
      <c r="I84" s="8"/>
      <c r="J84" s="8"/>
      <c r="K84" s="8"/>
      <c r="L84" s="8"/>
      <c r="M84" s="8"/>
      <c r="N84" s="8"/>
      <c r="O84" s="8"/>
      <c r="P84" s="8"/>
      <c r="Q84" s="8"/>
      <c r="R84" s="8"/>
      <c r="S84" s="8"/>
      <c r="T84" s="8"/>
      <c r="U84" s="8"/>
      <c r="V84" s="8"/>
      <c r="W84" s="8"/>
      <c r="X84" s="51"/>
      <c r="Y84" s="51"/>
      <c r="Z84" s="51"/>
      <c r="AA84" s="51"/>
      <c r="AB84" s="51"/>
      <c r="AC84" s="51"/>
      <c r="AD84" s="51"/>
      <c r="AE84" s="51"/>
      <c r="AF84" s="51"/>
      <c r="AG84" s="51"/>
      <c r="AH84" s="51"/>
      <c r="AI84" s="51"/>
      <c r="AJ84" s="51"/>
      <c r="AK84" s="50">
        <f>(SUM($AK$47:$AK$47)*Product_lifespan!C21)</f>
        <v>4030057.8389200554</v>
      </c>
      <c r="AL84" s="50">
        <f>(SUM($AK$47:$AK$47)*Product_lifespan!D21)</f>
        <v>4646439.5244522765</v>
      </c>
    </row>
    <row r="85" spans="1:42">
      <c r="B85" s="7">
        <v>2035</v>
      </c>
      <c r="C85" s="8"/>
      <c r="D85" s="8"/>
      <c r="E85" s="8"/>
      <c r="F85" s="8"/>
      <c r="G85" s="8"/>
      <c r="H85" s="8"/>
      <c r="I85" s="8"/>
      <c r="J85" s="8"/>
      <c r="K85" s="8"/>
      <c r="L85" s="8"/>
      <c r="M85" s="8"/>
      <c r="N85" s="8"/>
      <c r="O85" s="8"/>
      <c r="P85" s="8"/>
      <c r="Q85" s="8"/>
      <c r="R85" s="8"/>
      <c r="S85" s="8"/>
      <c r="T85" s="8"/>
      <c r="U85" s="8"/>
      <c r="V85" s="8"/>
      <c r="W85" s="8"/>
      <c r="X85" s="51"/>
      <c r="Y85" s="51"/>
      <c r="Z85" s="51"/>
      <c r="AA85" s="51"/>
      <c r="AB85" s="51"/>
      <c r="AC85" s="51"/>
      <c r="AD85" s="51"/>
      <c r="AE85" s="51"/>
      <c r="AF85" s="51"/>
      <c r="AG85" s="51"/>
      <c r="AH85" s="51"/>
      <c r="AI85" s="51"/>
      <c r="AJ85" s="51"/>
      <c r="AK85" s="51"/>
      <c r="AL85" s="50">
        <f>(SUM($AL$47:$AL$47)*Product_lifespan!C21)</f>
        <v>4030057.8389200554</v>
      </c>
    </row>
    <row r="86" spans="1:42" ht="17" thickBot="1">
      <c r="C86" s="88"/>
      <c r="D86" s="88"/>
      <c r="E86" s="88"/>
      <c r="F86" s="88"/>
      <c r="G86" s="88"/>
      <c r="H86" s="88"/>
      <c r="I86" s="88"/>
      <c r="J86" s="88"/>
      <c r="K86" s="88"/>
      <c r="L86" s="88"/>
      <c r="M86" s="88"/>
      <c r="N86" s="88"/>
      <c r="O86" s="88"/>
      <c r="P86" s="88"/>
      <c r="Q86" s="88"/>
      <c r="R86" s="88"/>
      <c r="S86" s="88"/>
      <c r="T86" s="88"/>
      <c r="U86" s="88"/>
      <c r="V86" s="88"/>
      <c r="W86" s="88"/>
      <c r="X86" s="89"/>
      <c r="Y86" s="89"/>
      <c r="Z86" s="89"/>
      <c r="AA86" s="89"/>
      <c r="AB86" s="89"/>
      <c r="AC86" s="89"/>
      <c r="AD86" s="89"/>
      <c r="AE86" s="89"/>
      <c r="AF86" s="89"/>
      <c r="AG86" s="89"/>
      <c r="AH86" s="89"/>
      <c r="AI86" s="89"/>
      <c r="AJ86" s="89"/>
      <c r="AK86" s="89"/>
      <c r="AL86" s="89"/>
    </row>
    <row r="87" spans="1:42" ht="17" thickTop="1">
      <c r="A87" s="1" t="s">
        <v>6928</v>
      </c>
      <c r="C87" s="90">
        <f>ROUND(SUM(C50:C85),0)</f>
        <v>6663645</v>
      </c>
      <c r="D87" s="90">
        <f t="shared" ref="D87:AL87" si="2">ROUND(SUM(D50:D86),0)</f>
        <v>14346468</v>
      </c>
      <c r="E87" s="90">
        <f t="shared" si="2"/>
        <v>21289940</v>
      </c>
      <c r="F87" s="90">
        <f t="shared" si="2"/>
        <v>26776356</v>
      </c>
      <c r="G87" s="90">
        <f t="shared" si="2"/>
        <v>30713737</v>
      </c>
      <c r="H87" s="90">
        <f t="shared" si="2"/>
        <v>33329331</v>
      </c>
      <c r="I87" s="90">
        <f t="shared" si="2"/>
        <v>34955964</v>
      </c>
      <c r="J87" s="90">
        <f t="shared" si="2"/>
        <v>29246519</v>
      </c>
      <c r="K87" s="90">
        <f t="shared" si="2"/>
        <v>22094543</v>
      </c>
      <c r="L87" s="90">
        <f t="shared" si="2"/>
        <v>23465489</v>
      </c>
      <c r="M87" s="90">
        <f t="shared" si="2"/>
        <v>27898620</v>
      </c>
      <c r="N87" s="90">
        <f t="shared" si="2"/>
        <v>32238470</v>
      </c>
      <c r="O87" s="90">
        <f t="shared" si="2"/>
        <v>35699648</v>
      </c>
      <c r="P87" s="90">
        <f t="shared" si="2"/>
        <v>38314441</v>
      </c>
      <c r="Q87" s="90">
        <f t="shared" si="2"/>
        <v>39567600</v>
      </c>
      <c r="R87" s="90">
        <f t="shared" si="2"/>
        <v>39726047</v>
      </c>
      <c r="S87" s="90">
        <f t="shared" si="2"/>
        <v>39048857</v>
      </c>
      <c r="T87" s="90">
        <f t="shared" si="2"/>
        <v>37258385</v>
      </c>
      <c r="U87" s="90">
        <f t="shared" si="2"/>
        <v>35022538</v>
      </c>
      <c r="V87" s="90">
        <f t="shared" si="2"/>
        <v>32915329</v>
      </c>
      <c r="W87" s="90">
        <f t="shared" si="2"/>
        <v>31368406</v>
      </c>
      <c r="X87" s="90">
        <f t="shared" si="2"/>
        <v>25160366</v>
      </c>
      <c r="Y87" s="90">
        <f t="shared" si="2"/>
        <v>22543200</v>
      </c>
      <c r="Z87" s="90">
        <f t="shared" si="2"/>
        <v>21381538</v>
      </c>
      <c r="AA87" s="90">
        <f t="shared" si="2"/>
        <v>21079564</v>
      </c>
      <c r="AB87" s="90">
        <f t="shared" si="2"/>
        <v>21207227</v>
      </c>
      <c r="AC87" s="90">
        <f t="shared" si="2"/>
        <v>21487084</v>
      </c>
      <c r="AD87" s="90">
        <f t="shared" si="2"/>
        <v>21770007</v>
      </c>
      <c r="AE87" s="90">
        <f t="shared" si="2"/>
        <v>21995169</v>
      </c>
      <c r="AF87" s="90">
        <f t="shared" si="2"/>
        <v>22151614</v>
      </c>
      <c r="AG87" s="90" t="e">
        <f t="shared" si="2"/>
        <v>#REF!</v>
      </c>
      <c r="AH87" s="90" t="e">
        <f t="shared" si="2"/>
        <v>#REF!</v>
      </c>
      <c r="AI87" s="90" t="e">
        <f t="shared" si="2"/>
        <v>#REF!</v>
      </c>
      <c r="AJ87" s="90" t="e">
        <f t="shared" si="2"/>
        <v>#REF!</v>
      </c>
      <c r="AK87" s="90" t="e">
        <f t="shared" si="2"/>
        <v>#REF!</v>
      </c>
      <c r="AL87" s="90" t="e">
        <f t="shared" si="2"/>
        <v>#REF!</v>
      </c>
      <c r="AN87" s="168" t="s">
        <v>7664</v>
      </c>
      <c r="AO87" s="171" t="s">
        <v>7663</v>
      </c>
      <c r="AP87" s="169" t="s">
        <v>7662</v>
      </c>
    </row>
    <row r="88" spans="1:42" ht="17" thickBot="1">
      <c r="AN88" s="173">
        <f>SUM(C87:X87)</f>
        <v>657100699</v>
      </c>
      <c r="AO88" s="172" t="e">
        <f>SUM(Y87:AL87)</f>
        <v>#REF!</v>
      </c>
      <c r="AP88" s="175" t="e">
        <f>SUM(C87:AL87)</f>
        <v>#REF!</v>
      </c>
    </row>
    <row r="89" spans="1:42" ht="21">
      <c r="B89" s="52" t="s">
        <v>7652</v>
      </c>
      <c r="X89" s="46"/>
      <c r="Y89" s="46"/>
      <c r="Z89" s="46"/>
      <c r="AA89" s="46"/>
      <c r="AB89" s="46"/>
      <c r="AC89" s="46"/>
      <c r="AD89" s="46"/>
      <c r="AE89" s="46"/>
      <c r="AF89" s="46"/>
      <c r="AG89" s="46"/>
      <c r="AH89" s="46"/>
      <c r="AI89" s="46"/>
      <c r="AJ89" s="46"/>
      <c r="AK89" s="46"/>
      <c r="AL89" s="46"/>
    </row>
    <row r="90" spans="1:42">
      <c r="B90" s="7" t="s">
        <v>7700</v>
      </c>
      <c r="C90" s="7"/>
      <c r="D90" s="7"/>
      <c r="E90" s="7"/>
      <c r="F90" s="7"/>
      <c r="G90" s="7"/>
      <c r="H90" s="7"/>
      <c r="I90" s="7"/>
      <c r="J90" s="7"/>
      <c r="K90" s="7"/>
      <c r="L90" s="7"/>
      <c r="M90" s="7"/>
      <c r="N90" s="7"/>
      <c r="O90" s="7"/>
      <c r="P90" s="7"/>
      <c r="Q90" s="7"/>
      <c r="R90" s="7"/>
      <c r="S90" s="7"/>
      <c r="T90" s="7"/>
      <c r="U90" s="7"/>
      <c r="V90" s="7"/>
      <c r="W90" s="7"/>
      <c r="X90" s="51"/>
      <c r="Y90" s="51"/>
      <c r="Z90" s="51"/>
      <c r="AA90" s="51"/>
      <c r="AB90" s="51"/>
      <c r="AC90" s="51"/>
      <c r="AD90" s="51"/>
      <c r="AE90" s="51"/>
      <c r="AF90" s="51"/>
      <c r="AG90" s="51"/>
      <c r="AH90" s="51"/>
      <c r="AI90" s="51"/>
      <c r="AJ90" s="51"/>
      <c r="AK90" s="51"/>
      <c r="AL90" s="51"/>
    </row>
    <row r="91" spans="1:42">
      <c r="B91" s="7" t="s">
        <v>309</v>
      </c>
      <c r="C91" s="91" t="e">
        <f>#REF!*[1]Reverse_loop_split!C4</f>
        <v>#REF!</v>
      </c>
      <c r="D91" s="91" t="e">
        <f>#REF!*[1]Reverse_loop_split!D4</f>
        <v>#REF!</v>
      </c>
      <c r="E91" s="91" t="e">
        <f>#REF!*[1]Reverse_loop_split!E4</f>
        <v>#REF!</v>
      </c>
      <c r="F91" s="91" t="e">
        <f>#REF!*[1]Reverse_loop_split!F4</f>
        <v>#REF!</v>
      </c>
      <c r="G91" s="91" t="e">
        <f>#REF!*[1]Reverse_loop_split!G4</f>
        <v>#REF!</v>
      </c>
      <c r="H91" s="91" t="e">
        <f>#REF!*[1]Reverse_loop_split!H4</f>
        <v>#REF!</v>
      </c>
      <c r="I91" s="91" t="e">
        <f>#REF!*[1]Reverse_loop_split!I4</f>
        <v>#REF!</v>
      </c>
      <c r="J91" s="91" t="e">
        <f>#REF!*[1]Reverse_loop_split!J4</f>
        <v>#REF!</v>
      </c>
      <c r="K91" s="91" t="e">
        <f>#REF!*[1]Reverse_loop_split!K4</f>
        <v>#REF!</v>
      </c>
      <c r="L91" s="91" t="e">
        <f>#REF!*[1]Reverse_loop_split!L4</f>
        <v>#REF!</v>
      </c>
      <c r="M91" s="91" t="e">
        <f>#REF!*[1]Reverse_loop_split!M4</f>
        <v>#REF!</v>
      </c>
      <c r="N91" s="91" t="e">
        <f>#REF!*[1]Reverse_loop_split!N4</f>
        <v>#REF!</v>
      </c>
      <c r="O91" s="91" t="e">
        <f>#REF!*[1]Reverse_loop_split!O4</f>
        <v>#REF!</v>
      </c>
      <c r="P91" s="91" t="e">
        <f>#REF!*[1]Reverse_loop_split!P4</f>
        <v>#REF!</v>
      </c>
      <c r="Q91" s="91" t="e">
        <f>#REF!*[1]Reverse_loop_split!Q4</f>
        <v>#REF!</v>
      </c>
      <c r="R91" s="91" t="e">
        <f>#REF!*[1]Reverse_loop_split!R4</f>
        <v>#REF!</v>
      </c>
      <c r="S91" s="91" t="e">
        <f>#REF!*[1]Reverse_loop_split!S4</f>
        <v>#REF!</v>
      </c>
      <c r="T91" s="91" t="e">
        <f>#REF!*[1]Reverse_loop_split!T4</f>
        <v>#REF!</v>
      </c>
      <c r="U91" s="91" t="e">
        <f>#REF!*[1]Reverse_loop_split!U4</f>
        <v>#REF!</v>
      </c>
      <c r="V91" s="91" t="e">
        <f>#REF!*[1]Reverse_loop_split!V4</f>
        <v>#REF!</v>
      </c>
      <c r="W91" s="91" t="e">
        <f>#REF!*[1]Reverse_loop_split!W4</f>
        <v>#REF!</v>
      </c>
      <c r="X91" s="91" t="e">
        <f>#REF!*[1]Reverse_loop_split!X4</f>
        <v>#REF!</v>
      </c>
      <c r="Y91" s="91" t="e">
        <f>#REF!*[1]Reverse_loop_split!Y4</f>
        <v>#REF!</v>
      </c>
      <c r="Z91" s="91" t="e">
        <f>#REF!*[1]Reverse_loop_split!Z4</f>
        <v>#REF!</v>
      </c>
      <c r="AA91" s="91" t="e">
        <f>#REF!*[1]Reverse_loop_split!AA4</f>
        <v>#REF!</v>
      </c>
      <c r="AB91" s="91" t="e">
        <f>#REF!*[1]Reverse_loop_split!AB4</f>
        <v>#REF!</v>
      </c>
      <c r="AC91" s="91" t="e">
        <f>#REF!*[1]Reverse_loop_split!AC4</f>
        <v>#REF!</v>
      </c>
      <c r="AD91" s="91" t="e">
        <f>#REF!*[1]Reverse_loop_split!AD4</f>
        <v>#REF!</v>
      </c>
      <c r="AE91" s="91" t="e">
        <f>#REF!*[1]Reverse_loop_split!AE4</f>
        <v>#REF!</v>
      </c>
      <c r="AF91" s="91" t="e">
        <f>#REF!*[1]Reverse_loop_split!AF4</f>
        <v>#REF!</v>
      </c>
      <c r="AG91" s="91" t="e">
        <f>#REF!*[1]Reverse_loop_split!AG4</f>
        <v>#REF!</v>
      </c>
      <c r="AH91" s="91" t="e">
        <f>#REF!*[1]Reverse_loop_split!AH4</f>
        <v>#REF!</v>
      </c>
      <c r="AI91" s="91" t="e">
        <f>#REF!*[1]Reverse_loop_split!AI4</f>
        <v>#REF!</v>
      </c>
      <c r="AJ91" s="91" t="e">
        <f>#REF!*[1]Reverse_loop_split!AJ4</f>
        <v>#REF!</v>
      </c>
      <c r="AK91" s="91" t="e">
        <f>#REF!*[1]Reverse_loop_split!AK4</f>
        <v>#REF!</v>
      </c>
      <c r="AL91" s="91" t="e">
        <f>#REF!*[1]Reverse_loop_split!AL4</f>
        <v>#REF!</v>
      </c>
    </row>
    <row r="92" spans="1:42">
      <c r="B92" s="7" t="s">
        <v>6903</v>
      </c>
      <c r="C92" s="91" t="e">
        <f>#REF!*[1]Reverse_loop_split!C5</f>
        <v>#REF!</v>
      </c>
      <c r="D92" s="91" t="e">
        <f>#REF!*[1]Reverse_loop_split!D5</f>
        <v>#REF!</v>
      </c>
      <c r="E92" s="91" t="e">
        <f>#REF!*[1]Reverse_loop_split!E5</f>
        <v>#REF!</v>
      </c>
      <c r="F92" s="91" t="e">
        <f>#REF!*[1]Reverse_loop_split!F5</f>
        <v>#REF!</v>
      </c>
      <c r="G92" s="91" t="e">
        <f>#REF!*[1]Reverse_loop_split!G5</f>
        <v>#REF!</v>
      </c>
      <c r="H92" s="91" t="e">
        <f>#REF!*[1]Reverse_loop_split!H5</f>
        <v>#REF!</v>
      </c>
      <c r="I92" s="91" t="e">
        <f>#REF!*[1]Reverse_loop_split!I5</f>
        <v>#REF!</v>
      </c>
      <c r="J92" s="91" t="e">
        <f>#REF!*[1]Reverse_loop_split!J5</f>
        <v>#REF!</v>
      </c>
      <c r="K92" s="91" t="e">
        <f>#REF!*[1]Reverse_loop_split!K5</f>
        <v>#REF!</v>
      </c>
      <c r="L92" s="91" t="e">
        <f>#REF!*[1]Reverse_loop_split!L5</f>
        <v>#REF!</v>
      </c>
      <c r="M92" s="91" t="e">
        <f>#REF!*[1]Reverse_loop_split!M5</f>
        <v>#REF!</v>
      </c>
      <c r="N92" s="91" t="e">
        <f>#REF!*[1]Reverse_loop_split!N5</f>
        <v>#REF!</v>
      </c>
      <c r="O92" s="91" t="e">
        <f>#REF!*[1]Reverse_loop_split!O5</f>
        <v>#REF!</v>
      </c>
      <c r="P92" s="91" t="e">
        <f>#REF!*[1]Reverse_loop_split!P5</f>
        <v>#REF!</v>
      </c>
      <c r="Q92" s="91" t="e">
        <f>#REF!*[1]Reverse_loop_split!Q5</f>
        <v>#REF!</v>
      </c>
      <c r="R92" s="91" t="e">
        <f>#REF!*[1]Reverse_loop_split!R5</f>
        <v>#REF!</v>
      </c>
      <c r="S92" s="91" t="e">
        <f>#REF!*[1]Reverse_loop_split!S5</f>
        <v>#REF!</v>
      </c>
      <c r="T92" s="91" t="e">
        <f>#REF!*[1]Reverse_loop_split!T5</f>
        <v>#REF!</v>
      </c>
      <c r="U92" s="91" t="e">
        <f>#REF!*[1]Reverse_loop_split!U5</f>
        <v>#REF!</v>
      </c>
      <c r="V92" s="91" t="e">
        <f>#REF!*[1]Reverse_loop_split!V5</f>
        <v>#REF!</v>
      </c>
      <c r="W92" s="91" t="e">
        <f>#REF!*[1]Reverse_loop_split!W5</f>
        <v>#REF!</v>
      </c>
      <c r="X92" s="91" t="e">
        <f>#REF!*[1]Reverse_loop_split!X5</f>
        <v>#REF!</v>
      </c>
      <c r="Y92" s="91" t="e">
        <f>#REF!*[1]Reverse_loop_split!Y5</f>
        <v>#REF!</v>
      </c>
      <c r="Z92" s="91" t="e">
        <f>#REF!*[1]Reverse_loop_split!Z5</f>
        <v>#REF!</v>
      </c>
      <c r="AA92" s="91" t="e">
        <f>#REF!*[1]Reverse_loop_split!AA5</f>
        <v>#REF!</v>
      </c>
      <c r="AB92" s="91" t="e">
        <f>#REF!*[1]Reverse_loop_split!AB5</f>
        <v>#REF!</v>
      </c>
      <c r="AC92" s="91" t="e">
        <f>#REF!*[1]Reverse_loop_split!AC5</f>
        <v>#REF!</v>
      </c>
      <c r="AD92" s="91" t="e">
        <f>#REF!*[1]Reverse_loop_split!AD5</f>
        <v>#REF!</v>
      </c>
      <c r="AE92" s="91" t="e">
        <f>#REF!*[1]Reverse_loop_split!AE5</f>
        <v>#REF!</v>
      </c>
      <c r="AF92" s="91" t="e">
        <f>#REF!*[1]Reverse_loop_split!AF5</f>
        <v>#REF!</v>
      </c>
      <c r="AG92" s="91" t="e">
        <f>#REF!*[1]Reverse_loop_split!AG5</f>
        <v>#REF!</v>
      </c>
      <c r="AH92" s="91" t="e">
        <f>#REF!*[1]Reverse_loop_split!AH5</f>
        <v>#REF!</v>
      </c>
      <c r="AI92" s="91" t="e">
        <f>#REF!*[1]Reverse_loop_split!AI5</f>
        <v>#REF!</v>
      </c>
      <c r="AJ92" s="91" t="e">
        <f>#REF!*[1]Reverse_loop_split!AJ5</f>
        <v>#REF!</v>
      </c>
      <c r="AK92" s="91" t="e">
        <f>#REF!*[1]Reverse_loop_split!AK5</f>
        <v>#REF!</v>
      </c>
      <c r="AL92" s="91" t="e">
        <f>#REF!*[1]Reverse_loop_split!AL5</f>
        <v>#REF!</v>
      </c>
    </row>
    <row r="93" spans="1:42">
      <c r="B93" s="7" t="s">
        <v>6904</v>
      </c>
      <c r="C93" s="91" t="e">
        <f>#REF!*[1]Reverse_loop_split!C6</f>
        <v>#REF!</v>
      </c>
      <c r="D93" s="91" t="e">
        <f>#REF!*[1]Reverse_loop_split!D6</f>
        <v>#REF!</v>
      </c>
      <c r="E93" s="91" t="e">
        <f>#REF!*[1]Reverse_loop_split!E6</f>
        <v>#REF!</v>
      </c>
      <c r="F93" s="91" t="e">
        <f>#REF!*[1]Reverse_loop_split!F6</f>
        <v>#REF!</v>
      </c>
      <c r="G93" s="91" t="e">
        <f>#REF!*[1]Reverse_loop_split!G6</f>
        <v>#REF!</v>
      </c>
      <c r="H93" s="91" t="e">
        <f>#REF!*[1]Reverse_loop_split!H6</f>
        <v>#REF!</v>
      </c>
      <c r="I93" s="91" t="e">
        <f>#REF!*[1]Reverse_loop_split!I6</f>
        <v>#REF!</v>
      </c>
      <c r="J93" s="91" t="e">
        <f>#REF!*[1]Reverse_loop_split!J6</f>
        <v>#REF!</v>
      </c>
      <c r="K93" s="91" t="e">
        <f>#REF!*[1]Reverse_loop_split!K6</f>
        <v>#REF!</v>
      </c>
      <c r="L93" s="91" t="e">
        <f>#REF!*[1]Reverse_loop_split!L6</f>
        <v>#REF!</v>
      </c>
      <c r="M93" s="91" t="e">
        <f>#REF!*[1]Reverse_loop_split!M6</f>
        <v>#REF!</v>
      </c>
      <c r="N93" s="91" t="e">
        <f>#REF!*[1]Reverse_loop_split!N6</f>
        <v>#REF!</v>
      </c>
      <c r="O93" s="91" t="e">
        <f>#REF!*[1]Reverse_loop_split!O6</f>
        <v>#REF!</v>
      </c>
      <c r="P93" s="91" t="e">
        <f>#REF!*[1]Reverse_loop_split!P6</f>
        <v>#REF!</v>
      </c>
      <c r="Q93" s="91" t="e">
        <f>#REF!*[1]Reverse_loop_split!Q6</f>
        <v>#REF!</v>
      </c>
      <c r="R93" s="91" t="e">
        <f>#REF!*[1]Reverse_loop_split!R6</f>
        <v>#REF!</v>
      </c>
      <c r="S93" s="91" t="e">
        <f>#REF!*[1]Reverse_loop_split!S6</f>
        <v>#REF!</v>
      </c>
      <c r="T93" s="91" t="e">
        <f>#REF!*[1]Reverse_loop_split!T6</f>
        <v>#REF!</v>
      </c>
      <c r="U93" s="91" t="e">
        <f>#REF!*[1]Reverse_loop_split!U6</f>
        <v>#REF!</v>
      </c>
      <c r="V93" s="91" t="e">
        <f>#REF!*[1]Reverse_loop_split!V6</f>
        <v>#REF!</v>
      </c>
      <c r="W93" s="91" t="e">
        <f>#REF!*[1]Reverse_loop_split!W6</f>
        <v>#REF!</v>
      </c>
      <c r="X93" s="91" t="e">
        <f>#REF!*[1]Reverse_loop_split!X6</f>
        <v>#REF!</v>
      </c>
      <c r="Y93" s="91" t="e">
        <f>#REF!*[1]Reverse_loop_split!Y6</f>
        <v>#REF!</v>
      </c>
      <c r="Z93" s="91" t="e">
        <f>#REF!*[1]Reverse_loop_split!Z6</f>
        <v>#REF!</v>
      </c>
      <c r="AA93" s="91" t="e">
        <f>#REF!*[1]Reverse_loop_split!AA6</f>
        <v>#REF!</v>
      </c>
      <c r="AB93" s="91" t="e">
        <f>#REF!*[1]Reverse_loop_split!AB6</f>
        <v>#REF!</v>
      </c>
      <c r="AC93" s="91" t="e">
        <f>#REF!*[1]Reverse_loop_split!AC6</f>
        <v>#REF!</v>
      </c>
      <c r="AD93" s="91" t="e">
        <f>#REF!*[1]Reverse_loop_split!AD6</f>
        <v>#REF!</v>
      </c>
      <c r="AE93" s="91" t="e">
        <f>#REF!*[1]Reverse_loop_split!AE6</f>
        <v>#REF!</v>
      </c>
      <c r="AF93" s="91" t="e">
        <f>#REF!*[1]Reverse_loop_split!AF6</f>
        <v>#REF!</v>
      </c>
      <c r="AG93" s="91" t="e">
        <f>#REF!*[1]Reverse_loop_split!AG6</f>
        <v>#REF!</v>
      </c>
      <c r="AH93" s="91" t="e">
        <f>#REF!*[1]Reverse_loop_split!AH6</f>
        <v>#REF!</v>
      </c>
      <c r="AI93" s="91" t="e">
        <f>#REF!*[1]Reverse_loop_split!AI6</f>
        <v>#REF!</v>
      </c>
      <c r="AJ93" s="91" t="e">
        <f>#REF!*[1]Reverse_loop_split!AJ6</f>
        <v>#REF!</v>
      </c>
      <c r="AK93" s="91" t="e">
        <f>#REF!*[1]Reverse_loop_split!AK6</f>
        <v>#REF!</v>
      </c>
      <c r="AL93" s="91" t="e">
        <f>#REF!*[1]Reverse_loop_split!AL6</f>
        <v>#REF!</v>
      </c>
    </row>
    <row r="94" spans="1:42">
      <c r="B94" s="7" t="s">
        <v>6905</v>
      </c>
      <c r="C94" s="91" t="e">
        <f>#REF!*[1]Reverse_loop_split!C7</f>
        <v>#REF!</v>
      </c>
      <c r="D94" s="91" t="e">
        <f>#REF!*[1]Reverse_loop_split!D7</f>
        <v>#REF!</v>
      </c>
      <c r="E94" s="91" t="e">
        <f>#REF!*[1]Reverse_loop_split!E7</f>
        <v>#REF!</v>
      </c>
      <c r="F94" s="91" t="e">
        <f>#REF!*[1]Reverse_loop_split!F7</f>
        <v>#REF!</v>
      </c>
      <c r="G94" s="91" t="e">
        <f>#REF!*[1]Reverse_loop_split!G7</f>
        <v>#REF!</v>
      </c>
      <c r="H94" s="91" t="e">
        <f>#REF!*[1]Reverse_loop_split!H7</f>
        <v>#REF!</v>
      </c>
      <c r="I94" s="91" t="e">
        <f>#REF!*[1]Reverse_loop_split!I7</f>
        <v>#REF!</v>
      </c>
      <c r="J94" s="91" t="e">
        <f>#REF!*[1]Reverse_loop_split!J7</f>
        <v>#REF!</v>
      </c>
      <c r="K94" s="91" t="e">
        <f>#REF!*[1]Reverse_loop_split!K7</f>
        <v>#REF!</v>
      </c>
      <c r="L94" s="91" t="e">
        <f>#REF!*[1]Reverse_loop_split!L7</f>
        <v>#REF!</v>
      </c>
      <c r="M94" s="91" t="e">
        <f>#REF!*[1]Reverse_loop_split!M7</f>
        <v>#REF!</v>
      </c>
      <c r="N94" s="91" t="e">
        <f>#REF!*[1]Reverse_loop_split!N7</f>
        <v>#REF!</v>
      </c>
      <c r="O94" s="91" t="e">
        <f>#REF!*[1]Reverse_loop_split!O7</f>
        <v>#REF!</v>
      </c>
      <c r="P94" s="91" t="e">
        <f>#REF!*[1]Reverse_loop_split!P7</f>
        <v>#REF!</v>
      </c>
      <c r="Q94" s="91" t="e">
        <f>#REF!*[1]Reverse_loop_split!Q7</f>
        <v>#REF!</v>
      </c>
      <c r="R94" s="91" t="e">
        <f>#REF!*[1]Reverse_loop_split!R7</f>
        <v>#REF!</v>
      </c>
      <c r="S94" s="91" t="e">
        <f>#REF!*[1]Reverse_loop_split!S7</f>
        <v>#REF!</v>
      </c>
      <c r="T94" s="91" t="e">
        <f>#REF!*[1]Reverse_loop_split!T7</f>
        <v>#REF!</v>
      </c>
      <c r="U94" s="91" t="e">
        <f>#REF!*[1]Reverse_loop_split!U7</f>
        <v>#REF!</v>
      </c>
      <c r="V94" s="91" t="e">
        <f>#REF!*[1]Reverse_loop_split!V7</f>
        <v>#REF!</v>
      </c>
      <c r="W94" s="91" t="e">
        <f>#REF!*[1]Reverse_loop_split!W7</f>
        <v>#REF!</v>
      </c>
      <c r="X94" s="91" t="e">
        <f>#REF!*[1]Reverse_loop_split!X7</f>
        <v>#REF!</v>
      </c>
      <c r="Y94" s="91" t="e">
        <f>#REF!*[1]Reverse_loop_split!Y7</f>
        <v>#REF!</v>
      </c>
      <c r="Z94" s="91" t="e">
        <f>#REF!*[1]Reverse_loop_split!Z7</f>
        <v>#REF!</v>
      </c>
      <c r="AA94" s="91" t="e">
        <f>#REF!*[1]Reverse_loop_split!AA7</f>
        <v>#REF!</v>
      </c>
      <c r="AB94" s="91" t="e">
        <f>#REF!*[1]Reverse_loop_split!AB7</f>
        <v>#REF!</v>
      </c>
      <c r="AC94" s="91" t="e">
        <f>#REF!*[1]Reverse_loop_split!AC7</f>
        <v>#REF!</v>
      </c>
      <c r="AD94" s="91" t="e">
        <f>#REF!*[1]Reverse_loop_split!AD7</f>
        <v>#REF!</v>
      </c>
      <c r="AE94" s="91" t="e">
        <f>#REF!*[1]Reverse_loop_split!AE7</f>
        <v>#REF!</v>
      </c>
      <c r="AF94" s="91" t="e">
        <f>#REF!*[1]Reverse_loop_split!AF7</f>
        <v>#REF!</v>
      </c>
      <c r="AG94" s="91" t="e">
        <f>#REF!*[1]Reverse_loop_split!AG7</f>
        <v>#REF!</v>
      </c>
      <c r="AH94" s="91" t="e">
        <f>#REF!*[1]Reverse_loop_split!AH7</f>
        <v>#REF!</v>
      </c>
      <c r="AI94" s="91" t="e">
        <f>#REF!*[1]Reverse_loop_split!AI7</f>
        <v>#REF!</v>
      </c>
      <c r="AJ94" s="91" t="e">
        <f>#REF!*[1]Reverse_loop_split!AJ7</f>
        <v>#REF!</v>
      </c>
      <c r="AK94" s="91" t="e">
        <f>#REF!*[1]Reverse_loop_split!AK7</f>
        <v>#REF!</v>
      </c>
      <c r="AL94" s="91" t="e">
        <f>#REF!*[1]Reverse_loop_split!AL7</f>
        <v>#REF!</v>
      </c>
    </row>
    <row r="95" spans="1:42">
      <c r="B95" s="7" t="s">
        <v>6906</v>
      </c>
      <c r="C95" s="91" t="e">
        <f>#REF!*[1]Reverse_loop_split!C8</f>
        <v>#REF!</v>
      </c>
      <c r="D95" s="91" t="e">
        <f>#REF!*[1]Reverse_loop_split!D8</f>
        <v>#REF!</v>
      </c>
      <c r="E95" s="91" t="e">
        <f>#REF!*[1]Reverse_loop_split!E8</f>
        <v>#REF!</v>
      </c>
      <c r="F95" s="91" t="e">
        <f>#REF!*[1]Reverse_loop_split!F8</f>
        <v>#REF!</v>
      </c>
      <c r="G95" s="91" t="e">
        <f>#REF!*[1]Reverse_loop_split!G8</f>
        <v>#REF!</v>
      </c>
      <c r="H95" s="91" t="e">
        <f>#REF!*[1]Reverse_loop_split!H8</f>
        <v>#REF!</v>
      </c>
      <c r="I95" s="91" t="e">
        <f>#REF!*[1]Reverse_loop_split!I8</f>
        <v>#REF!</v>
      </c>
      <c r="J95" s="91" t="e">
        <f>#REF!*[1]Reverse_loop_split!J8</f>
        <v>#REF!</v>
      </c>
      <c r="K95" s="91" t="e">
        <f>#REF!*[1]Reverse_loop_split!K8</f>
        <v>#REF!</v>
      </c>
      <c r="L95" s="91" t="e">
        <f>#REF!*[1]Reverse_loop_split!L8</f>
        <v>#REF!</v>
      </c>
      <c r="M95" s="91" t="e">
        <f>#REF!*[1]Reverse_loop_split!M8</f>
        <v>#REF!</v>
      </c>
      <c r="N95" s="91" t="e">
        <f>#REF!*[1]Reverse_loop_split!N8</f>
        <v>#REF!</v>
      </c>
      <c r="O95" s="91" t="e">
        <f>#REF!*[1]Reverse_loop_split!O8</f>
        <v>#REF!</v>
      </c>
      <c r="P95" s="91" t="e">
        <f>#REF!*[1]Reverse_loop_split!P8</f>
        <v>#REF!</v>
      </c>
      <c r="Q95" s="91" t="e">
        <f>#REF!*[1]Reverse_loop_split!Q8</f>
        <v>#REF!</v>
      </c>
      <c r="R95" s="91" t="e">
        <f>#REF!*[1]Reverse_loop_split!R8</f>
        <v>#REF!</v>
      </c>
      <c r="S95" s="91" t="e">
        <f>#REF!*[1]Reverse_loop_split!S8</f>
        <v>#REF!</v>
      </c>
      <c r="T95" s="91" t="e">
        <f>#REF!*[1]Reverse_loop_split!T8</f>
        <v>#REF!</v>
      </c>
      <c r="U95" s="91" t="e">
        <f>#REF!*[1]Reverse_loop_split!U8</f>
        <v>#REF!</v>
      </c>
      <c r="V95" s="91" t="e">
        <f>#REF!*[1]Reverse_loop_split!V8</f>
        <v>#REF!</v>
      </c>
      <c r="W95" s="91" t="e">
        <f>#REF!*[1]Reverse_loop_split!W8</f>
        <v>#REF!</v>
      </c>
      <c r="X95" s="91" t="e">
        <f>#REF!*[1]Reverse_loop_split!X8</f>
        <v>#REF!</v>
      </c>
      <c r="Y95" s="91" t="e">
        <f>#REF!*[1]Reverse_loop_split!Y8</f>
        <v>#REF!</v>
      </c>
      <c r="Z95" s="91" t="e">
        <f>#REF!*[1]Reverse_loop_split!Z8</f>
        <v>#REF!</v>
      </c>
      <c r="AA95" s="91" t="e">
        <f>#REF!*[1]Reverse_loop_split!AA8</f>
        <v>#REF!</v>
      </c>
      <c r="AB95" s="91" t="e">
        <f>#REF!*[1]Reverse_loop_split!AB8</f>
        <v>#REF!</v>
      </c>
      <c r="AC95" s="91" t="e">
        <f>#REF!*[1]Reverse_loop_split!AC8</f>
        <v>#REF!</v>
      </c>
      <c r="AD95" s="91" t="e">
        <f>#REF!*[1]Reverse_loop_split!AD8</f>
        <v>#REF!</v>
      </c>
      <c r="AE95" s="91" t="e">
        <f>#REF!*[1]Reverse_loop_split!AE8</f>
        <v>#REF!</v>
      </c>
      <c r="AF95" s="91" t="e">
        <f>#REF!*[1]Reverse_loop_split!AF8</f>
        <v>#REF!</v>
      </c>
      <c r="AG95" s="91" t="e">
        <f>#REF!*[1]Reverse_loop_split!AG8</f>
        <v>#REF!</v>
      </c>
      <c r="AH95" s="91" t="e">
        <f>#REF!*[1]Reverse_loop_split!AH8</f>
        <v>#REF!</v>
      </c>
      <c r="AI95" s="91" t="e">
        <f>#REF!*[1]Reverse_loop_split!AI8</f>
        <v>#REF!</v>
      </c>
      <c r="AJ95" s="91" t="e">
        <f>#REF!*[1]Reverse_loop_split!AJ8</f>
        <v>#REF!</v>
      </c>
      <c r="AK95" s="91" t="e">
        <f>#REF!*[1]Reverse_loop_split!AK8</f>
        <v>#REF!</v>
      </c>
      <c r="AL95" s="91" t="e">
        <f>#REF!*[1]Reverse_loop_split!AL8</f>
        <v>#REF!</v>
      </c>
    </row>
    <row r="96" spans="1:42">
      <c r="B96" s="7" t="s">
        <v>6907</v>
      </c>
      <c r="C96" s="91" t="e">
        <f>#REF!*[1]Reverse_loop_split!C9</f>
        <v>#REF!</v>
      </c>
      <c r="D96" s="91" t="e">
        <f>#REF!*[1]Reverse_loop_split!D9</f>
        <v>#REF!</v>
      </c>
      <c r="E96" s="91" t="e">
        <f>#REF!*[1]Reverse_loop_split!E9</f>
        <v>#REF!</v>
      </c>
      <c r="F96" s="91" t="e">
        <f>#REF!*[1]Reverse_loop_split!F9</f>
        <v>#REF!</v>
      </c>
      <c r="G96" s="91" t="e">
        <f>#REF!*[1]Reverse_loop_split!G9</f>
        <v>#REF!</v>
      </c>
      <c r="H96" s="91" t="e">
        <f>#REF!*[1]Reverse_loop_split!H9</f>
        <v>#REF!</v>
      </c>
      <c r="I96" s="91" t="e">
        <f>#REF!*[1]Reverse_loop_split!I9</f>
        <v>#REF!</v>
      </c>
      <c r="J96" s="91" t="e">
        <f>#REF!*[1]Reverse_loop_split!J9</f>
        <v>#REF!</v>
      </c>
      <c r="K96" s="91" t="e">
        <f>#REF!*[1]Reverse_loop_split!K9</f>
        <v>#REF!</v>
      </c>
      <c r="L96" s="91" t="e">
        <f>#REF!*[1]Reverse_loop_split!L9</f>
        <v>#REF!</v>
      </c>
      <c r="M96" s="91" t="e">
        <f>#REF!*[1]Reverse_loop_split!M9</f>
        <v>#REF!</v>
      </c>
      <c r="N96" s="91" t="e">
        <f>#REF!*[1]Reverse_loop_split!N9</f>
        <v>#REF!</v>
      </c>
      <c r="O96" s="91" t="e">
        <f>#REF!*[1]Reverse_loop_split!O9</f>
        <v>#REF!</v>
      </c>
      <c r="P96" s="91" t="e">
        <f>#REF!*[1]Reverse_loop_split!P9</f>
        <v>#REF!</v>
      </c>
      <c r="Q96" s="91" t="e">
        <f>#REF!*[1]Reverse_loop_split!Q9</f>
        <v>#REF!</v>
      </c>
      <c r="R96" s="91" t="e">
        <f>#REF!*[1]Reverse_loop_split!R9</f>
        <v>#REF!</v>
      </c>
      <c r="S96" s="91" t="e">
        <f>#REF!*[1]Reverse_loop_split!S9</f>
        <v>#REF!</v>
      </c>
      <c r="T96" s="91" t="e">
        <f>#REF!*[1]Reverse_loop_split!T9</f>
        <v>#REF!</v>
      </c>
      <c r="U96" s="91" t="e">
        <f>#REF!*[1]Reverse_loop_split!U9</f>
        <v>#REF!</v>
      </c>
      <c r="V96" s="91" t="e">
        <f>#REF!*[1]Reverse_loop_split!V9</f>
        <v>#REF!</v>
      </c>
      <c r="W96" s="91" t="e">
        <f>#REF!*[1]Reverse_loop_split!W9</f>
        <v>#REF!</v>
      </c>
      <c r="X96" s="91" t="e">
        <f>#REF!*[1]Reverse_loop_split!X9</f>
        <v>#REF!</v>
      </c>
      <c r="Y96" s="91" t="e">
        <f>#REF!*[1]Reverse_loop_split!Y9</f>
        <v>#REF!</v>
      </c>
      <c r="Z96" s="91" t="e">
        <f>#REF!*[1]Reverse_loop_split!Z9</f>
        <v>#REF!</v>
      </c>
      <c r="AA96" s="91" t="e">
        <f>#REF!*[1]Reverse_loop_split!AA9</f>
        <v>#REF!</v>
      </c>
      <c r="AB96" s="91" t="e">
        <f>#REF!*[1]Reverse_loop_split!AB9</f>
        <v>#REF!</v>
      </c>
      <c r="AC96" s="91" t="e">
        <f>#REF!*[1]Reverse_loop_split!AC9</f>
        <v>#REF!</v>
      </c>
      <c r="AD96" s="91" t="e">
        <f>#REF!*[1]Reverse_loop_split!AD9</f>
        <v>#REF!</v>
      </c>
      <c r="AE96" s="91" t="e">
        <f>#REF!*[1]Reverse_loop_split!AE9</f>
        <v>#REF!</v>
      </c>
      <c r="AF96" s="91" t="e">
        <f>#REF!*[1]Reverse_loop_split!AF9</f>
        <v>#REF!</v>
      </c>
      <c r="AG96" s="91" t="e">
        <f>#REF!*[1]Reverse_loop_split!AG9</f>
        <v>#REF!</v>
      </c>
      <c r="AH96" s="91" t="e">
        <f>#REF!*[1]Reverse_loop_split!AH9</f>
        <v>#REF!</v>
      </c>
      <c r="AI96" s="91" t="e">
        <f>#REF!*[1]Reverse_loop_split!AI9</f>
        <v>#REF!</v>
      </c>
      <c r="AJ96" s="91" t="e">
        <f>#REF!*[1]Reverse_loop_split!AJ9</f>
        <v>#REF!</v>
      </c>
      <c r="AK96" s="91" t="e">
        <f>#REF!*[1]Reverse_loop_split!AK9</f>
        <v>#REF!</v>
      </c>
      <c r="AL96" s="91" t="e">
        <f>#REF!*[1]Reverse_loop_split!AL9</f>
        <v>#REF!</v>
      </c>
    </row>
    <row r="97" spans="1:38">
      <c r="B97" s="7" t="s">
        <v>6908</v>
      </c>
      <c r="C97" s="91" t="e">
        <f>#REF!*[1]Reverse_loop_split!C10</f>
        <v>#REF!</v>
      </c>
      <c r="D97" s="91" t="e">
        <f>#REF!*[1]Reverse_loop_split!D10</f>
        <v>#REF!</v>
      </c>
      <c r="E97" s="91" t="e">
        <f>#REF!*[1]Reverse_loop_split!E10</f>
        <v>#REF!</v>
      </c>
      <c r="F97" s="91" t="e">
        <f>#REF!*[1]Reverse_loop_split!F10</f>
        <v>#REF!</v>
      </c>
      <c r="G97" s="91" t="e">
        <f>#REF!*[1]Reverse_loop_split!G10</f>
        <v>#REF!</v>
      </c>
      <c r="H97" s="91" t="e">
        <f>#REF!*[1]Reverse_loop_split!H10</f>
        <v>#REF!</v>
      </c>
      <c r="I97" s="91" t="e">
        <f>#REF!*[1]Reverse_loop_split!I10</f>
        <v>#REF!</v>
      </c>
      <c r="J97" s="91" t="e">
        <f>#REF!*[1]Reverse_loop_split!J10</f>
        <v>#REF!</v>
      </c>
      <c r="K97" s="91" t="e">
        <f>#REF!*[1]Reverse_loop_split!K10</f>
        <v>#REF!</v>
      </c>
      <c r="L97" s="91" t="e">
        <f>#REF!*[1]Reverse_loop_split!L10</f>
        <v>#REF!</v>
      </c>
      <c r="M97" s="91" t="e">
        <f>#REF!*[1]Reverse_loop_split!M10</f>
        <v>#REF!</v>
      </c>
      <c r="N97" s="91" t="e">
        <f>#REF!*[1]Reverse_loop_split!N10</f>
        <v>#REF!</v>
      </c>
      <c r="O97" s="91" t="e">
        <f>#REF!*[1]Reverse_loop_split!O10</f>
        <v>#REF!</v>
      </c>
      <c r="P97" s="91" t="e">
        <f>#REF!*[1]Reverse_loop_split!P10</f>
        <v>#REF!</v>
      </c>
      <c r="Q97" s="91" t="e">
        <f>#REF!*[1]Reverse_loop_split!Q10</f>
        <v>#REF!</v>
      </c>
      <c r="R97" s="91" t="e">
        <f>#REF!*[1]Reverse_loop_split!R10</f>
        <v>#REF!</v>
      </c>
      <c r="S97" s="91" t="e">
        <f>#REF!*[1]Reverse_loop_split!S10</f>
        <v>#REF!</v>
      </c>
      <c r="T97" s="91" t="e">
        <f>#REF!*[1]Reverse_loop_split!T10</f>
        <v>#REF!</v>
      </c>
      <c r="U97" s="91" t="e">
        <f>#REF!*[1]Reverse_loop_split!U10</f>
        <v>#REF!</v>
      </c>
      <c r="V97" s="91" t="e">
        <f>#REF!*[1]Reverse_loop_split!V10</f>
        <v>#REF!</v>
      </c>
      <c r="W97" s="91" t="e">
        <f>#REF!*[1]Reverse_loop_split!W10</f>
        <v>#REF!</v>
      </c>
      <c r="X97" s="91" t="e">
        <f>#REF!*[1]Reverse_loop_split!X10</f>
        <v>#REF!</v>
      </c>
      <c r="Y97" s="91" t="e">
        <f>#REF!*[1]Reverse_loop_split!Y10</f>
        <v>#REF!</v>
      </c>
      <c r="Z97" s="91" t="e">
        <f>#REF!*[1]Reverse_loop_split!Z10</f>
        <v>#REF!</v>
      </c>
      <c r="AA97" s="91" t="e">
        <f>#REF!*[1]Reverse_loop_split!AA10</f>
        <v>#REF!</v>
      </c>
      <c r="AB97" s="91" t="e">
        <f>#REF!*[1]Reverse_loop_split!AB10</f>
        <v>#REF!</v>
      </c>
      <c r="AC97" s="91" t="e">
        <f>#REF!*[1]Reverse_loop_split!AC10</f>
        <v>#REF!</v>
      </c>
      <c r="AD97" s="91" t="e">
        <f>#REF!*[1]Reverse_loop_split!AD10</f>
        <v>#REF!</v>
      </c>
      <c r="AE97" s="91" t="e">
        <f>#REF!*[1]Reverse_loop_split!AE10</f>
        <v>#REF!</v>
      </c>
      <c r="AF97" s="91" t="e">
        <f>#REF!*[1]Reverse_loop_split!AF10</f>
        <v>#REF!</v>
      </c>
      <c r="AG97" s="91" t="e">
        <f>#REF!*[1]Reverse_loop_split!AG10</f>
        <v>#REF!</v>
      </c>
      <c r="AH97" s="91" t="e">
        <f>#REF!*[1]Reverse_loop_split!AH10</f>
        <v>#REF!</v>
      </c>
      <c r="AI97" s="91" t="e">
        <f>#REF!*[1]Reverse_loop_split!AI10</f>
        <v>#REF!</v>
      </c>
      <c r="AJ97" s="91" t="e">
        <f>#REF!*[1]Reverse_loop_split!AJ10</f>
        <v>#REF!</v>
      </c>
      <c r="AK97" s="91" t="e">
        <f>#REF!*[1]Reverse_loop_split!AK10</f>
        <v>#REF!</v>
      </c>
      <c r="AL97" s="91" t="e">
        <f>#REF!*[1]Reverse_loop_split!AL10</f>
        <v>#REF!</v>
      </c>
    </row>
    <row r="99" spans="1:38" ht="21">
      <c r="B99" s="52" t="s">
        <v>7751</v>
      </c>
      <c r="C99" s="52"/>
      <c r="D99" s="52"/>
      <c r="E99" s="162"/>
      <c r="F99" s="162"/>
      <c r="G99" s="162"/>
      <c r="H99" s="162"/>
      <c r="I99" s="162"/>
      <c r="J99" s="162"/>
      <c r="K99" s="162"/>
      <c r="L99" s="162"/>
      <c r="M99" s="162"/>
      <c r="N99" s="162"/>
      <c r="O99" s="162"/>
      <c r="P99" s="162"/>
      <c r="Q99" s="162"/>
      <c r="R99" s="162"/>
      <c r="S99" s="162"/>
      <c r="T99" s="162"/>
      <c r="U99" s="162"/>
      <c r="V99" s="162"/>
    </row>
    <row r="100" spans="1:38">
      <c r="A100" s="1" t="s">
        <v>6902</v>
      </c>
      <c r="B100" s="163">
        <v>2000</v>
      </c>
      <c r="C100" s="164">
        <f>((VLOOKUP(B100,Energy_demand!$A$34:$D$54,4,FALSE )))*C7</f>
        <v>2057453740.4979053</v>
      </c>
      <c r="D100" s="164">
        <f>((VLOOKUP($B$100,Energy_demand!$A$34:$D$54,4,FALSE )))*D7</f>
        <v>1559522415.4091125</v>
      </c>
      <c r="E100" s="164">
        <f>((VLOOKUP($B$100,Energy_demand!$A$34:$D$54,4,FALSE )))*E7</f>
        <v>1109509152.7022686</v>
      </c>
      <c r="F100" s="164">
        <f>((VLOOKUP($B$100,Energy_demand!$A$34:$D$54,4,FALSE )))*F7</f>
        <v>753929156.71286809</v>
      </c>
      <c r="G100" s="164">
        <f>((VLOOKUP($B$100,Energy_demand!$A$34:$D$54,4,FALSE )))*G7</f>
        <v>498743630.23961329</v>
      </c>
      <c r="H100" s="164">
        <f>((VLOOKUP($B$100,Energy_demand!$A$34:$D$54,4,FALSE )))*H7</f>
        <v>329224459.10578734</v>
      </c>
      <c r="I100" s="164">
        <f>((VLOOKUP($B$100,Energy_demand!$A$34:$D$54,4,FALSE )))*I7</f>
        <v>223800767.87090892</v>
      </c>
      <c r="J100" s="164">
        <f>((VLOOKUP($B$100,Energy_demand!$A$34:$D$54,4,FALSE )))*J7</f>
        <v>161958144.88987747</v>
      </c>
      <c r="K100" s="164">
        <f>((VLOOKUP($B$100,Energy_demand!$A$34:$D$54,4,FALSE )))*K7</f>
        <v>127553357.8048524</v>
      </c>
      <c r="L100" s="164">
        <f>((VLOOKUP($B$100,Energy_demand!$A$34:$D$54,4,FALSE )))*L7</f>
        <v>109326479.76106563</v>
      </c>
      <c r="M100" s="164">
        <f>((VLOOKUP($B$100,Energy_demand!$A$34:$D$54,4,FALSE )))*M7</f>
        <v>100101350.86736138</v>
      </c>
      <c r="N100" s="164">
        <f>((VLOOKUP($B$100,Energy_demand!$A$34:$D$54,4,FALSE )))*N7</f>
        <v>95628947.052061915</v>
      </c>
      <c r="O100" s="164">
        <f>((VLOOKUP($B$100,Energy_demand!$A$34:$D$54,4,FALSE )))*O7</f>
        <v>93547483.183817059</v>
      </c>
      <c r="P100" s="164">
        <f>((VLOOKUP($B$100,Energy_demand!$A$34:$D$54,4,FALSE )))*P7</f>
        <v>92615809.934121639</v>
      </c>
      <c r="Q100" s="164">
        <f>((VLOOKUP($B$100,Energy_demand!$A$34:$D$54,4,FALSE )))*Q7</f>
        <v>92214091.111451805</v>
      </c>
      <c r="R100" s="164">
        <f>((VLOOKUP($B$100,Energy_demand!$A$34:$D$54,4,FALSE )))*R7</f>
        <v>92046999.740449801</v>
      </c>
      <c r="S100" s="164">
        <f>((VLOOKUP($B$100,Energy_demand!$A$34:$D$54,4,FALSE )))*S7</f>
        <v>91979872.596126735</v>
      </c>
      <c r="T100" s="164">
        <f>((VLOOKUP($B$100,Energy_demand!$A$34:$D$54,4,FALSE )))*T7</f>
        <v>91953796.89939791</v>
      </c>
      <c r="U100" s="164">
        <f>((VLOOKUP($B$100,Energy_demand!$A$34:$D$54,4,FALSE )))*U7</f>
        <v>91943992.961081669</v>
      </c>
      <c r="V100" s="164">
        <f>((VLOOKUP($B$100,Energy_demand!$A$34:$D$54,4,FALSE )))*V7</f>
        <v>91940422.000818536</v>
      </c>
      <c r="W100" s="164">
        <f>((VLOOKUP($B$100,Energy_demand!$A$34:$D$54,4,FALSE )))*W7</f>
        <v>91939160.905908212</v>
      </c>
      <c r="X100" s="164">
        <f>((VLOOKUP($B$100,Energy_demand!$A$34:$D$54,4,FALSE )))*X7</f>
        <v>91938728.772557437</v>
      </c>
      <c r="Y100" s="164">
        <f>((VLOOKUP($B$100,Energy_demand!$A$34:$D$54,4,FALSE )))*Y7</f>
        <v>91938584.992594093</v>
      </c>
      <c r="Z100" s="164">
        <f>((VLOOKUP($B$100,Energy_demand!$A$34:$D$54,4,FALSE )))*Z7</f>
        <v>91938538.512132034</v>
      </c>
      <c r="AA100" s="164">
        <f>((VLOOKUP($B$100,Energy_demand!$A$34:$D$54,4,FALSE )))*AA7</f>
        <v>91938523.903982893</v>
      </c>
      <c r="AB100" s="164">
        <f>((VLOOKUP($B$100,Energy_demand!$A$34:$D$54,4,FALSE )))*AB7</f>
        <v>91938519.438007161</v>
      </c>
      <c r="AC100" s="164">
        <f>((VLOOKUP($B$100,Energy_demand!$A$34:$D$54,4,FALSE )))*AC7</f>
        <v>91938518.109199211</v>
      </c>
      <c r="AD100" s="164">
        <f>((VLOOKUP($B$100,Energy_demand!$A$34:$D$54,4,FALSE )))*AD7</f>
        <v>91938517.724211499</v>
      </c>
      <c r="AE100" s="164">
        <f>((VLOOKUP($B$100,Energy_demand!$A$34:$D$54,4,FALSE )))*AE7</f>
        <v>91938517.615551069</v>
      </c>
      <c r="AF100" s="164">
        <f>((VLOOKUP($B$100,Energy_demand!$A$34:$D$54,4,FALSE )))*AF7</f>
        <v>91938517.585660845</v>
      </c>
      <c r="AG100" s="164" t="e">
        <f>((VLOOKUP($B$100,Energy_demand!$A$34:$D$54,4,FALSE )))*AG7</f>
        <v>#REF!</v>
      </c>
      <c r="AH100" s="164" t="e">
        <f>((VLOOKUP($B$100,Energy_demand!$A$34:$D$54,4,FALSE )))*AH7</f>
        <v>#REF!</v>
      </c>
      <c r="AI100" s="164" t="e">
        <f>((VLOOKUP($B$100,Energy_demand!$A$34:$D$54,4,FALSE )))*AI7</f>
        <v>#REF!</v>
      </c>
      <c r="AJ100" s="164" t="e">
        <f>((VLOOKUP($B$100,Energy_demand!$A$34:$D$54,4,FALSE )))*AJ7</f>
        <v>#REF!</v>
      </c>
      <c r="AK100" s="164" t="e">
        <f>((VLOOKUP($B$100,Energy_demand!$A$34:$D$54,4,FALSE )))*AK7</f>
        <v>#REF!</v>
      </c>
      <c r="AL100" s="164" t="e">
        <f>((VLOOKUP($B$100,Energy_demand!$A$34:$D$54,4,FALSE )))*AL7</f>
        <v>#REF!</v>
      </c>
    </row>
    <row r="101" spans="1:38">
      <c r="B101" s="163">
        <v>2001</v>
      </c>
      <c r="C101" s="164">
        <f>((VLOOKUP($B$101,Energy_demand!$A$34:$D$54,4,FALSE )))*C8</f>
        <v>0</v>
      </c>
      <c r="D101" s="164">
        <f>((VLOOKUP($B$101,Energy_demand!$A$34:$D$54,4,FALSE )))*D8</f>
        <v>2093437265.5131795</v>
      </c>
      <c r="E101" s="164">
        <f>((VLOOKUP($B$101,Energy_demand!$A$34:$D$54,4,FALSE )))*E8</f>
        <v>1586797446.0657794</v>
      </c>
      <c r="F101" s="164">
        <f>((VLOOKUP($B$101,Energy_demand!$A$34:$D$54,4,FALSE )))*F8</f>
        <v>1128913744.6817102</v>
      </c>
      <c r="G101" s="164">
        <f>((VLOOKUP($B$101,Energy_demand!$A$34:$D$54,4,FALSE )))*G8</f>
        <v>767114886.30490112</v>
      </c>
      <c r="H101" s="164">
        <f>((VLOOKUP($B$101,Energy_demand!$A$34:$D$54,4,FALSE )))*H8</f>
        <v>507466331.28590405</v>
      </c>
      <c r="I101" s="164">
        <f>((VLOOKUP($B$101,Energy_demand!$A$34:$D$54,4,FALSE )))*I8</f>
        <v>334982380.32981759</v>
      </c>
      <c r="J101" s="164">
        <f>((VLOOKUP($B$101,Energy_demand!$A$34:$D$54,4,FALSE )))*J8</f>
        <v>227714897.44311091</v>
      </c>
      <c r="K101" s="164">
        <f>((VLOOKUP($B$101,Energy_demand!$A$34:$D$54,4,FALSE )))*K8</f>
        <v>164790687.29088524</v>
      </c>
      <c r="L101" s="164">
        <f>((VLOOKUP($B$101,Energy_demand!$A$34:$D$54,4,FALSE )))*L8</f>
        <v>129784182.90240352</v>
      </c>
      <c r="M101" s="164">
        <f>((VLOOKUP($B$101,Energy_demand!$A$34:$D$54,4,FALSE )))*M8</f>
        <v>111238528.64064927</v>
      </c>
      <c r="N101" s="164">
        <f>((VLOOKUP($B$101,Energy_demand!$A$34:$D$54,4,FALSE )))*N8</f>
        <v>101852058.25489505</v>
      </c>
      <c r="O101" s="164">
        <f>((VLOOKUP($B$101,Energy_demand!$A$34:$D$54,4,FALSE )))*O8</f>
        <v>97301435.011669442</v>
      </c>
      <c r="P101" s="164">
        <f>((VLOOKUP($B$101,Energy_demand!$A$34:$D$54,4,FALSE )))*P8</f>
        <v>95183567.696923167</v>
      </c>
      <c r="Q101" s="164">
        <f>((VLOOKUP($B$101,Energy_demand!$A$34:$D$54,4,FALSE )))*Q8</f>
        <v>94235600.089290738</v>
      </c>
      <c r="R101" s="164">
        <f>((VLOOKUP($B$101,Energy_demand!$A$34:$D$54,4,FALSE )))*R8</f>
        <v>93826855.466224954</v>
      </c>
      <c r="S101" s="164">
        <f>((VLOOKUP($B$101,Energy_demand!$A$34:$D$54,4,FALSE )))*S8</f>
        <v>93656841.77604273</v>
      </c>
      <c r="T101" s="164">
        <f>((VLOOKUP($B$101,Energy_demand!$A$34:$D$54,4,FALSE )))*T8</f>
        <v>93588540.621714279</v>
      </c>
      <c r="U101" s="164">
        <f>((VLOOKUP($B$101,Energy_demand!$A$34:$D$54,4,FALSE )))*U8</f>
        <v>93562008.878044009</v>
      </c>
      <c r="V101" s="164">
        <f>((VLOOKUP($B$101,Energy_demand!$A$34:$D$54,4,FALSE )))*V8</f>
        <v>93552033.475236148</v>
      </c>
      <c r="W101" s="164">
        <f>((VLOOKUP($B$101,Energy_demand!$A$34:$D$54,4,FALSE )))*W8</f>
        <v>93548400.061205313</v>
      </c>
      <c r="X101" s="164">
        <f>((VLOOKUP($B$101,Energy_demand!$A$34:$D$54,4,FALSE )))*X8</f>
        <v>93547116.910566896</v>
      </c>
      <c r="Y101" s="164">
        <f>((VLOOKUP($B$101,Energy_demand!$A$34:$D$54,4,FALSE )))*Y8</f>
        <v>93546677.219485447</v>
      </c>
      <c r="Z101" s="164">
        <f>((VLOOKUP($B$101,Energy_demand!$A$34:$D$54,4,FALSE )))*Z8</f>
        <v>93546530.924904257</v>
      </c>
      <c r="AA101" s="164">
        <f>((VLOOKUP($B$101,Energy_demand!$A$34:$D$54,4,FALSE )))*AA8</f>
        <v>93546483.631529197</v>
      </c>
      <c r="AB101" s="164">
        <f>((VLOOKUP($B$101,Energy_demand!$A$34:$D$54,4,FALSE )))*AB8</f>
        <v>93546468.767893061</v>
      </c>
      <c r="AC101" s="164">
        <f>((VLOOKUP($B$101,Energy_demand!$A$34:$D$54,4,FALSE )))*AC8</f>
        <v>93546464.223810315</v>
      </c>
      <c r="AD101" s="164">
        <f>((VLOOKUP($B$101,Energy_demand!$A$34:$D$54,4,FALSE )))*AD8</f>
        <v>93546462.871762395</v>
      </c>
      <c r="AE101" s="164">
        <f>((VLOOKUP($B$101,Energy_demand!$A$34:$D$54,4,FALSE )))*AE8</f>
        <v>93546462.480041504</v>
      </c>
      <c r="AF101" s="164">
        <f>((VLOOKUP($B$101,Energy_demand!$A$34:$D$54,4,FALSE )))*AF8</f>
        <v>93546462.369480669</v>
      </c>
      <c r="AG101" s="164">
        <f>((VLOOKUP($B$101,Energy_demand!$A$34:$D$54,4,FALSE )))*AG8</f>
        <v>93546462.339067668</v>
      </c>
      <c r="AH101" s="164" t="e">
        <f>((VLOOKUP($B$101,Energy_demand!$A$34:$D$54,4,FALSE )))*AH8</f>
        <v>#REF!</v>
      </c>
      <c r="AI101" s="164" t="e">
        <f>((VLOOKUP($B$101,Energy_demand!$A$34:$D$54,4,FALSE )))*AI8</f>
        <v>#REF!</v>
      </c>
      <c r="AJ101" s="164" t="e">
        <f>((VLOOKUP($B$101,Energy_demand!$A$34:$D$54,4,FALSE )))*AJ8</f>
        <v>#REF!</v>
      </c>
      <c r="AK101" s="164" t="e">
        <f>((VLOOKUP($B$101,Energy_demand!$A$34:$D$54,4,FALSE )))*AK8</f>
        <v>#REF!</v>
      </c>
      <c r="AL101" s="164" t="e">
        <f>((VLOOKUP($B$101,Energy_demand!$A$34:$D$54,4,FALSE )))*AL8</f>
        <v>#REF!</v>
      </c>
    </row>
    <row r="102" spans="1:38">
      <c r="B102" s="163">
        <v>2002</v>
      </c>
      <c r="C102" s="164">
        <f>((VLOOKUP($B$102,Energy_demand!$A$34:$D$54,4,FALSE )))*C9</f>
        <v>0</v>
      </c>
      <c r="D102" s="164">
        <f>((VLOOKUP($B$102,Energy_demand!$A$34:$D$54,4,FALSE )))*D9</f>
        <v>0</v>
      </c>
      <c r="E102" s="164">
        <f>((VLOOKUP($B$102,Energy_demand!$A$34:$D$54,4,FALSE )))*E9</f>
        <v>2092018136.1646061</v>
      </c>
      <c r="F102" s="164">
        <f>((VLOOKUP($B$102,Energy_demand!$A$34:$D$54,4,FALSE )))*F9</f>
        <v>1585721765.0014122</v>
      </c>
      <c r="G102" s="164">
        <f>((VLOOKUP($B$102,Energy_demand!$A$34:$D$54,4,FALSE )))*G9</f>
        <v>1128148460.4033237</v>
      </c>
      <c r="H102" s="164">
        <f>((VLOOKUP($B$102,Energy_demand!$A$34:$D$54,4,FALSE )))*H9</f>
        <v>766594863.43781221</v>
      </c>
      <c r="I102" s="164">
        <f>((VLOOKUP($B$102,Energy_demand!$A$34:$D$54,4,FALSE )))*I9</f>
        <v>507122322.71397096</v>
      </c>
      <c r="J102" s="164">
        <f>((VLOOKUP($B$102,Energy_demand!$A$34:$D$54,4,FALSE )))*J9</f>
        <v>334755297.65816921</v>
      </c>
      <c r="K102" s="164">
        <f>((VLOOKUP($B$102,Energy_demand!$A$34:$D$54,4,FALSE )))*K9</f>
        <v>227560530.79482746</v>
      </c>
      <c r="L102" s="164">
        <f>((VLOOKUP($B$102,Energy_demand!$A$34:$D$54,4,FALSE )))*L9</f>
        <v>164678976.61077142</v>
      </c>
      <c r="M102" s="164">
        <f>((VLOOKUP($B$102,Energy_demand!$A$34:$D$54,4,FALSE )))*M9</f>
        <v>129696202.93473428</v>
      </c>
      <c r="N102" s="164">
        <f>((VLOOKUP($B$102,Energy_demand!$A$34:$D$54,4,FALSE )))*N9</f>
        <v>111163120.6677013</v>
      </c>
      <c r="O102" s="164">
        <f>((VLOOKUP($B$102,Energy_demand!$A$34:$D$54,4,FALSE )))*O9</f>
        <v>101783013.31743106</v>
      </c>
      <c r="P102" s="164">
        <f>((VLOOKUP($B$102,Energy_demand!$A$34:$D$54,4,FALSE )))*P9</f>
        <v>97235474.916108847</v>
      </c>
      <c r="Q102" s="164">
        <f>((VLOOKUP($B$102,Energy_demand!$A$34:$D$54,4,FALSE )))*Q9</f>
        <v>95119043.291704118</v>
      </c>
      <c r="R102" s="164">
        <f>((VLOOKUP($B$102,Energy_demand!$A$34:$D$54,4,FALSE )))*R9</f>
        <v>94171718.305981427</v>
      </c>
      <c r="S102" s="164">
        <f>((VLOOKUP($B$102,Energy_demand!$A$34:$D$54,4,FALSE )))*S9</f>
        <v>93763250.768596798</v>
      </c>
      <c r="T102" s="164">
        <f>((VLOOKUP($B$102,Energy_demand!$A$34:$D$54,4,FALSE )))*T9</f>
        <v>93593352.329738975</v>
      </c>
      <c r="U102" s="164">
        <f>((VLOOKUP($B$102,Energy_demand!$A$34:$D$54,4,FALSE )))*U9</f>
        <v>93525097.476378918</v>
      </c>
      <c r="V102" s="164">
        <f>((VLOOKUP($B$102,Energy_demand!$A$34:$D$54,4,FALSE )))*V9</f>
        <v>93498583.718428448</v>
      </c>
      <c r="W102" s="164">
        <f>((VLOOKUP($B$102,Energy_demand!$A$34:$D$54,4,FALSE )))*W9</f>
        <v>93488615.077890053</v>
      </c>
      <c r="X102" s="164">
        <f>((VLOOKUP($B$102,Energy_demand!$A$34:$D$54,4,FALSE )))*X9</f>
        <v>93484984.126930162</v>
      </c>
      <c r="Y102" s="164">
        <f>((VLOOKUP($B$102,Energy_demand!$A$34:$D$54,4,FALSE )))*Y9</f>
        <v>93483701.846132338</v>
      </c>
      <c r="Z102" s="164">
        <f>((VLOOKUP($B$102,Energy_demand!$A$34:$D$54,4,FALSE )))*Z9</f>
        <v>93483262.453115001</v>
      </c>
      <c r="AA102" s="164">
        <f>((VLOOKUP($B$102,Energy_demand!$A$34:$D$54,4,FALSE )))*AA9</f>
        <v>93483116.257706076</v>
      </c>
      <c r="AB102" s="164">
        <f>((VLOOKUP($B$102,Energy_demand!$A$34:$D$54,4,FALSE )))*AB9</f>
        <v>93483068.996390954</v>
      </c>
      <c r="AC102" s="164">
        <f>((VLOOKUP($B$102,Energy_demand!$A$34:$D$54,4,FALSE )))*AC9</f>
        <v>93483054.142830774</v>
      </c>
      <c r="AD102" s="164">
        <f>((VLOOKUP($B$102,Energy_demand!$A$34:$D$54,4,FALSE )))*AD9</f>
        <v>93483049.601828441</v>
      </c>
      <c r="AE102" s="164">
        <f>((VLOOKUP($B$102,Energy_demand!$A$34:$D$54,4,FALSE )))*AE9</f>
        <v>93483048.250697061</v>
      </c>
      <c r="AF102" s="164">
        <f>((VLOOKUP($B$102,Energy_demand!$A$34:$D$54,4,FALSE )))*AF9</f>
        <v>93483047.859241724</v>
      </c>
      <c r="AG102" s="164">
        <f>((VLOOKUP($B$102,Energy_demand!$A$34:$D$54,4,FALSE )))*AG9</f>
        <v>93483047.748755842</v>
      </c>
      <c r="AH102" s="164">
        <f>((VLOOKUP($B$102,Energy_demand!$A$34:$D$54,4,FALSE )))*AH9</f>
        <v>93483047.718363449</v>
      </c>
      <c r="AI102" s="164" t="e">
        <f>((VLOOKUP($B$102,Energy_demand!$A$34:$D$54,4,FALSE )))*AI9</f>
        <v>#REF!</v>
      </c>
      <c r="AJ102" s="164" t="e">
        <f>((VLOOKUP($B$102,Energy_demand!$A$34:$D$54,4,FALSE )))*AJ9</f>
        <v>#REF!</v>
      </c>
      <c r="AK102" s="164" t="e">
        <f>((VLOOKUP($B$102,Energy_demand!$A$34:$D$54,4,FALSE )))*AK9</f>
        <v>#REF!</v>
      </c>
      <c r="AL102" s="164" t="e">
        <f>((VLOOKUP($B$102,Energy_demand!$A$34:$D$54,4,FALSE )))*AL9</f>
        <v>#REF!</v>
      </c>
    </row>
    <row r="103" spans="1:38">
      <c r="B103" s="163">
        <v>2003</v>
      </c>
      <c r="C103" s="164">
        <f>((VLOOKUP($B$103,Energy_demand!$A$34:$D$54,4,FALSE )))*C10</f>
        <v>0</v>
      </c>
      <c r="D103" s="164">
        <f>((VLOOKUP($B$103,Energy_demand!$A$34:$D$54,4,FALSE )))*D10</f>
        <v>0</v>
      </c>
      <c r="E103" s="164">
        <f>((VLOOKUP($B$103,Energy_demand!$A$34:$D$54,4,FALSE )))*E10</f>
        <v>0</v>
      </c>
      <c r="F103" s="164">
        <f>((VLOOKUP($B$103,Energy_demand!$A$34:$D$54,4,FALSE )))*F10</f>
        <v>2057314543.681109</v>
      </c>
      <c r="G103" s="164">
        <f>((VLOOKUP($B$103,Energy_demand!$A$34:$D$54,4,FALSE )))*G10</f>
        <v>1559416906.0838358</v>
      </c>
      <c r="H103" s="164">
        <f>((VLOOKUP($B$103,Energy_demand!$A$34:$D$54,4,FALSE )))*H10</f>
        <v>1109434088.9770327</v>
      </c>
      <c r="I103" s="164">
        <f>((VLOOKUP($B$103,Energy_demand!$A$34:$D$54,4,FALSE )))*I10</f>
        <v>753878149.71492755</v>
      </c>
      <c r="J103" s="164">
        <f>((VLOOKUP($B$103,Energy_demand!$A$34:$D$54,4,FALSE )))*J10</f>
        <v>498709887.79167372</v>
      </c>
      <c r="K103" s="164">
        <f>((VLOOKUP($B$103,Energy_demand!$A$34:$D$54,4,FALSE )))*K10</f>
        <v>329202185.45957261</v>
      </c>
      <c r="L103" s="164">
        <f>((VLOOKUP($B$103,Energy_demand!$A$34:$D$54,4,FALSE )))*L10</f>
        <v>223785626.653456</v>
      </c>
      <c r="M103" s="164">
        <f>((VLOOKUP($B$103,Energy_demand!$A$34:$D$54,4,FALSE )))*M10</f>
        <v>161947187.62858933</v>
      </c>
      <c r="N103" s="164">
        <f>((VLOOKUP($B$103,Energy_demand!$A$34:$D$54,4,FALSE )))*N10</f>
        <v>127544728.19582225</v>
      </c>
      <c r="O103" s="164">
        <f>((VLOOKUP($B$103,Energy_demand!$A$34:$D$54,4,FALSE )))*O10</f>
        <v>109319083.28955585</v>
      </c>
      <c r="P103" s="164">
        <f>((VLOOKUP($B$103,Energy_demand!$A$34:$D$54,4,FALSE )))*P10</f>
        <v>100094578.52097835</v>
      </c>
      <c r="Q103" s="164">
        <f>((VLOOKUP($B$103,Energy_demand!$A$34:$D$54,4,FALSE )))*Q10</f>
        <v>95622477.285689428</v>
      </c>
      <c r="R103" s="164">
        <f>((VLOOKUP($B$103,Energy_demand!$A$34:$D$54,4,FALSE )))*R10</f>
        <v>93541154.238664046</v>
      </c>
      <c r="S103" s="164">
        <f>((VLOOKUP($B$103,Energy_demand!$A$34:$D$54,4,FALSE )))*S10</f>
        <v>92609544.021224499</v>
      </c>
      <c r="T103" s="164">
        <f>((VLOOKUP($B$103,Energy_demand!$A$34:$D$54,4,FALSE )))*T10</f>
        <v>92207852.376799434</v>
      </c>
      <c r="U103" s="164">
        <f>((VLOOKUP($B$103,Energy_demand!$A$34:$D$54,4,FALSE )))*U10</f>
        <v>92040772.310346603</v>
      </c>
      <c r="V103" s="164">
        <f>((VLOOKUP($B$103,Energy_demand!$A$34:$D$54,4,FALSE )))*V10</f>
        <v>91973649.707503438</v>
      </c>
      <c r="W103" s="164">
        <f>((VLOOKUP($B$103,Energy_demand!$A$34:$D$54,4,FALSE )))*W10</f>
        <v>91947575.774923146</v>
      </c>
      <c r="X103" s="164">
        <f>((VLOOKUP($B$103,Energy_demand!$A$34:$D$54,4,FALSE )))*X10</f>
        <v>91937772.499891311</v>
      </c>
      <c r="Y103" s="164">
        <f>((VLOOKUP($B$103,Energy_demand!$A$34:$D$54,4,FALSE )))*Y10</f>
        <v>91934201.781221122</v>
      </c>
      <c r="Z103" s="164">
        <f>((VLOOKUP($B$103,Energy_demand!$A$34:$D$54,4,FALSE )))*Z10</f>
        <v>91932940.771630034</v>
      </c>
      <c r="AA103" s="164">
        <f>((VLOOKUP($B$103,Energy_demand!$A$34:$D$54,4,FALSE )))*AA10</f>
        <v>91932508.667515203</v>
      </c>
      <c r="AB103" s="164">
        <f>((VLOOKUP($B$103,Energy_demand!$A$34:$D$54,4,FALSE )))*AB10</f>
        <v>91932364.897279277</v>
      </c>
      <c r="AC103" s="164">
        <f>((VLOOKUP($B$103,Energy_demand!$A$34:$D$54,4,FALSE )))*AC10</f>
        <v>91932318.41996184</v>
      </c>
      <c r="AD103" s="164">
        <f>((VLOOKUP($B$103,Energy_demand!$A$34:$D$54,4,FALSE )))*AD10</f>
        <v>91932303.812801018</v>
      </c>
      <c r="AE103" s="164">
        <f>((VLOOKUP($B$103,Energy_demand!$A$34:$D$54,4,FALSE )))*AE10</f>
        <v>91932299.347127423</v>
      </c>
      <c r="AF103" s="164">
        <f>((VLOOKUP($B$103,Energy_demand!$A$34:$D$54,4,FALSE )))*AF10</f>
        <v>91932298.018409386</v>
      </c>
      <c r="AG103" s="164">
        <f>((VLOOKUP($B$103,Energy_demand!$A$34:$D$54,4,FALSE )))*AG10</f>
        <v>91932297.633447722</v>
      </c>
      <c r="AH103" s="164">
        <f>((VLOOKUP($B$103,Energy_demand!$A$34:$D$54,4,FALSE )))*AH10</f>
        <v>91932297.524794653</v>
      </c>
      <c r="AI103" s="164">
        <f>((VLOOKUP($B$103,Energy_demand!$A$34:$D$54,4,FALSE )))*AI10</f>
        <v>91932297.494906425</v>
      </c>
      <c r="AJ103" s="164" t="e">
        <f>((VLOOKUP($B$103,Energy_demand!$A$34:$D$54,4,FALSE )))*AJ10</f>
        <v>#REF!</v>
      </c>
      <c r="AK103" s="164" t="e">
        <f>((VLOOKUP($B$103,Energy_demand!$A$34:$D$54,4,FALSE )))*AK10</f>
        <v>#REF!</v>
      </c>
      <c r="AL103" s="164" t="e">
        <f>((VLOOKUP($B$103,Energy_demand!$A$34:$D$54,4,FALSE )))*AL10</f>
        <v>#REF!</v>
      </c>
    </row>
    <row r="104" spans="1:38">
      <c r="B104" s="163">
        <v>2004</v>
      </c>
      <c r="C104" s="164">
        <f>((VLOOKUP($B$104,Energy_demand!$A$34:$D$54,4,FALSE )))*C11</f>
        <v>0</v>
      </c>
      <c r="D104" s="164">
        <f>((VLOOKUP($B$104,Energy_demand!$A$34:$D$54,4,FALSE )))*D11</f>
        <v>0</v>
      </c>
      <c r="E104" s="164">
        <f>((VLOOKUP($B$104,Energy_demand!$A$34:$D$54,4,FALSE )))*E11</f>
        <v>0</v>
      </c>
      <c r="F104" s="164">
        <f>((VLOOKUP($B$104,Energy_demand!$A$34:$D$54,4,FALSE )))*F11</f>
        <v>0</v>
      </c>
      <c r="G104" s="164">
        <f>((VLOOKUP($B$104,Energy_demand!$A$34:$D$54,4,FALSE )))*G11</f>
        <v>1999693899.3843675</v>
      </c>
      <c r="H104" s="164">
        <f>((VLOOKUP($B$104,Energy_demand!$A$34:$D$54,4,FALSE )))*H11</f>
        <v>1515741228.4234784</v>
      </c>
      <c r="I104" s="164">
        <f>((VLOOKUP($B$104,Energy_demand!$A$34:$D$54,4,FALSE )))*I11</f>
        <v>1078361394.1341512</v>
      </c>
      <c r="J104" s="164">
        <f>((VLOOKUP($B$104,Energy_demand!$A$34:$D$54,4,FALSE )))*J11</f>
        <v>732763758.21790099</v>
      </c>
      <c r="K104" s="164">
        <f>((VLOOKUP($B$104,Energy_demand!$A$34:$D$54,4,FALSE )))*K11</f>
        <v>484742171.89719743</v>
      </c>
      <c r="L104" s="164">
        <f>((VLOOKUP($B$104,Energy_demand!$A$34:$D$54,4,FALSE )))*L11</f>
        <v>319981990.08967292</v>
      </c>
      <c r="M104" s="164">
        <f>((VLOOKUP($B$104,Energy_demand!$A$34:$D$54,4,FALSE )))*M11</f>
        <v>217517906.41994712</v>
      </c>
      <c r="N104" s="164">
        <f>((VLOOKUP($B$104,Energy_demand!$A$34:$D$54,4,FALSE )))*N11</f>
        <v>157411419.71606201</v>
      </c>
      <c r="O104" s="164">
        <f>((VLOOKUP($B$104,Energy_demand!$A$34:$D$54,4,FALSE )))*O11</f>
        <v>123972493.9753096</v>
      </c>
      <c r="P104" s="164">
        <f>((VLOOKUP($B$104,Energy_demand!$A$34:$D$54,4,FALSE )))*P11</f>
        <v>106257307.4262488</v>
      </c>
      <c r="Q104" s="164">
        <f>((VLOOKUP($B$104,Energy_demand!$A$34:$D$54,4,FALSE )))*Q11</f>
        <v>97291159.800829768</v>
      </c>
      <c r="R104" s="164">
        <f>((VLOOKUP($B$104,Energy_demand!$A$34:$D$54,4,FALSE )))*R11</f>
        <v>92944311.826073647</v>
      </c>
      <c r="S104" s="164">
        <f>((VLOOKUP($B$104,Energy_demand!$A$34:$D$54,4,FALSE )))*S11</f>
        <v>90921281.846254542</v>
      </c>
      <c r="T104" s="164">
        <f>((VLOOKUP($B$104,Energy_demand!$A$34:$D$54,4,FALSE )))*T11</f>
        <v>90015763.886378214</v>
      </c>
      <c r="U104" s="164">
        <f>((VLOOKUP($B$104,Energy_demand!$A$34:$D$54,4,FALSE )))*U11</f>
        <v>89625322.700193241</v>
      </c>
      <c r="V104" s="164">
        <f>((VLOOKUP($B$104,Energy_demand!$A$34:$D$54,4,FALSE )))*V11</f>
        <v>89462922.161772579</v>
      </c>
      <c r="W104" s="164">
        <f>((VLOOKUP($B$104,Energy_demand!$A$34:$D$54,4,FALSE )))*W11</f>
        <v>89397679.508514449</v>
      </c>
      <c r="X104" s="164">
        <f>((VLOOKUP($B$104,Energy_demand!$A$34:$D$54,4,FALSE )))*X11</f>
        <v>89372335.846761838</v>
      </c>
      <c r="Y104" s="164">
        <f>((VLOOKUP($B$104,Energy_demand!$A$34:$D$54,4,FALSE )))*Y11</f>
        <v>89362807.138895884</v>
      </c>
      <c r="Z104" s="164">
        <f>((VLOOKUP($B$104,Energy_demand!$A$34:$D$54,4,FALSE )))*Z11</f>
        <v>89359336.427835613</v>
      </c>
      <c r="AA104" s="164">
        <f>((VLOOKUP($B$104,Energy_demand!$A$34:$D$54,4,FALSE )))*AA11</f>
        <v>89358110.736220255</v>
      </c>
      <c r="AB104" s="164">
        <f>((VLOOKUP($B$104,Energy_demand!$A$34:$D$54,4,FALSE )))*AB11</f>
        <v>89357690.734346941</v>
      </c>
      <c r="AC104" s="164">
        <f>((VLOOKUP($B$104,Energy_demand!$A$34:$D$54,4,FALSE )))*AC11</f>
        <v>89357550.990784347</v>
      </c>
      <c r="AD104" s="164">
        <f>((VLOOKUP($B$104,Energy_demand!$A$34:$D$54,4,FALSE )))*AD11</f>
        <v>89357505.815189585</v>
      </c>
      <c r="AE104" s="164">
        <f>((VLOOKUP($B$104,Energy_demand!$A$34:$D$54,4,FALSE )))*AE11</f>
        <v>89357491.617141709</v>
      </c>
      <c r="AF104" s="164">
        <f>((VLOOKUP($B$104,Energy_demand!$A$34:$D$54,4,FALSE )))*AF11</f>
        <v>89357487.276541352</v>
      </c>
      <c r="AG104" s="164">
        <f>((VLOOKUP($B$104,Energy_demand!$A$34:$D$54,4,FALSE )))*AG11</f>
        <v>89357485.985037655</v>
      </c>
      <c r="AH104" s="164">
        <f>((VLOOKUP($B$104,Energy_demand!$A$34:$D$54,4,FALSE )))*AH11</f>
        <v>89357485.610857874</v>
      </c>
      <c r="AI104" s="164">
        <f>((VLOOKUP($B$104,Energy_demand!$A$34:$D$54,4,FALSE )))*AI11</f>
        <v>89357485.505247921</v>
      </c>
      <c r="AJ104" s="164">
        <f>((VLOOKUP($B$104,Energy_demand!$A$34:$D$54,4,FALSE )))*AJ11</f>
        <v>89357485.476196811</v>
      </c>
      <c r="AK104" s="164" t="e">
        <f>((VLOOKUP($B$104,Energy_demand!$A$34:$D$54,4,FALSE )))*AK11</f>
        <v>#REF!</v>
      </c>
      <c r="AL104" s="164" t="e">
        <f>((VLOOKUP($B$104,Energy_demand!$A$34:$D$54,4,FALSE )))*AL11</f>
        <v>#REF!</v>
      </c>
    </row>
    <row r="105" spans="1:38">
      <c r="B105" s="163">
        <v>2005</v>
      </c>
      <c r="C105" s="164">
        <f>((VLOOKUP($B$105,Energy_demand!$A$34:$D$54,4,FALSE )))*C12</f>
        <v>0</v>
      </c>
      <c r="D105" s="164">
        <f>((VLOOKUP($B$105,Energy_demand!$A$34:$D$54,4,FALSE )))*D12</f>
        <v>0</v>
      </c>
      <c r="E105" s="164">
        <f>((VLOOKUP($B$105,Energy_demand!$A$34:$D$54,4,FALSE )))*E12</f>
        <v>0</v>
      </c>
      <c r="F105" s="164">
        <f>((VLOOKUP($B$105,Energy_demand!$A$34:$D$54,4,FALSE )))*F12</f>
        <v>0</v>
      </c>
      <c r="G105" s="164">
        <f>((VLOOKUP($B$105,Energy_demand!$A$34:$D$54,4,FALSE )))*G12</f>
        <v>0</v>
      </c>
      <c r="H105" s="164">
        <f>((VLOOKUP($B$105,Energy_demand!$A$34:$D$54,4,FALSE )))*H12</f>
        <v>1932500396.378716</v>
      </c>
      <c r="I105" s="164">
        <f>((VLOOKUP($B$105,Energy_demand!$A$34:$D$54,4,FALSE )))*I12</f>
        <v>1464809451.9054732</v>
      </c>
      <c r="J105" s="164">
        <f>((VLOOKUP($B$105,Energy_demand!$A$34:$D$54,4,FALSE )))*J12</f>
        <v>1042126408.5694909</v>
      </c>
      <c r="K105" s="164">
        <f>((VLOOKUP($B$105,Energy_demand!$A$34:$D$54,4,FALSE )))*K12</f>
        <v>708141507.87978411</v>
      </c>
      <c r="L105" s="164">
        <f>((VLOOKUP($B$105,Energy_demand!$A$34:$D$54,4,FALSE )))*L12</f>
        <v>468453916.68255287</v>
      </c>
      <c r="M105" s="164">
        <f>((VLOOKUP($B$105,Energy_demand!$A$34:$D$54,4,FALSE )))*M12</f>
        <v>309229989.0861873</v>
      </c>
      <c r="N105" s="164">
        <f>((VLOOKUP($B$105,Energy_demand!$A$34:$D$54,4,FALSE )))*N12</f>
        <v>210208892.7237452</v>
      </c>
      <c r="O105" s="164">
        <f>((VLOOKUP($B$105,Energy_demand!$A$34:$D$54,4,FALSE )))*O12</f>
        <v>152122097.83181193</v>
      </c>
      <c r="P105" s="164">
        <f>((VLOOKUP($B$105,Energy_demand!$A$34:$D$54,4,FALSE )))*P12</f>
        <v>119806783.33874035</v>
      </c>
      <c r="Q105" s="164">
        <f>((VLOOKUP($B$105,Energy_demand!$A$34:$D$54,4,FALSE )))*Q12</f>
        <v>102686860.6153063</v>
      </c>
      <c r="R105" s="164">
        <f>((VLOOKUP($B$105,Energy_demand!$A$34:$D$54,4,FALSE )))*R12</f>
        <v>94021992.534523159</v>
      </c>
      <c r="S105" s="164">
        <f>((VLOOKUP($B$105,Energy_demand!$A$34:$D$54,4,FALSE )))*S12</f>
        <v>89821206.885879457</v>
      </c>
      <c r="T105" s="164">
        <f>((VLOOKUP($B$105,Energy_demand!$A$34:$D$54,4,FALSE )))*T12</f>
        <v>87866154.545573756</v>
      </c>
      <c r="U105" s="164">
        <f>((VLOOKUP($B$105,Energy_demand!$A$34:$D$54,4,FALSE )))*U12</f>
        <v>86991063.704456642</v>
      </c>
      <c r="V105" s="164">
        <f>((VLOOKUP($B$105,Energy_demand!$A$34:$D$54,4,FALSE )))*V12</f>
        <v>86613742.081733614</v>
      </c>
      <c r="W105" s="164">
        <f>((VLOOKUP($B$105,Energy_demand!$A$34:$D$54,4,FALSE )))*W12</f>
        <v>86456798.509036466</v>
      </c>
      <c r="X105" s="164">
        <f>((VLOOKUP($B$105,Energy_demand!$A$34:$D$54,4,FALSE )))*X12</f>
        <v>86393748.132515877</v>
      </c>
      <c r="Y105" s="164">
        <f>((VLOOKUP($B$105,Energy_demand!$A$34:$D$54,4,FALSE )))*Y12</f>
        <v>86369256.065806225</v>
      </c>
      <c r="Z105" s="164">
        <f>((VLOOKUP($B$105,Energy_demand!$A$34:$D$54,4,FALSE )))*Z12</f>
        <v>86360047.54057464</v>
      </c>
      <c r="AA105" s="164">
        <f>((VLOOKUP($B$105,Energy_demand!$A$34:$D$54,4,FALSE )))*AA12</f>
        <v>86356693.451980501</v>
      </c>
      <c r="AB105" s="164">
        <f>((VLOOKUP($B$105,Energy_demand!$A$34:$D$54,4,FALSE )))*AB12</f>
        <v>86355508.945925221</v>
      </c>
      <c r="AC105" s="164">
        <f>((VLOOKUP($B$105,Energy_demand!$A$34:$D$54,4,FALSE )))*AC12</f>
        <v>86355103.056910455</v>
      </c>
      <c r="AD105" s="164">
        <f>((VLOOKUP($B$105,Energy_demand!$A$34:$D$54,4,FALSE )))*AD12</f>
        <v>86354968.008996278</v>
      </c>
      <c r="AE105" s="164">
        <f>((VLOOKUP($B$105,Energy_demand!$A$34:$D$54,4,FALSE )))*AE12</f>
        <v>86354924.351387084</v>
      </c>
      <c r="AF105" s="164">
        <f>((VLOOKUP($B$105,Energy_demand!$A$34:$D$54,4,FALSE )))*AF12</f>
        <v>86354910.630420506</v>
      </c>
      <c r="AG105" s="164">
        <f>((VLOOKUP($B$105,Energy_demand!$A$34:$D$54,4,FALSE )))*AG12</f>
        <v>86354906.435672551</v>
      </c>
      <c r="AH105" s="164">
        <f>((VLOOKUP($B$105,Energy_demand!$A$34:$D$54,4,FALSE )))*AH12</f>
        <v>86354905.187565818</v>
      </c>
      <c r="AI105" s="164">
        <f>((VLOOKUP($B$105,Energy_demand!$A$34:$D$54,4,FALSE )))*AI12</f>
        <v>86354904.825959191</v>
      </c>
      <c r="AJ105" s="164">
        <f>((VLOOKUP($B$105,Energy_demand!$A$34:$D$54,4,FALSE )))*AJ12</f>
        <v>86354904.723897934</v>
      </c>
      <c r="AK105" s="164">
        <f>((VLOOKUP($B$105,Energy_demand!$A$34:$D$54,4,FALSE )))*AK12</f>
        <v>86354904.695822984</v>
      </c>
      <c r="AL105" s="164" t="e">
        <f>((VLOOKUP($B$105,Energy_demand!$A$34:$D$54,4,FALSE )))*AL12</f>
        <v>#REF!</v>
      </c>
    </row>
    <row r="106" spans="1:38">
      <c r="B106" s="163">
        <v>2006</v>
      </c>
      <c r="C106" s="164">
        <f>((VLOOKUP($B$106,Energy_demand!$A$34:$D$54,4,FALSE )))*C13</f>
        <v>0</v>
      </c>
      <c r="D106" s="164">
        <f>((VLOOKUP($B$106,Energy_demand!$A$34:$D$54,4,FALSE )))*D13</f>
        <v>0</v>
      </c>
      <c r="E106" s="164">
        <f>((VLOOKUP($B$106,Energy_demand!$A$34:$D$54,4,FALSE )))*E13</f>
        <v>0</v>
      </c>
      <c r="F106" s="164">
        <f>((VLOOKUP($B$106,Energy_demand!$A$34:$D$54,4,FALSE )))*F13</f>
        <v>0</v>
      </c>
      <c r="G106" s="164">
        <f>((VLOOKUP($B$106,Energy_demand!$A$34:$D$54,4,FALSE )))*G13</f>
        <v>0</v>
      </c>
      <c r="H106" s="164">
        <f>((VLOOKUP($B$106,Energy_demand!$A$34:$D$54,4,FALSE )))*H13</f>
        <v>0</v>
      </c>
      <c r="I106" s="164">
        <f>((VLOOKUP($B$106,Energy_demand!$A$34:$D$54,4,FALSE )))*I13</f>
        <v>1858088786.086056</v>
      </c>
      <c r="J106" s="164">
        <f>((VLOOKUP($B$106,Energy_demand!$A$34:$D$54,4,FALSE )))*J13</f>
        <v>1408406446.6111684</v>
      </c>
      <c r="K106" s="164">
        <f>((VLOOKUP($B$106,Energy_demand!$A$34:$D$54,4,FALSE )))*K13</f>
        <v>1001998963.1441368</v>
      </c>
      <c r="L106" s="164">
        <f>((VLOOKUP($B$106,Energy_demand!$A$34:$D$54,4,FALSE )))*L13</f>
        <v>680874269.01393473</v>
      </c>
      <c r="M106" s="164">
        <f>((VLOOKUP($B$106,Energy_demand!$A$34:$D$54,4,FALSE )))*M13</f>
        <v>450415933.16980797</v>
      </c>
      <c r="N106" s="164">
        <f>((VLOOKUP($B$106,Energy_demand!$A$34:$D$54,4,FALSE )))*N13</f>
        <v>297322979.14103878</v>
      </c>
      <c r="O106" s="164">
        <f>((VLOOKUP($B$106,Energy_demand!$A$34:$D$54,4,FALSE )))*O13</f>
        <v>202114725.06679562</v>
      </c>
      <c r="P106" s="164">
        <f>((VLOOKUP($B$106,Energy_demand!$A$34:$D$54,4,FALSE )))*P13</f>
        <v>146264582.72755924</v>
      </c>
      <c r="Q106" s="164">
        <f>((VLOOKUP($B$106,Energy_demand!$A$34:$D$54,4,FALSE )))*Q13</f>
        <v>115193580.8323268</v>
      </c>
      <c r="R106" s="164">
        <f>((VLOOKUP($B$106,Energy_demand!$A$34:$D$54,4,FALSE )))*R13</f>
        <v>98732866.779857993</v>
      </c>
      <c r="S106" s="164">
        <f>((VLOOKUP($B$106,Energy_demand!$A$34:$D$54,4,FALSE )))*S13</f>
        <v>90401642.50482659</v>
      </c>
      <c r="T106" s="164">
        <f>((VLOOKUP($B$106,Energy_demand!$A$34:$D$54,4,FALSE )))*T13</f>
        <v>86362609.591238275</v>
      </c>
      <c r="U106" s="164">
        <f>((VLOOKUP($B$106,Energy_demand!$A$34:$D$54,4,FALSE )))*U13</f>
        <v>84482837.231791154</v>
      </c>
      <c r="V106" s="164">
        <f>((VLOOKUP($B$106,Energy_demand!$A$34:$D$54,4,FALSE )))*V13</f>
        <v>83641442.072580189</v>
      </c>
      <c r="W106" s="164">
        <f>((VLOOKUP($B$106,Energy_demand!$A$34:$D$54,4,FALSE )))*W13</f>
        <v>83278649.352204427</v>
      </c>
      <c r="X106" s="164">
        <f>((VLOOKUP($B$106,Energy_demand!$A$34:$D$54,4,FALSE )))*X13</f>
        <v>83127748.947204098</v>
      </c>
      <c r="Y106" s="164">
        <f>((VLOOKUP($B$106,Energy_demand!$A$34:$D$54,4,FALSE )))*Y13</f>
        <v>83067126.347699881</v>
      </c>
      <c r="Z106" s="164">
        <f>((VLOOKUP($B$106,Energy_demand!$A$34:$D$54,4,FALSE )))*Z13</f>
        <v>83043577.356669113</v>
      </c>
      <c r="AA106" s="164">
        <f>((VLOOKUP($B$106,Energy_demand!$A$34:$D$54,4,FALSE )))*AA13</f>
        <v>83034723.408953875</v>
      </c>
      <c r="AB106" s="164">
        <f>((VLOOKUP($B$106,Energy_demand!$A$34:$D$54,4,FALSE )))*AB13</f>
        <v>83031498.470725685</v>
      </c>
      <c r="AC106" s="164">
        <f>((VLOOKUP($B$106,Energy_demand!$A$34:$D$54,4,FALSE )))*AC13</f>
        <v>83030359.574494407</v>
      </c>
      <c r="AD106" s="164">
        <f>((VLOOKUP($B$106,Energy_demand!$A$34:$D$54,4,FALSE )))*AD13</f>
        <v>83029969.314379498</v>
      </c>
      <c r="AE106" s="164">
        <f>((VLOOKUP($B$106,Energy_demand!$A$34:$D$54,4,FALSE )))*AE13</f>
        <v>83029839.466532961</v>
      </c>
      <c r="AF106" s="164">
        <f>((VLOOKUP($B$106,Energy_demand!$A$34:$D$54,4,FALSE )))*AF13</f>
        <v>83029797.489975423</v>
      </c>
      <c r="AG106" s="164">
        <f>((VLOOKUP($B$106,Energy_demand!$A$34:$D$54,4,FALSE )))*AG13</f>
        <v>83029784.297339514</v>
      </c>
      <c r="AH106" s="164">
        <f>((VLOOKUP($B$106,Energy_demand!$A$34:$D$54,4,FALSE )))*AH13</f>
        <v>83029780.264111802</v>
      </c>
      <c r="AI106" s="164">
        <f>((VLOOKUP($B$106,Energy_demand!$A$34:$D$54,4,FALSE )))*AI13</f>
        <v>83029779.064063862</v>
      </c>
      <c r="AJ106" s="164">
        <f>((VLOOKUP($B$106,Energy_demand!$A$34:$D$54,4,FALSE )))*AJ13</f>
        <v>83029778.716381028</v>
      </c>
      <c r="AK106" s="164">
        <f>((VLOOKUP($B$106,Energy_demand!$A$34:$D$54,4,FALSE )))*AK13</f>
        <v>83029778.61824967</v>
      </c>
      <c r="AL106" s="164">
        <f>((VLOOKUP($B$106,Energy_demand!$A$34:$D$54,4,FALSE )))*AL13</f>
        <v>83029778.591255769</v>
      </c>
    </row>
    <row r="107" spans="1:38">
      <c r="B107" s="163">
        <v>2007</v>
      </c>
      <c r="C107" s="164">
        <f>((VLOOKUP($B$107,Energy_demand!$A$34:$D$54,4,FALSE )))*C14</f>
        <v>0</v>
      </c>
      <c r="D107" s="164">
        <f>((VLOOKUP($B$107,Energy_demand!$A$34:$D$54,4,FALSE )))*D14</f>
        <v>0</v>
      </c>
      <c r="E107" s="164">
        <f>((VLOOKUP($B$107,Energy_demand!$A$34:$D$54,4,FALSE )))*E14</f>
        <v>0</v>
      </c>
      <c r="F107" s="164">
        <f>((VLOOKUP($B$107,Energy_demand!$A$34:$D$54,4,FALSE )))*F14</f>
        <v>0</v>
      </c>
      <c r="G107" s="164">
        <f>((VLOOKUP($B$107,Energy_demand!$A$34:$D$54,4,FALSE )))*G14</f>
        <v>0</v>
      </c>
      <c r="H107" s="164">
        <f>((VLOOKUP($B$107,Energy_demand!$A$34:$D$54,4,FALSE )))*H14</f>
        <v>0</v>
      </c>
      <c r="I107" s="164">
        <f>((VLOOKUP($B$107,Energy_demand!$A$34:$D$54,4,FALSE )))*I14</f>
        <v>0</v>
      </c>
      <c r="J107" s="164">
        <f>((VLOOKUP($B$107,Energy_demand!$A$34:$D$54,4,FALSE )))*J14</f>
        <v>0</v>
      </c>
      <c r="K107" s="164">
        <f>((VLOOKUP($B$107,Energy_demand!$A$34:$D$54,4,FALSE )))*K14</f>
        <v>0</v>
      </c>
      <c r="L107" s="164">
        <f>((VLOOKUP($B$107,Energy_demand!$A$34:$D$54,4,FALSE )))*L14</f>
        <v>0</v>
      </c>
      <c r="M107" s="164">
        <f>((VLOOKUP($B$107,Energy_demand!$A$34:$D$54,4,FALSE )))*M14</f>
        <v>0</v>
      </c>
      <c r="N107" s="164">
        <f>((VLOOKUP($B$107,Energy_demand!$A$34:$D$54,4,FALSE )))*N14</f>
        <v>0</v>
      </c>
      <c r="O107" s="164">
        <f>((VLOOKUP($B$107,Energy_demand!$A$34:$D$54,4,FALSE )))*O14</f>
        <v>0</v>
      </c>
      <c r="P107" s="164">
        <f>((VLOOKUP($B$107,Energy_demand!$A$34:$D$54,4,FALSE )))*P14</f>
        <v>0</v>
      </c>
      <c r="Q107" s="164">
        <f>((VLOOKUP($B$107,Energy_demand!$A$34:$D$54,4,FALSE )))*Q14</f>
        <v>0</v>
      </c>
      <c r="R107" s="164">
        <f>((VLOOKUP($B$107,Energy_demand!$A$34:$D$54,4,FALSE )))*R14</f>
        <v>0</v>
      </c>
      <c r="S107" s="164">
        <f>((VLOOKUP($B$107,Energy_demand!$A$34:$D$54,4,FALSE )))*S14</f>
        <v>0</v>
      </c>
      <c r="T107" s="164">
        <f>((VLOOKUP($B$107,Energy_demand!$A$34:$D$54,4,FALSE )))*T14</f>
        <v>0</v>
      </c>
      <c r="U107" s="164">
        <f>((VLOOKUP($B$107,Energy_demand!$A$34:$D$54,4,FALSE )))*U14</f>
        <v>0</v>
      </c>
      <c r="V107" s="164">
        <f>((VLOOKUP($B$107,Energy_demand!$A$34:$D$54,4,FALSE )))*V14</f>
        <v>0</v>
      </c>
      <c r="W107" s="164">
        <f>((VLOOKUP($B$107,Energy_demand!$A$34:$D$54,4,FALSE )))*W14</f>
        <v>0</v>
      </c>
      <c r="X107" s="164">
        <f>((VLOOKUP($B$107,Energy_demand!$A$34:$D$54,4,FALSE )))*X14</f>
        <v>0</v>
      </c>
      <c r="Y107" s="164">
        <f>((VLOOKUP($B$107,Energy_demand!$A$34:$D$54,4,FALSE )))*Y14</f>
        <v>0</v>
      </c>
      <c r="Z107" s="164">
        <f>((VLOOKUP($B$107,Energy_demand!$A$34:$D$54,4,FALSE )))*Z14</f>
        <v>0</v>
      </c>
      <c r="AA107" s="164">
        <f>((VLOOKUP($B$107,Energy_demand!$A$34:$D$54,4,FALSE )))*AA14</f>
        <v>0</v>
      </c>
      <c r="AB107" s="164">
        <f>((VLOOKUP($B$107,Energy_demand!$A$34:$D$54,4,FALSE )))*AB14</f>
        <v>0</v>
      </c>
      <c r="AC107" s="164">
        <f>((VLOOKUP($B$107,Energy_demand!$A$34:$D$54,4,FALSE )))*AC14</f>
        <v>0</v>
      </c>
      <c r="AD107" s="164">
        <f>((VLOOKUP($B$107,Energy_demand!$A$34:$D$54,4,FALSE )))*AD14</f>
        <v>0</v>
      </c>
      <c r="AE107" s="164">
        <f>((VLOOKUP($B$107,Energy_demand!$A$34:$D$54,4,FALSE )))*AE14</f>
        <v>0</v>
      </c>
      <c r="AF107" s="164">
        <f>((VLOOKUP($B$107,Energy_demand!$A$34:$D$54,4,FALSE )))*AF14</f>
        <v>0</v>
      </c>
      <c r="AG107" s="164">
        <f>((VLOOKUP($B$107,Energy_demand!$A$34:$D$54,4,FALSE )))*AG14</f>
        <v>0</v>
      </c>
      <c r="AH107" s="164">
        <f>((VLOOKUP($B$107,Energy_demand!$A$34:$D$54,4,FALSE )))*AH14</f>
        <v>0</v>
      </c>
      <c r="AI107" s="164">
        <f>((VLOOKUP($B$107,Energy_demand!$A$34:$D$54,4,FALSE )))*AI14</f>
        <v>0</v>
      </c>
      <c r="AJ107" s="164">
        <f>((VLOOKUP($B$107,Energy_demand!$A$34:$D$54,4,FALSE )))*AJ14</f>
        <v>0</v>
      </c>
      <c r="AK107" s="164">
        <f>((VLOOKUP($B$107,Energy_demand!$A$34:$D$54,4,FALSE )))*AK14</f>
        <v>0</v>
      </c>
      <c r="AL107" s="164">
        <f>((VLOOKUP($B$107,Energy_demand!$A$34:$D$54,4,FALSE )))*AL14</f>
        <v>0</v>
      </c>
    </row>
    <row r="108" spans="1:38">
      <c r="B108" s="163">
        <v>2008</v>
      </c>
      <c r="C108" s="164">
        <f>((VLOOKUP($B$108,Energy_demand!$A$34:$D$54,4,FALSE )))*C15</f>
        <v>0</v>
      </c>
      <c r="D108" s="164">
        <f>((VLOOKUP($B$108,Energy_demand!$A$34:$D$54,4,FALSE )))*D15</f>
        <v>0</v>
      </c>
      <c r="E108" s="164">
        <f>((VLOOKUP($B$108,Energy_demand!$A$34:$D$54,4,FALSE )))*E15</f>
        <v>0</v>
      </c>
      <c r="F108" s="164">
        <f>((VLOOKUP($B$108,Energy_demand!$A$34:$D$54,4,FALSE )))*F15</f>
        <v>0</v>
      </c>
      <c r="G108" s="164">
        <f>((VLOOKUP($B$108,Energy_demand!$A$34:$D$54,4,FALSE )))*G15</f>
        <v>0</v>
      </c>
      <c r="H108" s="164">
        <f>((VLOOKUP($B$108,Energy_demand!$A$34:$D$54,4,FALSE )))*H15</f>
        <v>0</v>
      </c>
      <c r="I108" s="164">
        <f>((VLOOKUP($B$108,Energy_demand!$A$34:$D$54,4,FALSE )))*I15</f>
        <v>0</v>
      </c>
      <c r="J108" s="164">
        <f>((VLOOKUP($B$108,Energy_demand!$A$34:$D$54,4,FALSE )))*J15</f>
        <v>0</v>
      </c>
      <c r="K108" s="164">
        <f>((VLOOKUP($B$108,Energy_demand!$A$34:$D$54,4,FALSE )))*K15</f>
        <v>0</v>
      </c>
      <c r="L108" s="164">
        <f>((VLOOKUP($B$108,Energy_demand!$A$34:$D$54,4,FALSE )))*L15</f>
        <v>0</v>
      </c>
      <c r="M108" s="164">
        <f>((VLOOKUP($B$108,Energy_demand!$A$34:$D$54,4,FALSE )))*M15</f>
        <v>0</v>
      </c>
      <c r="N108" s="164">
        <f>((VLOOKUP($B$108,Energy_demand!$A$34:$D$54,4,FALSE )))*N15</f>
        <v>0</v>
      </c>
      <c r="O108" s="164">
        <f>((VLOOKUP($B$108,Energy_demand!$A$34:$D$54,4,FALSE )))*O15</f>
        <v>0</v>
      </c>
      <c r="P108" s="164">
        <f>((VLOOKUP($B$108,Energy_demand!$A$34:$D$54,4,FALSE )))*P15</f>
        <v>0</v>
      </c>
      <c r="Q108" s="164">
        <f>((VLOOKUP($B$108,Energy_demand!$A$34:$D$54,4,FALSE )))*Q15</f>
        <v>0</v>
      </c>
      <c r="R108" s="164">
        <f>((VLOOKUP($B$108,Energy_demand!$A$34:$D$54,4,FALSE )))*R15</f>
        <v>0</v>
      </c>
      <c r="S108" s="164">
        <f>((VLOOKUP($B$108,Energy_demand!$A$34:$D$54,4,FALSE )))*S15</f>
        <v>0</v>
      </c>
      <c r="T108" s="164">
        <f>((VLOOKUP($B$108,Energy_demand!$A$34:$D$54,4,FALSE )))*T15</f>
        <v>0</v>
      </c>
      <c r="U108" s="164">
        <f>((VLOOKUP($B$108,Energy_demand!$A$34:$D$54,4,FALSE )))*U15</f>
        <v>0</v>
      </c>
      <c r="V108" s="164">
        <f>((VLOOKUP($B$108,Energy_demand!$A$34:$D$54,4,FALSE )))*V15</f>
        <v>0</v>
      </c>
      <c r="W108" s="164">
        <f>((VLOOKUP($B$108,Energy_demand!$A$34:$D$54,4,FALSE )))*W15</f>
        <v>0</v>
      </c>
      <c r="X108" s="164">
        <f>((VLOOKUP($B$108,Energy_demand!$A$34:$D$54,4,FALSE )))*X15</f>
        <v>0</v>
      </c>
      <c r="Y108" s="164">
        <f>((VLOOKUP($B$108,Energy_demand!$A$34:$D$54,4,FALSE )))*Y15</f>
        <v>0</v>
      </c>
      <c r="Z108" s="164">
        <f>((VLOOKUP($B$108,Energy_demand!$A$34:$D$54,4,FALSE )))*Z15</f>
        <v>0</v>
      </c>
      <c r="AA108" s="164">
        <f>((VLOOKUP($B$108,Energy_demand!$A$34:$D$54,4,FALSE )))*AA15</f>
        <v>0</v>
      </c>
      <c r="AB108" s="164">
        <f>((VLOOKUP($B$108,Energy_demand!$A$34:$D$54,4,FALSE )))*AB15</f>
        <v>0</v>
      </c>
      <c r="AC108" s="164">
        <f>((VLOOKUP($B$108,Energy_demand!$A$34:$D$54,4,FALSE )))*AC15</f>
        <v>0</v>
      </c>
      <c r="AD108" s="164">
        <f>((VLOOKUP($B$108,Energy_demand!$A$34:$D$54,4,FALSE )))*AD15</f>
        <v>0</v>
      </c>
      <c r="AE108" s="164">
        <f>((VLOOKUP($B$108,Energy_demand!$A$34:$D$54,4,FALSE )))*AE15</f>
        <v>0</v>
      </c>
      <c r="AF108" s="164">
        <f>((VLOOKUP($B$108,Energy_demand!$A$34:$D$54,4,FALSE )))*AF15</f>
        <v>0</v>
      </c>
      <c r="AG108" s="164">
        <f>((VLOOKUP($B$108,Energy_demand!$A$34:$D$54,4,FALSE )))*AG15</f>
        <v>0</v>
      </c>
      <c r="AH108" s="164">
        <f>((VLOOKUP($B$108,Energy_demand!$A$34:$D$54,4,FALSE )))*AH15</f>
        <v>0</v>
      </c>
      <c r="AI108" s="164">
        <f>((VLOOKUP($B$108,Energy_demand!$A$34:$D$54,4,FALSE )))*AI15</f>
        <v>0</v>
      </c>
      <c r="AJ108" s="164">
        <f>((VLOOKUP($B$108,Energy_demand!$A$34:$D$54,4,FALSE )))*AJ15</f>
        <v>0</v>
      </c>
      <c r="AK108" s="164">
        <f>((VLOOKUP($B$108,Energy_demand!$A$34:$D$54,4,FALSE )))*AK15</f>
        <v>0</v>
      </c>
      <c r="AL108" s="164">
        <f>((VLOOKUP($B$108,Energy_demand!$A$34:$D$54,4,FALSE )))*AL15</f>
        <v>0</v>
      </c>
    </row>
    <row r="109" spans="1:38">
      <c r="B109" s="163">
        <v>2009</v>
      </c>
      <c r="C109" s="164">
        <f>((VLOOKUP($B$109,Energy_demand!$A$34:$D$54,4,FALSE )))*C16</f>
        <v>0</v>
      </c>
      <c r="D109" s="164">
        <f>((VLOOKUP($B$109,Energy_demand!$A$34:$D$54,4,FALSE )))*D16</f>
        <v>0</v>
      </c>
      <c r="E109" s="164">
        <f>((VLOOKUP($B$109,Energy_demand!$A$34:$D$54,4,FALSE )))*E16</f>
        <v>0</v>
      </c>
      <c r="F109" s="164">
        <f>((VLOOKUP($B$109,Energy_demand!$A$34:$D$54,4,FALSE )))*F16</f>
        <v>0</v>
      </c>
      <c r="G109" s="164">
        <f>((VLOOKUP($B$109,Energy_demand!$A$34:$D$54,4,FALSE )))*G16</f>
        <v>0</v>
      </c>
      <c r="H109" s="164">
        <f>((VLOOKUP($B$109,Energy_demand!$A$34:$D$54,4,FALSE )))*H16</f>
        <v>0</v>
      </c>
      <c r="I109" s="164">
        <f>((VLOOKUP($B$109,Energy_demand!$A$34:$D$54,4,FALSE )))*I16</f>
        <v>0</v>
      </c>
      <c r="J109" s="164">
        <f>((VLOOKUP($B$109,Energy_demand!$A$34:$D$54,4,FALSE )))*J16</f>
        <v>0</v>
      </c>
      <c r="K109" s="164">
        <f>((VLOOKUP($B$109,Energy_demand!$A$34:$D$54,4,FALSE )))*K16</f>
        <v>0</v>
      </c>
      <c r="L109" s="164">
        <f>((VLOOKUP($B$109,Energy_demand!$A$34:$D$54,4,FALSE )))*L16</f>
        <v>2018581851.1274502</v>
      </c>
      <c r="M109" s="164">
        <f>((VLOOKUP($B$109,Energy_demand!$A$34:$D$54,4,FALSE )))*M16</f>
        <v>1530058043.2051194</v>
      </c>
      <c r="N109" s="164">
        <f>((VLOOKUP($B$109,Energy_demand!$A$34:$D$54,4,FALSE )))*N16</f>
        <v>1088546972.0269876</v>
      </c>
      <c r="O109" s="164">
        <f>((VLOOKUP($B$109,Energy_demand!$A$34:$D$54,4,FALSE )))*O16</f>
        <v>739685020.77141523</v>
      </c>
      <c r="P109" s="164">
        <f>((VLOOKUP($B$109,Energy_demand!$A$34:$D$54,4,FALSE )))*P16</f>
        <v>489320766.02775425</v>
      </c>
      <c r="Q109" s="164">
        <f>((VLOOKUP($B$109,Energy_demand!$A$34:$D$54,4,FALSE )))*Q16</f>
        <v>323004354.85726559</v>
      </c>
      <c r="R109" s="164">
        <f>((VLOOKUP($B$109,Energy_demand!$A$34:$D$54,4,FALSE )))*R16</f>
        <v>219572454.7290563</v>
      </c>
      <c r="S109" s="164">
        <f>((VLOOKUP($B$109,Energy_demand!$A$34:$D$54,4,FALSE )))*S16</f>
        <v>158898236.92359659</v>
      </c>
      <c r="T109" s="164">
        <f>((VLOOKUP($B$109,Energy_demand!$A$34:$D$54,4,FALSE )))*T16</f>
        <v>125143466.43484218</v>
      </c>
      <c r="U109" s="164">
        <f>((VLOOKUP($B$109,Energy_demand!$A$34:$D$54,4,FALSE )))*U16</f>
        <v>107260952.48194127</v>
      </c>
      <c r="V109" s="164">
        <f>((VLOOKUP($B$109,Energy_demand!$A$34:$D$54,4,FALSE )))*V16</f>
        <v>98210115.813003182</v>
      </c>
      <c r="W109" s="164">
        <f>((VLOOKUP($B$109,Energy_demand!$A$34:$D$54,4,FALSE )))*W16</f>
        <v>93822210.026945651</v>
      </c>
      <c r="X109" s="164">
        <f>((VLOOKUP($B$109,Energy_demand!$A$34:$D$54,4,FALSE )))*X16</f>
        <v>91780071.676267594</v>
      </c>
      <c r="Y109" s="164">
        <f>((VLOOKUP($B$109,Energy_demand!$A$34:$D$54,4,FALSE )))*Y16</f>
        <v>90866000.717587978</v>
      </c>
      <c r="Z109" s="164">
        <f>((VLOOKUP($B$109,Energy_demand!$A$34:$D$54,4,FALSE )))*Z16</f>
        <v>90471871.64982979</v>
      </c>
      <c r="AA109" s="164">
        <f>((VLOOKUP($B$109,Energy_demand!$A$34:$D$54,4,FALSE )))*AA16</f>
        <v>90307937.169872761</v>
      </c>
      <c r="AB109" s="164">
        <f>((VLOOKUP($B$109,Energy_demand!$A$34:$D$54,4,FALSE )))*AB16</f>
        <v>90242078.272255152</v>
      </c>
      <c r="AC109" s="164">
        <f>((VLOOKUP($B$109,Energy_demand!$A$34:$D$54,4,FALSE )))*AC16</f>
        <v>90216495.228934631</v>
      </c>
      <c r="AD109" s="164">
        <f>((VLOOKUP($B$109,Energy_demand!$A$34:$D$54,4,FALSE )))*AD16</f>
        <v>90206876.518406257</v>
      </c>
      <c r="AE109" s="164">
        <f>((VLOOKUP($B$109,Energy_demand!$A$34:$D$54,4,FALSE )))*AE16</f>
        <v>90203373.025016934</v>
      </c>
      <c r="AF109" s="164">
        <f>((VLOOKUP($B$109,Energy_demand!$A$34:$D$54,4,FALSE )))*AF16</f>
        <v>90202135.756227493</v>
      </c>
      <c r="AG109" s="164">
        <f>((VLOOKUP($B$109,Energy_demand!$A$34:$D$54,4,FALSE )))*AG16</f>
        <v>90201711.787259683</v>
      </c>
      <c r="AH109" s="164">
        <f>((VLOOKUP($B$109,Energy_demand!$A$34:$D$54,4,FALSE )))*AH16</f>
        <v>90201570.723760083</v>
      </c>
      <c r="AI109" s="164">
        <f>((VLOOKUP($B$109,Energy_demand!$A$34:$D$54,4,FALSE )))*AI16</f>
        <v>90201525.121462449</v>
      </c>
      <c r="AJ109" s="164">
        <f>((VLOOKUP($B$109,Energy_demand!$A$34:$D$54,4,FALSE )))*AJ16</f>
        <v>90201510.78930822</v>
      </c>
      <c r="AK109" s="164">
        <f>((VLOOKUP($B$109,Energy_demand!$A$34:$D$54,4,FALSE )))*AK16</f>
        <v>90201506.407709032</v>
      </c>
      <c r="AL109" s="164">
        <f>((VLOOKUP($B$109,Energy_demand!$A$34:$D$54,4,FALSE )))*AL16</f>
        <v>90201505.104006767</v>
      </c>
    </row>
    <row r="110" spans="1:38">
      <c r="B110" s="163">
        <v>2010</v>
      </c>
      <c r="C110" s="164">
        <f>((VLOOKUP($B$110,Energy_demand!$A$34:$D$54,4,FALSE )))*C17</f>
        <v>0</v>
      </c>
      <c r="D110" s="164">
        <f>((VLOOKUP($B$110,Energy_demand!$A$34:$D$54,4,FALSE )))*D17</f>
        <v>0</v>
      </c>
      <c r="E110" s="164">
        <f>((VLOOKUP($B$110,Energy_demand!$A$34:$D$54,4,FALSE )))*E17</f>
        <v>0</v>
      </c>
      <c r="F110" s="164">
        <f>((VLOOKUP($B$110,Energy_demand!$A$34:$D$54,4,FALSE )))*F17</f>
        <v>0</v>
      </c>
      <c r="G110" s="164">
        <f>((VLOOKUP($B$110,Energy_demand!$A$34:$D$54,4,FALSE )))*G17</f>
        <v>0</v>
      </c>
      <c r="H110" s="164">
        <f>((VLOOKUP($B$110,Energy_demand!$A$34:$D$54,4,FALSE )))*H17</f>
        <v>0</v>
      </c>
      <c r="I110" s="164">
        <f>((VLOOKUP($B$110,Energy_demand!$A$34:$D$54,4,FALSE )))*I17</f>
        <v>0</v>
      </c>
      <c r="J110" s="164">
        <f>((VLOOKUP($B$110,Energy_demand!$A$34:$D$54,4,FALSE )))*J17</f>
        <v>0</v>
      </c>
      <c r="K110" s="164">
        <f>((VLOOKUP($B$110,Energy_demand!$A$34:$D$54,4,FALSE )))*K17</f>
        <v>0</v>
      </c>
      <c r="L110" s="164">
        <f>((VLOOKUP($B$110,Energy_demand!$A$34:$D$54,4,FALSE )))*L17</f>
        <v>0</v>
      </c>
      <c r="M110" s="164">
        <f>((VLOOKUP($B$110,Energy_demand!$A$34:$D$54,4,FALSE )))*M17</f>
        <v>1993313614.4328456</v>
      </c>
      <c r="N110" s="164">
        <f>((VLOOKUP($B$110,Energy_demand!$A$34:$D$54,4,FALSE )))*N17</f>
        <v>1510905057.7710154</v>
      </c>
      <c r="O110" s="164">
        <f>((VLOOKUP($B$110,Energy_demand!$A$34:$D$54,4,FALSE )))*O17</f>
        <v>1074920741.0534897</v>
      </c>
      <c r="P110" s="164">
        <f>((VLOOKUP($B$110,Energy_demand!$A$34:$D$54,4,FALSE )))*P17</f>
        <v>730425779.5997647</v>
      </c>
      <c r="Q110" s="164">
        <f>((VLOOKUP($B$110,Energy_demand!$A$34:$D$54,4,FALSE )))*Q17</f>
        <v>483195538.59213197</v>
      </c>
      <c r="R110" s="164">
        <f>((VLOOKUP($B$110,Energy_demand!$A$34:$D$54,4,FALSE )))*R17</f>
        <v>318961045.69575548</v>
      </c>
      <c r="S110" s="164">
        <f>((VLOOKUP($B$110,Energy_demand!$A$34:$D$54,4,FALSE )))*S17</f>
        <v>216823887.08756572</v>
      </c>
      <c r="T110" s="164">
        <f>((VLOOKUP($B$110,Energy_demand!$A$34:$D$54,4,FALSE )))*T17</f>
        <v>156909177.99160561</v>
      </c>
      <c r="U110" s="164">
        <f>((VLOOKUP($B$110,Energy_demand!$A$34:$D$54,4,FALSE )))*U17</f>
        <v>123576943.51733373</v>
      </c>
      <c r="V110" s="164">
        <f>((VLOOKUP($B$110,Energy_demand!$A$34:$D$54,4,FALSE )))*V17</f>
        <v>105918279.58815336</v>
      </c>
      <c r="W110" s="164">
        <f>((VLOOKUP($B$110,Energy_demand!$A$34:$D$54,4,FALSE )))*W17</f>
        <v>96980739.629530668</v>
      </c>
      <c r="X110" s="164">
        <f>((VLOOKUP($B$110,Energy_demand!$A$34:$D$54,4,FALSE )))*X17</f>
        <v>92647760.841817945</v>
      </c>
      <c r="Y110" s="164">
        <f>((VLOOKUP($B$110,Energy_demand!$A$34:$D$54,4,FALSE )))*Y17</f>
        <v>90631185.60376741</v>
      </c>
      <c r="Z110" s="164">
        <f>((VLOOKUP($B$110,Energy_demand!$A$34:$D$54,4,FALSE )))*Z17</f>
        <v>89728556.817386493</v>
      </c>
      <c r="AA110" s="164">
        <f>((VLOOKUP($B$110,Energy_demand!$A$34:$D$54,4,FALSE )))*AA17</f>
        <v>89339361.384876803</v>
      </c>
      <c r="AB110" s="164">
        <f>((VLOOKUP($B$110,Energy_demand!$A$34:$D$54,4,FALSE )))*AB17</f>
        <v>89177479.006616578</v>
      </c>
      <c r="AC110" s="164">
        <f>((VLOOKUP($B$110,Energy_demand!$A$34:$D$54,4,FALSE )))*AC17</f>
        <v>89112444.518577576</v>
      </c>
      <c r="AD110" s="164">
        <f>((VLOOKUP($B$110,Energy_demand!$A$34:$D$54,4,FALSE )))*AD17</f>
        <v>89087181.719092444</v>
      </c>
      <c r="AE110" s="164">
        <f>((VLOOKUP($B$110,Energy_demand!$A$34:$D$54,4,FALSE )))*AE17</f>
        <v>89077683.413815066</v>
      </c>
      <c r="AF110" s="164">
        <f>((VLOOKUP($B$110,Energy_demand!$A$34:$D$54,4,FALSE )))*AF17</f>
        <v>89074223.77651228</v>
      </c>
      <c r="AG110" s="164">
        <f>((VLOOKUP($B$110,Energy_demand!$A$34:$D$54,4,FALSE )))*AG17</f>
        <v>89073001.995626047</v>
      </c>
      <c r="AH110" s="164">
        <f>((VLOOKUP($B$110,Energy_demand!$A$34:$D$54,4,FALSE )))*AH17</f>
        <v>89072583.333823934</v>
      </c>
      <c r="AI110" s="164">
        <f>((VLOOKUP($B$110,Energy_demand!$A$34:$D$54,4,FALSE )))*AI17</f>
        <v>89072444.036131278</v>
      </c>
      <c r="AJ110" s="164">
        <f>((VLOOKUP($B$110,Energy_demand!$A$34:$D$54,4,FALSE )))*AJ17</f>
        <v>89072399.004675046</v>
      </c>
      <c r="AK110" s="164">
        <f>((VLOOKUP($B$110,Energy_demand!$A$34:$D$54,4,FALSE )))*AK17</f>
        <v>89072384.851927742</v>
      </c>
      <c r="AL110" s="164">
        <f>((VLOOKUP($B$110,Energy_demand!$A$34:$D$54,4,FALSE )))*AL17</f>
        <v>89072380.525176719</v>
      </c>
    </row>
    <row r="111" spans="1:38">
      <c r="B111" s="163">
        <v>2011</v>
      </c>
      <c r="C111" s="164">
        <f>((VLOOKUP($B$111,Energy_demand!$A$34:$D$54,4,FALSE )))*C18</f>
        <v>0</v>
      </c>
      <c r="D111" s="164">
        <f>((VLOOKUP($B$111,Energy_demand!$A$34:$D$54,4,FALSE )))*D18</f>
        <v>0</v>
      </c>
      <c r="E111" s="164">
        <f>((VLOOKUP($B$111,Energy_demand!$A$34:$D$54,4,FALSE )))*E18</f>
        <v>0</v>
      </c>
      <c r="F111" s="164">
        <f>((VLOOKUP($B$111,Energy_demand!$A$34:$D$54,4,FALSE )))*F18</f>
        <v>0</v>
      </c>
      <c r="G111" s="164">
        <f>((VLOOKUP($B$111,Energy_demand!$A$34:$D$54,4,FALSE )))*G18</f>
        <v>0</v>
      </c>
      <c r="H111" s="164">
        <f>((VLOOKUP($B$111,Energy_demand!$A$34:$D$54,4,FALSE )))*H18</f>
        <v>0</v>
      </c>
      <c r="I111" s="164">
        <f>((VLOOKUP($B$111,Energy_demand!$A$34:$D$54,4,FALSE )))*I18</f>
        <v>0</v>
      </c>
      <c r="J111" s="164">
        <f>((VLOOKUP($B$111,Energy_demand!$A$34:$D$54,4,FALSE )))*J18</f>
        <v>0</v>
      </c>
      <c r="K111" s="164">
        <f>((VLOOKUP($B$111,Energy_demand!$A$34:$D$54,4,FALSE )))*K18</f>
        <v>0</v>
      </c>
      <c r="L111" s="164">
        <f>((VLOOKUP($B$111,Energy_demand!$A$34:$D$54,4,FALSE )))*L18</f>
        <v>0</v>
      </c>
      <c r="M111" s="164">
        <f>((VLOOKUP($B$111,Energy_demand!$A$34:$D$54,4,FALSE )))*M18</f>
        <v>0</v>
      </c>
      <c r="N111" s="164">
        <f>((VLOOKUP($B$111,Energy_demand!$A$34:$D$54,4,FALSE )))*N18</f>
        <v>1739143401.5371945</v>
      </c>
      <c r="O111" s="164">
        <f>((VLOOKUP($B$111,Energy_demand!$A$34:$D$54,4,FALSE )))*O18</f>
        <v>1318247436.10116</v>
      </c>
      <c r="P111" s="164">
        <f>((VLOOKUP($B$111,Energy_demand!$A$34:$D$54,4,FALSE )))*P18</f>
        <v>937856090.70379889</v>
      </c>
      <c r="Q111" s="164">
        <f>((VLOOKUP($B$111,Energy_demand!$A$34:$D$54,4,FALSE )))*Q18</f>
        <v>637288164.64489579</v>
      </c>
      <c r="R111" s="164">
        <f>((VLOOKUP($B$111,Energy_demand!$A$34:$D$54,4,FALSE )))*R18</f>
        <v>421582598.19733357</v>
      </c>
      <c r="S111" s="164">
        <f>((VLOOKUP($B$111,Energy_demand!$A$34:$D$54,4,FALSE )))*S18</f>
        <v>278289875.68873334</v>
      </c>
      <c r="T111" s="164">
        <f>((VLOOKUP($B$111,Energy_demand!$A$34:$D$54,4,FALSE )))*T18</f>
        <v>189176369.33477587</v>
      </c>
      <c r="U111" s="164">
        <f>((VLOOKUP($B$111,Energy_demand!$A$34:$D$54,4,FALSE )))*U18</f>
        <v>136901468.77483183</v>
      </c>
      <c r="V111" s="164">
        <f>((VLOOKUP($B$111,Energy_demand!$A$34:$D$54,4,FALSE )))*V18</f>
        <v>107819474.23835498</v>
      </c>
      <c r="W111" s="164">
        <f>((VLOOKUP($B$111,Energy_demand!$A$34:$D$54,4,FALSE )))*W18</f>
        <v>92412491.297973514</v>
      </c>
      <c r="X111" s="164">
        <f>((VLOOKUP($B$111,Energy_demand!$A$34:$D$54,4,FALSE )))*X18</f>
        <v>84614589.586738676</v>
      </c>
      <c r="Y111" s="164">
        <f>((VLOOKUP($B$111,Energy_demand!$A$34:$D$54,4,FALSE )))*Y18</f>
        <v>80834114.997547925</v>
      </c>
      <c r="Z111" s="164">
        <f>((VLOOKUP($B$111,Energy_demand!$A$34:$D$54,4,FALSE )))*Z18</f>
        <v>79074676.094624802</v>
      </c>
      <c r="AA111" s="164">
        <f>((VLOOKUP($B$111,Energy_demand!$A$34:$D$54,4,FALSE )))*AA18</f>
        <v>78287142.769960791</v>
      </c>
      <c r="AB111" s="164">
        <f>((VLOOKUP($B$111,Energy_demand!$A$34:$D$54,4,FALSE )))*AB18</f>
        <v>77947574.192564398</v>
      </c>
      <c r="AC111" s="164">
        <f>((VLOOKUP($B$111,Energy_demand!$A$34:$D$54,4,FALSE )))*AC18</f>
        <v>77806333.663257882</v>
      </c>
      <c r="AD111" s="164">
        <f>((VLOOKUP($B$111,Energy_demand!$A$34:$D$54,4,FALSE )))*AD18</f>
        <v>77749591.813943923</v>
      </c>
      <c r="AE111" s="164">
        <f>((VLOOKUP($B$111,Energy_demand!$A$34:$D$54,4,FALSE )))*AE18</f>
        <v>77727550.309430599</v>
      </c>
      <c r="AF111" s="164">
        <f>((VLOOKUP($B$111,Energy_demand!$A$34:$D$54,4,FALSE )))*AF18</f>
        <v>77719263.146372348</v>
      </c>
      <c r="AG111" s="164">
        <f>((VLOOKUP($B$111,Energy_demand!$A$34:$D$54,4,FALSE )))*AG18</f>
        <v>77716244.652271271</v>
      </c>
      <c r="AH111" s="164">
        <f>((VLOOKUP($B$111,Energy_demand!$A$34:$D$54,4,FALSE )))*AH18</f>
        <v>77715178.662378371</v>
      </c>
      <c r="AI111" s="164">
        <f>((VLOOKUP($B$111,Energy_demand!$A$34:$D$54,4,FALSE )))*AI18</f>
        <v>77714813.384729475</v>
      </c>
      <c r="AJ111" s="164">
        <f>((VLOOKUP($B$111,Energy_demand!$A$34:$D$54,4,FALSE )))*AJ18</f>
        <v>77714691.849080801</v>
      </c>
      <c r="AK111" s="164">
        <f>((VLOOKUP($B$111,Energy_demand!$A$34:$D$54,4,FALSE )))*AK18</f>
        <v>77714652.559648603</v>
      </c>
      <c r="AL111" s="164">
        <f>((VLOOKUP($B$111,Energy_demand!$A$34:$D$54,4,FALSE )))*AL18</f>
        <v>77714640.211538091</v>
      </c>
    </row>
    <row r="112" spans="1:38">
      <c r="B112" s="163">
        <v>2012</v>
      </c>
      <c r="C112" s="164">
        <f>((VLOOKUP($B$112,Energy_demand!$A$34:$D$54,4,FALSE )))*C19</f>
        <v>0</v>
      </c>
      <c r="D112" s="164">
        <f>((VLOOKUP($B$112,Energy_demand!$A$34:$D$54,4,FALSE )))*D19</f>
        <v>0</v>
      </c>
      <c r="E112" s="164">
        <f>((VLOOKUP($B$112,Energy_demand!$A$34:$D$54,4,FALSE )))*E19</f>
        <v>0</v>
      </c>
      <c r="F112" s="164">
        <f>((VLOOKUP($B$112,Energy_demand!$A$34:$D$54,4,FALSE )))*F19</f>
        <v>0</v>
      </c>
      <c r="G112" s="164">
        <f>((VLOOKUP($B$112,Energy_demand!$A$34:$D$54,4,FALSE )))*G19</f>
        <v>0</v>
      </c>
      <c r="H112" s="164">
        <f>((VLOOKUP($B$112,Energy_demand!$A$34:$D$54,4,FALSE )))*H19</f>
        <v>0</v>
      </c>
      <c r="I112" s="164">
        <f>((VLOOKUP($B$112,Energy_demand!$A$34:$D$54,4,FALSE )))*I19</f>
        <v>0</v>
      </c>
      <c r="J112" s="164">
        <f>((VLOOKUP($B$112,Energy_demand!$A$34:$D$54,4,FALSE )))*J19</f>
        <v>0</v>
      </c>
      <c r="K112" s="164">
        <f>((VLOOKUP($B$112,Energy_demand!$A$34:$D$54,4,FALSE )))*K19</f>
        <v>0</v>
      </c>
      <c r="L112" s="164">
        <f>((VLOOKUP($B$112,Energy_demand!$A$34:$D$54,4,FALSE )))*L19</f>
        <v>0</v>
      </c>
      <c r="M112" s="164">
        <f>((VLOOKUP($B$112,Energy_demand!$A$34:$D$54,4,FALSE )))*M19</f>
        <v>0</v>
      </c>
      <c r="N112" s="164">
        <f>((VLOOKUP($B$112,Energy_demand!$A$34:$D$54,4,FALSE )))*N19</f>
        <v>0</v>
      </c>
      <c r="O112" s="164">
        <f>((VLOOKUP($B$112,Energy_demand!$A$34:$D$54,4,FALSE )))*O19</f>
        <v>1508560274.476759</v>
      </c>
      <c r="P112" s="164">
        <f>((VLOOKUP($B$112,Energy_demand!$A$34:$D$54,4,FALSE )))*P19</f>
        <v>1143468510.0005651</v>
      </c>
      <c r="Q112" s="164">
        <f>((VLOOKUP($B$112,Energy_demand!$A$34:$D$54,4,FALSE )))*Q19</f>
        <v>813511088.48258209</v>
      </c>
      <c r="R112" s="164">
        <f>((VLOOKUP($B$112,Energy_demand!$A$34:$D$54,4,FALSE )))*R19</f>
        <v>552793753.3660208</v>
      </c>
      <c r="S112" s="164">
        <f>((VLOOKUP($B$112,Energy_demand!$A$34:$D$54,4,FALSE )))*S19</f>
        <v>365687360.50693822</v>
      </c>
      <c r="T112" s="164">
        <f>((VLOOKUP($B$112,Energy_demand!$A$34:$D$54,4,FALSE )))*T19</f>
        <v>241393004.67231777</v>
      </c>
      <c r="U112" s="164">
        <f>((VLOOKUP($B$112,Energy_demand!$A$34:$D$54,4,FALSE )))*U19</f>
        <v>164094551.02778822</v>
      </c>
      <c r="V112" s="164">
        <f>((VLOOKUP($B$112,Energy_demand!$A$34:$D$54,4,FALSE )))*V19</f>
        <v>118750482.06415257</v>
      </c>
      <c r="W112" s="164">
        <f>((VLOOKUP($B$112,Energy_demand!$A$34:$D$54,4,FALSE )))*W19</f>
        <v>93524303.692948893</v>
      </c>
      <c r="X112" s="164">
        <f>((VLOOKUP($B$112,Energy_demand!$A$34:$D$54,4,FALSE )))*X19</f>
        <v>80160044.947604969</v>
      </c>
      <c r="Y112" s="164">
        <f>((VLOOKUP($B$112,Energy_demand!$A$34:$D$54,4,FALSE )))*Y19</f>
        <v>73396022.650509745</v>
      </c>
      <c r="Z112" s="164">
        <f>((VLOOKUP($B$112,Energy_demand!$A$34:$D$54,4,FALSE )))*Z19</f>
        <v>70116779.67440933</v>
      </c>
      <c r="AA112" s="164">
        <f>((VLOOKUP($B$112,Energy_demand!$A$34:$D$54,4,FALSE )))*AA19</f>
        <v>68590614.763584375</v>
      </c>
      <c r="AB112" s="164">
        <f>((VLOOKUP($B$112,Energy_demand!$A$34:$D$54,4,FALSE )))*AB19</f>
        <v>67907496.001000121</v>
      </c>
      <c r="AC112" s="164">
        <f>((VLOOKUP($B$112,Energy_demand!$A$34:$D$54,4,FALSE )))*AC19</f>
        <v>67612948.888974667</v>
      </c>
      <c r="AD112" s="164">
        <f>((VLOOKUP($B$112,Energy_demand!$A$34:$D$54,4,FALSE )))*AD19</f>
        <v>67490434.637723312</v>
      </c>
      <c r="AE112" s="164">
        <f>((VLOOKUP($B$112,Energy_demand!$A$34:$D$54,4,FALSE )))*AE19</f>
        <v>67441215.867322072</v>
      </c>
      <c r="AF112" s="164">
        <f>((VLOOKUP($B$112,Energy_demand!$A$34:$D$54,4,FALSE )))*AF19</f>
        <v>67422096.720465869</v>
      </c>
      <c r="AG112" s="164">
        <f>((VLOOKUP($B$112,Energy_demand!$A$34:$D$54,4,FALSE )))*AG19</f>
        <v>67414908.305199727</v>
      </c>
      <c r="AH112" s="164">
        <f>((VLOOKUP($B$112,Energy_demand!$A$34:$D$54,4,FALSE )))*AH19</f>
        <v>67412290.016054958</v>
      </c>
      <c r="AI112" s="164">
        <f>((VLOOKUP($B$112,Energy_demand!$A$34:$D$54,4,FALSE )))*AI19</f>
        <v>67411365.35969615</v>
      </c>
      <c r="AJ112" s="164">
        <f>((VLOOKUP($B$112,Energy_demand!$A$34:$D$54,4,FALSE )))*AJ19</f>
        <v>67411048.512132123</v>
      </c>
      <c r="AK112" s="164">
        <f>((VLOOKUP($B$112,Energy_demand!$A$34:$D$54,4,FALSE )))*AK19</f>
        <v>67410943.090203583</v>
      </c>
      <c r="AL112" s="164">
        <f>((VLOOKUP($B$112,Energy_demand!$A$34:$D$54,4,FALSE )))*AL19</f>
        <v>67410909.009933457</v>
      </c>
    </row>
    <row r="113" spans="2:38">
      <c r="B113" s="163">
        <v>2013</v>
      </c>
      <c r="C113" s="164">
        <f>((VLOOKUP($B$113,Energy_demand!$A$34:$D$54,4,FALSE )))*C20</f>
        <v>0</v>
      </c>
      <c r="D113" s="164">
        <f>((VLOOKUP($B$113,Energy_demand!$A$34:$D$54,4,FALSE )))*D20</f>
        <v>0</v>
      </c>
      <c r="E113" s="164">
        <f>((VLOOKUP($B$113,Energy_demand!$A$34:$D$54,4,FALSE )))*E20</f>
        <v>0</v>
      </c>
      <c r="F113" s="164">
        <f>((VLOOKUP($B$113,Energy_demand!$A$34:$D$54,4,FALSE )))*F20</f>
        <v>0</v>
      </c>
      <c r="G113" s="164">
        <f>((VLOOKUP($B$113,Energy_demand!$A$34:$D$54,4,FALSE )))*G20</f>
        <v>0</v>
      </c>
      <c r="H113" s="164">
        <f>((VLOOKUP($B$113,Energy_demand!$A$34:$D$54,4,FALSE )))*H20</f>
        <v>0</v>
      </c>
      <c r="I113" s="164">
        <f>((VLOOKUP($B$113,Energy_demand!$A$34:$D$54,4,FALSE )))*I20</f>
        <v>0</v>
      </c>
      <c r="J113" s="164">
        <f>((VLOOKUP($B$113,Energy_demand!$A$34:$D$54,4,FALSE )))*J20</f>
        <v>0</v>
      </c>
      <c r="K113" s="164">
        <f>((VLOOKUP($B$113,Energy_demand!$A$34:$D$54,4,FALSE )))*K20</f>
        <v>0</v>
      </c>
      <c r="L113" s="164">
        <f>((VLOOKUP($B$113,Energy_demand!$A$34:$D$54,4,FALSE )))*L20</f>
        <v>0</v>
      </c>
      <c r="M113" s="164">
        <f>((VLOOKUP($B$113,Energy_demand!$A$34:$D$54,4,FALSE )))*M20</f>
        <v>0</v>
      </c>
      <c r="N113" s="164">
        <f>((VLOOKUP($B$113,Energy_demand!$A$34:$D$54,4,FALSE )))*N20</f>
        <v>0</v>
      </c>
      <c r="O113" s="164">
        <f>((VLOOKUP($B$113,Energy_demand!$A$34:$D$54,4,FALSE )))*O20</f>
        <v>0</v>
      </c>
      <c r="P113" s="164">
        <f>((VLOOKUP($B$113,Energy_demand!$A$34:$D$54,4,FALSE )))*P20</f>
        <v>1459595803.6724477</v>
      </c>
      <c r="Q113" s="164">
        <f>((VLOOKUP($B$113,Energy_demand!$A$34:$D$54,4,FALSE )))*Q20</f>
        <v>1106354096.0650713</v>
      </c>
      <c r="R113" s="164">
        <f>((VLOOKUP($B$113,Energy_demand!$A$34:$D$54,4,FALSE )))*R20</f>
        <v>787106349.72939885</v>
      </c>
      <c r="S113" s="164">
        <f>((VLOOKUP($B$113,Energy_demand!$A$34:$D$54,4,FALSE )))*S20</f>
        <v>534851312.44705617</v>
      </c>
      <c r="T113" s="164">
        <f>((VLOOKUP($B$113,Energy_demand!$A$34:$D$54,4,FALSE )))*T20</f>
        <v>353817971.93162388</v>
      </c>
      <c r="U113" s="164">
        <f>((VLOOKUP($B$113,Energy_demand!$A$34:$D$54,4,FALSE )))*U20</f>
        <v>233557931.10607144</v>
      </c>
      <c r="V113" s="164">
        <f>((VLOOKUP($B$113,Energy_demand!$A$34:$D$54,4,FALSE )))*V20</f>
        <v>158768411.27130201</v>
      </c>
      <c r="W113" s="164">
        <f>((VLOOKUP($B$113,Energy_demand!$A$34:$D$54,4,FALSE )))*W20</f>
        <v>114896108.71864955</v>
      </c>
      <c r="X113" s="164">
        <f>((VLOOKUP($B$113,Energy_demand!$A$34:$D$54,4,FALSE )))*X20</f>
        <v>90488715.31431742</v>
      </c>
      <c r="Y113" s="164">
        <f>((VLOOKUP($B$113,Energy_demand!$A$34:$D$54,4,FALSE )))*Y20</f>
        <v>77558230.325467825</v>
      </c>
      <c r="Z113" s="164">
        <f>((VLOOKUP($B$113,Energy_demand!$A$34:$D$54,4,FALSE )))*Z20</f>
        <v>71013752.966609001</v>
      </c>
      <c r="AA113" s="164">
        <f>((VLOOKUP($B$113,Energy_demand!$A$34:$D$54,4,FALSE )))*AA20</f>
        <v>67840946.836076111</v>
      </c>
      <c r="AB113" s="164">
        <f>((VLOOKUP($B$113,Energy_demand!$A$34:$D$54,4,FALSE )))*AB20</f>
        <v>66364317.802924074</v>
      </c>
      <c r="AC113" s="164">
        <f>((VLOOKUP($B$113,Energy_demand!$A$34:$D$54,4,FALSE )))*AC20</f>
        <v>65703371.537701994</v>
      </c>
      <c r="AD113" s="164">
        <f>((VLOOKUP($B$113,Energy_demand!$A$34:$D$54,4,FALSE )))*AD20</f>
        <v>65418384.761919878</v>
      </c>
      <c r="AE113" s="164">
        <f>((VLOOKUP($B$113,Energy_demand!$A$34:$D$54,4,FALSE )))*AE20</f>
        <v>65299847.047489777</v>
      </c>
      <c r="AF113" s="164">
        <f>((VLOOKUP($B$113,Energy_demand!$A$34:$D$54,4,FALSE )))*AF20</f>
        <v>65252225.807586506</v>
      </c>
      <c r="AG113" s="164">
        <f>((VLOOKUP($B$113,Energy_demand!$A$34:$D$54,4,FALSE )))*AG20</f>
        <v>65233727.22520069</v>
      </c>
      <c r="AH113" s="164">
        <f>((VLOOKUP($B$113,Energy_demand!$A$34:$D$54,4,FALSE )))*AH20</f>
        <v>65226772.129713371</v>
      </c>
      <c r="AI113" s="164">
        <f>((VLOOKUP($B$113,Energy_demand!$A$34:$D$54,4,FALSE )))*AI20</f>
        <v>65224238.824340545</v>
      </c>
      <c r="AJ113" s="164">
        <f>((VLOOKUP($B$113,Energy_demand!$A$34:$D$54,4,FALSE )))*AJ20</f>
        <v>65223344.18024575</v>
      </c>
      <c r="AK113" s="164">
        <f>((VLOOKUP($B$113,Energy_demand!$A$34:$D$54,4,FALSE )))*AK20</f>
        <v>65223037.616840348</v>
      </c>
      <c r="AL113" s="164">
        <f>((VLOOKUP($B$113,Energy_demand!$A$34:$D$54,4,FALSE )))*AL20</f>
        <v>65222935.616670445</v>
      </c>
    </row>
    <row r="114" spans="2:38">
      <c r="B114" s="163">
        <v>2014</v>
      </c>
      <c r="C114" s="164">
        <f>((VLOOKUP($B$114,Energy_demand!$A$34:$D$54,4,FALSE )))*C21</f>
        <v>0</v>
      </c>
      <c r="D114" s="164">
        <f>((VLOOKUP($B$114,Energy_demand!$A$34:$D$54,4,FALSE )))*D21</f>
        <v>0</v>
      </c>
      <c r="E114" s="164">
        <f>((VLOOKUP($B$114,Energy_demand!$A$34:$D$54,4,FALSE )))*E21</f>
        <v>0</v>
      </c>
      <c r="F114" s="164">
        <f>((VLOOKUP($B$114,Energy_demand!$A$34:$D$54,4,FALSE )))*F21</f>
        <v>0</v>
      </c>
      <c r="G114" s="164">
        <f>((VLOOKUP($B$114,Energy_demand!$A$34:$D$54,4,FALSE )))*G21</f>
        <v>0</v>
      </c>
      <c r="H114" s="164">
        <f>((VLOOKUP($B$114,Energy_demand!$A$34:$D$54,4,FALSE )))*H21</f>
        <v>0</v>
      </c>
      <c r="I114" s="164">
        <f>((VLOOKUP($B$114,Energy_demand!$A$34:$D$54,4,FALSE )))*I21</f>
        <v>0</v>
      </c>
      <c r="J114" s="164">
        <f>((VLOOKUP($B$114,Energy_demand!$A$34:$D$54,4,FALSE )))*J21</f>
        <v>0</v>
      </c>
      <c r="K114" s="164">
        <f>((VLOOKUP($B$114,Energy_demand!$A$34:$D$54,4,FALSE )))*K21</f>
        <v>0</v>
      </c>
      <c r="L114" s="164">
        <f>((VLOOKUP($B$114,Energy_demand!$A$34:$D$54,4,FALSE )))*L21</f>
        <v>0</v>
      </c>
      <c r="M114" s="164">
        <f>((VLOOKUP($B$114,Energy_demand!$A$34:$D$54,4,FALSE )))*M21</f>
        <v>0</v>
      </c>
      <c r="N114" s="164">
        <f>((VLOOKUP($B$114,Energy_demand!$A$34:$D$54,4,FALSE )))*N21</f>
        <v>0</v>
      </c>
      <c r="O114" s="164">
        <f>((VLOOKUP($B$114,Energy_demand!$A$34:$D$54,4,FALSE )))*O21</f>
        <v>0</v>
      </c>
      <c r="P114" s="164">
        <f>((VLOOKUP($B$114,Energy_demand!$A$34:$D$54,4,FALSE )))*P21</f>
        <v>0</v>
      </c>
      <c r="Q114" s="164">
        <f>((VLOOKUP($B$114,Energy_demand!$A$34:$D$54,4,FALSE )))*Q21</f>
        <v>1308533927.6527665</v>
      </c>
      <c r="R114" s="164">
        <f>((VLOOKUP($B$114,Energy_demand!$A$34:$D$54,4,FALSE )))*R21</f>
        <v>991851214.60080409</v>
      </c>
      <c r="S114" s="164">
        <f>((VLOOKUP($B$114,Energy_demand!$A$34:$D$54,4,FALSE )))*S21</f>
        <v>705644234.31500745</v>
      </c>
      <c r="T114" s="164">
        <f>((VLOOKUP($B$114,Energy_demand!$A$34:$D$54,4,FALSE )))*T21</f>
        <v>479496506.37913424</v>
      </c>
      <c r="U114" s="164">
        <f>((VLOOKUP($B$114,Energy_demand!$A$34:$D$54,4,FALSE )))*U21</f>
        <v>317199336.50187671</v>
      </c>
      <c r="V114" s="164">
        <f>((VLOOKUP($B$114,Energy_demand!$A$34:$D$54,4,FALSE )))*V21</f>
        <v>209385691.679658</v>
      </c>
      <c r="W114" s="164">
        <f>((VLOOKUP($B$114,Energy_demand!$A$34:$D$54,4,FALSE )))*W21</f>
        <v>142336564.86631632</v>
      </c>
      <c r="X114" s="164">
        <f>((VLOOKUP($B$114,Energy_demand!$A$34:$D$54,4,FALSE )))*X21</f>
        <v>103004856.57423355</v>
      </c>
      <c r="Y114" s="164">
        <f>((VLOOKUP($B$114,Energy_demand!$A$34:$D$54,4,FALSE )))*Y21</f>
        <v>81123523.211408958</v>
      </c>
      <c r="Z114" s="164">
        <f>((VLOOKUP($B$114,Energy_demand!$A$34:$D$54,4,FALSE )))*Z21</f>
        <v>69531287.699123442</v>
      </c>
      <c r="AA114" s="164">
        <f>((VLOOKUP($B$114,Energy_demand!$A$34:$D$54,4,FALSE )))*AA21</f>
        <v>63664135.545578338</v>
      </c>
      <c r="AB114" s="164">
        <f>((VLOOKUP($B$114,Energy_demand!$A$34:$D$54,4,FALSE )))*AB21</f>
        <v>60819701.177364126</v>
      </c>
      <c r="AC114" s="164">
        <f>((VLOOKUP($B$114,Energy_demand!$A$34:$D$54,4,FALSE )))*AC21</f>
        <v>59495896.886083722</v>
      </c>
      <c r="AD114" s="164">
        <f>((VLOOKUP($B$114,Energy_demand!$A$34:$D$54,4,FALSE )))*AD21</f>
        <v>58903355.711175881</v>
      </c>
      <c r="AE114" s="164">
        <f>((VLOOKUP($B$114,Energy_demand!$A$34:$D$54,4,FALSE )))*AE21</f>
        <v>58647863.838628151</v>
      </c>
      <c r="AF114" s="164">
        <f>((VLOOKUP($B$114,Energy_demand!$A$34:$D$54,4,FALSE )))*AF21</f>
        <v>58541594.266841292</v>
      </c>
      <c r="AG114" s="164">
        <f>((VLOOKUP($B$114,Energy_demand!$A$34:$D$54,4,FALSE )))*AG21</f>
        <v>58498901.620059401</v>
      </c>
      <c r="AH114" s="164">
        <f>((VLOOKUP($B$114,Energy_demand!$A$34:$D$54,4,FALSE )))*AH21</f>
        <v>58482317.561236702</v>
      </c>
      <c r="AI114" s="164">
        <f>((VLOOKUP($B$114,Energy_demand!$A$34:$D$54,4,FALSE )))*AI21</f>
        <v>58476082.288161322</v>
      </c>
      <c r="AJ114" s="164">
        <f>((VLOOKUP($B$114,Energy_demand!$A$34:$D$54,4,FALSE )))*AJ21</f>
        <v>58473811.168977998</v>
      </c>
      <c r="AK114" s="164">
        <f>((VLOOKUP($B$114,Energy_demand!$A$34:$D$54,4,FALSE )))*AK21</f>
        <v>58473009.116691753</v>
      </c>
      <c r="AL114" s="164">
        <f>((VLOOKUP($B$114,Energy_demand!$A$34:$D$54,4,FALSE )))*AL21</f>
        <v>58472734.281277843</v>
      </c>
    </row>
    <row r="115" spans="2:38">
      <c r="B115" s="163">
        <v>2015</v>
      </c>
      <c r="C115" s="164">
        <f>((VLOOKUP($B$115,Energy_demand!$A$34:$D$54,4,FALSE )))*C22</f>
        <v>0</v>
      </c>
      <c r="D115" s="164">
        <f>((VLOOKUP($B$115,Energy_demand!$A$34:$D$54,4,FALSE )))*D22</f>
        <v>0</v>
      </c>
      <c r="E115" s="164">
        <f>((VLOOKUP($B$115,Energy_demand!$A$34:$D$54,4,FALSE )))*E22</f>
        <v>0</v>
      </c>
      <c r="F115" s="164">
        <f>((VLOOKUP($B$115,Energy_demand!$A$34:$D$54,4,FALSE )))*F22</f>
        <v>0</v>
      </c>
      <c r="G115" s="164">
        <f>((VLOOKUP($B$115,Energy_demand!$A$34:$D$54,4,FALSE )))*G22</f>
        <v>0</v>
      </c>
      <c r="H115" s="164">
        <f>((VLOOKUP($B$115,Energy_demand!$A$34:$D$54,4,FALSE )))*H22</f>
        <v>0</v>
      </c>
      <c r="I115" s="164">
        <f>((VLOOKUP($B$115,Energy_demand!$A$34:$D$54,4,FALSE )))*I22</f>
        <v>0</v>
      </c>
      <c r="J115" s="164">
        <f>((VLOOKUP($B$115,Energy_demand!$A$34:$D$54,4,FALSE )))*J22</f>
        <v>0</v>
      </c>
      <c r="K115" s="164">
        <f>((VLOOKUP($B$115,Energy_demand!$A$34:$D$54,4,FALSE )))*K22</f>
        <v>0</v>
      </c>
      <c r="L115" s="164">
        <f>((VLOOKUP($B$115,Energy_demand!$A$34:$D$54,4,FALSE )))*L22</f>
        <v>0</v>
      </c>
      <c r="M115" s="164">
        <f>((VLOOKUP($B$115,Energy_demand!$A$34:$D$54,4,FALSE )))*M22</f>
        <v>0</v>
      </c>
      <c r="N115" s="164">
        <f>((VLOOKUP($B$115,Energy_demand!$A$34:$D$54,4,FALSE )))*N22</f>
        <v>0</v>
      </c>
      <c r="O115" s="164">
        <f>((VLOOKUP($B$115,Energy_demand!$A$34:$D$54,4,FALSE )))*O22</f>
        <v>0</v>
      </c>
      <c r="P115" s="164">
        <f>((VLOOKUP($B$115,Energy_demand!$A$34:$D$54,4,FALSE )))*P22</f>
        <v>0</v>
      </c>
      <c r="Q115" s="164">
        <f>((VLOOKUP($B$115,Energy_demand!$A$34:$D$54,4,FALSE )))*Q22</f>
        <v>0</v>
      </c>
      <c r="R115" s="164">
        <f>((VLOOKUP($B$115,Energy_demand!$A$34:$D$54,4,FALSE )))*R22</f>
        <v>1260966490.2092531</v>
      </c>
      <c r="S115" s="164">
        <f>((VLOOKUP($B$115,Energy_demand!$A$34:$D$54,4,FALSE )))*S22</f>
        <v>955795733.26649356</v>
      </c>
      <c r="T115" s="164">
        <f>((VLOOKUP($B$115,Energy_demand!$A$34:$D$54,4,FALSE )))*T22</f>
        <v>679992864.28644073</v>
      </c>
      <c r="U115" s="164">
        <f>((VLOOKUP($B$115,Energy_demand!$A$34:$D$54,4,FALSE )))*U22</f>
        <v>462065991.51851755</v>
      </c>
      <c r="V115" s="164">
        <f>((VLOOKUP($B$115,Energy_demand!$A$34:$D$54,4,FALSE )))*V22</f>
        <v>305668600.25016779</v>
      </c>
      <c r="W115" s="164">
        <f>((VLOOKUP($B$115,Energy_demand!$A$34:$D$54,4,FALSE )))*W22</f>
        <v>201774165.08484897</v>
      </c>
      <c r="X115" s="164">
        <f>((VLOOKUP($B$115,Energy_demand!$A$34:$D$54,4,FALSE )))*X22</f>
        <v>137162388.25375575</v>
      </c>
      <c r="Y115" s="164">
        <f>((VLOOKUP($B$115,Energy_demand!$A$34:$D$54,4,FALSE )))*Y22</f>
        <v>99260454.562233791</v>
      </c>
      <c r="Z115" s="164">
        <f>((VLOOKUP($B$115,Energy_demand!$A$34:$D$54,4,FALSE )))*Z22</f>
        <v>78174544.943433762</v>
      </c>
      <c r="AA115" s="164">
        <f>((VLOOKUP($B$115,Energy_demand!$A$34:$D$54,4,FALSE )))*AA22</f>
        <v>67003706.940153122</v>
      </c>
      <c r="AB115" s="164">
        <f>((VLOOKUP($B$115,Energy_demand!$A$34:$D$54,4,FALSE )))*AB22</f>
        <v>61349835.762467705</v>
      </c>
      <c r="AC115" s="164">
        <f>((VLOOKUP($B$115,Energy_demand!$A$34:$D$54,4,FALSE )))*AC22</f>
        <v>58608801.429218687</v>
      </c>
      <c r="AD115" s="164">
        <f>((VLOOKUP($B$115,Energy_demand!$A$34:$D$54,4,FALSE )))*AD22</f>
        <v>57333119.679113694</v>
      </c>
      <c r="AE115" s="164">
        <f>((VLOOKUP($B$115,Energy_demand!$A$34:$D$54,4,FALSE )))*AE22</f>
        <v>56762118.385346577</v>
      </c>
      <c r="AF115" s="164">
        <f>((VLOOKUP($B$115,Energy_demand!$A$34:$D$54,4,FALSE )))*AF22</f>
        <v>56515914.077613063</v>
      </c>
      <c r="AG115" s="164">
        <f>((VLOOKUP($B$115,Energy_demand!$A$34:$D$54,4,FALSE )))*AG22</f>
        <v>56413507.58579766</v>
      </c>
      <c r="AH115" s="164">
        <f>((VLOOKUP($B$115,Energy_demand!$A$34:$D$54,4,FALSE )))*AH22</f>
        <v>56372366.889456138</v>
      </c>
      <c r="AI115" s="164">
        <f>((VLOOKUP($B$115,Energy_demand!$A$34:$D$54,4,FALSE )))*AI22</f>
        <v>56356385.689423867</v>
      </c>
      <c r="AJ115" s="164">
        <f>((VLOOKUP($B$115,Energy_demand!$A$34:$D$54,4,FALSE )))*AJ22</f>
        <v>56350377.079147086</v>
      </c>
      <c r="AK115" s="164">
        <f>((VLOOKUP($B$115,Energy_demand!$A$34:$D$54,4,FALSE )))*AK22</f>
        <v>56348188.519015074</v>
      </c>
      <c r="AL115" s="164">
        <f>((VLOOKUP($B$115,Energy_demand!$A$34:$D$54,4,FALSE )))*AL22</f>
        <v>56347415.622695655</v>
      </c>
    </row>
    <row r="116" spans="2:38">
      <c r="B116" s="163">
        <v>2016</v>
      </c>
      <c r="C116" s="164">
        <f>((VLOOKUP($B$116,Energy_demand!$A$34:$D$54,4,FALSE )))*C23</f>
        <v>0</v>
      </c>
      <c r="D116" s="164">
        <f>((VLOOKUP($B$116,Energy_demand!$A$34:$D$54,4,FALSE )))*D23</f>
        <v>0</v>
      </c>
      <c r="E116" s="164">
        <f>((VLOOKUP($B$116,Energy_demand!$A$34:$D$54,4,FALSE )))*E23</f>
        <v>0</v>
      </c>
      <c r="F116" s="164">
        <f>((VLOOKUP($B$116,Energy_demand!$A$34:$D$54,4,FALSE )))*F23</f>
        <v>0</v>
      </c>
      <c r="G116" s="164">
        <f>((VLOOKUP($B$116,Energy_demand!$A$34:$D$54,4,FALSE )))*G23</f>
        <v>0</v>
      </c>
      <c r="H116" s="164">
        <f>((VLOOKUP($B$116,Energy_demand!$A$34:$D$54,4,FALSE )))*H23</f>
        <v>0</v>
      </c>
      <c r="I116" s="164">
        <f>((VLOOKUP($B$116,Energy_demand!$A$34:$D$54,4,FALSE )))*I23</f>
        <v>0</v>
      </c>
      <c r="J116" s="164">
        <f>((VLOOKUP($B$116,Energy_demand!$A$34:$D$54,4,FALSE )))*J23</f>
        <v>0</v>
      </c>
      <c r="K116" s="164">
        <f>((VLOOKUP($B$116,Energy_demand!$A$34:$D$54,4,FALSE )))*K23</f>
        <v>0</v>
      </c>
      <c r="L116" s="164">
        <f>((VLOOKUP($B$116,Energy_demand!$A$34:$D$54,4,FALSE )))*L23</f>
        <v>0</v>
      </c>
      <c r="M116" s="164">
        <f>((VLOOKUP($B$116,Energy_demand!$A$34:$D$54,4,FALSE )))*M23</f>
        <v>0</v>
      </c>
      <c r="N116" s="164">
        <f>((VLOOKUP($B$116,Energy_demand!$A$34:$D$54,4,FALSE )))*N23</f>
        <v>0</v>
      </c>
      <c r="O116" s="164">
        <f>((VLOOKUP($B$116,Energy_demand!$A$34:$D$54,4,FALSE )))*O23</f>
        <v>0</v>
      </c>
      <c r="P116" s="164">
        <f>((VLOOKUP($B$116,Energy_demand!$A$34:$D$54,4,FALSE )))*P23</f>
        <v>0</v>
      </c>
      <c r="Q116" s="164">
        <f>((VLOOKUP($B$116,Energy_demand!$A$34:$D$54,4,FALSE )))*Q23</f>
        <v>0</v>
      </c>
      <c r="R116" s="164">
        <f>((VLOOKUP($B$116,Energy_demand!$A$34:$D$54,4,FALSE )))*R23</f>
        <v>0</v>
      </c>
      <c r="S116" s="164">
        <f>((VLOOKUP($B$116,Energy_demand!$A$34:$D$54,4,FALSE )))*S23</f>
        <v>1231682356.370012</v>
      </c>
      <c r="T116" s="164">
        <f>((VLOOKUP($B$116,Energy_demand!$A$34:$D$54,4,FALSE )))*T23</f>
        <v>933598751.51219916</v>
      </c>
      <c r="U116" s="164">
        <f>((VLOOKUP($B$116,Energy_demand!$A$34:$D$54,4,FALSE )))*U23</f>
        <v>664201007.64147282</v>
      </c>
      <c r="V116" s="164">
        <f>((VLOOKUP($B$116,Energy_demand!$A$34:$D$54,4,FALSE )))*V23</f>
        <v>451335173.17936862</v>
      </c>
      <c r="W116" s="164">
        <f>((VLOOKUP($B$116,Energy_demand!$A$34:$D$54,4,FALSE )))*W23</f>
        <v>298569886.47015786</v>
      </c>
      <c r="X116" s="164">
        <f>((VLOOKUP($B$116,Energy_demand!$A$34:$D$54,4,FALSE )))*X23</f>
        <v>197088250.19216606</v>
      </c>
      <c r="Y116" s="164">
        <f>((VLOOKUP($B$116,Energy_demand!$A$34:$D$54,4,FALSE )))*Y23</f>
        <v>133976988.98540054</v>
      </c>
      <c r="Z116" s="164">
        <f>((VLOOKUP($B$116,Energy_demand!$A$34:$D$54,4,FALSE )))*Z23</f>
        <v>96955273.212123618</v>
      </c>
      <c r="AA116" s="164">
        <f>((VLOOKUP($B$116,Energy_demand!$A$34:$D$54,4,FALSE )))*AA23</f>
        <v>76359053.528935343</v>
      </c>
      <c r="AB116" s="164">
        <f>((VLOOKUP($B$116,Energy_demand!$A$34:$D$54,4,FALSE )))*AB23</f>
        <v>65447642.1779285</v>
      </c>
      <c r="AC116" s="164">
        <f>((VLOOKUP($B$116,Energy_demand!$A$34:$D$54,4,FALSE )))*AC23</f>
        <v>59925074.02975481</v>
      </c>
      <c r="AD116" s="164">
        <f>((VLOOKUP($B$116,Energy_demand!$A$34:$D$54,4,FALSE )))*AD23</f>
        <v>57247696.278100803</v>
      </c>
      <c r="AE116" s="164">
        <f>((VLOOKUP($B$116,Energy_demand!$A$34:$D$54,4,FALSE )))*AE23</f>
        <v>56001640.402590051</v>
      </c>
      <c r="AF116" s="164">
        <f>((VLOOKUP($B$116,Energy_demand!$A$34:$D$54,4,FALSE )))*AF23</f>
        <v>55443899.79294005</v>
      </c>
      <c r="AG116" s="164">
        <f>((VLOOKUP($B$116,Energy_demand!$A$34:$D$54,4,FALSE )))*AG23</f>
        <v>55203413.226284958</v>
      </c>
      <c r="AH116" s="164">
        <f>((VLOOKUP($B$116,Energy_demand!$A$34:$D$54,4,FALSE )))*AH23</f>
        <v>55103384.978011921</v>
      </c>
      <c r="AI116" s="164">
        <f>((VLOOKUP($B$116,Energy_demand!$A$34:$D$54,4,FALSE )))*AI23</f>
        <v>55063199.715194613</v>
      </c>
      <c r="AJ116" s="164">
        <f>((VLOOKUP($B$116,Energy_demand!$A$34:$D$54,4,FALSE )))*AJ23</f>
        <v>55047589.655556791</v>
      </c>
      <c r="AK116" s="164">
        <f>((VLOOKUP($B$116,Energy_demand!$A$34:$D$54,4,FALSE )))*AK23</f>
        <v>55041720.586615033</v>
      </c>
      <c r="AL116" s="164">
        <f>((VLOOKUP($B$116,Energy_demand!$A$34:$D$54,4,FALSE )))*AL23</f>
        <v>55039582.852645747</v>
      </c>
    </row>
    <row r="117" spans="2:38">
      <c r="B117" s="163">
        <v>2017</v>
      </c>
      <c r="C117" s="164">
        <f>((VLOOKUP($B$117,Energy_demand!$A$34:$D$54,4,FALSE )))*C24</f>
        <v>0</v>
      </c>
      <c r="D117" s="164">
        <f>((VLOOKUP($B$117,Energy_demand!$A$34:$D$54,4,FALSE )))*D24</f>
        <v>0</v>
      </c>
      <c r="E117" s="164">
        <f>((VLOOKUP($B$117,Energy_demand!$A$34:$D$54,4,FALSE )))*E24</f>
        <v>0</v>
      </c>
      <c r="F117" s="164">
        <f>((VLOOKUP($B$117,Energy_demand!$A$34:$D$54,4,FALSE )))*F24</f>
        <v>0</v>
      </c>
      <c r="G117" s="164">
        <f>((VLOOKUP($B$117,Energy_demand!$A$34:$D$54,4,FALSE )))*G24</f>
        <v>0</v>
      </c>
      <c r="H117" s="164">
        <f>((VLOOKUP($B$117,Energy_demand!$A$34:$D$54,4,FALSE )))*H24</f>
        <v>0</v>
      </c>
      <c r="I117" s="164">
        <f>((VLOOKUP($B$117,Energy_demand!$A$34:$D$54,4,FALSE )))*I24</f>
        <v>0</v>
      </c>
      <c r="J117" s="164">
        <f>((VLOOKUP($B$117,Energy_demand!$A$34:$D$54,4,FALSE )))*J24</f>
        <v>0</v>
      </c>
      <c r="K117" s="164">
        <f>((VLOOKUP($B$117,Energy_demand!$A$34:$D$54,4,FALSE )))*K24</f>
        <v>0</v>
      </c>
      <c r="L117" s="164">
        <f>((VLOOKUP($B$117,Energy_demand!$A$34:$D$54,4,FALSE )))*L24</f>
        <v>0</v>
      </c>
      <c r="M117" s="164">
        <f>((VLOOKUP($B$117,Energy_demand!$A$34:$D$54,4,FALSE )))*M24</f>
        <v>0</v>
      </c>
      <c r="N117" s="164">
        <f>((VLOOKUP($B$117,Energy_demand!$A$34:$D$54,4,FALSE )))*N24</f>
        <v>0</v>
      </c>
      <c r="O117" s="164">
        <f>((VLOOKUP($B$117,Energy_demand!$A$34:$D$54,4,FALSE )))*O24</f>
        <v>0</v>
      </c>
      <c r="P117" s="164">
        <f>((VLOOKUP($B$117,Energy_demand!$A$34:$D$54,4,FALSE )))*P24</f>
        <v>0</v>
      </c>
      <c r="Q117" s="164">
        <f>((VLOOKUP($B$117,Energy_demand!$A$34:$D$54,4,FALSE )))*Q24</f>
        <v>0</v>
      </c>
      <c r="R117" s="164">
        <f>((VLOOKUP($B$117,Energy_demand!$A$34:$D$54,4,FALSE )))*R24</f>
        <v>0</v>
      </c>
      <c r="S117" s="164">
        <f>((VLOOKUP($B$117,Energy_demand!$A$34:$D$54,4,FALSE )))*S24</f>
        <v>0</v>
      </c>
      <c r="T117" s="164">
        <f>((VLOOKUP($B$117,Energy_demand!$A$34:$D$54,4,FALSE )))*T24</f>
        <v>1113477397.9932451</v>
      </c>
      <c r="U117" s="164">
        <f>((VLOOKUP($B$117,Energy_demand!$A$34:$D$54,4,FALSE )))*U24</f>
        <v>844000974.13691866</v>
      </c>
      <c r="V117" s="164">
        <f>((VLOOKUP($B$117,Energy_demand!$A$34:$D$54,4,FALSE )))*V24</f>
        <v>600457419.81136405</v>
      </c>
      <c r="W117" s="164">
        <f>((VLOOKUP($B$117,Energy_demand!$A$34:$D$54,4,FALSE )))*W24</f>
        <v>408020389.06825209</v>
      </c>
      <c r="X117" s="164">
        <f>((VLOOKUP($B$117,Energy_demand!$A$34:$D$54,4,FALSE )))*X24</f>
        <v>269916036.86336941</v>
      </c>
      <c r="Y117" s="164">
        <f>((VLOOKUP($B$117,Energy_demand!$A$34:$D$54,4,FALSE )))*Y24</f>
        <v>178173626.3932389</v>
      </c>
      <c r="Z117" s="164">
        <f>((VLOOKUP($B$117,Energy_demand!$A$34:$D$54,4,FALSE )))*Z24</f>
        <v>121119173.55550556</v>
      </c>
      <c r="AA117" s="164">
        <f>((VLOOKUP($B$117,Energy_demand!$A$34:$D$54,4,FALSE )))*AA24</f>
        <v>87650443.947358012</v>
      </c>
      <c r="AB117" s="164">
        <f>((VLOOKUP($B$117,Energy_demand!$A$34:$D$54,4,FALSE )))*AB24</f>
        <v>69030850.200052217</v>
      </c>
      <c r="AC117" s="164">
        <f>((VLOOKUP($B$117,Energy_demand!$A$34:$D$54,4,FALSE )))*AC24</f>
        <v>59166610.563332826</v>
      </c>
      <c r="AD117" s="164">
        <f>((VLOOKUP($B$117,Energy_demand!$A$34:$D$54,4,FALSE )))*AD24</f>
        <v>54174045.085662335</v>
      </c>
      <c r="AE117" s="164">
        <f>((VLOOKUP($B$117,Energy_demand!$A$34:$D$54,4,FALSE )))*AE24</f>
        <v>51753616.152067229</v>
      </c>
      <c r="AF117" s="164">
        <f>((VLOOKUP($B$117,Energy_demand!$A$34:$D$54,4,FALSE )))*AF24</f>
        <v>50627144.666263834</v>
      </c>
      <c r="AG117" s="164">
        <f>((VLOOKUP($B$117,Energy_demand!$A$34:$D$54,4,FALSE )))*AG24</f>
        <v>50122930.605247036</v>
      </c>
      <c r="AH117" s="164">
        <f>((VLOOKUP($B$117,Energy_demand!$A$34:$D$54,4,FALSE )))*AH24</f>
        <v>49905523.613008544</v>
      </c>
      <c r="AI117" s="164">
        <f>((VLOOKUP($B$117,Energy_demand!$A$34:$D$54,4,FALSE )))*AI24</f>
        <v>49815095.108421482</v>
      </c>
      <c r="AJ117" s="164">
        <f>((VLOOKUP($B$117,Energy_demand!$A$34:$D$54,4,FALSE )))*AJ24</f>
        <v>49778766.438413352</v>
      </c>
      <c r="AK117" s="164">
        <f>((VLOOKUP($B$117,Energy_demand!$A$34:$D$54,4,FALSE )))*AK24</f>
        <v>49764654.481301852</v>
      </c>
      <c r="AL117" s="164">
        <f>((VLOOKUP($B$117,Energy_demand!$A$34:$D$54,4,FALSE )))*AL24</f>
        <v>49759348.668825001</v>
      </c>
    </row>
    <row r="118" spans="2:38">
      <c r="B118" s="163">
        <v>2018</v>
      </c>
      <c r="C118" s="164">
        <f>((VLOOKUP($B$118,Energy_demand!$A$34:$D$54,4,FALSE )))*C25</f>
        <v>0</v>
      </c>
      <c r="D118" s="164">
        <f>((VLOOKUP($B$118,Energy_demand!$A$34:$D$54,4,FALSE )))*D25</f>
        <v>0</v>
      </c>
      <c r="E118" s="164">
        <f>((VLOOKUP($B$118,Energy_demand!$A$34:$D$54,4,FALSE )))*E25</f>
        <v>0</v>
      </c>
      <c r="F118" s="164">
        <f>((VLOOKUP($B$118,Energy_demand!$A$34:$D$54,4,FALSE )))*F25</f>
        <v>0</v>
      </c>
      <c r="G118" s="164">
        <f>((VLOOKUP($B$118,Energy_demand!$A$34:$D$54,4,FALSE )))*G25</f>
        <v>0</v>
      </c>
      <c r="H118" s="164">
        <f>((VLOOKUP($B$118,Energy_demand!$A$34:$D$54,4,FALSE )))*H25</f>
        <v>0</v>
      </c>
      <c r="I118" s="164">
        <f>((VLOOKUP($B$118,Energy_demand!$A$34:$D$54,4,FALSE )))*I25</f>
        <v>0</v>
      </c>
      <c r="J118" s="164">
        <f>((VLOOKUP($B$118,Energy_demand!$A$34:$D$54,4,FALSE )))*J25</f>
        <v>0</v>
      </c>
      <c r="K118" s="164">
        <f>((VLOOKUP($B$118,Energy_demand!$A$34:$D$54,4,FALSE )))*K25</f>
        <v>0</v>
      </c>
      <c r="L118" s="164">
        <f>((VLOOKUP($B$118,Energy_demand!$A$34:$D$54,4,FALSE )))*L25</f>
        <v>0</v>
      </c>
      <c r="M118" s="164">
        <f>((VLOOKUP($B$118,Energy_demand!$A$34:$D$54,4,FALSE )))*M25</f>
        <v>0</v>
      </c>
      <c r="N118" s="164">
        <f>((VLOOKUP($B$118,Energy_demand!$A$34:$D$54,4,FALSE )))*N25</f>
        <v>0</v>
      </c>
      <c r="O118" s="164">
        <f>((VLOOKUP($B$118,Energy_demand!$A$34:$D$54,4,FALSE )))*O25</f>
        <v>0</v>
      </c>
      <c r="P118" s="164">
        <f>((VLOOKUP($B$118,Energy_demand!$A$34:$D$54,4,FALSE )))*P25</f>
        <v>0</v>
      </c>
      <c r="Q118" s="164">
        <f>((VLOOKUP($B$118,Energy_demand!$A$34:$D$54,4,FALSE )))*Q25</f>
        <v>0</v>
      </c>
      <c r="R118" s="164">
        <f>((VLOOKUP($B$118,Energy_demand!$A$34:$D$54,4,FALSE )))*R25</f>
        <v>0</v>
      </c>
      <c r="S118" s="164">
        <f>((VLOOKUP($B$118,Energy_demand!$A$34:$D$54,4,FALSE )))*S25</f>
        <v>0</v>
      </c>
      <c r="T118" s="164">
        <f>((VLOOKUP($B$118,Energy_demand!$A$34:$D$54,4,FALSE )))*T25</f>
        <v>0</v>
      </c>
      <c r="U118" s="164">
        <f>((VLOOKUP($B$118,Energy_demand!$A$34:$D$54,4,FALSE )))*U25</f>
        <v>1107849118.7853341</v>
      </c>
      <c r="V118" s="164">
        <f>((VLOOKUP($B$118,Energy_demand!$A$34:$D$54,4,FALSE )))*V25</f>
        <v>839734813.77950823</v>
      </c>
      <c r="W118" s="164">
        <f>((VLOOKUP($B$118,Energy_demand!$A$34:$D$54,4,FALSE )))*W25</f>
        <v>597422295.7780869</v>
      </c>
      <c r="X118" s="164">
        <f>((VLOOKUP($B$118,Energy_demand!$A$34:$D$54,4,FALSE )))*X25</f>
        <v>405957973.90263194</v>
      </c>
      <c r="Y118" s="164">
        <f>((VLOOKUP($B$118,Energy_demand!$A$34:$D$54,4,FALSE )))*Y25</f>
        <v>268551695.90692264</v>
      </c>
      <c r="Z118" s="164">
        <f>((VLOOKUP($B$118,Energy_demand!$A$34:$D$54,4,FALSE )))*Z25</f>
        <v>177273014.56345716</v>
      </c>
      <c r="AA118" s="164">
        <f>((VLOOKUP($B$118,Energy_demand!$A$34:$D$54,4,FALSE )))*AA25</f>
        <v>120506954.10010347</v>
      </c>
      <c r="AB118" s="164">
        <f>((VLOOKUP($B$118,Energy_demand!$A$34:$D$54,4,FALSE )))*AB25</f>
        <v>87207398.428767085</v>
      </c>
      <c r="AC118" s="164">
        <f>((VLOOKUP($B$118,Energy_demand!$A$34:$D$54,4,FALSE )))*AC25</f>
        <v>68681920.891217068</v>
      </c>
      <c r="AD118" s="164">
        <f>((VLOOKUP($B$118,Energy_demand!$A$34:$D$54,4,FALSE )))*AD25</f>
        <v>58867541.893743031</v>
      </c>
      <c r="AE118" s="164">
        <f>((VLOOKUP($B$118,Energy_demand!$A$34:$D$54,4,FALSE )))*AE25</f>
        <v>53900212.269555368</v>
      </c>
      <c r="AF118" s="164">
        <f>((VLOOKUP($B$118,Energy_demand!$A$34:$D$54,4,FALSE )))*AF25</f>
        <v>51492017.845493846</v>
      </c>
      <c r="AG118" s="164">
        <f>((VLOOKUP($B$118,Energy_demand!$A$34:$D$54,4,FALSE )))*AG25</f>
        <v>50371240.319939092</v>
      </c>
      <c r="AH118" s="164">
        <f>((VLOOKUP($B$118,Energy_demand!$A$34:$D$54,4,FALSE )))*AH25</f>
        <v>49869574.902945928</v>
      </c>
      <c r="AI118" s="164">
        <f>((VLOOKUP($B$118,Energy_demand!$A$34:$D$54,4,FALSE )))*AI25</f>
        <v>49653266.83490327</v>
      </c>
      <c r="AJ118" s="164">
        <f>((VLOOKUP($B$118,Energy_demand!$A$34:$D$54,4,FALSE )))*AJ25</f>
        <v>49563295.418060511</v>
      </c>
      <c r="AK118" s="164">
        <f>((VLOOKUP($B$118,Energy_demand!$A$34:$D$54,4,FALSE )))*AK25</f>
        <v>49527150.378091373</v>
      </c>
      <c r="AL118" s="164">
        <f>((VLOOKUP($B$118,Energy_demand!$A$34:$D$54,4,FALSE )))*AL25</f>
        <v>49513109.752499476</v>
      </c>
    </row>
    <row r="119" spans="2:38">
      <c r="B119" s="163">
        <v>2019</v>
      </c>
      <c r="C119" s="164">
        <f>((VLOOKUP($B$119,Energy_demand!$A$34:$D$54,4,FALSE )))*C26</f>
        <v>0</v>
      </c>
      <c r="D119" s="164">
        <f>((VLOOKUP($B$119,Energy_demand!$A$34:$D$54,4,FALSE )))*D26</f>
        <v>0</v>
      </c>
      <c r="E119" s="164">
        <f>((VLOOKUP($B$119,Energy_demand!$A$34:$D$54,4,FALSE )))*E26</f>
        <v>0</v>
      </c>
      <c r="F119" s="164">
        <f>((VLOOKUP($B$119,Energy_demand!$A$34:$D$54,4,FALSE )))*F26</f>
        <v>0</v>
      </c>
      <c r="G119" s="164">
        <f>((VLOOKUP($B$119,Energy_demand!$A$34:$D$54,4,FALSE )))*G26</f>
        <v>0</v>
      </c>
      <c r="H119" s="164">
        <f>((VLOOKUP($B$119,Energy_demand!$A$34:$D$54,4,FALSE )))*H26</f>
        <v>0</v>
      </c>
      <c r="I119" s="164">
        <f>((VLOOKUP($B$119,Energy_demand!$A$34:$D$54,4,FALSE )))*I26</f>
        <v>0</v>
      </c>
      <c r="J119" s="164">
        <f>((VLOOKUP($B$119,Energy_demand!$A$34:$D$54,4,FALSE )))*J26</f>
        <v>0</v>
      </c>
      <c r="K119" s="164">
        <f>((VLOOKUP($B$119,Energy_demand!$A$34:$D$54,4,FALSE )))*K26</f>
        <v>0</v>
      </c>
      <c r="L119" s="164">
        <f>((VLOOKUP($B$119,Energy_demand!$A$34:$D$54,4,FALSE )))*L26</f>
        <v>0</v>
      </c>
      <c r="M119" s="164">
        <f>((VLOOKUP($B$119,Energy_demand!$A$34:$D$54,4,FALSE )))*M26</f>
        <v>0</v>
      </c>
      <c r="N119" s="164">
        <f>((VLOOKUP($B$119,Energy_demand!$A$34:$D$54,4,FALSE )))*N26</f>
        <v>0</v>
      </c>
      <c r="O119" s="164">
        <f>((VLOOKUP($B$119,Energy_demand!$A$34:$D$54,4,FALSE )))*O26</f>
        <v>0</v>
      </c>
      <c r="P119" s="164">
        <f>((VLOOKUP($B$119,Energy_demand!$A$34:$D$54,4,FALSE )))*P26</f>
        <v>0</v>
      </c>
      <c r="Q119" s="164">
        <f>((VLOOKUP($B$119,Energy_demand!$A$34:$D$54,4,FALSE )))*Q26</f>
        <v>0</v>
      </c>
      <c r="R119" s="164">
        <f>((VLOOKUP($B$119,Energy_demand!$A$34:$D$54,4,FALSE )))*R26</f>
        <v>0</v>
      </c>
      <c r="S119" s="164">
        <f>((VLOOKUP($B$119,Energy_demand!$A$34:$D$54,4,FALSE )))*S26</f>
        <v>0</v>
      </c>
      <c r="T119" s="164">
        <f>((VLOOKUP($B$119,Energy_demand!$A$34:$D$54,4,FALSE )))*T26</f>
        <v>0</v>
      </c>
      <c r="U119" s="164">
        <f>((VLOOKUP($B$119,Energy_demand!$A$34:$D$54,4,FALSE )))*U26</f>
        <v>0</v>
      </c>
      <c r="V119" s="164">
        <f>((VLOOKUP($B$119,Energy_demand!$A$34:$D$54,4,FALSE )))*V26</f>
        <v>1167995967.970896</v>
      </c>
      <c r="W119" s="164">
        <f>((VLOOKUP($B$119,Energy_demand!$A$34:$D$54,4,FALSE )))*W26</f>
        <v>885325320.95582747</v>
      </c>
      <c r="X119" s="164">
        <f>((VLOOKUP($B$119,Energy_demand!$A$34:$D$54,4,FALSE )))*X26</f>
        <v>629857280.03267062</v>
      </c>
      <c r="Y119" s="164">
        <f>((VLOOKUP($B$119,Energy_demand!$A$34:$D$54,4,FALSE )))*Y26</f>
        <v>427998062.77210635</v>
      </c>
      <c r="Z119" s="164">
        <f>((VLOOKUP($B$119,Energy_demand!$A$34:$D$54,4,FALSE )))*Z26</f>
        <v>283131784.54746813</v>
      </c>
      <c r="AA119" s="164">
        <f>((VLOOKUP($B$119,Energy_demand!$A$34:$D$54,4,FALSE )))*AA26</f>
        <v>186897441.83502331</v>
      </c>
      <c r="AB119" s="164">
        <f>((VLOOKUP($B$119,Energy_demand!$A$34:$D$54,4,FALSE )))*AB26</f>
        <v>127049463.78952514</v>
      </c>
      <c r="AC119" s="164">
        <f>((VLOOKUP($B$119,Energy_demand!$A$34:$D$54,4,FALSE )))*AC26</f>
        <v>91942023.525469095</v>
      </c>
      <c r="AD119" s="164">
        <f>((VLOOKUP($B$119,Energy_demand!$A$34:$D$54,4,FALSE )))*AD26</f>
        <v>72410769.041719615</v>
      </c>
      <c r="AE119" s="164">
        <f>((VLOOKUP($B$119,Energy_demand!$A$34:$D$54,4,FALSE )))*AE26</f>
        <v>62063552.166414149</v>
      </c>
      <c r="AF119" s="164">
        <f>((VLOOKUP($B$119,Energy_demand!$A$34:$D$54,4,FALSE )))*AF26</f>
        <v>56826538.502500296</v>
      </c>
      <c r="AG119" s="164">
        <f>((VLOOKUP($B$119,Energy_demand!$A$34:$D$54,4,FALSE )))*AG26</f>
        <v>54287599.463150002</v>
      </c>
      <c r="AH119" s="164">
        <f>((VLOOKUP($B$119,Energy_demand!$A$34:$D$54,4,FALSE )))*AH26</f>
        <v>53105973.185127847</v>
      </c>
      <c r="AI119" s="164">
        <f>((VLOOKUP($B$119,Energy_demand!$A$34:$D$54,4,FALSE )))*AI26</f>
        <v>52577071.573543034</v>
      </c>
      <c r="AJ119" s="164">
        <f>((VLOOKUP($B$119,Energy_demand!$A$34:$D$54,4,FALSE )))*AJ26</f>
        <v>52349019.804552712</v>
      </c>
      <c r="AK119" s="164">
        <f>((VLOOKUP($B$119,Energy_demand!$A$34:$D$54,4,FALSE )))*AK26</f>
        <v>52254163.699760936</v>
      </c>
      <c r="AL119" s="164">
        <f>((VLOOKUP($B$119,Energy_demand!$A$34:$D$54,4,FALSE )))*AL26</f>
        <v>52216056.289437383</v>
      </c>
    </row>
    <row r="120" spans="2:38">
      <c r="B120" s="163">
        <v>2020</v>
      </c>
      <c r="C120" s="164">
        <f>((VLOOKUP($B$120,Energy_demand!$A$34:$D$54,4,FALSE )))*C27</f>
        <v>0</v>
      </c>
      <c r="D120" s="164">
        <f>((VLOOKUP($B$120,Energy_demand!$A$34:$D$54,4,FALSE )))*D27</f>
        <v>0</v>
      </c>
      <c r="E120" s="164">
        <f>((VLOOKUP($B$120,Energy_demand!$A$34:$D$54,4,FALSE )))*E27</f>
        <v>0</v>
      </c>
      <c r="F120" s="164">
        <f>((VLOOKUP($B$120,Energy_demand!$A$34:$D$54,4,FALSE )))*F27</f>
        <v>0</v>
      </c>
      <c r="G120" s="164">
        <f>((VLOOKUP($B$120,Energy_demand!$A$34:$D$54,4,FALSE )))*G27</f>
        <v>0</v>
      </c>
      <c r="H120" s="164">
        <f>((VLOOKUP($B$120,Energy_demand!$A$34:$D$54,4,FALSE )))*H27</f>
        <v>0</v>
      </c>
      <c r="I120" s="164">
        <f>((VLOOKUP($B$120,Energy_demand!$A$34:$D$54,4,FALSE )))*I27</f>
        <v>0</v>
      </c>
      <c r="J120" s="164">
        <f>((VLOOKUP($B$120,Energy_demand!$A$34:$D$54,4,FALSE )))*J27</f>
        <v>0</v>
      </c>
      <c r="K120" s="164">
        <f>((VLOOKUP($B$120,Energy_demand!$A$34:$D$54,4,FALSE )))*K27</f>
        <v>0</v>
      </c>
      <c r="L120" s="164">
        <f>((VLOOKUP($B$120,Energy_demand!$A$34:$D$54,4,FALSE )))*L27</f>
        <v>0</v>
      </c>
      <c r="M120" s="164">
        <f>((VLOOKUP($B$120,Energy_demand!$A$34:$D$54,4,FALSE )))*M27</f>
        <v>0</v>
      </c>
      <c r="N120" s="164">
        <f>((VLOOKUP($B$120,Energy_demand!$A$34:$D$54,4,FALSE )))*N27</f>
        <v>0</v>
      </c>
      <c r="O120" s="164">
        <f>((VLOOKUP($B$120,Energy_demand!$A$34:$D$54,4,FALSE )))*O27</f>
        <v>0</v>
      </c>
      <c r="P120" s="164">
        <f>((VLOOKUP($B$120,Energy_demand!$A$34:$D$54,4,FALSE )))*P27</f>
        <v>0</v>
      </c>
      <c r="Q120" s="164">
        <f>((VLOOKUP($B$120,Energy_demand!$A$34:$D$54,4,FALSE )))*Q27</f>
        <v>0</v>
      </c>
      <c r="R120" s="164">
        <f>((VLOOKUP($B$120,Energy_demand!$A$34:$D$54,4,FALSE )))*R27</f>
        <v>0</v>
      </c>
      <c r="S120" s="164">
        <f>((VLOOKUP($B$120,Energy_demand!$A$34:$D$54,4,FALSE )))*S27</f>
        <v>0</v>
      </c>
      <c r="T120" s="164">
        <f>((VLOOKUP($B$120,Energy_demand!$A$34:$D$54,4,FALSE )))*T27</f>
        <v>0</v>
      </c>
      <c r="U120" s="164">
        <f>((VLOOKUP($B$120,Energy_demand!$A$34:$D$54,4,FALSE )))*U27</f>
        <v>0</v>
      </c>
      <c r="V120" s="164">
        <f>((VLOOKUP($B$120,Energy_demand!$A$34:$D$54,4,FALSE )))*V27</f>
        <v>0</v>
      </c>
      <c r="W120" s="164">
        <f>((VLOOKUP($B$120,Energy_demand!$A$34:$D$54,4,FALSE )))*W27</f>
        <v>1292112542.932169</v>
      </c>
      <c r="X120" s="164">
        <f>((VLOOKUP($B$120,Energy_demand!$A$34:$D$54,4,FALSE )))*X27</f>
        <v>979404024.63014114</v>
      </c>
      <c r="Y120" s="164">
        <f>((VLOOKUP($B$120,Energy_demand!$A$34:$D$54,4,FALSE )))*Y27</f>
        <v>696788785.32535541</v>
      </c>
      <c r="Z120" s="164">
        <f>((VLOOKUP($B$120,Energy_demand!$A$34:$D$54,4,FALSE )))*Z27</f>
        <v>473479087.61983728</v>
      </c>
      <c r="AA120" s="164">
        <f>((VLOOKUP($B$120,Energy_demand!$A$34:$D$54,4,FALSE )))*AA27</f>
        <v>313218658.41035855</v>
      </c>
      <c r="AB120" s="164">
        <f>((VLOOKUP($B$120,Energy_demand!$A$34:$D$54,4,FALSE )))*AB27</f>
        <v>206758015.83159804</v>
      </c>
      <c r="AC120" s="164">
        <f>((VLOOKUP($B$120,Energy_demand!$A$34:$D$54,4,FALSE )))*AC27</f>
        <v>140550318.8683461</v>
      </c>
      <c r="AD120" s="164">
        <f>((VLOOKUP($B$120,Energy_demand!$A$34:$D$54,4,FALSE )))*AD27</f>
        <v>101712201.99176537</v>
      </c>
      <c r="AE120" s="164">
        <f>((VLOOKUP($B$120,Energy_demand!$A$34:$D$54,4,FALSE )))*AE27</f>
        <v>80105467.388481483</v>
      </c>
      <c r="AF120" s="164">
        <f>((VLOOKUP($B$120,Energy_demand!$A$34:$D$54,4,FALSE )))*AF27</f>
        <v>68658708.088234663</v>
      </c>
      <c r="AG120" s="164">
        <f>((VLOOKUP($B$120,Energy_demand!$A$34:$D$54,4,FALSE )))*AG27</f>
        <v>62865185.483524173</v>
      </c>
      <c r="AH120" s="164">
        <f>((VLOOKUP($B$120,Energy_demand!$A$34:$D$54,4,FALSE )))*AH27</f>
        <v>60056447.210065976</v>
      </c>
      <c r="AI120" s="164">
        <f>((VLOOKUP($B$120,Energy_demand!$A$34:$D$54,4,FALSE )))*AI27</f>
        <v>58749255.938213229</v>
      </c>
      <c r="AJ120" s="164">
        <f>((VLOOKUP($B$120,Energy_demand!$A$34:$D$54,4,FALSE )))*AJ27</f>
        <v>58164150.830793299</v>
      </c>
      <c r="AK120" s="164">
        <f>((VLOOKUP($B$120,Energy_demand!$A$34:$D$54,4,FALSE )))*AK27</f>
        <v>57911865.241432711</v>
      </c>
      <c r="AL120" s="164">
        <f>((VLOOKUP($B$120,Energy_demand!$A$34:$D$54,4,FALSE )))*AL27</f>
        <v>57806929.294617683</v>
      </c>
    </row>
    <row r="121" spans="2:38">
      <c r="B121" s="163">
        <v>2021</v>
      </c>
      <c r="C121" s="164" t="e">
        <f>((VLOOKUP($B$121,Energy_demand!$A$34:$D$54,4,FALSE )))*C28</f>
        <v>#N/A</v>
      </c>
      <c r="D121" s="164"/>
      <c r="E121" s="164"/>
      <c r="F121" s="164"/>
      <c r="G121" s="164"/>
      <c r="H121" s="164"/>
      <c r="I121" s="164"/>
      <c r="J121" s="164"/>
      <c r="K121" s="164"/>
      <c r="L121" s="164"/>
      <c r="M121" s="164"/>
      <c r="N121" s="164"/>
      <c r="O121" s="164"/>
      <c r="P121" s="164"/>
      <c r="Q121" s="164"/>
      <c r="R121" s="164"/>
      <c r="S121" s="164"/>
      <c r="T121" s="164"/>
      <c r="U121" s="164"/>
      <c r="V121" s="164"/>
      <c r="W121" s="7"/>
      <c r="X121" s="8"/>
      <c r="Y121" s="8"/>
      <c r="Z121" s="8"/>
      <c r="AA121" s="8"/>
      <c r="AB121" s="8"/>
      <c r="AC121" s="8"/>
      <c r="AD121" s="8"/>
      <c r="AE121" s="8"/>
      <c r="AF121" s="8"/>
      <c r="AG121" s="8"/>
      <c r="AH121" s="8"/>
      <c r="AI121" s="8"/>
      <c r="AJ121" s="8"/>
      <c r="AK121" s="8"/>
      <c r="AL121" s="8"/>
    </row>
    <row r="122" spans="2:38">
      <c r="B122" s="163">
        <v>2022</v>
      </c>
      <c r="C122" s="164" t="e">
        <f>((VLOOKUP($B$122,Energy_demand!$A$34:$D$54,4,FALSE )))*C29</f>
        <v>#N/A</v>
      </c>
      <c r="D122" s="164"/>
      <c r="E122" s="164"/>
      <c r="F122" s="164"/>
      <c r="G122" s="164"/>
      <c r="H122" s="164"/>
      <c r="I122" s="164"/>
      <c r="J122" s="164"/>
      <c r="K122" s="164"/>
      <c r="L122" s="164"/>
      <c r="M122" s="164"/>
      <c r="N122" s="164"/>
      <c r="O122" s="164"/>
      <c r="P122" s="164"/>
      <c r="Q122" s="164"/>
      <c r="R122" s="164"/>
      <c r="S122" s="164"/>
      <c r="T122" s="164"/>
      <c r="U122" s="164"/>
      <c r="V122" s="164"/>
      <c r="W122" s="7"/>
      <c r="X122" s="8"/>
      <c r="Y122" s="8"/>
      <c r="Z122" s="8"/>
      <c r="AA122" s="8"/>
      <c r="AB122" s="8"/>
      <c r="AC122" s="8"/>
      <c r="AD122" s="8"/>
      <c r="AE122" s="8"/>
      <c r="AF122" s="8"/>
      <c r="AG122" s="8"/>
      <c r="AH122" s="8"/>
      <c r="AI122" s="8"/>
      <c r="AJ122" s="8"/>
      <c r="AK122" s="8"/>
      <c r="AL122" s="8"/>
    </row>
    <row r="123" spans="2:38">
      <c r="B123" s="163">
        <v>2023</v>
      </c>
      <c r="C123" s="164" t="e">
        <f>((VLOOKUP($B$123,Energy_demand!$A$34:$D$54,4,FALSE )))*C30</f>
        <v>#N/A</v>
      </c>
      <c r="D123" s="164"/>
      <c r="E123" s="164"/>
      <c r="F123" s="164"/>
      <c r="G123" s="164"/>
      <c r="H123" s="164"/>
      <c r="I123" s="164"/>
      <c r="J123" s="164"/>
      <c r="K123" s="164"/>
      <c r="L123" s="164"/>
      <c r="M123" s="164"/>
      <c r="N123" s="164"/>
      <c r="O123" s="164"/>
      <c r="P123" s="164"/>
      <c r="Q123" s="164"/>
      <c r="R123" s="164"/>
      <c r="S123" s="164"/>
      <c r="T123" s="164"/>
      <c r="U123" s="164"/>
      <c r="V123" s="164"/>
      <c r="W123" s="7"/>
      <c r="X123" s="8"/>
      <c r="Y123" s="8"/>
      <c r="Z123" s="8"/>
      <c r="AA123" s="8"/>
      <c r="AB123" s="8"/>
      <c r="AC123" s="8"/>
      <c r="AD123" s="8"/>
      <c r="AE123" s="8"/>
      <c r="AF123" s="8"/>
      <c r="AG123" s="8"/>
      <c r="AH123" s="8"/>
      <c r="AI123" s="8"/>
      <c r="AJ123" s="8"/>
      <c r="AK123" s="8"/>
      <c r="AL123" s="8"/>
    </row>
    <row r="124" spans="2:38">
      <c r="B124" s="163">
        <v>2024</v>
      </c>
      <c r="C124" s="164" t="e">
        <f>((VLOOKUP($B$124,Energy_demand!$A$34:$D$54,4,FALSE )))*C31</f>
        <v>#N/A</v>
      </c>
      <c r="D124" s="165"/>
      <c r="E124" s="164"/>
      <c r="F124" s="164"/>
      <c r="G124" s="164"/>
      <c r="H124" s="164"/>
      <c r="I124" s="164"/>
      <c r="J124" s="164"/>
      <c r="K124" s="164"/>
      <c r="L124" s="164"/>
      <c r="M124" s="164"/>
      <c r="N124" s="164"/>
      <c r="O124" s="164"/>
      <c r="P124" s="164"/>
      <c r="Q124" s="164"/>
      <c r="R124" s="164"/>
      <c r="S124" s="164"/>
      <c r="T124" s="164"/>
      <c r="U124" s="164"/>
      <c r="V124" s="164"/>
      <c r="W124" s="7"/>
      <c r="X124" s="8"/>
      <c r="Y124" s="8"/>
      <c r="Z124" s="8"/>
      <c r="AA124" s="8"/>
      <c r="AB124" s="8"/>
      <c r="AC124" s="8"/>
      <c r="AD124" s="8"/>
      <c r="AE124" s="8"/>
      <c r="AF124" s="8"/>
      <c r="AG124" s="8"/>
      <c r="AH124" s="8"/>
      <c r="AI124" s="8"/>
      <c r="AJ124" s="8"/>
      <c r="AK124" s="8"/>
      <c r="AL124" s="8"/>
    </row>
    <row r="125" spans="2:38">
      <c r="B125" s="163">
        <v>2025</v>
      </c>
      <c r="C125" s="164" t="e">
        <f>((VLOOKUP($B$125,Energy_demand!$A$34:$D$54,4,FALSE )))*C32</f>
        <v>#N/A</v>
      </c>
      <c r="D125" s="165"/>
      <c r="E125" s="165"/>
      <c r="F125" s="164"/>
      <c r="G125" s="164"/>
      <c r="H125" s="164"/>
      <c r="I125" s="164"/>
      <c r="J125" s="164"/>
      <c r="K125" s="164"/>
      <c r="L125" s="164"/>
      <c r="M125" s="164"/>
      <c r="N125" s="164"/>
      <c r="O125" s="164"/>
      <c r="P125" s="164"/>
      <c r="Q125" s="164"/>
      <c r="R125" s="164"/>
      <c r="S125" s="164"/>
      <c r="T125" s="164"/>
      <c r="U125" s="164"/>
      <c r="V125" s="164"/>
      <c r="W125" s="7"/>
      <c r="X125" s="8"/>
      <c r="Y125" s="8"/>
      <c r="Z125" s="8"/>
      <c r="AA125" s="8"/>
      <c r="AB125" s="8"/>
      <c r="AC125" s="8"/>
      <c r="AD125" s="8"/>
      <c r="AE125" s="8"/>
      <c r="AF125" s="8"/>
      <c r="AG125" s="8"/>
      <c r="AH125" s="8"/>
      <c r="AI125" s="8"/>
      <c r="AJ125" s="8"/>
      <c r="AK125" s="8"/>
      <c r="AL125" s="8"/>
    </row>
    <row r="126" spans="2:38">
      <c r="B126" s="163">
        <v>2026</v>
      </c>
      <c r="C126" s="164" t="e">
        <f>((VLOOKUP($B$126,Energy_demand!$A$34:$D$54,4,FALSE )))*C33</f>
        <v>#N/A</v>
      </c>
      <c r="D126" s="165"/>
      <c r="E126" s="165"/>
      <c r="F126" s="165"/>
      <c r="G126" s="164"/>
      <c r="H126" s="164"/>
      <c r="I126" s="164"/>
      <c r="J126" s="164"/>
      <c r="K126" s="164"/>
      <c r="L126" s="164"/>
      <c r="M126" s="164"/>
      <c r="N126" s="164"/>
      <c r="O126" s="164"/>
      <c r="P126" s="164"/>
      <c r="Q126" s="164"/>
      <c r="R126" s="164"/>
      <c r="S126" s="164"/>
      <c r="T126" s="164"/>
      <c r="U126" s="164"/>
      <c r="V126" s="164"/>
      <c r="W126" s="7"/>
      <c r="X126" s="8"/>
      <c r="Y126" s="8"/>
      <c r="Z126" s="8"/>
      <c r="AA126" s="8"/>
      <c r="AB126" s="8"/>
      <c r="AC126" s="8"/>
      <c r="AD126" s="8"/>
      <c r="AE126" s="8"/>
      <c r="AF126" s="8"/>
      <c r="AG126" s="8"/>
      <c r="AH126" s="8"/>
      <c r="AI126" s="8"/>
      <c r="AJ126" s="8"/>
      <c r="AK126" s="8"/>
      <c r="AL126" s="8"/>
    </row>
    <row r="127" spans="2:38">
      <c r="B127" s="163">
        <v>2027</v>
      </c>
      <c r="C127" s="164" t="e">
        <f>((VLOOKUP($B$127,Energy_demand!$A$34:$D$54,4,FALSE )))*C34</f>
        <v>#N/A</v>
      </c>
      <c r="D127" s="165"/>
      <c r="E127" s="165"/>
      <c r="F127" s="165"/>
      <c r="G127" s="165"/>
      <c r="H127" s="164"/>
      <c r="I127" s="164"/>
      <c r="J127" s="164"/>
      <c r="K127" s="164"/>
      <c r="L127" s="164"/>
      <c r="M127" s="164"/>
      <c r="N127" s="164"/>
      <c r="O127" s="164"/>
      <c r="P127" s="164"/>
      <c r="Q127" s="164"/>
      <c r="R127" s="164"/>
      <c r="S127" s="164"/>
      <c r="T127" s="164"/>
      <c r="U127" s="164"/>
      <c r="V127" s="164"/>
      <c r="W127" s="7"/>
      <c r="X127" s="8"/>
      <c r="Y127" s="8"/>
      <c r="Z127" s="8"/>
      <c r="AA127" s="8"/>
      <c r="AB127" s="8"/>
      <c r="AC127" s="8"/>
      <c r="AD127" s="8"/>
      <c r="AE127" s="8"/>
      <c r="AF127" s="8"/>
      <c r="AG127" s="8"/>
      <c r="AH127" s="8"/>
      <c r="AI127" s="8"/>
      <c r="AJ127" s="8"/>
      <c r="AK127" s="8"/>
      <c r="AL127" s="8"/>
    </row>
    <row r="128" spans="2:38">
      <c r="B128" s="163">
        <v>2028</v>
      </c>
      <c r="C128" s="164" t="e">
        <f>((VLOOKUP($B$128,Energy_demand!$A$34:$D$54,4,FALSE )))*C35</f>
        <v>#N/A</v>
      </c>
      <c r="D128" s="165"/>
      <c r="E128" s="165"/>
      <c r="F128" s="165"/>
      <c r="G128" s="165"/>
      <c r="H128" s="165"/>
      <c r="I128" s="164"/>
      <c r="J128" s="164"/>
      <c r="K128" s="164"/>
      <c r="L128" s="164"/>
      <c r="M128" s="164"/>
      <c r="N128" s="164"/>
      <c r="O128" s="164"/>
      <c r="P128" s="164"/>
      <c r="Q128" s="164"/>
      <c r="R128" s="164"/>
      <c r="S128" s="164"/>
      <c r="T128" s="164"/>
      <c r="U128" s="164"/>
      <c r="V128" s="164"/>
      <c r="W128" s="7"/>
      <c r="X128" s="8"/>
      <c r="Y128" s="8"/>
      <c r="Z128" s="8"/>
      <c r="AA128" s="8"/>
      <c r="AB128" s="8"/>
      <c r="AC128" s="8"/>
      <c r="AD128" s="8"/>
      <c r="AE128" s="8"/>
      <c r="AF128" s="8"/>
      <c r="AG128" s="8"/>
      <c r="AH128" s="8"/>
      <c r="AI128" s="8"/>
      <c r="AJ128" s="8"/>
      <c r="AK128" s="8"/>
      <c r="AL128" s="8"/>
    </row>
    <row r="129" spans="1:38">
      <c r="B129" s="163">
        <v>2029</v>
      </c>
      <c r="C129" s="164" t="e">
        <f>((VLOOKUP($B$129,Energy_demand!$A$34:$D$54,4,FALSE )))*C36</f>
        <v>#N/A</v>
      </c>
      <c r="D129" s="165"/>
      <c r="E129" s="165"/>
      <c r="F129" s="165"/>
      <c r="G129" s="165"/>
      <c r="H129" s="165"/>
      <c r="I129" s="165"/>
      <c r="J129" s="164"/>
      <c r="K129" s="164"/>
      <c r="L129" s="164"/>
      <c r="M129" s="164"/>
      <c r="N129" s="164"/>
      <c r="O129" s="164"/>
      <c r="P129" s="164"/>
      <c r="Q129" s="164"/>
      <c r="R129" s="164"/>
      <c r="S129" s="164"/>
      <c r="T129" s="164"/>
      <c r="U129" s="164"/>
      <c r="V129" s="164"/>
      <c r="W129" s="7"/>
      <c r="X129" s="8"/>
      <c r="Y129" s="8"/>
      <c r="Z129" s="8"/>
      <c r="AA129" s="8"/>
      <c r="AB129" s="8"/>
      <c r="AC129" s="8"/>
      <c r="AD129" s="8"/>
      <c r="AE129" s="8"/>
      <c r="AF129" s="8"/>
      <c r="AG129" s="8"/>
      <c r="AH129" s="8"/>
      <c r="AI129" s="8"/>
      <c r="AJ129" s="8"/>
      <c r="AK129" s="8"/>
      <c r="AL129" s="8"/>
    </row>
    <row r="130" spans="1:38">
      <c r="B130" s="163">
        <v>2030</v>
      </c>
      <c r="C130" s="164" t="e">
        <f>((VLOOKUP(B130,Energy_demand!$A$34:$D$54,4,FALSE )))*C37</f>
        <v>#N/A</v>
      </c>
      <c r="D130" s="165"/>
      <c r="E130" s="165"/>
      <c r="F130" s="165"/>
      <c r="G130" s="165"/>
      <c r="H130" s="165"/>
      <c r="I130" s="165"/>
      <c r="J130" s="165"/>
      <c r="K130" s="164"/>
      <c r="L130" s="164"/>
      <c r="M130" s="164"/>
      <c r="N130" s="164"/>
      <c r="O130" s="164"/>
      <c r="P130" s="164"/>
      <c r="Q130" s="164"/>
      <c r="R130" s="164"/>
      <c r="S130" s="164"/>
      <c r="T130" s="164"/>
      <c r="U130" s="164"/>
      <c r="V130" s="164"/>
      <c r="W130" s="7"/>
      <c r="X130" s="8"/>
      <c r="Y130" s="8"/>
      <c r="Z130" s="8"/>
      <c r="AA130" s="8"/>
      <c r="AB130" s="8"/>
      <c r="AC130" s="8"/>
      <c r="AD130" s="8"/>
      <c r="AE130" s="8"/>
      <c r="AF130" s="8"/>
      <c r="AG130" s="8"/>
      <c r="AH130" s="8"/>
      <c r="AI130" s="8"/>
      <c r="AJ130" s="8"/>
      <c r="AK130" s="8"/>
      <c r="AL130" s="8"/>
    </row>
    <row r="131" spans="1:38">
      <c r="B131" s="163">
        <v>2031</v>
      </c>
      <c r="C131" s="164" t="e">
        <f>((VLOOKUP(B131,Energy_demand!$A$34:$D$54,4,FALSE )))*C38</f>
        <v>#N/A</v>
      </c>
      <c r="D131" s="165"/>
      <c r="E131" s="165"/>
      <c r="F131" s="165"/>
      <c r="G131" s="165"/>
      <c r="H131" s="165"/>
      <c r="I131" s="165"/>
      <c r="J131" s="165"/>
      <c r="K131" s="165"/>
      <c r="L131" s="164"/>
      <c r="M131" s="164"/>
      <c r="N131" s="164"/>
      <c r="O131" s="164"/>
      <c r="P131" s="164"/>
      <c r="Q131" s="164"/>
      <c r="R131" s="164"/>
      <c r="S131" s="164"/>
      <c r="T131" s="164"/>
      <c r="U131" s="164"/>
      <c r="V131" s="164"/>
      <c r="W131" s="7"/>
      <c r="X131" s="8"/>
      <c r="Y131" s="8"/>
      <c r="Z131" s="8"/>
      <c r="AA131" s="8"/>
      <c r="AB131" s="8"/>
      <c r="AC131" s="8"/>
      <c r="AD131" s="8"/>
      <c r="AE131" s="8"/>
      <c r="AF131" s="8"/>
      <c r="AG131" s="8"/>
      <c r="AH131" s="8"/>
      <c r="AI131" s="8"/>
      <c r="AJ131" s="8"/>
      <c r="AK131" s="8"/>
      <c r="AL131" s="8"/>
    </row>
    <row r="132" spans="1:38">
      <c r="B132" s="163">
        <v>2032</v>
      </c>
      <c r="C132" s="164" t="e">
        <f>((VLOOKUP(B132,Energy_demand!$A$34:$D$54,4,FALSE )))*C39</f>
        <v>#N/A</v>
      </c>
      <c r="D132" s="165"/>
      <c r="E132" s="165"/>
      <c r="F132" s="165"/>
      <c r="G132" s="165"/>
      <c r="H132" s="165"/>
      <c r="I132" s="165"/>
      <c r="J132" s="165"/>
      <c r="K132" s="165"/>
      <c r="L132" s="165"/>
      <c r="M132" s="164"/>
      <c r="N132" s="164"/>
      <c r="O132" s="164"/>
      <c r="P132" s="164"/>
      <c r="Q132" s="164"/>
      <c r="R132" s="164"/>
      <c r="S132" s="164"/>
      <c r="T132" s="164"/>
      <c r="U132" s="164"/>
      <c r="V132" s="164"/>
      <c r="W132" s="7"/>
      <c r="X132" s="8"/>
      <c r="Y132" s="8"/>
      <c r="Z132" s="8"/>
      <c r="AA132" s="8"/>
      <c r="AB132" s="8"/>
      <c r="AC132" s="8"/>
      <c r="AD132" s="8"/>
      <c r="AE132" s="8"/>
      <c r="AF132" s="8"/>
      <c r="AG132" s="8"/>
      <c r="AH132" s="8"/>
      <c r="AI132" s="8"/>
      <c r="AJ132" s="8"/>
      <c r="AK132" s="8"/>
      <c r="AL132" s="8"/>
    </row>
    <row r="133" spans="1:38">
      <c r="B133" s="163">
        <v>2033</v>
      </c>
      <c r="C133" s="164" t="e">
        <f>((VLOOKUP(B133,Energy_demand!$A$34:$D$54,4,FALSE )))*C40</f>
        <v>#N/A</v>
      </c>
      <c r="D133" s="165"/>
      <c r="E133" s="165"/>
      <c r="F133" s="165"/>
      <c r="G133" s="165"/>
      <c r="H133" s="165"/>
      <c r="I133" s="165"/>
      <c r="J133" s="165"/>
      <c r="K133" s="165"/>
      <c r="L133" s="165"/>
      <c r="M133" s="165"/>
      <c r="N133" s="164"/>
      <c r="O133" s="165"/>
      <c r="P133" s="165"/>
      <c r="Q133" s="165"/>
      <c r="R133" s="165"/>
      <c r="S133" s="165"/>
      <c r="T133" s="165"/>
      <c r="U133" s="165"/>
      <c r="V133" s="165"/>
      <c r="W133" s="7"/>
      <c r="X133" s="8"/>
      <c r="Y133" s="8"/>
      <c r="Z133" s="8"/>
      <c r="AA133" s="8"/>
      <c r="AB133" s="8"/>
      <c r="AC133" s="8"/>
      <c r="AD133" s="8"/>
      <c r="AE133" s="8"/>
      <c r="AF133" s="8"/>
      <c r="AG133" s="8"/>
      <c r="AH133" s="8"/>
      <c r="AI133" s="8"/>
      <c r="AJ133" s="8"/>
      <c r="AK133" s="8"/>
      <c r="AL133" s="8"/>
    </row>
    <row r="134" spans="1:38">
      <c r="B134" s="163">
        <v>2034</v>
      </c>
      <c r="C134" s="164" t="e">
        <f>((VLOOKUP(B134,Energy_demand!$A$34:$D$54,4,FALSE )))*C41</f>
        <v>#N/A</v>
      </c>
      <c r="D134" s="165"/>
      <c r="E134" s="165"/>
      <c r="F134" s="165"/>
      <c r="G134" s="165"/>
      <c r="H134" s="165"/>
      <c r="I134" s="165"/>
      <c r="J134" s="165"/>
      <c r="K134" s="165"/>
      <c r="L134" s="165"/>
      <c r="M134" s="165"/>
      <c r="N134" s="165"/>
      <c r="O134" s="164"/>
      <c r="P134" s="165"/>
      <c r="Q134" s="165"/>
      <c r="R134" s="165"/>
      <c r="S134" s="165"/>
      <c r="T134" s="165"/>
      <c r="U134" s="165"/>
      <c r="V134" s="165"/>
      <c r="W134" s="7"/>
      <c r="X134" s="8"/>
      <c r="Y134" s="8"/>
      <c r="Z134" s="8"/>
      <c r="AA134" s="8"/>
      <c r="AB134" s="8"/>
      <c r="AC134" s="8"/>
      <c r="AD134" s="8"/>
      <c r="AE134" s="8"/>
      <c r="AF134" s="8"/>
      <c r="AG134" s="8"/>
      <c r="AH134" s="8"/>
      <c r="AI134" s="8"/>
      <c r="AJ134" s="8"/>
      <c r="AK134" s="8"/>
      <c r="AL134" s="8"/>
    </row>
    <row r="135" spans="1:38">
      <c r="B135" s="163">
        <v>2035</v>
      </c>
      <c r="C135" s="164" t="e">
        <f>((VLOOKUP(B135,Energy_demand!$A$34:$D$54,4,FALSE )))*C42</f>
        <v>#N/A</v>
      </c>
      <c r="D135" s="165"/>
      <c r="E135" s="165"/>
      <c r="F135" s="165"/>
      <c r="G135" s="165"/>
      <c r="H135" s="165"/>
      <c r="I135" s="165"/>
      <c r="J135" s="165"/>
      <c r="K135" s="165"/>
      <c r="L135" s="165"/>
      <c r="M135" s="165"/>
      <c r="N135" s="165"/>
      <c r="O135" s="165"/>
      <c r="P135" s="164"/>
      <c r="Q135" s="165"/>
      <c r="R135" s="165"/>
      <c r="S135" s="165"/>
      <c r="T135" s="165"/>
      <c r="U135" s="165"/>
      <c r="V135" s="165"/>
      <c r="W135" s="7"/>
      <c r="X135" s="8"/>
      <c r="Y135" s="8"/>
      <c r="Z135" s="8"/>
      <c r="AA135" s="8"/>
      <c r="AB135" s="8"/>
      <c r="AC135" s="8"/>
      <c r="AD135" s="8"/>
      <c r="AE135" s="8"/>
      <c r="AF135" s="8"/>
      <c r="AG135" s="8"/>
      <c r="AH135" s="8"/>
      <c r="AI135" s="8"/>
      <c r="AJ135" s="8"/>
      <c r="AK135" s="8"/>
      <c r="AL135" s="8"/>
    </row>
    <row r="137" spans="1:38" ht="21">
      <c r="B137" s="52" t="s">
        <v>7759</v>
      </c>
    </row>
    <row r="138" spans="1:38">
      <c r="A138" s="1" t="s">
        <v>6902</v>
      </c>
      <c r="B138" s="163">
        <v>2000</v>
      </c>
      <c r="C138" s="164">
        <f>(C100*Emissions_factors!$E$20)/1000</f>
        <v>434266.76100689283</v>
      </c>
      <c r="D138" s="164">
        <f>(D100*Emissions_factors!$E$20)/1000</f>
        <v>329168.3962204014</v>
      </c>
      <c r="E138" s="164">
        <f>(E100*Emissions_factors!$E$20)/1000</f>
        <v>234184.09686086784</v>
      </c>
      <c r="F138" s="164">
        <f>(F100*Emissions_factors!$E$20)/1000</f>
        <v>159131.82710738506</v>
      </c>
      <c r="G138" s="164">
        <f>(G100*Emissions_factors!$E$20)/1000</f>
        <v>105269.81803467518</v>
      </c>
      <c r="H138" s="164">
        <f>(H100*Emissions_factors!$E$20)/1000</f>
        <v>69489.406583458549</v>
      </c>
      <c r="I138" s="164">
        <f>(I100*Emissions_factors!$E$20)/1000</f>
        <v>47237.628074512751</v>
      </c>
      <c r="J138" s="164">
        <f>(J100*Emissions_factors!$E$20)/1000</f>
        <v>34184.505641906442</v>
      </c>
      <c r="K138" s="164">
        <f>(K100*Emissions_factors!$E$20)/1000</f>
        <v>26922.687231870197</v>
      </c>
      <c r="L138" s="164">
        <f>(L100*Emissions_factors!$E$20)/1000</f>
        <v>23075.540083168122</v>
      </c>
      <c r="M138" s="164">
        <f>(M100*Emissions_factors!$E$20)/1000</f>
        <v>21128.392127573967</v>
      </c>
      <c r="N138" s="164">
        <f>(N100*Emissions_factors!$E$20)/1000</f>
        <v>20184.401854278709</v>
      </c>
      <c r="O138" s="164">
        <f>(O100*Emissions_factors!$E$20)/1000</f>
        <v>19745.067275608268</v>
      </c>
      <c r="P138" s="164">
        <f>(P100*Emissions_factors!$E$20)/1000</f>
        <v>19548.419002795057</v>
      </c>
      <c r="Q138" s="164">
        <f>(Q100*Emissions_factors!$E$20)/1000</f>
        <v>19463.628210894134</v>
      </c>
      <c r="R138" s="164">
        <f>(R100*Emissions_factors!$E$20)/1000</f>
        <v>19428.36023521674</v>
      </c>
      <c r="S138" s="164">
        <f>(S100*Emissions_factors!$E$20)/1000</f>
        <v>19414.19170886447</v>
      </c>
      <c r="T138" s="164">
        <f>(T100*Emissions_factors!$E$20)/1000</f>
        <v>19408.687911555917</v>
      </c>
      <c r="U138" s="164">
        <f>(U100*Emissions_factors!$E$20)/1000</f>
        <v>19406.618594295509</v>
      </c>
      <c r="V138" s="164">
        <f>(V100*Emissions_factors!$E$20)/1000</f>
        <v>19405.864871712769</v>
      </c>
      <c r="W138" s="164">
        <f>(W100*Emissions_factors!$E$20)/1000</f>
        <v>19405.598692410047</v>
      </c>
      <c r="X138" s="164">
        <f>(X100*Emissions_factors!$E$20)/1000</f>
        <v>19405.507482023699</v>
      </c>
      <c r="Y138" s="164">
        <f>(Y100*Emissions_factors!$E$20)/1000</f>
        <v>19405.477134386838</v>
      </c>
      <c r="Z138" s="164">
        <f>(Z100*Emissions_factors!$E$20)/1000</f>
        <v>19405.467323755707</v>
      </c>
      <c r="AA138" s="164">
        <f>(AA100*Emissions_factors!$E$20)/1000</f>
        <v>19405.464240413668</v>
      </c>
      <c r="AB138" s="164">
        <f>(AB100*Emissions_factors!$E$20)/1000</f>
        <v>19405.46329778017</v>
      </c>
      <c r="AC138" s="164">
        <f>(AC100*Emissions_factors!$E$20)/1000</f>
        <v>19405.463017308677</v>
      </c>
      <c r="AD138" s="164">
        <f>(AD100*Emissions_factors!$E$20)/1000</f>
        <v>19405.462936049324</v>
      </c>
      <c r="AE138" s="164">
        <f>(AE100*Emissions_factors!$E$20)/1000</f>
        <v>19405.462913114367</v>
      </c>
      <c r="AF138" s="164">
        <f>(AF100*Emissions_factors!$E$20)/1000</f>
        <v>19405.462906805438</v>
      </c>
      <c r="AG138" s="164" t="e">
        <f>(AG100*Emissions_factors!$E$20)/1000</f>
        <v>#REF!</v>
      </c>
      <c r="AH138" s="164" t="e">
        <f>(AH100*Emissions_factors!$E$20)/1000</f>
        <v>#REF!</v>
      </c>
      <c r="AI138" s="164" t="e">
        <f>(AI100*Emissions_factors!$E$20)/1000</f>
        <v>#REF!</v>
      </c>
      <c r="AJ138" s="164" t="e">
        <f>(AJ100*Emissions_factors!$E$20)/1000</f>
        <v>#REF!</v>
      </c>
      <c r="AK138" s="164" t="e">
        <f>(AK100*Emissions_factors!$E$20)/1000</f>
        <v>#REF!</v>
      </c>
      <c r="AL138" s="164" t="e">
        <f>(AL100*Emissions_factors!$E$20)/1000</f>
        <v>#REF!</v>
      </c>
    </row>
    <row r="139" spans="1:38">
      <c r="B139" s="163">
        <v>2001</v>
      </c>
      <c r="C139" s="164">
        <f>(C101*Emissions_factors!$E$20)/1000</f>
        <v>0</v>
      </c>
      <c r="D139" s="164">
        <f>(D101*Emissions_factors!$E$20)/1000</f>
        <v>441861.80363186682</v>
      </c>
      <c r="E139" s="164">
        <f>(E101*Emissions_factors!$E$20)/1000</f>
        <v>334925.33694110403</v>
      </c>
      <c r="F139" s="164">
        <f>(F101*Emissions_factors!$E$20)/1000</f>
        <v>238279.82408996861</v>
      </c>
      <c r="G139" s="164">
        <f>(G101*Emissions_factors!$E$20)/1000</f>
        <v>161914.9390523755</v>
      </c>
      <c r="H139" s="164">
        <f>(H101*Emissions_factors!$E$20)/1000</f>
        <v>107110.91854451578</v>
      </c>
      <c r="I139" s="164">
        <f>(I101*Emissions_factors!$E$20)/1000</f>
        <v>70704.731016214602</v>
      </c>
      <c r="J139" s="164">
        <f>(J101*Emissions_factors!$E$20)/1000</f>
        <v>48063.783403317422</v>
      </c>
      <c r="K139" s="164">
        <f>(K101*Emissions_factors!$E$20)/1000</f>
        <v>34782.370366487143</v>
      </c>
      <c r="L139" s="164">
        <f>(L101*Emissions_factors!$E$20)/1000</f>
        <v>27393.547485210311</v>
      </c>
      <c r="M139" s="164">
        <f>(M101*Emissions_factors!$E$20)/1000</f>
        <v>23479.116240181844</v>
      </c>
      <c r="N139" s="164">
        <f>(N101*Emissions_factors!$E$20)/1000</f>
        <v>21497.913935860699</v>
      </c>
      <c r="O139" s="164">
        <f>(O101*Emissions_factors!$E$20)/1000</f>
        <v>20537.41388791307</v>
      </c>
      <c r="P139" s="164">
        <f>(P101*Emissions_factors!$E$20)/1000</f>
        <v>20090.395633789572</v>
      </c>
      <c r="Q139" s="164">
        <f>(Q101*Emissions_factors!$E$20)/1000</f>
        <v>19890.308110846599</v>
      </c>
      <c r="R139" s="164">
        <f>(R101*Emissions_factors!$E$20)/1000</f>
        <v>19804.034383256101</v>
      </c>
      <c r="S139" s="164">
        <f>(S101*Emissions_factors!$E$20)/1000</f>
        <v>19768.149593669339</v>
      </c>
      <c r="T139" s="164">
        <f>(T101*Emissions_factors!$E$20)/1000</f>
        <v>19753.733269025233</v>
      </c>
      <c r="U139" s="164">
        <f>(U101*Emissions_factors!$E$20)/1000</f>
        <v>19748.133213888748</v>
      </c>
      <c r="V139" s="164">
        <f>(V101*Emissions_factors!$E$20)/1000</f>
        <v>19746.027705618093</v>
      </c>
      <c r="W139" s="164">
        <f>(W101*Emissions_factors!$E$20)/1000</f>
        <v>19745.260800918604</v>
      </c>
      <c r="X139" s="164">
        <f>(X101*Emissions_factors!$E$20)/1000</f>
        <v>19744.989966313355</v>
      </c>
      <c r="Y139" s="164">
        <f>(Y101*Emissions_factors!$E$20)/1000</f>
        <v>19744.897160716795</v>
      </c>
      <c r="Z139" s="164">
        <f>(Z101*Emissions_factors!$E$20)/1000</f>
        <v>19744.866282319541</v>
      </c>
      <c r="AA139" s="164">
        <f>(AA101*Emissions_factors!$E$20)/1000</f>
        <v>19744.856300106869</v>
      </c>
      <c r="AB139" s="164">
        <f>(AB101*Emissions_factors!$E$20)/1000</f>
        <v>19744.85316283919</v>
      </c>
      <c r="AC139" s="164">
        <f>(AC101*Emissions_factors!$E$20)/1000</f>
        <v>19744.852203719645</v>
      </c>
      <c r="AD139" s="164">
        <f>(AD101*Emissions_factors!$E$20)/1000</f>
        <v>19744.851918342887</v>
      </c>
      <c r="AE139" s="164">
        <f>(AE101*Emissions_factors!$E$20)/1000</f>
        <v>19744.851835662361</v>
      </c>
      <c r="AF139" s="164">
        <f>(AF101*Emissions_factors!$E$20)/1000</f>
        <v>19744.851812326287</v>
      </c>
      <c r="AG139" s="164">
        <f>(AG101*Emissions_factors!$E$20)/1000</f>
        <v>19744.851805907016</v>
      </c>
      <c r="AH139" s="164" t="e">
        <f>(AH101*Emissions_factors!$E$20)/1000</f>
        <v>#REF!</v>
      </c>
      <c r="AI139" s="164" t="e">
        <f>(AI101*Emissions_factors!$E$20)/1000</f>
        <v>#REF!</v>
      </c>
      <c r="AJ139" s="164" t="e">
        <f>(AJ101*Emissions_factors!$E$20)/1000</f>
        <v>#REF!</v>
      </c>
      <c r="AK139" s="164" t="e">
        <f>(AK101*Emissions_factors!$E$20)/1000</f>
        <v>#REF!</v>
      </c>
      <c r="AL139" s="164" t="e">
        <f>(AL101*Emissions_factors!$E$20)/1000</f>
        <v>#REF!</v>
      </c>
    </row>
    <row r="140" spans="1:38">
      <c r="B140" s="163">
        <v>2002</v>
      </c>
      <c r="C140" s="164">
        <f>(C102*Emissions_factors!$E$20)/1000</f>
        <v>0</v>
      </c>
      <c r="D140" s="164">
        <f>(D102*Emissions_factors!$E$20)/1000</f>
        <v>0</v>
      </c>
      <c r="E140" s="164">
        <f>(E102*Emissions_factors!$E$20)/1000</f>
        <v>441562.26800026343</v>
      </c>
      <c r="F140" s="164">
        <f>(F102*Emissions_factors!$E$20)/1000</f>
        <v>334698.29293884808</v>
      </c>
      <c r="G140" s="164">
        <f>(G102*Emissions_factors!$E$20)/1000</f>
        <v>238118.29553732951</v>
      </c>
      <c r="H140" s="164">
        <f>(H102*Emissions_factors!$E$20)/1000</f>
        <v>161805.177825819</v>
      </c>
      <c r="I140" s="164">
        <f>(I102*Emissions_factors!$E$20)/1000</f>
        <v>107038.30865523785</v>
      </c>
      <c r="J140" s="164">
        <f>(J102*Emissions_factors!$E$20)/1000</f>
        <v>70656.800676709769</v>
      </c>
      <c r="K140" s="164">
        <f>(K102*Emissions_factors!$E$20)/1000</f>
        <v>48031.201234864238</v>
      </c>
      <c r="L140" s="164">
        <f>(L102*Emissions_factors!$E$20)/1000</f>
        <v>34758.791593235524</v>
      </c>
      <c r="M140" s="164">
        <f>(M102*Emissions_factors!$E$20)/1000</f>
        <v>27374.977553434368</v>
      </c>
      <c r="N140" s="164">
        <f>(N102*Emissions_factors!$E$20)/1000</f>
        <v>23463.199879331714</v>
      </c>
      <c r="O140" s="164">
        <f>(O102*Emissions_factors!$E$20)/1000</f>
        <v>21483.340620910174</v>
      </c>
      <c r="P140" s="164">
        <f>(P102*Emissions_factors!$E$20)/1000</f>
        <v>20523.491690543098</v>
      </c>
      <c r="Q140" s="164">
        <f>(Q102*Emissions_factors!$E$20)/1000</f>
        <v>20076.776467579992</v>
      </c>
      <c r="R140" s="164">
        <f>(R102*Emissions_factors!$E$20)/1000</f>
        <v>19876.824582843503</v>
      </c>
      <c r="S140" s="164">
        <f>(S102*Emissions_factors!$E$20)/1000</f>
        <v>19790.609339727725</v>
      </c>
      <c r="T140" s="164">
        <f>(T102*Emissions_factors!$E$20)/1000</f>
        <v>19754.748876238005</v>
      </c>
      <c r="U140" s="164">
        <f>(U102*Emissions_factors!$E$20)/1000</f>
        <v>19740.342324339301</v>
      </c>
      <c r="V140" s="164">
        <f>(V102*Emissions_factors!$E$20)/1000</f>
        <v>19734.746065448693</v>
      </c>
      <c r="W140" s="164">
        <f>(W102*Emissions_factors!$E$20)/1000</f>
        <v>19732.641984490252</v>
      </c>
      <c r="X140" s="164">
        <f>(X102*Emissions_factors!$E$20)/1000</f>
        <v>19731.875599671152</v>
      </c>
      <c r="Y140" s="164">
        <f>(Y102*Emissions_factors!$E$20)/1000</f>
        <v>19731.604948663153</v>
      </c>
      <c r="Z140" s="164">
        <f>(Z102*Emissions_factors!$E$20)/1000</f>
        <v>19731.512205978986</v>
      </c>
      <c r="AA140" s="164">
        <f>(AA102*Emissions_factors!$E$20)/1000</f>
        <v>19731.481348514022</v>
      </c>
      <c r="AB140" s="164">
        <f>(AB102*Emissions_factors!$E$20)/1000</f>
        <v>19731.471373068238</v>
      </c>
      <c r="AC140" s="164">
        <f>(AC102*Emissions_factors!$E$20)/1000</f>
        <v>19731.468237927293</v>
      </c>
      <c r="AD140" s="164">
        <f>(AD102*Emissions_factors!$E$20)/1000</f>
        <v>19731.467279457931</v>
      </c>
      <c r="AE140" s="164">
        <f>(AE102*Emissions_factors!$E$20)/1000</f>
        <v>19731.46699427463</v>
      </c>
      <c r="AF140" s="164">
        <f>(AF102*Emissions_factors!$E$20)/1000</f>
        <v>19731.46691165015</v>
      </c>
      <c r="AG140" s="164">
        <f>(AG102*Emissions_factors!$E$20)/1000</f>
        <v>19731.466888329898</v>
      </c>
      <c r="AH140" s="164">
        <f>(AH102*Emissions_factors!$E$20)/1000</f>
        <v>19731.466881914974</v>
      </c>
      <c r="AI140" s="164" t="e">
        <f>(AI102*Emissions_factors!$E$20)/1000</f>
        <v>#REF!</v>
      </c>
      <c r="AJ140" s="164" t="e">
        <f>(AJ102*Emissions_factors!$E$20)/1000</f>
        <v>#REF!</v>
      </c>
      <c r="AK140" s="164" t="e">
        <f>(AK102*Emissions_factors!$E$20)/1000</f>
        <v>#REF!</v>
      </c>
      <c r="AL140" s="164" t="e">
        <f>(AL102*Emissions_factors!$E$20)/1000</f>
        <v>#REF!</v>
      </c>
    </row>
    <row r="141" spans="1:38">
      <c r="B141" s="163">
        <v>2003</v>
      </c>
      <c r="C141" s="164">
        <f>(C103*Emissions_factors!$E$20)/1000</f>
        <v>0</v>
      </c>
      <c r="D141" s="164">
        <f>(D103*Emissions_factors!$E$20)/1000</f>
        <v>0</v>
      </c>
      <c r="E141" s="164">
        <f>(E103*Emissions_factors!$E$20)/1000</f>
        <v>0</v>
      </c>
      <c r="F141" s="164">
        <f>(F103*Emissions_factors!$E$20)/1000</f>
        <v>434237.38073477166</v>
      </c>
      <c r="G141" s="164">
        <f>(G103*Emissions_factors!$E$20)/1000</f>
        <v>329146.12636711524</v>
      </c>
      <c r="H141" s="164">
        <f>(H103*Emissions_factors!$E$20)/1000</f>
        <v>234168.2531603823</v>
      </c>
      <c r="I141" s="164">
        <f>(I103*Emissions_factors!$E$20)/1000</f>
        <v>159121.06106032975</v>
      </c>
      <c r="J141" s="164">
        <f>(J103*Emissions_factors!$E$20)/1000</f>
        <v>105262.69601618858</v>
      </c>
      <c r="K141" s="164">
        <f>(K103*Emissions_factors!$E$20)/1000</f>
        <v>69484.705284951997</v>
      </c>
      <c r="L141" s="164">
        <f>(L103*Emissions_factors!$E$20)/1000</f>
        <v>47234.432217744965</v>
      </c>
      <c r="M141" s="164">
        <f>(M103*Emissions_factors!$E$20)/1000</f>
        <v>34182.192892766347</v>
      </c>
      <c r="N141" s="164">
        <f>(N103*Emissions_factors!$E$20)/1000</f>
        <v>26920.865780292206</v>
      </c>
      <c r="O141" s="164">
        <f>(O103*Emissions_factors!$E$20)/1000</f>
        <v>23073.978909926551</v>
      </c>
      <c r="P141" s="164">
        <f>(P103*Emissions_factors!$E$20)/1000</f>
        <v>21126.9626884229</v>
      </c>
      <c r="Q141" s="164">
        <f>(Q103*Emissions_factors!$E$20)/1000</f>
        <v>20183.03628069047</v>
      </c>
      <c r="R141" s="164">
        <f>(R103*Emissions_factors!$E$20)/1000</f>
        <v>19743.73142515482</v>
      </c>
      <c r="S141" s="164">
        <f>(S103*Emissions_factors!$E$20)/1000</f>
        <v>19547.096456559855</v>
      </c>
      <c r="T141" s="164">
        <f>(T103*Emissions_factors!$E$20)/1000</f>
        <v>19462.311401171057</v>
      </c>
      <c r="U141" s="164">
        <f>(U103*Emissions_factors!$E$20)/1000</f>
        <v>19427.045811544856</v>
      </c>
      <c r="V141" s="164">
        <f>(V103*Emissions_factors!$E$20)/1000</f>
        <v>19412.878243762749</v>
      </c>
      <c r="W141" s="164">
        <f>(W103*Emissions_factors!$E$20)/1000</f>
        <v>19407.37481881303</v>
      </c>
      <c r="X141" s="164">
        <f>(X103*Emissions_factors!$E$20)/1000</f>
        <v>19405.305641552062</v>
      </c>
      <c r="Y141" s="164">
        <f>(Y103*Emissions_factors!$E$20)/1000</f>
        <v>19404.551969962344</v>
      </c>
      <c r="Z141" s="164">
        <f>(Z103*Emissions_factors!$E$20)/1000</f>
        <v>19404.285808667952</v>
      </c>
      <c r="AA141" s="164">
        <f>(AA103*Emissions_factors!$E$20)/1000</f>
        <v>19404.194604452434</v>
      </c>
      <c r="AB141" s="164">
        <f>(AB103*Emissions_factors!$E$20)/1000</f>
        <v>19404.164258868739</v>
      </c>
      <c r="AC141" s="164">
        <f>(AC103*Emissions_factors!$E$20)/1000</f>
        <v>19404.154448901347</v>
      </c>
      <c r="AD141" s="164">
        <f>(AD103*Emissions_factors!$E$20)/1000</f>
        <v>19404.15136576791</v>
      </c>
      <c r="AE141" s="164">
        <f>(AE103*Emissions_factors!$E$20)/1000</f>
        <v>19404.150423198185</v>
      </c>
      <c r="AF141" s="164">
        <f>(AF103*Emissions_factors!$E$20)/1000</f>
        <v>19404.150142745671</v>
      </c>
      <c r="AG141" s="164">
        <f>(AG103*Emissions_factors!$E$20)/1000</f>
        <v>19404.150061491811</v>
      </c>
      <c r="AH141" s="164">
        <f>(AH103*Emissions_factors!$E$20)/1000</f>
        <v>19404.150038558408</v>
      </c>
      <c r="AI141" s="164">
        <f>(AI103*Emissions_factors!$E$20)/1000</f>
        <v>19404.150032249901</v>
      </c>
      <c r="AJ141" s="164" t="e">
        <f>(AJ103*Emissions_factors!$E$20)/1000</f>
        <v>#REF!</v>
      </c>
      <c r="AK141" s="164" t="e">
        <f>(AK103*Emissions_factors!$E$20)/1000</f>
        <v>#REF!</v>
      </c>
      <c r="AL141" s="164" t="e">
        <f>(AL103*Emissions_factors!$E$20)/1000</f>
        <v>#REF!</v>
      </c>
    </row>
    <row r="142" spans="1:38">
      <c r="B142" s="163">
        <v>2004</v>
      </c>
      <c r="C142" s="164">
        <f>(C104*Emissions_factors!$E$20)/1000</f>
        <v>0</v>
      </c>
      <c r="D142" s="164">
        <f>(D104*Emissions_factors!$E$20)/1000</f>
        <v>0</v>
      </c>
      <c r="E142" s="164">
        <f>(E104*Emissions_factors!$E$20)/1000</f>
        <v>0</v>
      </c>
      <c r="F142" s="164">
        <f>(F104*Emissions_factors!$E$20)/1000</f>
        <v>0</v>
      </c>
      <c r="G142" s="164">
        <f>(G104*Emissions_factors!$E$20)/1000</f>
        <v>422075.39134305849</v>
      </c>
      <c r="H142" s="164">
        <f>(H104*Emissions_factors!$E$20)/1000</f>
        <v>319927.50108334358</v>
      </c>
      <c r="I142" s="164">
        <f>(I104*Emissions_factors!$E$20)/1000</f>
        <v>227609.73945989533</v>
      </c>
      <c r="J142" s="164">
        <f>(J104*Emissions_factors!$E$20)/1000</f>
        <v>154664.44644705235</v>
      </c>
      <c r="K142" s="164">
        <f>(K104*Emissions_factors!$E$20)/1000</f>
        <v>102314.53022234146</v>
      </c>
      <c r="L142" s="164">
        <f>(L104*Emissions_factors!$E$20)/1000</f>
        <v>67538.598648227256</v>
      </c>
      <c r="M142" s="164">
        <f>(M104*Emissions_factors!$E$20)/1000</f>
        <v>45911.504508058242</v>
      </c>
      <c r="N142" s="164">
        <f>(N104*Emissions_factors!$E$20)/1000</f>
        <v>33224.828359469211</v>
      </c>
      <c r="O142" s="164">
        <f>(O104*Emissions_factors!$E$20)/1000</f>
        <v>26166.874303368597</v>
      </c>
      <c r="P142" s="164">
        <f>(P104*Emissions_factors!$E$20)/1000</f>
        <v>22427.729878458336</v>
      </c>
      <c r="Q142" s="164">
        <f>(Q104*Emissions_factors!$E$20)/1000</f>
        <v>20535.24509916114</v>
      </c>
      <c r="R142" s="164">
        <f>(R104*Emissions_factors!$E$20)/1000</f>
        <v>19617.755897129366</v>
      </c>
      <c r="S142" s="164">
        <f>(S104*Emissions_factors!$E$20)/1000</f>
        <v>19190.754959288948</v>
      </c>
      <c r="T142" s="164">
        <f>(T104*Emissions_factors!$E$20)/1000</f>
        <v>18999.627283497852</v>
      </c>
      <c r="U142" s="164">
        <f>(U104*Emissions_factors!$E$20)/1000</f>
        <v>18917.216862329788</v>
      </c>
      <c r="V142" s="164">
        <f>(V104*Emissions_factors!$E$20)/1000</f>
        <v>18882.93898068534</v>
      </c>
      <c r="W142" s="164">
        <f>(W104*Emissions_factors!$E$20)/1000</f>
        <v>18869.168213862147</v>
      </c>
      <c r="X142" s="164">
        <f>(X104*Emissions_factors!$E$20)/1000</f>
        <v>18863.81892717602</v>
      </c>
      <c r="Y142" s="164">
        <f>(Y104*Emissions_factors!$E$20)/1000</f>
        <v>18861.807702806756</v>
      </c>
      <c r="Z142" s="164">
        <f>(Z104*Emissions_factors!$E$20)/1000</f>
        <v>18861.075139823264</v>
      </c>
      <c r="AA142" s="164">
        <f>(AA104*Emissions_factors!$E$20)/1000</f>
        <v>18860.816433094009</v>
      </c>
      <c r="AB142" s="164">
        <f>(AB104*Emissions_factors!$E$20)/1000</f>
        <v>18860.727783298607</v>
      </c>
      <c r="AC142" s="164">
        <f>(AC104*Emissions_factors!$E$20)/1000</f>
        <v>18860.698287624855</v>
      </c>
      <c r="AD142" s="164">
        <f>(AD104*Emissions_factors!$E$20)/1000</f>
        <v>18860.688752412065</v>
      </c>
      <c r="AE142" s="164">
        <f>(AE104*Emissions_factors!$E$20)/1000</f>
        <v>18860.685755630104</v>
      </c>
      <c r="AF142" s="164">
        <f>(AF104*Emissions_factors!$E$20)/1000</f>
        <v>18860.684839459584</v>
      </c>
      <c r="AG142" s="164">
        <f>(AG104*Emissions_factors!$E$20)/1000</f>
        <v>18860.684566861899</v>
      </c>
      <c r="AH142" s="164">
        <f>(AH104*Emissions_factors!$E$20)/1000</f>
        <v>18860.684487883773</v>
      </c>
      <c r="AI142" s="164">
        <f>(AI104*Emissions_factors!$E$20)/1000</f>
        <v>18860.68446559268</v>
      </c>
      <c r="AJ142" s="164">
        <f>(AJ104*Emissions_factors!$E$20)/1000</f>
        <v>18860.684459460863</v>
      </c>
      <c r="AK142" s="164" t="e">
        <f>(AK104*Emissions_factors!$E$20)/1000</f>
        <v>#REF!</v>
      </c>
      <c r="AL142" s="164" t="e">
        <f>(AL104*Emissions_factors!$E$20)/1000</f>
        <v>#REF!</v>
      </c>
    </row>
    <row r="143" spans="1:38">
      <c r="B143" s="163">
        <v>2005</v>
      </c>
      <c r="C143" s="164">
        <f>(C105*Emissions_factors!$E$20)/1000</f>
        <v>0</v>
      </c>
      <c r="D143" s="164">
        <f>(D105*Emissions_factors!$E$20)/1000</f>
        <v>0</v>
      </c>
      <c r="E143" s="164">
        <f>(E105*Emissions_factors!$E$20)/1000</f>
        <v>0</v>
      </c>
      <c r="F143" s="164">
        <f>(F105*Emissions_factors!$E$20)/1000</f>
        <v>0</v>
      </c>
      <c r="G143" s="164">
        <f>(G105*Emissions_factors!$E$20)/1000</f>
        <v>0</v>
      </c>
      <c r="H143" s="164">
        <f>(H105*Emissions_factors!$E$20)/1000</f>
        <v>407892.85866365558</v>
      </c>
      <c r="I143" s="164">
        <f>(I105*Emissions_factors!$E$20)/1000</f>
        <v>309177.33101368829</v>
      </c>
      <c r="J143" s="164">
        <f>(J105*Emissions_factors!$E$20)/1000</f>
        <v>219961.62105676247</v>
      </c>
      <c r="K143" s="164">
        <f>(K105*Emissions_factors!$E$20)/1000</f>
        <v>149467.42806818604</v>
      </c>
      <c r="L143" s="164">
        <f>(L105*Emissions_factors!$E$20)/1000</f>
        <v>98876.568194186431</v>
      </c>
      <c r="M143" s="164">
        <f>(M105*Emissions_factors!$E$20)/1000</f>
        <v>65269.173796421557</v>
      </c>
      <c r="N143" s="164">
        <f>(N105*Emissions_factors!$E$20)/1000</f>
        <v>44368.790987200904</v>
      </c>
      <c r="O143" s="164">
        <f>(O105*Emissions_factors!$E$20)/1000</f>
        <v>32108.411189360548</v>
      </c>
      <c r="P143" s="164">
        <f>(P105*Emissions_factors!$E$20)/1000</f>
        <v>25287.617759307926</v>
      </c>
      <c r="Q143" s="164">
        <f>(Q105*Emissions_factors!$E$20)/1000</f>
        <v>21674.115670072701</v>
      </c>
      <c r="R143" s="164">
        <f>(R105*Emissions_factors!$E$20)/1000</f>
        <v>19845.221964261804</v>
      </c>
      <c r="S143" s="164">
        <f>(S105*Emissions_factors!$E$20)/1000</f>
        <v>18958.56213740258</v>
      </c>
      <c r="T143" s="164">
        <f>(T105*Emissions_factors!$E$20)/1000</f>
        <v>18545.909239934255</v>
      </c>
      <c r="U143" s="164">
        <f>(U105*Emissions_factors!$E$20)/1000</f>
        <v>18361.203816099664</v>
      </c>
      <c r="V143" s="164">
        <f>(V105*Emissions_factors!$E$20)/1000</f>
        <v>18281.562541191513</v>
      </c>
      <c r="W143" s="164">
        <f>(W105*Emissions_factors!$E$20)/1000</f>
        <v>18248.436461302328</v>
      </c>
      <c r="X143" s="164">
        <f>(X105*Emissions_factors!$E$20)/1000</f>
        <v>18235.128418330125</v>
      </c>
      <c r="Y143" s="164">
        <f>(Y105*Emissions_factors!$E$20)/1000</f>
        <v>18229.95887780972</v>
      </c>
      <c r="Z143" s="164">
        <f>(Z105*Emissions_factors!$E$20)/1000</f>
        <v>18228.015234389088</v>
      </c>
      <c r="AA143" s="164">
        <f>(AA105*Emissions_factors!$E$20)/1000</f>
        <v>18227.307286909523</v>
      </c>
      <c r="AB143" s="164">
        <f>(AB105*Emissions_factors!$E$20)/1000</f>
        <v>18227.057273216436</v>
      </c>
      <c r="AC143" s="164">
        <f>(AC105*Emissions_factors!$E$20)/1000</f>
        <v>18226.971602222089</v>
      </c>
      <c r="AD143" s="164">
        <f>(AD105*Emissions_factors!$E$20)/1000</f>
        <v>18226.943097658848</v>
      </c>
      <c r="AE143" s="164">
        <f>(AE105*Emissions_factors!$E$20)/1000</f>
        <v>18226.933882847272</v>
      </c>
      <c r="AF143" s="164">
        <f>(AF105*Emissions_factors!$E$20)/1000</f>
        <v>18226.930986762854</v>
      </c>
      <c r="AG143" s="164">
        <f>(AG105*Emissions_factors!$E$20)/1000</f>
        <v>18226.930101377406</v>
      </c>
      <c r="AH143" s="164">
        <f>(AH105*Emissions_factors!$E$20)/1000</f>
        <v>18226.929837939519</v>
      </c>
      <c r="AI143" s="164">
        <f>(AI105*Emissions_factors!$E$20)/1000</f>
        <v>18226.929761615207</v>
      </c>
      <c r="AJ143" s="164">
        <f>(AJ105*Emissions_factors!$E$20)/1000</f>
        <v>18226.929740073138</v>
      </c>
      <c r="AK143" s="164">
        <f>(AK105*Emissions_factors!$E$20)/1000</f>
        <v>18226.929734147358</v>
      </c>
      <c r="AL143" s="164" t="e">
        <f>(AL105*Emissions_factors!$E$20)/1000</f>
        <v>#REF!</v>
      </c>
    </row>
    <row r="144" spans="1:38">
      <c r="B144" s="163">
        <v>2006</v>
      </c>
      <c r="C144" s="164">
        <f>(C106*Emissions_factors!$E$20)/1000</f>
        <v>0</v>
      </c>
      <c r="D144" s="164">
        <f>(D106*Emissions_factors!$E$20)/1000</f>
        <v>0</v>
      </c>
      <c r="E144" s="164">
        <f>(E106*Emissions_factors!$E$20)/1000</f>
        <v>0</v>
      </c>
      <c r="F144" s="164">
        <f>(F106*Emissions_factors!$E$20)/1000</f>
        <v>0</v>
      </c>
      <c r="G144" s="164">
        <f>(G106*Emissions_factors!$E$20)/1000</f>
        <v>0</v>
      </c>
      <c r="H144" s="164">
        <f>(H106*Emissions_factors!$E$20)/1000</f>
        <v>0</v>
      </c>
      <c r="I144" s="164">
        <f>(I106*Emissions_factors!$E$20)/1000</f>
        <v>392186.80007918389</v>
      </c>
      <c r="J144" s="164">
        <f>(J106*Emissions_factors!$E$20)/1000</f>
        <v>297272.34868621931</v>
      </c>
      <c r="K144" s="164">
        <f>(K106*Emissions_factors!$E$20)/1000</f>
        <v>211491.92115083296</v>
      </c>
      <c r="L144" s="164">
        <f>(L106*Emissions_factors!$E$20)/1000</f>
        <v>143712.13196077119</v>
      </c>
      <c r="M144" s="164">
        <f>(M106*Emissions_factors!$E$20)/1000</f>
        <v>95069.291014151371</v>
      </c>
      <c r="N144" s="164">
        <f>(N106*Emissions_factors!$E$20)/1000</f>
        <v>62755.961207299057</v>
      </c>
      <c r="O144" s="164">
        <f>(O106*Emissions_factors!$E$20)/1000</f>
        <v>42660.355019848554</v>
      </c>
      <c r="P144" s="164">
        <f>(P106*Emissions_factors!$E$20)/1000</f>
        <v>30872.065476305928</v>
      </c>
      <c r="Q144" s="164">
        <f>(Q106*Emissions_factors!$E$20)/1000</f>
        <v>24313.909106279218</v>
      </c>
      <c r="R144" s="164">
        <f>(R106*Emissions_factors!$E$20)/1000</f>
        <v>20839.546191224628</v>
      </c>
      <c r="S144" s="164">
        <f>(S106*Emissions_factors!$E$20)/1000</f>
        <v>19081.074683493749</v>
      </c>
      <c r="T144" s="164">
        <f>(T106*Emissions_factors!$E$20)/1000</f>
        <v>18228.556006422667</v>
      </c>
      <c r="U144" s="164">
        <f>(U106*Emissions_factors!$E$20)/1000</f>
        <v>17831.792454514161</v>
      </c>
      <c r="V144" s="164">
        <f>(V106*Emissions_factors!$E$20)/1000</f>
        <v>17654.1991782595</v>
      </c>
      <c r="W144" s="164">
        <f>(W106*Emissions_factors!$E$20)/1000</f>
        <v>17577.62451876979</v>
      </c>
      <c r="X144" s="164">
        <f>(X106*Emissions_factors!$E$20)/1000</f>
        <v>17545.773970286369</v>
      </c>
      <c r="Y144" s="164">
        <f>(Y106*Emissions_factors!$E$20)/1000</f>
        <v>17532.978358209013</v>
      </c>
      <c r="Z144" s="164">
        <f>(Z106*Emissions_factors!$E$20)/1000</f>
        <v>17528.007872672151</v>
      </c>
      <c r="AA144" s="164">
        <f>(AA106*Emissions_factors!$E$20)/1000</f>
        <v>17526.139069927893</v>
      </c>
      <c r="AB144" s="164">
        <f>(AB106*Emissions_factors!$E$20)/1000</f>
        <v>17525.458382216071</v>
      </c>
      <c r="AC144" s="164">
        <f>(AC106*Emissions_factors!$E$20)/1000</f>
        <v>17525.217995388535</v>
      </c>
      <c r="AD144" s="164">
        <f>(AD106*Emissions_factors!$E$20)/1000</f>
        <v>17525.135623186081</v>
      </c>
      <c r="AE144" s="164">
        <f>(AE106*Emissions_factors!$E$20)/1000</f>
        <v>17525.108216201112</v>
      </c>
      <c r="AF144" s="164">
        <f>(AF106*Emissions_factors!$E$20)/1000</f>
        <v>17525.099356209113</v>
      </c>
      <c r="AG144" s="164">
        <f>(AG106*Emissions_factors!$E$20)/1000</f>
        <v>17525.096571639453</v>
      </c>
      <c r="AH144" s="164">
        <f>(AH106*Emissions_factors!$E$20)/1000</f>
        <v>17525.095720346078</v>
      </c>
      <c r="AI144" s="164">
        <f>(AI106*Emissions_factors!$E$20)/1000</f>
        <v>17525.09546705196</v>
      </c>
      <c r="AJ144" s="164">
        <f>(AJ106*Emissions_factors!$E$20)/1000</f>
        <v>17525.095393666543</v>
      </c>
      <c r="AK144" s="164">
        <f>(AK106*Emissions_factors!$E$20)/1000</f>
        <v>17525.095372953958</v>
      </c>
      <c r="AL144" s="164">
        <f>(AL106*Emissions_factors!$E$20)/1000</f>
        <v>17525.095367256356</v>
      </c>
    </row>
    <row r="145" spans="2:38">
      <c r="B145" s="163">
        <v>2007</v>
      </c>
      <c r="C145" s="164">
        <f>(C107*Emissions_factors!$E$20)/1000</f>
        <v>0</v>
      </c>
      <c r="D145" s="164">
        <f>(D107*Emissions_factors!$E$20)/1000</f>
        <v>0</v>
      </c>
      <c r="E145" s="164">
        <f>(E107*Emissions_factors!$E$20)/1000</f>
        <v>0</v>
      </c>
      <c r="F145" s="164">
        <f>(F107*Emissions_factors!$E$20)/1000</f>
        <v>0</v>
      </c>
      <c r="G145" s="164">
        <f>(G107*Emissions_factors!$E$20)/1000</f>
        <v>0</v>
      </c>
      <c r="H145" s="164">
        <f>(H107*Emissions_factors!$E$20)/1000</f>
        <v>0</v>
      </c>
      <c r="I145" s="164">
        <f>(I107*Emissions_factors!$E$20)/1000</f>
        <v>0</v>
      </c>
      <c r="J145" s="164">
        <f>(J107*Emissions_factors!$E$20)/1000</f>
        <v>0</v>
      </c>
      <c r="K145" s="164">
        <f>(K107*Emissions_factors!$E$20)/1000</f>
        <v>0</v>
      </c>
      <c r="L145" s="164">
        <f>(L107*Emissions_factors!$E$20)/1000</f>
        <v>0</v>
      </c>
      <c r="M145" s="164">
        <f>(M107*Emissions_factors!$E$20)/1000</f>
        <v>0</v>
      </c>
      <c r="N145" s="164">
        <f>(N107*Emissions_factors!$E$20)/1000</f>
        <v>0</v>
      </c>
      <c r="O145" s="164">
        <f>(O107*Emissions_factors!$E$20)/1000</f>
        <v>0</v>
      </c>
      <c r="P145" s="164">
        <f>(P107*Emissions_factors!$E$20)/1000</f>
        <v>0</v>
      </c>
      <c r="Q145" s="164">
        <f>(Q107*Emissions_factors!$E$20)/1000</f>
        <v>0</v>
      </c>
      <c r="R145" s="164">
        <f>(R107*Emissions_factors!$E$20)/1000</f>
        <v>0</v>
      </c>
      <c r="S145" s="164">
        <f>(S107*Emissions_factors!$E$20)/1000</f>
        <v>0</v>
      </c>
      <c r="T145" s="164">
        <f>(T107*Emissions_factors!$E$20)/1000</f>
        <v>0</v>
      </c>
      <c r="U145" s="164">
        <f>(U107*Emissions_factors!$E$20)/1000</f>
        <v>0</v>
      </c>
      <c r="V145" s="164">
        <f>(V107*Emissions_factors!$E$20)/1000</f>
        <v>0</v>
      </c>
      <c r="W145" s="164">
        <f>(W107*Emissions_factors!$E$20)/1000</f>
        <v>0</v>
      </c>
      <c r="X145" s="164">
        <f>(X107*Emissions_factors!$E$20)/1000</f>
        <v>0</v>
      </c>
      <c r="Y145" s="164">
        <f>(Y107*Emissions_factors!$E$20)/1000</f>
        <v>0</v>
      </c>
      <c r="Z145" s="164">
        <f>(Z107*Emissions_factors!$E$20)/1000</f>
        <v>0</v>
      </c>
      <c r="AA145" s="164">
        <f>(AA107*Emissions_factors!$E$20)/1000</f>
        <v>0</v>
      </c>
      <c r="AB145" s="164">
        <f>(AB107*Emissions_factors!$E$20)/1000</f>
        <v>0</v>
      </c>
      <c r="AC145" s="164">
        <f>(AC107*Emissions_factors!$E$20)/1000</f>
        <v>0</v>
      </c>
      <c r="AD145" s="164">
        <f>(AD107*Emissions_factors!$E$20)/1000</f>
        <v>0</v>
      </c>
      <c r="AE145" s="164">
        <f>(AE107*Emissions_factors!$E$20)/1000</f>
        <v>0</v>
      </c>
      <c r="AF145" s="164">
        <f>(AF107*Emissions_factors!$E$20)/1000</f>
        <v>0</v>
      </c>
      <c r="AG145" s="164">
        <f>(AG107*Emissions_factors!$E$20)/1000</f>
        <v>0</v>
      </c>
      <c r="AH145" s="164">
        <f>(AH107*Emissions_factors!$E$20)/1000</f>
        <v>0</v>
      </c>
      <c r="AI145" s="164">
        <f>(AI107*Emissions_factors!$E$20)/1000</f>
        <v>0</v>
      </c>
      <c r="AJ145" s="164">
        <f>(AJ107*Emissions_factors!$E$20)/1000</f>
        <v>0</v>
      </c>
      <c r="AK145" s="164">
        <f>(AK107*Emissions_factors!$E$20)/1000</f>
        <v>0</v>
      </c>
      <c r="AL145" s="164">
        <f>(AL107*Emissions_factors!$E$20)/1000</f>
        <v>0</v>
      </c>
    </row>
    <row r="146" spans="2:38">
      <c r="B146" s="163">
        <v>2008</v>
      </c>
      <c r="C146" s="164">
        <f>(C108*Emissions_factors!$E$20)/1000</f>
        <v>0</v>
      </c>
      <c r="D146" s="164">
        <f>(D108*Emissions_factors!$E$20)/1000</f>
        <v>0</v>
      </c>
      <c r="E146" s="164">
        <f>(E108*Emissions_factors!$E$20)/1000</f>
        <v>0</v>
      </c>
      <c r="F146" s="164">
        <f>(F108*Emissions_factors!$E$20)/1000</f>
        <v>0</v>
      </c>
      <c r="G146" s="164">
        <f>(G108*Emissions_factors!$E$20)/1000</f>
        <v>0</v>
      </c>
      <c r="H146" s="164">
        <f>(H108*Emissions_factors!$E$20)/1000</f>
        <v>0</v>
      </c>
      <c r="I146" s="164">
        <f>(I108*Emissions_factors!$E$20)/1000</f>
        <v>0</v>
      </c>
      <c r="J146" s="164">
        <f>(J108*Emissions_factors!$E$20)/1000</f>
        <v>0</v>
      </c>
      <c r="K146" s="164">
        <f>(K108*Emissions_factors!$E$20)/1000</f>
        <v>0</v>
      </c>
      <c r="L146" s="164">
        <f>(L108*Emissions_factors!$E$20)/1000</f>
        <v>0</v>
      </c>
      <c r="M146" s="164">
        <f>(M108*Emissions_factors!$E$20)/1000</f>
        <v>0</v>
      </c>
      <c r="N146" s="164">
        <f>(N108*Emissions_factors!$E$20)/1000</f>
        <v>0</v>
      </c>
      <c r="O146" s="164">
        <f>(O108*Emissions_factors!$E$20)/1000</f>
        <v>0</v>
      </c>
      <c r="P146" s="164">
        <f>(P108*Emissions_factors!$E$20)/1000</f>
        <v>0</v>
      </c>
      <c r="Q146" s="164">
        <f>(Q108*Emissions_factors!$E$20)/1000</f>
        <v>0</v>
      </c>
      <c r="R146" s="164">
        <f>(R108*Emissions_factors!$E$20)/1000</f>
        <v>0</v>
      </c>
      <c r="S146" s="164">
        <f>(S108*Emissions_factors!$E$20)/1000</f>
        <v>0</v>
      </c>
      <c r="T146" s="164">
        <f>(T108*Emissions_factors!$E$20)/1000</f>
        <v>0</v>
      </c>
      <c r="U146" s="164">
        <f>(U108*Emissions_factors!$E$20)/1000</f>
        <v>0</v>
      </c>
      <c r="V146" s="164">
        <f>(V108*Emissions_factors!$E$20)/1000</f>
        <v>0</v>
      </c>
      <c r="W146" s="164">
        <f>(W108*Emissions_factors!$E$20)/1000</f>
        <v>0</v>
      </c>
      <c r="X146" s="164">
        <f>(X108*Emissions_factors!$E$20)/1000</f>
        <v>0</v>
      </c>
      <c r="Y146" s="164">
        <f>(Y108*Emissions_factors!$E$20)/1000</f>
        <v>0</v>
      </c>
      <c r="Z146" s="164">
        <f>(Z108*Emissions_factors!$E$20)/1000</f>
        <v>0</v>
      </c>
      <c r="AA146" s="164">
        <f>(AA108*Emissions_factors!$E$20)/1000</f>
        <v>0</v>
      </c>
      <c r="AB146" s="164">
        <f>(AB108*Emissions_factors!$E$20)/1000</f>
        <v>0</v>
      </c>
      <c r="AC146" s="164">
        <f>(AC108*Emissions_factors!$E$20)/1000</f>
        <v>0</v>
      </c>
      <c r="AD146" s="164">
        <f>(AD108*Emissions_factors!$E$20)/1000</f>
        <v>0</v>
      </c>
      <c r="AE146" s="164">
        <f>(AE108*Emissions_factors!$E$20)/1000</f>
        <v>0</v>
      </c>
      <c r="AF146" s="164">
        <f>(AF108*Emissions_factors!$E$20)/1000</f>
        <v>0</v>
      </c>
      <c r="AG146" s="164">
        <f>(AG108*Emissions_factors!$E$20)/1000</f>
        <v>0</v>
      </c>
      <c r="AH146" s="164">
        <f>(AH108*Emissions_factors!$E$20)/1000</f>
        <v>0</v>
      </c>
      <c r="AI146" s="164">
        <f>(AI108*Emissions_factors!$E$20)/1000</f>
        <v>0</v>
      </c>
      <c r="AJ146" s="164">
        <f>(AJ108*Emissions_factors!$E$20)/1000</f>
        <v>0</v>
      </c>
      <c r="AK146" s="164">
        <f>(AK108*Emissions_factors!$E$20)/1000</f>
        <v>0</v>
      </c>
      <c r="AL146" s="164">
        <f>(AL108*Emissions_factors!$E$20)/1000</f>
        <v>0</v>
      </c>
    </row>
    <row r="147" spans="2:38">
      <c r="B147" s="163">
        <v>2009</v>
      </c>
      <c r="C147" s="164">
        <f>(C109*Emissions_factors!$E$20)/1000</f>
        <v>0</v>
      </c>
      <c r="D147" s="164">
        <f>(D109*Emissions_factors!$E$20)/1000</f>
        <v>0</v>
      </c>
      <c r="E147" s="164">
        <f>(E109*Emissions_factors!$E$20)/1000</f>
        <v>0</v>
      </c>
      <c r="F147" s="164">
        <f>(F109*Emissions_factors!$E$20)/1000</f>
        <v>0</v>
      </c>
      <c r="G147" s="164">
        <f>(G109*Emissions_factors!$E$20)/1000</f>
        <v>0</v>
      </c>
      <c r="H147" s="164">
        <f>(H109*Emissions_factors!$E$20)/1000</f>
        <v>0</v>
      </c>
      <c r="I147" s="164">
        <f>(I109*Emissions_factors!$E$20)/1000</f>
        <v>0</v>
      </c>
      <c r="J147" s="164">
        <f>(J109*Emissions_factors!$E$20)/1000</f>
        <v>0</v>
      </c>
      <c r="K147" s="164">
        <f>(K109*Emissions_factors!$E$20)/1000</f>
        <v>0</v>
      </c>
      <c r="L147" s="164">
        <f>(L109*Emissions_factors!$E$20)/1000</f>
        <v>426062.07131747092</v>
      </c>
      <c r="M147" s="164">
        <f>(M109*Emissions_factors!$E$20)/1000</f>
        <v>322949.35117930453</v>
      </c>
      <c r="N147" s="164">
        <f>(N109*Emissions_factors!$E$20)/1000</f>
        <v>229759.60938573626</v>
      </c>
      <c r="O147" s="164">
        <f>(O109*Emissions_factors!$E$20)/1000</f>
        <v>156125.31733422261</v>
      </c>
      <c r="P147" s="164">
        <f>(P109*Emissions_factors!$E$20)/1000</f>
        <v>103280.9340854781</v>
      </c>
      <c r="Q147" s="164">
        <f>(Q109*Emissions_factors!$E$20)/1000</f>
        <v>68176.52917972306</v>
      </c>
      <c r="R147" s="164">
        <f>(R109*Emissions_factors!$E$20)/1000</f>
        <v>46345.158019661918</v>
      </c>
      <c r="S147" s="164">
        <f>(S109*Emissions_factors!$E$20)/1000</f>
        <v>33538.650867463533</v>
      </c>
      <c r="T147" s="164">
        <f>(T109*Emissions_factors!$E$20)/1000</f>
        <v>26414.031460402141</v>
      </c>
      <c r="U147" s="164">
        <f>(U109*Emissions_factors!$E$20)/1000</f>
        <v>22639.569240363344</v>
      </c>
      <c r="V147" s="164">
        <f>(V109*Emissions_factors!$E$20)/1000</f>
        <v>20729.209144650584</v>
      </c>
      <c r="W147" s="164">
        <f>(W109*Emissions_factors!$E$20)/1000</f>
        <v>19803.053870387419</v>
      </c>
      <c r="X147" s="164">
        <f>(X109*Emissions_factors!$E$20)/1000</f>
        <v>19372.019728709802</v>
      </c>
      <c r="Y147" s="164">
        <f>(Y109*Emissions_factors!$E$20)/1000</f>
        <v>19179.086771461298</v>
      </c>
      <c r="Z147" s="164">
        <f>(Z109*Emissions_factors!$E$20)/1000</f>
        <v>19095.897949129572</v>
      </c>
      <c r="AA147" s="164">
        <f>(AA109*Emissions_factors!$E$20)/1000</f>
        <v>19061.296298445046</v>
      </c>
      <c r="AB147" s="164">
        <f>(AB109*Emissions_factors!$E$20)/1000</f>
        <v>19047.395460924898</v>
      </c>
      <c r="AC147" s="164">
        <f>(AC109*Emissions_factors!$E$20)/1000</f>
        <v>19041.995647971231</v>
      </c>
      <c r="AD147" s="164">
        <f>(AD109*Emissions_factors!$E$20)/1000</f>
        <v>19039.965426740011</v>
      </c>
      <c r="AE147" s="164">
        <f>(AE109*Emissions_factors!$E$20)/1000</f>
        <v>19039.225944390328</v>
      </c>
      <c r="AF147" s="164">
        <f>(AF109*Emissions_factors!$E$20)/1000</f>
        <v>19038.964794066938</v>
      </c>
      <c r="AG147" s="164">
        <f>(AG109*Emissions_factors!$E$20)/1000</f>
        <v>19038.875306936901</v>
      </c>
      <c r="AH147" s="164">
        <f>(AH109*Emissions_factors!$E$20)/1000</f>
        <v>19038.845532664043</v>
      </c>
      <c r="AI147" s="164">
        <f>(AI109*Emissions_factors!$E$20)/1000</f>
        <v>19038.835907387082</v>
      </c>
      <c r="AJ147" s="164">
        <f>(AJ109*Emissions_factors!$E$20)/1000</f>
        <v>19038.832882299284</v>
      </c>
      <c r="AK147" s="164">
        <f>(AK109*Emissions_factors!$E$20)/1000</f>
        <v>19038.831957475144</v>
      </c>
      <c r="AL147" s="164">
        <f>(AL109*Emissions_factors!$E$20)/1000</f>
        <v>19038.831682302709</v>
      </c>
    </row>
    <row r="148" spans="2:38">
      <c r="B148" s="163">
        <v>2010</v>
      </c>
      <c r="C148" s="164">
        <f>(C110*Emissions_factors!$E$20)/1000</f>
        <v>0</v>
      </c>
      <c r="D148" s="164">
        <f>(D110*Emissions_factors!$E$20)/1000</f>
        <v>0</v>
      </c>
      <c r="E148" s="164">
        <f>(E110*Emissions_factors!$E$20)/1000</f>
        <v>0</v>
      </c>
      <c r="F148" s="164">
        <f>(F110*Emissions_factors!$E$20)/1000</f>
        <v>0</v>
      </c>
      <c r="G148" s="164">
        <f>(G110*Emissions_factors!$E$20)/1000</f>
        <v>0</v>
      </c>
      <c r="H148" s="164">
        <f>(H110*Emissions_factors!$E$20)/1000</f>
        <v>0</v>
      </c>
      <c r="I148" s="164">
        <f>(I110*Emissions_factors!$E$20)/1000</f>
        <v>0</v>
      </c>
      <c r="J148" s="164">
        <f>(J110*Emissions_factors!$E$20)/1000</f>
        <v>0</v>
      </c>
      <c r="K148" s="164">
        <f>(K110*Emissions_factors!$E$20)/1000</f>
        <v>0</v>
      </c>
      <c r="L148" s="164">
        <f>(L110*Emissions_factors!$E$20)/1000</f>
        <v>0</v>
      </c>
      <c r="M148" s="164">
        <f>(M110*Emissions_factors!$E$20)/1000</f>
        <v>420728.70459834073</v>
      </c>
      <c r="N148" s="164">
        <f>(N110*Emissions_factors!$E$20)/1000</f>
        <v>318906.73054372822</v>
      </c>
      <c r="O148" s="164">
        <f>(O110*Emissions_factors!$E$20)/1000</f>
        <v>226883.52081416009</v>
      </c>
      <c r="P148" s="164">
        <f>(P110*Emissions_factors!$E$20)/1000</f>
        <v>154170.96930012235</v>
      </c>
      <c r="Q148" s="164">
        <f>(Q110*Emissions_factors!$E$20)/1000</f>
        <v>101988.08233064129</v>
      </c>
      <c r="R148" s="164">
        <f>(R110*Emissions_factors!$E$20)/1000</f>
        <v>67323.1079150031</v>
      </c>
      <c r="S148" s="164">
        <f>(S110*Emissions_factors!$E$20)/1000</f>
        <v>45765.017847572497</v>
      </c>
      <c r="T148" s="164">
        <f>(T110*Emissions_factors!$E$20)/1000</f>
        <v>33118.820198688198</v>
      </c>
      <c r="U148" s="164">
        <f>(U110*Emissions_factors!$E$20)/1000</f>
        <v>26083.385468203629</v>
      </c>
      <c r="V148" s="164">
        <f>(V110*Emissions_factors!$E$20)/1000</f>
        <v>22356.17127267153</v>
      </c>
      <c r="W148" s="164">
        <f>(W110*Emissions_factors!$E$20)/1000</f>
        <v>20469.724713605039</v>
      </c>
      <c r="X148" s="164">
        <f>(X110*Emissions_factors!$E$20)/1000</f>
        <v>19555.162880882512</v>
      </c>
      <c r="Y148" s="164">
        <f>(Y110*Emissions_factors!$E$20)/1000</f>
        <v>19129.524345387188</v>
      </c>
      <c r="Z148" s="164">
        <f>(Z110*Emissions_factors!$E$20)/1000</f>
        <v>18939.006487445768</v>
      </c>
      <c r="AA148" s="164">
        <f>(AA110*Emissions_factors!$E$20)/1000</f>
        <v>18856.859007505947</v>
      </c>
      <c r="AB148" s="164">
        <f>(AB110*Emissions_factors!$E$20)/1000</f>
        <v>18822.690493926562</v>
      </c>
      <c r="AC148" s="164">
        <f>(AC110*Emissions_factors!$E$20)/1000</f>
        <v>18808.963664536172</v>
      </c>
      <c r="AD148" s="164">
        <f>(AD110*Emissions_factors!$E$20)/1000</f>
        <v>18803.631445448842</v>
      </c>
      <c r="AE148" s="164">
        <f>(AE110*Emissions_factors!$E$20)/1000</f>
        <v>18801.626638153946</v>
      </c>
      <c r="AF148" s="164">
        <f>(AF110*Emissions_factors!$E$20)/1000</f>
        <v>18800.896412508446</v>
      </c>
      <c r="AG148" s="164">
        <f>(AG110*Emissions_factors!$E$20)/1000</f>
        <v>18800.638531216788</v>
      </c>
      <c r="AH148" s="164">
        <f>(AH110*Emissions_factors!$E$20)/1000</f>
        <v>18800.550164270218</v>
      </c>
      <c r="AI148" s="164">
        <f>(AI110*Emissions_factors!$E$20)/1000</f>
        <v>18800.520762706226</v>
      </c>
      <c r="AJ148" s="164">
        <f>(AJ110*Emissions_factors!$E$20)/1000</f>
        <v>18800.511257916762</v>
      </c>
      <c r="AK148" s="164">
        <f>(AK110*Emissions_factors!$E$20)/1000</f>
        <v>18800.508270696391</v>
      </c>
      <c r="AL148" s="164">
        <f>(AL110*Emissions_factors!$E$20)/1000</f>
        <v>18800.507357449053</v>
      </c>
    </row>
    <row r="149" spans="2:38">
      <c r="B149" s="163">
        <v>2011</v>
      </c>
      <c r="C149" s="164">
        <f>(C111*Emissions_factors!$E$20)/1000</f>
        <v>0</v>
      </c>
      <c r="D149" s="164">
        <f>(D111*Emissions_factors!$E$20)/1000</f>
        <v>0</v>
      </c>
      <c r="E149" s="164">
        <f>(E111*Emissions_factors!$E$20)/1000</f>
        <v>0</v>
      </c>
      <c r="F149" s="164">
        <f>(F111*Emissions_factors!$E$20)/1000</f>
        <v>0</v>
      </c>
      <c r="G149" s="164">
        <f>(G111*Emissions_factors!$E$20)/1000</f>
        <v>0</v>
      </c>
      <c r="H149" s="164">
        <f>(H111*Emissions_factors!$E$20)/1000</f>
        <v>0</v>
      </c>
      <c r="I149" s="164">
        <f>(I111*Emissions_factors!$E$20)/1000</f>
        <v>0</v>
      </c>
      <c r="J149" s="164">
        <f>(J111*Emissions_factors!$E$20)/1000</f>
        <v>0</v>
      </c>
      <c r="K149" s="164">
        <f>(K111*Emissions_factors!$E$20)/1000</f>
        <v>0</v>
      </c>
      <c r="L149" s="164">
        <f>(L111*Emissions_factors!$E$20)/1000</f>
        <v>0</v>
      </c>
      <c r="M149" s="164">
        <f>(M111*Emissions_factors!$E$20)/1000</f>
        <v>0</v>
      </c>
      <c r="N149" s="164">
        <f>(N111*Emissions_factors!$E$20)/1000</f>
        <v>367080.99776245566</v>
      </c>
      <c r="O149" s="164">
        <f>(O111*Emissions_factors!$E$20)/1000</f>
        <v>278242.48633787187</v>
      </c>
      <c r="P149" s="164">
        <f>(P111*Emissions_factors!$E$20)/1000</f>
        <v>197953.28506485085</v>
      </c>
      <c r="Q149" s="164">
        <f>(Q111*Emissions_factors!$E$20)/1000</f>
        <v>134512.41291159813</v>
      </c>
      <c r="R149" s="164">
        <f>(R111*Emissions_factors!$E$20)/1000</f>
        <v>88983.4390015112</v>
      </c>
      <c r="S149" s="164">
        <f>(S111*Emissions_factors!$E$20)/1000</f>
        <v>58738.644061620951</v>
      </c>
      <c r="T149" s="164">
        <f>(T111*Emissions_factors!$E$20)/1000</f>
        <v>39929.456275491139</v>
      </c>
      <c r="U149" s="164">
        <f>(U111*Emissions_factors!$E$20)/1000</f>
        <v>28895.793014303756</v>
      </c>
      <c r="V149" s="164">
        <f>(V111*Emissions_factors!$E$20)/1000</f>
        <v>22757.456427489586</v>
      </c>
      <c r="W149" s="164">
        <f>(W111*Emissions_factors!$E$20)/1000</f>
        <v>19505.504538263267</v>
      </c>
      <c r="X149" s="164">
        <f>(X111*Emissions_factors!$E$20)/1000</f>
        <v>17859.601424072931</v>
      </c>
      <c r="Y149" s="164">
        <f>(Y111*Emissions_factors!$E$20)/1000</f>
        <v>17061.656652532438</v>
      </c>
      <c r="Z149" s="164">
        <f>(Z111*Emissions_factors!$E$20)/1000</f>
        <v>16690.291883292459</v>
      </c>
      <c r="AA149" s="164">
        <f>(AA111*Emissions_factors!$E$20)/1000</f>
        <v>16524.067224455626</v>
      </c>
      <c r="AB149" s="164">
        <f>(AB111*Emissions_factors!$E$20)/1000</f>
        <v>16452.394484824566</v>
      </c>
      <c r="AC149" s="164">
        <f>(AC111*Emissions_factors!$E$20)/1000</f>
        <v>16422.582846303842</v>
      </c>
      <c r="AD149" s="164">
        <f>(AD111*Emissions_factors!$E$20)/1000</f>
        <v>16410.606344169144</v>
      </c>
      <c r="AE149" s="164">
        <f>(AE111*Emissions_factors!$E$20)/1000</f>
        <v>16405.954043811518</v>
      </c>
      <c r="AF149" s="164">
        <f>(AF111*Emissions_factors!$E$20)/1000</f>
        <v>16404.204872304814</v>
      </c>
      <c r="AG149" s="164">
        <f>(AG111*Emissions_factors!$E$20)/1000</f>
        <v>16403.567758754896</v>
      </c>
      <c r="AH149" s="164">
        <f>(AH111*Emissions_factors!$E$20)/1000</f>
        <v>16403.342760268202</v>
      </c>
      <c r="AI149" s="164">
        <f>(AI111*Emissions_factors!$E$20)/1000</f>
        <v>16403.265661114852</v>
      </c>
      <c r="AJ149" s="164">
        <f>(AJ111*Emissions_factors!$E$20)/1000</f>
        <v>16403.240008585486</v>
      </c>
      <c r="AK149" s="164">
        <f>(AK111*Emissions_factors!$E$20)/1000</f>
        <v>16403.231715765032</v>
      </c>
      <c r="AL149" s="164">
        <f>(AL111*Emissions_factors!$E$20)/1000</f>
        <v>16403.229109449345</v>
      </c>
    </row>
    <row r="150" spans="2:38">
      <c r="B150" s="163">
        <v>2012</v>
      </c>
      <c r="C150" s="164">
        <f>(C112*Emissions_factors!$E$20)/1000</f>
        <v>0</v>
      </c>
      <c r="D150" s="164">
        <f>(D112*Emissions_factors!$E$20)/1000</f>
        <v>0</v>
      </c>
      <c r="E150" s="164">
        <f>(E112*Emissions_factors!$E$20)/1000</f>
        <v>0</v>
      </c>
      <c r="F150" s="164">
        <f>(F112*Emissions_factors!$E$20)/1000</f>
        <v>0</v>
      </c>
      <c r="G150" s="164">
        <f>(G112*Emissions_factors!$E$20)/1000</f>
        <v>0</v>
      </c>
      <c r="H150" s="164">
        <f>(H112*Emissions_factors!$E$20)/1000</f>
        <v>0</v>
      </c>
      <c r="I150" s="164">
        <f>(I112*Emissions_factors!$E$20)/1000</f>
        <v>0</v>
      </c>
      <c r="J150" s="164">
        <f>(J112*Emissions_factors!$E$20)/1000</f>
        <v>0</v>
      </c>
      <c r="K150" s="164">
        <f>(K112*Emissions_factors!$E$20)/1000</f>
        <v>0</v>
      </c>
      <c r="L150" s="164">
        <f>(L112*Emissions_factors!$E$20)/1000</f>
        <v>0</v>
      </c>
      <c r="M150" s="164">
        <f>(M112*Emissions_factors!$E$20)/1000</f>
        <v>0</v>
      </c>
      <c r="N150" s="164">
        <f>(N112*Emissions_factors!$E$20)/1000</f>
        <v>0</v>
      </c>
      <c r="O150" s="164">
        <f>(O112*Emissions_factors!$E$20)/1000</f>
        <v>318411.8171338095</v>
      </c>
      <c r="P150" s="164">
        <f>(P112*Emissions_factors!$E$20)/1000</f>
        <v>241351.89840581926</v>
      </c>
      <c r="Q150" s="164">
        <f>(Q112*Emissions_factors!$E$20)/1000</f>
        <v>171707.78544601862</v>
      </c>
      <c r="R150" s="164">
        <f>(R112*Emissions_factors!$E$20)/1000</f>
        <v>116678.17752296601</v>
      </c>
      <c r="S150" s="164">
        <f>(S112*Emissions_factors!$E$20)/1000</f>
        <v>77185.631182199446</v>
      </c>
      <c r="T150" s="164">
        <f>(T112*Emissions_factors!$E$20)/1000</f>
        <v>50950.821496186116</v>
      </c>
      <c r="U150" s="164">
        <f>(U112*Emissions_factors!$E$20)/1000</f>
        <v>34635.436885435258</v>
      </c>
      <c r="V150" s="164">
        <f>(V112*Emissions_factors!$E$20)/1000</f>
        <v>25064.664249280682</v>
      </c>
      <c r="W150" s="164">
        <f>(W112*Emissions_factors!$E$20)/1000</f>
        <v>19740.174780470727</v>
      </c>
      <c r="X150" s="164">
        <f>(X112*Emissions_factors!$E$20)/1000</f>
        <v>16919.380687090983</v>
      </c>
      <c r="Y150" s="164">
        <f>(Y112*Emissions_factors!$E$20)/1000</f>
        <v>15491.698500843093</v>
      </c>
      <c r="Z150" s="164">
        <f>(Z112*Emissions_factors!$E$20)/1000</f>
        <v>14799.548685877578</v>
      </c>
      <c r="AA150" s="164">
        <f>(AA112*Emissions_factors!$E$20)/1000</f>
        <v>14477.421058149755</v>
      </c>
      <c r="AB150" s="164">
        <f>(AB112*Emissions_factors!$E$20)/1000</f>
        <v>14333.235180931097</v>
      </c>
      <c r="AC150" s="164">
        <f>(AC112*Emissions_factors!$E$20)/1000</f>
        <v>14271.065121995884</v>
      </c>
      <c r="AD150" s="164">
        <f>(AD112*Emissions_factors!$E$20)/1000</f>
        <v>14245.206038984259</v>
      </c>
      <c r="AE150" s="164">
        <f>(AE112*Emissions_factors!$E$20)/1000</f>
        <v>14234.81743311567</v>
      </c>
      <c r="AF150" s="164">
        <f>(AF112*Emissions_factors!$E$20)/1000</f>
        <v>14230.781954788732</v>
      </c>
      <c r="AG150" s="164">
        <f>(AG112*Emissions_factors!$E$20)/1000</f>
        <v>14229.264695978507</v>
      </c>
      <c r="AH150" s="164">
        <f>(AH112*Emissions_factors!$E$20)/1000</f>
        <v>14228.71205368872</v>
      </c>
      <c r="AI150" s="164">
        <f>(AI112*Emissions_factors!$E$20)/1000</f>
        <v>14228.516886471067</v>
      </c>
      <c r="AJ150" s="164">
        <f>(AJ112*Emissions_factors!$E$20)/1000</f>
        <v>14228.450009455728</v>
      </c>
      <c r="AK150" s="164">
        <f>(AK112*Emissions_factors!$E$20)/1000</f>
        <v>14228.427758049271</v>
      </c>
      <c r="AL150" s="164">
        <f>(AL112*Emissions_factors!$E$20)/1000</f>
        <v>14228.420564726654</v>
      </c>
    </row>
    <row r="151" spans="2:38">
      <c r="B151" s="163">
        <v>2013</v>
      </c>
      <c r="C151" s="164">
        <f>(C113*Emissions_factors!$E$20)/1000</f>
        <v>0</v>
      </c>
      <c r="D151" s="164">
        <f>(D113*Emissions_factors!$E$20)/1000</f>
        <v>0</v>
      </c>
      <c r="E151" s="164">
        <f>(E113*Emissions_factors!$E$20)/1000</f>
        <v>0</v>
      </c>
      <c r="F151" s="164">
        <f>(F113*Emissions_factors!$E$20)/1000</f>
        <v>0</v>
      </c>
      <c r="G151" s="164">
        <f>(G113*Emissions_factors!$E$20)/1000</f>
        <v>0</v>
      </c>
      <c r="H151" s="164">
        <f>(H113*Emissions_factors!$E$20)/1000</f>
        <v>0</v>
      </c>
      <c r="I151" s="164">
        <f>(I113*Emissions_factors!$E$20)/1000</f>
        <v>0</v>
      </c>
      <c r="J151" s="164">
        <f>(J113*Emissions_factors!$E$20)/1000</f>
        <v>0</v>
      </c>
      <c r="K151" s="164">
        <f>(K113*Emissions_factors!$E$20)/1000</f>
        <v>0</v>
      </c>
      <c r="L151" s="164">
        <f>(L113*Emissions_factors!$E$20)/1000</f>
        <v>0</v>
      </c>
      <c r="M151" s="164">
        <f>(M113*Emissions_factors!$E$20)/1000</f>
        <v>0</v>
      </c>
      <c r="N151" s="164">
        <f>(N113*Emissions_factors!$E$20)/1000</f>
        <v>0</v>
      </c>
      <c r="O151" s="164">
        <f>(O113*Emissions_factors!$E$20)/1000</f>
        <v>0</v>
      </c>
      <c r="P151" s="164">
        <f>(P113*Emissions_factors!$E$20)/1000</f>
        <v>308076.88628114352</v>
      </c>
      <c r="Q151" s="164">
        <f>(Q113*Emissions_factors!$E$20)/1000</f>
        <v>233518.15905645463</v>
      </c>
      <c r="R151" s="164">
        <f>(R113*Emissions_factors!$E$20)/1000</f>
        <v>166134.53723738424</v>
      </c>
      <c r="S151" s="164">
        <f>(S113*Emissions_factors!$E$20)/1000</f>
        <v>112891.06651820014</v>
      </c>
      <c r="T151" s="164">
        <f>(T113*Emissions_factors!$E$20)/1000</f>
        <v>74680.359335607864</v>
      </c>
      <c r="U151" s="164">
        <f>(U113*Emissions_factors!$E$20)/1000</f>
        <v>49297.072518558503</v>
      </c>
      <c r="V151" s="164">
        <f>(V113*Emissions_factors!$E$20)/1000</f>
        <v>33511.248567033719</v>
      </c>
      <c r="W151" s="164">
        <f>(W113*Emissions_factors!$E$20)/1000</f>
        <v>24251.121667245363</v>
      </c>
      <c r="X151" s="164">
        <f>(X113*Emissions_factors!$E$20)/1000</f>
        <v>19099.45314139298</v>
      </c>
      <c r="Y151" s="164">
        <f>(Y113*Emissions_factors!$E$20)/1000</f>
        <v>16370.215674796495</v>
      </c>
      <c r="Z151" s="164">
        <f>(Z113*Emissions_factors!$E$20)/1000</f>
        <v>14988.872838662162</v>
      </c>
      <c r="AA151" s="164">
        <f>(AA113*Emissions_factors!$E$20)/1000</f>
        <v>14319.188648690584</v>
      </c>
      <c r="AB151" s="164">
        <f>(AB113*Emissions_factors!$E$20)/1000</f>
        <v>14007.516558663187</v>
      </c>
      <c r="AC151" s="164">
        <f>(AC113*Emissions_factors!$E$20)/1000</f>
        <v>13868.010630462761</v>
      </c>
      <c r="AD151" s="164">
        <f>(AD113*Emissions_factors!$E$20)/1000</f>
        <v>13807.85847169843</v>
      </c>
      <c r="AE151" s="164">
        <f>(AE113*Emissions_factors!$E$20)/1000</f>
        <v>13782.838716313667</v>
      </c>
      <c r="AF151" s="164">
        <f>(AF113*Emissions_factors!$E$20)/1000</f>
        <v>13772.787301207283</v>
      </c>
      <c r="AG151" s="164">
        <f>(AG113*Emissions_factors!$E$20)/1000</f>
        <v>13768.882805423111</v>
      </c>
      <c r="AH151" s="164">
        <f>(AH113*Emissions_factors!$E$20)/1000</f>
        <v>13767.4147934186</v>
      </c>
      <c r="AI151" s="164">
        <f>(AI113*Emissions_factors!$E$20)/1000</f>
        <v>13766.880088653559</v>
      </c>
      <c r="AJ151" s="164">
        <f>(AJ113*Emissions_factors!$E$20)/1000</f>
        <v>13766.69125612447</v>
      </c>
      <c r="AK151" s="164">
        <f>(AK113*Emissions_factors!$E$20)/1000</f>
        <v>13766.626549786493</v>
      </c>
      <c r="AL151" s="164">
        <f>(AL113*Emissions_factors!$E$20)/1000</f>
        <v>13766.60502061063</v>
      </c>
    </row>
    <row r="152" spans="2:38">
      <c r="B152" s="163">
        <v>2014</v>
      </c>
      <c r="C152" s="164">
        <f>(C114*Emissions_factors!$E$20)/1000</f>
        <v>0</v>
      </c>
      <c r="D152" s="164">
        <f>(D114*Emissions_factors!$E$20)/1000</f>
        <v>0</v>
      </c>
      <c r="E152" s="164">
        <f>(E114*Emissions_factors!$E$20)/1000</f>
        <v>0</v>
      </c>
      <c r="F152" s="164">
        <f>(F114*Emissions_factors!$E$20)/1000</f>
        <v>0</v>
      </c>
      <c r="G152" s="164">
        <f>(G114*Emissions_factors!$E$20)/1000</f>
        <v>0</v>
      </c>
      <c r="H152" s="164">
        <f>(H114*Emissions_factors!$E$20)/1000</f>
        <v>0</v>
      </c>
      <c r="I152" s="164">
        <f>(I114*Emissions_factors!$E$20)/1000</f>
        <v>0</v>
      </c>
      <c r="J152" s="164">
        <f>(J114*Emissions_factors!$E$20)/1000</f>
        <v>0</v>
      </c>
      <c r="K152" s="164">
        <f>(K114*Emissions_factors!$E$20)/1000</f>
        <v>0</v>
      </c>
      <c r="L152" s="164">
        <f>(L114*Emissions_factors!$E$20)/1000</f>
        <v>0</v>
      </c>
      <c r="M152" s="164">
        <f>(M114*Emissions_factors!$E$20)/1000</f>
        <v>0</v>
      </c>
      <c r="N152" s="164">
        <f>(N114*Emissions_factors!$E$20)/1000</f>
        <v>0</v>
      </c>
      <c r="O152" s="164">
        <f>(O114*Emissions_factors!$E$20)/1000</f>
        <v>0</v>
      </c>
      <c r="P152" s="164">
        <f>(P114*Emissions_factors!$E$20)/1000</f>
        <v>0</v>
      </c>
      <c r="Q152" s="164">
        <f>(Q114*Emissions_factors!$E$20)/1000</f>
        <v>276192.25610966946</v>
      </c>
      <c r="R152" s="164">
        <f>(R114*Emissions_factors!$E$20)/1000</f>
        <v>209350.03586579172</v>
      </c>
      <c r="S152" s="164">
        <f>(S114*Emissions_factors!$E$20)/1000</f>
        <v>148940.32853686862</v>
      </c>
      <c r="T152" s="164">
        <f>(T114*Emissions_factors!$E$20)/1000</f>
        <v>101207.32760144387</v>
      </c>
      <c r="U152" s="164">
        <f>(U114*Emissions_factors!$E$20)/1000</f>
        <v>66951.263955451126</v>
      </c>
      <c r="V152" s="164">
        <f>(V114*Emissions_factors!$E$20)/1000</f>
        <v>44195.037942825416</v>
      </c>
      <c r="W152" s="164">
        <f>(W114*Emissions_factors!$E$20)/1000</f>
        <v>30042.978746333385</v>
      </c>
      <c r="X152" s="164">
        <f>(X114*Emissions_factors!$E$20)/1000</f>
        <v>21741.235077123474</v>
      </c>
      <c r="Y152" s="164">
        <f>(Y114*Emissions_factors!$E$20)/1000</f>
        <v>17122.742044232091</v>
      </c>
      <c r="Z152" s="164">
        <f>(Z114*Emissions_factors!$E$20)/1000</f>
        <v>14675.968894653985</v>
      </c>
      <c r="AA152" s="164">
        <f>(AA114*Emissions_factors!$E$20)/1000</f>
        <v>13437.589089605219</v>
      </c>
      <c r="AB152" s="164">
        <f>(AB114*Emissions_factors!$E$20)/1000</f>
        <v>12837.214327506246</v>
      </c>
      <c r="AC152" s="164">
        <f>(AC114*Emissions_factors!$E$20)/1000</f>
        <v>12557.798955745691</v>
      </c>
      <c r="AD152" s="164">
        <f>(AD114*Emissions_factors!$E$20)/1000</f>
        <v>12432.731289957894</v>
      </c>
      <c r="AE152" s="164">
        <f>(AE114*Emissions_factors!$E$20)/1000</f>
        <v>12378.804620419243</v>
      </c>
      <c r="AF152" s="164">
        <f>(AF114*Emissions_factors!$E$20)/1000</f>
        <v>12356.374301902191</v>
      </c>
      <c r="AG152" s="164">
        <f>(AG114*Emissions_factors!$E$20)/1000</f>
        <v>12347.363164945938</v>
      </c>
      <c r="AH152" s="164">
        <f>(AH114*Emissions_factors!$E$20)/1000</f>
        <v>12343.862767650231</v>
      </c>
      <c r="AI152" s="164">
        <f>(AI114*Emissions_factors!$E$20)/1000</f>
        <v>12342.54668856221</v>
      </c>
      <c r="AJ152" s="164">
        <f>(AJ114*Emissions_factors!$E$20)/1000</f>
        <v>12342.067323436186</v>
      </c>
      <c r="AK152" s="164">
        <f>(AK114*Emissions_factors!$E$20)/1000</f>
        <v>12341.89803426013</v>
      </c>
      <c r="AL152" s="164">
        <f>(AL114*Emissions_factors!$E$20)/1000</f>
        <v>12341.840024749314</v>
      </c>
    </row>
    <row r="153" spans="2:38">
      <c r="B153" s="163">
        <v>2015</v>
      </c>
      <c r="C153" s="164">
        <f>(C115*Emissions_factors!$E$20)/1000</f>
        <v>0</v>
      </c>
      <c r="D153" s="164">
        <f>(D115*Emissions_factors!$E$20)/1000</f>
        <v>0</v>
      </c>
      <c r="E153" s="164">
        <f>(E115*Emissions_factors!$E$20)/1000</f>
        <v>0</v>
      </c>
      <c r="F153" s="164">
        <f>(F115*Emissions_factors!$E$20)/1000</f>
        <v>0</v>
      </c>
      <c r="G153" s="164">
        <f>(G115*Emissions_factors!$E$20)/1000</f>
        <v>0</v>
      </c>
      <c r="H153" s="164">
        <f>(H115*Emissions_factors!$E$20)/1000</f>
        <v>0</v>
      </c>
      <c r="I153" s="164">
        <f>(I115*Emissions_factors!$E$20)/1000</f>
        <v>0</v>
      </c>
      <c r="J153" s="164">
        <f>(J115*Emissions_factors!$E$20)/1000</f>
        <v>0</v>
      </c>
      <c r="K153" s="164">
        <f>(K115*Emissions_factors!$E$20)/1000</f>
        <v>0</v>
      </c>
      <c r="L153" s="164">
        <f>(L115*Emissions_factors!$E$20)/1000</f>
        <v>0</v>
      </c>
      <c r="M153" s="164">
        <f>(M115*Emissions_factors!$E$20)/1000</f>
        <v>0</v>
      </c>
      <c r="N153" s="164">
        <f>(N115*Emissions_factors!$E$20)/1000</f>
        <v>0</v>
      </c>
      <c r="O153" s="164">
        <f>(O115*Emissions_factors!$E$20)/1000</f>
        <v>0</v>
      </c>
      <c r="P153" s="164">
        <f>(P115*Emissions_factors!$E$20)/1000</f>
        <v>0</v>
      </c>
      <c r="Q153" s="164">
        <f>(Q115*Emissions_factors!$E$20)/1000</f>
        <v>0</v>
      </c>
      <c r="R153" s="164">
        <f>(R115*Emissions_factors!$E$20)/1000</f>
        <v>266152.19708846707</v>
      </c>
      <c r="S153" s="164">
        <f>(S115*Emissions_factors!$E$20)/1000</f>
        <v>201739.80542055881</v>
      </c>
      <c r="T153" s="164">
        <f>(T115*Emissions_factors!$E$20)/1000</f>
        <v>143526.09386493906</v>
      </c>
      <c r="U153" s="164">
        <f>(U115*Emissions_factors!$E$20)/1000</f>
        <v>97528.268829813504</v>
      </c>
      <c r="V153" s="164">
        <f>(V115*Emissions_factors!$E$20)/1000</f>
        <v>64517.471454802915</v>
      </c>
      <c r="W153" s="164">
        <f>(W115*Emissions_factors!$E$20)/1000</f>
        <v>42588.473024459068</v>
      </c>
      <c r="X153" s="164">
        <f>(X115*Emissions_factors!$E$20)/1000</f>
        <v>28950.865288720226</v>
      </c>
      <c r="Y153" s="164">
        <f>(Y115*Emissions_factors!$E$20)/1000</f>
        <v>20950.904144450687</v>
      </c>
      <c r="Z153" s="164">
        <f>(Z115*Emissions_factors!$E$20)/1000</f>
        <v>16500.301201210565</v>
      </c>
      <c r="AA153" s="164">
        <f>(AA115*Emissions_factors!$E$20)/1000</f>
        <v>14142.472423858118</v>
      </c>
      <c r="AB153" s="164">
        <f>(AB115*Emissions_factors!$E$20)/1000</f>
        <v>12949.10983438406</v>
      </c>
      <c r="AC153" s="164">
        <f>(AC115*Emissions_factors!$E$20)/1000</f>
        <v>12370.559717665188</v>
      </c>
      <c r="AD153" s="164">
        <f>(AD115*Emissions_factors!$E$20)/1000</f>
        <v>12101.301570670528</v>
      </c>
      <c r="AE153" s="164">
        <f>(AE115*Emissions_factors!$E$20)/1000</f>
        <v>11980.780327595101</v>
      </c>
      <c r="AF153" s="164">
        <f>(AF115*Emissions_factors!$E$20)/1000</f>
        <v>11928.81398436179</v>
      </c>
      <c r="AG153" s="164">
        <f>(AG115*Emissions_factors!$E$20)/1000</f>
        <v>11907.199046134312</v>
      </c>
      <c r="AH153" s="164">
        <f>(AH115*Emissions_factors!$E$20)/1000</f>
        <v>11898.515479357508</v>
      </c>
      <c r="AI153" s="164">
        <f>(AI115*Emissions_factors!$E$20)/1000</f>
        <v>11895.142327466696</v>
      </c>
      <c r="AJ153" s="164">
        <f>(AJ115*Emissions_factors!$E$20)/1000</f>
        <v>11893.874090095576</v>
      </c>
      <c r="AK153" s="164">
        <f>(AK115*Emissions_factors!$E$20)/1000</f>
        <v>11893.412150708511</v>
      </c>
      <c r="AL153" s="164">
        <f>(AL115*Emissions_factors!$E$20)/1000</f>
        <v>11893.249015482372</v>
      </c>
    </row>
    <row r="154" spans="2:38">
      <c r="B154" s="163">
        <v>2016</v>
      </c>
      <c r="C154" s="164">
        <f>(C116*Emissions_factors!$E$20)/1000</f>
        <v>0</v>
      </c>
      <c r="D154" s="164">
        <f>(D116*Emissions_factors!$E$20)/1000</f>
        <v>0</v>
      </c>
      <c r="E154" s="164">
        <f>(E116*Emissions_factors!$E$20)/1000</f>
        <v>0</v>
      </c>
      <c r="F154" s="164">
        <f>(F116*Emissions_factors!$E$20)/1000</f>
        <v>0</v>
      </c>
      <c r="G154" s="164">
        <f>(G116*Emissions_factors!$E$20)/1000</f>
        <v>0</v>
      </c>
      <c r="H154" s="164">
        <f>(H116*Emissions_factors!$E$20)/1000</f>
        <v>0</v>
      </c>
      <c r="I154" s="164">
        <f>(I116*Emissions_factors!$E$20)/1000</f>
        <v>0</v>
      </c>
      <c r="J154" s="164">
        <f>(J116*Emissions_factors!$E$20)/1000</f>
        <v>0</v>
      </c>
      <c r="K154" s="164">
        <f>(K116*Emissions_factors!$E$20)/1000</f>
        <v>0</v>
      </c>
      <c r="L154" s="164">
        <f>(L116*Emissions_factors!$E$20)/1000</f>
        <v>0</v>
      </c>
      <c r="M154" s="164">
        <f>(M116*Emissions_factors!$E$20)/1000</f>
        <v>0</v>
      </c>
      <c r="N154" s="164">
        <f>(N116*Emissions_factors!$E$20)/1000</f>
        <v>0</v>
      </c>
      <c r="O154" s="164">
        <f>(O116*Emissions_factors!$E$20)/1000</f>
        <v>0</v>
      </c>
      <c r="P154" s="164">
        <f>(P116*Emissions_factors!$E$20)/1000</f>
        <v>0</v>
      </c>
      <c r="Q154" s="164">
        <f>(Q116*Emissions_factors!$E$20)/1000</f>
        <v>0</v>
      </c>
      <c r="R154" s="164">
        <f>(R116*Emissions_factors!$E$20)/1000</f>
        <v>0</v>
      </c>
      <c r="S154" s="164">
        <f>(S116*Emissions_factors!$E$20)/1000</f>
        <v>259971.19495901844</v>
      </c>
      <c r="T154" s="164">
        <f>(T116*Emissions_factors!$E$20)/1000</f>
        <v>197054.68848167988</v>
      </c>
      <c r="U154" s="164">
        <f>(U116*Emissions_factors!$E$20)/1000</f>
        <v>140192.90668288569</v>
      </c>
      <c r="V154" s="164">
        <f>(V116*Emissions_factors!$E$20)/1000</f>
        <v>95263.315002969335</v>
      </c>
      <c r="W154" s="164">
        <f>(W116*Emissions_factors!$E$20)/1000</f>
        <v>63019.145937256224</v>
      </c>
      <c r="X154" s="164">
        <f>(X116*Emissions_factors!$E$20)/1000</f>
        <v>41599.41696806049</v>
      </c>
      <c r="Y154" s="164">
        <f>(Y116*Emissions_factors!$E$20)/1000</f>
        <v>28278.523065148496</v>
      </c>
      <c r="Z154" s="164">
        <f>(Z116*Emissions_factors!$E$20)/1000</f>
        <v>20464.349516882932</v>
      </c>
      <c r="AA154" s="164">
        <f>(AA116*Emissions_factors!$E$20)/1000</f>
        <v>16117.105428352384</v>
      </c>
      <c r="AB154" s="164">
        <f>(AB116*Emissions_factors!$E$20)/1000</f>
        <v>13814.033834495369</v>
      </c>
      <c r="AC154" s="164">
        <f>(AC116*Emissions_factors!$E$20)/1000</f>
        <v>12648.38537546035</v>
      </c>
      <c r="AD154" s="164">
        <f>(AD116*Emissions_factors!$E$20)/1000</f>
        <v>12083.271253418736</v>
      </c>
      <c r="AE154" s="164">
        <f>(AE116*Emissions_factors!$E$20)/1000</f>
        <v>11820.266239774681</v>
      </c>
      <c r="AF154" s="164">
        <f>(AF116*Emissions_factors!$E$20)/1000</f>
        <v>11702.543929295856</v>
      </c>
      <c r="AG154" s="164">
        <f>(AG116*Emissions_factors!$E$20)/1000</f>
        <v>11651.784429671967</v>
      </c>
      <c r="AH154" s="164">
        <f>(AH116*Emissions_factors!$E$20)/1000</f>
        <v>11630.671467308975</v>
      </c>
      <c r="AI154" s="164">
        <f>(AI116*Emissions_factors!$E$20)/1000</f>
        <v>11622.189563886126</v>
      </c>
      <c r="AJ154" s="164">
        <f>(AJ116*Emissions_factors!$E$20)/1000</f>
        <v>11618.894748598372</v>
      </c>
      <c r="AK154" s="164">
        <f>(AK116*Emissions_factors!$E$20)/1000</f>
        <v>11617.655964216836</v>
      </c>
      <c r="AL154" s="164">
        <f>(AL116*Emissions_factors!$E$20)/1000</f>
        <v>11617.204752707938</v>
      </c>
    </row>
    <row r="155" spans="2:38">
      <c r="B155" s="163">
        <v>2017</v>
      </c>
      <c r="C155" s="164">
        <f>(C117*Emissions_factors!$E$20)/1000</f>
        <v>0</v>
      </c>
      <c r="D155" s="164">
        <f>(D117*Emissions_factors!$E$20)/1000</f>
        <v>0</v>
      </c>
      <c r="E155" s="164">
        <f>(E117*Emissions_factors!$E$20)/1000</f>
        <v>0</v>
      </c>
      <c r="F155" s="164">
        <f>(F117*Emissions_factors!$E$20)/1000</f>
        <v>0</v>
      </c>
      <c r="G155" s="164">
        <f>(G117*Emissions_factors!$E$20)/1000</f>
        <v>0</v>
      </c>
      <c r="H155" s="164">
        <f>(H117*Emissions_factors!$E$20)/1000</f>
        <v>0</v>
      </c>
      <c r="I155" s="164">
        <f>(I117*Emissions_factors!$E$20)/1000</f>
        <v>0</v>
      </c>
      <c r="J155" s="164">
        <f>(J117*Emissions_factors!$E$20)/1000</f>
        <v>0</v>
      </c>
      <c r="K155" s="164">
        <f>(K117*Emissions_factors!$E$20)/1000</f>
        <v>0</v>
      </c>
      <c r="L155" s="164">
        <f>(L117*Emissions_factors!$E$20)/1000</f>
        <v>0</v>
      </c>
      <c r="M155" s="164">
        <f>(M117*Emissions_factors!$E$20)/1000</f>
        <v>0</v>
      </c>
      <c r="N155" s="164">
        <f>(N117*Emissions_factors!$E$20)/1000</f>
        <v>0</v>
      </c>
      <c r="O155" s="164">
        <f>(O117*Emissions_factors!$E$20)/1000</f>
        <v>0</v>
      </c>
      <c r="P155" s="164">
        <f>(P117*Emissions_factors!$E$20)/1000</f>
        <v>0</v>
      </c>
      <c r="Q155" s="164">
        <f>(Q117*Emissions_factors!$E$20)/1000</f>
        <v>0</v>
      </c>
      <c r="R155" s="164">
        <f>(R117*Emissions_factors!$E$20)/1000</f>
        <v>0</v>
      </c>
      <c r="S155" s="164">
        <f>(S117*Emissions_factors!$E$20)/1000</f>
        <v>0</v>
      </c>
      <c r="T155" s="164">
        <f>(T117*Emissions_factors!$E$20)/1000</f>
        <v>235021.67439443423</v>
      </c>
      <c r="U155" s="164">
        <f>(U117*Emissions_factors!$E$20)/1000</f>
        <v>178143.28561107942</v>
      </c>
      <c r="V155" s="164">
        <f>(V117*Emissions_factors!$E$20)/1000</f>
        <v>126738.54759958461</v>
      </c>
      <c r="W155" s="164">
        <f>(W117*Emissions_factors!$E$20)/1000</f>
        <v>86120.863520635976</v>
      </c>
      <c r="X155" s="164">
        <f>(X117*Emissions_factors!$E$20)/1000</f>
        <v>56971.177900751383</v>
      </c>
      <c r="Y155" s="164">
        <f>(Y117*Emissions_factors!$E$20)/1000</f>
        <v>37607.107322820942</v>
      </c>
      <c r="Z155" s="164">
        <f>(Z117*Emissions_factors!$E$20)/1000</f>
        <v>25564.623962360562</v>
      </c>
      <c r="AA155" s="164">
        <f>(AA117*Emissions_factors!$E$20)/1000</f>
        <v>18500.379203968856</v>
      </c>
      <c r="AB155" s="164">
        <f>(AB117*Emissions_factors!$E$20)/1000</f>
        <v>14570.341551725023</v>
      </c>
      <c r="AC155" s="164">
        <f>(AC117*Emissions_factors!$E$20)/1000</f>
        <v>12488.296491602659</v>
      </c>
      <c r="AD155" s="164">
        <f>(AD117*Emissions_factors!$E$20)/1000</f>
        <v>11434.515696230748</v>
      </c>
      <c r="AE155" s="164">
        <f>(AE117*Emissions_factors!$E$20)/1000</f>
        <v>10923.63576121683</v>
      </c>
      <c r="AF155" s="164">
        <f>(AF117*Emissions_factors!$E$20)/1000</f>
        <v>10685.871424708308</v>
      </c>
      <c r="AG155" s="164">
        <f>(AG117*Emissions_factors!$E$20)/1000</f>
        <v>10579.446962849492</v>
      </c>
      <c r="AH155" s="164">
        <f>(AH117*Emissions_factors!$E$20)/1000</f>
        <v>10533.558868997714</v>
      </c>
      <c r="AI155" s="164">
        <f>(AI117*Emissions_factors!$E$20)/1000</f>
        <v>10514.472124534523</v>
      </c>
      <c r="AJ155" s="164">
        <f>(AJ117*Emissions_factors!$E$20)/1000</f>
        <v>10506.804232155906</v>
      </c>
      <c r="AK155" s="164">
        <f>(AK117*Emissions_factors!$E$20)/1000</f>
        <v>10503.825621368382</v>
      </c>
      <c r="AL155" s="164">
        <f>(AL117*Emissions_factors!$E$20)/1000</f>
        <v>10502.705723528894</v>
      </c>
    </row>
    <row r="156" spans="2:38">
      <c r="B156" s="163">
        <v>2018</v>
      </c>
      <c r="C156" s="164">
        <f>(C118*Emissions_factors!$E$20)/1000</f>
        <v>0</v>
      </c>
      <c r="D156" s="164">
        <f>(D118*Emissions_factors!$E$20)/1000</f>
        <v>0</v>
      </c>
      <c r="E156" s="164">
        <f>(E118*Emissions_factors!$E$20)/1000</f>
        <v>0</v>
      </c>
      <c r="F156" s="164">
        <f>(F118*Emissions_factors!$E$20)/1000</f>
        <v>0</v>
      </c>
      <c r="G156" s="164">
        <f>(G118*Emissions_factors!$E$20)/1000</f>
        <v>0</v>
      </c>
      <c r="H156" s="164">
        <f>(H118*Emissions_factors!$E$20)/1000</f>
        <v>0</v>
      </c>
      <c r="I156" s="164">
        <f>(I118*Emissions_factors!$E$20)/1000</f>
        <v>0</v>
      </c>
      <c r="J156" s="164">
        <f>(J118*Emissions_factors!$E$20)/1000</f>
        <v>0</v>
      </c>
      <c r="K156" s="164">
        <f>(K118*Emissions_factors!$E$20)/1000</f>
        <v>0</v>
      </c>
      <c r="L156" s="164">
        <f>(L118*Emissions_factors!$E$20)/1000</f>
        <v>0</v>
      </c>
      <c r="M156" s="164">
        <f>(M118*Emissions_factors!$E$20)/1000</f>
        <v>0</v>
      </c>
      <c r="N156" s="164">
        <f>(N118*Emissions_factors!$E$20)/1000</f>
        <v>0</v>
      </c>
      <c r="O156" s="164">
        <f>(O118*Emissions_factors!$E$20)/1000</f>
        <v>0</v>
      </c>
      <c r="P156" s="164">
        <f>(P118*Emissions_factors!$E$20)/1000</f>
        <v>0</v>
      </c>
      <c r="Q156" s="164">
        <f>(Q118*Emissions_factors!$E$20)/1000</f>
        <v>0</v>
      </c>
      <c r="R156" s="164">
        <f>(R118*Emissions_factors!$E$20)/1000</f>
        <v>0</v>
      </c>
      <c r="S156" s="164">
        <f>(S118*Emissions_factors!$E$20)/1000</f>
        <v>0</v>
      </c>
      <c r="T156" s="164">
        <f>(T118*Emissions_factors!$E$20)/1000</f>
        <v>0</v>
      </c>
      <c r="U156" s="164">
        <f>(U118*Emissions_factors!$E$20)/1000</f>
        <v>233833.71350202049</v>
      </c>
      <c r="V156" s="164">
        <f>(V118*Emissions_factors!$E$20)/1000</f>
        <v>177242.82714444079</v>
      </c>
      <c r="W156" s="164">
        <f>(W118*Emissions_factors!$E$20)/1000</f>
        <v>126097.92396988081</v>
      </c>
      <c r="X156" s="164">
        <f>(X118*Emissions_factors!$E$20)/1000</f>
        <v>85685.54955162853</v>
      </c>
      <c r="Y156" s="164">
        <f>(Y118*Emissions_factors!$E$20)/1000</f>
        <v>56683.206455074163</v>
      </c>
      <c r="Z156" s="164">
        <f>(Z118*Emissions_factors!$E$20)/1000</f>
        <v>37417.015183908901</v>
      </c>
      <c r="AA156" s="164">
        <f>(AA118*Emissions_factors!$E$20)/1000</f>
        <v>25435.40280190884</v>
      </c>
      <c r="AB156" s="164">
        <f>(AB118*Emissions_factors!$E$20)/1000</f>
        <v>18406.865586359869</v>
      </c>
      <c r="AC156" s="164">
        <f>(AC118*Emissions_factors!$E$20)/1000</f>
        <v>14496.693042509187</v>
      </c>
      <c r="AD156" s="164">
        <f>(AD118*Emissions_factors!$E$20)/1000</f>
        <v>12425.172067512343</v>
      </c>
      <c r="AE156" s="164">
        <f>(AE118*Emissions_factors!$E$20)/1000</f>
        <v>11376.717803735051</v>
      </c>
      <c r="AF156" s="164">
        <f>(AF118*Emissions_factors!$E$20)/1000</f>
        <v>10868.420206648387</v>
      </c>
      <c r="AG156" s="164">
        <f>(AG118*Emissions_factors!$E$20)/1000</f>
        <v>10631.857694329545</v>
      </c>
      <c r="AH156" s="164">
        <f>(AH118*Emissions_factors!$E$20)/1000</f>
        <v>10525.971174764798</v>
      </c>
      <c r="AI156" s="164">
        <f>(AI118*Emissions_factors!$E$20)/1000</f>
        <v>10480.315030843034</v>
      </c>
      <c r="AJ156" s="164">
        <f>(AJ118*Emissions_factors!$E$20)/1000</f>
        <v>10461.324763890032</v>
      </c>
      <c r="AK156" s="164">
        <f>(AK118*Emissions_factors!$E$20)/1000</f>
        <v>10453.695630303746</v>
      </c>
      <c r="AL156" s="164">
        <f>(AL118*Emissions_factors!$E$20)/1000</f>
        <v>10450.732075460066</v>
      </c>
    </row>
    <row r="157" spans="2:38">
      <c r="B157" s="163">
        <v>2019</v>
      </c>
      <c r="C157" s="164">
        <f>(C119*Emissions_factors!$E$20)/1000</f>
        <v>0</v>
      </c>
      <c r="D157" s="164">
        <f>(D119*Emissions_factors!$E$20)/1000</f>
        <v>0</v>
      </c>
      <c r="E157" s="164">
        <f>(E119*Emissions_factors!$E$20)/1000</f>
        <v>0</v>
      </c>
      <c r="F157" s="164">
        <f>(F119*Emissions_factors!$E$20)/1000</f>
        <v>0</v>
      </c>
      <c r="G157" s="164">
        <f>(G119*Emissions_factors!$E$20)/1000</f>
        <v>0</v>
      </c>
      <c r="H157" s="164">
        <f>(H119*Emissions_factors!$E$20)/1000</f>
        <v>0</v>
      </c>
      <c r="I157" s="164">
        <f>(I119*Emissions_factors!$E$20)/1000</f>
        <v>0</v>
      </c>
      <c r="J157" s="164">
        <f>(J119*Emissions_factors!$E$20)/1000</f>
        <v>0</v>
      </c>
      <c r="K157" s="164">
        <f>(K119*Emissions_factors!$E$20)/1000</f>
        <v>0</v>
      </c>
      <c r="L157" s="164">
        <f>(L119*Emissions_factors!$E$20)/1000</f>
        <v>0</v>
      </c>
      <c r="M157" s="164">
        <f>(M119*Emissions_factors!$E$20)/1000</f>
        <v>0</v>
      </c>
      <c r="N157" s="164">
        <f>(N119*Emissions_factors!$E$20)/1000</f>
        <v>0</v>
      </c>
      <c r="O157" s="164">
        <f>(O119*Emissions_factors!$E$20)/1000</f>
        <v>0</v>
      </c>
      <c r="P157" s="164">
        <f>(P119*Emissions_factors!$E$20)/1000</f>
        <v>0</v>
      </c>
      <c r="Q157" s="164">
        <f>(Q119*Emissions_factors!$E$20)/1000</f>
        <v>0</v>
      </c>
      <c r="R157" s="164">
        <f>(R119*Emissions_factors!$E$20)/1000</f>
        <v>0</v>
      </c>
      <c r="S157" s="164">
        <f>(S119*Emissions_factors!$E$20)/1000</f>
        <v>0</v>
      </c>
      <c r="T157" s="164">
        <f>(T119*Emissions_factors!$E$20)/1000</f>
        <v>0</v>
      </c>
      <c r="U157" s="164">
        <f>(U119*Emissions_factors!$E$20)/1000</f>
        <v>0</v>
      </c>
      <c r="V157" s="164">
        <f>(V119*Emissions_factors!$E$20)/1000</f>
        <v>246528.90895961702</v>
      </c>
      <c r="W157" s="164">
        <f>(W119*Emissions_factors!$E$20)/1000</f>
        <v>186865.61549414654</v>
      </c>
      <c r="X157" s="164">
        <f>(X119*Emissions_factors!$E$20)/1000</f>
        <v>132943.97609649578</v>
      </c>
      <c r="Y157" s="164">
        <f>(Y119*Emissions_factors!$E$20)/1000</f>
        <v>90337.551109308493</v>
      </c>
      <c r="Z157" s="164">
        <f>(Z119*Emissions_factors!$E$20)/1000</f>
        <v>59760.625764434102</v>
      </c>
      <c r="AA157" s="164">
        <f>(AA119*Emissions_factors!$E$20)/1000</f>
        <v>39448.443048118374</v>
      </c>
      <c r="AB157" s="164">
        <f>(AB119*Emissions_factors!$E$20)/1000</f>
        <v>26816.330322055073</v>
      </c>
      <c r="AC157" s="164">
        <f>(AC119*Emissions_factors!$E$20)/1000</f>
        <v>19406.202905520764</v>
      </c>
      <c r="AD157" s="164">
        <f>(AD119*Emissions_factors!$E$20)/1000</f>
        <v>15283.74102163576</v>
      </c>
      <c r="AE157" s="164">
        <f>(AE119*Emissions_factors!$E$20)/1000</f>
        <v>13099.753955765034</v>
      </c>
      <c r="AF157" s="164">
        <f>(AF119*Emissions_factors!$E$20)/1000</f>
        <v>11994.377481722739</v>
      </c>
      <c r="AG157" s="164">
        <f>(AG119*Emissions_factors!$E$20)/1000</f>
        <v>11458.483618687071</v>
      </c>
      <c r="AH157" s="164">
        <f>(AH119*Emissions_factors!$E$20)/1000</f>
        <v>11209.077760184935</v>
      </c>
      <c r="AI157" s="164">
        <f>(AI119*Emissions_factors!$E$20)/1000</f>
        <v>11097.442497027729</v>
      </c>
      <c r="AJ157" s="164">
        <f>(AJ119*Emissions_factors!$E$20)/1000</f>
        <v>11049.307610146941</v>
      </c>
      <c r="AK157" s="164">
        <f>(AK119*Emissions_factors!$E$20)/1000</f>
        <v>11029.286332108541</v>
      </c>
      <c r="AL157" s="164">
        <f>(AL119*Emissions_factors!$E$20)/1000</f>
        <v>11021.243001011548</v>
      </c>
    </row>
    <row r="158" spans="2:38">
      <c r="B158" s="163">
        <v>2020</v>
      </c>
      <c r="C158" s="164">
        <f>(C120*Emissions_factors!$E$20)/1000</f>
        <v>0</v>
      </c>
      <c r="D158" s="164">
        <f>(D120*Emissions_factors!$E$20)/1000</f>
        <v>0</v>
      </c>
      <c r="E158" s="164">
        <f>(E120*Emissions_factors!$E$20)/1000</f>
        <v>0</v>
      </c>
      <c r="F158" s="164">
        <f>(F120*Emissions_factors!$E$20)/1000</f>
        <v>0</v>
      </c>
      <c r="G158" s="164">
        <f>(G120*Emissions_factors!$E$20)/1000</f>
        <v>0</v>
      </c>
      <c r="H158" s="164">
        <f>(H120*Emissions_factors!$E$20)/1000</f>
        <v>0</v>
      </c>
      <c r="I158" s="164">
        <f>(I120*Emissions_factors!$E$20)/1000</f>
        <v>0</v>
      </c>
      <c r="J158" s="164">
        <f>(J120*Emissions_factors!$E$20)/1000</f>
        <v>0</v>
      </c>
      <c r="K158" s="164">
        <f>(K120*Emissions_factors!$E$20)/1000</f>
        <v>0</v>
      </c>
      <c r="L158" s="164">
        <f>(L120*Emissions_factors!$E$20)/1000</f>
        <v>0</v>
      </c>
      <c r="M158" s="164">
        <f>(M120*Emissions_factors!$E$20)/1000</f>
        <v>0</v>
      </c>
      <c r="N158" s="164">
        <f>(N120*Emissions_factors!$E$20)/1000</f>
        <v>0</v>
      </c>
      <c r="O158" s="164">
        <f>(O120*Emissions_factors!$E$20)/1000</f>
        <v>0</v>
      </c>
      <c r="P158" s="164">
        <f>(P120*Emissions_factors!$E$20)/1000</f>
        <v>0</v>
      </c>
      <c r="Q158" s="164">
        <f>(Q120*Emissions_factors!$E$20)/1000</f>
        <v>0</v>
      </c>
      <c r="R158" s="164">
        <f>(R120*Emissions_factors!$E$20)/1000</f>
        <v>0</v>
      </c>
      <c r="S158" s="164">
        <f>(S120*Emissions_factors!$E$20)/1000</f>
        <v>0</v>
      </c>
      <c r="T158" s="164">
        <f>(T120*Emissions_factors!$E$20)/1000</f>
        <v>0</v>
      </c>
      <c r="U158" s="164">
        <f>(U120*Emissions_factors!$E$20)/1000</f>
        <v>0</v>
      </c>
      <c r="V158" s="164">
        <f>(V120*Emissions_factors!$E$20)/1000</f>
        <v>0</v>
      </c>
      <c r="W158" s="164">
        <f>(W120*Emissions_factors!$E$20)/1000</f>
        <v>272726.19443669287</v>
      </c>
      <c r="X158" s="164">
        <f>(X120*Emissions_factors!$E$20)/1000</f>
        <v>206722.80747868388</v>
      </c>
      <c r="Y158" s="164">
        <f>(Y120*Emissions_factors!$E$20)/1000</f>
        <v>147071.20891862275</v>
      </c>
      <c r="Z158" s="164">
        <f>(Z120*Emissions_factors!$E$20)/1000</f>
        <v>99937.231023919056</v>
      </c>
      <c r="AA158" s="164">
        <f>(AA120*Emissions_factors!$E$20)/1000</f>
        <v>66111.062230674375</v>
      </c>
      <c r="AB158" s="164">
        <f>(AB120*Emissions_factors!$E$20)/1000</f>
        <v>43640.414401575399</v>
      </c>
      <c r="AC158" s="164">
        <f>(AC120*Emissions_factors!$E$20)/1000</f>
        <v>29665.955803541812</v>
      </c>
      <c r="AD158" s="164">
        <f>(AD120*Emissions_factors!$E$20)/1000</f>
        <v>21468.394474401917</v>
      </c>
      <c r="AE158" s="164">
        <f>(AE120*Emissions_factors!$E$20)/1000</f>
        <v>16907.861001686786</v>
      </c>
      <c r="AF158" s="164">
        <f>(AF120*Emissions_factors!$E$20)/1000</f>
        <v>14491.79351618369</v>
      </c>
      <c r="AG158" s="164">
        <f>(AG120*Emissions_factors!$E$20)/1000</f>
        <v>13268.954700007447</v>
      </c>
      <c r="AH158" s="164">
        <f>(AH120*Emissions_factors!$E$20)/1000</f>
        <v>12676.114312628626</v>
      </c>
      <c r="AI158" s="164">
        <f>(AI120*Emissions_factors!$E$20)/1000</f>
        <v>12400.205450878666</v>
      </c>
      <c r="AJ158" s="164">
        <f>(AJ120*Emissions_factors!$E$20)/1000</f>
        <v>12276.707315855541</v>
      </c>
      <c r="AK158" s="164">
        <f>(AK120*Emissions_factors!$E$20)/1000</f>
        <v>12223.457396509202</v>
      </c>
      <c r="AL158" s="164">
        <f>(AL120*Emissions_factors!$E$20)/1000</f>
        <v>12201.308566214955</v>
      </c>
    </row>
    <row r="159" spans="2:38">
      <c r="B159" s="163">
        <v>2021</v>
      </c>
      <c r="C159" s="164" t="e">
        <f>(C121*Emissions_factors!$E$20)/1000</f>
        <v>#N/A</v>
      </c>
      <c r="D159" s="164">
        <f>(D121*Emissions_factors!$E$20)/1000</f>
        <v>0</v>
      </c>
      <c r="E159" s="164">
        <f>(E121*Emissions_factors!$E$20)/1000</f>
        <v>0</v>
      </c>
      <c r="F159" s="164">
        <f>(F121*Emissions_factors!$E$20)/1000</f>
        <v>0</v>
      </c>
      <c r="G159" s="164">
        <f>(G121*Emissions_factors!$E$20)/1000</f>
        <v>0</v>
      </c>
      <c r="H159" s="164">
        <f>(H121*Emissions_factors!$E$20)/1000</f>
        <v>0</v>
      </c>
      <c r="I159" s="164">
        <f>(I121*Emissions_factors!$E$20)/1000</f>
        <v>0</v>
      </c>
      <c r="J159" s="164">
        <f>(J121*Emissions_factors!$E$20)/1000</f>
        <v>0</v>
      </c>
      <c r="K159" s="164">
        <f>(K121*Emissions_factors!$E$20)/1000</f>
        <v>0</v>
      </c>
      <c r="L159" s="164">
        <f>(L121*Emissions_factors!$E$20)/1000</f>
        <v>0</v>
      </c>
      <c r="M159" s="164">
        <f>(M121*Emissions_factors!$E$20)/1000</f>
        <v>0</v>
      </c>
      <c r="N159" s="164">
        <f>(N121*Emissions_factors!$E$20)/1000</f>
        <v>0</v>
      </c>
      <c r="O159" s="164">
        <f>(O121*Emissions_factors!$E$20)/1000</f>
        <v>0</v>
      </c>
      <c r="P159" s="164">
        <f>(P121*Emissions_factors!$E$20)/1000</f>
        <v>0</v>
      </c>
      <c r="Q159" s="164">
        <f>(Q121*Emissions_factors!$E$20)/1000</f>
        <v>0</v>
      </c>
      <c r="R159" s="164">
        <f>(R121*Emissions_factors!$E$20)/1000</f>
        <v>0</v>
      </c>
      <c r="S159" s="164">
        <f>(S121*Emissions_factors!$E$20)/1000</f>
        <v>0</v>
      </c>
      <c r="T159" s="164">
        <f>(T121*Emissions_factors!$E$20)/1000</f>
        <v>0</v>
      </c>
      <c r="U159" s="164">
        <f>(U121*Emissions_factors!$E$20)/1000</f>
        <v>0</v>
      </c>
      <c r="V159" s="164">
        <f>(V121*Emissions_factors!$E$20)/1000</f>
        <v>0</v>
      </c>
      <c r="W159" s="164">
        <f>(W121*Emissions_factors!$E$20)/1000</f>
        <v>0</v>
      </c>
      <c r="X159" s="164">
        <f>(X121*Emissions_factors!$E$20)/1000</f>
        <v>0</v>
      </c>
      <c r="Y159" s="164">
        <f>(Y121*Emissions_factors!$E$20)/1000</f>
        <v>0</v>
      </c>
      <c r="Z159" s="164">
        <f>(Z121*Emissions_factors!$E$20)/1000</f>
        <v>0</v>
      </c>
      <c r="AA159" s="164">
        <f>(AA121*Emissions_factors!$E$20)/1000</f>
        <v>0</v>
      </c>
      <c r="AB159" s="164">
        <f>(AB121*Emissions_factors!$E$20)/1000</f>
        <v>0</v>
      </c>
      <c r="AC159" s="164">
        <f>(AC121*Emissions_factors!$E$20)/1000</f>
        <v>0</v>
      </c>
      <c r="AD159" s="164">
        <f>(AD121*Emissions_factors!$E$20)/1000</f>
        <v>0</v>
      </c>
      <c r="AE159" s="164">
        <f>(AE121*Emissions_factors!$E$20)/1000</f>
        <v>0</v>
      </c>
      <c r="AF159" s="164">
        <f>(AF121*Emissions_factors!$E$20)/1000</f>
        <v>0</v>
      </c>
      <c r="AG159" s="164">
        <f>(AG121*Emissions_factors!$E$20)/1000</f>
        <v>0</v>
      </c>
      <c r="AH159" s="164">
        <f>(AH121*Emissions_factors!$E$20)/1000</f>
        <v>0</v>
      </c>
      <c r="AI159" s="164">
        <f>(AI121*Emissions_factors!$E$20)/1000</f>
        <v>0</v>
      </c>
      <c r="AJ159" s="164">
        <f>(AJ121*Emissions_factors!$E$20)/1000</f>
        <v>0</v>
      </c>
      <c r="AK159" s="164">
        <f>(AK121*Emissions_factors!$E$20)/1000</f>
        <v>0</v>
      </c>
      <c r="AL159" s="164">
        <f>(AL121*Emissions_factors!$E$20)/1000</f>
        <v>0</v>
      </c>
    </row>
    <row r="160" spans="2:38">
      <c r="B160" s="163">
        <v>2022</v>
      </c>
      <c r="C160" s="164" t="e">
        <f>(C122*Emissions_factors!$E$20)/1000</f>
        <v>#N/A</v>
      </c>
      <c r="D160" s="164">
        <f>(D122*Emissions_factors!$E$20)/1000</f>
        <v>0</v>
      </c>
      <c r="E160" s="164">
        <f>(E122*Emissions_factors!$E$20)/1000</f>
        <v>0</v>
      </c>
      <c r="F160" s="164">
        <f>(F122*Emissions_factors!$E$20)/1000</f>
        <v>0</v>
      </c>
      <c r="G160" s="164">
        <f>(G122*Emissions_factors!$E$20)/1000</f>
        <v>0</v>
      </c>
      <c r="H160" s="164">
        <f>(H122*Emissions_factors!$E$20)/1000</f>
        <v>0</v>
      </c>
      <c r="I160" s="164">
        <f>(I122*Emissions_factors!$E$20)/1000</f>
        <v>0</v>
      </c>
      <c r="J160" s="164">
        <f>(J122*Emissions_factors!$E$20)/1000</f>
        <v>0</v>
      </c>
      <c r="K160" s="164">
        <f>(K122*Emissions_factors!$E$20)/1000</f>
        <v>0</v>
      </c>
      <c r="L160" s="164">
        <f>(L122*Emissions_factors!$E$20)/1000</f>
        <v>0</v>
      </c>
      <c r="M160" s="164">
        <f>(M122*Emissions_factors!$E$20)/1000</f>
        <v>0</v>
      </c>
      <c r="N160" s="164">
        <f>(N122*Emissions_factors!$E$20)/1000</f>
        <v>0</v>
      </c>
      <c r="O160" s="164">
        <f>(O122*Emissions_factors!$E$20)/1000</f>
        <v>0</v>
      </c>
      <c r="P160" s="164">
        <f>(P122*Emissions_factors!$E$20)/1000</f>
        <v>0</v>
      </c>
      <c r="Q160" s="164">
        <f>(Q122*Emissions_factors!$E$20)/1000</f>
        <v>0</v>
      </c>
      <c r="R160" s="164">
        <f>(R122*Emissions_factors!$E$20)/1000</f>
        <v>0</v>
      </c>
      <c r="S160" s="164">
        <f>(S122*Emissions_factors!$E$20)/1000</f>
        <v>0</v>
      </c>
      <c r="T160" s="164">
        <f>(T122*Emissions_factors!$E$20)/1000</f>
        <v>0</v>
      </c>
      <c r="U160" s="164">
        <f>(U122*Emissions_factors!$E$20)/1000</f>
        <v>0</v>
      </c>
      <c r="V160" s="164">
        <f>(V122*Emissions_factors!$E$20)/1000</f>
        <v>0</v>
      </c>
      <c r="W160" s="164">
        <f>(W122*Emissions_factors!$E$20)/1000</f>
        <v>0</v>
      </c>
      <c r="X160" s="164">
        <f>(X122*Emissions_factors!$E$20)/1000</f>
        <v>0</v>
      </c>
      <c r="Y160" s="164">
        <f>(Y122*Emissions_factors!$E$20)/1000</f>
        <v>0</v>
      </c>
      <c r="Z160" s="164">
        <f>(Z122*Emissions_factors!$E$20)/1000</f>
        <v>0</v>
      </c>
      <c r="AA160" s="164">
        <f>(AA122*Emissions_factors!$E$20)/1000</f>
        <v>0</v>
      </c>
      <c r="AB160" s="164">
        <f>(AB122*Emissions_factors!$E$20)/1000</f>
        <v>0</v>
      </c>
      <c r="AC160" s="164">
        <f>(AC122*Emissions_factors!$E$20)/1000</f>
        <v>0</v>
      </c>
      <c r="AD160" s="164">
        <f>(AD122*Emissions_factors!$E$20)/1000</f>
        <v>0</v>
      </c>
      <c r="AE160" s="164">
        <f>(AE122*Emissions_factors!$E$20)/1000</f>
        <v>0</v>
      </c>
      <c r="AF160" s="164">
        <f>(AF122*Emissions_factors!$E$20)/1000</f>
        <v>0</v>
      </c>
      <c r="AG160" s="164">
        <f>(AG122*Emissions_factors!$E$20)/1000</f>
        <v>0</v>
      </c>
      <c r="AH160" s="164">
        <f>(AH122*Emissions_factors!$E$20)/1000</f>
        <v>0</v>
      </c>
      <c r="AI160" s="164">
        <f>(AI122*Emissions_factors!$E$20)/1000</f>
        <v>0</v>
      </c>
      <c r="AJ160" s="164">
        <f>(AJ122*Emissions_factors!$E$20)/1000</f>
        <v>0</v>
      </c>
      <c r="AK160" s="164">
        <f>(AK122*Emissions_factors!$E$20)/1000</f>
        <v>0</v>
      </c>
      <c r="AL160" s="164">
        <f>(AL122*Emissions_factors!$E$20)/1000</f>
        <v>0</v>
      </c>
    </row>
    <row r="161" spans="1:38">
      <c r="B161" s="163">
        <v>2023</v>
      </c>
      <c r="C161" s="164" t="e">
        <f>(C123*Emissions_factors!$E$20)/1000</f>
        <v>#N/A</v>
      </c>
      <c r="D161" s="164">
        <f>(D123*Emissions_factors!$E$20)/1000</f>
        <v>0</v>
      </c>
      <c r="E161" s="164">
        <f>(E123*Emissions_factors!$E$20)/1000</f>
        <v>0</v>
      </c>
      <c r="F161" s="164">
        <f>(F123*Emissions_factors!$E$20)/1000</f>
        <v>0</v>
      </c>
      <c r="G161" s="164">
        <f>(G123*Emissions_factors!$E$20)/1000</f>
        <v>0</v>
      </c>
      <c r="H161" s="164">
        <f>(H123*Emissions_factors!$E$20)/1000</f>
        <v>0</v>
      </c>
      <c r="I161" s="164">
        <f>(I123*Emissions_factors!$E$20)/1000</f>
        <v>0</v>
      </c>
      <c r="J161" s="164">
        <f>(J123*Emissions_factors!$E$20)/1000</f>
        <v>0</v>
      </c>
      <c r="K161" s="164">
        <f>(K123*Emissions_factors!$E$20)/1000</f>
        <v>0</v>
      </c>
      <c r="L161" s="164">
        <f>(L123*Emissions_factors!$E$20)/1000</f>
        <v>0</v>
      </c>
      <c r="M161" s="164">
        <f>(M123*Emissions_factors!$E$20)/1000</f>
        <v>0</v>
      </c>
      <c r="N161" s="164">
        <f>(N123*Emissions_factors!$E$20)/1000</f>
        <v>0</v>
      </c>
      <c r="O161" s="164">
        <f>(O123*Emissions_factors!$E$20)/1000</f>
        <v>0</v>
      </c>
      <c r="P161" s="164">
        <f>(P123*Emissions_factors!$E$20)/1000</f>
        <v>0</v>
      </c>
      <c r="Q161" s="164">
        <f>(Q123*Emissions_factors!$E$20)/1000</f>
        <v>0</v>
      </c>
      <c r="R161" s="164">
        <f>(R123*Emissions_factors!$E$20)/1000</f>
        <v>0</v>
      </c>
      <c r="S161" s="164">
        <f>(S123*Emissions_factors!$E$20)/1000</f>
        <v>0</v>
      </c>
      <c r="T161" s="164">
        <f>(T123*Emissions_factors!$E$20)/1000</f>
        <v>0</v>
      </c>
      <c r="U161" s="164">
        <f>(U123*Emissions_factors!$E$20)/1000</f>
        <v>0</v>
      </c>
      <c r="V161" s="164">
        <f>(V123*Emissions_factors!$E$20)/1000</f>
        <v>0</v>
      </c>
      <c r="W161" s="164">
        <f>(W123*Emissions_factors!$E$20)/1000</f>
        <v>0</v>
      </c>
      <c r="X161" s="164">
        <f>(X123*Emissions_factors!$E$20)/1000</f>
        <v>0</v>
      </c>
      <c r="Y161" s="164">
        <f>(Y123*Emissions_factors!$E$20)/1000</f>
        <v>0</v>
      </c>
      <c r="Z161" s="164">
        <f>(Z123*Emissions_factors!$E$20)/1000</f>
        <v>0</v>
      </c>
      <c r="AA161" s="164">
        <f>(AA123*Emissions_factors!$E$20)/1000</f>
        <v>0</v>
      </c>
      <c r="AB161" s="164">
        <f>(AB123*Emissions_factors!$E$20)/1000</f>
        <v>0</v>
      </c>
      <c r="AC161" s="164">
        <f>(AC123*Emissions_factors!$E$20)/1000</f>
        <v>0</v>
      </c>
      <c r="AD161" s="164">
        <f>(AD123*Emissions_factors!$E$20)/1000</f>
        <v>0</v>
      </c>
      <c r="AE161" s="164">
        <f>(AE123*Emissions_factors!$E$20)/1000</f>
        <v>0</v>
      </c>
      <c r="AF161" s="164">
        <f>(AF123*Emissions_factors!$E$20)/1000</f>
        <v>0</v>
      </c>
      <c r="AG161" s="164">
        <f>(AG123*Emissions_factors!$E$20)/1000</f>
        <v>0</v>
      </c>
      <c r="AH161" s="164">
        <f>(AH123*Emissions_factors!$E$20)/1000</f>
        <v>0</v>
      </c>
      <c r="AI161" s="164">
        <f>(AI123*Emissions_factors!$E$20)/1000</f>
        <v>0</v>
      </c>
      <c r="AJ161" s="164">
        <f>(AJ123*Emissions_factors!$E$20)/1000</f>
        <v>0</v>
      </c>
      <c r="AK161" s="164">
        <f>(AK123*Emissions_factors!$E$20)/1000</f>
        <v>0</v>
      </c>
      <c r="AL161" s="164">
        <f>(AL123*Emissions_factors!$E$20)/1000</f>
        <v>0</v>
      </c>
    </row>
    <row r="162" spans="1:38">
      <c r="B162" s="163">
        <v>2024</v>
      </c>
      <c r="C162" s="164" t="e">
        <f>(C124*Emissions_factors!$E$20)/1000</f>
        <v>#N/A</v>
      </c>
      <c r="D162" s="164">
        <f>(D124*Emissions_factors!$E$20)/1000</f>
        <v>0</v>
      </c>
      <c r="E162" s="164">
        <f>(E124*Emissions_factors!$E$20)/1000</f>
        <v>0</v>
      </c>
      <c r="F162" s="164">
        <f>(F124*Emissions_factors!$E$20)/1000</f>
        <v>0</v>
      </c>
      <c r="G162" s="164">
        <f>(G124*Emissions_factors!$E$20)/1000</f>
        <v>0</v>
      </c>
      <c r="H162" s="164">
        <f>(H124*Emissions_factors!$E$20)/1000</f>
        <v>0</v>
      </c>
      <c r="I162" s="164">
        <f>(I124*Emissions_factors!$E$20)/1000</f>
        <v>0</v>
      </c>
      <c r="J162" s="164">
        <f>(J124*Emissions_factors!$E$20)/1000</f>
        <v>0</v>
      </c>
      <c r="K162" s="164">
        <f>(K124*Emissions_factors!$E$20)/1000</f>
        <v>0</v>
      </c>
      <c r="L162" s="164">
        <f>(L124*Emissions_factors!$E$20)/1000</f>
        <v>0</v>
      </c>
      <c r="M162" s="164">
        <f>(M124*Emissions_factors!$E$20)/1000</f>
        <v>0</v>
      </c>
      <c r="N162" s="164">
        <f>(N124*Emissions_factors!$E$20)/1000</f>
        <v>0</v>
      </c>
      <c r="O162" s="164">
        <f>(O124*Emissions_factors!$E$20)/1000</f>
        <v>0</v>
      </c>
      <c r="P162" s="164">
        <f>(P124*Emissions_factors!$E$20)/1000</f>
        <v>0</v>
      </c>
      <c r="Q162" s="164">
        <f>(Q124*Emissions_factors!$E$20)/1000</f>
        <v>0</v>
      </c>
      <c r="R162" s="164">
        <f>(R124*Emissions_factors!$E$20)/1000</f>
        <v>0</v>
      </c>
      <c r="S162" s="164">
        <f>(S124*Emissions_factors!$E$20)/1000</f>
        <v>0</v>
      </c>
      <c r="T162" s="164">
        <f>(T124*Emissions_factors!$E$20)/1000</f>
        <v>0</v>
      </c>
      <c r="U162" s="164">
        <f>(U124*Emissions_factors!$E$20)/1000</f>
        <v>0</v>
      </c>
      <c r="V162" s="164">
        <f>(V124*Emissions_factors!$E$20)/1000</f>
        <v>0</v>
      </c>
      <c r="W162" s="164">
        <f>(W124*Emissions_factors!$E$20)/1000</f>
        <v>0</v>
      </c>
      <c r="X162" s="164">
        <f>(X124*Emissions_factors!$E$20)/1000</f>
        <v>0</v>
      </c>
      <c r="Y162" s="164">
        <f>(Y124*Emissions_factors!$E$20)/1000</f>
        <v>0</v>
      </c>
      <c r="Z162" s="164">
        <f>(Z124*Emissions_factors!$E$20)/1000</f>
        <v>0</v>
      </c>
      <c r="AA162" s="164">
        <f>(AA124*Emissions_factors!$E$20)/1000</f>
        <v>0</v>
      </c>
      <c r="AB162" s="164">
        <f>(AB124*Emissions_factors!$E$20)/1000</f>
        <v>0</v>
      </c>
      <c r="AC162" s="164">
        <f>(AC124*Emissions_factors!$E$20)/1000</f>
        <v>0</v>
      </c>
      <c r="AD162" s="164">
        <f>(AD124*Emissions_factors!$E$20)/1000</f>
        <v>0</v>
      </c>
      <c r="AE162" s="164">
        <f>(AE124*Emissions_factors!$E$20)/1000</f>
        <v>0</v>
      </c>
      <c r="AF162" s="164">
        <f>(AF124*Emissions_factors!$E$20)/1000</f>
        <v>0</v>
      </c>
      <c r="AG162" s="164">
        <f>(AG124*Emissions_factors!$E$20)/1000</f>
        <v>0</v>
      </c>
      <c r="AH162" s="164">
        <f>(AH124*Emissions_factors!$E$20)/1000</f>
        <v>0</v>
      </c>
      <c r="AI162" s="164">
        <f>(AI124*Emissions_factors!$E$20)/1000</f>
        <v>0</v>
      </c>
      <c r="AJ162" s="164">
        <f>(AJ124*Emissions_factors!$E$20)/1000</f>
        <v>0</v>
      </c>
      <c r="AK162" s="164">
        <f>(AK124*Emissions_factors!$E$20)/1000</f>
        <v>0</v>
      </c>
      <c r="AL162" s="164">
        <f>(AL124*Emissions_factors!$E$20)/1000</f>
        <v>0</v>
      </c>
    </row>
    <row r="163" spans="1:38">
      <c r="B163" s="163">
        <v>2025</v>
      </c>
      <c r="C163" s="164" t="e">
        <f>(C125*Emissions_factors!$E$20)/1000</f>
        <v>#N/A</v>
      </c>
      <c r="D163" s="164">
        <f>(D125*Emissions_factors!$E$20)/1000</f>
        <v>0</v>
      </c>
      <c r="E163" s="164">
        <f>(E125*Emissions_factors!$E$20)/1000</f>
        <v>0</v>
      </c>
      <c r="F163" s="164">
        <f>(F125*Emissions_factors!$E$20)/1000</f>
        <v>0</v>
      </c>
      <c r="G163" s="164">
        <f>(G125*Emissions_factors!$E$20)/1000</f>
        <v>0</v>
      </c>
      <c r="H163" s="164">
        <f>(H125*Emissions_factors!$E$20)/1000</f>
        <v>0</v>
      </c>
      <c r="I163" s="164">
        <f>(I125*Emissions_factors!$E$20)/1000</f>
        <v>0</v>
      </c>
      <c r="J163" s="164">
        <f>(J125*Emissions_factors!$E$20)/1000</f>
        <v>0</v>
      </c>
      <c r="K163" s="164">
        <f>(K125*Emissions_factors!$E$20)/1000</f>
        <v>0</v>
      </c>
      <c r="L163" s="164">
        <f>(L125*Emissions_factors!$E$20)/1000</f>
        <v>0</v>
      </c>
      <c r="M163" s="164">
        <f>(M125*Emissions_factors!$E$20)/1000</f>
        <v>0</v>
      </c>
      <c r="N163" s="164">
        <f>(N125*Emissions_factors!$E$20)/1000</f>
        <v>0</v>
      </c>
      <c r="O163" s="164">
        <f>(O125*Emissions_factors!$E$20)/1000</f>
        <v>0</v>
      </c>
      <c r="P163" s="164">
        <f>(P125*Emissions_factors!$E$20)/1000</f>
        <v>0</v>
      </c>
      <c r="Q163" s="164">
        <f>(Q125*Emissions_factors!$E$20)/1000</f>
        <v>0</v>
      </c>
      <c r="R163" s="164">
        <f>(R125*Emissions_factors!$E$20)/1000</f>
        <v>0</v>
      </c>
      <c r="S163" s="164">
        <f>(S125*Emissions_factors!$E$20)/1000</f>
        <v>0</v>
      </c>
      <c r="T163" s="164">
        <f>(T125*Emissions_factors!$E$20)/1000</f>
        <v>0</v>
      </c>
      <c r="U163" s="164">
        <f>(U125*Emissions_factors!$E$20)/1000</f>
        <v>0</v>
      </c>
      <c r="V163" s="164">
        <f>(V125*Emissions_factors!$E$20)/1000</f>
        <v>0</v>
      </c>
      <c r="W163" s="164">
        <f>(W125*Emissions_factors!$E$20)/1000</f>
        <v>0</v>
      </c>
      <c r="X163" s="164">
        <f>(X125*Emissions_factors!$E$20)/1000</f>
        <v>0</v>
      </c>
      <c r="Y163" s="164">
        <f>(Y125*Emissions_factors!$E$20)/1000</f>
        <v>0</v>
      </c>
      <c r="Z163" s="164">
        <f>(Z125*Emissions_factors!$E$20)/1000</f>
        <v>0</v>
      </c>
      <c r="AA163" s="164">
        <f>(AA125*Emissions_factors!$E$20)/1000</f>
        <v>0</v>
      </c>
      <c r="AB163" s="164">
        <f>(AB125*Emissions_factors!$E$20)/1000</f>
        <v>0</v>
      </c>
      <c r="AC163" s="164">
        <f>(AC125*Emissions_factors!$E$20)/1000</f>
        <v>0</v>
      </c>
      <c r="AD163" s="164">
        <f>(AD125*Emissions_factors!$E$20)/1000</f>
        <v>0</v>
      </c>
      <c r="AE163" s="164">
        <f>(AE125*Emissions_factors!$E$20)/1000</f>
        <v>0</v>
      </c>
      <c r="AF163" s="164">
        <f>(AF125*Emissions_factors!$E$20)/1000</f>
        <v>0</v>
      </c>
      <c r="AG163" s="164">
        <f>(AG125*Emissions_factors!$E$20)/1000</f>
        <v>0</v>
      </c>
      <c r="AH163" s="164">
        <f>(AH125*Emissions_factors!$E$20)/1000</f>
        <v>0</v>
      </c>
      <c r="AI163" s="164">
        <f>(AI125*Emissions_factors!$E$20)/1000</f>
        <v>0</v>
      </c>
      <c r="AJ163" s="164">
        <f>(AJ125*Emissions_factors!$E$20)/1000</f>
        <v>0</v>
      </c>
      <c r="AK163" s="164">
        <f>(AK125*Emissions_factors!$E$20)/1000</f>
        <v>0</v>
      </c>
      <c r="AL163" s="164">
        <f>(AL125*Emissions_factors!$E$20)/1000</f>
        <v>0</v>
      </c>
    </row>
    <row r="164" spans="1:38">
      <c r="B164" s="163">
        <v>2026</v>
      </c>
      <c r="C164" s="164" t="e">
        <f>(C126*Emissions_factors!$E$20)/1000</f>
        <v>#N/A</v>
      </c>
      <c r="D164" s="164">
        <f>(D126*Emissions_factors!$E$20)/1000</f>
        <v>0</v>
      </c>
      <c r="E164" s="164">
        <f>(E126*Emissions_factors!$E$20)/1000</f>
        <v>0</v>
      </c>
      <c r="F164" s="164">
        <f>(F126*Emissions_factors!$E$20)/1000</f>
        <v>0</v>
      </c>
      <c r="G164" s="164">
        <f>(G126*Emissions_factors!$E$20)/1000</f>
        <v>0</v>
      </c>
      <c r="H164" s="164">
        <f>(H126*Emissions_factors!$E$20)/1000</f>
        <v>0</v>
      </c>
      <c r="I164" s="164">
        <f>(I126*Emissions_factors!$E$20)/1000</f>
        <v>0</v>
      </c>
      <c r="J164" s="164">
        <f>(J126*Emissions_factors!$E$20)/1000</f>
        <v>0</v>
      </c>
      <c r="K164" s="164">
        <f>(K126*Emissions_factors!$E$20)/1000</f>
        <v>0</v>
      </c>
      <c r="L164" s="164">
        <f>(L126*Emissions_factors!$E$20)/1000</f>
        <v>0</v>
      </c>
      <c r="M164" s="164">
        <f>(M126*Emissions_factors!$E$20)/1000</f>
        <v>0</v>
      </c>
      <c r="N164" s="164">
        <f>(N126*Emissions_factors!$E$20)/1000</f>
        <v>0</v>
      </c>
      <c r="O164" s="164">
        <f>(O126*Emissions_factors!$E$20)/1000</f>
        <v>0</v>
      </c>
      <c r="P164" s="164">
        <f>(P126*Emissions_factors!$E$20)/1000</f>
        <v>0</v>
      </c>
      <c r="Q164" s="164">
        <f>(Q126*Emissions_factors!$E$20)/1000</f>
        <v>0</v>
      </c>
      <c r="R164" s="164">
        <f>(R126*Emissions_factors!$E$20)/1000</f>
        <v>0</v>
      </c>
      <c r="S164" s="164">
        <f>(S126*Emissions_factors!$E$20)/1000</f>
        <v>0</v>
      </c>
      <c r="T164" s="164">
        <f>(T126*Emissions_factors!$E$20)/1000</f>
        <v>0</v>
      </c>
      <c r="U164" s="164">
        <f>(U126*Emissions_factors!$E$20)/1000</f>
        <v>0</v>
      </c>
      <c r="V164" s="164">
        <f>(V126*Emissions_factors!$E$20)/1000</f>
        <v>0</v>
      </c>
      <c r="W164" s="164">
        <f>(W126*Emissions_factors!$E$20)/1000</f>
        <v>0</v>
      </c>
      <c r="X164" s="164">
        <f>(X126*Emissions_factors!$E$20)/1000</f>
        <v>0</v>
      </c>
      <c r="Y164" s="164">
        <f>(Y126*Emissions_factors!$E$20)/1000</f>
        <v>0</v>
      </c>
      <c r="Z164" s="164">
        <f>(Z126*Emissions_factors!$E$20)/1000</f>
        <v>0</v>
      </c>
      <c r="AA164" s="164">
        <f>(AA126*Emissions_factors!$E$20)/1000</f>
        <v>0</v>
      </c>
      <c r="AB164" s="164">
        <f>(AB126*Emissions_factors!$E$20)/1000</f>
        <v>0</v>
      </c>
      <c r="AC164" s="164">
        <f>(AC126*Emissions_factors!$E$20)/1000</f>
        <v>0</v>
      </c>
      <c r="AD164" s="164">
        <f>(AD126*Emissions_factors!$E$20)/1000</f>
        <v>0</v>
      </c>
      <c r="AE164" s="164">
        <f>(AE126*Emissions_factors!$E$20)/1000</f>
        <v>0</v>
      </c>
      <c r="AF164" s="164">
        <f>(AF126*Emissions_factors!$E$20)/1000</f>
        <v>0</v>
      </c>
      <c r="AG164" s="164">
        <f>(AG126*Emissions_factors!$E$20)/1000</f>
        <v>0</v>
      </c>
      <c r="AH164" s="164">
        <f>(AH126*Emissions_factors!$E$20)/1000</f>
        <v>0</v>
      </c>
      <c r="AI164" s="164">
        <f>(AI126*Emissions_factors!$E$20)/1000</f>
        <v>0</v>
      </c>
      <c r="AJ164" s="164">
        <f>(AJ126*Emissions_factors!$E$20)/1000</f>
        <v>0</v>
      </c>
      <c r="AK164" s="164">
        <f>(AK126*Emissions_factors!$E$20)/1000</f>
        <v>0</v>
      </c>
      <c r="AL164" s="164">
        <f>(AL126*Emissions_factors!$E$20)/1000</f>
        <v>0</v>
      </c>
    </row>
    <row r="165" spans="1:38">
      <c r="B165" s="163">
        <v>2027</v>
      </c>
      <c r="C165" s="164" t="e">
        <f>(C127*Emissions_factors!$E$20)/1000</f>
        <v>#N/A</v>
      </c>
      <c r="D165" s="164">
        <f>(D127*Emissions_factors!$E$20)/1000</f>
        <v>0</v>
      </c>
      <c r="E165" s="164">
        <f>(E127*Emissions_factors!$E$20)/1000</f>
        <v>0</v>
      </c>
      <c r="F165" s="164">
        <f>(F127*Emissions_factors!$E$20)/1000</f>
        <v>0</v>
      </c>
      <c r="G165" s="164">
        <f>(G127*Emissions_factors!$E$20)/1000</f>
        <v>0</v>
      </c>
      <c r="H165" s="164">
        <f>(H127*Emissions_factors!$E$20)/1000</f>
        <v>0</v>
      </c>
      <c r="I165" s="164">
        <f>(I127*Emissions_factors!$E$20)/1000</f>
        <v>0</v>
      </c>
      <c r="J165" s="164">
        <f>(J127*Emissions_factors!$E$20)/1000</f>
        <v>0</v>
      </c>
      <c r="K165" s="164">
        <f>(K127*Emissions_factors!$E$20)/1000</f>
        <v>0</v>
      </c>
      <c r="L165" s="164">
        <f>(L127*Emissions_factors!$E$20)/1000</f>
        <v>0</v>
      </c>
      <c r="M165" s="164">
        <f>(M127*Emissions_factors!$E$20)/1000</f>
        <v>0</v>
      </c>
      <c r="N165" s="164">
        <f>(N127*Emissions_factors!$E$20)/1000</f>
        <v>0</v>
      </c>
      <c r="O165" s="164">
        <f>(O127*Emissions_factors!$E$20)/1000</f>
        <v>0</v>
      </c>
      <c r="P165" s="164">
        <f>(P127*Emissions_factors!$E$20)/1000</f>
        <v>0</v>
      </c>
      <c r="Q165" s="164">
        <f>(Q127*Emissions_factors!$E$20)/1000</f>
        <v>0</v>
      </c>
      <c r="R165" s="164">
        <f>(R127*Emissions_factors!$E$20)/1000</f>
        <v>0</v>
      </c>
      <c r="S165" s="164">
        <f>(S127*Emissions_factors!$E$20)/1000</f>
        <v>0</v>
      </c>
      <c r="T165" s="164">
        <f>(T127*Emissions_factors!$E$20)/1000</f>
        <v>0</v>
      </c>
      <c r="U165" s="164">
        <f>(U127*Emissions_factors!$E$20)/1000</f>
        <v>0</v>
      </c>
      <c r="V165" s="164">
        <f>(V127*Emissions_factors!$E$20)/1000</f>
        <v>0</v>
      </c>
      <c r="W165" s="164">
        <f>(W127*Emissions_factors!$E$20)/1000</f>
        <v>0</v>
      </c>
      <c r="X165" s="164">
        <f>(X127*Emissions_factors!$E$20)/1000</f>
        <v>0</v>
      </c>
      <c r="Y165" s="164">
        <f>(Y127*Emissions_factors!$E$20)/1000</f>
        <v>0</v>
      </c>
      <c r="Z165" s="164">
        <f>(Z127*Emissions_factors!$E$20)/1000</f>
        <v>0</v>
      </c>
      <c r="AA165" s="164">
        <f>(AA127*Emissions_factors!$E$20)/1000</f>
        <v>0</v>
      </c>
      <c r="AB165" s="164">
        <f>(AB127*Emissions_factors!$E$20)/1000</f>
        <v>0</v>
      </c>
      <c r="AC165" s="164">
        <f>(AC127*Emissions_factors!$E$20)/1000</f>
        <v>0</v>
      </c>
      <c r="AD165" s="164">
        <f>(AD127*Emissions_factors!$E$20)/1000</f>
        <v>0</v>
      </c>
      <c r="AE165" s="164">
        <f>(AE127*Emissions_factors!$E$20)/1000</f>
        <v>0</v>
      </c>
      <c r="AF165" s="164">
        <f>(AF127*Emissions_factors!$E$20)/1000</f>
        <v>0</v>
      </c>
      <c r="AG165" s="164">
        <f>(AG127*Emissions_factors!$E$20)/1000</f>
        <v>0</v>
      </c>
      <c r="AH165" s="164">
        <f>(AH127*Emissions_factors!$E$20)/1000</f>
        <v>0</v>
      </c>
      <c r="AI165" s="164">
        <f>(AI127*Emissions_factors!$E$20)/1000</f>
        <v>0</v>
      </c>
      <c r="AJ165" s="164">
        <f>(AJ127*Emissions_factors!$E$20)/1000</f>
        <v>0</v>
      </c>
      <c r="AK165" s="164">
        <f>(AK127*Emissions_factors!$E$20)/1000</f>
        <v>0</v>
      </c>
      <c r="AL165" s="164">
        <f>(AL127*Emissions_factors!$E$20)/1000</f>
        <v>0</v>
      </c>
    </row>
    <row r="166" spans="1:38">
      <c r="B166" s="163">
        <v>2028</v>
      </c>
      <c r="C166" s="164" t="e">
        <f>(C128*Emissions_factors!$E$20)/1000</f>
        <v>#N/A</v>
      </c>
      <c r="D166" s="164">
        <f>(D128*Emissions_factors!$E$20)/1000</f>
        <v>0</v>
      </c>
      <c r="E166" s="164">
        <f>(E128*Emissions_factors!$E$20)/1000</f>
        <v>0</v>
      </c>
      <c r="F166" s="164">
        <f>(F128*Emissions_factors!$E$20)/1000</f>
        <v>0</v>
      </c>
      <c r="G166" s="164">
        <f>(G128*Emissions_factors!$E$20)/1000</f>
        <v>0</v>
      </c>
      <c r="H166" s="164">
        <f>(H128*Emissions_factors!$E$20)/1000</f>
        <v>0</v>
      </c>
      <c r="I166" s="164">
        <f>(I128*Emissions_factors!$E$20)/1000</f>
        <v>0</v>
      </c>
      <c r="J166" s="164">
        <f>(J128*Emissions_factors!$E$20)/1000</f>
        <v>0</v>
      </c>
      <c r="K166" s="164">
        <f>(K128*Emissions_factors!$E$20)/1000</f>
        <v>0</v>
      </c>
      <c r="L166" s="164">
        <f>(L128*Emissions_factors!$E$20)/1000</f>
        <v>0</v>
      </c>
      <c r="M166" s="164">
        <f>(M128*Emissions_factors!$E$20)/1000</f>
        <v>0</v>
      </c>
      <c r="N166" s="164">
        <f>(N128*Emissions_factors!$E$20)/1000</f>
        <v>0</v>
      </c>
      <c r="O166" s="164">
        <f>(O128*Emissions_factors!$E$20)/1000</f>
        <v>0</v>
      </c>
      <c r="P166" s="164">
        <f>(P128*Emissions_factors!$E$20)/1000</f>
        <v>0</v>
      </c>
      <c r="Q166" s="164">
        <f>(Q128*Emissions_factors!$E$20)/1000</f>
        <v>0</v>
      </c>
      <c r="R166" s="164">
        <f>(R128*Emissions_factors!$E$20)/1000</f>
        <v>0</v>
      </c>
      <c r="S166" s="164">
        <f>(S128*Emissions_factors!$E$20)/1000</f>
        <v>0</v>
      </c>
      <c r="T166" s="164">
        <f>(T128*Emissions_factors!$E$20)/1000</f>
        <v>0</v>
      </c>
      <c r="U166" s="164">
        <f>(U128*Emissions_factors!$E$20)/1000</f>
        <v>0</v>
      </c>
      <c r="V166" s="164">
        <f>(V128*Emissions_factors!$E$20)/1000</f>
        <v>0</v>
      </c>
      <c r="W166" s="164">
        <f>(W128*Emissions_factors!$E$20)/1000</f>
        <v>0</v>
      </c>
      <c r="X166" s="164">
        <f>(X128*Emissions_factors!$E$20)/1000</f>
        <v>0</v>
      </c>
      <c r="Y166" s="164">
        <f>(Y128*Emissions_factors!$E$20)/1000</f>
        <v>0</v>
      </c>
      <c r="Z166" s="164">
        <f>(Z128*Emissions_factors!$E$20)/1000</f>
        <v>0</v>
      </c>
      <c r="AA166" s="164">
        <f>(AA128*Emissions_factors!$E$20)/1000</f>
        <v>0</v>
      </c>
      <c r="AB166" s="164">
        <f>(AB128*Emissions_factors!$E$20)/1000</f>
        <v>0</v>
      </c>
      <c r="AC166" s="164">
        <f>(AC128*Emissions_factors!$E$20)/1000</f>
        <v>0</v>
      </c>
      <c r="AD166" s="164">
        <f>(AD128*Emissions_factors!$E$20)/1000</f>
        <v>0</v>
      </c>
      <c r="AE166" s="164">
        <f>(AE128*Emissions_factors!$E$20)/1000</f>
        <v>0</v>
      </c>
      <c r="AF166" s="164">
        <f>(AF128*Emissions_factors!$E$20)/1000</f>
        <v>0</v>
      </c>
      <c r="AG166" s="164">
        <f>(AG128*Emissions_factors!$E$20)/1000</f>
        <v>0</v>
      </c>
      <c r="AH166" s="164">
        <f>(AH128*Emissions_factors!$E$20)/1000</f>
        <v>0</v>
      </c>
      <c r="AI166" s="164">
        <f>(AI128*Emissions_factors!$E$20)/1000</f>
        <v>0</v>
      </c>
      <c r="AJ166" s="164">
        <f>(AJ128*Emissions_factors!$E$20)/1000</f>
        <v>0</v>
      </c>
      <c r="AK166" s="164">
        <f>(AK128*Emissions_factors!$E$20)/1000</f>
        <v>0</v>
      </c>
      <c r="AL166" s="164">
        <f>(AL128*Emissions_factors!$E$20)/1000</f>
        <v>0</v>
      </c>
    </row>
    <row r="167" spans="1:38">
      <c r="B167" s="163">
        <v>2029</v>
      </c>
      <c r="C167" s="164" t="e">
        <f>(C129*Emissions_factors!$E$20)/1000</f>
        <v>#N/A</v>
      </c>
      <c r="D167" s="164">
        <f>(D129*Emissions_factors!$E$20)/1000</f>
        <v>0</v>
      </c>
      <c r="E167" s="164">
        <f>(E129*Emissions_factors!$E$20)/1000</f>
        <v>0</v>
      </c>
      <c r="F167" s="164">
        <f>(F129*Emissions_factors!$E$20)/1000</f>
        <v>0</v>
      </c>
      <c r="G167" s="164">
        <f>(G129*Emissions_factors!$E$20)/1000</f>
        <v>0</v>
      </c>
      <c r="H167" s="164">
        <f>(H129*Emissions_factors!$E$20)/1000</f>
        <v>0</v>
      </c>
      <c r="I167" s="164">
        <f>(I129*Emissions_factors!$E$20)/1000</f>
        <v>0</v>
      </c>
      <c r="J167" s="164">
        <f>(J129*Emissions_factors!$E$20)/1000</f>
        <v>0</v>
      </c>
      <c r="K167" s="164">
        <f>(K129*Emissions_factors!$E$20)/1000</f>
        <v>0</v>
      </c>
      <c r="L167" s="164">
        <f>(L129*Emissions_factors!$E$20)/1000</f>
        <v>0</v>
      </c>
      <c r="M167" s="164">
        <f>(M129*Emissions_factors!$E$20)/1000</f>
        <v>0</v>
      </c>
      <c r="N167" s="164">
        <f>(N129*Emissions_factors!$E$20)/1000</f>
        <v>0</v>
      </c>
      <c r="O167" s="164">
        <f>(O129*Emissions_factors!$E$20)/1000</f>
        <v>0</v>
      </c>
      <c r="P167" s="164">
        <f>(P129*Emissions_factors!$E$20)/1000</f>
        <v>0</v>
      </c>
      <c r="Q167" s="164">
        <f>(Q129*Emissions_factors!$E$20)/1000</f>
        <v>0</v>
      </c>
      <c r="R167" s="164">
        <f>(R129*Emissions_factors!$E$20)/1000</f>
        <v>0</v>
      </c>
      <c r="S167" s="164">
        <f>(S129*Emissions_factors!$E$20)/1000</f>
        <v>0</v>
      </c>
      <c r="T167" s="164">
        <f>(T129*Emissions_factors!$E$20)/1000</f>
        <v>0</v>
      </c>
      <c r="U167" s="164">
        <f>(U129*Emissions_factors!$E$20)/1000</f>
        <v>0</v>
      </c>
      <c r="V167" s="164">
        <f>(V129*Emissions_factors!$E$20)/1000</f>
        <v>0</v>
      </c>
      <c r="W167" s="164">
        <f>(W129*Emissions_factors!$E$20)/1000</f>
        <v>0</v>
      </c>
      <c r="X167" s="164">
        <f>(X129*Emissions_factors!$E$20)/1000</f>
        <v>0</v>
      </c>
      <c r="Y167" s="164">
        <f>(Y129*Emissions_factors!$E$20)/1000</f>
        <v>0</v>
      </c>
      <c r="Z167" s="164">
        <f>(Z129*Emissions_factors!$E$20)/1000</f>
        <v>0</v>
      </c>
      <c r="AA167" s="164">
        <f>(AA129*Emissions_factors!$E$20)/1000</f>
        <v>0</v>
      </c>
      <c r="AB167" s="164">
        <f>(AB129*Emissions_factors!$E$20)/1000</f>
        <v>0</v>
      </c>
      <c r="AC167" s="164">
        <f>(AC129*Emissions_factors!$E$20)/1000</f>
        <v>0</v>
      </c>
      <c r="AD167" s="164">
        <f>(AD129*Emissions_factors!$E$20)/1000</f>
        <v>0</v>
      </c>
      <c r="AE167" s="164">
        <f>(AE129*Emissions_factors!$E$20)/1000</f>
        <v>0</v>
      </c>
      <c r="AF167" s="164">
        <f>(AF129*Emissions_factors!$E$20)/1000</f>
        <v>0</v>
      </c>
      <c r="AG167" s="164">
        <f>(AG129*Emissions_factors!$E$20)/1000</f>
        <v>0</v>
      </c>
      <c r="AH167" s="164">
        <f>(AH129*Emissions_factors!$E$20)/1000</f>
        <v>0</v>
      </c>
      <c r="AI167" s="164">
        <f>(AI129*Emissions_factors!$E$20)/1000</f>
        <v>0</v>
      </c>
      <c r="AJ167" s="164">
        <f>(AJ129*Emissions_factors!$E$20)/1000</f>
        <v>0</v>
      </c>
      <c r="AK167" s="164">
        <f>(AK129*Emissions_factors!$E$20)/1000</f>
        <v>0</v>
      </c>
      <c r="AL167" s="164">
        <f>(AL129*Emissions_factors!$E$20)/1000</f>
        <v>0</v>
      </c>
    </row>
    <row r="168" spans="1:38">
      <c r="B168" s="163">
        <v>2030</v>
      </c>
      <c r="C168" s="164" t="e">
        <f>(C130*Emissions_factors!$E$20)/1000</f>
        <v>#N/A</v>
      </c>
      <c r="D168" s="164">
        <f>(D130*Emissions_factors!$E$20)/1000</f>
        <v>0</v>
      </c>
      <c r="E168" s="164">
        <f>(E130*Emissions_factors!$E$20)/1000</f>
        <v>0</v>
      </c>
      <c r="F168" s="164">
        <f>(F130*Emissions_factors!$E$20)/1000</f>
        <v>0</v>
      </c>
      <c r="G168" s="164">
        <f>(G130*Emissions_factors!$E$20)/1000</f>
        <v>0</v>
      </c>
      <c r="H168" s="164">
        <f>(H130*Emissions_factors!$E$20)/1000</f>
        <v>0</v>
      </c>
      <c r="I168" s="164">
        <f>(I130*Emissions_factors!$E$20)/1000</f>
        <v>0</v>
      </c>
      <c r="J168" s="164">
        <f>(J130*Emissions_factors!$E$20)/1000</f>
        <v>0</v>
      </c>
      <c r="K168" s="164">
        <f>(K130*Emissions_factors!$E$20)/1000</f>
        <v>0</v>
      </c>
      <c r="L168" s="164">
        <f>(L130*Emissions_factors!$E$20)/1000</f>
        <v>0</v>
      </c>
      <c r="M168" s="164">
        <f>(M130*Emissions_factors!$E$20)/1000</f>
        <v>0</v>
      </c>
      <c r="N168" s="164">
        <f>(N130*Emissions_factors!$E$20)/1000</f>
        <v>0</v>
      </c>
      <c r="O168" s="164">
        <f>(O130*Emissions_factors!$E$20)/1000</f>
        <v>0</v>
      </c>
      <c r="P168" s="164">
        <f>(P130*Emissions_factors!$E$20)/1000</f>
        <v>0</v>
      </c>
      <c r="Q168" s="164">
        <f>(Q130*Emissions_factors!$E$20)/1000</f>
        <v>0</v>
      </c>
      <c r="R168" s="164">
        <f>(R130*Emissions_factors!$E$20)/1000</f>
        <v>0</v>
      </c>
      <c r="S168" s="164">
        <f>(S130*Emissions_factors!$E$20)/1000</f>
        <v>0</v>
      </c>
      <c r="T168" s="164">
        <f>(T130*Emissions_factors!$E$20)/1000</f>
        <v>0</v>
      </c>
      <c r="U168" s="164">
        <f>(U130*Emissions_factors!$E$20)/1000</f>
        <v>0</v>
      </c>
      <c r="V168" s="164">
        <f>(V130*Emissions_factors!$E$20)/1000</f>
        <v>0</v>
      </c>
      <c r="W168" s="164">
        <f>(W130*Emissions_factors!$E$20)/1000</f>
        <v>0</v>
      </c>
      <c r="X168" s="164">
        <f>(X130*Emissions_factors!$E$20)/1000</f>
        <v>0</v>
      </c>
      <c r="Y168" s="164">
        <f>(Y130*Emissions_factors!$E$20)/1000</f>
        <v>0</v>
      </c>
      <c r="Z168" s="164">
        <f>(Z130*Emissions_factors!$E$20)/1000</f>
        <v>0</v>
      </c>
      <c r="AA168" s="164">
        <f>(AA130*Emissions_factors!$E$20)/1000</f>
        <v>0</v>
      </c>
      <c r="AB168" s="164">
        <f>(AB130*Emissions_factors!$E$20)/1000</f>
        <v>0</v>
      </c>
      <c r="AC168" s="164">
        <f>(AC130*Emissions_factors!$E$20)/1000</f>
        <v>0</v>
      </c>
      <c r="AD168" s="164">
        <f>(AD130*Emissions_factors!$E$20)/1000</f>
        <v>0</v>
      </c>
      <c r="AE168" s="164">
        <f>(AE130*Emissions_factors!$E$20)/1000</f>
        <v>0</v>
      </c>
      <c r="AF168" s="164">
        <f>(AF130*Emissions_factors!$E$20)/1000</f>
        <v>0</v>
      </c>
      <c r="AG168" s="164">
        <f>(AG130*Emissions_factors!$E$20)/1000</f>
        <v>0</v>
      </c>
      <c r="AH168" s="164">
        <f>(AH130*Emissions_factors!$E$20)/1000</f>
        <v>0</v>
      </c>
      <c r="AI168" s="164">
        <f>(AI130*Emissions_factors!$E$20)/1000</f>
        <v>0</v>
      </c>
      <c r="AJ168" s="164">
        <f>(AJ130*Emissions_factors!$E$20)/1000</f>
        <v>0</v>
      </c>
      <c r="AK168" s="164">
        <f>(AK130*Emissions_factors!$E$20)/1000</f>
        <v>0</v>
      </c>
      <c r="AL168" s="164">
        <f>(AL130*Emissions_factors!$E$20)/1000</f>
        <v>0</v>
      </c>
    </row>
    <row r="169" spans="1:38">
      <c r="B169" s="163">
        <v>2031</v>
      </c>
      <c r="C169" s="164" t="e">
        <f>(C131*Emissions_factors!$E$20)/1000</f>
        <v>#N/A</v>
      </c>
      <c r="D169" s="164">
        <f>(D131*Emissions_factors!$E$20)/1000</f>
        <v>0</v>
      </c>
      <c r="E169" s="164">
        <f>(E131*Emissions_factors!$E$20)/1000</f>
        <v>0</v>
      </c>
      <c r="F169" s="164">
        <f>(F131*Emissions_factors!$E$20)/1000</f>
        <v>0</v>
      </c>
      <c r="G169" s="164">
        <f>(G131*Emissions_factors!$E$20)/1000</f>
        <v>0</v>
      </c>
      <c r="H169" s="164">
        <f>(H131*Emissions_factors!$E$20)/1000</f>
        <v>0</v>
      </c>
      <c r="I169" s="164">
        <f>(I131*Emissions_factors!$E$20)/1000</f>
        <v>0</v>
      </c>
      <c r="J169" s="164">
        <f>(J131*Emissions_factors!$E$20)/1000</f>
        <v>0</v>
      </c>
      <c r="K169" s="164">
        <f>(K131*Emissions_factors!$E$20)/1000</f>
        <v>0</v>
      </c>
      <c r="L169" s="164">
        <f>(L131*Emissions_factors!$E$20)/1000</f>
        <v>0</v>
      </c>
      <c r="M169" s="164">
        <f>(M131*Emissions_factors!$E$20)/1000</f>
        <v>0</v>
      </c>
      <c r="N169" s="164">
        <f>(N131*Emissions_factors!$E$20)/1000</f>
        <v>0</v>
      </c>
      <c r="O169" s="164">
        <f>(O131*Emissions_factors!$E$20)/1000</f>
        <v>0</v>
      </c>
      <c r="P169" s="164">
        <f>(P131*Emissions_factors!$E$20)/1000</f>
        <v>0</v>
      </c>
      <c r="Q169" s="164">
        <f>(Q131*Emissions_factors!$E$20)/1000</f>
        <v>0</v>
      </c>
      <c r="R169" s="164">
        <f>(R131*Emissions_factors!$E$20)/1000</f>
        <v>0</v>
      </c>
      <c r="S169" s="164">
        <f>(S131*Emissions_factors!$E$20)/1000</f>
        <v>0</v>
      </c>
      <c r="T169" s="164">
        <f>(T131*Emissions_factors!$E$20)/1000</f>
        <v>0</v>
      </c>
      <c r="U169" s="164">
        <f>(U131*Emissions_factors!$E$20)/1000</f>
        <v>0</v>
      </c>
      <c r="V169" s="164">
        <f>(V131*Emissions_factors!$E$20)/1000</f>
        <v>0</v>
      </c>
      <c r="W169" s="164">
        <f>(W131*Emissions_factors!$E$20)/1000</f>
        <v>0</v>
      </c>
      <c r="X169" s="164">
        <f>(X131*Emissions_factors!$E$20)/1000</f>
        <v>0</v>
      </c>
      <c r="Y169" s="164">
        <f>(Y131*Emissions_factors!$E$20)/1000</f>
        <v>0</v>
      </c>
      <c r="Z169" s="164">
        <f>(Z131*Emissions_factors!$E$20)/1000</f>
        <v>0</v>
      </c>
      <c r="AA169" s="164">
        <f>(AA131*Emissions_factors!$E$20)/1000</f>
        <v>0</v>
      </c>
      <c r="AB169" s="164">
        <f>(AB131*Emissions_factors!$E$20)/1000</f>
        <v>0</v>
      </c>
      <c r="AC169" s="164">
        <f>(AC131*Emissions_factors!$E$20)/1000</f>
        <v>0</v>
      </c>
      <c r="AD169" s="164">
        <f>(AD131*Emissions_factors!$E$20)/1000</f>
        <v>0</v>
      </c>
      <c r="AE169" s="164">
        <f>(AE131*Emissions_factors!$E$20)/1000</f>
        <v>0</v>
      </c>
      <c r="AF169" s="164">
        <f>(AF131*Emissions_factors!$E$20)/1000</f>
        <v>0</v>
      </c>
      <c r="AG169" s="164">
        <f>(AG131*Emissions_factors!$E$20)/1000</f>
        <v>0</v>
      </c>
      <c r="AH169" s="164">
        <f>(AH131*Emissions_factors!$E$20)/1000</f>
        <v>0</v>
      </c>
      <c r="AI169" s="164">
        <f>(AI131*Emissions_factors!$E$20)/1000</f>
        <v>0</v>
      </c>
      <c r="AJ169" s="164">
        <f>(AJ131*Emissions_factors!$E$20)/1000</f>
        <v>0</v>
      </c>
      <c r="AK169" s="164">
        <f>(AK131*Emissions_factors!$E$20)/1000</f>
        <v>0</v>
      </c>
      <c r="AL169" s="164">
        <f>(AL131*Emissions_factors!$E$20)/1000</f>
        <v>0</v>
      </c>
    </row>
    <row r="170" spans="1:38">
      <c r="B170" s="163">
        <v>2032</v>
      </c>
      <c r="C170" s="164" t="e">
        <f>(C132*Emissions_factors!$E$20)/1000</f>
        <v>#N/A</v>
      </c>
      <c r="D170" s="164">
        <f>(D132*Emissions_factors!$E$20)/1000</f>
        <v>0</v>
      </c>
      <c r="E170" s="164">
        <f>(E132*Emissions_factors!$E$20)/1000</f>
        <v>0</v>
      </c>
      <c r="F170" s="164">
        <f>(F132*Emissions_factors!$E$20)/1000</f>
        <v>0</v>
      </c>
      <c r="G170" s="164">
        <f>(G132*Emissions_factors!$E$20)/1000</f>
        <v>0</v>
      </c>
      <c r="H170" s="164">
        <f>(H132*Emissions_factors!$E$20)/1000</f>
        <v>0</v>
      </c>
      <c r="I170" s="164">
        <f>(I132*Emissions_factors!$E$20)/1000</f>
        <v>0</v>
      </c>
      <c r="J170" s="164">
        <f>(J132*Emissions_factors!$E$20)/1000</f>
        <v>0</v>
      </c>
      <c r="K170" s="164">
        <f>(K132*Emissions_factors!$E$20)/1000</f>
        <v>0</v>
      </c>
      <c r="L170" s="164">
        <f>(L132*Emissions_factors!$E$20)/1000</f>
        <v>0</v>
      </c>
      <c r="M170" s="164">
        <f>(M132*Emissions_factors!$E$20)/1000</f>
        <v>0</v>
      </c>
      <c r="N170" s="164">
        <f>(N132*Emissions_factors!$E$20)/1000</f>
        <v>0</v>
      </c>
      <c r="O170" s="164">
        <f>(O132*Emissions_factors!$E$20)/1000</f>
        <v>0</v>
      </c>
      <c r="P170" s="164">
        <f>(P132*Emissions_factors!$E$20)/1000</f>
        <v>0</v>
      </c>
      <c r="Q170" s="164">
        <f>(Q132*Emissions_factors!$E$20)/1000</f>
        <v>0</v>
      </c>
      <c r="R170" s="164">
        <f>(R132*Emissions_factors!$E$20)/1000</f>
        <v>0</v>
      </c>
      <c r="S170" s="164">
        <f>(S132*Emissions_factors!$E$20)/1000</f>
        <v>0</v>
      </c>
      <c r="T170" s="164">
        <f>(T132*Emissions_factors!$E$20)/1000</f>
        <v>0</v>
      </c>
      <c r="U170" s="164">
        <f>(U132*Emissions_factors!$E$20)/1000</f>
        <v>0</v>
      </c>
      <c r="V170" s="164">
        <f>(V132*Emissions_factors!$E$20)/1000</f>
        <v>0</v>
      </c>
      <c r="W170" s="164">
        <f>(W132*Emissions_factors!$E$20)/1000</f>
        <v>0</v>
      </c>
      <c r="X170" s="164">
        <f>(X132*Emissions_factors!$E$20)/1000</f>
        <v>0</v>
      </c>
      <c r="Y170" s="164">
        <f>(Y132*Emissions_factors!$E$20)/1000</f>
        <v>0</v>
      </c>
      <c r="Z170" s="164">
        <f>(Z132*Emissions_factors!$E$20)/1000</f>
        <v>0</v>
      </c>
      <c r="AA170" s="164">
        <f>(AA132*Emissions_factors!$E$20)/1000</f>
        <v>0</v>
      </c>
      <c r="AB170" s="164">
        <f>(AB132*Emissions_factors!$E$20)/1000</f>
        <v>0</v>
      </c>
      <c r="AC170" s="164">
        <f>(AC132*Emissions_factors!$E$20)/1000</f>
        <v>0</v>
      </c>
      <c r="AD170" s="164">
        <f>(AD132*Emissions_factors!$E$20)/1000</f>
        <v>0</v>
      </c>
      <c r="AE170" s="164">
        <f>(AE132*Emissions_factors!$E$20)/1000</f>
        <v>0</v>
      </c>
      <c r="AF170" s="164">
        <f>(AF132*Emissions_factors!$E$20)/1000</f>
        <v>0</v>
      </c>
      <c r="AG170" s="164">
        <f>(AG132*Emissions_factors!$E$20)/1000</f>
        <v>0</v>
      </c>
      <c r="AH170" s="164">
        <f>(AH132*Emissions_factors!$E$20)/1000</f>
        <v>0</v>
      </c>
      <c r="AI170" s="164">
        <f>(AI132*Emissions_factors!$E$20)/1000</f>
        <v>0</v>
      </c>
      <c r="AJ170" s="164">
        <f>(AJ132*Emissions_factors!$E$20)/1000</f>
        <v>0</v>
      </c>
      <c r="AK170" s="164">
        <f>(AK132*Emissions_factors!$E$20)/1000</f>
        <v>0</v>
      </c>
      <c r="AL170" s="164">
        <f>(AL132*Emissions_factors!$E$20)/1000</f>
        <v>0</v>
      </c>
    </row>
    <row r="171" spans="1:38">
      <c r="B171" s="163">
        <v>2033</v>
      </c>
      <c r="C171" s="164" t="e">
        <f>(C133*Emissions_factors!$E$20)/1000</f>
        <v>#N/A</v>
      </c>
      <c r="D171" s="164">
        <f>(D133*Emissions_factors!$E$20)/1000</f>
        <v>0</v>
      </c>
      <c r="E171" s="164">
        <f>(E133*Emissions_factors!$E$20)/1000</f>
        <v>0</v>
      </c>
      <c r="F171" s="164">
        <f>(F133*Emissions_factors!$E$20)/1000</f>
        <v>0</v>
      </c>
      <c r="G171" s="164">
        <f>(G133*Emissions_factors!$E$20)/1000</f>
        <v>0</v>
      </c>
      <c r="H171" s="164">
        <f>(H133*Emissions_factors!$E$20)/1000</f>
        <v>0</v>
      </c>
      <c r="I171" s="164">
        <f>(I133*Emissions_factors!$E$20)/1000</f>
        <v>0</v>
      </c>
      <c r="J171" s="164">
        <f>(J133*Emissions_factors!$E$20)/1000</f>
        <v>0</v>
      </c>
      <c r="K171" s="164">
        <f>(K133*Emissions_factors!$E$20)/1000</f>
        <v>0</v>
      </c>
      <c r="L171" s="164">
        <f>(L133*Emissions_factors!$E$20)/1000</f>
        <v>0</v>
      </c>
      <c r="M171" s="164">
        <f>(M133*Emissions_factors!$E$20)/1000</f>
        <v>0</v>
      </c>
      <c r="N171" s="164">
        <f>(N133*Emissions_factors!$E$20)/1000</f>
        <v>0</v>
      </c>
      <c r="O171" s="164">
        <f>(O133*Emissions_factors!$E$20)/1000</f>
        <v>0</v>
      </c>
      <c r="P171" s="164">
        <f>(P133*Emissions_factors!$E$20)/1000</f>
        <v>0</v>
      </c>
      <c r="Q171" s="164">
        <f>(Q133*Emissions_factors!$E$20)/1000</f>
        <v>0</v>
      </c>
      <c r="R171" s="164">
        <f>(R133*Emissions_factors!$E$20)/1000</f>
        <v>0</v>
      </c>
      <c r="S171" s="164">
        <f>(S133*Emissions_factors!$E$20)/1000</f>
        <v>0</v>
      </c>
      <c r="T171" s="164">
        <f>(T133*Emissions_factors!$E$20)/1000</f>
        <v>0</v>
      </c>
      <c r="U171" s="164">
        <f>(U133*Emissions_factors!$E$20)/1000</f>
        <v>0</v>
      </c>
      <c r="V171" s="164">
        <f>(V133*Emissions_factors!$E$20)/1000</f>
        <v>0</v>
      </c>
      <c r="W171" s="164">
        <f>(W133*Emissions_factors!$E$20)/1000</f>
        <v>0</v>
      </c>
      <c r="X171" s="164">
        <f>(X133*Emissions_factors!$E$20)/1000</f>
        <v>0</v>
      </c>
      <c r="Y171" s="164">
        <f>(Y133*Emissions_factors!$E$20)/1000</f>
        <v>0</v>
      </c>
      <c r="Z171" s="164">
        <f>(Z133*Emissions_factors!$E$20)/1000</f>
        <v>0</v>
      </c>
      <c r="AA171" s="164">
        <f>(AA133*Emissions_factors!$E$20)/1000</f>
        <v>0</v>
      </c>
      <c r="AB171" s="164">
        <f>(AB133*Emissions_factors!$E$20)/1000</f>
        <v>0</v>
      </c>
      <c r="AC171" s="164">
        <f>(AC133*Emissions_factors!$E$20)/1000</f>
        <v>0</v>
      </c>
      <c r="AD171" s="164">
        <f>(AD133*Emissions_factors!$E$20)/1000</f>
        <v>0</v>
      </c>
      <c r="AE171" s="164">
        <f>(AE133*Emissions_factors!$E$20)/1000</f>
        <v>0</v>
      </c>
      <c r="AF171" s="164">
        <f>(AF133*Emissions_factors!$E$20)/1000</f>
        <v>0</v>
      </c>
      <c r="AG171" s="164">
        <f>(AG133*Emissions_factors!$E$20)/1000</f>
        <v>0</v>
      </c>
      <c r="AH171" s="164">
        <f>(AH133*Emissions_factors!$E$20)/1000</f>
        <v>0</v>
      </c>
      <c r="AI171" s="164">
        <f>(AI133*Emissions_factors!$E$20)/1000</f>
        <v>0</v>
      </c>
      <c r="AJ171" s="164">
        <f>(AJ133*Emissions_factors!$E$20)/1000</f>
        <v>0</v>
      </c>
      <c r="AK171" s="164">
        <f>(AK133*Emissions_factors!$E$20)/1000</f>
        <v>0</v>
      </c>
      <c r="AL171" s="164">
        <f>(AL133*Emissions_factors!$E$20)/1000</f>
        <v>0</v>
      </c>
    </row>
    <row r="172" spans="1:38">
      <c r="B172" s="163">
        <v>2034</v>
      </c>
      <c r="C172" s="164" t="e">
        <f>(C134*Emissions_factors!$E$20)/1000</f>
        <v>#N/A</v>
      </c>
      <c r="D172" s="164">
        <f>(D134*Emissions_factors!$E$20)/1000</f>
        <v>0</v>
      </c>
      <c r="E172" s="164">
        <f>(E134*Emissions_factors!$E$20)/1000</f>
        <v>0</v>
      </c>
      <c r="F172" s="164">
        <f>(F134*Emissions_factors!$E$20)/1000</f>
        <v>0</v>
      </c>
      <c r="G172" s="164">
        <f>(G134*Emissions_factors!$E$20)/1000</f>
        <v>0</v>
      </c>
      <c r="H172" s="164">
        <f>(H134*Emissions_factors!$E$20)/1000</f>
        <v>0</v>
      </c>
      <c r="I172" s="164">
        <f>(I134*Emissions_factors!$E$20)/1000</f>
        <v>0</v>
      </c>
      <c r="J172" s="164">
        <f>(J134*Emissions_factors!$E$20)/1000</f>
        <v>0</v>
      </c>
      <c r="K172" s="164">
        <f>(K134*Emissions_factors!$E$20)/1000</f>
        <v>0</v>
      </c>
      <c r="L172" s="164">
        <f>(L134*Emissions_factors!$E$20)/1000</f>
        <v>0</v>
      </c>
      <c r="M172" s="164">
        <f>(M134*Emissions_factors!$E$20)/1000</f>
        <v>0</v>
      </c>
      <c r="N172" s="164">
        <f>(N134*Emissions_factors!$E$20)/1000</f>
        <v>0</v>
      </c>
      <c r="O172" s="164">
        <f>(O134*Emissions_factors!$E$20)/1000</f>
        <v>0</v>
      </c>
      <c r="P172" s="164">
        <f>(P134*Emissions_factors!$E$20)/1000</f>
        <v>0</v>
      </c>
      <c r="Q172" s="164">
        <f>(Q134*Emissions_factors!$E$20)/1000</f>
        <v>0</v>
      </c>
      <c r="R172" s="164">
        <f>(R134*Emissions_factors!$E$20)/1000</f>
        <v>0</v>
      </c>
      <c r="S172" s="164">
        <f>(S134*Emissions_factors!$E$20)/1000</f>
        <v>0</v>
      </c>
      <c r="T172" s="164">
        <f>(T134*Emissions_factors!$E$20)/1000</f>
        <v>0</v>
      </c>
      <c r="U172" s="164">
        <f>(U134*Emissions_factors!$E$20)/1000</f>
        <v>0</v>
      </c>
      <c r="V172" s="164">
        <f>(V134*Emissions_factors!$E$20)/1000</f>
        <v>0</v>
      </c>
      <c r="W172" s="164">
        <f>(W134*Emissions_factors!$E$20)/1000</f>
        <v>0</v>
      </c>
      <c r="X172" s="164">
        <f>(X134*Emissions_factors!$E$20)/1000</f>
        <v>0</v>
      </c>
      <c r="Y172" s="164">
        <f>(Y134*Emissions_factors!$E$20)/1000</f>
        <v>0</v>
      </c>
      <c r="Z172" s="164">
        <f>(Z134*Emissions_factors!$E$20)/1000</f>
        <v>0</v>
      </c>
      <c r="AA172" s="164">
        <f>(AA134*Emissions_factors!$E$20)/1000</f>
        <v>0</v>
      </c>
      <c r="AB172" s="164">
        <f>(AB134*Emissions_factors!$E$20)/1000</f>
        <v>0</v>
      </c>
      <c r="AC172" s="164">
        <f>(AC134*Emissions_factors!$E$20)/1000</f>
        <v>0</v>
      </c>
      <c r="AD172" s="164">
        <f>(AD134*Emissions_factors!$E$20)/1000</f>
        <v>0</v>
      </c>
      <c r="AE172" s="164">
        <f>(AE134*Emissions_factors!$E$20)/1000</f>
        <v>0</v>
      </c>
      <c r="AF172" s="164">
        <f>(AF134*Emissions_factors!$E$20)/1000</f>
        <v>0</v>
      </c>
      <c r="AG172" s="164">
        <f>(AG134*Emissions_factors!$E$20)/1000</f>
        <v>0</v>
      </c>
      <c r="AH172" s="164">
        <f>(AH134*Emissions_factors!$E$20)/1000</f>
        <v>0</v>
      </c>
      <c r="AI172" s="164">
        <f>(AI134*Emissions_factors!$E$20)/1000</f>
        <v>0</v>
      </c>
      <c r="AJ172" s="164">
        <f>(AJ134*Emissions_factors!$E$20)/1000</f>
        <v>0</v>
      </c>
      <c r="AK172" s="164">
        <f>(AK134*Emissions_factors!$E$20)/1000</f>
        <v>0</v>
      </c>
      <c r="AL172" s="164">
        <f>(AL134*Emissions_factors!$E$20)/1000</f>
        <v>0</v>
      </c>
    </row>
    <row r="173" spans="1:38">
      <c r="B173" s="163">
        <v>2035</v>
      </c>
      <c r="C173" s="164" t="e">
        <f>(C135*Emissions_factors!$E$20)/1000</f>
        <v>#N/A</v>
      </c>
      <c r="D173" s="164">
        <f>(D135*Emissions_factors!$E$20)/1000</f>
        <v>0</v>
      </c>
      <c r="E173" s="164">
        <f>(E135*Emissions_factors!$E$20)/1000</f>
        <v>0</v>
      </c>
      <c r="F173" s="164">
        <f>(F135*Emissions_factors!$E$20)/1000</f>
        <v>0</v>
      </c>
      <c r="G173" s="164">
        <f>(G135*Emissions_factors!$E$20)/1000</f>
        <v>0</v>
      </c>
      <c r="H173" s="164">
        <f>(H135*Emissions_factors!$E$20)/1000</f>
        <v>0</v>
      </c>
      <c r="I173" s="164">
        <f>(I135*Emissions_factors!$E$20)/1000</f>
        <v>0</v>
      </c>
      <c r="J173" s="164">
        <f>(J135*Emissions_factors!$E$20)/1000</f>
        <v>0</v>
      </c>
      <c r="K173" s="164">
        <f>(K135*Emissions_factors!$E$20)/1000</f>
        <v>0</v>
      </c>
      <c r="L173" s="164">
        <f>(L135*Emissions_factors!$E$20)/1000</f>
        <v>0</v>
      </c>
      <c r="M173" s="164">
        <f>(M135*Emissions_factors!$E$20)/1000</f>
        <v>0</v>
      </c>
      <c r="N173" s="164">
        <f>(N135*Emissions_factors!$E$20)/1000</f>
        <v>0</v>
      </c>
      <c r="O173" s="164">
        <f>(O135*Emissions_factors!$E$20)/1000</f>
        <v>0</v>
      </c>
      <c r="P173" s="164">
        <f>(P135*Emissions_factors!$E$20)/1000</f>
        <v>0</v>
      </c>
      <c r="Q173" s="164">
        <f>(Q135*Emissions_factors!$E$20)/1000</f>
        <v>0</v>
      </c>
      <c r="R173" s="164">
        <f>(R135*Emissions_factors!$E$20)/1000</f>
        <v>0</v>
      </c>
      <c r="S173" s="164">
        <f>(S135*Emissions_factors!$E$20)/1000</f>
        <v>0</v>
      </c>
      <c r="T173" s="164">
        <f>(T135*Emissions_factors!$E$20)/1000</f>
        <v>0</v>
      </c>
      <c r="U173" s="164">
        <f>(U135*Emissions_factors!$E$20)/1000</f>
        <v>0</v>
      </c>
      <c r="V173" s="164">
        <f>(V135*Emissions_factors!$E$20)/1000</f>
        <v>0</v>
      </c>
      <c r="W173" s="164">
        <f>(W135*Emissions_factors!$E$20)/1000</f>
        <v>0</v>
      </c>
      <c r="X173" s="164">
        <f>(X135*Emissions_factors!$E$20)/1000</f>
        <v>0</v>
      </c>
      <c r="Y173" s="164">
        <f>(Y135*Emissions_factors!$E$20)/1000</f>
        <v>0</v>
      </c>
      <c r="Z173" s="164">
        <f>(Z135*Emissions_factors!$E$20)/1000</f>
        <v>0</v>
      </c>
      <c r="AA173" s="164">
        <f>(AA135*Emissions_factors!$E$20)/1000</f>
        <v>0</v>
      </c>
      <c r="AB173" s="164">
        <f>(AB135*Emissions_factors!$E$20)/1000</f>
        <v>0</v>
      </c>
      <c r="AC173" s="164">
        <f>(AC135*Emissions_factors!$E$20)/1000</f>
        <v>0</v>
      </c>
      <c r="AD173" s="164">
        <f>(AD135*Emissions_factors!$E$20)/1000</f>
        <v>0</v>
      </c>
      <c r="AE173" s="164">
        <f>(AE135*Emissions_factors!$E$20)/1000</f>
        <v>0</v>
      </c>
      <c r="AF173" s="164">
        <f>(AF135*Emissions_factors!$E$20)/1000</f>
        <v>0</v>
      </c>
      <c r="AG173" s="164">
        <f>(AG135*Emissions_factors!$E$20)/1000</f>
        <v>0</v>
      </c>
      <c r="AH173" s="164">
        <f>(AH135*Emissions_factors!$E$20)/1000</f>
        <v>0</v>
      </c>
      <c r="AI173" s="164">
        <f>(AI135*Emissions_factors!$E$20)/1000</f>
        <v>0</v>
      </c>
      <c r="AJ173" s="164">
        <f>(AJ135*Emissions_factors!$E$20)/1000</f>
        <v>0</v>
      </c>
      <c r="AK173" s="164">
        <f>(AK135*Emissions_factors!$E$20)/1000</f>
        <v>0</v>
      </c>
      <c r="AL173" s="164">
        <f>(AL135*Emissions_factors!$E$20)/1000</f>
        <v>0</v>
      </c>
    </row>
    <row r="175" spans="1:38" ht="21">
      <c r="B175" s="52" t="s">
        <v>7654</v>
      </c>
    </row>
    <row r="176" spans="1:38">
      <c r="A176" s="1" t="s">
        <v>6902</v>
      </c>
      <c r="B176" s="163">
        <v>2000</v>
      </c>
      <c r="C176" s="164"/>
      <c r="D176" s="164"/>
      <c r="E176" s="164"/>
      <c r="F176" s="164"/>
      <c r="G176" s="164"/>
      <c r="H176" s="164"/>
      <c r="I176" s="164"/>
      <c r="J176" s="164"/>
      <c r="K176" s="164"/>
      <c r="L176" s="164"/>
      <c r="M176" s="164"/>
      <c r="N176" s="164"/>
      <c r="O176" s="164"/>
      <c r="P176" s="164"/>
      <c r="Q176" s="164"/>
      <c r="R176" s="164"/>
      <c r="S176" s="164"/>
      <c r="T176" s="164"/>
      <c r="U176" s="164"/>
      <c r="V176" s="164"/>
      <c r="W176" s="7"/>
      <c r="X176" s="8"/>
      <c r="Y176" s="8"/>
      <c r="Z176" s="8"/>
      <c r="AA176" s="8"/>
      <c r="AB176" s="8"/>
      <c r="AC176" s="8"/>
      <c r="AD176" s="8"/>
      <c r="AE176" s="8"/>
      <c r="AF176" s="8"/>
      <c r="AG176" s="8"/>
      <c r="AH176" s="8"/>
      <c r="AI176" s="8"/>
      <c r="AJ176" s="8"/>
      <c r="AK176" s="8"/>
      <c r="AL176" s="8"/>
    </row>
    <row r="177" spans="2:38">
      <c r="B177" s="163">
        <v>2001</v>
      </c>
      <c r="C177" s="164"/>
      <c r="D177" s="164"/>
      <c r="E177" s="164"/>
      <c r="F177" s="164"/>
      <c r="G177" s="164"/>
      <c r="H177" s="164"/>
      <c r="I177" s="164"/>
      <c r="J177" s="164"/>
      <c r="K177" s="164"/>
      <c r="L177" s="164"/>
      <c r="M177" s="164"/>
      <c r="N177" s="164"/>
      <c r="O177" s="164"/>
      <c r="P177" s="164"/>
      <c r="Q177" s="164"/>
      <c r="R177" s="164"/>
      <c r="S177" s="164"/>
      <c r="T177" s="164"/>
      <c r="U177" s="164"/>
      <c r="V177" s="164"/>
      <c r="W177" s="7"/>
      <c r="X177" s="8"/>
      <c r="Y177" s="8"/>
      <c r="Z177" s="8"/>
      <c r="AA177" s="8"/>
      <c r="AB177" s="8"/>
      <c r="AC177" s="8"/>
      <c r="AD177" s="8"/>
      <c r="AE177" s="8"/>
      <c r="AF177" s="8"/>
      <c r="AG177" s="8"/>
      <c r="AH177" s="8"/>
      <c r="AI177" s="8"/>
      <c r="AJ177" s="8"/>
      <c r="AK177" s="8"/>
      <c r="AL177" s="8"/>
    </row>
    <row r="178" spans="2:38">
      <c r="B178" s="163">
        <v>2002</v>
      </c>
      <c r="C178" s="164"/>
      <c r="D178" s="164"/>
      <c r="E178" s="164"/>
      <c r="F178" s="164"/>
      <c r="G178" s="164"/>
      <c r="H178" s="164"/>
      <c r="I178" s="164"/>
      <c r="J178" s="164"/>
      <c r="K178" s="164"/>
      <c r="L178" s="164"/>
      <c r="M178" s="164"/>
      <c r="N178" s="164"/>
      <c r="O178" s="164"/>
      <c r="P178" s="164"/>
      <c r="Q178" s="164"/>
      <c r="R178" s="164"/>
      <c r="S178" s="164"/>
      <c r="T178" s="164"/>
      <c r="U178" s="164"/>
      <c r="V178" s="164"/>
      <c r="W178" s="7"/>
      <c r="X178" s="8"/>
      <c r="Y178" s="8"/>
      <c r="Z178" s="8"/>
      <c r="AA178" s="8"/>
      <c r="AB178" s="8"/>
      <c r="AC178" s="8"/>
      <c r="AD178" s="8"/>
      <c r="AE178" s="8"/>
      <c r="AF178" s="8"/>
      <c r="AG178" s="8"/>
      <c r="AH178" s="8"/>
      <c r="AI178" s="8"/>
      <c r="AJ178" s="8"/>
      <c r="AK178" s="8"/>
      <c r="AL178" s="8"/>
    </row>
    <row r="179" spans="2:38">
      <c r="B179" s="163">
        <v>2003</v>
      </c>
      <c r="C179" s="164"/>
      <c r="D179" s="164"/>
      <c r="E179" s="164"/>
      <c r="F179" s="164"/>
      <c r="G179" s="164"/>
      <c r="H179" s="164"/>
      <c r="I179" s="164"/>
      <c r="J179" s="164"/>
      <c r="K179" s="164"/>
      <c r="L179" s="164"/>
      <c r="M179" s="164"/>
      <c r="N179" s="164"/>
      <c r="O179" s="164"/>
      <c r="P179" s="164"/>
      <c r="Q179" s="164"/>
      <c r="R179" s="164"/>
      <c r="S179" s="164"/>
      <c r="T179" s="164"/>
      <c r="U179" s="164"/>
      <c r="V179" s="164"/>
      <c r="W179" s="7"/>
      <c r="X179" s="8"/>
      <c r="Y179" s="8"/>
      <c r="Z179" s="8"/>
      <c r="AA179" s="8"/>
      <c r="AB179" s="8"/>
      <c r="AC179" s="8"/>
      <c r="AD179" s="8"/>
      <c r="AE179" s="8"/>
      <c r="AF179" s="8"/>
      <c r="AG179" s="8"/>
      <c r="AH179" s="8"/>
      <c r="AI179" s="8"/>
      <c r="AJ179" s="8"/>
      <c r="AK179" s="8"/>
      <c r="AL179" s="8"/>
    </row>
    <row r="180" spans="2:38">
      <c r="B180" s="163">
        <v>2004</v>
      </c>
      <c r="C180" s="164"/>
      <c r="D180" s="164"/>
      <c r="E180" s="164"/>
      <c r="F180" s="164"/>
      <c r="G180" s="164"/>
      <c r="H180" s="164"/>
      <c r="I180" s="164"/>
      <c r="J180" s="164"/>
      <c r="K180" s="164"/>
      <c r="L180" s="164"/>
      <c r="M180" s="164"/>
      <c r="N180" s="164"/>
      <c r="O180" s="164"/>
      <c r="P180" s="164"/>
      <c r="Q180" s="164"/>
      <c r="R180" s="164"/>
      <c r="S180" s="164"/>
      <c r="T180" s="164"/>
      <c r="U180" s="164"/>
      <c r="V180" s="164"/>
      <c r="W180" s="7"/>
      <c r="X180" s="8"/>
      <c r="Y180" s="8"/>
      <c r="Z180" s="8"/>
      <c r="AA180" s="8"/>
      <c r="AB180" s="8"/>
      <c r="AC180" s="8"/>
      <c r="AD180" s="8"/>
      <c r="AE180" s="8"/>
      <c r="AF180" s="8"/>
      <c r="AG180" s="8"/>
      <c r="AH180" s="8"/>
      <c r="AI180" s="8"/>
      <c r="AJ180" s="8"/>
      <c r="AK180" s="8"/>
      <c r="AL180" s="8"/>
    </row>
    <row r="181" spans="2:38">
      <c r="B181" s="163">
        <v>2005</v>
      </c>
      <c r="C181" s="164"/>
      <c r="D181" s="164"/>
      <c r="E181" s="164"/>
      <c r="F181" s="164"/>
      <c r="G181" s="164"/>
      <c r="H181" s="164"/>
      <c r="I181" s="164"/>
      <c r="J181" s="164"/>
      <c r="K181" s="164"/>
      <c r="L181" s="164"/>
      <c r="M181" s="164"/>
      <c r="N181" s="164"/>
      <c r="O181" s="164"/>
      <c r="P181" s="164"/>
      <c r="Q181" s="164"/>
      <c r="R181" s="164"/>
      <c r="S181" s="164"/>
      <c r="T181" s="164"/>
      <c r="U181" s="164"/>
      <c r="V181" s="164"/>
      <c r="W181" s="7"/>
      <c r="X181" s="8"/>
      <c r="Y181" s="8"/>
      <c r="Z181" s="8"/>
      <c r="AA181" s="8"/>
      <c r="AB181" s="8"/>
      <c r="AC181" s="8"/>
      <c r="AD181" s="8"/>
      <c r="AE181" s="8"/>
      <c r="AF181" s="8"/>
      <c r="AG181" s="8"/>
      <c r="AH181" s="8"/>
      <c r="AI181" s="8"/>
      <c r="AJ181" s="8"/>
      <c r="AK181" s="8"/>
      <c r="AL181" s="8"/>
    </row>
    <row r="182" spans="2:38">
      <c r="B182" s="163">
        <v>2006</v>
      </c>
      <c r="C182" s="164"/>
      <c r="D182" s="164"/>
      <c r="E182" s="164"/>
      <c r="F182" s="164"/>
      <c r="G182" s="164"/>
      <c r="H182" s="164"/>
      <c r="I182" s="164"/>
      <c r="J182" s="164"/>
      <c r="K182" s="164"/>
      <c r="L182" s="164"/>
      <c r="M182" s="164"/>
      <c r="N182" s="164"/>
      <c r="O182" s="164"/>
      <c r="P182" s="164"/>
      <c r="Q182" s="164"/>
      <c r="R182" s="164"/>
      <c r="S182" s="164"/>
      <c r="T182" s="164"/>
      <c r="U182" s="164"/>
      <c r="V182" s="164"/>
      <c r="W182" s="7"/>
      <c r="X182" s="8"/>
      <c r="Y182" s="8"/>
      <c r="Z182" s="8"/>
      <c r="AA182" s="8"/>
      <c r="AB182" s="8"/>
      <c r="AC182" s="8"/>
      <c r="AD182" s="8"/>
      <c r="AE182" s="8"/>
      <c r="AF182" s="8"/>
      <c r="AG182" s="8"/>
      <c r="AH182" s="8"/>
      <c r="AI182" s="8"/>
      <c r="AJ182" s="8"/>
      <c r="AK182" s="8"/>
      <c r="AL182" s="8"/>
    </row>
    <row r="183" spans="2:38">
      <c r="B183" s="163">
        <v>2007</v>
      </c>
      <c r="C183" s="164"/>
      <c r="D183" s="164"/>
      <c r="E183" s="164"/>
      <c r="F183" s="164"/>
      <c r="G183" s="164"/>
      <c r="H183" s="164"/>
      <c r="I183" s="164"/>
      <c r="J183" s="164"/>
      <c r="K183" s="164"/>
      <c r="L183" s="164"/>
      <c r="M183" s="164"/>
      <c r="N183" s="164"/>
      <c r="O183" s="164"/>
      <c r="P183" s="164"/>
      <c r="Q183" s="164"/>
      <c r="R183" s="164"/>
      <c r="S183" s="164"/>
      <c r="T183" s="164"/>
      <c r="U183" s="164"/>
      <c r="V183" s="164"/>
      <c r="W183" s="7"/>
      <c r="X183" s="8"/>
      <c r="Y183" s="8"/>
      <c r="Z183" s="8"/>
      <c r="AA183" s="8"/>
      <c r="AB183" s="8"/>
      <c r="AC183" s="8"/>
      <c r="AD183" s="8"/>
      <c r="AE183" s="8"/>
      <c r="AF183" s="8"/>
      <c r="AG183" s="8"/>
      <c r="AH183" s="8"/>
      <c r="AI183" s="8"/>
      <c r="AJ183" s="8"/>
      <c r="AK183" s="8"/>
      <c r="AL183" s="8"/>
    </row>
    <row r="184" spans="2:38">
      <c r="B184" s="163">
        <v>2008</v>
      </c>
      <c r="C184" s="164"/>
      <c r="D184" s="164"/>
      <c r="E184" s="164"/>
      <c r="F184" s="164"/>
      <c r="G184" s="164"/>
      <c r="H184" s="164"/>
      <c r="I184" s="164"/>
      <c r="J184" s="164"/>
      <c r="K184" s="164"/>
      <c r="L184" s="164"/>
      <c r="M184" s="164"/>
      <c r="N184" s="164"/>
      <c r="O184" s="164"/>
      <c r="P184" s="164"/>
      <c r="Q184" s="164"/>
      <c r="R184" s="164"/>
      <c r="S184" s="164"/>
      <c r="T184" s="164"/>
      <c r="U184" s="164"/>
      <c r="V184" s="164"/>
      <c r="W184" s="7"/>
      <c r="X184" s="8"/>
      <c r="Y184" s="8"/>
      <c r="Z184" s="8"/>
      <c r="AA184" s="8"/>
      <c r="AB184" s="8"/>
      <c r="AC184" s="8"/>
      <c r="AD184" s="8"/>
      <c r="AE184" s="8"/>
      <c r="AF184" s="8"/>
      <c r="AG184" s="8"/>
      <c r="AH184" s="8"/>
      <c r="AI184" s="8"/>
      <c r="AJ184" s="8"/>
      <c r="AK184" s="8"/>
      <c r="AL184" s="8"/>
    </row>
    <row r="185" spans="2:38">
      <c r="B185" s="163">
        <v>2009</v>
      </c>
      <c r="C185" s="164"/>
      <c r="D185" s="164"/>
      <c r="E185" s="164"/>
      <c r="F185" s="164"/>
      <c r="G185" s="164"/>
      <c r="H185" s="164"/>
      <c r="I185" s="164"/>
      <c r="J185" s="164"/>
      <c r="K185" s="164"/>
      <c r="L185" s="164"/>
      <c r="M185" s="164"/>
      <c r="N185" s="164"/>
      <c r="O185" s="164"/>
      <c r="P185" s="164"/>
      <c r="Q185" s="164"/>
      <c r="R185" s="164"/>
      <c r="S185" s="164"/>
      <c r="T185" s="164"/>
      <c r="U185" s="164"/>
      <c r="V185" s="164"/>
      <c r="W185" s="7"/>
      <c r="X185" s="8"/>
      <c r="Y185" s="8"/>
      <c r="Z185" s="8"/>
      <c r="AA185" s="8"/>
      <c r="AB185" s="8"/>
      <c r="AC185" s="8"/>
      <c r="AD185" s="8"/>
      <c r="AE185" s="8"/>
      <c r="AF185" s="8"/>
      <c r="AG185" s="8"/>
      <c r="AH185" s="8"/>
      <c r="AI185" s="8"/>
      <c r="AJ185" s="8"/>
      <c r="AK185" s="8"/>
      <c r="AL185" s="8"/>
    </row>
    <row r="186" spans="2:38">
      <c r="B186" s="163">
        <v>2010</v>
      </c>
      <c r="C186" s="164"/>
      <c r="D186" s="164"/>
      <c r="E186" s="164"/>
      <c r="F186" s="164"/>
      <c r="G186" s="164"/>
      <c r="H186" s="164"/>
      <c r="I186" s="164"/>
      <c r="J186" s="164"/>
      <c r="K186" s="164"/>
      <c r="L186" s="164"/>
      <c r="M186" s="164"/>
      <c r="N186" s="164"/>
      <c r="O186" s="164"/>
      <c r="P186" s="164"/>
      <c r="Q186" s="164"/>
      <c r="R186" s="164"/>
      <c r="S186" s="164"/>
      <c r="T186" s="164"/>
      <c r="U186" s="164"/>
      <c r="V186" s="164"/>
      <c r="W186" s="7"/>
      <c r="X186" s="8"/>
      <c r="Y186" s="8"/>
      <c r="Z186" s="8"/>
      <c r="AA186" s="8"/>
      <c r="AB186" s="8"/>
      <c r="AC186" s="8"/>
      <c r="AD186" s="8"/>
      <c r="AE186" s="8"/>
      <c r="AF186" s="8"/>
      <c r="AG186" s="8"/>
      <c r="AH186" s="8"/>
      <c r="AI186" s="8"/>
      <c r="AJ186" s="8"/>
      <c r="AK186" s="8"/>
      <c r="AL186" s="8"/>
    </row>
    <row r="187" spans="2:38">
      <c r="B187" s="163">
        <v>2011</v>
      </c>
      <c r="C187" s="164"/>
      <c r="D187" s="164"/>
      <c r="E187" s="164"/>
      <c r="F187" s="164"/>
      <c r="G187" s="164"/>
      <c r="H187" s="164"/>
      <c r="I187" s="164"/>
      <c r="J187" s="164"/>
      <c r="K187" s="164"/>
      <c r="L187" s="164"/>
      <c r="M187" s="164"/>
      <c r="N187" s="164"/>
      <c r="O187" s="164"/>
      <c r="P187" s="164"/>
      <c r="Q187" s="164"/>
      <c r="R187" s="164"/>
      <c r="S187" s="164"/>
      <c r="T187" s="164"/>
      <c r="U187" s="164"/>
      <c r="V187" s="164"/>
      <c r="W187" s="7"/>
      <c r="X187" s="8"/>
      <c r="Y187" s="8"/>
      <c r="Z187" s="8"/>
      <c r="AA187" s="8"/>
      <c r="AB187" s="8"/>
      <c r="AC187" s="8"/>
      <c r="AD187" s="8"/>
      <c r="AE187" s="8"/>
      <c r="AF187" s="8"/>
      <c r="AG187" s="8"/>
      <c r="AH187" s="8"/>
      <c r="AI187" s="8"/>
      <c r="AJ187" s="8"/>
      <c r="AK187" s="8"/>
      <c r="AL187" s="8"/>
    </row>
    <row r="188" spans="2:38">
      <c r="B188" s="163">
        <v>2012</v>
      </c>
      <c r="C188" s="164"/>
      <c r="D188" s="164"/>
      <c r="E188" s="164"/>
      <c r="F188" s="164"/>
      <c r="G188" s="164"/>
      <c r="H188" s="164"/>
      <c r="I188" s="164"/>
      <c r="J188" s="164"/>
      <c r="K188" s="164"/>
      <c r="L188" s="164"/>
      <c r="M188" s="164"/>
      <c r="N188" s="164"/>
      <c r="O188" s="164"/>
      <c r="P188" s="164"/>
      <c r="Q188" s="164"/>
      <c r="R188" s="164"/>
      <c r="S188" s="164"/>
      <c r="T188" s="164"/>
      <c r="U188" s="164"/>
      <c r="V188" s="164"/>
      <c r="W188" s="7"/>
      <c r="X188" s="8"/>
      <c r="Y188" s="8"/>
      <c r="Z188" s="8"/>
      <c r="AA188" s="8"/>
      <c r="AB188" s="8"/>
      <c r="AC188" s="8"/>
      <c r="AD188" s="8"/>
      <c r="AE188" s="8"/>
      <c r="AF188" s="8"/>
      <c r="AG188" s="8"/>
      <c r="AH188" s="8"/>
      <c r="AI188" s="8"/>
      <c r="AJ188" s="8"/>
      <c r="AK188" s="8"/>
      <c r="AL188" s="8"/>
    </row>
    <row r="189" spans="2:38">
      <c r="B189" s="163">
        <v>2013</v>
      </c>
      <c r="C189" s="164"/>
      <c r="D189" s="164"/>
      <c r="E189" s="164"/>
      <c r="F189" s="164"/>
      <c r="G189" s="164"/>
      <c r="H189" s="164"/>
      <c r="I189" s="164"/>
      <c r="J189" s="164"/>
      <c r="K189" s="164"/>
      <c r="L189" s="164"/>
      <c r="M189" s="164"/>
      <c r="N189" s="164"/>
      <c r="O189" s="164"/>
      <c r="P189" s="164"/>
      <c r="Q189" s="164"/>
      <c r="R189" s="164"/>
      <c r="S189" s="164"/>
      <c r="T189" s="164"/>
      <c r="U189" s="164"/>
      <c r="V189" s="164"/>
      <c r="W189" s="7"/>
      <c r="X189" s="8"/>
      <c r="Y189" s="8"/>
      <c r="Z189" s="8"/>
      <c r="AA189" s="8"/>
      <c r="AB189" s="8"/>
      <c r="AC189" s="8"/>
      <c r="AD189" s="8"/>
      <c r="AE189" s="8"/>
      <c r="AF189" s="8"/>
      <c r="AG189" s="8"/>
      <c r="AH189" s="8"/>
      <c r="AI189" s="8"/>
      <c r="AJ189" s="8"/>
      <c r="AK189" s="8"/>
      <c r="AL189" s="8"/>
    </row>
    <row r="190" spans="2:38">
      <c r="B190" s="163">
        <v>2014</v>
      </c>
      <c r="C190" s="164"/>
      <c r="D190" s="164"/>
      <c r="E190" s="164"/>
      <c r="F190" s="164"/>
      <c r="G190" s="164"/>
      <c r="H190" s="164"/>
      <c r="I190" s="164"/>
      <c r="J190" s="164"/>
      <c r="K190" s="164"/>
      <c r="L190" s="164"/>
      <c r="M190" s="164"/>
      <c r="N190" s="164"/>
      <c r="O190" s="164"/>
      <c r="P190" s="164"/>
      <c r="Q190" s="164"/>
      <c r="R190" s="164"/>
      <c r="S190" s="164"/>
      <c r="T190" s="164"/>
      <c r="U190" s="164"/>
      <c r="V190" s="164"/>
      <c r="W190" s="7"/>
      <c r="X190" s="8"/>
      <c r="Y190" s="8"/>
      <c r="Z190" s="8"/>
      <c r="AA190" s="8"/>
      <c r="AB190" s="8"/>
      <c r="AC190" s="8"/>
      <c r="AD190" s="8"/>
      <c r="AE190" s="8"/>
      <c r="AF190" s="8"/>
      <c r="AG190" s="8"/>
      <c r="AH190" s="8"/>
      <c r="AI190" s="8"/>
      <c r="AJ190" s="8"/>
      <c r="AK190" s="8"/>
      <c r="AL190" s="8"/>
    </row>
    <row r="191" spans="2:38">
      <c r="B191" s="163">
        <v>2015</v>
      </c>
      <c r="C191" s="164"/>
      <c r="D191" s="164"/>
      <c r="E191" s="164"/>
      <c r="F191" s="164"/>
      <c r="G191" s="164"/>
      <c r="H191" s="164"/>
      <c r="I191" s="164"/>
      <c r="J191" s="164"/>
      <c r="K191" s="164"/>
      <c r="L191" s="164"/>
      <c r="M191" s="164"/>
      <c r="N191" s="164"/>
      <c r="O191" s="164"/>
      <c r="P191" s="164"/>
      <c r="Q191" s="164"/>
      <c r="R191" s="164"/>
      <c r="S191" s="164"/>
      <c r="T191" s="164"/>
      <c r="U191" s="164"/>
      <c r="V191" s="164"/>
      <c r="W191" s="7"/>
      <c r="X191" s="8"/>
      <c r="Y191" s="8"/>
      <c r="Z191" s="8"/>
      <c r="AA191" s="8"/>
      <c r="AB191" s="8"/>
      <c r="AC191" s="8"/>
      <c r="AD191" s="8"/>
      <c r="AE191" s="8"/>
      <c r="AF191" s="8"/>
      <c r="AG191" s="8"/>
      <c r="AH191" s="8"/>
      <c r="AI191" s="8"/>
      <c r="AJ191" s="8"/>
      <c r="AK191" s="8"/>
      <c r="AL191" s="8"/>
    </row>
    <row r="192" spans="2:38">
      <c r="B192" s="163">
        <v>2016</v>
      </c>
      <c r="C192" s="164"/>
      <c r="D192" s="164"/>
      <c r="E192" s="164"/>
      <c r="F192" s="164"/>
      <c r="G192" s="164"/>
      <c r="H192" s="164"/>
      <c r="I192" s="164"/>
      <c r="J192" s="164"/>
      <c r="K192" s="164"/>
      <c r="L192" s="164"/>
      <c r="M192" s="164"/>
      <c r="N192" s="164"/>
      <c r="O192" s="164"/>
      <c r="P192" s="164"/>
      <c r="Q192" s="164"/>
      <c r="R192" s="164"/>
      <c r="S192" s="164"/>
      <c r="T192" s="164"/>
      <c r="U192" s="164"/>
      <c r="V192" s="164"/>
      <c r="W192" s="7"/>
      <c r="X192" s="8"/>
      <c r="Y192" s="8"/>
      <c r="Z192" s="8"/>
      <c r="AA192" s="8"/>
      <c r="AB192" s="8"/>
      <c r="AC192" s="8"/>
      <c r="AD192" s="8"/>
      <c r="AE192" s="8"/>
      <c r="AF192" s="8"/>
      <c r="AG192" s="8"/>
      <c r="AH192" s="8"/>
      <c r="AI192" s="8"/>
      <c r="AJ192" s="8"/>
      <c r="AK192" s="8"/>
      <c r="AL192" s="8"/>
    </row>
    <row r="193" spans="2:38">
      <c r="B193" s="163">
        <v>2017</v>
      </c>
      <c r="C193" s="164"/>
      <c r="D193" s="164"/>
      <c r="E193" s="164"/>
      <c r="F193" s="164"/>
      <c r="G193" s="164"/>
      <c r="H193" s="164"/>
      <c r="I193" s="164"/>
      <c r="J193" s="164"/>
      <c r="K193" s="164"/>
      <c r="L193" s="164"/>
      <c r="M193" s="164"/>
      <c r="N193" s="164"/>
      <c r="O193" s="164"/>
      <c r="P193" s="164"/>
      <c r="Q193" s="164"/>
      <c r="R193" s="164"/>
      <c r="S193" s="164"/>
      <c r="T193" s="164"/>
      <c r="U193" s="164"/>
      <c r="V193" s="164"/>
      <c r="W193" s="7"/>
      <c r="X193" s="8"/>
      <c r="Y193" s="8"/>
      <c r="Z193" s="8"/>
      <c r="AA193" s="8"/>
      <c r="AB193" s="8"/>
      <c r="AC193" s="8"/>
      <c r="AD193" s="8"/>
      <c r="AE193" s="8"/>
      <c r="AF193" s="8"/>
      <c r="AG193" s="8"/>
      <c r="AH193" s="8"/>
      <c r="AI193" s="8"/>
      <c r="AJ193" s="8"/>
      <c r="AK193" s="8"/>
      <c r="AL193" s="8"/>
    </row>
    <row r="194" spans="2:38">
      <c r="B194" s="163">
        <v>2018</v>
      </c>
      <c r="C194" s="164"/>
      <c r="D194" s="164"/>
      <c r="E194" s="164"/>
      <c r="F194" s="164"/>
      <c r="G194" s="164"/>
      <c r="H194" s="164"/>
      <c r="I194" s="164"/>
      <c r="J194" s="164"/>
      <c r="K194" s="164"/>
      <c r="L194" s="164"/>
      <c r="M194" s="164"/>
      <c r="N194" s="164"/>
      <c r="O194" s="164"/>
      <c r="P194" s="164"/>
      <c r="Q194" s="164"/>
      <c r="R194" s="164"/>
      <c r="S194" s="164"/>
      <c r="T194" s="164"/>
      <c r="U194" s="164"/>
      <c r="V194" s="164"/>
      <c r="W194" s="7"/>
      <c r="X194" s="8"/>
      <c r="Y194" s="8"/>
      <c r="Z194" s="8"/>
      <c r="AA194" s="8"/>
      <c r="AB194" s="8"/>
      <c r="AC194" s="8"/>
      <c r="AD194" s="8"/>
      <c r="AE194" s="8"/>
      <c r="AF194" s="8"/>
      <c r="AG194" s="8"/>
      <c r="AH194" s="8"/>
      <c r="AI194" s="8"/>
      <c r="AJ194" s="8"/>
      <c r="AK194" s="8"/>
      <c r="AL194" s="8"/>
    </row>
    <row r="195" spans="2:38">
      <c r="B195" s="163">
        <v>2019</v>
      </c>
      <c r="C195" s="164"/>
      <c r="D195" s="164"/>
      <c r="E195" s="164"/>
      <c r="F195" s="164"/>
      <c r="G195" s="164"/>
      <c r="H195" s="164"/>
      <c r="I195" s="164"/>
      <c r="J195" s="164"/>
      <c r="K195" s="164"/>
      <c r="L195" s="164"/>
      <c r="M195" s="164"/>
      <c r="N195" s="164"/>
      <c r="O195" s="164"/>
      <c r="P195" s="164"/>
      <c r="Q195" s="164"/>
      <c r="R195" s="164"/>
      <c r="S195" s="164"/>
      <c r="T195" s="164"/>
      <c r="U195" s="164"/>
      <c r="V195" s="164"/>
      <c r="W195" s="7"/>
      <c r="X195" s="8"/>
      <c r="Y195" s="8"/>
      <c r="Z195" s="8"/>
      <c r="AA195" s="8"/>
      <c r="AB195" s="8"/>
      <c r="AC195" s="8"/>
      <c r="AD195" s="8"/>
      <c r="AE195" s="8"/>
      <c r="AF195" s="8"/>
      <c r="AG195" s="8"/>
      <c r="AH195" s="8"/>
      <c r="AI195" s="8"/>
      <c r="AJ195" s="8"/>
      <c r="AK195" s="8"/>
      <c r="AL195" s="8"/>
    </row>
    <row r="196" spans="2:38">
      <c r="B196" s="163">
        <v>2020</v>
      </c>
      <c r="C196" s="164"/>
      <c r="D196" s="164"/>
      <c r="E196" s="164"/>
      <c r="F196" s="164"/>
      <c r="G196" s="164"/>
      <c r="H196" s="164"/>
      <c r="I196" s="164"/>
      <c r="J196" s="164"/>
      <c r="K196" s="164"/>
      <c r="L196" s="164"/>
      <c r="M196" s="164"/>
      <c r="N196" s="164"/>
      <c r="O196" s="164"/>
      <c r="P196" s="164"/>
      <c r="Q196" s="164"/>
      <c r="R196" s="164"/>
      <c r="S196" s="164"/>
      <c r="T196" s="164"/>
      <c r="U196" s="164"/>
      <c r="V196" s="164"/>
      <c r="W196" s="7"/>
      <c r="X196" s="8"/>
      <c r="Y196" s="8"/>
      <c r="Z196" s="8"/>
      <c r="AA196" s="8"/>
      <c r="AB196" s="8"/>
      <c r="AC196" s="8"/>
      <c r="AD196" s="8"/>
      <c r="AE196" s="8"/>
      <c r="AF196" s="8"/>
      <c r="AG196" s="8"/>
      <c r="AH196" s="8"/>
      <c r="AI196" s="8"/>
      <c r="AJ196" s="8"/>
      <c r="AK196" s="8"/>
      <c r="AL196" s="8"/>
    </row>
    <row r="197" spans="2:38">
      <c r="B197" s="163">
        <v>2021</v>
      </c>
      <c r="C197" s="164"/>
      <c r="D197" s="164"/>
      <c r="E197" s="164"/>
      <c r="F197" s="164"/>
      <c r="G197" s="164"/>
      <c r="H197" s="164"/>
      <c r="I197" s="164"/>
      <c r="J197" s="164"/>
      <c r="K197" s="164"/>
      <c r="L197" s="164"/>
      <c r="M197" s="164"/>
      <c r="N197" s="164"/>
      <c r="O197" s="164"/>
      <c r="P197" s="164"/>
      <c r="Q197" s="164"/>
      <c r="R197" s="164"/>
      <c r="S197" s="164"/>
      <c r="T197" s="164"/>
      <c r="U197" s="164"/>
      <c r="V197" s="164"/>
      <c r="W197" s="7"/>
      <c r="X197" s="8"/>
      <c r="Y197" s="8"/>
      <c r="Z197" s="8"/>
      <c r="AA197" s="8"/>
      <c r="AB197" s="8"/>
      <c r="AC197" s="8"/>
      <c r="AD197" s="8"/>
      <c r="AE197" s="8"/>
      <c r="AF197" s="8"/>
      <c r="AG197" s="8"/>
      <c r="AH197" s="8"/>
      <c r="AI197" s="8"/>
      <c r="AJ197" s="8"/>
      <c r="AK197" s="8"/>
      <c r="AL197" s="8"/>
    </row>
    <row r="198" spans="2:38">
      <c r="B198" s="163">
        <v>2022</v>
      </c>
      <c r="C198" s="164"/>
      <c r="D198" s="164"/>
      <c r="E198" s="164"/>
      <c r="F198" s="164"/>
      <c r="G198" s="164"/>
      <c r="H198" s="164"/>
      <c r="I198" s="164"/>
      <c r="J198" s="164"/>
      <c r="K198" s="164"/>
      <c r="L198" s="164"/>
      <c r="M198" s="164"/>
      <c r="N198" s="164"/>
      <c r="O198" s="164"/>
      <c r="P198" s="164"/>
      <c r="Q198" s="164"/>
      <c r="R198" s="164"/>
      <c r="S198" s="164"/>
      <c r="T198" s="164"/>
      <c r="U198" s="164"/>
      <c r="V198" s="164"/>
      <c r="W198" s="7"/>
      <c r="X198" s="8"/>
      <c r="Y198" s="8"/>
      <c r="Z198" s="8"/>
      <c r="AA198" s="8"/>
      <c r="AB198" s="8"/>
      <c r="AC198" s="8"/>
      <c r="AD198" s="8"/>
      <c r="AE198" s="8"/>
      <c r="AF198" s="8"/>
      <c r="AG198" s="8"/>
      <c r="AH198" s="8"/>
      <c r="AI198" s="8"/>
      <c r="AJ198" s="8"/>
      <c r="AK198" s="8"/>
      <c r="AL198" s="8"/>
    </row>
    <row r="199" spans="2:38">
      <c r="B199" s="163">
        <v>2023</v>
      </c>
      <c r="C199" s="165"/>
      <c r="D199" s="164"/>
      <c r="E199" s="164"/>
      <c r="F199" s="164"/>
      <c r="G199" s="164"/>
      <c r="H199" s="164"/>
      <c r="I199" s="164"/>
      <c r="J199" s="164"/>
      <c r="K199" s="164"/>
      <c r="L199" s="164"/>
      <c r="M199" s="164"/>
      <c r="N199" s="164"/>
      <c r="O199" s="164"/>
      <c r="P199" s="164"/>
      <c r="Q199" s="164"/>
      <c r="R199" s="164"/>
      <c r="S199" s="164"/>
      <c r="T199" s="164"/>
      <c r="U199" s="164"/>
      <c r="V199" s="164"/>
      <c r="W199" s="7"/>
      <c r="X199" s="8"/>
      <c r="Y199" s="8"/>
      <c r="Z199" s="8"/>
      <c r="AA199" s="8"/>
      <c r="AB199" s="8"/>
      <c r="AC199" s="8"/>
      <c r="AD199" s="8"/>
      <c r="AE199" s="8"/>
      <c r="AF199" s="8"/>
      <c r="AG199" s="8"/>
      <c r="AH199" s="8"/>
      <c r="AI199" s="8"/>
      <c r="AJ199" s="8"/>
      <c r="AK199" s="8"/>
      <c r="AL199" s="8"/>
    </row>
    <row r="200" spans="2:38">
      <c r="B200" s="163">
        <v>2024</v>
      </c>
      <c r="C200" s="165"/>
      <c r="D200" s="165"/>
      <c r="E200" s="164"/>
      <c r="F200" s="164"/>
      <c r="G200" s="164"/>
      <c r="H200" s="164"/>
      <c r="I200" s="164"/>
      <c r="J200" s="164"/>
      <c r="K200" s="164"/>
      <c r="L200" s="164"/>
      <c r="M200" s="164"/>
      <c r="N200" s="164"/>
      <c r="O200" s="164"/>
      <c r="P200" s="164"/>
      <c r="Q200" s="164"/>
      <c r="R200" s="164"/>
      <c r="S200" s="164"/>
      <c r="T200" s="164"/>
      <c r="U200" s="164"/>
      <c r="V200" s="164"/>
      <c r="W200" s="7"/>
      <c r="X200" s="8"/>
      <c r="Y200" s="8"/>
      <c r="Z200" s="8"/>
      <c r="AA200" s="8"/>
      <c r="AB200" s="8"/>
      <c r="AC200" s="8"/>
      <c r="AD200" s="8"/>
      <c r="AE200" s="8"/>
      <c r="AF200" s="8"/>
      <c r="AG200" s="8"/>
      <c r="AH200" s="8"/>
      <c r="AI200" s="8"/>
      <c r="AJ200" s="8"/>
      <c r="AK200" s="8"/>
      <c r="AL200" s="8"/>
    </row>
    <row r="201" spans="2:38">
      <c r="B201" s="163">
        <v>2025</v>
      </c>
      <c r="C201" s="165"/>
      <c r="D201" s="165"/>
      <c r="E201" s="165"/>
      <c r="F201" s="164"/>
      <c r="G201" s="164"/>
      <c r="H201" s="164"/>
      <c r="I201" s="164"/>
      <c r="J201" s="164"/>
      <c r="K201" s="164"/>
      <c r="L201" s="164"/>
      <c r="M201" s="164"/>
      <c r="N201" s="164"/>
      <c r="O201" s="164"/>
      <c r="P201" s="164"/>
      <c r="Q201" s="164"/>
      <c r="R201" s="164"/>
      <c r="S201" s="164"/>
      <c r="T201" s="164"/>
      <c r="U201" s="164"/>
      <c r="V201" s="164"/>
      <c r="W201" s="7"/>
      <c r="X201" s="8"/>
      <c r="Y201" s="8"/>
      <c r="Z201" s="8"/>
      <c r="AA201" s="8"/>
      <c r="AB201" s="8"/>
      <c r="AC201" s="8"/>
      <c r="AD201" s="8"/>
      <c r="AE201" s="8"/>
      <c r="AF201" s="8"/>
      <c r="AG201" s="8"/>
      <c r="AH201" s="8"/>
      <c r="AI201" s="8"/>
      <c r="AJ201" s="8"/>
      <c r="AK201" s="8"/>
      <c r="AL201" s="8"/>
    </row>
    <row r="202" spans="2:38">
      <c r="B202" s="163">
        <v>2026</v>
      </c>
      <c r="C202" s="165"/>
      <c r="D202" s="165"/>
      <c r="E202" s="165"/>
      <c r="F202" s="165"/>
      <c r="G202" s="164"/>
      <c r="H202" s="164"/>
      <c r="I202" s="164"/>
      <c r="J202" s="164"/>
      <c r="K202" s="164"/>
      <c r="L202" s="164"/>
      <c r="M202" s="164"/>
      <c r="N202" s="164"/>
      <c r="O202" s="164"/>
      <c r="P202" s="164"/>
      <c r="Q202" s="164"/>
      <c r="R202" s="164"/>
      <c r="S202" s="164"/>
      <c r="T202" s="164"/>
      <c r="U202" s="164"/>
      <c r="V202" s="164"/>
      <c r="W202" s="7"/>
      <c r="X202" s="8"/>
      <c r="Y202" s="8"/>
      <c r="Z202" s="8"/>
      <c r="AA202" s="8"/>
      <c r="AB202" s="8"/>
      <c r="AC202" s="8"/>
      <c r="AD202" s="8"/>
      <c r="AE202" s="8"/>
      <c r="AF202" s="8"/>
      <c r="AG202" s="8"/>
      <c r="AH202" s="8"/>
      <c r="AI202" s="8"/>
      <c r="AJ202" s="8"/>
      <c r="AK202" s="8"/>
      <c r="AL202" s="8"/>
    </row>
    <row r="203" spans="2:38">
      <c r="B203" s="163">
        <v>2027</v>
      </c>
      <c r="C203" s="165"/>
      <c r="D203" s="165"/>
      <c r="E203" s="165"/>
      <c r="F203" s="165"/>
      <c r="G203" s="165"/>
      <c r="H203" s="164"/>
      <c r="I203" s="164"/>
      <c r="J203" s="164"/>
      <c r="K203" s="164"/>
      <c r="L203" s="164"/>
      <c r="M203" s="164"/>
      <c r="N203" s="164"/>
      <c r="O203" s="164"/>
      <c r="P203" s="164"/>
      <c r="Q203" s="164"/>
      <c r="R203" s="164"/>
      <c r="S203" s="164"/>
      <c r="T203" s="164"/>
      <c r="U203" s="164"/>
      <c r="V203" s="164"/>
      <c r="W203" s="7"/>
      <c r="X203" s="8"/>
      <c r="Y203" s="8"/>
      <c r="Z203" s="8"/>
      <c r="AA203" s="8"/>
      <c r="AB203" s="8"/>
      <c r="AC203" s="8"/>
      <c r="AD203" s="8"/>
      <c r="AE203" s="8"/>
      <c r="AF203" s="8"/>
      <c r="AG203" s="8"/>
      <c r="AH203" s="8"/>
      <c r="AI203" s="8"/>
      <c r="AJ203" s="8"/>
      <c r="AK203" s="8"/>
      <c r="AL203" s="8"/>
    </row>
    <row r="204" spans="2:38">
      <c r="B204" s="163">
        <v>2028</v>
      </c>
      <c r="C204" s="165"/>
      <c r="D204" s="165"/>
      <c r="E204" s="165"/>
      <c r="F204" s="165"/>
      <c r="G204" s="165"/>
      <c r="H204" s="165"/>
      <c r="I204" s="164"/>
      <c r="J204" s="164"/>
      <c r="K204" s="164"/>
      <c r="L204" s="164"/>
      <c r="M204" s="164"/>
      <c r="N204" s="164"/>
      <c r="O204" s="164"/>
      <c r="P204" s="164"/>
      <c r="Q204" s="164"/>
      <c r="R204" s="164"/>
      <c r="S204" s="164"/>
      <c r="T204" s="164"/>
      <c r="U204" s="164"/>
      <c r="V204" s="164"/>
      <c r="W204" s="7"/>
      <c r="X204" s="8"/>
      <c r="Y204" s="8"/>
      <c r="Z204" s="8"/>
      <c r="AA204" s="8"/>
      <c r="AB204" s="8"/>
      <c r="AC204" s="8"/>
      <c r="AD204" s="8"/>
      <c r="AE204" s="8"/>
      <c r="AF204" s="8"/>
      <c r="AG204" s="8"/>
      <c r="AH204" s="8"/>
      <c r="AI204" s="8"/>
      <c r="AJ204" s="8"/>
      <c r="AK204" s="8"/>
      <c r="AL204" s="8"/>
    </row>
    <row r="205" spans="2:38">
      <c r="B205" s="163">
        <v>2029</v>
      </c>
      <c r="C205" s="165"/>
      <c r="D205" s="165"/>
      <c r="E205" s="165"/>
      <c r="F205" s="165"/>
      <c r="G205" s="165"/>
      <c r="H205" s="165"/>
      <c r="I205" s="165"/>
      <c r="J205" s="164"/>
      <c r="K205" s="164"/>
      <c r="L205" s="164"/>
      <c r="M205" s="164"/>
      <c r="N205" s="164"/>
      <c r="O205" s="164"/>
      <c r="P205" s="164"/>
      <c r="Q205" s="164"/>
      <c r="R205" s="164"/>
      <c r="S205" s="164"/>
      <c r="T205" s="164"/>
      <c r="U205" s="164"/>
      <c r="V205" s="164"/>
      <c r="W205" s="7"/>
      <c r="X205" s="8"/>
      <c r="Y205" s="8"/>
      <c r="Z205" s="8"/>
      <c r="AA205" s="8"/>
      <c r="AB205" s="8"/>
      <c r="AC205" s="8"/>
      <c r="AD205" s="8"/>
      <c r="AE205" s="8"/>
      <c r="AF205" s="8"/>
      <c r="AG205" s="8"/>
      <c r="AH205" s="8"/>
      <c r="AI205" s="8"/>
      <c r="AJ205" s="8"/>
      <c r="AK205" s="8"/>
      <c r="AL205" s="8"/>
    </row>
    <row r="206" spans="2:38">
      <c r="B206" s="163">
        <v>2030</v>
      </c>
      <c r="C206" s="165"/>
      <c r="D206" s="165"/>
      <c r="E206" s="165"/>
      <c r="F206" s="165"/>
      <c r="G206" s="165"/>
      <c r="H206" s="165"/>
      <c r="I206" s="165"/>
      <c r="J206" s="165"/>
      <c r="K206" s="164"/>
      <c r="L206" s="164"/>
      <c r="M206" s="164"/>
      <c r="N206" s="164"/>
      <c r="O206" s="164"/>
      <c r="P206" s="164"/>
      <c r="Q206" s="164"/>
      <c r="R206" s="164"/>
      <c r="S206" s="164"/>
      <c r="T206" s="164"/>
      <c r="U206" s="164"/>
      <c r="V206" s="164"/>
      <c r="W206" s="7"/>
      <c r="X206" s="8"/>
      <c r="Y206" s="8"/>
      <c r="Z206" s="8"/>
      <c r="AA206" s="8"/>
      <c r="AB206" s="8"/>
      <c r="AC206" s="8"/>
      <c r="AD206" s="8"/>
      <c r="AE206" s="8"/>
      <c r="AF206" s="8"/>
      <c r="AG206" s="8"/>
      <c r="AH206" s="8"/>
      <c r="AI206" s="8"/>
      <c r="AJ206" s="8"/>
      <c r="AK206" s="8"/>
      <c r="AL206" s="8"/>
    </row>
    <row r="207" spans="2:38">
      <c r="B207" s="163">
        <v>2031</v>
      </c>
      <c r="C207" s="165"/>
      <c r="D207" s="165"/>
      <c r="E207" s="165"/>
      <c r="F207" s="165"/>
      <c r="G207" s="165"/>
      <c r="H207" s="165"/>
      <c r="I207" s="165"/>
      <c r="J207" s="165"/>
      <c r="K207" s="165"/>
      <c r="L207" s="164"/>
      <c r="M207" s="164"/>
      <c r="N207" s="164"/>
      <c r="O207" s="164"/>
      <c r="P207" s="164"/>
      <c r="Q207" s="164"/>
      <c r="R207" s="164"/>
      <c r="S207" s="164"/>
      <c r="T207" s="164"/>
      <c r="U207" s="164"/>
      <c r="V207" s="164"/>
      <c r="W207" s="7"/>
      <c r="X207" s="8"/>
      <c r="Y207" s="8"/>
      <c r="Z207" s="8"/>
      <c r="AA207" s="8"/>
      <c r="AB207" s="8"/>
      <c r="AC207" s="8"/>
      <c r="AD207" s="8"/>
      <c r="AE207" s="8"/>
      <c r="AF207" s="8"/>
      <c r="AG207" s="8"/>
      <c r="AH207" s="8"/>
      <c r="AI207" s="8"/>
      <c r="AJ207" s="8"/>
      <c r="AK207" s="8"/>
      <c r="AL207" s="8"/>
    </row>
    <row r="208" spans="2:38">
      <c r="B208" s="163">
        <v>2032</v>
      </c>
      <c r="C208" s="165"/>
      <c r="D208" s="165"/>
      <c r="E208" s="165"/>
      <c r="F208" s="165"/>
      <c r="G208" s="165"/>
      <c r="H208" s="165"/>
      <c r="I208" s="165"/>
      <c r="J208" s="165"/>
      <c r="K208" s="165"/>
      <c r="L208" s="165"/>
      <c r="M208" s="164"/>
      <c r="N208" s="164"/>
      <c r="O208" s="164"/>
      <c r="P208" s="164"/>
      <c r="Q208" s="164"/>
      <c r="R208" s="164"/>
      <c r="S208" s="164"/>
      <c r="T208" s="164"/>
      <c r="U208" s="164"/>
      <c r="V208" s="164"/>
      <c r="W208" s="7"/>
      <c r="X208" s="8"/>
      <c r="Y208" s="8"/>
      <c r="Z208" s="8"/>
      <c r="AA208" s="8"/>
      <c r="AB208" s="8"/>
      <c r="AC208" s="8"/>
      <c r="AD208" s="8"/>
      <c r="AE208" s="8"/>
      <c r="AF208" s="8"/>
      <c r="AG208" s="8"/>
      <c r="AH208" s="8"/>
      <c r="AI208" s="8"/>
      <c r="AJ208" s="8"/>
      <c r="AK208" s="8"/>
      <c r="AL208" s="8"/>
    </row>
    <row r="209" spans="2:38">
      <c r="B209" s="163">
        <v>2033</v>
      </c>
      <c r="C209" s="165"/>
      <c r="D209" s="165"/>
      <c r="E209" s="165"/>
      <c r="F209" s="165"/>
      <c r="G209" s="165"/>
      <c r="H209" s="165"/>
      <c r="I209" s="165"/>
      <c r="J209" s="165"/>
      <c r="K209" s="165"/>
      <c r="L209" s="165"/>
      <c r="M209" s="165"/>
      <c r="N209" s="164"/>
      <c r="O209" s="165"/>
      <c r="P209" s="165"/>
      <c r="Q209" s="165"/>
      <c r="R209" s="165"/>
      <c r="S209" s="165"/>
      <c r="T209" s="165"/>
      <c r="U209" s="165"/>
      <c r="V209" s="165"/>
      <c r="W209" s="7"/>
      <c r="X209" s="8"/>
      <c r="Y209" s="8"/>
      <c r="Z209" s="8"/>
      <c r="AA209" s="8"/>
      <c r="AB209" s="8"/>
      <c r="AC209" s="8"/>
      <c r="AD209" s="8"/>
      <c r="AE209" s="8"/>
      <c r="AF209" s="8"/>
      <c r="AG209" s="8"/>
      <c r="AH209" s="8"/>
      <c r="AI209" s="8"/>
      <c r="AJ209" s="8"/>
      <c r="AK209" s="8"/>
      <c r="AL209" s="8"/>
    </row>
    <row r="210" spans="2:38">
      <c r="B210" s="163">
        <v>2034</v>
      </c>
      <c r="C210" s="165"/>
      <c r="D210" s="165"/>
      <c r="E210" s="165"/>
      <c r="F210" s="165"/>
      <c r="G210" s="165"/>
      <c r="H210" s="165"/>
      <c r="I210" s="165"/>
      <c r="J210" s="165"/>
      <c r="K210" s="165"/>
      <c r="L210" s="165"/>
      <c r="M210" s="165"/>
      <c r="N210" s="165"/>
      <c r="O210" s="164"/>
      <c r="P210" s="165"/>
      <c r="Q210" s="165"/>
      <c r="R210" s="165"/>
      <c r="S210" s="165"/>
      <c r="T210" s="165"/>
      <c r="U210" s="165"/>
      <c r="V210" s="165"/>
      <c r="W210" s="7"/>
      <c r="X210" s="8"/>
      <c r="Y210" s="8"/>
      <c r="Z210" s="8"/>
      <c r="AA210" s="8"/>
      <c r="AB210" s="8"/>
      <c r="AC210" s="8"/>
      <c r="AD210" s="8"/>
      <c r="AE210" s="8"/>
      <c r="AF210" s="8"/>
      <c r="AG210" s="8"/>
      <c r="AH210" s="8"/>
      <c r="AI210" s="8"/>
      <c r="AJ210" s="8"/>
      <c r="AK210" s="8"/>
      <c r="AL210" s="8"/>
    </row>
    <row r="211" spans="2:38">
      <c r="B211" s="163">
        <v>2035</v>
      </c>
      <c r="C211" s="165"/>
      <c r="D211" s="165"/>
      <c r="E211" s="165"/>
      <c r="F211" s="165"/>
      <c r="G211" s="165"/>
      <c r="H211" s="165"/>
      <c r="I211" s="165"/>
      <c r="J211" s="165"/>
      <c r="K211" s="165"/>
      <c r="L211" s="165"/>
      <c r="M211" s="165"/>
      <c r="N211" s="165"/>
      <c r="O211" s="165"/>
      <c r="P211" s="164"/>
      <c r="Q211" s="165"/>
      <c r="R211" s="165"/>
      <c r="S211" s="165"/>
      <c r="T211" s="165"/>
      <c r="U211" s="165"/>
      <c r="V211" s="165"/>
      <c r="W211" s="7"/>
      <c r="X211" s="8"/>
      <c r="Y211" s="8"/>
      <c r="Z211" s="8"/>
      <c r="AA211" s="8"/>
      <c r="AB211" s="8"/>
      <c r="AC211" s="8"/>
      <c r="AD211" s="8"/>
      <c r="AE211" s="8"/>
      <c r="AF211" s="8"/>
      <c r="AG211" s="8"/>
      <c r="AH211" s="8"/>
      <c r="AI211" s="8"/>
      <c r="AJ211" s="8"/>
      <c r="AK211" s="8"/>
      <c r="AL211" s="8"/>
    </row>
    <row r="213" spans="2:38" ht="21">
      <c r="B213" s="52" t="s">
        <v>7655</v>
      </c>
    </row>
    <row r="214" spans="2:38">
      <c r="B214" s="7"/>
      <c r="C214" s="7"/>
      <c r="D214" s="7"/>
      <c r="E214" s="7"/>
      <c r="F214" s="7"/>
      <c r="G214" s="7"/>
      <c r="H214" s="7"/>
      <c r="I214" s="7"/>
      <c r="J214" s="7"/>
      <c r="K214" s="7"/>
      <c r="L214" s="7"/>
      <c r="M214" s="7"/>
      <c r="N214" s="7"/>
      <c r="O214" s="7"/>
      <c r="P214" s="7"/>
      <c r="Q214" s="7"/>
      <c r="R214" s="7"/>
      <c r="S214" s="7"/>
      <c r="T214" s="7"/>
      <c r="U214" s="7"/>
      <c r="V214" s="7"/>
      <c r="W214" s="7"/>
      <c r="X214" s="8"/>
      <c r="Y214" s="8"/>
      <c r="Z214" s="8"/>
      <c r="AA214" s="8"/>
      <c r="AB214" s="8"/>
      <c r="AC214" s="8"/>
      <c r="AD214" s="8"/>
      <c r="AE214" s="8"/>
      <c r="AF214" s="8"/>
      <c r="AG214" s="8"/>
      <c r="AH214" s="8"/>
      <c r="AI214" s="8"/>
      <c r="AJ214" s="8"/>
      <c r="AK214" s="8"/>
      <c r="AL214" s="8"/>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32008-1457-574C-A0B8-DC6E00F0562A}">
  <dimension ref="A1:N43"/>
  <sheetViews>
    <sheetView zoomScale="70" zoomScaleNormal="70" workbookViewId="0">
      <pane xSplit="3" ySplit="1" topLeftCell="D2" activePane="bottomRight" state="frozen"/>
      <selection pane="topRight" activeCell="D1" sqref="D1"/>
      <selection pane="bottomLeft" activeCell="A2" sqref="A2"/>
      <selection pane="bottomRight" activeCell="Q43" sqref="Q43"/>
    </sheetView>
  </sheetViews>
  <sheetFormatPr baseColWidth="10" defaultRowHeight="16"/>
  <cols>
    <col min="1" max="1" width="12.83203125" customWidth="1"/>
    <col min="2" max="2" width="22.6640625" customWidth="1"/>
    <col min="14" max="14" width="17" customWidth="1"/>
  </cols>
  <sheetData>
    <row r="1" spans="1:14">
      <c r="A1" s="182" t="s">
        <v>171</v>
      </c>
      <c r="B1" s="177" t="s">
        <v>7814</v>
      </c>
      <c r="C1" s="177" t="s">
        <v>7813</v>
      </c>
      <c r="D1" s="177">
        <v>2023</v>
      </c>
      <c r="E1" s="177">
        <v>2024</v>
      </c>
      <c r="F1" s="177">
        <v>2025</v>
      </c>
      <c r="G1" s="177">
        <v>2026</v>
      </c>
      <c r="H1" s="177">
        <v>2027</v>
      </c>
      <c r="I1" s="177">
        <v>2028</v>
      </c>
      <c r="J1" s="177">
        <v>2029</v>
      </c>
      <c r="K1" s="177">
        <v>2030</v>
      </c>
      <c r="L1" s="177">
        <v>2031</v>
      </c>
      <c r="M1" s="177">
        <v>2032</v>
      </c>
      <c r="N1" s="178" t="s">
        <v>7818</v>
      </c>
    </row>
    <row r="2" spans="1:14">
      <c r="A2" s="429" t="s">
        <v>480</v>
      </c>
      <c r="B2" s="8" t="s">
        <v>7885</v>
      </c>
      <c r="C2" s="8" t="s">
        <v>7670</v>
      </c>
      <c r="D2" s="8">
        <f>Smartphone_0!S67</f>
        <v>20860705</v>
      </c>
      <c r="E2" s="8">
        <f>Smartphone_0!T67</f>
        <v>21039269</v>
      </c>
      <c r="F2" s="8">
        <f>Smartphone_0!U67</f>
        <v>21173851</v>
      </c>
      <c r="G2" s="8">
        <f>Smartphone_0!V67</f>
        <v>21266990</v>
      </c>
      <c r="H2" s="8">
        <f>Smartphone_0!W67</f>
        <v>21326959</v>
      </c>
      <c r="I2" s="8">
        <f>Smartphone_0!X67</f>
        <v>21363201</v>
      </c>
      <c r="J2" s="8">
        <f>Smartphone_0!Y67</f>
        <v>21383892</v>
      </c>
      <c r="K2" s="8">
        <f>Smartphone_0!Z67</f>
        <v>21395104</v>
      </c>
      <c r="L2" s="8">
        <f>Smartphone_0!AA67</f>
        <v>21400892</v>
      </c>
      <c r="M2" s="8">
        <f>Smartphone_0!AB67</f>
        <v>21403748</v>
      </c>
      <c r="N2" s="430">
        <f>SUM(D2:M2)</f>
        <v>212614611</v>
      </c>
    </row>
    <row r="3" spans="1:14">
      <c r="A3" s="429" t="s">
        <v>480</v>
      </c>
      <c r="B3" s="8" t="s">
        <v>7885</v>
      </c>
      <c r="C3" s="8" t="s">
        <v>7669</v>
      </c>
      <c r="D3" s="8">
        <f>Smartphone_1!S67</f>
        <v>20860705</v>
      </c>
      <c r="E3" s="8">
        <f>Smartphone_1!T67</f>
        <v>20440643</v>
      </c>
      <c r="F3" s="8">
        <f>Smartphone_1!U67</f>
        <v>19696173</v>
      </c>
      <c r="G3" s="8">
        <f>Smartphone_1!V67</f>
        <v>19034592</v>
      </c>
      <c r="H3" s="8">
        <f>Smartphone_1!W67</f>
        <v>18597210</v>
      </c>
      <c r="I3" s="8">
        <f>Smartphone_1!X67</f>
        <v>18402345</v>
      </c>
      <c r="J3" s="8">
        <f>Smartphone_1!Y67</f>
        <v>18411591</v>
      </c>
      <c r="K3" s="8">
        <f>Smartphone_1!Z67</f>
        <v>18570412</v>
      </c>
      <c r="L3" s="8">
        <f>Smartphone_1!AA67</f>
        <v>18827557</v>
      </c>
      <c r="M3" s="8">
        <f>Smartphone_1!AB67</f>
        <v>19140991</v>
      </c>
      <c r="N3" s="430">
        <f t="shared" ref="N3:N43" si="0">SUM(D3:M3)</f>
        <v>191982219</v>
      </c>
    </row>
    <row r="4" spans="1:14">
      <c r="A4" s="429" t="s">
        <v>480</v>
      </c>
      <c r="B4" s="8" t="s">
        <v>7885</v>
      </c>
      <c r="C4" s="8" t="s">
        <v>7671</v>
      </c>
      <c r="D4" s="8">
        <f>Smartphone_2!S67</f>
        <v>18026474</v>
      </c>
      <c r="E4" s="8">
        <f>Smartphone_2!T67</f>
        <v>16707095</v>
      </c>
      <c r="F4" s="8">
        <f>Smartphone_2!U67</f>
        <v>15760762</v>
      </c>
      <c r="G4" s="8">
        <f>Smartphone_2!V67</f>
        <v>15246654</v>
      </c>
      <c r="H4" s="8">
        <f>Smartphone_2!W67</f>
        <v>15105204</v>
      </c>
      <c r="I4" s="8">
        <f>Smartphone_2!X67</f>
        <v>15242056</v>
      </c>
      <c r="J4" s="8">
        <f>Smartphone_2!Y67</f>
        <v>15568887</v>
      </c>
      <c r="K4" s="8">
        <f>Smartphone_2!Z67</f>
        <v>16017225</v>
      </c>
      <c r="L4" s="8">
        <f>Smartphone_2!AA67</f>
        <v>16537771</v>
      </c>
      <c r="M4" s="8">
        <f>Smartphone_2!AB67</f>
        <v>17094822</v>
      </c>
      <c r="N4" s="430">
        <f t="shared" si="0"/>
        <v>161306950</v>
      </c>
    </row>
    <row r="5" spans="1:14">
      <c r="A5" s="429" t="s">
        <v>480</v>
      </c>
      <c r="B5" s="8" t="s">
        <v>7815</v>
      </c>
      <c r="C5" s="8" t="s">
        <v>7670</v>
      </c>
      <c r="D5" s="8">
        <f>Smartphone_0!S134</f>
        <v>177337.24741220358</v>
      </c>
      <c r="E5" s="8">
        <f>Smartphone_0!T134</f>
        <v>177929.0538955082</v>
      </c>
      <c r="F5" s="8">
        <f>Smartphone_0!U134</f>
        <v>178334.53943591239</v>
      </c>
      <c r="G5" s="8">
        <f>Smartphone_0!V134</f>
        <v>178595.34821555568</v>
      </c>
      <c r="H5" s="8">
        <f>Smartphone_0!W134</f>
        <v>178753.73140112311</v>
      </c>
      <c r="I5" s="8">
        <f>Smartphone_0!X134</f>
        <v>178844.95134205066</v>
      </c>
      <c r="J5" s="8">
        <f>Smartphone_0!Y134</f>
        <v>178894.96144688822</v>
      </c>
      <c r="K5" s="8">
        <f>Smartphone_0!Z134</f>
        <v>178921.13656927756</v>
      </c>
      <c r="L5" s="8">
        <f>Smartphone_0!AA134</f>
        <v>178934.24814194007</v>
      </c>
      <c r="M5" s="8">
        <f>Smartphone_0!AB134</f>
        <v>178940.54840610997</v>
      </c>
      <c r="N5" s="430">
        <f t="shared" si="0"/>
        <v>1785485.7662665693</v>
      </c>
    </row>
    <row r="6" spans="1:14">
      <c r="A6" s="429" t="s">
        <v>480</v>
      </c>
      <c r="B6" s="8" t="s">
        <v>7815</v>
      </c>
      <c r="C6" s="8" t="s">
        <v>7669</v>
      </c>
      <c r="D6" s="8">
        <f>Smartphone_1!S134</f>
        <v>177337.24741220358</v>
      </c>
      <c r="E6" s="8">
        <f>Smartphone_1!T134</f>
        <v>175061.2957267513</v>
      </c>
      <c r="F6" s="8">
        <f>Smartphone_1!U134</f>
        <v>171487.57157632505</v>
      </c>
      <c r="G6" s="8">
        <f>Smartphone_1!V134</f>
        <v>168895.51315398444</v>
      </c>
      <c r="H6" s="8">
        <f>Smartphone_1!W134</f>
        <v>168067.37351079655</v>
      </c>
      <c r="I6" s="8">
        <f>Smartphone_1!X134</f>
        <v>168954.85327268403</v>
      </c>
      <c r="J6" s="8">
        <f>Smartphone_1!Y134</f>
        <v>171100.54758035386</v>
      </c>
      <c r="K6" s="8">
        <f>Smartphone_1!Z134</f>
        <v>173949.11412417574</v>
      </c>
      <c r="L6" s="8">
        <f>Smartphone_1!AA134</f>
        <v>177023.1436988354</v>
      </c>
      <c r="M6" s="8">
        <f>Smartphone_1!AB134</f>
        <v>179987.61978402489</v>
      </c>
      <c r="N6" s="430">
        <f t="shared" si="0"/>
        <v>1731864.279840135</v>
      </c>
    </row>
    <row r="7" spans="1:14">
      <c r="A7" s="429" t="s">
        <v>480</v>
      </c>
      <c r="B7" s="8" t="s">
        <v>7815</v>
      </c>
      <c r="C7" s="8" t="s">
        <v>7671</v>
      </c>
      <c r="D7" s="8">
        <f>Smartphone_2!S134</f>
        <v>164738.58904548935</v>
      </c>
      <c r="E7" s="8">
        <f>Smartphone_2!T134</f>
        <v>158940.48363084023</v>
      </c>
      <c r="F7" s="8">
        <f>Smartphone_2!U134</f>
        <v>156089.13733596774</v>
      </c>
      <c r="G7" s="8">
        <f>Smartphone_2!V134</f>
        <v>156407.53410851597</v>
      </c>
      <c r="H7" s="8">
        <f>Smartphone_2!W134</f>
        <v>159331.29866664161</v>
      </c>
      <c r="I7" s="8">
        <f>Smartphone_2!X134</f>
        <v>164015.12769338451</v>
      </c>
      <c r="J7" s="8">
        <f>Smartphone_2!Y134</f>
        <v>169641.42911933875</v>
      </c>
      <c r="K7" s="8">
        <f>Smartphone_2!Z134</f>
        <v>175561.94228187914</v>
      </c>
      <c r="L7" s="8">
        <f>Smartphone_2!AA134</f>
        <v>181328.16619565224</v>
      </c>
      <c r="M7" s="8">
        <f>Smartphone_2!AB134</f>
        <v>186665.5870914968</v>
      </c>
      <c r="N7" s="430">
        <f t="shared" si="0"/>
        <v>1672719.2951692063</v>
      </c>
    </row>
    <row r="8" spans="1:14">
      <c r="A8" s="429" t="s">
        <v>480</v>
      </c>
      <c r="B8" s="8" t="s">
        <v>7816</v>
      </c>
      <c r="C8" s="8" t="s">
        <v>7670</v>
      </c>
      <c r="D8" s="8">
        <f>Smartphone_0!S150</f>
        <v>1952.2423109280003</v>
      </c>
      <c r="E8" s="8">
        <f>Smartphone_0!T150</f>
        <v>1952.2423109280003</v>
      </c>
      <c r="F8" s="8">
        <f>Smartphone_0!U150</f>
        <v>1952.2423109280003</v>
      </c>
      <c r="G8" s="8">
        <f>Smartphone_0!V150</f>
        <v>1952.2423109280003</v>
      </c>
      <c r="H8" s="8">
        <f>Smartphone_0!W150</f>
        <v>1952.2423109280003</v>
      </c>
      <c r="I8" s="8">
        <f>Smartphone_0!X150</f>
        <v>1952.2423109280003</v>
      </c>
      <c r="J8" s="8">
        <f>Smartphone_0!Y150</f>
        <v>1952.2423109280003</v>
      </c>
      <c r="K8" s="8">
        <f>Smartphone_0!Z150</f>
        <v>1952.2423109280003</v>
      </c>
      <c r="L8" s="8">
        <f>Smartphone_0!AA150</f>
        <v>1952.2423109280003</v>
      </c>
      <c r="M8" s="8">
        <f>Smartphone_0!AB150</f>
        <v>1952.2423109280003</v>
      </c>
      <c r="N8" s="430">
        <f t="shared" si="0"/>
        <v>19522.423109280004</v>
      </c>
    </row>
    <row r="9" spans="1:14">
      <c r="A9" s="429" t="s">
        <v>480</v>
      </c>
      <c r="B9" s="8" t="s">
        <v>7817</v>
      </c>
      <c r="C9" s="8" t="s">
        <v>7670</v>
      </c>
      <c r="D9" s="8">
        <f>Smartphone_0!S149</f>
        <v>3848.8285910619998</v>
      </c>
      <c r="E9" s="8">
        <f>Smartphone_0!T149</f>
        <v>3848.8285910619998</v>
      </c>
      <c r="F9" s="8">
        <f>Smartphone_0!U149</f>
        <v>3848.8285910619998</v>
      </c>
      <c r="G9" s="8">
        <f>Smartphone_0!V149</f>
        <v>3848.8285910619998</v>
      </c>
      <c r="H9" s="8">
        <f>Smartphone_0!W149</f>
        <v>3848.8285910619998</v>
      </c>
      <c r="I9" s="8">
        <f>Smartphone_0!X149</f>
        <v>3848.8285910619998</v>
      </c>
      <c r="J9" s="8">
        <f>Smartphone_0!Y149</f>
        <v>3848.8285910619998</v>
      </c>
      <c r="K9" s="8">
        <f>Smartphone_0!Z149</f>
        <v>3848.8285910619998</v>
      </c>
      <c r="L9" s="8">
        <f>Smartphone_0!AA149</f>
        <v>3848.8285910619998</v>
      </c>
      <c r="M9" s="8">
        <f>Smartphone_0!AB149</f>
        <v>3848.8285910619998</v>
      </c>
      <c r="N9" s="430">
        <f t="shared" si="0"/>
        <v>38488.285910620005</v>
      </c>
    </row>
    <row r="10" spans="1:14">
      <c r="A10" s="429" t="s">
        <v>480</v>
      </c>
      <c r="B10" s="8" t="s">
        <v>7816</v>
      </c>
      <c r="C10" s="8" t="s">
        <v>7669</v>
      </c>
      <c r="D10" s="8">
        <f>Smartphone_1!S150</f>
        <v>1952.2423109280003</v>
      </c>
      <c r="E10" s="8">
        <f>Smartphone_1!T150</f>
        <v>1897.6476197280001</v>
      </c>
      <c r="F10" s="8">
        <f>Smartphone_1!U150</f>
        <v>1822.422576528</v>
      </c>
      <c r="G10" s="8">
        <f>Smartphone_1!V150</f>
        <v>1768.7900453280001</v>
      </c>
      <c r="H10" s="8">
        <f>Smartphone_1!W150</f>
        <v>1748.8735157280003</v>
      </c>
      <c r="I10" s="8">
        <f>Smartphone_1!X150</f>
        <v>1758.598445328</v>
      </c>
      <c r="J10" s="8">
        <f>Smartphone_1!Y150</f>
        <v>1787.020560528</v>
      </c>
      <c r="K10" s="8">
        <f>Smartphone_1!Z150</f>
        <v>1822.8794885280001</v>
      </c>
      <c r="L10" s="8">
        <f>Smartphone_1!AA150</f>
        <v>1857.8881589280002</v>
      </c>
      <c r="M10" s="8">
        <f>Smartphone_1!AB150</f>
        <v>1887.4688789280003</v>
      </c>
      <c r="N10" s="430">
        <f t="shared" si="0"/>
        <v>18303.831600480004</v>
      </c>
    </row>
    <row r="11" spans="1:14">
      <c r="A11" s="429" t="s">
        <v>480</v>
      </c>
      <c r="B11" s="8" t="s">
        <v>7817</v>
      </c>
      <c r="C11" s="8" t="s">
        <v>7669</v>
      </c>
      <c r="D11" s="8">
        <f>Smartphone_1!S149</f>
        <v>3848.8285910619998</v>
      </c>
      <c r="E11" s="8">
        <f>Smartphone_1!T149</f>
        <v>3741.1956362619999</v>
      </c>
      <c r="F11" s="8">
        <f>Smartphone_1!U149</f>
        <v>3592.8901234619998</v>
      </c>
      <c r="G11" s="8">
        <f>Smartphone_1!V149</f>
        <v>3487.1540586619999</v>
      </c>
      <c r="H11" s="8">
        <f>Smartphone_1!W149</f>
        <v>3447.8887952620003</v>
      </c>
      <c r="I11" s="8">
        <f>Smartphone_1!X149</f>
        <v>3467.0614086619998</v>
      </c>
      <c r="J11" s="8">
        <f>Smartphone_1!Y149</f>
        <v>3523.095359462</v>
      </c>
      <c r="K11" s="8">
        <f>Smartphone_1!Z149</f>
        <v>3593.7909214619999</v>
      </c>
      <c r="L11" s="8">
        <f>Smartphone_1!AA149</f>
        <v>3662.8102080619997</v>
      </c>
      <c r="M11" s="8">
        <f>Smartphone_1!AB149</f>
        <v>3721.1283380619998</v>
      </c>
      <c r="N11" s="430">
        <f t="shared" si="0"/>
        <v>36085.843440420002</v>
      </c>
    </row>
    <row r="12" spans="1:14">
      <c r="A12" s="429" t="s">
        <v>480</v>
      </c>
      <c r="B12" s="8" t="s">
        <v>7816</v>
      </c>
      <c r="C12" s="8" t="s">
        <v>7671</v>
      </c>
      <c r="D12" s="8">
        <f>Smartphone_2!S150</f>
        <v>1693.7604437280002</v>
      </c>
      <c r="E12" s="8">
        <f>Smartphone_2!T150</f>
        <v>1573.9052213280002</v>
      </c>
      <c r="F12" s="8">
        <f>Smartphone_2!U150</f>
        <v>1512.6912341280004</v>
      </c>
      <c r="G12" s="8">
        <f>Smartphone_2!V150</f>
        <v>1508.9472005280002</v>
      </c>
      <c r="H12" s="8">
        <f>Smartphone_2!W150</f>
        <v>1547.4226565280001</v>
      </c>
      <c r="I12" s="8">
        <f>Smartphone_2!X150</f>
        <v>1609.363416528</v>
      </c>
      <c r="J12" s="8">
        <f>Smartphone_2!Y150</f>
        <v>1678.7160917280003</v>
      </c>
      <c r="K12" s="8">
        <f>Smartphone_2!Z150</f>
        <v>1744.534949328</v>
      </c>
      <c r="L12" s="8">
        <f>Smartphone_2!AA150</f>
        <v>1800.9311141280002</v>
      </c>
      <c r="M12" s="8">
        <f>Smartphone_2!AB150</f>
        <v>1845.8747477280001</v>
      </c>
      <c r="N12" s="430">
        <f t="shared" si="0"/>
        <v>16516.147075680001</v>
      </c>
    </row>
    <row r="13" spans="1:14">
      <c r="A13" s="429" t="s">
        <v>480</v>
      </c>
      <c r="B13" s="8" t="s">
        <v>7817</v>
      </c>
      <c r="C13" s="8" t="s">
        <v>7671</v>
      </c>
      <c r="D13" s="8">
        <f>Smartphone_2!S149</f>
        <v>3339.2338572620001</v>
      </c>
      <c r="E13" s="8">
        <f>Smartphone_2!T149</f>
        <v>3102.9403376620003</v>
      </c>
      <c r="F13" s="8">
        <f>Smartphone_2!U149</f>
        <v>2982.2574988619999</v>
      </c>
      <c r="G13" s="8">
        <f>Smartphone_2!V149</f>
        <v>2974.8761694619998</v>
      </c>
      <c r="H13" s="8">
        <f>Smartphone_2!W149</f>
        <v>3050.730193462</v>
      </c>
      <c r="I13" s="8">
        <f>Smartphone_2!X149</f>
        <v>3172.8458584619998</v>
      </c>
      <c r="J13" s="8">
        <f>Smartphone_2!Y149</f>
        <v>3309.5740492620002</v>
      </c>
      <c r="K13" s="8">
        <f>Smartphone_2!Z149</f>
        <v>3439.3353496619998</v>
      </c>
      <c r="L13" s="8">
        <f>Smartphone_2!AA149</f>
        <v>3550.5198938620001</v>
      </c>
      <c r="M13" s="8">
        <f>Smartphone_2!AB149</f>
        <v>3639.1258732619999</v>
      </c>
      <c r="N13" s="430">
        <f t="shared" si="0"/>
        <v>32561.43908122</v>
      </c>
    </row>
    <row r="14" spans="1:14">
      <c r="A14" s="429" t="s">
        <v>480</v>
      </c>
      <c r="B14" s="8" t="s">
        <v>7811</v>
      </c>
      <c r="C14" s="8" t="s">
        <v>7669</v>
      </c>
      <c r="D14" s="8">
        <f>Smartphone_1!S189</f>
        <v>0</v>
      </c>
      <c r="E14" s="8">
        <f>Smartphone_1!T189</f>
        <v>212512230</v>
      </c>
      <c r="F14" s="8">
        <f>Smartphone_1!U189</f>
        <v>505329010</v>
      </c>
      <c r="G14" s="8">
        <f>Smartphone_1!V189</f>
        <v>714095990</v>
      </c>
      <c r="H14" s="8">
        <f>Smartphone_1!W189</f>
        <v>791621955</v>
      </c>
      <c r="I14" s="8">
        <f>Smartphone_1!X189</f>
        <v>753767240</v>
      </c>
      <c r="J14" s="8">
        <f>Smartphone_1!Y189</f>
        <v>643132910</v>
      </c>
      <c r="K14" s="8">
        <f>Smartphone_1!Z189</f>
        <v>503550460</v>
      </c>
      <c r="L14" s="8">
        <f>Smartphone_1!AA189</f>
        <v>367277675</v>
      </c>
      <c r="M14" s="8">
        <f>Smartphone_1!AB189</f>
        <v>252133425</v>
      </c>
      <c r="N14" s="433">
        <f t="shared" si="0"/>
        <v>4743420895</v>
      </c>
    </row>
    <row r="15" spans="1:14">
      <c r="A15" s="429" t="s">
        <v>480</v>
      </c>
      <c r="B15" s="8" t="s">
        <v>7811</v>
      </c>
      <c r="C15" s="8" t="s">
        <v>7671</v>
      </c>
      <c r="D15" s="8">
        <f>Smartphone_2!S189</f>
        <v>1006152005</v>
      </c>
      <c r="E15" s="8">
        <f>Smartphone_2!T189</f>
        <v>1472693715</v>
      </c>
      <c r="F15" s="8">
        <f>Smartphone_2!U189</f>
        <v>1710971845</v>
      </c>
      <c r="G15" s="8">
        <f>Smartphone_2!V189</f>
        <v>1725545660</v>
      </c>
      <c r="H15" s="8">
        <f>Smartphone_2!W189</f>
        <v>1575778260</v>
      </c>
      <c r="I15" s="8">
        <f>Smartphone_2!X189</f>
        <v>1334671135</v>
      </c>
      <c r="J15" s="8">
        <f>Smartphone_2!Y189</f>
        <v>1064712805</v>
      </c>
      <c r="K15" s="8">
        <f>Smartphone_2!Z189</f>
        <v>808510015</v>
      </c>
      <c r="L15" s="8">
        <f>Smartphone_2!AA189</f>
        <v>588985470</v>
      </c>
      <c r="M15" s="8">
        <f>Smartphone_2!AB189</f>
        <v>414040405</v>
      </c>
      <c r="N15" s="433">
        <f t="shared" si="0"/>
        <v>11702061315</v>
      </c>
    </row>
    <row r="16" spans="1:14">
      <c r="A16" s="429" t="s">
        <v>40</v>
      </c>
      <c r="B16" s="8" t="s">
        <v>7885</v>
      </c>
      <c r="C16" s="8" t="s">
        <v>7670</v>
      </c>
      <c r="D16" s="8">
        <f>Laptop_0!S67</f>
        <v>6764971</v>
      </c>
      <c r="E16" s="8">
        <f>Laptop_0!T67</f>
        <v>7158780</v>
      </c>
      <c r="F16" s="8">
        <f>Laptop_0!U67</f>
        <v>7500636</v>
      </c>
      <c r="G16" s="8">
        <f>Laptop_0!V67</f>
        <v>7784664</v>
      </c>
      <c r="H16" s="8">
        <f>Laptop_0!W67</f>
        <v>8011551</v>
      </c>
      <c r="I16" s="8">
        <f>Laptop_0!X67</f>
        <v>8186471</v>
      </c>
      <c r="J16" s="8">
        <f>Laptop_0!Y67</f>
        <v>8317003</v>
      </c>
      <c r="K16" s="8">
        <f>Laptop_0!Z67</f>
        <v>8411502</v>
      </c>
      <c r="L16" s="8">
        <f>Laptop_0!AA67</f>
        <v>8477988</v>
      </c>
      <c r="M16" s="8">
        <f>Laptop_0!AB67</f>
        <v>8523510</v>
      </c>
      <c r="N16" s="430">
        <f t="shared" si="0"/>
        <v>79137076</v>
      </c>
    </row>
    <row r="17" spans="1:14">
      <c r="A17" s="429" t="s">
        <v>40</v>
      </c>
      <c r="B17" s="8" t="s">
        <v>7885</v>
      </c>
      <c r="C17" s="8" t="s">
        <v>7669</v>
      </c>
      <c r="D17" s="8">
        <f>Laptop_1!S67</f>
        <v>6764971</v>
      </c>
      <c r="E17" s="8">
        <f>Laptop_1!T67</f>
        <v>7042608</v>
      </c>
      <c r="F17" s="8">
        <f>Laptop_1!U67</f>
        <v>7177016</v>
      </c>
      <c r="G17" s="8">
        <f>Laptop_1!V67</f>
        <v>7229680</v>
      </c>
      <c r="H17" s="8">
        <f>Laptop_1!W67</f>
        <v>7238078</v>
      </c>
      <c r="I17" s="8">
        <f>Laptop_1!X67</f>
        <v>7229030</v>
      </c>
      <c r="J17" s="8">
        <f>Laptop_1!Y67</f>
        <v>7220515</v>
      </c>
      <c r="K17" s="8">
        <f>Laptop_1!Z67</f>
        <v>7223180</v>
      </c>
      <c r="L17" s="8">
        <f>Laptop_1!AA67</f>
        <v>7242086</v>
      </c>
      <c r="M17" s="8">
        <f>Laptop_1!AB67</f>
        <v>7278437</v>
      </c>
      <c r="N17" s="430">
        <f t="shared" si="0"/>
        <v>71645601</v>
      </c>
    </row>
    <row r="18" spans="1:14">
      <c r="A18" s="429" t="s">
        <v>40</v>
      </c>
      <c r="B18" s="8" t="s">
        <v>7885</v>
      </c>
      <c r="C18" s="8" t="s">
        <v>7671</v>
      </c>
      <c r="D18" s="8">
        <f>Laptop_2!S67</f>
        <v>6118734</v>
      </c>
      <c r="E18" s="8">
        <f>Laptop_2!T67</f>
        <v>6060731</v>
      </c>
      <c r="F18" s="8">
        <f>Laptop_2!U67</f>
        <v>5967881</v>
      </c>
      <c r="G18" s="8">
        <f>Laptop_2!V67</f>
        <v>5875508</v>
      </c>
      <c r="H18" s="8">
        <f>Laptop_2!W67</f>
        <v>5804943</v>
      </c>
      <c r="I18" s="8">
        <f>Laptop_2!X67</f>
        <v>5767213</v>
      </c>
      <c r="J18" s="8">
        <f>Laptop_2!Y67</f>
        <v>5765869</v>
      </c>
      <c r="K18" s="8">
        <f>Laptop_2!Z67</f>
        <v>5799576</v>
      </c>
      <c r="L18" s="8">
        <f>Laptop_2!AA67</f>
        <v>5864262</v>
      </c>
      <c r="M18" s="8">
        <f>Laptop_2!AB67</f>
        <v>5954732</v>
      </c>
      <c r="N18" s="430">
        <f t="shared" si="0"/>
        <v>58979449</v>
      </c>
    </row>
    <row r="19" spans="1:14">
      <c r="A19" s="429" t="s">
        <v>40</v>
      </c>
      <c r="B19" s="8" t="s">
        <v>7815</v>
      </c>
      <c r="C19" s="8" t="s">
        <v>7670</v>
      </c>
      <c r="D19" s="8">
        <f>Laptop_0!S134</f>
        <v>1332357.8392443068</v>
      </c>
      <c r="E19" s="8">
        <f>Laptop_0!T134</f>
        <v>1361333.5478266082</v>
      </c>
      <c r="F19" s="8">
        <f>Laptop_0!U134</f>
        <v>1384648.0183267379</v>
      </c>
      <c r="G19" s="8">
        <f>Laptop_0!V134</f>
        <v>1402835.2781588254</v>
      </c>
      <c r="H19" s="8">
        <f>Laptop_0!W134</f>
        <v>1416610.5814619581</v>
      </c>
      <c r="I19" s="8">
        <f>Laptop_0!X134</f>
        <v>1426755.8420978058</v>
      </c>
      <c r="J19" s="8">
        <f>Laptop_0!Y134</f>
        <v>1434030.1960493254</v>
      </c>
      <c r="K19" s="8">
        <f>Laptop_0!Z134</f>
        <v>1439113.5311697682</v>
      </c>
      <c r="L19" s="8">
        <f>Laptop_0!AA134</f>
        <v>1442578.4611762031</v>
      </c>
      <c r="M19" s="8">
        <f>Laptop_0!AB134</f>
        <v>1444883.7649585416</v>
      </c>
      <c r="N19" s="430">
        <f t="shared" si="0"/>
        <v>14085147.060470082</v>
      </c>
    </row>
    <row r="20" spans="1:14">
      <c r="A20" s="429" t="s">
        <v>40</v>
      </c>
      <c r="B20" s="8" t="s">
        <v>7815</v>
      </c>
      <c r="C20" s="8" t="s">
        <v>7669</v>
      </c>
      <c r="D20" s="8">
        <f>Laptop_1!S134</f>
        <v>1332357.8392443068</v>
      </c>
      <c r="E20" s="8">
        <f>Laptop_1!T134</f>
        <v>1350159.5115827785</v>
      </c>
      <c r="F20" s="8">
        <f>Laptop_1!U134</f>
        <v>1353898.955919496</v>
      </c>
      <c r="G20" s="8">
        <f>Laptop_1!V134</f>
        <v>1351272.2764859686</v>
      </c>
      <c r="H20" s="8">
        <f>Laptop_1!W134</f>
        <v>1347147.57223452</v>
      </c>
      <c r="I20" s="8">
        <f>Laptop_1!X134</f>
        <v>1344737.737510758</v>
      </c>
      <c r="J20" s="8">
        <f>Laptop_1!Y134</f>
        <v>1345840.7747404317</v>
      </c>
      <c r="K20" s="8">
        <f>Laptop_1!Z134</f>
        <v>1351113.9344425017</v>
      </c>
      <c r="L20" s="8">
        <f>Laptop_1!AA134</f>
        <v>1360393.7002539299</v>
      </c>
      <c r="M20" s="8">
        <f>Laptop_1!AB134</f>
        <v>1373008.5306293182</v>
      </c>
      <c r="N20" s="430">
        <f t="shared" si="0"/>
        <v>13509930.833044009</v>
      </c>
    </row>
    <row r="21" spans="1:14">
      <c r="A21" s="429" t="s">
        <v>40</v>
      </c>
      <c r="B21" s="8" t="s">
        <v>7815</v>
      </c>
      <c r="C21" s="8" t="s">
        <v>7671</v>
      </c>
      <c r="D21" s="8">
        <f>Laptop_2!S134</f>
        <v>1273109.1462396113</v>
      </c>
      <c r="E21" s="8">
        <f>Laptop_2!T134</f>
        <v>1260109.5495323869</v>
      </c>
      <c r="F21" s="8">
        <f>Laptop_2!U134</f>
        <v>1245713.0001665519</v>
      </c>
      <c r="G21" s="8">
        <f>Laptop_2!V134</f>
        <v>1234992.1255016336</v>
      </c>
      <c r="H21" s="8">
        <f>Laptop_2!W134</f>
        <v>1230914.5598722086</v>
      </c>
      <c r="I21" s="8">
        <f>Laptop_2!X134</f>
        <v>1234737.0440583033</v>
      </c>
      <c r="J21" s="8">
        <f>Laptop_2!Y134</f>
        <v>1246436.3297942136</v>
      </c>
      <c r="K21" s="8">
        <f>Laptop_2!Z134</f>
        <v>1265140.3409836802</v>
      </c>
      <c r="L21" s="8">
        <f>Laptop_2!AA134</f>
        <v>1289507.2961485269</v>
      </c>
      <c r="M21" s="8">
        <f>Laptop_2!AB134</f>
        <v>1318023.5592338112</v>
      </c>
      <c r="N21" s="430">
        <f t="shared" si="0"/>
        <v>12598682.951530928</v>
      </c>
    </row>
    <row r="22" spans="1:14">
      <c r="A22" s="429" t="s">
        <v>40</v>
      </c>
      <c r="B22" s="8" t="s">
        <v>7816</v>
      </c>
      <c r="C22" s="8" t="s">
        <v>7670</v>
      </c>
      <c r="D22" s="8">
        <f>Laptop_0!S150</f>
        <v>15014.645527154904</v>
      </c>
      <c r="E22" s="8">
        <f>Laptop_0!T150</f>
        <v>15014.645527154904</v>
      </c>
      <c r="F22" s="8">
        <f>Laptop_0!U150</f>
        <v>15014.645527154904</v>
      </c>
      <c r="G22" s="8">
        <f>Laptop_0!V150</f>
        <v>15014.645527154904</v>
      </c>
      <c r="H22" s="8">
        <f>Laptop_0!W150</f>
        <v>15014.645527154904</v>
      </c>
      <c r="I22" s="8">
        <f>Laptop_0!X150</f>
        <v>15014.645527154904</v>
      </c>
      <c r="J22" s="8">
        <f>Laptop_0!Y150</f>
        <v>15014.645527154904</v>
      </c>
      <c r="K22" s="8">
        <f>Laptop_0!Z150</f>
        <v>15014.645527154904</v>
      </c>
      <c r="L22" s="8">
        <f>Laptop_0!AA150</f>
        <v>15014.645527154904</v>
      </c>
      <c r="M22" s="8">
        <f>Laptop_0!AB150</f>
        <v>15014.645527154904</v>
      </c>
      <c r="N22" s="430">
        <f t="shared" si="0"/>
        <v>150146.45527154903</v>
      </c>
    </row>
    <row r="23" spans="1:14">
      <c r="A23" s="429" t="s">
        <v>40</v>
      </c>
      <c r="B23" s="8" t="s">
        <v>7817</v>
      </c>
      <c r="C23" s="8" t="s">
        <v>7670</v>
      </c>
      <c r="D23" s="8">
        <f>Laptop_0!S149</f>
        <v>32279.465737873914</v>
      </c>
      <c r="E23" s="8">
        <f>Laptop_0!T149</f>
        <v>32279.465737873914</v>
      </c>
      <c r="F23" s="8">
        <f>Laptop_0!U149</f>
        <v>32279.465737873914</v>
      </c>
      <c r="G23" s="8">
        <f>Laptop_0!V149</f>
        <v>32279.465737873914</v>
      </c>
      <c r="H23" s="8">
        <f>Laptop_0!W149</f>
        <v>32279.465737873914</v>
      </c>
      <c r="I23" s="8">
        <f>Laptop_0!X149</f>
        <v>32279.465737873914</v>
      </c>
      <c r="J23" s="8">
        <f>Laptop_0!Y149</f>
        <v>32279.465737873914</v>
      </c>
      <c r="K23" s="8">
        <f>Laptop_0!Z149</f>
        <v>32279.465737873914</v>
      </c>
      <c r="L23" s="8">
        <f>Laptop_0!AA149</f>
        <v>32279.465737873914</v>
      </c>
      <c r="M23" s="8">
        <f>Laptop_0!AB149</f>
        <v>32279.465737873914</v>
      </c>
      <c r="N23" s="430">
        <f t="shared" si="0"/>
        <v>322794.65737873915</v>
      </c>
    </row>
    <row r="24" spans="1:14">
      <c r="A24" s="429" t="s">
        <v>40</v>
      </c>
      <c r="B24" s="8" t="s">
        <v>7816</v>
      </c>
      <c r="C24" s="8" t="s">
        <v>7669</v>
      </c>
      <c r="D24" s="8">
        <f>Laptop_1!S150</f>
        <v>15014.645527154904</v>
      </c>
      <c r="E24" s="8">
        <f>Laptop_1!T150</f>
        <v>14811.937004354904</v>
      </c>
      <c r="F24" s="8">
        <f>Laptop_1!U150</f>
        <v>14458.270202954902</v>
      </c>
      <c r="G24" s="8">
        <f>Laptop_1!V150</f>
        <v>14084.906970354905</v>
      </c>
      <c r="H24" s="8">
        <f>Laptop_1!W150</f>
        <v>13766.153873054904</v>
      </c>
      <c r="I24" s="8">
        <f>Laptop_1!X150</f>
        <v>13542.520509454902</v>
      </c>
      <c r="J24" s="8">
        <f>Laptop_1!Y150</f>
        <v>13427.657232254904</v>
      </c>
      <c r="K24" s="8">
        <f>Laptop_1!Z150</f>
        <v>13415.572054854903</v>
      </c>
      <c r="L24" s="8">
        <f>Laptop_1!AA150</f>
        <v>13488.063925354903</v>
      </c>
      <c r="M24" s="8">
        <f>Laptop_1!AB150</f>
        <v>13621.332407754904</v>
      </c>
      <c r="N24" s="430">
        <f t="shared" si="0"/>
        <v>139631.05970754902</v>
      </c>
    </row>
    <row r="25" spans="1:14">
      <c r="A25" s="429" t="s">
        <v>40</v>
      </c>
      <c r="B25" s="8" t="s">
        <v>7817</v>
      </c>
      <c r="C25" s="8" t="s">
        <v>7669</v>
      </c>
      <c r="D25" s="8">
        <f>Laptop_1!S149</f>
        <v>32279.465737873914</v>
      </c>
      <c r="E25" s="8">
        <f>Laptop_1!T149</f>
        <v>31843.66971427391</v>
      </c>
      <c r="F25" s="8">
        <f>Laptop_1!U149</f>
        <v>31083.333722473912</v>
      </c>
      <c r="G25" s="8">
        <f>Laptop_1!V149</f>
        <v>30280.65305627391</v>
      </c>
      <c r="H25" s="8">
        <f>Laptop_1!W149</f>
        <v>29595.376826173913</v>
      </c>
      <c r="I25" s="8">
        <f>Laptop_1!X149</f>
        <v>29114.595212973913</v>
      </c>
      <c r="J25" s="8">
        <f>Laptop_1!Y149</f>
        <v>28867.654636573912</v>
      </c>
      <c r="K25" s="8">
        <f>Laptop_1!Z149</f>
        <v>28841.673132773911</v>
      </c>
      <c r="L25" s="8">
        <f>Laptop_1!AA149</f>
        <v>28997.520891273911</v>
      </c>
      <c r="M25" s="8">
        <f>Laptop_1!AB149</f>
        <v>29284.030180073914</v>
      </c>
      <c r="N25" s="430">
        <f t="shared" si="0"/>
        <v>300187.97311073914</v>
      </c>
    </row>
    <row r="26" spans="1:14">
      <c r="A26" s="429" t="s">
        <v>40</v>
      </c>
      <c r="B26" s="8" t="s">
        <v>7816</v>
      </c>
      <c r="C26" s="8" t="s">
        <v>7671</v>
      </c>
      <c r="D26" s="8">
        <f>Laptop_2!S150</f>
        <v>13887.026585854897</v>
      </c>
      <c r="E26" s="8">
        <f>Laptop_2!T150</f>
        <v>13131.209191654898</v>
      </c>
      <c r="F26" s="8">
        <f>Laptop_2!U150</f>
        <v>12457.761546854896</v>
      </c>
      <c r="G26" s="8">
        <f>Laptop_2!V150</f>
        <v>11943.173087854897</v>
      </c>
      <c r="H26" s="8">
        <f>Laptop_2!W150</f>
        <v>11620.574230954897</v>
      </c>
      <c r="I26" s="8">
        <f>Laptop_2!X150</f>
        <v>11489.937057754896</v>
      </c>
      <c r="J26" s="8">
        <f>Laptop_2!Y150</f>
        <v>11528.823899154897</v>
      </c>
      <c r="K26" s="8">
        <f>Laptop_2!Z150</f>
        <v>11702.336755154898</v>
      </c>
      <c r="L26" s="8">
        <f>Laptop_2!AA150</f>
        <v>11971.257253354897</v>
      </c>
      <c r="M26" s="8">
        <f>Laptop_2!AB150</f>
        <v>12297.923472154898</v>
      </c>
      <c r="N26" s="430">
        <f t="shared" si="0"/>
        <v>122030.02308074897</v>
      </c>
    </row>
    <row r="27" spans="1:14">
      <c r="A27" s="429" t="s">
        <v>40</v>
      </c>
      <c r="B27" s="8" t="s">
        <v>7817</v>
      </c>
      <c r="C27" s="8" t="s">
        <v>7671</v>
      </c>
      <c r="D27" s="8">
        <f>Laptop_2!S149</f>
        <v>29855.2368797739</v>
      </c>
      <c r="E27" s="8">
        <f>Laptop_2!T149</f>
        <v>28230.331274373897</v>
      </c>
      <c r="F27" s="8">
        <f>Laptop_2!U149</f>
        <v>26782.509536773898</v>
      </c>
      <c r="G27" s="8">
        <f>Laptop_2!V149</f>
        <v>25676.213653773899</v>
      </c>
      <c r="H27" s="8">
        <f>Laptop_2!W149</f>
        <v>24982.669558473895</v>
      </c>
      <c r="I27" s="8">
        <f>Laptop_2!X149</f>
        <v>24701.817230073899</v>
      </c>
      <c r="J27" s="8">
        <f>Laptop_2!Y149</f>
        <v>24785.418701873896</v>
      </c>
      <c r="K27" s="8">
        <f>Laptop_2!Z149</f>
        <v>25158.447973873899</v>
      </c>
      <c r="L27" s="8">
        <f>Laptop_2!AA149</f>
        <v>25736.5908272739</v>
      </c>
      <c r="M27" s="8">
        <f>Laptop_2!AB149</f>
        <v>26438.879202873897</v>
      </c>
      <c r="N27" s="430">
        <f t="shared" si="0"/>
        <v>262348.11483913899</v>
      </c>
    </row>
    <row r="28" spans="1:14">
      <c r="A28" s="429" t="s">
        <v>40</v>
      </c>
      <c r="B28" s="8" t="s">
        <v>7811</v>
      </c>
      <c r="C28" s="8" t="s">
        <v>7669</v>
      </c>
      <c r="D28" s="8">
        <f>Laptop_1!S189</f>
        <v>0</v>
      </c>
      <c r="E28" s="8">
        <f>Laptop_1!T189</f>
        <v>58086000</v>
      </c>
      <c r="F28" s="8">
        <f>Laptop_1!U189</f>
        <v>159429000</v>
      </c>
      <c r="G28" s="8">
        <f>Laptop_1!V189</f>
        <v>266416000</v>
      </c>
      <c r="H28" s="8">
        <f>Laptop_1!W189</f>
        <v>357754500</v>
      </c>
      <c r="I28" s="8">
        <f>Laptop_1!X189</f>
        <v>421836500</v>
      </c>
      <c r="J28" s="8">
        <f>Laptop_1!Y189</f>
        <v>454750500</v>
      </c>
      <c r="K28" s="8">
        <f>Laptop_1!Z189</f>
        <v>458213500</v>
      </c>
      <c r="L28" s="8">
        <f>Laptop_1!AA189</f>
        <v>437441000</v>
      </c>
      <c r="M28" s="8">
        <f>Laptop_1!AB189</f>
        <v>399253000</v>
      </c>
      <c r="N28" s="430">
        <f t="shared" si="0"/>
        <v>3013180000</v>
      </c>
    </row>
    <row r="29" spans="1:14">
      <c r="A29" s="429" t="s">
        <v>40</v>
      </c>
      <c r="B29" s="8" t="s">
        <v>7811</v>
      </c>
      <c r="C29" s="8" t="s">
        <v>7671</v>
      </c>
      <c r="D29" s="8">
        <f>Laptop_2!S189</f>
        <v>323118500.00000185</v>
      </c>
      <c r="E29" s="8">
        <f>Laptop_2!T189</f>
        <v>539697500</v>
      </c>
      <c r="F29" s="8">
        <f>Laptop_2!U189</f>
        <v>732673500</v>
      </c>
      <c r="G29" s="8">
        <f>Laptop_2!V189</f>
        <v>880128500</v>
      </c>
      <c r="H29" s="8">
        <f>Laptop_2!W189</f>
        <v>972569000</v>
      </c>
      <c r="I29" s="8">
        <f>Laptop_2!X189</f>
        <v>1010003000</v>
      </c>
      <c r="J29" s="8">
        <f>Laptop_2!Y189</f>
        <v>998860000</v>
      </c>
      <c r="K29" s="8">
        <f>Laptop_2!Z189</f>
        <v>949140000</v>
      </c>
      <c r="L29" s="8">
        <f>Laptop_2!AA189</f>
        <v>872081000</v>
      </c>
      <c r="M29" s="8">
        <f>Laptop_2!AB189</f>
        <v>778475000</v>
      </c>
      <c r="N29" s="430">
        <f t="shared" si="0"/>
        <v>8056746000.0000019</v>
      </c>
    </row>
    <row r="30" spans="1:14">
      <c r="A30" s="429" t="s">
        <v>91</v>
      </c>
      <c r="B30" s="8" t="s">
        <v>7885</v>
      </c>
      <c r="C30" s="8" t="s">
        <v>7670</v>
      </c>
      <c r="D30" s="8">
        <f>Tablet_0!S67</f>
        <v>5782808</v>
      </c>
      <c r="E30" s="8">
        <f>Tablet_0!T67</f>
        <v>5690074</v>
      </c>
      <c r="F30" s="8">
        <f>Tablet_0!U67</f>
        <v>5561589</v>
      </c>
      <c r="G30" s="8">
        <f>Tablet_0!V67</f>
        <v>5427724</v>
      </c>
      <c r="H30" s="8">
        <f>Tablet_0!W67</f>
        <v>5306167</v>
      </c>
      <c r="I30" s="8">
        <f>Tablet_0!X67</f>
        <v>5205231</v>
      </c>
      <c r="J30" s="8">
        <f>Tablet_0!Y67</f>
        <v>5126879</v>
      </c>
      <c r="K30" s="8">
        <f>Tablet_0!Z67</f>
        <v>5069319</v>
      </c>
      <c r="L30" s="8">
        <f>Tablet_0!AA67</f>
        <v>5028993</v>
      </c>
      <c r="M30" s="8">
        <f>Tablet_0!AB67</f>
        <v>5001911</v>
      </c>
      <c r="N30" s="430">
        <f t="shared" si="0"/>
        <v>53200695</v>
      </c>
    </row>
    <row r="31" spans="1:14">
      <c r="A31" s="429" t="s">
        <v>91</v>
      </c>
      <c r="B31" s="8" t="s">
        <v>7885</v>
      </c>
      <c r="C31" s="8" t="s">
        <v>7669</v>
      </c>
      <c r="D31" s="8">
        <f>Tablet_1!S67</f>
        <v>5782808</v>
      </c>
      <c r="E31" s="8">
        <f>Tablet_1!T67</f>
        <v>5598786</v>
      </c>
      <c r="F31" s="8">
        <f>Tablet_1!U67</f>
        <v>5315385</v>
      </c>
      <c r="G31" s="8">
        <f>Tablet_1!V67</f>
        <v>5022355</v>
      </c>
      <c r="H31" s="8">
        <f>Tablet_1!W67</f>
        <v>4766636</v>
      </c>
      <c r="I31" s="8">
        <f>Tablet_1!X67</f>
        <v>4569509</v>
      </c>
      <c r="J31" s="8">
        <f>Tablet_1!Y67</f>
        <v>4435051</v>
      </c>
      <c r="K31" s="8">
        <f>Tablet_1!Z67</f>
        <v>4357335</v>
      </c>
      <c r="L31" s="8">
        <f>Tablet_1!AA67</f>
        <v>4325950</v>
      </c>
      <c r="M31" s="8">
        <f>Tablet_1!AB67</f>
        <v>4329611</v>
      </c>
      <c r="N31" s="430">
        <f t="shared" si="0"/>
        <v>48503426</v>
      </c>
    </row>
    <row r="32" spans="1:14">
      <c r="A32" s="429" t="s">
        <v>91</v>
      </c>
      <c r="B32" s="8" t="s">
        <v>7885</v>
      </c>
      <c r="C32" s="8" t="s">
        <v>7671</v>
      </c>
      <c r="D32" s="8">
        <f>Tablet_2!S67</f>
        <v>5291023</v>
      </c>
      <c r="E32" s="8">
        <f>Tablet_2!T67</f>
        <v>4886448</v>
      </c>
      <c r="F32" s="8">
        <f>Tablet_2!U67</f>
        <v>4485840</v>
      </c>
      <c r="G32" s="8">
        <f>Tablet_2!V67</f>
        <v>4143738</v>
      </c>
      <c r="H32" s="8">
        <f>Tablet_2!W67</f>
        <v>3880772</v>
      </c>
      <c r="I32" s="8">
        <f>Tablet_2!X67</f>
        <v>3696033</v>
      </c>
      <c r="J32" s="8">
        <f>Tablet_2!Y67</f>
        <v>3577057</v>
      </c>
      <c r="K32" s="8">
        <f>Tablet_2!Z67</f>
        <v>3507274</v>
      </c>
      <c r="L32" s="8">
        <f>Tablet_2!AA67</f>
        <v>3470726</v>
      </c>
      <c r="M32" s="8">
        <f>Tablet_2!AB67</f>
        <v>3454436</v>
      </c>
      <c r="N32" s="430">
        <f t="shared" si="0"/>
        <v>40393347</v>
      </c>
    </row>
    <row r="33" spans="1:14">
      <c r="A33" s="429" t="s">
        <v>91</v>
      </c>
      <c r="B33" s="8" t="s">
        <v>7815</v>
      </c>
      <c r="C33" s="8" t="s">
        <v>7670</v>
      </c>
      <c r="D33" s="8">
        <f>Tablet_0!S134</f>
        <v>284380.9521501165</v>
      </c>
      <c r="E33" s="8">
        <f>Tablet_0!T134</f>
        <v>279037.96343930339</v>
      </c>
      <c r="F33" s="8">
        <f>Tablet_0!U134</f>
        <v>274321.74767035618</v>
      </c>
      <c r="G33" s="8">
        <f>Tablet_0!V134</f>
        <v>270449.28361245245</v>
      </c>
      <c r="H33" s="8">
        <f>Tablet_0!W134</f>
        <v>267445.90977556712</v>
      </c>
      <c r="I33" s="8">
        <f>Tablet_0!X134</f>
        <v>265226.43929593713</v>
      </c>
      <c r="J33" s="8">
        <f>Tablet_0!Y134</f>
        <v>263654.84252869157</v>
      </c>
      <c r="K33" s="8">
        <f>Tablet_0!Z134</f>
        <v>262584.34018448461</v>
      </c>
      <c r="L33" s="8">
        <f>Tablet_0!AA134</f>
        <v>261880.8631496625</v>
      </c>
      <c r="M33" s="8">
        <f>Tablet_0!AB134</f>
        <v>261433.87348040147</v>
      </c>
      <c r="N33" s="430">
        <f t="shared" si="0"/>
        <v>2690416.2152869725</v>
      </c>
    </row>
    <row r="34" spans="1:14">
      <c r="A34" s="429" t="s">
        <v>91</v>
      </c>
      <c r="B34" s="8" t="s">
        <v>7815</v>
      </c>
      <c r="C34" s="8" t="s">
        <v>7669</v>
      </c>
      <c r="D34" s="8">
        <f>Tablet_1!S134</f>
        <v>284380.9521501165</v>
      </c>
      <c r="E34" s="8">
        <f>Tablet_1!T134</f>
        <v>277176.53588471073</v>
      </c>
      <c r="F34" s="8">
        <f>Tablet_1!U134</f>
        <v>269409.55018504785</v>
      </c>
      <c r="G34" s="8">
        <f>Tablet_1!V134</f>
        <v>262703.82186136465</v>
      </c>
      <c r="H34" s="8">
        <f>Tablet_1!W134</f>
        <v>257852.23456069356</v>
      </c>
      <c r="I34" s="8">
        <f>Tablet_1!X134</f>
        <v>255116.71012111398</v>
      </c>
      <c r="J34" s="8">
        <f>Tablet_1!Y134</f>
        <v>254386.0506488964</v>
      </c>
      <c r="K34" s="8">
        <f>Tablet_1!Z134</f>
        <v>255326.39492928132</v>
      </c>
      <c r="L34" s="8">
        <f>Tablet_1!AA134</f>
        <v>257508.3776629451</v>
      </c>
      <c r="M34" s="8">
        <f>Tablet_1!AB134</f>
        <v>260499.02951992489</v>
      </c>
      <c r="N34" s="430">
        <f t="shared" si="0"/>
        <v>2634359.6575240949</v>
      </c>
    </row>
    <row r="35" spans="1:14">
      <c r="A35" s="429" t="s">
        <v>91</v>
      </c>
      <c r="B35" s="8" t="s">
        <v>7815</v>
      </c>
      <c r="C35" s="8" t="s">
        <v>7671</v>
      </c>
      <c r="D35" s="8">
        <f>Tablet_2!S134</f>
        <v>275585.58052939409</v>
      </c>
      <c r="E35" s="8">
        <f>Tablet_2!T134</f>
        <v>263883.9308117149</v>
      </c>
      <c r="F35" s="8">
        <f>Tablet_2!U134</f>
        <v>253618.92997400899</v>
      </c>
      <c r="G35" s="8">
        <f>Tablet_2!V134</f>
        <v>245500.36987515225</v>
      </c>
      <c r="H35" s="8">
        <f>Tablet_2!W134</f>
        <v>239613.56126109531</v>
      </c>
      <c r="I35" s="8">
        <f>Tablet_2!X134</f>
        <v>235685.28362528284</v>
      </c>
      <c r="J35" s="8">
        <f>Tablet_2!Y134</f>
        <v>233285.33133272553</v>
      </c>
      <c r="K35" s="8">
        <f>Tablet_2!Z134</f>
        <v>231965.59376465229</v>
      </c>
      <c r="L35" s="8">
        <f>Tablet_2!AA134</f>
        <v>231339.15521250651</v>
      </c>
      <c r="M35" s="8">
        <f>Tablet_2!AB134</f>
        <v>231112.2174404081</v>
      </c>
      <c r="N35" s="430">
        <f t="shared" si="0"/>
        <v>2441589.9538269406</v>
      </c>
    </row>
    <row r="36" spans="1:14">
      <c r="A36" s="429" t="s">
        <v>91</v>
      </c>
      <c r="B36" s="8" t="s">
        <v>7816</v>
      </c>
      <c r="C36" s="8" t="s">
        <v>7670</v>
      </c>
      <c r="D36" s="8">
        <f>Tablet_0!S150</f>
        <v>2439.0233898446982</v>
      </c>
      <c r="E36" s="8">
        <f>Tablet_0!T150</f>
        <v>2439.0233898446982</v>
      </c>
      <c r="F36" s="8">
        <f>Tablet_0!U150</f>
        <v>2439.0233898446982</v>
      </c>
      <c r="G36" s="8">
        <f>Tablet_0!V150</f>
        <v>2439.0233898446982</v>
      </c>
      <c r="H36" s="8">
        <f>Tablet_0!W150</f>
        <v>2439.0233898446982</v>
      </c>
      <c r="I36" s="8">
        <f>Tablet_0!X150</f>
        <v>2439.0233898446982</v>
      </c>
      <c r="J36" s="8">
        <f>Tablet_0!Y150</f>
        <v>2439.0233898446982</v>
      </c>
      <c r="K36" s="8">
        <f>Tablet_0!Z150</f>
        <v>2439.0233898446982</v>
      </c>
      <c r="L36" s="8">
        <f>Tablet_0!AA150</f>
        <v>2439.0233898446982</v>
      </c>
      <c r="M36" s="8">
        <f>Tablet_0!AB150</f>
        <v>2439.0233898446982</v>
      </c>
      <c r="N36" s="430">
        <f t="shared" si="0"/>
        <v>24390.233898446979</v>
      </c>
    </row>
    <row r="37" spans="1:14">
      <c r="A37" s="429" t="s">
        <v>91</v>
      </c>
      <c r="B37" s="8" t="s">
        <v>7817</v>
      </c>
      <c r="C37" s="8" t="s">
        <v>7670</v>
      </c>
      <c r="D37" s="8">
        <f>Tablet_0!S149</f>
        <v>3400.4518006820363</v>
      </c>
      <c r="E37" s="8">
        <f>Tablet_0!T149</f>
        <v>3400.4518006820363</v>
      </c>
      <c r="F37" s="8">
        <f>Tablet_0!U149</f>
        <v>3400.4518006820363</v>
      </c>
      <c r="G37" s="8">
        <f>Tablet_0!V149</f>
        <v>3400.4518006820363</v>
      </c>
      <c r="H37" s="8">
        <f>Tablet_0!W149</f>
        <v>3400.4518006820363</v>
      </c>
      <c r="I37" s="8">
        <f>Tablet_0!X149</f>
        <v>3400.4518006820363</v>
      </c>
      <c r="J37" s="8">
        <f>Tablet_0!Y149</f>
        <v>3400.4518006820363</v>
      </c>
      <c r="K37" s="8">
        <f>Tablet_0!Z149</f>
        <v>3400.4518006820363</v>
      </c>
      <c r="L37" s="8">
        <f>Tablet_0!AA149</f>
        <v>3400.4518006820363</v>
      </c>
      <c r="M37" s="8">
        <f>Tablet_0!AB149</f>
        <v>3400.4518006820363</v>
      </c>
      <c r="N37" s="430">
        <f t="shared" si="0"/>
        <v>34004.518006820363</v>
      </c>
    </row>
    <row r="38" spans="1:14">
      <c r="A38" s="429" t="s">
        <v>91</v>
      </c>
      <c r="B38" s="8" t="s">
        <v>7816</v>
      </c>
      <c r="C38" s="8" t="s">
        <v>7669</v>
      </c>
      <c r="D38" s="8">
        <f>Tablet_1!S150</f>
        <v>2439.0233898446982</v>
      </c>
      <c r="E38" s="8">
        <f>Tablet_1!T150</f>
        <v>2394.118822644698</v>
      </c>
      <c r="F38" s="8">
        <f>Tablet_1!U150</f>
        <v>2320.4533543446978</v>
      </c>
      <c r="G38" s="8">
        <f>Tablet_1!V150</f>
        <v>2251.0467562446979</v>
      </c>
      <c r="H38" s="8">
        <f>Tablet_1!W150</f>
        <v>2202.3220936446983</v>
      </c>
      <c r="I38" s="8">
        <f>Tablet_1!X150</f>
        <v>2179.9809794446978</v>
      </c>
      <c r="J38" s="8">
        <f>Tablet_1!Y150</f>
        <v>2182.2274867446981</v>
      </c>
      <c r="K38" s="8">
        <f>Tablet_1!Z150</f>
        <v>2203.093392844698</v>
      </c>
      <c r="L38" s="8">
        <f>Tablet_1!AA150</f>
        <v>2235.2626690446978</v>
      </c>
      <c r="M38" s="8">
        <f>Tablet_1!AB150</f>
        <v>2272.009074744698</v>
      </c>
      <c r="N38" s="430">
        <f t="shared" si="0"/>
        <v>22679.538019546981</v>
      </c>
    </row>
    <row r="39" spans="1:14">
      <c r="A39" s="429" t="s">
        <v>91</v>
      </c>
      <c r="B39" s="8" t="s">
        <v>7817</v>
      </c>
      <c r="C39" s="8" t="s">
        <v>7669</v>
      </c>
      <c r="D39" s="8">
        <f>Tablet_1!S149</f>
        <v>3400.4518006820363</v>
      </c>
      <c r="E39" s="8">
        <f>Tablet_1!T149</f>
        <v>3337.8464902820369</v>
      </c>
      <c r="F39" s="8">
        <f>Tablet_1!U149</f>
        <v>3235.1431396820362</v>
      </c>
      <c r="G39" s="8">
        <f>Tablet_1!V149</f>
        <v>3138.3774454820364</v>
      </c>
      <c r="H39" s="8">
        <f>Tablet_1!W149</f>
        <v>3070.4462122820369</v>
      </c>
      <c r="I39" s="8">
        <f>Tablet_1!X149</f>
        <v>3039.2985478820365</v>
      </c>
      <c r="J39" s="8">
        <f>Tablet_1!Y149</f>
        <v>3042.4305964820364</v>
      </c>
      <c r="K39" s="8">
        <f>Tablet_1!Z149</f>
        <v>3071.5215466820364</v>
      </c>
      <c r="L39" s="8">
        <f>Tablet_1!AA149</f>
        <v>3116.3714950820363</v>
      </c>
      <c r="M39" s="8">
        <f>Tablet_1!AB149</f>
        <v>3167.6028124820364</v>
      </c>
      <c r="N39" s="430">
        <f t="shared" si="0"/>
        <v>31619.490087020367</v>
      </c>
    </row>
    <row r="40" spans="1:14">
      <c r="A40" s="429" t="s">
        <v>91</v>
      </c>
      <c r="B40" s="8" t="s">
        <v>7816</v>
      </c>
      <c r="C40" s="8" t="s">
        <v>7671</v>
      </c>
      <c r="D40" s="8">
        <f>Tablet_2!S150</f>
        <v>2197.1143483446958</v>
      </c>
      <c r="E40" s="8">
        <f>Tablet_2!T150</f>
        <v>2043.7197604446962</v>
      </c>
      <c r="F40" s="8">
        <f>Tablet_2!U150</f>
        <v>1909.8624567446961</v>
      </c>
      <c r="G40" s="8">
        <f>Tablet_2!V150</f>
        <v>1807.4306764446962</v>
      </c>
      <c r="H40" s="8">
        <f>Tablet_2!W150</f>
        <v>1737.8715893446961</v>
      </c>
      <c r="I40" s="8">
        <f>Tablet_2!X150</f>
        <v>1696.6488936446963</v>
      </c>
      <c r="J40" s="8">
        <f>Tablet_2!Y150</f>
        <v>1676.6659480446961</v>
      </c>
      <c r="K40" s="8">
        <f>Tablet_2!Z150</f>
        <v>1670.653454344696</v>
      </c>
      <c r="L40" s="8">
        <f>Tablet_2!AA150</f>
        <v>1672.511852544696</v>
      </c>
      <c r="M40" s="8">
        <f>Tablet_2!AB150</f>
        <v>1677.8204373446961</v>
      </c>
      <c r="N40" s="430">
        <f t="shared" si="0"/>
        <v>18090.299417246963</v>
      </c>
    </row>
    <row r="41" spans="1:14">
      <c r="A41" s="429" t="s">
        <v>91</v>
      </c>
      <c r="B41" s="8" t="s">
        <v>7817</v>
      </c>
      <c r="C41" s="8" t="s">
        <v>7671</v>
      </c>
      <c r="D41" s="8">
        <f>Tablet_2!S149</f>
        <v>3063.185647682034</v>
      </c>
      <c r="E41" s="8">
        <f>Tablet_2!T149</f>
        <v>2849.3250898820343</v>
      </c>
      <c r="F41" s="8">
        <f>Tablet_2!U149</f>
        <v>2662.7031364820341</v>
      </c>
      <c r="G41" s="8">
        <f>Tablet_2!V149</f>
        <v>2519.8942018820344</v>
      </c>
      <c r="H41" s="8">
        <f>Tablet_2!W149</f>
        <v>2422.915909682034</v>
      </c>
      <c r="I41" s="8">
        <f>Tablet_2!X149</f>
        <v>2365.4438122820338</v>
      </c>
      <c r="J41" s="8">
        <f>Tablet_2!Y149</f>
        <v>2337.5838730820342</v>
      </c>
      <c r="K41" s="8">
        <f>Tablet_2!Z149</f>
        <v>2329.2013396820339</v>
      </c>
      <c r="L41" s="8">
        <f>Tablet_2!AA149</f>
        <v>2331.7922920820342</v>
      </c>
      <c r="M41" s="8">
        <f>Tablet_2!AB149</f>
        <v>2339.1934456820341</v>
      </c>
      <c r="N41" s="430">
        <f t="shared" si="0"/>
        <v>25221.238748420339</v>
      </c>
    </row>
    <row r="42" spans="1:14">
      <c r="A42" s="429" t="s">
        <v>91</v>
      </c>
      <c r="B42" s="8" t="s">
        <v>7811</v>
      </c>
      <c r="C42" s="8" t="s">
        <v>7669</v>
      </c>
      <c r="D42" s="8">
        <f>Tablet_1!S189</f>
        <v>0</v>
      </c>
      <c r="E42" s="8">
        <f>Tablet_1!T189</f>
        <v>39025620</v>
      </c>
      <c r="F42" s="8">
        <f>Tablet_1!U189</f>
        <v>103046737.5</v>
      </c>
      <c r="G42" s="8">
        <f>Tablet_1!V189</f>
        <v>163366560</v>
      </c>
      <c r="H42" s="8">
        <f>Tablet_1!W189</f>
        <v>205712145</v>
      </c>
      <c r="I42" s="8">
        <f>Tablet_1!X189</f>
        <v>225128340</v>
      </c>
      <c r="J42" s="8">
        <f>Tablet_1!Y189</f>
        <v>223175947.5</v>
      </c>
      <c r="K42" s="8">
        <f>Tablet_1!Z189</f>
        <v>205041825</v>
      </c>
      <c r="L42" s="8">
        <f>Tablet_1!AA189</f>
        <v>177084180</v>
      </c>
      <c r="M42" s="8">
        <f>Tablet_1!AB189</f>
        <v>145148647.5</v>
      </c>
      <c r="N42" s="430">
        <f t="shared" si="0"/>
        <v>1486730002.5</v>
      </c>
    </row>
    <row r="43" spans="1:14" ht="17" thickBot="1">
      <c r="A43" s="431" t="s">
        <v>91</v>
      </c>
      <c r="B43" s="181" t="s">
        <v>7811</v>
      </c>
      <c r="C43" s="181" t="s">
        <v>7671</v>
      </c>
      <c r="D43" s="181">
        <f>Tablet_2!S189</f>
        <v>210238087.50000158</v>
      </c>
      <c r="E43" s="181">
        <f>Tablet_2!T189</f>
        <v>343550115.00000161</v>
      </c>
      <c r="F43" s="181">
        <f>Tablet_2!U189</f>
        <v>459882697.50000161</v>
      </c>
      <c r="G43" s="181">
        <f>Tablet_2!V189</f>
        <v>548904015.00000155</v>
      </c>
      <c r="H43" s="181">
        <f>Tablet_2!W189</f>
        <v>609356362.50000155</v>
      </c>
      <c r="I43" s="181">
        <f>Tablet_2!X189</f>
        <v>645182145.00000155</v>
      </c>
      <c r="J43" s="181">
        <f>Tablet_2!Y189</f>
        <v>662548905.00000155</v>
      </c>
      <c r="K43" s="181">
        <f>Tablet_2!Z189</f>
        <v>667774237.50000155</v>
      </c>
      <c r="L43" s="181">
        <f>Tablet_2!AA189</f>
        <v>666159142.50000155</v>
      </c>
      <c r="M43" s="181">
        <f>Tablet_2!AB189</f>
        <v>661545562.50000155</v>
      </c>
      <c r="N43" s="432">
        <f t="shared" si="0"/>
        <v>5475141270.0000153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E0EA3-079C-2D46-B49C-E2AA7B092CB8}">
  <dimension ref="A1:P21"/>
  <sheetViews>
    <sheetView topLeftCell="B1" zoomScale="60" zoomScaleNormal="60" workbookViewId="0">
      <selection activeCell="D29" sqref="D29"/>
    </sheetView>
  </sheetViews>
  <sheetFormatPr baseColWidth="10" defaultRowHeight="16"/>
  <cols>
    <col min="2" max="2" width="23.83203125" customWidth="1"/>
    <col min="13" max="13" width="15" bestFit="1" customWidth="1"/>
    <col min="14" max="14" width="17.6640625" bestFit="1" customWidth="1"/>
  </cols>
  <sheetData>
    <row r="1" spans="1:16" s="1" customFormat="1">
      <c r="A1" s="182" t="s">
        <v>171</v>
      </c>
      <c r="B1" s="177" t="s">
        <v>7814</v>
      </c>
      <c r="C1" s="177" t="s">
        <v>7813</v>
      </c>
      <c r="D1" s="177" t="s">
        <v>7781</v>
      </c>
      <c r="E1" s="177" t="s">
        <v>7782</v>
      </c>
      <c r="F1" s="177" t="s">
        <v>7783</v>
      </c>
      <c r="G1" s="177" t="s">
        <v>7784</v>
      </c>
      <c r="H1" s="177" t="s">
        <v>7785</v>
      </c>
      <c r="I1" s="177" t="s">
        <v>7786</v>
      </c>
      <c r="J1" s="177" t="s">
        <v>7787</v>
      </c>
      <c r="K1" s="177" t="s">
        <v>7788</v>
      </c>
      <c r="L1" s="177" t="s">
        <v>7789</v>
      </c>
      <c r="M1" s="177" t="s">
        <v>7790</v>
      </c>
      <c r="N1" s="178" t="s">
        <v>7818</v>
      </c>
    </row>
    <row r="2" spans="1:16" ht="17" thickBot="1">
      <c r="A2" s="429" t="s">
        <v>7738</v>
      </c>
      <c r="B2" s="8" t="s">
        <v>7885</v>
      </c>
      <c r="C2" s="8" t="s">
        <v>7670</v>
      </c>
      <c r="D2" s="8">
        <f>Scenario_comparison!D2+Scenario_comparison!D16+Scenario_comparison!D30</f>
        <v>33408484</v>
      </c>
      <c r="E2" s="8">
        <f>Scenario_comparison!E2+Scenario_comparison!E16+Scenario_comparison!E30</f>
        <v>33888123</v>
      </c>
      <c r="F2" s="8">
        <f>Scenario_comparison!F2+Scenario_comparison!F16+Scenario_comparison!F30</f>
        <v>34236076</v>
      </c>
      <c r="G2" s="8">
        <f>Scenario_comparison!G2+Scenario_comparison!G16+Scenario_comparison!G30</f>
        <v>34479378</v>
      </c>
      <c r="H2" s="8">
        <f>Scenario_comparison!H2+Scenario_comparison!H16+Scenario_comparison!H30</f>
        <v>34644677</v>
      </c>
      <c r="I2" s="8">
        <f>Scenario_comparison!I2+Scenario_comparison!I16+Scenario_comparison!I30</f>
        <v>34754903</v>
      </c>
      <c r="J2" s="8">
        <f>Scenario_comparison!J2+Scenario_comparison!J16+Scenario_comparison!J30</f>
        <v>34827774</v>
      </c>
      <c r="K2" s="8">
        <f>Scenario_comparison!K2+Scenario_comparison!K16+Scenario_comparison!K30</f>
        <v>34875925</v>
      </c>
      <c r="L2" s="8">
        <f>Scenario_comparison!L2+Scenario_comparison!L16+Scenario_comparison!L30</f>
        <v>34907873</v>
      </c>
      <c r="M2" s="8">
        <f>Scenario_comparison!M2+Scenario_comparison!M16+Scenario_comparison!M30</f>
        <v>34929169</v>
      </c>
      <c r="N2" s="432">
        <f t="shared" ref="N2:N14" si="0">SUM(D2:M2)</f>
        <v>344952382</v>
      </c>
    </row>
    <row r="3" spans="1:16" ht="17" thickBot="1">
      <c r="A3" s="429" t="s">
        <v>7738</v>
      </c>
      <c r="B3" s="8" t="s">
        <v>7885</v>
      </c>
      <c r="C3" s="8" t="s">
        <v>7669</v>
      </c>
      <c r="D3" s="8">
        <f>Scenario_comparison!D3+Scenario_comparison!D17+Scenario_comparison!D31</f>
        <v>33408484</v>
      </c>
      <c r="E3" s="8">
        <f>Scenario_comparison!E3+Scenario_comparison!E17+Scenario_comparison!E31</f>
        <v>33082037</v>
      </c>
      <c r="F3" s="8">
        <f>Scenario_comparison!F3+Scenario_comparison!F17+Scenario_comparison!F31</f>
        <v>32188574</v>
      </c>
      <c r="G3" s="8">
        <f>Scenario_comparison!G3+Scenario_comparison!G17+Scenario_comparison!G31</f>
        <v>31286627</v>
      </c>
      <c r="H3" s="8">
        <f>Scenario_comparison!H3+Scenario_comparison!H17+Scenario_comparison!H31</f>
        <v>30601924</v>
      </c>
      <c r="I3" s="8">
        <f>Scenario_comparison!I3+Scenario_comparison!I17+Scenario_comparison!I31</f>
        <v>30200884</v>
      </c>
      <c r="J3" s="8">
        <f>Scenario_comparison!J3+Scenario_comparison!J17+Scenario_comparison!J31</f>
        <v>30067157</v>
      </c>
      <c r="K3" s="8">
        <f>Scenario_comparison!K3+Scenario_comparison!K17+Scenario_comparison!K31</f>
        <v>30150927</v>
      </c>
      <c r="L3" s="8">
        <f>Scenario_comparison!L3+Scenario_comparison!L17+Scenario_comparison!L31</f>
        <v>30395593</v>
      </c>
      <c r="M3" s="8">
        <f>Scenario_comparison!M3+Scenario_comparison!M17+Scenario_comparison!M31</f>
        <v>30749039</v>
      </c>
      <c r="N3" s="432">
        <f t="shared" si="0"/>
        <v>312131246</v>
      </c>
      <c r="P3" s="5"/>
    </row>
    <row r="4" spans="1:16" ht="17" thickBot="1">
      <c r="A4" s="429" t="s">
        <v>7738</v>
      </c>
      <c r="B4" s="8" t="s">
        <v>7885</v>
      </c>
      <c r="C4" s="8" t="s">
        <v>7671</v>
      </c>
      <c r="D4" s="8">
        <f>Scenario_comparison!D4+Scenario_comparison!D18+Scenario_comparison!D32</f>
        <v>29436231</v>
      </c>
      <c r="E4" s="8">
        <f>Scenario_comparison!E4+Scenario_comparison!E18+Scenario_comparison!E32</f>
        <v>27654274</v>
      </c>
      <c r="F4" s="8">
        <f>Scenario_comparison!F4+Scenario_comparison!F18+Scenario_comparison!F32</f>
        <v>26214483</v>
      </c>
      <c r="G4" s="8">
        <f>Scenario_comparison!G4+Scenario_comparison!G18+Scenario_comparison!G32</f>
        <v>25265900</v>
      </c>
      <c r="H4" s="8">
        <f>Scenario_comparison!H4+Scenario_comparison!H18+Scenario_comparison!H32</f>
        <v>24790919</v>
      </c>
      <c r="I4" s="8">
        <f>Scenario_comparison!I4+Scenario_comparison!I18+Scenario_comparison!I32</f>
        <v>24705302</v>
      </c>
      <c r="J4" s="8">
        <f>Scenario_comparison!J4+Scenario_comparison!J18+Scenario_comparison!J32</f>
        <v>24911813</v>
      </c>
      <c r="K4" s="8">
        <f>Scenario_comparison!K4+Scenario_comparison!K18+Scenario_comparison!K32</f>
        <v>25324075</v>
      </c>
      <c r="L4" s="8">
        <f>Scenario_comparison!L4+Scenario_comparison!L18+Scenario_comparison!L32</f>
        <v>25872759</v>
      </c>
      <c r="M4" s="8">
        <f>Scenario_comparison!M4+Scenario_comparison!M18+Scenario_comparison!M32</f>
        <v>26503990</v>
      </c>
      <c r="N4" s="432">
        <f t="shared" si="0"/>
        <v>260679746</v>
      </c>
      <c r="P4" s="5"/>
    </row>
    <row r="5" spans="1:16" ht="17" thickBot="1">
      <c r="A5" s="429" t="s">
        <v>7738</v>
      </c>
      <c r="B5" s="8" t="s">
        <v>7815</v>
      </c>
      <c r="C5" s="8" t="s">
        <v>7670</v>
      </c>
      <c r="D5" s="8">
        <f>Scenario_comparison!D5+Scenario_comparison!D19+Scenario_comparison!D33</f>
        <v>1794076.0388066268</v>
      </c>
      <c r="E5" s="8">
        <f>Scenario_comparison!E5+Scenario_comparison!E19+Scenario_comparison!E33</f>
        <v>1818300.5651614198</v>
      </c>
      <c r="F5" s="8">
        <f>Scenario_comparison!F5+Scenario_comparison!F19+Scenario_comparison!F33</f>
        <v>1837304.3054330065</v>
      </c>
      <c r="G5" s="8">
        <f>Scenario_comparison!G5+Scenario_comparison!G19+Scenario_comparison!G33</f>
        <v>1851879.9099868336</v>
      </c>
      <c r="H5" s="8">
        <f>Scenario_comparison!H5+Scenario_comparison!H19+Scenario_comparison!H33</f>
        <v>1862810.2226386485</v>
      </c>
      <c r="I5" s="8">
        <f>Scenario_comparison!I5+Scenario_comparison!I19+Scenario_comparison!I33</f>
        <v>1870827.2327357936</v>
      </c>
      <c r="J5" s="8">
        <f>Scenario_comparison!J5+Scenario_comparison!J19+Scenario_comparison!J33</f>
        <v>1876580.0000249052</v>
      </c>
      <c r="K5" s="8">
        <f>Scenario_comparison!K5+Scenario_comparison!K19+Scenario_comparison!K33</f>
        <v>1880619.0079235304</v>
      </c>
      <c r="L5" s="8">
        <f>Scenario_comparison!L5+Scenario_comparison!L19+Scenario_comparison!L33</f>
        <v>1883393.5724678056</v>
      </c>
      <c r="M5" s="8">
        <f>Scenario_comparison!M5+Scenario_comparison!M19+Scenario_comparison!M33</f>
        <v>1885258.186845053</v>
      </c>
      <c r="N5" s="432">
        <f t="shared" si="0"/>
        <v>18561049.042023621</v>
      </c>
    </row>
    <row r="6" spans="1:16" ht="17" thickBot="1">
      <c r="A6" s="429" t="s">
        <v>7738</v>
      </c>
      <c r="B6" s="8" t="s">
        <v>7815</v>
      </c>
      <c r="C6" s="8" t="s">
        <v>7669</v>
      </c>
      <c r="D6" s="8">
        <f>Scenario_comparison!D6+Scenario_comparison!D20+Scenario_comparison!D34</f>
        <v>1794076.0388066268</v>
      </c>
      <c r="E6" s="8">
        <f>Scenario_comparison!E6+Scenario_comparison!E20+Scenario_comparison!E34</f>
        <v>1802397.3431942405</v>
      </c>
      <c r="F6" s="8">
        <f>Scenario_comparison!F6+Scenario_comparison!F20+Scenario_comparison!F34</f>
        <v>1794796.0776808688</v>
      </c>
      <c r="G6" s="8">
        <f>Scenario_comparison!G6+Scenario_comparison!G20+Scenario_comparison!G34</f>
        <v>1782871.6115013177</v>
      </c>
      <c r="H6" s="8">
        <f>Scenario_comparison!H6+Scenario_comparison!H20+Scenario_comparison!H34</f>
        <v>1773067.1803060102</v>
      </c>
      <c r="I6" s="8">
        <f>Scenario_comparison!I6+Scenario_comparison!I20+Scenario_comparison!I34</f>
        <v>1768809.3009045559</v>
      </c>
      <c r="J6" s="8">
        <f>Scenario_comparison!J6+Scenario_comparison!J20+Scenario_comparison!J34</f>
        <v>1771327.3729696821</v>
      </c>
      <c r="K6" s="8">
        <f>Scenario_comparison!K6+Scenario_comparison!K20+Scenario_comparison!K34</f>
        <v>1780389.443495959</v>
      </c>
      <c r="L6" s="8">
        <f>Scenario_comparison!L6+Scenario_comparison!L20+Scenario_comparison!L34</f>
        <v>1794925.2216157103</v>
      </c>
      <c r="M6" s="8">
        <f>Scenario_comparison!M6+Scenario_comparison!M20+Scenario_comparison!M34</f>
        <v>1813495.1799332681</v>
      </c>
      <c r="N6" s="432">
        <f t="shared" si="0"/>
        <v>17876154.770408239</v>
      </c>
      <c r="P6" s="428"/>
    </row>
    <row r="7" spans="1:16" ht="17" thickBot="1">
      <c r="A7" s="429" t="s">
        <v>7738</v>
      </c>
      <c r="B7" s="8" t="s">
        <v>7815</v>
      </c>
      <c r="C7" s="8" t="s">
        <v>7671</v>
      </c>
      <c r="D7" s="8">
        <f>Scenario_comparison!D7+Scenario_comparison!D21+Scenario_comparison!D35</f>
        <v>1713433.3158144949</v>
      </c>
      <c r="E7" s="8">
        <f>Scenario_comparison!E7+Scenario_comparison!E21+Scenario_comparison!E35</f>
        <v>1682933.963974942</v>
      </c>
      <c r="F7" s="8">
        <f>Scenario_comparison!F7+Scenario_comparison!F21+Scenario_comparison!F35</f>
        <v>1655421.0674765287</v>
      </c>
      <c r="G7" s="8">
        <f>Scenario_comparison!G7+Scenario_comparison!G21+Scenario_comparison!G35</f>
        <v>1636900.029485302</v>
      </c>
      <c r="H7" s="8">
        <f>Scenario_comparison!H7+Scenario_comparison!H21+Scenario_comparison!H35</f>
        <v>1629859.4197999456</v>
      </c>
      <c r="I7" s="8">
        <f>Scenario_comparison!I7+Scenario_comparison!I21+Scenario_comparison!I35</f>
        <v>1634437.4553769706</v>
      </c>
      <c r="J7" s="8">
        <f>Scenario_comparison!J7+Scenario_comparison!J21+Scenario_comparison!J35</f>
        <v>1649363.0902462779</v>
      </c>
      <c r="K7" s="8">
        <f>Scenario_comparison!K7+Scenario_comparison!K21+Scenario_comparison!K35</f>
        <v>1672667.8770302117</v>
      </c>
      <c r="L7" s="8">
        <f>Scenario_comparison!L7+Scenario_comparison!L21+Scenario_comparison!L35</f>
        <v>1702174.6175566856</v>
      </c>
      <c r="M7" s="8">
        <f>Scenario_comparison!M7+Scenario_comparison!M21+Scenario_comparison!M35</f>
        <v>1735801.3637657161</v>
      </c>
      <c r="N7" s="432">
        <f t="shared" si="0"/>
        <v>16712992.200527078</v>
      </c>
    </row>
    <row r="8" spans="1:16" ht="17" thickBot="1">
      <c r="A8" s="429" t="s">
        <v>7738</v>
      </c>
      <c r="B8" s="8" t="s">
        <v>7816</v>
      </c>
      <c r="C8" s="8" t="s">
        <v>7670</v>
      </c>
      <c r="D8" s="8">
        <f>Scenario_comparison!D8+Scenario_comparison!D22+Scenario_comparison!D36</f>
        <v>19405.911227927601</v>
      </c>
      <c r="E8" s="8">
        <f>Scenario_comparison!E8+Scenario_comparison!E22+Scenario_comparison!E36</f>
        <v>19405.911227927601</v>
      </c>
      <c r="F8" s="8">
        <f>Scenario_comparison!F8+Scenario_comparison!F22+Scenario_comparison!F36</f>
        <v>19405.911227927601</v>
      </c>
      <c r="G8" s="8">
        <f>Scenario_comparison!G8+Scenario_comparison!G22+Scenario_comparison!G36</f>
        <v>19405.911227927601</v>
      </c>
      <c r="H8" s="8">
        <f>Scenario_comparison!H8+Scenario_comparison!H22+Scenario_comparison!H36</f>
        <v>19405.911227927601</v>
      </c>
      <c r="I8" s="8">
        <f>Scenario_comparison!I8+Scenario_comparison!I22+Scenario_comparison!I36</f>
        <v>19405.911227927601</v>
      </c>
      <c r="J8" s="8">
        <f>Scenario_comparison!J8+Scenario_comparison!J22+Scenario_comparison!J36</f>
        <v>19405.911227927601</v>
      </c>
      <c r="K8" s="8">
        <f>Scenario_comparison!K8+Scenario_comparison!K22+Scenario_comparison!K36</f>
        <v>19405.911227927601</v>
      </c>
      <c r="L8" s="8">
        <f>Scenario_comparison!L8+Scenario_comparison!L22+Scenario_comparison!L36</f>
        <v>19405.911227927601</v>
      </c>
      <c r="M8" s="8">
        <f>Scenario_comparison!M8+Scenario_comparison!M22+Scenario_comparison!M36</f>
        <v>19405.911227927601</v>
      </c>
      <c r="N8" s="432">
        <f t="shared" si="0"/>
        <v>194059.11227927601</v>
      </c>
    </row>
    <row r="9" spans="1:16" ht="17" thickBot="1">
      <c r="A9" s="429" t="s">
        <v>7738</v>
      </c>
      <c r="B9" s="8" t="s">
        <v>7816</v>
      </c>
      <c r="C9" s="8" t="s">
        <v>7669</v>
      </c>
      <c r="D9" s="8">
        <f>Scenario_comparison!D10+Scenario_comparison!D24+Scenario_comparison!D38</f>
        <v>19405.911227927601</v>
      </c>
      <c r="E9" s="8">
        <f>Scenario_comparison!E10+Scenario_comparison!E24+Scenario_comparison!E38</f>
        <v>19103.703446727603</v>
      </c>
      <c r="F9" s="8">
        <f>Scenario_comparison!F10+Scenario_comparison!F24+Scenario_comparison!F38</f>
        <v>18601.146133827599</v>
      </c>
      <c r="G9" s="8">
        <f>Scenario_comparison!G10+Scenario_comparison!G24+Scenario_comparison!G38</f>
        <v>18104.743771927602</v>
      </c>
      <c r="H9" s="8">
        <f>Scenario_comparison!H10+Scenario_comparison!H24+Scenario_comparison!H38</f>
        <v>17717.349482427602</v>
      </c>
      <c r="I9" s="8">
        <f>Scenario_comparison!I10+Scenario_comparison!I24+Scenario_comparison!I38</f>
        <v>17481.099934227601</v>
      </c>
      <c r="J9" s="8">
        <f>Scenario_comparison!J10+Scenario_comparison!J24+Scenario_comparison!J38</f>
        <v>17396.905279527604</v>
      </c>
      <c r="K9" s="8">
        <f>Scenario_comparison!K10+Scenario_comparison!K24+Scenario_comparison!K38</f>
        <v>17441.544936227601</v>
      </c>
      <c r="L9" s="8">
        <f>Scenario_comparison!L10+Scenario_comparison!L24+Scenario_comparison!L38</f>
        <v>17581.2147533276</v>
      </c>
      <c r="M9" s="8">
        <f>Scenario_comparison!M10+Scenario_comparison!M24+Scenario_comparison!M38</f>
        <v>17780.810361427604</v>
      </c>
      <c r="N9" s="432">
        <f t="shared" si="0"/>
        <v>180614.42932757601</v>
      </c>
    </row>
    <row r="10" spans="1:16" ht="17" thickBot="1">
      <c r="A10" s="429" t="s">
        <v>7738</v>
      </c>
      <c r="B10" s="8" t="s">
        <v>7816</v>
      </c>
      <c r="C10" s="8" t="s">
        <v>7671</v>
      </c>
      <c r="D10" s="8">
        <f>Scenario_comparison!D12+Scenario_comparison!D26+Scenario_comp_summary!D40</f>
        <v>15580.787029582898</v>
      </c>
      <c r="E10" s="8">
        <f>Scenario_comparison!E12+Scenario_comparison!E26+Scenario_comp_summary!E40</f>
        <v>14705.114412982897</v>
      </c>
      <c r="F10" s="8">
        <f>Scenario_comparison!F12+Scenario_comparison!F26+Scenario_comp_summary!F40</f>
        <v>13970.452780982896</v>
      </c>
      <c r="G10" s="8">
        <f>Scenario_comparison!G12+Scenario_comparison!G26+Scenario_comp_summary!G40</f>
        <v>13452.120288382897</v>
      </c>
      <c r="H10" s="8">
        <f>Scenario_comparison!H12+Scenario_comparison!H26+Scenario_comp_summary!H40</f>
        <v>13167.996887482897</v>
      </c>
      <c r="I10" s="8">
        <f>Scenario_comparison!I12+Scenario_comparison!I26+Scenario_comp_summary!I40</f>
        <v>13099.300474282896</v>
      </c>
      <c r="J10" s="8">
        <f>Scenario_comparison!J12+Scenario_comparison!J26+Scenario_comp_summary!J40</f>
        <v>13207.539990882897</v>
      </c>
      <c r="K10" s="8">
        <f>Scenario_comparison!K12+Scenario_comparison!K26+Scenario_comp_summary!K40</f>
        <v>13446.871704482899</v>
      </c>
      <c r="L10" s="8">
        <f>Scenario_comparison!L12+Scenario_comparison!L26+Scenario_comp_summary!L40</f>
        <v>13772.188367482897</v>
      </c>
      <c r="M10" s="8">
        <f>Scenario_comparison!M12+Scenario_comparison!M26+Scenario_comp_summary!M40</f>
        <v>14143.798219882898</v>
      </c>
      <c r="N10" s="432">
        <f t="shared" si="0"/>
        <v>138546.17015642897</v>
      </c>
    </row>
    <row r="11" spans="1:16" ht="17" thickBot="1">
      <c r="A11" s="429" t="s">
        <v>7738</v>
      </c>
      <c r="B11" s="8" t="s">
        <v>7817</v>
      </c>
      <c r="C11" s="8" t="s">
        <v>7670</v>
      </c>
      <c r="D11" s="8">
        <f>Scenario_comparison!D9+Scenario_comparison!D23+Scenario_comparison!D37</f>
        <v>39528.746129617946</v>
      </c>
      <c r="E11" s="8">
        <f>Scenario_comparison!E9+Scenario_comparison!E23+Scenario_comparison!E37</f>
        <v>39528.746129617946</v>
      </c>
      <c r="F11" s="8">
        <f>Scenario_comparison!F9+Scenario_comparison!F23+Scenario_comparison!F37</f>
        <v>39528.746129617946</v>
      </c>
      <c r="G11" s="8">
        <f>Scenario_comparison!G9+Scenario_comparison!G23+Scenario_comparison!G37</f>
        <v>39528.746129617946</v>
      </c>
      <c r="H11" s="8">
        <f>Scenario_comparison!H9+Scenario_comparison!H23+Scenario_comparison!H37</f>
        <v>39528.746129617946</v>
      </c>
      <c r="I11" s="8">
        <f>Scenario_comparison!I9+Scenario_comparison!I23+Scenario_comparison!I37</f>
        <v>39528.746129617946</v>
      </c>
      <c r="J11" s="8">
        <f>Scenario_comparison!J9+Scenario_comparison!J23+Scenario_comparison!J37</f>
        <v>39528.746129617946</v>
      </c>
      <c r="K11" s="8">
        <f>Scenario_comparison!K9+Scenario_comparison!K23+Scenario_comparison!K37</f>
        <v>39528.746129617946</v>
      </c>
      <c r="L11" s="8">
        <f>Scenario_comparison!L9+Scenario_comparison!L23+Scenario_comparison!L37</f>
        <v>39528.746129617946</v>
      </c>
      <c r="M11" s="8">
        <f>Scenario_comparison!M9+Scenario_comparison!M23+Scenario_comparison!M37</f>
        <v>39528.746129617946</v>
      </c>
      <c r="N11" s="432">
        <f t="shared" si="0"/>
        <v>395287.46129617951</v>
      </c>
    </row>
    <row r="12" spans="1:16" ht="17" thickBot="1">
      <c r="A12" s="429" t="s">
        <v>7738</v>
      </c>
      <c r="B12" s="8" t="s">
        <v>7817</v>
      </c>
      <c r="C12" s="8" t="s">
        <v>7669</v>
      </c>
      <c r="D12" s="8">
        <f>Scenario_comparison!D11+Scenario_comparison!D25+Scenario_comparison!D39</f>
        <v>39528.746129617946</v>
      </c>
      <c r="E12" s="8">
        <f>Scenario_comparison!E11+Scenario_comparison!E25+Scenario_comparison!E39</f>
        <v>38922.711840817945</v>
      </c>
      <c r="F12" s="8">
        <f>Scenario_comparison!F11+Scenario_comparison!F25+Scenario_comparison!F39</f>
        <v>37911.366985617948</v>
      </c>
      <c r="G12" s="8">
        <f>Scenario_comparison!G11+Scenario_comparison!G25+Scenario_comparison!G39</f>
        <v>36906.184560417947</v>
      </c>
      <c r="H12" s="8">
        <f>Scenario_comparison!H11+Scenario_comparison!H25+Scenario_comparison!H39</f>
        <v>36113.711833717956</v>
      </c>
      <c r="I12" s="8">
        <f>Scenario_comparison!I11+Scenario_comparison!I25+Scenario_comparison!I39</f>
        <v>35620.955169517947</v>
      </c>
      <c r="J12" s="8">
        <f>Scenario_comparison!J11+Scenario_comparison!J25+Scenario_comparison!J39</f>
        <v>35433.180592517951</v>
      </c>
      <c r="K12" s="8">
        <f>Scenario_comparison!K11+Scenario_comparison!K25+Scenario_comparison!K39</f>
        <v>35506.985600917949</v>
      </c>
      <c r="L12" s="8">
        <f>Scenario_comparison!L11+Scenario_comparison!L25+Scenario_comparison!L39</f>
        <v>35776.702594417948</v>
      </c>
      <c r="M12" s="8">
        <f>Scenario_comparison!M11+Scenario_comparison!M25+Scenario_comparison!M39</f>
        <v>36172.761330617948</v>
      </c>
      <c r="N12" s="432">
        <f t="shared" si="0"/>
        <v>367893.30663817952</v>
      </c>
    </row>
    <row r="13" spans="1:16" ht="17" thickBot="1">
      <c r="A13" s="429" t="s">
        <v>7738</v>
      </c>
      <c r="B13" s="8" t="s">
        <v>7817</v>
      </c>
      <c r="C13" s="8" t="s">
        <v>7671</v>
      </c>
      <c r="D13" s="8">
        <f>Scenario_comparison!D13+Scenario_comparison!D27+Scenario_comparison!D41</f>
        <v>36257.656384717935</v>
      </c>
      <c r="E13" s="8">
        <f>Scenario_comparison!E13+Scenario_comparison!E27+Scenario_comparison!E41</f>
        <v>34182.59670191793</v>
      </c>
      <c r="F13" s="8">
        <f>Scenario_comparison!F13+Scenario_comparison!F27+Scenario_comparison!F41</f>
        <v>32427.47017211793</v>
      </c>
      <c r="G13" s="8">
        <f>Scenario_comparison!G13+Scenario_comparison!G27+Scenario_comparison!G41</f>
        <v>31170.984025117934</v>
      </c>
      <c r="H13" s="8">
        <f>Scenario_comparison!H13+Scenario_comparison!H27+Scenario_comparison!H41</f>
        <v>30456.315661617929</v>
      </c>
      <c r="I13" s="8">
        <f>Scenario_comparison!I13+Scenario_comparison!I27+Scenario_comparison!I41</f>
        <v>30240.106900817933</v>
      </c>
      <c r="J13" s="8">
        <f>Scenario_comparison!J13+Scenario_comparison!J27+Scenario_comparison!J41</f>
        <v>30432.576624217931</v>
      </c>
      <c r="K13" s="8">
        <f>Scenario_comparison!K13+Scenario_comparison!K27+Scenario_comparison!K41</f>
        <v>30926.984663217932</v>
      </c>
      <c r="L13" s="8">
        <f>Scenario_comparison!L13+Scenario_comparison!L27+Scenario_comparison!L41</f>
        <v>31618.903013217936</v>
      </c>
      <c r="M13" s="8">
        <f>Scenario_comparison!M13+Scenario_comparison!M27+Scenario_comparison!M41</f>
        <v>32417.198521817932</v>
      </c>
      <c r="N13" s="432">
        <f t="shared" si="0"/>
        <v>320130.79266877938</v>
      </c>
    </row>
    <row r="14" spans="1:16" ht="17" thickBot="1">
      <c r="A14" s="429" t="s">
        <v>7738</v>
      </c>
      <c r="B14" s="8" t="s">
        <v>7811</v>
      </c>
      <c r="C14" s="8" t="s">
        <v>7669</v>
      </c>
      <c r="D14" s="8">
        <f>Scenario_comparison!D14+Scenario_comparison!D28+Scenario_comparison!D42</f>
        <v>0</v>
      </c>
      <c r="E14" s="8">
        <f>Scenario_comparison!E14+Scenario_comparison!E28+Scenario_comparison!E42</f>
        <v>309623850</v>
      </c>
      <c r="F14" s="8">
        <f>Scenario_comparison!F14+Scenario_comparison!F28+Scenario_comparison!F42</f>
        <v>767804747.5</v>
      </c>
      <c r="G14" s="8">
        <f>Scenario_comparison!G14+Scenario_comparison!G28+Scenario_comparison!G42</f>
        <v>1143878550</v>
      </c>
      <c r="H14" s="8">
        <f>Scenario_comparison!H14+Scenario_comparison!H28+Scenario_comparison!H42</f>
        <v>1355088600</v>
      </c>
      <c r="I14" s="8">
        <f>Scenario_comparison!I14+Scenario_comparison!I28+Scenario_comparison!I42</f>
        <v>1400732080</v>
      </c>
      <c r="J14" s="8">
        <f>Scenario_comparison!J14+Scenario_comparison!J28+Scenario_comparison!J42</f>
        <v>1321059357.5</v>
      </c>
      <c r="K14" s="8">
        <f>Scenario_comparison!K14+Scenario_comparison!K28+Scenario_comparison!K42</f>
        <v>1166805785</v>
      </c>
      <c r="L14" s="8">
        <f>Scenario_comparison!L14+Scenario_comparison!L28+Scenario_comparison!L42</f>
        <v>981802855</v>
      </c>
      <c r="M14" s="311">
        <f>Scenario_comparison!M14+Scenario_comparison!M28+Scenario_comparison!M42</f>
        <v>796535072.5</v>
      </c>
      <c r="N14" s="432">
        <f t="shared" si="0"/>
        <v>9243330897.5</v>
      </c>
    </row>
    <row r="15" spans="1:16" ht="17" thickBot="1">
      <c r="A15" s="431" t="s">
        <v>7738</v>
      </c>
      <c r="B15" s="181" t="s">
        <v>7811</v>
      </c>
      <c r="C15" s="181" t="s">
        <v>7671</v>
      </c>
      <c r="D15" s="181">
        <f>Scenario_comparison!D15+Scenario_comparison!D29+Scenario_comparison!D43</f>
        <v>1539508592.5000036</v>
      </c>
      <c r="E15" s="181">
        <f>Scenario_comparison!E15+Scenario_comparison!E29+Scenario_comparison!E43</f>
        <v>2355941330.0000014</v>
      </c>
      <c r="F15" s="181">
        <f>Scenario_comparison!F15+Scenario_comparison!F29+Scenario_comparison!F43</f>
        <v>2903528042.5000014</v>
      </c>
      <c r="G15" s="181">
        <f>Scenario_comparison!G15+Scenario_comparison!G29+Scenario_comparison!G43</f>
        <v>3154578175.0000014</v>
      </c>
      <c r="H15" s="181">
        <f>Scenario_comparison!H15+Scenario_comparison!H29+Scenario_comparison!H43</f>
        <v>3157703622.5000014</v>
      </c>
      <c r="I15" s="181">
        <f>Scenario_comparison!I15+Scenario_comparison!I29+Scenario_comparison!I43</f>
        <v>2989856280.0000014</v>
      </c>
      <c r="J15" s="181">
        <f>Scenario_comparison!J15+Scenario_comparison!J29+Scenario_comparison!J43</f>
        <v>2726121710.0000014</v>
      </c>
      <c r="K15" s="181">
        <f>Scenario_comparison!K15+Scenario_comparison!K29+Scenario_comparison!K43</f>
        <v>2425424252.5000014</v>
      </c>
      <c r="L15" s="181">
        <f>Scenario_comparison!L15+Scenario_comparison!L29+Scenario_comparison!L43</f>
        <v>2127225612.5000014</v>
      </c>
      <c r="M15" s="181">
        <f>Scenario_comparison!M15+Scenario_comparison!M29+Scenario_comparison!M43</f>
        <v>1854060967.5000014</v>
      </c>
      <c r="N15" s="432">
        <f t="shared" ref="N15" si="1">SUM(D15:M15)</f>
        <v>25233948585.000011</v>
      </c>
    </row>
    <row r="17" spans="14:15">
      <c r="O17" s="5"/>
    </row>
    <row r="20" spans="14:15">
      <c r="N20" s="45"/>
    </row>
    <row r="21" spans="14:15">
      <c r="N21" s="45"/>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29470-CE6E-334C-A2F7-2B8AABD99AA8}">
  <dimension ref="A1:AF189"/>
  <sheetViews>
    <sheetView zoomScale="60" zoomScaleNormal="60" workbookViewId="0">
      <pane xSplit="2" ySplit="2" topLeftCell="J3" activePane="bottomRight" state="frozen"/>
      <selection pane="topRight" activeCell="C1" sqref="C1"/>
      <selection pane="bottomLeft" activeCell="A3" sqref="A3"/>
      <selection pane="bottomRight" activeCell="M51" sqref="M51"/>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2" t="s">
        <v>175</v>
      </c>
      <c r="C2" s="213">
        <v>2007</v>
      </c>
      <c r="D2" s="213">
        <v>2008</v>
      </c>
      <c r="E2" s="213">
        <v>2009</v>
      </c>
      <c r="F2" s="213">
        <v>2010</v>
      </c>
      <c r="G2" s="213">
        <v>2011</v>
      </c>
      <c r="H2" s="213">
        <v>2012</v>
      </c>
      <c r="I2" s="213">
        <v>2013</v>
      </c>
      <c r="J2" s="213">
        <v>2014</v>
      </c>
      <c r="K2" s="213">
        <v>2015</v>
      </c>
      <c r="L2" s="213">
        <v>2016</v>
      </c>
      <c r="M2" s="213">
        <v>2017</v>
      </c>
      <c r="N2" s="213">
        <v>2018</v>
      </c>
      <c r="O2" s="213">
        <v>2019</v>
      </c>
      <c r="P2" s="213">
        <v>2020</v>
      </c>
      <c r="Q2" s="213">
        <v>2021</v>
      </c>
      <c r="R2" s="213">
        <v>2022</v>
      </c>
      <c r="S2" s="213">
        <v>2023</v>
      </c>
      <c r="T2" s="213">
        <v>2024</v>
      </c>
      <c r="U2" s="213">
        <v>2025</v>
      </c>
      <c r="V2" s="213">
        <v>2026</v>
      </c>
      <c r="W2" s="213">
        <v>2027</v>
      </c>
      <c r="X2" s="213">
        <v>2028</v>
      </c>
      <c r="Y2" s="213">
        <v>2029</v>
      </c>
      <c r="Z2" s="213">
        <v>2030</v>
      </c>
      <c r="AA2" s="213">
        <v>2031</v>
      </c>
      <c r="AB2" s="213">
        <v>2032</v>
      </c>
    </row>
    <row r="3" spans="1:28" ht="17" thickTop="1"/>
    <row r="4" spans="1:28" ht="26">
      <c r="A4" s="292" t="s">
        <v>7791</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16900001.359999999</v>
      </c>
      <c r="D5" s="47">
        <f t="shared" ref="D5:AB5" si="0">C5+D38-D67</f>
        <v>30896350.399999999</v>
      </c>
      <c r="E5" s="47">
        <f t="shared" si="0"/>
        <v>42101839.119999997</v>
      </c>
      <c r="F5" s="47">
        <f t="shared" si="0"/>
        <v>50669785.879999995</v>
      </c>
      <c r="G5" s="47">
        <f t="shared" si="0"/>
        <v>53957904.119999997</v>
      </c>
      <c r="H5" s="47">
        <f t="shared" si="0"/>
        <v>59169437.960000008</v>
      </c>
      <c r="I5" s="47">
        <f t="shared" si="0"/>
        <v>66673071.24000001</v>
      </c>
      <c r="J5" s="47">
        <f t="shared" si="0"/>
        <v>71894193.008571446</v>
      </c>
      <c r="K5" s="47">
        <f t="shared" si="0"/>
        <v>76465721.10857144</v>
      </c>
      <c r="L5" s="47">
        <f t="shared" si="0"/>
        <v>79767540.525714293</v>
      </c>
      <c r="M5" s="47">
        <f t="shared" si="0"/>
        <v>78765012.391428575</v>
      </c>
      <c r="N5" s="47">
        <f t="shared" si="0"/>
        <v>78805369.134285718</v>
      </c>
      <c r="O5" s="47">
        <f t="shared" si="0"/>
        <v>78859847.241428584</v>
      </c>
      <c r="P5" s="47">
        <f t="shared" si="0"/>
        <v>80106348.341428578</v>
      </c>
      <c r="Q5" s="47">
        <f t="shared" si="0"/>
        <v>81083497.031428576</v>
      </c>
      <c r="R5" s="47">
        <f t="shared" si="0"/>
        <v>81841808.721428573</v>
      </c>
      <c r="S5" s="47">
        <f t="shared" si="0"/>
        <v>82387269.411428571</v>
      </c>
      <c r="T5" s="47">
        <f t="shared" si="0"/>
        <v>82754166.101428568</v>
      </c>
      <c r="U5" s="47">
        <f t="shared" si="0"/>
        <v>82986480.791428566</v>
      </c>
      <c r="V5" s="47">
        <f t="shared" si="0"/>
        <v>83125656.481428564</v>
      </c>
      <c r="W5" s="47">
        <f t="shared" si="0"/>
        <v>83204863.171428561</v>
      </c>
      <c r="X5" s="47">
        <f t="shared" si="0"/>
        <v>83247827.861428559</v>
      </c>
      <c r="Y5" s="47">
        <f t="shared" si="0"/>
        <v>83270101.551428556</v>
      </c>
      <c r="Z5" s="47">
        <f t="shared" si="0"/>
        <v>83281163.241428554</v>
      </c>
      <c r="AA5" s="47">
        <f t="shared" si="0"/>
        <v>83286436.931428552</v>
      </c>
      <c r="AB5" s="47">
        <f t="shared" si="0"/>
        <v>83288854.621428549</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7762</v>
      </c>
      <c r="B7" s="7">
        <v>2007</v>
      </c>
      <c r="C7" s="83">
        <f>$C$38*Product_lifespan!B24</f>
        <v>16900001.359999999</v>
      </c>
      <c r="D7" s="83">
        <f>$C$38*Product_lifespan!C24</f>
        <v>14896799.030635754</v>
      </c>
      <c r="E7" s="83">
        <f>$C$38*Product_lifespan!D24</f>
        <v>11649979.767266605</v>
      </c>
      <c r="F7" s="83">
        <f>$C$38*Product_lifespan!E24</f>
        <v>8390153.9679797478</v>
      </c>
      <c r="G7" s="83">
        <f>$C$38*Product_lifespan!F24</f>
        <v>5643080.4974977039</v>
      </c>
      <c r="H7" s="83">
        <f>$C$38*Product_lifespan!G24</f>
        <v>3574088.9438018613</v>
      </c>
      <c r="I7" s="83">
        <f>$C$38*Product_lifespan!H24</f>
        <v>2143811.7153358618</v>
      </c>
      <c r="J7" s="83">
        <f>$C$38*Product_lifespan!I24</f>
        <v>1222970.0900893798</v>
      </c>
      <c r="K7" s="83">
        <f>$C$38*Product_lifespan!J24</f>
        <v>665717.58425898873</v>
      </c>
      <c r="L7" s="83">
        <f>$C$38*Product_lifespan!K24</f>
        <v>346717.36159323069</v>
      </c>
      <c r="M7" s="83">
        <f>$C$38*Product_lifespan!L24</f>
        <v>173158.89574638041</v>
      </c>
      <c r="N7" s="83">
        <f>$C$38*Product_lifespan!M24</f>
        <v>83085.465811483533</v>
      </c>
      <c r="O7" s="83">
        <f>$C$38*Product_lifespan!N24</f>
        <v>38364.719865919615</v>
      </c>
      <c r="P7" s="83">
        <f>$C$38*Product_lifespan!O24</f>
        <v>17072.342664937754</v>
      </c>
      <c r="Q7" s="83">
        <f>$C$38*Product_lifespan!P24</f>
        <v>7331.0207046344212</v>
      </c>
      <c r="R7" s="83">
        <f>$C$38*Product_lifespan!Q24</f>
        <v>3041.1902959391773</v>
      </c>
      <c r="S7" s="83">
        <f>$C$38*Product_lifespan!R24</f>
        <v>1220.0548398241492</v>
      </c>
      <c r="T7" s="83">
        <f>$C$38*Product_lifespan!S24</f>
        <v>473.78280632317092</v>
      </c>
      <c r="U7" s="83">
        <f>$C$38*Product_lifespan!T24</f>
        <v>178.24437707020147</v>
      </c>
      <c r="V7" s="83">
        <f>$C$38*Product_lifespan!U24</f>
        <v>65.017620836787998</v>
      </c>
      <c r="W7" s="83">
        <f>$C$38*Product_lifespan!V24</f>
        <v>23.011278033301007</v>
      </c>
      <c r="X7" s="83">
        <f>$C$38*Product_lifespan!W24</f>
        <v>7.9074688135779434</v>
      </c>
      <c r="Y7" s="83">
        <f>$C$38*Product_lifespan!X24</f>
        <v>2.6399372482090095</v>
      </c>
      <c r="Z7" s="83">
        <f>$C$38*Product_lifespan!Y24</f>
        <v>0.85676812513696443</v>
      </c>
      <c r="AA7" s="83">
        <f>$C$38*Product_lifespan!Z24</f>
        <v>0.27044855340017476</v>
      </c>
      <c r="AB7" s="83">
        <f>$C$38*Product_lifespan!AA24</f>
        <v>8.3077095926761574E-2</v>
      </c>
    </row>
    <row r="8" spans="1:28">
      <c r="A8" s="1"/>
      <c r="B8" s="7">
        <v>2008</v>
      </c>
      <c r="C8" s="83"/>
      <c r="D8" s="83">
        <f>$D$38*Product_lifespan!B24</f>
        <v>15999551.039999999</v>
      </c>
      <c r="E8" s="83">
        <f>$D$38*Product_lifespan!C24</f>
        <v>14103081.493673872</v>
      </c>
      <c r="F8" s="83">
        <f>$D$38*Product_lifespan!D24</f>
        <v>11029256.266364548</v>
      </c>
      <c r="G8" s="83">
        <f>$D$38*Product_lifespan!E24</f>
        <v>7943117.5054148333</v>
      </c>
      <c r="H8" s="83">
        <f>$D$38*Product_lifespan!F24</f>
        <v>5342411.075554085</v>
      </c>
      <c r="I8" s="83">
        <f>$D$38*Product_lifespan!G24</f>
        <v>3383657.6258037398</v>
      </c>
      <c r="J8" s="83">
        <f>$D$38*Product_lifespan!H24</f>
        <v>2029587.1123921655</v>
      </c>
      <c r="K8" s="83">
        <f>$D$38*Product_lifespan!I24</f>
        <v>1157808.9232046327</v>
      </c>
      <c r="L8" s="83">
        <f>$D$38*Product_lifespan!J24</f>
        <v>630247.43257045455</v>
      </c>
      <c r="M8" s="83">
        <f>$D$38*Product_lifespan!K24</f>
        <v>328243.88620433991</v>
      </c>
      <c r="N8" s="83">
        <f>$D$38*Product_lifespan!L24</f>
        <v>163932.80281512666</v>
      </c>
      <c r="O8" s="83">
        <f>$D$38*Product_lifespan!M24</f>
        <v>78658.582482682454</v>
      </c>
      <c r="P8" s="83">
        <f>$D$38*Product_lifespan!N24</f>
        <v>36320.606167695769</v>
      </c>
      <c r="Q8" s="83">
        <f>$D$38*Product_lifespan!O24</f>
        <v>16162.709814127567</v>
      </c>
      <c r="R8" s="83">
        <f>$D$38*Product_lifespan!P24</f>
        <v>6940.4160059248179</v>
      </c>
      <c r="S8" s="83">
        <f>$D$38*Product_lifespan!Q24</f>
        <v>2879.1523932890127</v>
      </c>
      <c r="T8" s="83">
        <f>$D$38*Product_lifespan!R24</f>
        <v>1155.0490006212342</v>
      </c>
      <c r="U8" s="83">
        <f>$D$38*Product_lifespan!S24</f>
        <v>448.53914684193893</v>
      </c>
      <c r="V8" s="83">
        <f>$D$38*Product_lifespan!T24</f>
        <v>168.74732420303746</v>
      </c>
      <c r="W8" s="83">
        <f>$D$38*Product_lifespan!U24</f>
        <v>61.553411796740647</v>
      </c>
      <c r="X8" s="83">
        <f>$D$38*Product_lifespan!V24</f>
        <v>21.78521229358234</v>
      </c>
      <c r="Y8" s="83">
        <f>$D$38*Product_lifespan!W24</f>
        <v>7.4861503372120763</v>
      </c>
      <c r="Z8" s="83">
        <f>$D$38*Product_lifespan!X24</f>
        <v>2.4992785411892533</v>
      </c>
      <c r="AA8" s="83">
        <f>$D$38*Product_lifespan!Y24</f>
        <v>0.8111185943463125</v>
      </c>
      <c r="AB8" s="83">
        <f>$D$38*Product_lifespan!Z24</f>
        <v>0.25603876246198487</v>
      </c>
    </row>
    <row r="9" spans="1:28">
      <c r="A9" s="1"/>
      <c r="B9" s="7">
        <v>2009</v>
      </c>
      <c r="C9" s="83"/>
      <c r="D9" s="83"/>
      <c r="E9" s="83">
        <f>$E$38*Product_lifespan!B24</f>
        <v>16348777.720000001</v>
      </c>
      <c r="F9" s="83">
        <f>$E$38*Product_lifespan!C24</f>
        <v>14410913.401925042</v>
      </c>
      <c r="G9" s="83">
        <f>$E$38*Product_lifespan!D24</f>
        <v>11269994.930789704</v>
      </c>
      <c r="H9" s="83">
        <f>$E$38*Product_lifespan!E24</f>
        <v>8116494.1550677419</v>
      </c>
      <c r="I9" s="83">
        <f>$E$38*Product_lifespan!F24</f>
        <v>5459021.3778336039</v>
      </c>
      <c r="J9" s="83">
        <f>$E$38*Product_lifespan!G24</f>
        <v>3457513.6681365455</v>
      </c>
      <c r="K9" s="83">
        <f>$E$38*Product_lifespan!H24</f>
        <v>2073887.4785249082</v>
      </c>
      <c r="L9" s="83">
        <f>$E$38*Product_lifespan!I24</f>
        <v>1183080.7427272091</v>
      </c>
      <c r="M9" s="83">
        <f>$E$38*Product_lifespan!J24</f>
        <v>644004.01973373443</v>
      </c>
      <c r="N9" s="83">
        <f>$E$38*Product_lifespan!K24</f>
        <v>335408.55740810389</v>
      </c>
      <c r="O9" s="83">
        <f>$E$38*Product_lifespan!L24</f>
        <v>167511.00999900908</v>
      </c>
      <c r="P9" s="83">
        <f>$E$38*Product_lifespan!M24</f>
        <v>80375.48538484874</v>
      </c>
      <c r="Q9" s="83">
        <f>$E$38*Product_lifespan!N24</f>
        <v>37113.386207324431</v>
      </c>
      <c r="R9" s="83">
        <f>$E$38*Product_lifespan!O24</f>
        <v>16515.497806370578</v>
      </c>
      <c r="S9" s="83">
        <f>$E$38*Product_lifespan!P24</f>
        <v>7091.9064092185336</v>
      </c>
      <c r="T9" s="83">
        <f>$E$38*Product_lifespan!Q24</f>
        <v>2941.9964586636361</v>
      </c>
      <c r="U9" s="83">
        <f>$E$38*Product_lifespan!R24</f>
        <v>1180.2605785408778</v>
      </c>
      <c r="V9" s="83">
        <f>$E$38*Product_lifespan!S24</f>
        <v>458.32953637912209</v>
      </c>
      <c r="W9" s="83">
        <f>$E$38*Product_lifespan!T24</f>
        <v>172.43061929319211</v>
      </c>
      <c r="X9" s="83">
        <f>$E$38*Product_lifespan!U24</f>
        <v>62.896955349350776</v>
      </c>
      <c r="Y9" s="83">
        <f>$E$38*Product_lifespan!V24</f>
        <v>22.260724221595979</v>
      </c>
      <c r="Z9" s="83">
        <f>$E$38*Product_lifespan!W24</f>
        <v>7.6495526365459368</v>
      </c>
      <c r="AA9" s="83">
        <f>$E$38*Product_lifespan!X24</f>
        <v>2.5538309936394921</v>
      </c>
      <c r="AB9" s="83">
        <f>$E$38*Product_lifespan!Y24</f>
        <v>0.82882310699680195</v>
      </c>
    </row>
    <row r="10" spans="1:28">
      <c r="A10" s="1"/>
      <c r="B10" s="7">
        <v>2010</v>
      </c>
      <c r="C10" s="83"/>
      <c r="D10" s="83"/>
      <c r="E10" s="83"/>
      <c r="F10" s="83">
        <f>$F$38*Product_lifespan!B24</f>
        <v>16839461.760000002</v>
      </c>
      <c r="G10" s="83">
        <f>$F$38*Product_lifespan!C24</f>
        <v>14843435.351226261</v>
      </c>
      <c r="H10" s="83">
        <f>$F$38*Product_lifespan!D24</f>
        <v>11608246.923576564</v>
      </c>
      <c r="I10" s="83">
        <f>$F$38*Product_lifespan!E24</f>
        <v>8360098.5523416102</v>
      </c>
      <c r="J10" s="83">
        <f>$F$38*Product_lifespan!F24</f>
        <v>5622865.7159240823</v>
      </c>
      <c r="K10" s="83">
        <f>$F$38*Product_lifespan!G24</f>
        <v>3561285.7545941784</v>
      </c>
      <c r="L10" s="83">
        <f>$F$38*Product_lifespan!H24</f>
        <v>2136132.1003490295</v>
      </c>
      <c r="M10" s="83">
        <f>$F$38*Product_lifespan!I24</f>
        <v>1218589.1365918722</v>
      </c>
      <c r="N10" s="83">
        <f>$F$38*Product_lifespan!J24</f>
        <v>663332.83437610441</v>
      </c>
      <c r="O10" s="83">
        <f>$F$38*Product_lifespan!K24</f>
        <v>345475.34214383649</v>
      </c>
      <c r="P10" s="83">
        <f>$F$38*Product_lifespan!L24</f>
        <v>172538.60169659773</v>
      </c>
      <c r="Q10" s="83">
        <f>$F$38*Product_lifespan!M24</f>
        <v>82787.835014959099</v>
      </c>
      <c r="R10" s="83">
        <f>$F$38*Product_lifespan!N24</f>
        <v>38227.288824032723</v>
      </c>
      <c r="S10" s="83">
        <f>$F$38*Product_lifespan!O24</f>
        <v>17011.185699681853</v>
      </c>
      <c r="T10" s="83">
        <f>$F$38*Product_lifespan!P24</f>
        <v>7304.759342188574</v>
      </c>
      <c r="U10" s="83">
        <f>$F$38*Product_lifespan!Q24</f>
        <v>3030.2960693578821</v>
      </c>
      <c r="V10" s="83">
        <f>$F$38*Product_lifespan!R24</f>
        <v>1215.6843294077514</v>
      </c>
      <c r="W10" s="83">
        <f>$F$38*Product_lifespan!S24</f>
        <v>472.08560991645533</v>
      </c>
      <c r="X10" s="83">
        <f>$F$38*Product_lifespan!T24</f>
        <v>177.60586568430185</v>
      </c>
      <c r="Y10" s="83">
        <f>$F$38*Product_lifespan!U24</f>
        <v>64.784713118346801</v>
      </c>
      <c r="Z10" s="83">
        <f>$F$38*Product_lifespan!V24</f>
        <v>22.928846467885752</v>
      </c>
      <c r="AA10" s="83">
        <f>$F$38*Product_lifespan!W24</f>
        <v>7.8791424845564837</v>
      </c>
      <c r="AB10" s="83">
        <f>$F$38*Product_lifespan!X24</f>
        <v>2.6304804001515922</v>
      </c>
    </row>
    <row r="11" spans="1:28">
      <c r="A11" s="1"/>
      <c r="B11" s="7">
        <v>2011</v>
      </c>
      <c r="C11" s="83"/>
      <c r="D11" s="83"/>
      <c r="E11" s="83"/>
      <c r="F11" s="83"/>
      <c r="G11" s="83">
        <f>$G$38*Product_lifespan!B24</f>
        <v>14258275.240000002</v>
      </c>
      <c r="H11" s="83">
        <f>$G$38*Product_lifespan!C24</f>
        <v>12568203.76810726</v>
      </c>
      <c r="I11" s="83">
        <f>$G$38*Product_lifespan!D24</f>
        <v>9828911.5204022937</v>
      </c>
      <c r="J11" s="83">
        <f>$G$38*Product_lifespan!E24</f>
        <v>7078645.8552943813</v>
      </c>
      <c r="K11" s="83">
        <f>$G$38*Product_lifespan!F24</f>
        <v>4760981.5656723948</v>
      </c>
      <c r="L11" s="83">
        <f>$G$38*Product_lifespan!G24</f>
        <v>3015404.7214211491</v>
      </c>
      <c r="M11" s="83">
        <f>$G$38*Product_lifespan!H24</f>
        <v>1808701.4816663454</v>
      </c>
      <c r="N11" s="83">
        <f>$G$38*Product_lifespan!I24</f>
        <v>1031801.3462445056</v>
      </c>
      <c r="O11" s="83">
        <f>$G$38*Product_lifespan!J24</f>
        <v>561655.84524382278</v>
      </c>
      <c r="P11" s="83">
        <f>$G$38*Product_lifespan!K24</f>
        <v>292520.18782576529</v>
      </c>
      <c r="Q11" s="83">
        <f>$G$38*Product_lifespan!L24</f>
        <v>146091.53829123464</v>
      </c>
      <c r="R11" s="83">
        <f>$G$38*Product_lifespan!M24</f>
        <v>70097.949387605389</v>
      </c>
      <c r="S11" s="83">
        <f>$G$38*Product_lifespan!N24</f>
        <v>32367.73321500951</v>
      </c>
      <c r="T11" s="83">
        <f>$G$38*Product_lifespan!O24</f>
        <v>14403.676989306328</v>
      </c>
      <c r="U11" s="83">
        <f>$G$38*Product_lifespan!P24</f>
        <v>6185.0711588828144</v>
      </c>
      <c r="V11" s="83">
        <f>$G$38*Product_lifespan!Q24</f>
        <v>2565.8062016107347</v>
      </c>
      <c r="W11" s="83">
        <f>$G$38*Product_lifespan!R24</f>
        <v>1029.341793739763</v>
      </c>
      <c r="X11" s="83">
        <f>$G$38*Product_lifespan!S24</f>
        <v>399.72337946222416</v>
      </c>
      <c r="Y11" s="83">
        <f>$G$38*Product_lifespan!T24</f>
        <v>150.38208187749387</v>
      </c>
      <c r="Z11" s="83">
        <f>$G$38*Product_lifespan!U24</f>
        <v>54.854382173900753</v>
      </c>
      <c r="AA11" s="83">
        <f>$G$38*Product_lifespan!V24</f>
        <v>19.414266829560287</v>
      </c>
      <c r="AB11" s="83">
        <f>$G$38*Product_lifespan!W24</f>
        <v>6.6714116995615784</v>
      </c>
    </row>
    <row r="12" spans="1:28">
      <c r="A12" s="1"/>
      <c r="B12" s="7">
        <v>2012</v>
      </c>
      <c r="C12" s="83"/>
      <c r="D12" s="83"/>
      <c r="E12" s="83"/>
      <c r="F12" s="83"/>
      <c r="G12" s="83"/>
      <c r="H12" s="83">
        <f>$H$38*Product_lifespan!B24</f>
        <v>17959992.840000004</v>
      </c>
      <c r="I12" s="83">
        <f>$H$38*Product_lifespan!C24</f>
        <v>15831146.88750162</v>
      </c>
      <c r="J12" s="83">
        <f>$H$38*Product_lifespan!D24</f>
        <v>12380682.625356495</v>
      </c>
      <c r="K12" s="83">
        <f>$H$38*Product_lifespan!E24</f>
        <v>8916396.0393559337</v>
      </c>
      <c r="L12" s="83">
        <f>$H$38*Product_lifespan!F24</f>
        <v>5997022.3180267494</v>
      </c>
      <c r="M12" s="83">
        <f>$H$38*Product_lifespan!G24</f>
        <v>3798260.7499745553</v>
      </c>
      <c r="N12" s="83">
        <f>$H$38*Product_lifespan!H24</f>
        <v>2278274.5538039533</v>
      </c>
      <c r="O12" s="83">
        <f>$H$38*Product_lifespan!I24</f>
        <v>1299676.4670993742</v>
      </c>
      <c r="P12" s="83">
        <f>$H$38*Product_lifespan!J24</f>
        <v>707472.3126977036</v>
      </c>
      <c r="Q12" s="83">
        <f>$H$38*Product_lifespan!K24</f>
        <v>368463.95447379514</v>
      </c>
      <c r="R12" s="83">
        <f>$H$38*Product_lifespan!L24</f>
        <v>184019.6613917491</v>
      </c>
      <c r="S12" s="83">
        <f>$H$38*Product_lifespan!M24</f>
        <v>88296.70124253229</v>
      </c>
      <c r="T12" s="83">
        <f>$H$38*Product_lifespan!N24</f>
        <v>40771.008204257465</v>
      </c>
      <c r="U12" s="83">
        <f>$H$38*Product_lifespan!O24</f>
        <v>18143.143630155821</v>
      </c>
      <c r="V12" s="83">
        <f>$H$38*Product_lifespan!P24</f>
        <v>7790.8324715735998</v>
      </c>
      <c r="W12" s="83">
        <f>$H$38*Product_lifespan!Q24</f>
        <v>3231.9379612254133</v>
      </c>
      <c r="X12" s="83">
        <f>$H$38*Product_lifespan!R24</f>
        <v>1296.5783683019224</v>
      </c>
      <c r="Y12" s="83">
        <f>$H$38*Product_lifespan!S24</f>
        <v>503.49911979410979</v>
      </c>
      <c r="Z12" s="83">
        <f>$H$38*Product_lifespan!T24</f>
        <v>189.42411114404072</v>
      </c>
      <c r="AA12" s="83">
        <f>$H$38*Product_lifespan!U24</f>
        <v>69.09561601967512</v>
      </c>
      <c r="AB12" s="83">
        <f>$H$38*Product_lifespan!V24</f>
        <v>24.454577246101209</v>
      </c>
    </row>
    <row r="13" spans="1:28">
      <c r="A13" s="1"/>
      <c r="B13" s="7">
        <v>2013</v>
      </c>
      <c r="C13" s="83"/>
      <c r="D13" s="83"/>
      <c r="E13" s="83"/>
      <c r="F13" s="83"/>
      <c r="G13" s="83"/>
      <c r="H13" s="83"/>
      <c r="I13" s="83">
        <f>$I$38*Product_lifespan!B24</f>
        <v>21666423.280000001</v>
      </c>
      <c r="J13" s="83">
        <f>$I$38*Product_lifespan!C24</f>
        <v>19098244.221374899</v>
      </c>
      <c r="K13" s="83">
        <f>$I$38*Product_lifespan!D24</f>
        <v>14935702.516478034</v>
      </c>
      <c r="L13" s="83">
        <f>$I$38*Product_lifespan!E24</f>
        <v>10756485.954189343</v>
      </c>
      <c r="M13" s="83">
        <f>$I$38*Product_lifespan!F24</f>
        <v>7234636.7350764666</v>
      </c>
      <c r="N13" s="83">
        <f>$I$38*Product_lifespan!G24</f>
        <v>4582113.4713079846</v>
      </c>
      <c r="O13" s="83">
        <f>$I$38*Product_lifespan!H24</f>
        <v>2748445.4626747826</v>
      </c>
      <c r="P13" s="83">
        <f>$I$38*Product_lifespan!I24</f>
        <v>1567892.6330368198</v>
      </c>
      <c r="Q13" s="83">
        <f>$I$38*Product_lifespan!J24</f>
        <v>853474.42631769797</v>
      </c>
      <c r="R13" s="83">
        <f>$I$38*Product_lifespan!K24</f>
        <v>444504.40889217489</v>
      </c>
      <c r="S13" s="83">
        <f>$I$38*Product_lifespan!L24</f>
        <v>221996.07266413083</v>
      </c>
      <c r="T13" s="83">
        <f>$I$38*Product_lifespan!M24</f>
        <v>106518.62282971857</v>
      </c>
      <c r="U13" s="83">
        <f>$I$38*Product_lifespan!N24</f>
        <v>49184.981819057044</v>
      </c>
      <c r="V13" s="83">
        <f>$I$38*Product_lifespan!O24</f>
        <v>21887.371171178689</v>
      </c>
      <c r="W13" s="83">
        <f>$I$38*Product_lifespan!P24</f>
        <v>9398.6381585151103</v>
      </c>
      <c r="X13" s="83">
        <f>$I$38*Product_lifespan!Q24</f>
        <v>3898.9178061726902</v>
      </c>
      <c r="Y13" s="83">
        <f>$I$38*Product_lifespan!R24</f>
        <v>1564.1551749817504</v>
      </c>
      <c r="Z13" s="83">
        <f>$I$38*Product_lifespan!S24</f>
        <v>607.40698216038982</v>
      </c>
      <c r="AA13" s="83">
        <f>$I$38*Product_lifespan!T24</f>
        <v>228.51584675155976</v>
      </c>
      <c r="AB13" s="83">
        <f>$I$38*Product_lifespan!U24</f>
        <v>83.354981085539777</v>
      </c>
    </row>
    <row r="14" spans="1:28">
      <c r="A14" s="1"/>
      <c r="B14" s="7">
        <v>2014</v>
      </c>
      <c r="C14" s="83"/>
      <c r="D14" s="83"/>
      <c r="E14" s="83"/>
      <c r="F14" s="83"/>
      <c r="G14" s="83"/>
      <c r="H14" s="83"/>
      <c r="I14" s="83"/>
      <c r="J14" s="83">
        <f>$J$38*Product_lifespan!B24</f>
        <v>21003683.768571429</v>
      </c>
      <c r="K14" s="83">
        <f>$J$38*Product_lifespan!C24</f>
        <v>18514060.995521411</v>
      </c>
      <c r="L14" s="83">
        <f>$J$38*Product_lifespan!D24</f>
        <v>14478844.45270383</v>
      </c>
      <c r="M14" s="83">
        <f>$J$38*Product_lifespan!E24</f>
        <v>10427463.108385891</v>
      </c>
      <c r="N14" s="83">
        <f>$J$38*Product_lifespan!F24</f>
        <v>7013341.3438988328</v>
      </c>
      <c r="O14" s="83">
        <f>$J$38*Product_lifespan!G24</f>
        <v>4441954.313331591</v>
      </c>
      <c r="P14" s="83">
        <f>$J$38*Product_lifespan!H24</f>
        <v>2664375.1304569785</v>
      </c>
      <c r="Q14" s="83">
        <f>$J$38*Product_lifespan!I24</f>
        <v>1519933.4297958093</v>
      </c>
      <c r="R14" s="83">
        <f>$J$38*Product_lifespan!J24</f>
        <v>827368.07655222015</v>
      </c>
      <c r="S14" s="83">
        <f>$J$38*Product_lifespan!K24</f>
        <v>430907.76532207633</v>
      </c>
      <c r="T14" s="83">
        <f>$J$38*Product_lifespan!L24</f>
        <v>215205.58552026073</v>
      </c>
      <c r="U14" s="83">
        <f>$J$38*Product_lifespan!M24</f>
        <v>103260.39699613687</v>
      </c>
      <c r="V14" s="83">
        <f>$J$38*Product_lifespan!N24</f>
        <v>47680.495804031445</v>
      </c>
      <c r="W14" s="83">
        <f>$J$38*Product_lifespan!O24</f>
        <v>21217.873234718048</v>
      </c>
      <c r="X14" s="83">
        <f>$J$38*Product_lifespan!P24</f>
        <v>9111.1495970312208</v>
      </c>
      <c r="Y14" s="83">
        <f>$J$38*Product_lifespan!Q24</f>
        <v>3779.656456545672</v>
      </c>
      <c r="Z14" s="83">
        <f>$J$38*Product_lifespan!R24</f>
        <v>1516.3102943076626</v>
      </c>
      <c r="AA14" s="83">
        <f>$J$38*Product_lifespan!S24</f>
        <v>588.82742237827881</v>
      </c>
      <c r="AB14" s="83">
        <f>$J$38*Product_lifespan!T24</f>
        <v>221.52593066468935</v>
      </c>
    </row>
    <row r="15" spans="1:28">
      <c r="A15" s="1"/>
      <c r="B15" s="7">
        <v>2015</v>
      </c>
      <c r="C15" s="83"/>
      <c r="D15" s="83"/>
      <c r="E15" s="83"/>
      <c r="F15" s="83"/>
      <c r="G15" s="83"/>
      <c r="H15" s="83"/>
      <c r="I15" s="83"/>
      <c r="J15" s="83"/>
      <c r="K15" s="83">
        <f>$K$38*Product_lifespan!B24</f>
        <v>21879880.099999998</v>
      </c>
      <c r="L15" s="83">
        <f>$K$38*Product_lifespan!C24</f>
        <v>19286399.434000194</v>
      </c>
      <c r="M15" s="83">
        <f>$K$38*Product_lifespan!D24</f>
        <v>15082848.518493801</v>
      </c>
      <c r="N15" s="83">
        <f>$K$38*Product_lifespan!E24</f>
        <v>10862458.465502519</v>
      </c>
      <c r="O15" s="83">
        <f>$K$38*Product_lifespan!F24</f>
        <v>7305912.1150211608</v>
      </c>
      <c r="P15" s="83">
        <f>$K$38*Product_lifespan!G24</f>
        <v>4627256.2878137166</v>
      </c>
      <c r="Q15" s="83">
        <f>$K$38*Product_lifespan!H24</f>
        <v>2775523.0481545939</v>
      </c>
      <c r="R15" s="83">
        <f>$K$38*Product_lifespan!I24</f>
        <v>1583339.4546568145</v>
      </c>
      <c r="S15" s="83">
        <f>$K$38*Product_lifespan!J24</f>
        <v>861882.82555548381</v>
      </c>
      <c r="T15" s="83">
        <f>$K$38*Product_lifespan!K24</f>
        <v>448883.65028203954</v>
      </c>
      <c r="U15" s="83">
        <f>$K$38*Product_lifespan!L24</f>
        <v>224183.16995799361</v>
      </c>
      <c r="V15" s="83">
        <f>$K$38*Product_lifespan!M24</f>
        <v>107568.04045653099</v>
      </c>
      <c r="W15" s="83">
        <f>$K$38*Product_lifespan!N24</f>
        <v>49669.550484368083</v>
      </c>
      <c r="X15" s="83">
        <f>$K$38*Product_lifespan!O24</f>
        <v>22103.004761826392</v>
      </c>
      <c r="Y15" s="83">
        <f>$K$38*Product_lifespan!P24</f>
        <v>9491.2332023634026</v>
      </c>
      <c r="Z15" s="83">
        <f>$K$38*Product_lifespan!Q24</f>
        <v>3937.3298036487677</v>
      </c>
      <c r="AA15" s="83">
        <f>$K$38*Product_lifespan!R24</f>
        <v>1579.5651752999081</v>
      </c>
      <c r="AB15" s="83">
        <f>$K$38*Product_lifespan!S24</f>
        <v>613.39113382133485</v>
      </c>
    </row>
    <row r="16" spans="1:28">
      <c r="A16" s="1"/>
      <c r="B16" s="7">
        <v>2016</v>
      </c>
      <c r="C16" s="83"/>
      <c r="D16" s="83"/>
      <c r="E16" s="83"/>
      <c r="F16" s="83"/>
      <c r="G16" s="83"/>
      <c r="H16" s="83"/>
      <c r="I16" s="83"/>
      <c r="J16" s="83"/>
      <c r="K16" s="83"/>
      <c r="L16" s="83">
        <f>$L$38*Product_lifespan!B24</f>
        <v>21937205.417142857</v>
      </c>
      <c r="M16" s="83">
        <f>$L$38*Product_lifespan!C24</f>
        <v>19336929.828090329</v>
      </c>
      <c r="N16" s="83">
        <f>$L$38*Product_lifespan!D24</f>
        <v>15122365.603175648</v>
      </c>
      <c r="O16" s="83">
        <f>$L$38*Product_lifespan!E24</f>
        <v>10890918.122211793</v>
      </c>
      <c r="P16" s="83">
        <f>$L$38*Product_lifespan!F24</f>
        <v>7325053.6152075101</v>
      </c>
      <c r="Q16" s="83">
        <f>$L$38*Product_lifespan!G24</f>
        <v>4639379.705903206</v>
      </c>
      <c r="R16" s="83">
        <f>$L$38*Product_lifespan!H24</f>
        <v>2782794.9225088223</v>
      </c>
      <c r="S16" s="83">
        <f>$L$38*Product_lifespan!I24</f>
        <v>1587487.8062916575</v>
      </c>
      <c r="T16" s="83">
        <f>$L$38*Product_lifespan!J24</f>
        <v>864140.95979064133</v>
      </c>
      <c r="U16" s="83">
        <f>$L$38*Product_lifespan!K24</f>
        <v>450059.7260875309</v>
      </c>
      <c r="V16" s="83">
        <f>$L$38*Product_lifespan!L24</f>
        <v>224770.53018378999</v>
      </c>
      <c r="W16" s="83">
        <f>$L$38*Product_lifespan!M24</f>
        <v>107849.86887631316</v>
      </c>
      <c r="X16" s="83">
        <f>$L$38*Product_lifespan!N24</f>
        <v>49799.684777647853</v>
      </c>
      <c r="Y16" s="83">
        <f>$L$38*Product_lifespan!O24</f>
        <v>22160.91466590223</v>
      </c>
      <c r="Z16" s="83">
        <f>$L$38*Product_lifespan!P24</f>
        <v>9516.1002469228606</v>
      </c>
      <c r="AA16" s="83">
        <f>$L$38*Product_lifespan!Q24</f>
        <v>3947.6456133633828</v>
      </c>
      <c r="AB16" s="83">
        <f>$L$38*Product_lifespan!R24</f>
        <v>1583.7036383174402</v>
      </c>
    </row>
    <row r="17" spans="1:28">
      <c r="A17" s="86"/>
      <c r="B17" s="7">
        <v>2017</v>
      </c>
      <c r="C17" s="83"/>
      <c r="D17" s="83"/>
      <c r="E17" s="83"/>
      <c r="F17" s="83"/>
      <c r="G17" s="83"/>
      <c r="H17" s="83"/>
      <c r="I17" s="83"/>
      <c r="J17" s="83"/>
      <c r="K17" s="83"/>
      <c r="L17" s="83"/>
      <c r="M17" s="83">
        <f>$M$38*Product_lifespan!B24</f>
        <v>18712175.865714282</v>
      </c>
      <c r="N17" s="83">
        <f>$M$38*Product_lifespan!C24</f>
        <v>16494171.64883934</v>
      </c>
      <c r="O17" s="83">
        <f>$M$38*Product_lifespan!D24</f>
        <v>12899198.384271957</v>
      </c>
      <c r="P17" s="83">
        <f>$M$38*Product_lifespan!E24</f>
        <v>9289823.9026684631</v>
      </c>
      <c r="Q17" s="83">
        <f>$M$38*Product_lifespan!F24</f>
        <v>6248183.7985816281</v>
      </c>
      <c r="R17" s="83">
        <f>$M$38*Product_lifespan!G24</f>
        <v>3957335.8280561371</v>
      </c>
      <c r="S17" s="83">
        <f>$M$38*Product_lifespan!H24</f>
        <v>2373691.0421374813</v>
      </c>
      <c r="T17" s="83">
        <f>$M$38*Product_lifespan!I24</f>
        <v>1354108.2581463717</v>
      </c>
      <c r="U17" s="83">
        <f>$M$38*Product_lifespan!J24</f>
        <v>737101.98290496843</v>
      </c>
      <c r="V17" s="83">
        <f>$M$38*Product_lifespan!K24</f>
        <v>383895.60495449475</v>
      </c>
      <c r="W17" s="83">
        <f>$M$38*Product_lifespan!L24</f>
        <v>191726.59462550216</v>
      </c>
      <c r="X17" s="83">
        <f>$M$38*Product_lifespan!M24</f>
        <v>91994.658167842368</v>
      </c>
      <c r="Y17" s="83">
        <f>$M$38*Product_lifespan!N24</f>
        <v>42478.540082789106</v>
      </c>
      <c r="Z17" s="83">
        <f>$M$38*Product_lifespan!O24</f>
        <v>18902.997199880258</v>
      </c>
      <c r="AA17" s="83">
        <f>$M$38*Product_lifespan!P24</f>
        <v>8117.1205716584591</v>
      </c>
      <c r="AB17" s="83">
        <f>$M$38*Product_lifespan!Q24</f>
        <v>3367.2948567571921</v>
      </c>
    </row>
    <row r="18" spans="1:28">
      <c r="A18" s="1"/>
      <c r="B18" s="7">
        <v>2018</v>
      </c>
      <c r="C18" s="83"/>
      <c r="D18" s="83"/>
      <c r="E18" s="83"/>
      <c r="F18" s="83"/>
      <c r="G18" s="83"/>
      <c r="H18" s="83"/>
      <c r="I18" s="83"/>
      <c r="J18" s="83"/>
      <c r="K18" s="83"/>
      <c r="L18" s="83"/>
      <c r="M18" s="83"/>
      <c r="N18" s="83">
        <f>$N$38*Product_lifespan!B24</f>
        <v>20175082.742857143</v>
      </c>
      <c r="O18" s="83">
        <f>$N$38*Product_lifespan!C24</f>
        <v>17783676.263963949</v>
      </c>
      <c r="P18" s="83">
        <f>$N$38*Product_lifespan!D24</f>
        <v>13907650.109042086</v>
      </c>
      <c r="Q18" s="83">
        <f>$N$38*Product_lifespan!E24</f>
        <v>10016096.858426679</v>
      </c>
      <c r="R18" s="83">
        <f>$N$38*Product_lifespan!F24</f>
        <v>6736663.1242460227</v>
      </c>
      <c r="S18" s="83">
        <f>$N$38*Product_lifespan!G24</f>
        <v>4266718.0099879857</v>
      </c>
      <c r="T18" s="83">
        <f>$N$38*Product_lifespan!H24</f>
        <v>2559264.8083673003</v>
      </c>
      <c r="U18" s="83">
        <f>$N$38*Product_lifespan!I24</f>
        <v>1459971.6434338021</v>
      </c>
      <c r="V18" s="83">
        <f>$N$38*Product_lifespan!J24</f>
        <v>794728.18135915638</v>
      </c>
      <c r="W18" s="83">
        <f>$N$38*Product_lifespan!K24</f>
        <v>413908.3370185332</v>
      </c>
      <c r="X18" s="83">
        <f>$N$38*Product_lifespan!L24</f>
        <v>206715.66675808828</v>
      </c>
      <c r="Y18" s="83">
        <f>$N$38*Product_lifespan!M24</f>
        <v>99186.746306599627</v>
      </c>
      <c r="Z18" s="83">
        <f>$N$38*Product_lifespan!N24</f>
        <v>45799.487302613066</v>
      </c>
      <c r="AA18" s="83">
        <f>$N$38*Product_lifespan!O24</f>
        <v>20380.822376426688</v>
      </c>
      <c r="AB18" s="83">
        <f>$N$38*Product_lifespan!P24</f>
        <v>8751.7122723828197</v>
      </c>
    </row>
    <row r="19" spans="1:28">
      <c r="A19" s="1"/>
      <c r="B19" s="7">
        <v>2019</v>
      </c>
      <c r="C19" s="83"/>
      <c r="D19" s="83"/>
      <c r="E19" s="83"/>
      <c r="F19" s="83"/>
      <c r="G19" s="83"/>
      <c r="H19" s="83"/>
      <c r="I19" s="83"/>
      <c r="J19" s="83"/>
      <c r="K19" s="83"/>
      <c r="L19" s="83"/>
      <c r="M19" s="83"/>
      <c r="N19" s="83"/>
      <c r="O19" s="83">
        <f>$O$38*Product_lifespan!B24</f>
        <v>20298400.107142858</v>
      </c>
      <c r="P19" s="83">
        <f>$O$38*Product_lifespan!C24</f>
        <v>17892376.491473988</v>
      </c>
      <c r="Q19" s="83">
        <f>$O$38*Product_lifespan!D24</f>
        <v>13992658.670182297</v>
      </c>
      <c r="R19" s="83">
        <f>$O$38*Product_lifespan!E24</f>
        <v>10077318.846001867</v>
      </c>
      <c r="S19" s="83">
        <f>$O$38*Product_lifespan!F24</f>
        <v>6777840.0329680899</v>
      </c>
      <c r="T19" s="83">
        <f>$O$38*Product_lifespan!G24</f>
        <v>4292797.7255385146</v>
      </c>
      <c r="U19" s="83">
        <f>$O$38*Product_lifespan!H24</f>
        <v>2574907.9556445414</v>
      </c>
      <c r="V19" s="83">
        <f>$O$38*Product_lifespan!I24</f>
        <v>1468895.5153849039</v>
      </c>
      <c r="W19" s="83">
        <f>$O$38*Product_lifespan!J24</f>
        <v>799585.84592975094</v>
      </c>
      <c r="X19" s="83">
        <f>$O$38*Product_lifespan!K24</f>
        <v>416438.29368971859</v>
      </c>
      <c r="Y19" s="83">
        <f>$O$38*Product_lifespan!L24</f>
        <v>207979.18728516999</v>
      </c>
      <c r="Z19" s="83">
        <f>$O$38*Product_lifespan!M24</f>
        <v>99793.011385286169</v>
      </c>
      <c r="AA19" s="83">
        <f>$O$38*Product_lifespan!N24</f>
        <v>46079.430246678312</v>
      </c>
      <c r="AB19" s="83">
        <f>$O$38*Product_lifespan!O24</f>
        <v>20505.397295373481</v>
      </c>
    </row>
    <row r="20" spans="1:28">
      <c r="A20" s="1"/>
      <c r="B20" s="7">
        <v>2020</v>
      </c>
      <c r="C20" s="83"/>
      <c r="D20" s="83"/>
      <c r="E20" s="83"/>
      <c r="F20" s="83"/>
      <c r="G20" s="83"/>
      <c r="H20" s="83"/>
      <c r="I20" s="83"/>
      <c r="J20" s="83"/>
      <c r="K20" s="83"/>
      <c r="L20" s="83"/>
      <c r="M20" s="83"/>
      <c r="N20" s="83"/>
      <c r="O20" s="83"/>
      <c r="P20" s="83">
        <f>$P$38*Product_lifespan!B24</f>
        <v>21525620.100000001</v>
      </c>
      <c r="Q20" s="83">
        <f>$P$38*Product_lifespan!C24</f>
        <v>18974130.818621043</v>
      </c>
      <c r="R20" s="83">
        <f>$P$38*Product_lifespan!D24</f>
        <v>14838640.145699218</v>
      </c>
      <c r="S20" s="83">
        <f>$P$38*Product_lifespan!E24</f>
        <v>10686582.979969632</v>
      </c>
      <c r="T20" s="83">
        <f>$P$38*Product_lifespan!F24</f>
        <v>7187621.1365496945</v>
      </c>
      <c r="U20" s="83">
        <f>$P$38*Product_lifespan!G24</f>
        <v>4552335.7761368323</v>
      </c>
      <c r="V20" s="83">
        <f>$P$38*Product_lifespan!H24</f>
        <v>2730584.1915180241</v>
      </c>
      <c r="W20" s="83">
        <f>$P$38*Product_lifespan!I24</f>
        <v>1557703.3984881742</v>
      </c>
      <c r="X20" s="83">
        <f>$P$38*Product_lifespan!J24</f>
        <v>847927.96801578079</v>
      </c>
      <c r="Y20" s="83">
        <f>$P$38*Product_lifespan!K24</f>
        <v>441615.71639839298</v>
      </c>
      <c r="Z20" s="83">
        <f>$P$38*Product_lifespan!L24</f>
        <v>220553.39093606386</v>
      </c>
      <c r="AA20" s="83">
        <f>$P$38*Product_lifespan!M24</f>
        <v>105826.39224648754</v>
      </c>
      <c r="AB20" s="83">
        <f>$P$38*Product_lifespan!N24</f>
        <v>48865.344297031981</v>
      </c>
    </row>
    <row r="21" spans="1:28">
      <c r="A21" s="1"/>
      <c r="B21" s="7">
        <v>2021</v>
      </c>
      <c r="C21" s="83"/>
      <c r="D21" s="83"/>
      <c r="E21" s="83"/>
      <c r="F21" s="83"/>
      <c r="G21" s="83"/>
      <c r="H21" s="83"/>
      <c r="I21" s="83"/>
      <c r="J21" s="83"/>
      <c r="K21" s="83"/>
      <c r="L21" s="83"/>
      <c r="M21" s="83"/>
      <c r="N21" s="83"/>
      <c r="O21" s="83"/>
      <c r="P21" s="83"/>
      <c r="Q21" s="83">
        <f>$Q$38*Product_lifespan!B24</f>
        <v>21406165.690000001</v>
      </c>
      <c r="R21" s="83">
        <f>$Q$38*Product_lifespan!C24</f>
        <v>18868835.659100819</v>
      </c>
      <c r="S21" s="83">
        <f>$Q$38*Product_lifespan!D24</f>
        <v>14756294.503828172</v>
      </c>
      <c r="T21" s="83">
        <f>$Q$38*Product_lifespan!E24</f>
        <v>10627278.789945934</v>
      </c>
      <c r="U21" s="83">
        <f>$Q$38*Product_lifespan!F24</f>
        <v>7147734.1071316628</v>
      </c>
      <c r="V21" s="83">
        <f>$Q$38*Product_lifespan!G24</f>
        <v>4527073.0156805003</v>
      </c>
      <c r="W21" s="83">
        <f>$Q$38*Product_lifespan!H24</f>
        <v>2715431.0706305513</v>
      </c>
      <c r="X21" s="83">
        <f>$Q$38*Product_lifespan!I24</f>
        <v>1549059.0695649206</v>
      </c>
      <c r="Y21" s="83">
        <f>$Q$38*Product_lifespan!J24</f>
        <v>843222.47127880994</v>
      </c>
      <c r="Z21" s="83">
        <f>$Q$38*Product_lifespan!K24</f>
        <v>439165.01139644522</v>
      </c>
      <c r="AA21" s="83">
        <f>$Q$38*Product_lifespan!L24</f>
        <v>219329.45057730193</v>
      </c>
      <c r="AB21" s="83">
        <f>$Q$38*Product_lifespan!M24</f>
        <v>105239.11860747015</v>
      </c>
    </row>
    <row r="22" spans="1:28">
      <c r="A22" s="1"/>
      <c r="B22" s="7">
        <v>2022</v>
      </c>
      <c r="C22" s="83"/>
      <c r="D22" s="83"/>
      <c r="E22" s="83"/>
      <c r="F22" s="83"/>
      <c r="G22" s="83"/>
      <c r="H22" s="83"/>
      <c r="I22" s="83"/>
      <c r="J22" s="83"/>
      <c r="K22" s="83"/>
      <c r="L22" s="83"/>
      <c r="M22" s="83"/>
      <c r="N22" s="83"/>
      <c r="O22" s="83"/>
      <c r="P22" s="83"/>
      <c r="Q22" s="83"/>
      <c r="R22" s="83">
        <f>$R$38*Product_lifespan!B24</f>
        <v>21406165.690000001</v>
      </c>
      <c r="S22" s="83">
        <f>$R$38*Product_lifespan!C24</f>
        <v>18868835.659100819</v>
      </c>
      <c r="T22" s="83">
        <f>$R$38*Product_lifespan!D24</f>
        <v>14756294.503828172</v>
      </c>
      <c r="U22" s="83">
        <f>$R$38*Product_lifespan!E24</f>
        <v>10627278.789945934</v>
      </c>
      <c r="V22" s="83">
        <f>$R$38*Product_lifespan!F24</f>
        <v>7147734.1071316628</v>
      </c>
      <c r="W22" s="83">
        <f>$R$38*Product_lifespan!G24</f>
        <v>4527073.0156805003</v>
      </c>
      <c r="X22" s="83">
        <f>$R$38*Product_lifespan!H24</f>
        <v>2715431.0706305513</v>
      </c>
      <c r="Y22" s="83">
        <f>$R$38*Product_lifespan!I24</f>
        <v>1549059.0695649206</v>
      </c>
      <c r="Z22" s="83">
        <f>$R$38*Product_lifespan!J24</f>
        <v>843222.47127880994</v>
      </c>
      <c r="AA22" s="83">
        <f>$R$38*Product_lifespan!K24</f>
        <v>439165.01139644522</v>
      </c>
      <c r="AB22" s="83">
        <f>$R$38*Product_lifespan!L24</f>
        <v>219329.45057730193</v>
      </c>
    </row>
    <row r="23" spans="1:28">
      <c r="A23" s="1"/>
      <c r="B23" s="7">
        <v>2023</v>
      </c>
      <c r="C23" s="83"/>
      <c r="D23" s="83"/>
      <c r="E23" s="83"/>
      <c r="F23" s="83"/>
      <c r="G23" s="83"/>
      <c r="H23" s="83"/>
      <c r="I23" s="83"/>
      <c r="J23" s="83"/>
      <c r="K23" s="83"/>
      <c r="L23" s="83"/>
      <c r="M23" s="83"/>
      <c r="N23" s="83"/>
      <c r="O23" s="83"/>
      <c r="P23" s="83"/>
      <c r="Q23" s="83"/>
      <c r="R23" s="83"/>
      <c r="S23" s="83">
        <f>$S$38*Product_lifespan!B24</f>
        <v>21406165.690000001</v>
      </c>
      <c r="T23" s="83">
        <f>$S$38*Product_lifespan!C24</f>
        <v>18868835.659100819</v>
      </c>
      <c r="U23" s="83">
        <f>$S$38*Product_lifespan!D24</f>
        <v>14756294.503828172</v>
      </c>
      <c r="V23" s="83">
        <f>$S$38*Product_lifespan!E24</f>
        <v>10627278.789945934</v>
      </c>
      <c r="W23" s="83">
        <f>$S$38*Product_lifespan!F24</f>
        <v>7147734.1071316628</v>
      </c>
      <c r="X23" s="83">
        <f>$S$38*Product_lifespan!G24</f>
        <v>4527073.0156805003</v>
      </c>
      <c r="Y23" s="83">
        <f>$S$38*Product_lifespan!H24</f>
        <v>2715431.0706305513</v>
      </c>
      <c r="Z23" s="83">
        <f>$S$38*Product_lifespan!I24</f>
        <v>1549059.0695649206</v>
      </c>
      <c r="AA23" s="83">
        <f>$S$38*Product_lifespan!J24</f>
        <v>843222.47127880994</v>
      </c>
      <c r="AB23" s="83">
        <f>$S$38*Product_lifespan!K24</f>
        <v>439165.01139644522</v>
      </c>
    </row>
    <row r="24" spans="1:28">
      <c r="A24" s="1"/>
      <c r="B24" s="7">
        <v>2024</v>
      </c>
      <c r="C24" s="83"/>
      <c r="D24" s="83"/>
      <c r="E24" s="83"/>
      <c r="F24" s="83"/>
      <c r="G24" s="83"/>
      <c r="H24" s="83"/>
      <c r="I24" s="83"/>
      <c r="J24" s="83"/>
      <c r="K24" s="83"/>
      <c r="L24" s="83"/>
      <c r="M24" s="83"/>
      <c r="N24" s="83"/>
      <c r="O24" s="83"/>
      <c r="P24" s="83"/>
      <c r="Q24" s="83"/>
      <c r="R24" s="83"/>
      <c r="S24" s="83"/>
      <c r="T24" s="83">
        <f>$T$38*Product_lifespan!B24</f>
        <v>21406165.690000001</v>
      </c>
      <c r="U24" s="83">
        <f>$T$38*Product_lifespan!C24</f>
        <v>18868835.659100819</v>
      </c>
      <c r="V24" s="83">
        <f>$T$38*Product_lifespan!D24</f>
        <v>14756294.503828172</v>
      </c>
      <c r="W24" s="83">
        <f>$T$38*Product_lifespan!E24</f>
        <v>10627278.789945934</v>
      </c>
      <c r="X24" s="83">
        <f>$T$38*Product_lifespan!F24</f>
        <v>7147734.1071316628</v>
      </c>
      <c r="Y24" s="83">
        <f>$T$38*Product_lifespan!G24</f>
        <v>4527073.0156805003</v>
      </c>
      <c r="Z24" s="83">
        <f>$T$38*Product_lifespan!H24</f>
        <v>2715431.0706305513</v>
      </c>
      <c r="AA24" s="83">
        <f>$T$38*Product_lifespan!I24</f>
        <v>1549059.0695649206</v>
      </c>
      <c r="AB24" s="83">
        <f>$T$38*Product_lifespan!J24</f>
        <v>843222.47127880994</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$U$38*Product_lifespan!B24</f>
        <v>21406165.690000001</v>
      </c>
      <c r="V25" s="83">
        <f>$U$38*Product_lifespan!C24</f>
        <v>18868835.659100819</v>
      </c>
      <c r="W25" s="83">
        <f>$U$38*Product_lifespan!D24</f>
        <v>14756294.503828172</v>
      </c>
      <c r="X25" s="83">
        <f>$U$38*Product_lifespan!E24</f>
        <v>10627278.789945934</v>
      </c>
      <c r="Y25" s="83">
        <f>$U$38*Product_lifespan!F24</f>
        <v>7147734.1071316628</v>
      </c>
      <c r="Z25" s="83">
        <f>$U$38*Product_lifespan!G24</f>
        <v>4527073.0156805003</v>
      </c>
      <c r="AA25" s="83">
        <f>$U$38*Product_lifespan!H24</f>
        <v>2715431.0706305513</v>
      </c>
      <c r="AB25" s="83">
        <f>$U$38*Product_lifespan!I24</f>
        <v>1549059.0695649206</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$V$38*Product_lifespan!B24</f>
        <v>21406165.690000001</v>
      </c>
      <c r="W26" s="83">
        <f>$V$38*Product_lifespan!C24</f>
        <v>18868835.659100819</v>
      </c>
      <c r="X26" s="83">
        <f>$V$38*Product_lifespan!D24</f>
        <v>14756294.503828172</v>
      </c>
      <c r="Y26" s="83">
        <f>$V$38*Product_lifespan!E24</f>
        <v>10627278.789945934</v>
      </c>
      <c r="Z26" s="83">
        <f>$V$38*Product_lifespan!F24</f>
        <v>7147734.1071316628</v>
      </c>
      <c r="AA26" s="83">
        <f>$V$38*Product_lifespan!G24</f>
        <v>4527073.0156805003</v>
      </c>
      <c r="AB26" s="83">
        <f>$V$38*Product_lifespan!H24</f>
        <v>2715431.0706305513</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$W$38*Product_lifespan!B24</f>
        <v>21406165.690000001</v>
      </c>
      <c r="X27" s="83">
        <f>$W$38*Product_lifespan!C24</f>
        <v>18868835.659100819</v>
      </c>
      <c r="Y27" s="83">
        <f>$W$38*Product_lifespan!D24</f>
        <v>14756294.503828172</v>
      </c>
      <c r="Z27" s="83">
        <f>$W$38*Product_lifespan!E24</f>
        <v>10627278.789945934</v>
      </c>
      <c r="AA27" s="83">
        <f>$W$38*Product_lifespan!F24</f>
        <v>7147734.1071316628</v>
      </c>
      <c r="AB27" s="83">
        <f>$W$38*Product_lifespan!G24</f>
        <v>4527073.0156805003</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$X$38*Product_lifespan!B24</f>
        <v>21406165.690000001</v>
      </c>
      <c r="Y28" s="83">
        <f>$X$38*Product_lifespan!C24</f>
        <v>18868835.659100819</v>
      </c>
      <c r="Z28" s="83">
        <f>$X$38*Product_lifespan!D24</f>
        <v>14756294.503828172</v>
      </c>
      <c r="AA28" s="83">
        <f>$X$38*Product_lifespan!E24</f>
        <v>10627278.789945934</v>
      </c>
      <c r="AB28" s="83">
        <f>$X$38*Product_lifespan!F24</f>
        <v>7147734.1071316628</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$Y$38*Product_lifespan!B24</f>
        <v>21406165.690000001</v>
      </c>
      <c r="Z29" s="83">
        <f>$Y$38*Product_lifespan!C24</f>
        <v>18868835.659100819</v>
      </c>
      <c r="AA29" s="83">
        <f>$Y$38*Product_lifespan!D24</f>
        <v>14756294.503828172</v>
      </c>
      <c r="AB29" s="83">
        <f>$Y$38*Product_lifespan!E24</f>
        <v>10627278.789945934</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$Z$38*Product_lifespan!B24</f>
        <v>21406165.690000001</v>
      </c>
      <c r="AA30" s="83">
        <f>$Z$38*Product_lifespan!C24</f>
        <v>18868835.659100819</v>
      </c>
      <c r="AB30" s="83">
        <f>$Z$38*Product_lifespan!D24</f>
        <v>14756294.503828172</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$AA$38*Product_lifespan!B24</f>
        <v>21406165.690000001</v>
      </c>
      <c r="AB31" s="83">
        <f>$AA$38*Product_lifespan!C24</f>
        <v>18868835.659100819</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AB38*Product_lifespan!B24</f>
        <v>21406165.690000001</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(VLOOKUP(C2,Inflows!$E$2:$H$15,4,FALSE ))</f>
        <v>#N/A</v>
      </c>
      <c r="D35" s="167">
        <f>(VLOOKUP(D2,Inflows!$E$2:$H$15,4,FALSE ))</f>
        <v>131539.76</v>
      </c>
      <c r="E35" s="167">
        <f>(VLOOKUP(E2,Inflows!$E$2:$H$15,4,FALSE ))</f>
        <v>123559.92</v>
      </c>
      <c r="F35" s="167">
        <f>(VLOOKUP(F2,Inflows!$E$2:$H$15,4,FALSE ))</f>
        <v>111440.12</v>
      </c>
      <c r="G35" s="167">
        <f>(VLOOKUP(G2,Inflows!$E$2:$H$15,4,FALSE ))</f>
        <v>120766.8</v>
      </c>
      <c r="H35" s="167">
        <f>(VLOOKUP(H2,Inflows!$E$2:$H$15,4,FALSE ))</f>
        <v>150991.56</v>
      </c>
      <c r="I35" s="167">
        <f>(VLOOKUP(I2,Inflows!$E$2:$H$15,4,FALSE ))</f>
        <v>156858.13999999998</v>
      </c>
      <c r="J35" s="167">
        <f>(VLOOKUP(J2,Inflows!$E$2:$H$15,4,FALSE ))</f>
        <v>240599.22857142857</v>
      </c>
      <c r="K35" s="167">
        <f>(VLOOKUP(K2,Inflows!$E$2:$H$15,4,FALSE ))</f>
        <v>333264.09999999992</v>
      </c>
      <c r="L35" s="167">
        <f>(VLOOKUP(L2,Inflows!$E$2:$H$15,4,FALSE ))</f>
        <v>423099.97714285704</v>
      </c>
      <c r="M35" s="167">
        <f>(VLOOKUP(M2,Inflows!$E$2:$H$15,4,FALSE ))</f>
        <v>517397.74571428559</v>
      </c>
      <c r="N35" s="167">
        <f>(VLOOKUP(N2,Inflows!$E$2:$H$15,4,FALSE ))</f>
        <v>648586.74285714282</v>
      </c>
      <c r="O35" s="167">
        <f>(VLOOKUP(O2,Inflows!$E$2:$H$15,4,FALSE ))</f>
        <v>783938.60714285693</v>
      </c>
      <c r="P35" s="167">
        <f>(VLOOKUP(P2,Inflows!$E$2:$H$15,4,FALSE ))</f>
        <v>920106.92</v>
      </c>
      <c r="Q35" s="167">
        <f>(VLOOKUP(Q2,Inflows!$E$2:$H$15,4,FALSE ))</f>
        <v>1190116.2</v>
      </c>
      <c r="R35" s="167" t="e">
        <f>(VLOOKUP(R2,Inflows!$E$2:$H$15,4,FALSE ))</f>
        <v>#N/A</v>
      </c>
      <c r="S35" s="167" t="e">
        <f>(VLOOKUP(S2,Inflows!$E$2:$H$15,4,FALSE ))</f>
        <v>#N/A</v>
      </c>
      <c r="T35" s="167" t="e">
        <f>(VLOOKUP(T2,Inflows!$E$2:$H$15,4,FALSE ))</f>
        <v>#N/A</v>
      </c>
      <c r="U35" s="167" t="e">
        <f>(VLOOKUP(U2,Inflows!$E$2:$H$15,4,FALSE ))</f>
        <v>#N/A</v>
      </c>
      <c r="V35" s="167" t="e">
        <f>(VLOOKUP(V2,Inflows!$E$2:$H$15,4,FALSE ))</f>
        <v>#N/A</v>
      </c>
      <c r="W35" s="167" t="e">
        <f>(VLOOKUP(W2,Inflows!$E$2:$H$15,4,FALSE ))</f>
        <v>#N/A</v>
      </c>
      <c r="X35" s="167" t="e">
        <f>(VLOOKUP(X2,Inflows!$E$2:$H$15,4,FALSE ))</f>
        <v>#N/A</v>
      </c>
      <c r="Y35" s="167" t="e">
        <f>(VLOOKUP(Y2,Inflows!$E$2:$H$15,4,FALSE ))</f>
        <v>#N/A</v>
      </c>
      <c r="Z35" s="167" t="e">
        <f>(VLOOKUP(Z2,Inflows!$E$2:$H$15,4,FALSE ))</f>
        <v>#N/A</v>
      </c>
      <c r="AA35" s="167" t="e">
        <f>(VLOOKUP(AA2,Inflows!$E$2:$H$15,4,FALSE ))</f>
        <v>#N/A</v>
      </c>
      <c r="AB35" s="167" t="e">
        <f>(VLOOKUP(AB2,Inflows!$E$2:$H$15,4,FALSE ))</f>
        <v>#N/A</v>
      </c>
    </row>
    <row r="36" spans="1:32" ht="19">
      <c r="B36" s="166" t="s">
        <v>214</v>
      </c>
      <c r="C36" s="167">
        <f>(VLOOKUP(C2,Inflows!$E$16:$H$30,4,FALSE ))</f>
        <v>19493713.800000001</v>
      </c>
      <c r="D36" s="167">
        <f>(VLOOKUP(D2,Inflows!$E$16:$H$30,4,FALSE ))</f>
        <v>19102516.399999999</v>
      </c>
      <c r="E36" s="167">
        <f>(VLOOKUP(E2,Inflows!$E$16:$H$30,4,FALSE ))</f>
        <v>20373363.559999999</v>
      </c>
      <c r="F36" s="167">
        <f>(VLOOKUP(F2,Inflows!$E$16:$H$30,4,FALSE ))</f>
        <v>21680436.800000001</v>
      </c>
      <c r="G36" s="167">
        <f>(VLOOKUP(G2,Inflows!$E$16:$H$30,4,FALSE ))</f>
        <v>19761832.640000001</v>
      </c>
      <c r="H36" s="167">
        <f>(VLOOKUP(H2,Inflows!$E$16:$H$30,4,FALSE ))</f>
        <v>23524308.360000003</v>
      </c>
      <c r="I36" s="167">
        <f>(VLOOKUP(I2,Inflows!$E$16:$H$30,4,FALSE ))</f>
        <v>27353621.280000001</v>
      </c>
      <c r="J36" s="167">
        <f>(VLOOKUP(J2,Inflows!$E$16:$H$30,4,FALSE ))</f>
        <v>27140838.120000001</v>
      </c>
      <c r="K36" s="167">
        <f>(VLOOKUP(K2,Inflows!$E$16:$H$30,4,FALSE ))</f>
        <v>27348712.299999997</v>
      </c>
      <c r="L36" s="167">
        <f>(VLOOKUP(L2,Inflows!$E$16:$H$30,4,FALSE ))</f>
        <v>26555055.84</v>
      </c>
      <c r="M36" s="167">
        <f>(VLOOKUP(M2,Inflows!$E$16:$H$30,4,FALSE ))</f>
        <v>23358322.739999998</v>
      </c>
      <c r="N36" s="167">
        <f>(VLOOKUP(N2,Inflows!$E$16:$H$30,4,FALSE ))</f>
        <v>23514952.800000001</v>
      </c>
      <c r="O36" s="167">
        <f>(VLOOKUP(O2,Inflows!$E$16:$H$30,4,FALSE ))</f>
        <v>24538051.599999998</v>
      </c>
      <c r="P36" s="167">
        <f>(VLOOKUP(P2,Inflows!$E$16:$H$30,4,FALSE ))</f>
        <v>26349760.080000002</v>
      </c>
      <c r="Q36" s="167">
        <f>(VLOOKUP(Q2,Inflows!$E$16:$H$30,4,FALSE ))</f>
        <v>23536843.330000002</v>
      </c>
      <c r="R36" s="167" t="e">
        <f>(VLOOKUP(R2,Inflows!$E$16:$H$30,4,FALSE ))</f>
        <v>#N/A</v>
      </c>
      <c r="S36" s="167" t="e">
        <f>(VLOOKUP(S2,Inflows!$E$16:$H$30,4,FALSE ))</f>
        <v>#N/A</v>
      </c>
      <c r="T36" s="167" t="e">
        <f>(VLOOKUP(T2,Inflows!$E$16:$H$30,4,FALSE ))</f>
        <v>#N/A</v>
      </c>
      <c r="U36" s="167" t="e">
        <f>(VLOOKUP(U2,Inflows!$E$16:$H$30,4,FALSE ))</f>
        <v>#N/A</v>
      </c>
      <c r="V36" s="167" t="e">
        <f>(VLOOKUP(V2,Inflows!$E$16:$H$30,4,FALSE ))</f>
        <v>#N/A</v>
      </c>
      <c r="W36" s="167" t="e">
        <f>(VLOOKUP(W2,Inflows!$E$16:$H$30,4,FALSE ))</f>
        <v>#N/A</v>
      </c>
      <c r="X36" s="167" t="e">
        <f>(VLOOKUP(X2,Inflows!$E$16:$H$30,4,FALSE ))</f>
        <v>#N/A</v>
      </c>
      <c r="Y36" s="167" t="e">
        <f>(VLOOKUP(Y2,Inflows!$E$16:$H$30,4,FALSE ))</f>
        <v>#N/A</v>
      </c>
      <c r="Z36" s="167" t="e">
        <f>(VLOOKUP(Z2,Inflows!$E$16:$H$30,4,FALSE ))</f>
        <v>#N/A</v>
      </c>
      <c r="AA36" s="167" t="e">
        <f>(VLOOKUP(AA2,Inflows!$E$16:$H$30,4,FALSE ))</f>
        <v>#N/A</v>
      </c>
      <c r="AB36" s="167" t="e">
        <f>(VLOOKUP(AB2,Inflows!$E$16:$H$30,4,FALSE ))</f>
        <v>#N/A</v>
      </c>
    </row>
    <row r="37" spans="1:32" ht="19">
      <c r="B37" s="166" t="s">
        <v>7856</v>
      </c>
      <c r="C37" s="167">
        <f>(VLOOKUP(C2,Inflows!$E$31:$H$45,4,FALSE ))</f>
        <v>2593712.44</v>
      </c>
      <c r="D37" s="167">
        <f>(VLOOKUP(D2,Inflows!$E$31:$H$45,4,FALSE ))</f>
        <v>3234505.12</v>
      </c>
      <c r="E37" s="167">
        <f>(VLOOKUP(E2,Inflows!$E$31:$H$45,4,FALSE ))</f>
        <v>4148145.7600000002</v>
      </c>
      <c r="F37" s="167">
        <f>(VLOOKUP(F2,Inflows!$E$31:$H$45,4,FALSE ))</f>
        <v>4952415.16</v>
      </c>
      <c r="G37" s="167">
        <f>(VLOOKUP(G2,Inflows!$E$31:$H$45,4,FALSE ))</f>
        <v>5624324.2000000002</v>
      </c>
      <c r="H37" s="167">
        <f>(VLOOKUP(H2,Inflows!$E$31:$H$45,4,FALSE ))</f>
        <v>5715307.0800000001</v>
      </c>
      <c r="I37" s="167">
        <f>(VLOOKUP(I2,Inflows!$E$31:$H$45,4,FALSE ))</f>
        <v>5844056.1399999997</v>
      </c>
      <c r="J37" s="167">
        <f>(VLOOKUP(J2,Inflows!$E$31:$H$45,4,FALSE ))</f>
        <v>6377753.5800000001</v>
      </c>
      <c r="K37" s="167">
        <f>(VLOOKUP(K2,Inflows!$E$31:$H$45,4,FALSE ))</f>
        <v>5802096.2999999998</v>
      </c>
      <c r="L37" s="167">
        <f>(VLOOKUP(L2,Inflows!$E$31:$H$45,4,FALSE ))</f>
        <v>5040950.3999999994</v>
      </c>
      <c r="M37" s="167">
        <f>(VLOOKUP(M2,Inflows!$E$31:$H$45,4,FALSE ))</f>
        <v>5163544.62</v>
      </c>
      <c r="N37" s="167">
        <f>(VLOOKUP(N2,Inflows!$E$31:$H$45,4,FALSE ))</f>
        <v>3988456.8000000003</v>
      </c>
      <c r="O37" s="167">
        <f>(VLOOKUP(O2,Inflows!$E$31:$H$45,4,FALSE ))</f>
        <v>5023590.0999999996</v>
      </c>
      <c r="P37" s="167">
        <f>(VLOOKUP(P2,Inflows!$E$31:$H$45,4,FALSE ))</f>
        <v>5744246.9000000004</v>
      </c>
      <c r="Q37" s="167">
        <f>(VLOOKUP(Q2,Inflows!$E$31:$H$45,4,FALSE ))</f>
        <v>3320793.8400000003</v>
      </c>
      <c r="R37" s="167" t="e">
        <f>(VLOOKUP(R2,Inflows!$E$31:$H$45,4,FALSE ))</f>
        <v>#N/A</v>
      </c>
      <c r="S37" s="167" t="e">
        <f>(VLOOKUP(S2,Inflows!$E$31:$H$45,4,FALSE ))</f>
        <v>#N/A</v>
      </c>
      <c r="T37" s="167" t="e">
        <f>(VLOOKUP(T2,Inflows!$E$31:$H$45,4,FALSE ))</f>
        <v>#N/A</v>
      </c>
      <c r="U37" s="167" t="e">
        <f>(VLOOKUP(U2,Inflows!$E$31:$H$45,4,FALSE ))</f>
        <v>#N/A</v>
      </c>
      <c r="V37" s="167" t="e">
        <f>(VLOOKUP(V2,Inflows!$E$31:$H$45,4,FALSE ))</f>
        <v>#N/A</v>
      </c>
      <c r="W37" s="167" t="e">
        <f>(VLOOKUP(W2,Inflows!$E$31:$H$45,4,FALSE ))</f>
        <v>#N/A</v>
      </c>
      <c r="X37" s="167" t="e">
        <f>(VLOOKUP(X2,Inflows!$E$31:$H$45,4,FALSE ))</f>
        <v>#N/A</v>
      </c>
      <c r="Y37" s="167" t="e">
        <f>(VLOOKUP(Y2,Inflows!$E$31:$H$45,4,FALSE ))</f>
        <v>#N/A</v>
      </c>
      <c r="Z37" s="167" t="e">
        <f>(VLOOKUP(Z2,Inflows!$E$31:$H$45,4,FALSE ))</f>
        <v>#N/A</v>
      </c>
      <c r="AA37" s="167" t="e">
        <f>(VLOOKUP(AA2,Inflows!$E$31:$H$45,4,FALSE ))</f>
        <v>#N/A</v>
      </c>
      <c r="AB37" s="167" t="e">
        <f>(VLOOKUP(AB2,Inflows!$E$31:$H$45,4,FALSE ))</f>
        <v>#N/A</v>
      </c>
    </row>
    <row r="38" spans="1:32">
      <c r="A38" s="1"/>
      <c r="B38" s="7" t="s">
        <v>7877</v>
      </c>
      <c r="C38" s="374">
        <f>C36-C37</f>
        <v>16900001.359999999</v>
      </c>
      <c r="D38" s="374">
        <f>D35+D36-D37</f>
        <v>15999551.039999999</v>
      </c>
      <c r="E38" s="374">
        <f t="shared" ref="E38:Q38" si="1">E35+E36-E37</f>
        <v>16348777.720000001</v>
      </c>
      <c r="F38" s="374">
        <f t="shared" si="1"/>
        <v>16839461.760000002</v>
      </c>
      <c r="G38" s="374">
        <f t="shared" si="1"/>
        <v>14258275.240000002</v>
      </c>
      <c r="H38" s="374">
        <f t="shared" si="1"/>
        <v>17959992.840000004</v>
      </c>
      <c r="I38" s="374">
        <f t="shared" si="1"/>
        <v>21666423.280000001</v>
      </c>
      <c r="J38" s="374">
        <f t="shared" si="1"/>
        <v>21003683.768571429</v>
      </c>
      <c r="K38" s="374">
        <f t="shared" si="1"/>
        <v>21879880.099999998</v>
      </c>
      <c r="L38" s="374">
        <f t="shared" si="1"/>
        <v>21937205.417142857</v>
      </c>
      <c r="M38" s="374">
        <f t="shared" si="1"/>
        <v>18712175.865714282</v>
      </c>
      <c r="N38" s="374">
        <f t="shared" si="1"/>
        <v>20175082.742857143</v>
      </c>
      <c r="O38" s="374">
        <f t="shared" si="1"/>
        <v>20298400.107142858</v>
      </c>
      <c r="P38" s="374">
        <f t="shared" si="1"/>
        <v>21525620.100000001</v>
      </c>
      <c r="Q38" s="374">
        <f t="shared" si="1"/>
        <v>21406165.690000001</v>
      </c>
      <c r="R38" s="254">
        <v>21406165.690000001</v>
      </c>
      <c r="S38" s="254">
        <v>21406165.690000001</v>
      </c>
      <c r="T38" s="254">
        <v>21406165.690000001</v>
      </c>
      <c r="U38" s="254">
        <v>21406165.690000001</v>
      </c>
      <c r="V38" s="254">
        <v>21406165.690000001</v>
      </c>
      <c r="W38" s="254">
        <v>21406165.690000001</v>
      </c>
      <c r="X38" s="254">
        <v>21406165.690000001</v>
      </c>
      <c r="Y38" s="254">
        <v>21406165.690000001</v>
      </c>
      <c r="Z38" s="254">
        <v>21406165.690000001</v>
      </c>
      <c r="AA38" s="254">
        <v>21406165.690000001</v>
      </c>
      <c r="AB38" s="254">
        <v>21406165.690000001</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c r="R40" s="201"/>
      <c r="S40" s="201"/>
      <c r="T40" s="201"/>
      <c r="U40" s="201"/>
      <c r="V40" s="201"/>
      <c r="W40" s="201"/>
      <c r="X40" s="201"/>
      <c r="Y40" s="201"/>
      <c r="Z40" s="201"/>
      <c r="AA40" s="201"/>
      <c r="AB40" s="201"/>
    </row>
    <row r="41" spans="1:32">
      <c r="A41" s="1" t="s">
        <v>7762</v>
      </c>
      <c r="B41" s="7">
        <v>2007</v>
      </c>
      <c r="C41" s="50"/>
      <c r="D41" s="50">
        <f>C7-D7</f>
        <v>2003202.3293642458</v>
      </c>
      <c r="E41" s="50">
        <f t="shared" ref="E41:AB41" si="2">D7-E7</f>
        <v>3246819.2633691486</v>
      </c>
      <c r="F41" s="50">
        <f t="shared" si="2"/>
        <v>3259825.7992868572</v>
      </c>
      <c r="G41" s="50">
        <f t="shared" si="2"/>
        <v>2747073.4704820439</v>
      </c>
      <c r="H41" s="50">
        <f t="shared" si="2"/>
        <v>2068991.5536958426</v>
      </c>
      <c r="I41" s="50">
        <f t="shared" si="2"/>
        <v>1430277.2284659995</v>
      </c>
      <c r="J41" s="50">
        <f t="shared" si="2"/>
        <v>920841.62524648197</v>
      </c>
      <c r="K41" s="50">
        <f t="shared" si="2"/>
        <v>557252.50583039108</v>
      </c>
      <c r="L41" s="50">
        <f t="shared" si="2"/>
        <v>319000.22266575805</v>
      </c>
      <c r="M41" s="50">
        <f t="shared" si="2"/>
        <v>173558.46584685027</v>
      </c>
      <c r="N41" s="50">
        <f t="shared" si="2"/>
        <v>90073.429934896878</v>
      </c>
      <c r="O41" s="50">
        <f t="shared" si="2"/>
        <v>44720.745945563918</v>
      </c>
      <c r="P41" s="50">
        <f t="shared" si="2"/>
        <v>21292.37720098186</v>
      </c>
      <c r="Q41" s="50">
        <f t="shared" si="2"/>
        <v>9741.3219603033322</v>
      </c>
      <c r="R41" s="50">
        <f t="shared" si="2"/>
        <v>4289.8304086952439</v>
      </c>
      <c r="S41" s="50">
        <f t="shared" si="2"/>
        <v>1821.1354561150281</v>
      </c>
      <c r="T41" s="50">
        <f t="shared" si="2"/>
        <v>746.2720335009783</v>
      </c>
      <c r="U41" s="50">
        <f t="shared" si="2"/>
        <v>295.53842925296942</v>
      </c>
      <c r="V41" s="50">
        <f t="shared" si="2"/>
        <v>113.22675623341347</v>
      </c>
      <c r="W41" s="50">
        <f t="shared" si="2"/>
        <v>42.006342803486987</v>
      </c>
      <c r="X41" s="50">
        <f t="shared" si="2"/>
        <v>15.103809219723065</v>
      </c>
      <c r="Y41" s="50">
        <f t="shared" si="2"/>
        <v>5.2675315653689339</v>
      </c>
      <c r="Z41" s="50">
        <f t="shared" si="2"/>
        <v>1.783169123072045</v>
      </c>
      <c r="AA41" s="50">
        <f t="shared" si="2"/>
        <v>0.58631957173678972</v>
      </c>
      <c r="AB41" s="50">
        <f t="shared" si="2"/>
        <v>0.18737145747341319</v>
      </c>
    </row>
    <row r="42" spans="1:32">
      <c r="B42" s="7">
        <v>2008</v>
      </c>
      <c r="C42" s="8"/>
      <c r="D42" s="50"/>
      <c r="E42" s="50">
        <f>D8-E8</f>
        <v>1896469.5463261269</v>
      </c>
      <c r="F42" s="50">
        <f t="shared" ref="F42:AB42" si="3">E8-F8</f>
        <v>3073825.2273093238</v>
      </c>
      <c r="G42" s="50">
        <f t="shared" si="3"/>
        <v>3086138.760949715</v>
      </c>
      <c r="H42" s="50">
        <f t="shared" si="3"/>
        <v>2600706.4298607484</v>
      </c>
      <c r="I42" s="50">
        <f t="shared" si="3"/>
        <v>1958753.4497503452</v>
      </c>
      <c r="J42" s="50">
        <f t="shared" si="3"/>
        <v>1354070.5134115743</v>
      </c>
      <c r="K42" s="50">
        <f t="shared" si="3"/>
        <v>871778.18918753276</v>
      </c>
      <c r="L42" s="50">
        <f t="shared" si="3"/>
        <v>527561.49063417816</v>
      </c>
      <c r="M42" s="50">
        <f t="shared" si="3"/>
        <v>302003.54636611464</v>
      </c>
      <c r="N42" s="50">
        <f t="shared" si="3"/>
        <v>164311.08338921325</v>
      </c>
      <c r="O42" s="50">
        <f t="shared" si="3"/>
        <v>85274.220332444209</v>
      </c>
      <c r="P42" s="50">
        <f t="shared" si="3"/>
        <v>42337.976314986685</v>
      </c>
      <c r="Q42" s="50">
        <f t="shared" si="3"/>
        <v>20157.896353568201</v>
      </c>
      <c r="R42" s="50">
        <f t="shared" si="3"/>
        <v>9222.2938082027504</v>
      </c>
      <c r="S42" s="50">
        <f t="shared" si="3"/>
        <v>4061.2636126358052</v>
      </c>
      <c r="T42" s="50">
        <f t="shared" si="3"/>
        <v>1724.1033926677785</v>
      </c>
      <c r="U42" s="50">
        <f t="shared" si="3"/>
        <v>706.50985377929533</v>
      </c>
      <c r="V42" s="50">
        <f t="shared" si="3"/>
        <v>279.79182263890146</v>
      </c>
      <c r="W42" s="50">
        <f t="shared" si="3"/>
        <v>107.19391240629682</v>
      </c>
      <c r="X42" s="50">
        <f t="shared" si="3"/>
        <v>39.768199503158307</v>
      </c>
      <c r="Y42" s="50">
        <f t="shared" si="3"/>
        <v>14.299061956370263</v>
      </c>
      <c r="Z42" s="50">
        <f t="shared" si="3"/>
        <v>4.9868717960228235</v>
      </c>
      <c r="AA42" s="50">
        <f t="shared" si="3"/>
        <v>1.6881599468429407</v>
      </c>
      <c r="AB42" s="50">
        <f t="shared" si="3"/>
        <v>0.55507983188432763</v>
      </c>
    </row>
    <row r="43" spans="1:32">
      <c r="B43" s="7">
        <v>2009</v>
      </c>
      <c r="C43" s="8"/>
      <c r="D43" s="8"/>
      <c r="E43" s="50"/>
      <c r="F43" s="50">
        <f>E9-F9</f>
        <v>1937864.3180749584</v>
      </c>
      <c r="G43" s="50">
        <f t="shared" ref="G43:AB43" si="4">F9-G9</f>
        <v>3140918.4711353388</v>
      </c>
      <c r="H43" s="50">
        <f t="shared" si="4"/>
        <v>3153500.7757219616</v>
      </c>
      <c r="I43" s="50">
        <f t="shared" si="4"/>
        <v>2657472.777234138</v>
      </c>
      <c r="J43" s="50">
        <f t="shared" si="4"/>
        <v>2001507.7096970584</v>
      </c>
      <c r="K43" s="50">
        <f t="shared" si="4"/>
        <v>1383626.1896116373</v>
      </c>
      <c r="L43" s="50">
        <f t="shared" si="4"/>
        <v>890806.73579769908</v>
      </c>
      <c r="M43" s="50">
        <f t="shared" si="4"/>
        <v>539076.72299347469</v>
      </c>
      <c r="N43" s="50">
        <f t="shared" si="4"/>
        <v>308595.46232563053</v>
      </c>
      <c r="O43" s="50">
        <f t="shared" si="4"/>
        <v>167897.54740909481</v>
      </c>
      <c r="P43" s="50">
        <f t="shared" si="4"/>
        <v>87135.524614160342</v>
      </c>
      <c r="Q43" s="50">
        <f t="shared" si="4"/>
        <v>43262.099177524309</v>
      </c>
      <c r="R43" s="50">
        <f t="shared" si="4"/>
        <v>20597.888400953852</v>
      </c>
      <c r="S43" s="50">
        <f t="shared" si="4"/>
        <v>9423.5913971520458</v>
      </c>
      <c r="T43" s="50">
        <f t="shared" si="4"/>
        <v>4149.9099505548975</v>
      </c>
      <c r="U43" s="50">
        <f t="shared" si="4"/>
        <v>1761.7358801227583</v>
      </c>
      <c r="V43" s="50">
        <f t="shared" si="4"/>
        <v>721.93104216175561</v>
      </c>
      <c r="W43" s="50">
        <f t="shared" si="4"/>
        <v>285.89891708592995</v>
      </c>
      <c r="X43" s="50">
        <f t="shared" si="4"/>
        <v>109.53366394384133</v>
      </c>
      <c r="Y43" s="50">
        <f t="shared" si="4"/>
        <v>40.636231127754797</v>
      </c>
      <c r="Z43" s="50">
        <f t="shared" si="4"/>
        <v>14.611171585050041</v>
      </c>
      <c r="AA43" s="50">
        <f t="shared" si="4"/>
        <v>5.0957216429064447</v>
      </c>
      <c r="AB43" s="50">
        <f t="shared" si="4"/>
        <v>1.7250078866426901</v>
      </c>
      <c r="AD43" s="1"/>
    </row>
    <row r="44" spans="1:32">
      <c r="B44" s="7">
        <v>2010</v>
      </c>
      <c r="C44" s="8"/>
      <c r="D44" s="8"/>
      <c r="E44" s="8"/>
      <c r="F44" s="50"/>
      <c r="G44" s="50">
        <f>F10-G10</f>
        <v>1996026.4087737408</v>
      </c>
      <c r="H44" s="50">
        <f t="shared" ref="H44:AB44" si="5">G10-H10</f>
        <v>3235188.4276496973</v>
      </c>
      <c r="I44" s="50">
        <f t="shared" si="5"/>
        <v>3248148.3712349534</v>
      </c>
      <c r="J44" s="50">
        <f t="shared" si="5"/>
        <v>2737232.8364175279</v>
      </c>
      <c r="K44" s="50">
        <f t="shared" si="5"/>
        <v>2061579.9613299039</v>
      </c>
      <c r="L44" s="50">
        <f t="shared" si="5"/>
        <v>1425153.6542451489</v>
      </c>
      <c r="M44" s="50">
        <f t="shared" si="5"/>
        <v>917542.96375715733</v>
      </c>
      <c r="N44" s="50">
        <f t="shared" si="5"/>
        <v>555256.30221576779</v>
      </c>
      <c r="O44" s="50">
        <f t="shared" si="5"/>
        <v>317857.49223226792</v>
      </c>
      <c r="P44" s="50">
        <f t="shared" si="5"/>
        <v>172936.74044723876</v>
      </c>
      <c r="Q44" s="50">
        <f t="shared" si="5"/>
        <v>89750.766681638634</v>
      </c>
      <c r="R44" s="50">
        <f t="shared" si="5"/>
        <v>44560.546190926376</v>
      </c>
      <c r="S44" s="50">
        <f t="shared" si="5"/>
        <v>21216.10312435087</v>
      </c>
      <c r="T44" s="50">
        <f t="shared" si="5"/>
        <v>9706.4263574932793</v>
      </c>
      <c r="U44" s="50">
        <f t="shared" si="5"/>
        <v>4274.4632728306915</v>
      </c>
      <c r="V44" s="50">
        <f t="shared" si="5"/>
        <v>1814.6117399501306</v>
      </c>
      <c r="W44" s="50">
        <f t="shared" si="5"/>
        <v>743.59871949129615</v>
      </c>
      <c r="X44" s="50">
        <f t="shared" si="5"/>
        <v>294.47974423215351</v>
      </c>
      <c r="Y44" s="50">
        <f t="shared" si="5"/>
        <v>112.82115256595505</v>
      </c>
      <c r="Z44" s="50">
        <f t="shared" si="5"/>
        <v>41.855866650461053</v>
      </c>
      <c r="AA44" s="50">
        <f t="shared" si="5"/>
        <v>15.049703983329268</v>
      </c>
      <c r="AB44" s="50">
        <f t="shared" si="5"/>
        <v>5.2486620844048915</v>
      </c>
    </row>
    <row r="45" spans="1:32">
      <c r="B45" s="7">
        <v>2011</v>
      </c>
      <c r="C45" s="8"/>
      <c r="D45" s="8"/>
      <c r="E45" s="8"/>
      <c r="F45" s="8"/>
      <c r="G45" s="50"/>
      <c r="H45" s="50">
        <f>G11-H11</f>
        <v>1690071.4718927424</v>
      </c>
      <c r="I45" s="50">
        <f t="shared" ref="I45:AB45" si="6">H11-I11</f>
        <v>2739292.247704966</v>
      </c>
      <c r="J45" s="50">
        <f t="shared" si="6"/>
        <v>2750265.6651079124</v>
      </c>
      <c r="K45" s="50">
        <f t="shared" si="6"/>
        <v>2317664.2896219864</v>
      </c>
      <c r="L45" s="50">
        <f t="shared" si="6"/>
        <v>1745576.8442512457</v>
      </c>
      <c r="M45" s="50">
        <f t="shared" si="6"/>
        <v>1206703.2397548037</v>
      </c>
      <c r="N45" s="50">
        <f t="shared" si="6"/>
        <v>776900.13542183978</v>
      </c>
      <c r="O45" s="50">
        <f t="shared" si="6"/>
        <v>470145.50100068282</v>
      </c>
      <c r="P45" s="50">
        <f t="shared" si="6"/>
        <v>269135.6574180575</v>
      </c>
      <c r="Q45" s="50">
        <f t="shared" si="6"/>
        <v>146428.64953453065</v>
      </c>
      <c r="R45" s="50">
        <f t="shared" si="6"/>
        <v>75993.58890362925</v>
      </c>
      <c r="S45" s="50">
        <f t="shared" si="6"/>
        <v>37730.216172595879</v>
      </c>
      <c r="T45" s="50">
        <f t="shared" si="6"/>
        <v>17964.056225703182</v>
      </c>
      <c r="U45" s="50">
        <f t="shared" si="6"/>
        <v>8218.6058304235139</v>
      </c>
      <c r="V45" s="50">
        <f t="shared" si="6"/>
        <v>3619.2649572720798</v>
      </c>
      <c r="W45" s="50">
        <f t="shared" si="6"/>
        <v>1536.4644078709716</v>
      </c>
      <c r="X45" s="50">
        <f t="shared" si="6"/>
        <v>629.61841427753893</v>
      </c>
      <c r="Y45" s="50">
        <f t="shared" si="6"/>
        <v>249.34129758473028</v>
      </c>
      <c r="Z45" s="50">
        <f t="shared" si="6"/>
        <v>95.527699703593129</v>
      </c>
      <c r="AA45" s="50">
        <f t="shared" si="6"/>
        <v>35.44011534434047</v>
      </c>
      <c r="AB45" s="50">
        <f t="shared" si="6"/>
        <v>12.742855129998709</v>
      </c>
      <c r="AD45" s="1"/>
      <c r="AE45" s="1"/>
      <c r="AF45" s="1"/>
    </row>
    <row r="46" spans="1:32">
      <c r="B46" s="7">
        <v>2012</v>
      </c>
      <c r="C46" s="8"/>
      <c r="D46" s="8"/>
      <c r="E46" s="8"/>
      <c r="F46" s="8"/>
      <c r="G46" s="8"/>
      <c r="H46" s="50"/>
      <c r="I46" s="50">
        <f>H12-I12</f>
        <v>2128845.9524983838</v>
      </c>
      <c r="J46" s="50">
        <f t="shared" ref="J46:AB46" si="7">I12-J12</f>
        <v>3450464.2621451244</v>
      </c>
      <c r="K46" s="50">
        <f t="shared" si="7"/>
        <v>3464286.5860005617</v>
      </c>
      <c r="L46" s="50">
        <f t="shared" si="7"/>
        <v>2919373.7213291842</v>
      </c>
      <c r="M46" s="50">
        <f t="shared" si="7"/>
        <v>2198761.5680521941</v>
      </c>
      <c r="N46" s="50">
        <f t="shared" si="7"/>
        <v>1519986.196170602</v>
      </c>
      <c r="O46" s="50">
        <f t="shared" si="7"/>
        <v>978598.08670457918</v>
      </c>
      <c r="P46" s="50">
        <f t="shared" si="7"/>
        <v>592204.15440167056</v>
      </c>
      <c r="Q46" s="50">
        <f t="shared" si="7"/>
        <v>339008.35822390846</v>
      </c>
      <c r="R46" s="50">
        <f t="shared" si="7"/>
        <v>184444.29308204603</v>
      </c>
      <c r="S46" s="50">
        <f t="shared" si="7"/>
        <v>95722.960149216815</v>
      </c>
      <c r="T46" s="50">
        <f t="shared" si="7"/>
        <v>47525.693038274825</v>
      </c>
      <c r="U46" s="50">
        <f t="shared" si="7"/>
        <v>22627.864574101644</v>
      </c>
      <c r="V46" s="50">
        <f t="shared" si="7"/>
        <v>10352.311158582221</v>
      </c>
      <c r="W46" s="50">
        <f t="shared" si="7"/>
        <v>4558.8945103481865</v>
      </c>
      <c r="X46" s="50">
        <f t="shared" si="7"/>
        <v>1935.3595929234909</v>
      </c>
      <c r="Y46" s="50">
        <f t="shared" si="7"/>
        <v>793.07924850781262</v>
      </c>
      <c r="Z46" s="50">
        <f t="shared" si="7"/>
        <v>314.07500865006909</v>
      </c>
      <c r="AA46" s="50">
        <f t="shared" si="7"/>
        <v>120.3284951243656</v>
      </c>
      <c r="AB46" s="50">
        <f t="shared" si="7"/>
        <v>44.641038773573911</v>
      </c>
    </row>
    <row r="47" spans="1:32">
      <c r="B47" s="7">
        <v>2013</v>
      </c>
      <c r="C47" s="8"/>
      <c r="D47" s="8"/>
      <c r="E47" s="8"/>
      <c r="F47" s="8"/>
      <c r="G47" s="8"/>
      <c r="H47" s="8"/>
      <c r="I47" s="50"/>
      <c r="J47" s="50">
        <f>I13-J13</f>
        <v>2568179.058625102</v>
      </c>
      <c r="K47" s="50">
        <f t="shared" ref="K47:AB47" si="8">J13-K13</f>
        <v>4162541.7048968654</v>
      </c>
      <c r="L47" s="50">
        <f t="shared" si="8"/>
        <v>4179216.5622886904</v>
      </c>
      <c r="M47" s="50">
        <f t="shared" si="8"/>
        <v>3521849.2191128768</v>
      </c>
      <c r="N47" s="50">
        <f t="shared" si="8"/>
        <v>2652523.263768482</v>
      </c>
      <c r="O47" s="50">
        <f t="shared" si="8"/>
        <v>1833668.0086332019</v>
      </c>
      <c r="P47" s="50">
        <f t="shared" si="8"/>
        <v>1180552.8296379629</v>
      </c>
      <c r="Q47" s="50">
        <f t="shared" si="8"/>
        <v>714418.20671912178</v>
      </c>
      <c r="R47" s="50">
        <f t="shared" si="8"/>
        <v>408970.01742552308</v>
      </c>
      <c r="S47" s="50">
        <f t="shared" si="8"/>
        <v>222508.33622804406</v>
      </c>
      <c r="T47" s="50">
        <f t="shared" si="8"/>
        <v>115477.44983441225</v>
      </c>
      <c r="U47" s="50">
        <f t="shared" si="8"/>
        <v>57333.641010661529</v>
      </c>
      <c r="V47" s="50">
        <f t="shared" si="8"/>
        <v>27297.610647878355</v>
      </c>
      <c r="W47" s="50">
        <f t="shared" si="8"/>
        <v>12488.733012663579</v>
      </c>
      <c r="X47" s="50">
        <f t="shared" si="8"/>
        <v>5499.7203523424196</v>
      </c>
      <c r="Y47" s="50">
        <f t="shared" si="8"/>
        <v>2334.7626311909398</v>
      </c>
      <c r="Z47" s="50">
        <f t="shared" si="8"/>
        <v>956.74819282136059</v>
      </c>
      <c r="AA47" s="50">
        <f t="shared" si="8"/>
        <v>378.89113540883005</v>
      </c>
      <c r="AB47" s="50">
        <f t="shared" si="8"/>
        <v>145.16086566601999</v>
      </c>
    </row>
    <row r="48" spans="1:32">
      <c r="B48" s="7">
        <v>2014</v>
      </c>
      <c r="C48" s="8"/>
      <c r="D48" s="8"/>
      <c r="E48" s="8"/>
      <c r="F48" s="8"/>
      <c r="G48" s="8"/>
      <c r="H48" s="8"/>
      <c r="I48" s="8"/>
      <c r="J48" s="50"/>
      <c r="K48" s="50">
        <f>J14-K14</f>
        <v>2489622.7730500177</v>
      </c>
      <c r="L48" s="50">
        <f t="shared" ref="L48:AB48" si="9">K14-L14</f>
        <v>4035216.5428175814</v>
      </c>
      <c r="M48" s="50">
        <f t="shared" si="9"/>
        <v>4051381.3443179391</v>
      </c>
      <c r="N48" s="50">
        <f t="shared" si="9"/>
        <v>3414121.7644870579</v>
      </c>
      <c r="O48" s="50">
        <f t="shared" si="9"/>
        <v>2571387.0305672418</v>
      </c>
      <c r="P48" s="50">
        <f t="shared" si="9"/>
        <v>1777579.1828746125</v>
      </c>
      <c r="Q48" s="50">
        <f t="shared" si="9"/>
        <v>1144441.7006611691</v>
      </c>
      <c r="R48" s="50">
        <f t="shared" si="9"/>
        <v>692565.35324358917</v>
      </c>
      <c r="S48" s="50">
        <f t="shared" si="9"/>
        <v>396460.31123014382</v>
      </c>
      <c r="T48" s="50">
        <f t="shared" si="9"/>
        <v>215702.1798018156</v>
      </c>
      <c r="U48" s="50">
        <f t="shared" si="9"/>
        <v>111945.18852412386</v>
      </c>
      <c r="V48" s="50">
        <f t="shared" si="9"/>
        <v>55579.901192105426</v>
      </c>
      <c r="W48" s="50">
        <f t="shared" si="9"/>
        <v>26462.622569313397</v>
      </c>
      <c r="X48" s="50">
        <f t="shared" si="9"/>
        <v>12106.723637686828</v>
      </c>
      <c r="Y48" s="50">
        <f t="shared" si="9"/>
        <v>5331.4931404855488</v>
      </c>
      <c r="Z48" s="50">
        <f t="shared" si="9"/>
        <v>2263.3461622380091</v>
      </c>
      <c r="AA48" s="50">
        <f t="shared" si="9"/>
        <v>927.4828719293838</v>
      </c>
      <c r="AB48" s="50">
        <f t="shared" si="9"/>
        <v>367.30149171358948</v>
      </c>
      <c r="AD48" s="1"/>
    </row>
    <row r="49" spans="2:32">
      <c r="B49" s="7">
        <v>2015</v>
      </c>
      <c r="C49" s="8"/>
      <c r="D49" s="8"/>
      <c r="E49" s="8"/>
      <c r="F49" s="8"/>
      <c r="G49" s="8"/>
      <c r="H49" s="8"/>
      <c r="I49" s="8"/>
      <c r="J49" s="8"/>
      <c r="K49" s="50"/>
      <c r="L49" s="50">
        <f>K15-L15</f>
        <v>2593480.6659998037</v>
      </c>
      <c r="M49" s="50">
        <f t="shared" ref="M49:AB49" si="10">L15-M15</f>
        <v>4203550.9155063927</v>
      </c>
      <c r="N49" s="50">
        <f t="shared" si="10"/>
        <v>4220390.0529912822</v>
      </c>
      <c r="O49" s="50">
        <f t="shared" si="10"/>
        <v>3556546.3504813584</v>
      </c>
      <c r="P49" s="50">
        <f t="shared" si="10"/>
        <v>2678655.8272074442</v>
      </c>
      <c r="Q49" s="50">
        <f t="shared" si="10"/>
        <v>1851733.2396591227</v>
      </c>
      <c r="R49" s="50">
        <f t="shared" si="10"/>
        <v>1192183.5934977795</v>
      </c>
      <c r="S49" s="50">
        <f t="shared" si="10"/>
        <v>721456.62910133065</v>
      </c>
      <c r="T49" s="50">
        <f t="shared" si="10"/>
        <v>412999.17527344427</v>
      </c>
      <c r="U49" s="50">
        <f t="shared" si="10"/>
        <v>224700.48032404593</v>
      </c>
      <c r="V49" s="50">
        <f t="shared" si="10"/>
        <v>116615.12950146262</v>
      </c>
      <c r="W49" s="50">
        <f t="shared" si="10"/>
        <v>57898.489972162904</v>
      </c>
      <c r="X49" s="50">
        <f t="shared" si="10"/>
        <v>27566.54572254169</v>
      </c>
      <c r="Y49" s="50">
        <f t="shared" si="10"/>
        <v>12611.77155946299</v>
      </c>
      <c r="Z49" s="50">
        <f t="shared" si="10"/>
        <v>5553.9033987146349</v>
      </c>
      <c r="AA49" s="50">
        <f t="shared" si="10"/>
        <v>2357.7646283488593</v>
      </c>
      <c r="AB49" s="50">
        <f t="shared" si="10"/>
        <v>966.17404147857326</v>
      </c>
    </row>
    <row r="50" spans="2:32">
      <c r="B50" s="7">
        <v>2016</v>
      </c>
      <c r="C50" s="8"/>
      <c r="D50" s="8"/>
      <c r="E50" s="8"/>
      <c r="F50" s="8"/>
      <c r="G50" s="8"/>
      <c r="H50" s="8"/>
      <c r="I50" s="8"/>
      <c r="J50" s="8"/>
      <c r="K50" s="8"/>
      <c r="L50" s="50"/>
      <c r="M50" s="50">
        <f>L16-M16</f>
        <v>2600275.5890525281</v>
      </c>
      <c r="N50" s="50">
        <f t="shared" ref="N50:AB50" si="11">M16-N16</f>
        <v>4214564.2249146812</v>
      </c>
      <c r="O50" s="50">
        <f t="shared" si="11"/>
        <v>4231447.4809638541</v>
      </c>
      <c r="P50" s="50">
        <f t="shared" si="11"/>
        <v>3565864.5070042834</v>
      </c>
      <c r="Q50" s="50">
        <f t="shared" si="11"/>
        <v>2685673.909304304</v>
      </c>
      <c r="R50" s="50">
        <f t="shared" si="11"/>
        <v>1856584.7833943837</v>
      </c>
      <c r="S50" s="50">
        <f t="shared" si="11"/>
        <v>1195307.1162171648</v>
      </c>
      <c r="T50" s="50">
        <f t="shared" si="11"/>
        <v>723346.84650101617</v>
      </c>
      <c r="U50" s="50">
        <f t="shared" si="11"/>
        <v>414081.23370311043</v>
      </c>
      <c r="V50" s="50">
        <f t="shared" si="11"/>
        <v>225289.19590374091</v>
      </c>
      <c r="W50" s="50">
        <f t="shared" si="11"/>
        <v>116920.66130747682</v>
      </c>
      <c r="X50" s="50">
        <f t="shared" si="11"/>
        <v>58050.184098665311</v>
      </c>
      <c r="Y50" s="50">
        <f t="shared" si="11"/>
        <v>27638.770111745624</v>
      </c>
      <c r="Z50" s="50">
        <f t="shared" si="11"/>
        <v>12644.814418979369</v>
      </c>
      <c r="AA50" s="50">
        <f t="shared" si="11"/>
        <v>5568.4546335594778</v>
      </c>
      <c r="AB50" s="50">
        <f t="shared" si="11"/>
        <v>2363.9419750459429</v>
      </c>
      <c r="AD50" s="1"/>
      <c r="AE50" s="1"/>
      <c r="AF50" s="1"/>
    </row>
    <row r="51" spans="2:32">
      <c r="B51" s="7">
        <v>2017</v>
      </c>
      <c r="C51" s="8"/>
      <c r="D51" s="8"/>
      <c r="E51" s="8"/>
      <c r="F51" s="8"/>
      <c r="G51" s="8"/>
      <c r="H51" s="8"/>
      <c r="I51" s="8"/>
      <c r="J51" s="8"/>
      <c r="K51" s="8"/>
      <c r="L51" s="8"/>
      <c r="M51" s="50"/>
      <c r="N51" s="50">
        <f>M17-N17</f>
        <v>2218004.2168749422</v>
      </c>
      <c r="O51" s="50">
        <f t="shared" ref="O51:AB51" si="12">N17-O17</f>
        <v>3594973.2645673826</v>
      </c>
      <c r="P51" s="50">
        <f t="shared" si="12"/>
        <v>3609374.4816034939</v>
      </c>
      <c r="Q51" s="50">
        <f t="shared" si="12"/>
        <v>3041640.1040868349</v>
      </c>
      <c r="R51" s="50">
        <f t="shared" si="12"/>
        <v>2290847.9705254911</v>
      </c>
      <c r="S51" s="50">
        <f t="shared" si="12"/>
        <v>1583644.7859186558</v>
      </c>
      <c r="T51" s="50">
        <f t="shared" si="12"/>
        <v>1019582.7839911096</v>
      </c>
      <c r="U51" s="50">
        <f t="shared" si="12"/>
        <v>617006.27524140326</v>
      </c>
      <c r="V51" s="50">
        <f t="shared" si="12"/>
        <v>353206.37795047369</v>
      </c>
      <c r="W51" s="50">
        <f t="shared" si="12"/>
        <v>192169.01032899259</v>
      </c>
      <c r="X51" s="50">
        <f t="shared" si="12"/>
        <v>99731.936457659787</v>
      </c>
      <c r="Y51" s="50">
        <f t="shared" si="12"/>
        <v>49516.118085053262</v>
      </c>
      <c r="Z51" s="50">
        <f t="shared" si="12"/>
        <v>23575.542882908849</v>
      </c>
      <c r="AA51" s="50">
        <f t="shared" si="12"/>
        <v>10785.876628221798</v>
      </c>
      <c r="AB51" s="50">
        <f t="shared" si="12"/>
        <v>4749.825714901267</v>
      </c>
      <c r="AD51" s="97"/>
      <c r="AE51" s="268"/>
      <c r="AF51" s="97"/>
    </row>
    <row r="52" spans="2:32">
      <c r="B52" s="7">
        <v>2018</v>
      </c>
      <c r="C52" s="8"/>
      <c r="D52" s="8"/>
      <c r="E52" s="8"/>
      <c r="F52" s="8"/>
      <c r="G52" s="8"/>
      <c r="H52" s="8"/>
      <c r="I52" s="8"/>
      <c r="J52" s="8"/>
      <c r="K52" s="8"/>
      <c r="L52" s="8"/>
      <c r="M52" s="8"/>
      <c r="N52" s="50"/>
      <c r="O52" s="50">
        <f>N18-O18</f>
        <v>2391406.4788931943</v>
      </c>
      <c r="P52" s="50">
        <f t="shared" ref="P52:AB52" si="13">O18-P18</f>
        <v>3876026.1549218632</v>
      </c>
      <c r="Q52" s="50">
        <f t="shared" si="13"/>
        <v>3891553.2506154068</v>
      </c>
      <c r="R52" s="50">
        <f t="shared" si="13"/>
        <v>3279433.7341806563</v>
      </c>
      <c r="S52" s="50">
        <f t="shared" si="13"/>
        <v>2469945.1142580369</v>
      </c>
      <c r="T52" s="50">
        <f t="shared" si="13"/>
        <v>1707453.2016206854</v>
      </c>
      <c r="U52" s="50">
        <f t="shared" si="13"/>
        <v>1099293.1649334983</v>
      </c>
      <c r="V52" s="50">
        <f t="shared" si="13"/>
        <v>665243.46207464568</v>
      </c>
      <c r="W52" s="50">
        <f t="shared" si="13"/>
        <v>380819.84434062318</v>
      </c>
      <c r="X52" s="50">
        <f t="shared" si="13"/>
        <v>207192.67026044492</v>
      </c>
      <c r="Y52" s="50">
        <f t="shared" si="13"/>
        <v>107528.92045148865</v>
      </c>
      <c r="Z52" s="50">
        <f t="shared" si="13"/>
        <v>53387.259003986561</v>
      </c>
      <c r="AA52" s="50">
        <f t="shared" si="13"/>
        <v>25418.664926186379</v>
      </c>
      <c r="AB52" s="50">
        <f t="shared" si="13"/>
        <v>11629.110104043868</v>
      </c>
    </row>
    <row r="53" spans="2:32">
      <c r="B53" s="7">
        <v>2019</v>
      </c>
      <c r="C53" s="8"/>
      <c r="D53" s="8"/>
      <c r="E53" s="8"/>
      <c r="F53" s="8"/>
      <c r="G53" s="8"/>
      <c r="H53" s="8"/>
      <c r="I53" s="8"/>
      <c r="J53" s="8"/>
      <c r="K53" s="8"/>
      <c r="L53" s="8"/>
      <c r="M53" s="8"/>
      <c r="N53" s="8"/>
      <c r="O53" s="50"/>
      <c r="P53" s="50">
        <f>O19-P19</f>
        <v>2406023.6156688705</v>
      </c>
      <c r="Q53" s="50">
        <f t="shared" ref="Q53:AB53" si="14">P19-Q19</f>
        <v>3899717.8212916907</v>
      </c>
      <c r="R53" s="50">
        <f t="shared" si="14"/>
        <v>3915339.8241804298</v>
      </c>
      <c r="S53" s="50">
        <f t="shared" si="14"/>
        <v>3299478.8130337773</v>
      </c>
      <c r="T53" s="50">
        <f t="shared" si="14"/>
        <v>2485042.3074295754</v>
      </c>
      <c r="U53" s="50">
        <f t="shared" si="14"/>
        <v>1717889.7698939731</v>
      </c>
      <c r="V53" s="50">
        <f t="shared" si="14"/>
        <v>1106012.4402596375</v>
      </c>
      <c r="W53" s="50">
        <f t="shared" si="14"/>
        <v>669309.66945515294</v>
      </c>
      <c r="X53" s="50">
        <f t="shared" si="14"/>
        <v>383147.55224003235</v>
      </c>
      <c r="Y53" s="50">
        <f t="shared" si="14"/>
        <v>208459.1064045486</v>
      </c>
      <c r="Z53" s="50">
        <f t="shared" si="14"/>
        <v>108186.17589988382</v>
      </c>
      <c r="AA53" s="50">
        <f t="shared" si="14"/>
        <v>53713.581138607857</v>
      </c>
      <c r="AB53" s="50">
        <f t="shared" si="14"/>
        <v>25574.032951304831</v>
      </c>
    </row>
    <row r="54" spans="2:32">
      <c r="B54" s="7">
        <v>2020</v>
      </c>
      <c r="C54" s="8"/>
      <c r="D54" s="8"/>
      <c r="E54" s="8"/>
      <c r="F54" s="8"/>
      <c r="G54" s="8"/>
      <c r="H54" s="8"/>
      <c r="I54" s="8"/>
      <c r="J54" s="8"/>
      <c r="K54" s="8"/>
      <c r="L54" s="8"/>
      <c r="M54" s="8"/>
      <c r="N54" s="8"/>
      <c r="O54" s="8"/>
      <c r="P54" s="50"/>
      <c r="Q54" s="50">
        <f>P20-Q20</f>
        <v>2551489.2813789584</v>
      </c>
      <c r="R54" s="50">
        <f t="shared" ref="R54:AB54" si="15">Q20-R20</f>
        <v>4135490.6729218252</v>
      </c>
      <c r="S54" s="50">
        <f t="shared" si="15"/>
        <v>4152057.165729586</v>
      </c>
      <c r="T54" s="50">
        <f t="shared" si="15"/>
        <v>3498961.8434199374</v>
      </c>
      <c r="U54" s="50">
        <f t="shared" si="15"/>
        <v>2635285.3604128622</v>
      </c>
      <c r="V54" s="50">
        <f t="shared" si="15"/>
        <v>1821751.5846188082</v>
      </c>
      <c r="W54" s="50">
        <f t="shared" si="15"/>
        <v>1172880.7930298499</v>
      </c>
      <c r="X54" s="50">
        <f t="shared" si="15"/>
        <v>709775.4304723934</v>
      </c>
      <c r="Y54" s="50">
        <f t="shared" si="15"/>
        <v>406312.25161738781</v>
      </c>
      <c r="Z54" s="50">
        <f t="shared" si="15"/>
        <v>221062.32546232911</v>
      </c>
      <c r="AA54" s="50">
        <f t="shared" si="15"/>
        <v>114726.99868957633</v>
      </c>
      <c r="AB54" s="50">
        <f t="shared" si="15"/>
        <v>56961.047949455555</v>
      </c>
    </row>
    <row r="55" spans="2:32">
      <c r="B55" s="7">
        <v>2021</v>
      </c>
      <c r="C55" s="8"/>
      <c r="D55" s="8"/>
      <c r="E55" s="8"/>
      <c r="F55" s="8"/>
      <c r="G55" s="8"/>
      <c r="H55" s="8"/>
      <c r="I55" s="8"/>
      <c r="J55" s="8"/>
      <c r="K55" s="8"/>
      <c r="L55" s="8"/>
      <c r="M55" s="8"/>
      <c r="N55" s="8"/>
      <c r="O55" s="8"/>
      <c r="P55" s="8"/>
      <c r="Q55" s="50"/>
      <c r="R55" s="50">
        <f>Q21-R21</f>
        <v>2537330.030899182</v>
      </c>
      <c r="S55" s="50">
        <f t="shared" ref="S55:AB55" si="16">R21-S21</f>
        <v>4112541.1552726477</v>
      </c>
      <c r="T55" s="50">
        <f t="shared" si="16"/>
        <v>4129015.7138822377</v>
      </c>
      <c r="U55" s="50">
        <f t="shared" si="16"/>
        <v>3479544.6828142712</v>
      </c>
      <c r="V55" s="50">
        <f t="shared" si="16"/>
        <v>2620661.0914511625</v>
      </c>
      <c r="W55" s="50">
        <f t="shared" si="16"/>
        <v>1811641.945049949</v>
      </c>
      <c r="X55" s="50">
        <f t="shared" si="16"/>
        <v>1166372.0010656307</v>
      </c>
      <c r="Y55" s="50">
        <f t="shared" si="16"/>
        <v>705836.59828611067</v>
      </c>
      <c r="Z55" s="50">
        <f t="shared" si="16"/>
        <v>404057.45988236472</v>
      </c>
      <c r="AA55" s="50">
        <f t="shared" si="16"/>
        <v>219835.56081914328</v>
      </c>
      <c r="AB55" s="50">
        <f t="shared" si="16"/>
        <v>114090.33196983178</v>
      </c>
    </row>
    <row r="56" spans="2:32">
      <c r="B56" s="7">
        <v>2022</v>
      </c>
      <c r="C56" s="8"/>
      <c r="D56" s="8"/>
      <c r="E56" s="8"/>
      <c r="F56" s="8"/>
      <c r="G56" s="8"/>
      <c r="H56" s="8"/>
      <c r="I56" s="8"/>
      <c r="J56" s="8"/>
      <c r="K56" s="8"/>
      <c r="L56" s="8"/>
      <c r="M56" s="8"/>
      <c r="N56" s="8"/>
      <c r="O56" s="8"/>
      <c r="P56" s="8"/>
      <c r="Q56" s="51"/>
      <c r="R56" s="50"/>
      <c r="S56" s="50">
        <f>R22-S22</f>
        <v>2537330.030899182</v>
      </c>
      <c r="T56" s="50">
        <f t="shared" ref="T56:AB56" si="17">S22-T22</f>
        <v>4112541.1552726477</v>
      </c>
      <c r="U56" s="50">
        <f t="shared" si="17"/>
        <v>4129015.7138822377</v>
      </c>
      <c r="V56" s="50">
        <f t="shared" si="17"/>
        <v>3479544.6828142712</v>
      </c>
      <c r="W56" s="50">
        <f t="shared" si="17"/>
        <v>2620661.0914511625</v>
      </c>
      <c r="X56" s="50">
        <f t="shared" si="17"/>
        <v>1811641.945049949</v>
      </c>
      <c r="Y56" s="50">
        <f t="shared" si="17"/>
        <v>1166372.0010656307</v>
      </c>
      <c r="Z56" s="50">
        <f t="shared" si="17"/>
        <v>705836.59828611067</v>
      </c>
      <c r="AA56" s="50">
        <f t="shared" si="17"/>
        <v>404057.45988236472</v>
      </c>
      <c r="AB56" s="50">
        <f t="shared" si="17"/>
        <v>219835.56081914328</v>
      </c>
    </row>
    <row r="57" spans="2:32">
      <c r="B57" s="7">
        <v>2023</v>
      </c>
      <c r="C57" s="8"/>
      <c r="D57" s="8"/>
      <c r="E57" s="8"/>
      <c r="F57" s="8"/>
      <c r="G57" s="8"/>
      <c r="H57" s="8"/>
      <c r="I57" s="8"/>
      <c r="J57" s="8"/>
      <c r="K57" s="8"/>
      <c r="L57" s="8"/>
      <c r="M57" s="8"/>
      <c r="N57" s="8"/>
      <c r="O57" s="8"/>
      <c r="P57" s="8"/>
      <c r="Q57" s="51"/>
      <c r="R57" s="51"/>
      <c r="S57" s="50"/>
      <c r="T57" s="50">
        <f>S23-T23</f>
        <v>2537330.030899182</v>
      </c>
      <c r="U57" s="50">
        <f t="shared" ref="U57:AB57" si="18">T23-U23</f>
        <v>4112541.1552726477</v>
      </c>
      <c r="V57" s="50">
        <f t="shared" si="18"/>
        <v>4129015.7138822377</v>
      </c>
      <c r="W57" s="50">
        <f t="shared" si="18"/>
        <v>3479544.6828142712</v>
      </c>
      <c r="X57" s="50">
        <f t="shared" si="18"/>
        <v>2620661.0914511625</v>
      </c>
      <c r="Y57" s="50">
        <f t="shared" si="18"/>
        <v>1811641.945049949</v>
      </c>
      <c r="Z57" s="50">
        <f t="shared" si="18"/>
        <v>1166372.0010656307</v>
      </c>
      <c r="AA57" s="50">
        <f t="shared" si="18"/>
        <v>705836.59828611067</v>
      </c>
      <c r="AB57" s="50">
        <f t="shared" si="18"/>
        <v>404057.45988236472</v>
      </c>
    </row>
    <row r="58" spans="2:32">
      <c r="B58" s="7">
        <v>2024</v>
      </c>
      <c r="C58" s="8"/>
      <c r="D58" s="8"/>
      <c r="E58" s="8"/>
      <c r="F58" s="8"/>
      <c r="G58" s="8"/>
      <c r="H58" s="8"/>
      <c r="I58" s="8"/>
      <c r="J58" s="8"/>
      <c r="K58" s="8"/>
      <c r="L58" s="8"/>
      <c r="M58" s="8"/>
      <c r="N58" s="8"/>
      <c r="O58" s="8"/>
      <c r="P58" s="8"/>
      <c r="Q58" s="51"/>
      <c r="R58" s="51"/>
      <c r="S58" s="51"/>
      <c r="T58" s="50"/>
      <c r="U58" s="50">
        <f>T24-U24</f>
        <v>2537330.030899182</v>
      </c>
      <c r="V58" s="50">
        <f t="shared" ref="V58:AB58" si="19">U24-V24</f>
        <v>4112541.1552726477</v>
      </c>
      <c r="W58" s="50">
        <f t="shared" si="19"/>
        <v>4129015.7138822377</v>
      </c>
      <c r="X58" s="50">
        <f t="shared" si="19"/>
        <v>3479544.6828142712</v>
      </c>
      <c r="Y58" s="50">
        <f t="shared" si="19"/>
        <v>2620661.0914511625</v>
      </c>
      <c r="Z58" s="50">
        <f t="shared" si="19"/>
        <v>1811641.945049949</v>
      </c>
      <c r="AA58" s="50">
        <f t="shared" si="19"/>
        <v>1166372.0010656307</v>
      </c>
      <c r="AB58" s="50">
        <f t="shared" si="19"/>
        <v>705836.59828611067</v>
      </c>
    </row>
    <row r="59" spans="2:32">
      <c r="B59" s="7">
        <v>2025</v>
      </c>
      <c r="C59" s="8"/>
      <c r="D59" s="8"/>
      <c r="E59" s="8"/>
      <c r="F59" s="8"/>
      <c r="G59" s="8"/>
      <c r="H59" s="8"/>
      <c r="I59" s="8"/>
      <c r="J59" s="8"/>
      <c r="K59" s="8"/>
      <c r="L59" s="8"/>
      <c r="M59" s="8"/>
      <c r="N59" s="8"/>
      <c r="O59" s="8"/>
      <c r="P59" s="8"/>
      <c r="Q59" s="51"/>
      <c r="R59" s="51"/>
      <c r="S59" s="51"/>
      <c r="T59" s="51"/>
      <c r="U59" s="50"/>
      <c r="V59" s="50">
        <f>U25-V25</f>
        <v>2537330.030899182</v>
      </c>
      <c r="W59" s="50">
        <f t="shared" ref="W59:AB59" si="20">V25-W25</f>
        <v>4112541.1552726477</v>
      </c>
      <c r="X59" s="50">
        <f t="shared" si="20"/>
        <v>4129015.7138822377</v>
      </c>
      <c r="Y59" s="50">
        <f t="shared" si="20"/>
        <v>3479544.6828142712</v>
      </c>
      <c r="Z59" s="50">
        <f t="shared" si="20"/>
        <v>2620661.0914511625</v>
      </c>
      <c r="AA59" s="50">
        <f t="shared" si="20"/>
        <v>1811641.945049949</v>
      </c>
      <c r="AB59" s="50">
        <f t="shared" si="20"/>
        <v>1166372.0010656307</v>
      </c>
    </row>
    <row r="60" spans="2:32">
      <c r="B60" s="7">
        <v>2026</v>
      </c>
      <c r="C60" s="8"/>
      <c r="D60" s="8"/>
      <c r="E60" s="8"/>
      <c r="F60" s="8"/>
      <c r="G60" s="8"/>
      <c r="H60" s="8"/>
      <c r="I60" s="8"/>
      <c r="J60" s="8"/>
      <c r="K60" s="8"/>
      <c r="L60" s="8"/>
      <c r="M60" s="8"/>
      <c r="N60" s="8"/>
      <c r="O60" s="8"/>
      <c r="P60" s="8"/>
      <c r="Q60" s="51"/>
      <c r="R60" s="51"/>
      <c r="S60" s="51"/>
      <c r="T60" s="51"/>
      <c r="U60" s="51"/>
      <c r="V60" s="50"/>
      <c r="W60" s="50">
        <f>V26-W26</f>
        <v>2537330.030899182</v>
      </c>
      <c r="X60" s="50">
        <f t="shared" ref="X60:AB60" si="21">W26-X26</f>
        <v>4112541.1552726477</v>
      </c>
      <c r="Y60" s="50">
        <f t="shared" si="21"/>
        <v>4129015.7138822377</v>
      </c>
      <c r="Z60" s="50">
        <f t="shared" si="21"/>
        <v>3479544.6828142712</v>
      </c>
      <c r="AA60" s="50">
        <f t="shared" si="21"/>
        <v>2620661.0914511625</v>
      </c>
      <c r="AB60" s="50">
        <f t="shared" si="21"/>
        <v>1811641.945049949</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2537330.030899182</v>
      </c>
      <c r="Y61" s="50">
        <f t="shared" ref="Y61:AB61" si="22">X27-Y27</f>
        <v>4112541.1552726477</v>
      </c>
      <c r="Z61" s="50">
        <f t="shared" si="22"/>
        <v>4129015.7138822377</v>
      </c>
      <c r="AA61" s="50">
        <f t="shared" si="22"/>
        <v>3479544.6828142712</v>
      </c>
      <c r="AB61" s="50">
        <f t="shared" si="22"/>
        <v>2620661.0914511625</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2537330.030899182</v>
      </c>
      <c r="Z62" s="50">
        <f t="shared" ref="Z62:AB62" si="23">Y28-Z28</f>
        <v>4112541.1552726477</v>
      </c>
      <c r="AA62" s="50">
        <f t="shared" si="23"/>
        <v>4129015.7138822377</v>
      </c>
      <c r="AB62" s="50">
        <f t="shared" si="23"/>
        <v>3479544.6828142712</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2537330.030899182</v>
      </c>
      <c r="AA63" s="50">
        <f t="shared" ref="AA63:AB63" si="24">Z29-AA29</f>
        <v>4112541.1552726477</v>
      </c>
      <c r="AB63" s="50">
        <f t="shared" si="24"/>
        <v>4129015.7138822377</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2537330.030899182</v>
      </c>
      <c r="AB64" s="50">
        <f>AA30-AB30</f>
        <v>4112541.1552726477</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2537330.030899182</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5">ROUND(SUM(C41:C66),0)</f>
        <v>0</v>
      </c>
      <c r="D67" s="90">
        <f t="shared" si="25"/>
        <v>2003202</v>
      </c>
      <c r="E67" s="90">
        <f t="shared" si="25"/>
        <v>5143289</v>
      </c>
      <c r="F67" s="90">
        <f t="shared" si="25"/>
        <v>8271515</v>
      </c>
      <c r="G67" s="90">
        <f t="shared" si="25"/>
        <v>10970157</v>
      </c>
      <c r="H67" s="90">
        <f t="shared" si="25"/>
        <v>12748459</v>
      </c>
      <c r="I67" s="90">
        <f t="shared" si="25"/>
        <v>14162790</v>
      </c>
      <c r="J67" s="90">
        <f t="shared" si="25"/>
        <v>15782562</v>
      </c>
      <c r="K67" s="90">
        <f t="shared" si="25"/>
        <v>17308352</v>
      </c>
      <c r="L67" s="90">
        <f t="shared" si="25"/>
        <v>18635386</v>
      </c>
      <c r="M67" s="90">
        <f t="shared" si="25"/>
        <v>19714704</v>
      </c>
      <c r="N67" s="90">
        <f t="shared" si="25"/>
        <v>20134726</v>
      </c>
      <c r="O67" s="90">
        <f t="shared" si="25"/>
        <v>20243922</v>
      </c>
      <c r="P67" s="90">
        <f t="shared" si="25"/>
        <v>20279119</v>
      </c>
      <c r="Q67" s="90">
        <f t="shared" si="25"/>
        <v>20429017</v>
      </c>
      <c r="R67" s="90">
        <f t="shared" si="25"/>
        <v>20647854</v>
      </c>
      <c r="S67" s="90">
        <f t="shared" si="25"/>
        <v>20860705</v>
      </c>
      <c r="T67" s="90">
        <f t="shared" si="25"/>
        <v>21039269</v>
      </c>
      <c r="U67" s="90">
        <f t="shared" si="25"/>
        <v>21173851</v>
      </c>
      <c r="V67" s="90">
        <f t="shared" si="25"/>
        <v>21266990</v>
      </c>
      <c r="W67" s="90">
        <f t="shared" si="25"/>
        <v>21326959</v>
      </c>
      <c r="X67" s="90">
        <f t="shared" si="25"/>
        <v>21363201</v>
      </c>
      <c r="Y67" s="90">
        <f t="shared" si="25"/>
        <v>21383892</v>
      </c>
      <c r="Z67" s="90">
        <f t="shared" si="25"/>
        <v>21395104</v>
      </c>
      <c r="AA67" s="90">
        <f t="shared" si="25"/>
        <v>21400892</v>
      </c>
      <c r="AB67" s="267">
        <f t="shared" si="25"/>
        <v>21403748</v>
      </c>
      <c r="AD67" s="1"/>
      <c r="AE67" s="1"/>
      <c r="AF67" s="1"/>
    </row>
    <row r="68" spans="1:32">
      <c r="R68" s="97"/>
      <c r="S68" s="97"/>
      <c r="T68" s="97"/>
      <c r="U68" s="97"/>
      <c r="V68" s="97"/>
      <c r="W68" s="97"/>
      <c r="X68" s="97"/>
      <c r="Y68" s="97"/>
      <c r="Z68" s="97"/>
      <c r="AA68" s="97"/>
      <c r="AB68" s="97"/>
      <c r="AD68" s="97"/>
      <c r="AE68" s="268"/>
      <c r="AF68" s="97"/>
    </row>
    <row r="69" spans="1:32" ht="21">
      <c r="B69" s="52" t="s">
        <v>7652</v>
      </c>
      <c r="Q69" s="46"/>
      <c r="R69" s="46"/>
      <c r="S69" s="46"/>
      <c r="T69" s="46"/>
      <c r="U69" s="46"/>
      <c r="V69" s="46"/>
      <c r="W69" s="46"/>
      <c r="X69" s="46"/>
      <c r="Y69" s="46"/>
      <c r="Z69" s="46"/>
      <c r="AA69" s="46"/>
      <c r="AB69" s="46"/>
    </row>
    <row r="70" spans="1:32">
      <c r="B70" s="7" t="s">
        <v>7761</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759930.1157694119</v>
      </c>
      <c r="E71" s="91">
        <f>E67*Outflow_routing!D4</f>
        <v>1951146.3173486961</v>
      </c>
      <c r="F71" s="91">
        <f>F67*Outflow_routing!E4</f>
        <v>3137862.9571747766</v>
      </c>
      <c r="G71" s="91">
        <f>G67*Outflow_routing!F4</f>
        <v>4161613.5961418892</v>
      </c>
      <c r="H71" s="91">
        <f>H67*Outflow_routing!G4</f>
        <v>4836226.1637875764</v>
      </c>
      <c r="I71" s="91">
        <f>I67*Outflow_routing!H4</f>
        <v>5372763.5277510053</v>
      </c>
      <c r="J71" s="91">
        <f>J67*Outflow_routing!I4</f>
        <v>5987236.5182332695</v>
      </c>
      <c r="K71" s="91">
        <f>K67*Outflow_routing!J4</f>
        <v>6566056.7127717184</v>
      </c>
      <c r="L71" s="91">
        <f>L67*Outflow_routing!K4</f>
        <v>7069477.2870572601</v>
      </c>
      <c r="M71" s="91">
        <f>M67*Outflow_routing!L4</f>
        <v>7478924.8877944853</v>
      </c>
      <c r="N71" s="91">
        <f>N67*Outflow_routing!M4</f>
        <v>7638263.4702667966</v>
      </c>
      <c r="O71" s="91">
        <f>O67*Outflow_routing!N4</f>
        <v>7679687.814352694</v>
      </c>
      <c r="P71" s="91">
        <f>P67*Outflow_routing!O4</f>
        <v>7693040.0675377129</v>
      </c>
      <c r="Q71" s="91">
        <f>Q67*Outflow_routing!P4</f>
        <v>7749905.0289812433</v>
      </c>
      <c r="R71" s="91">
        <f>R67*Outflow_routing!Q4</f>
        <v>7832922.5313322945</v>
      </c>
      <c r="S71" s="91">
        <f>S67*Outflow_routing!R4</f>
        <v>7913669.1984540503</v>
      </c>
      <c r="T71" s="91">
        <f>T67*Outflow_routing!S4</f>
        <v>7981408.8279034263</v>
      </c>
      <c r="U71" s="91">
        <f>U67*Outflow_routing!T4</f>
        <v>8032463.5467188423</v>
      </c>
      <c r="V71" s="91">
        <f>V67*Outflow_routing!U4</f>
        <v>8067796.5441163322</v>
      </c>
      <c r="W71" s="91">
        <f>W67*Outflow_routing!V4</f>
        <v>8090546.2463992657</v>
      </c>
      <c r="X71" s="91">
        <f>X67*Outflow_routing!W4</f>
        <v>8104294.9283872601</v>
      </c>
      <c r="Y71" s="91">
        <f>Y67*Outflow_routing!X4</f>
        <v>8112144.2186861839</v>
      </c>
      <c r="Z71" s="91">
        <f>Z67*Outflow_routing!Y4</f>
        <v>8116397.577288066</v>
      </c>
      <c r="AA71" s="91">
        <f>AA67*Outflow_routing!Z4</f>
        <v>8118593.2996915346</v>
      </c>
      <c r="AB71" s="91">
        <f>AB67*Outflow_routing!AA4</f>
        <v>8119676.7453004336</v>
      </c>
    </row>
    <row r="72" spans="1:32">
      <c r="B72" s="7" t="s">
        <v>6907</v>
      </c>
      <c r="C72" s="91">
        <f>C67*Outflow_routing!B5</f>
        <v>0</v>
      </c>
      <c r="D72" s="91">
        <f>D67*Outflow_routing!C5</f>
        <v>171309.27493420307</v>
      </c>
      <c r="E72" s="91">
        <f>E67*Outflow_routing!D5</f>
        <v>439842.36705387791</v>
      </c>
      <c r="F72" s="91">
        <f>F67*Outflow_routing!E5</f>
        <v>707361.13345403248</v>
      </c>
      <c r="G72" s="91">
        <f>G67*Outflow_routing!F5</f>
        <v>938142.85408279963</v>
      </c>
      <c r="H72" s="91">
        <f>H67*Outflow_routing!G5</f>
        <v>1090219.1929812448</v>
      </c>
      <c r="I72" s="91">
        <f>I67*Outflow_routing!H5</f>
        <v>1211169.5605063203</v>
      </c>
      <c r="J72" s="91">
        <f>J67*Outflow_routing!I5</f>
        <v>1349688.7746837842</v>
      </c>
      <c r="K72" s="91">
        <f>K67*Outflow_routing!J5</f>
        <v>1480170.8621626594</v>
      </c>
      <c r="L72" s="91">
        <f>L67*Outflow_routing!K5</f>
        <v>1593655.7889713561</v>
      </c>
      <c r="M72" s="91">
        <f>M67*Outflow_routing!L5</f>
        <v>1685956.6073628287</v>
      </c>
      <c r="N72" s="91">
        <f>N67*Outflow_routing!M5</f>
        <v>1721875.9326612328</v>
      </c>
      <c r="O72" s="91">
        <f>O67*Outflow_routing!N5</f>
        <v>1731214.1260065446</v>
      </c>
      <c r="P72" s="91">
        <f>P67*Outflow_routing!O5</f>
        <v>1734224.0933237991</v>
      </c>
      <c r="Q72" s="91">
        <f>Q67*Outflow_routing!P5</f>
        <v>1747043.0290547374</v>
      </c>
      <c r="R72" s="91">
        <f>R67*Outflow_routing!Q5</f>
        <v>1765757.4711323592</v>
      </c>
      <c r="S72" s="91">
        <f>S67*Outflow_routing!R5</f>
        <v>1783960.0041165617</v>
      </c>
      <c r="T72" s="91">
        <f>T67*Outflow_routing!S5</f>
        <v>1799230.3909119777</v>
      </c>
      <c r="U72" s="91">
        <f>U67*Outflow_routing!T5</f>
        <v>1810739.5371883865</v>
      </c>
      <c r="V72" s="91">
        <f>V67*Outflow_routing!U5</f>
        <v>1818704.5724459875</v>
      </c>
      <c r="W72" s="91">
        <f>W67*Outflow_routing!V5</f>
        <v>1823832.9848120541</v>
      </c>
      <c r="X72" s="91">
        <f>X67*Outflow_routing!W5</f>
        <v>1826932.3181504621</v>
      </c>
      <c r="Y72" s="91">
        <f>Y67*Outflow_routing!X5</f>
        <v>1828701.7653692965</v>
      </c>
      <c r="Z72" s="91">
        <f>Z67*Outflow_routing!Y5</f>
        <v>1829660.5900862059</v>
      </c>
      <c r="AA72" s="91">
        <f>AA67*Outflow_routing!Z5</f>
        <v>1830155.5666703542</v>
      </c>
      <c r="AB72" s="91">
        <f>AB67*Outflow_routing!AA5</f>
        <v>1830399.8052889318</v>
      </c>
    </row>
    <row r="73" spans="1:32">
      <c r="B73" s="7" t="s">
        <v>6908</v>
      </c>
      <c r="C73" s="91">
        <f>C67*Outflow_routing!B6</f>
        <v>0</v>
      </c>
      <c r="D73" s="91">
        <f>D67*Outflow_routing!C6</f>
        <v>27704.115054336067</v>
      </c>
      <c r="E73" s="91">
        <f>E67*Outflow_routing!D6</f>
        <v>71131.253969245779</v>
      </c>
      <c r="F73" s="91">
        <f>F67*Outflow_routing!E6</f>
        <v>114394.35625247308</v>
      </c>
      <c r="G73" s="91">
        <f>G67*Outflow_routing!F6</f>
        <v>151716.34797296039</v>
      </c>
      <c r="H73" s="91">
        <f>H67*Outflow_routing!G6</f>
        <v>176310.11495669739</v>
      </c>
      <c r="I73" s="91">
        <f>I67*Outflow_routing!H6</f>
        <v>195870.19364517424</v>
      </c>
      <c r="J73" s="91">
        <f>J67*Outflow_routing!I6</f>
        <v>218271.50407207679</v>
      </c>
      <c r="K73" s="91">
        <f>K67*Outflow_routing!J6</f>
        <v>239373.0513492637</v>
      </c>
      <c r="L73" s="91">
        <f>L67*Outflow_routing!K6</f>
        <v>257725.81987536134</v>
      </c>
      <c r="M73" s="91">
        <f>M67*Outflow_routing!L6</f>
        <v>272652.69697123877</v>
      </c>
      <c r="N73" s="91">
        <f>N67*Outflow_routing!M6</f>
        <v>278461.56587879395</v>
      </c>
      <c r="O73" s="91">
        <f>O67*Outflow_routing!N6</f>
        <v>279971.7373679764</v>
      </c>
      <c r="P73" s="91">
        <f>P67*Outflow_routing!O6</f>
        <v>280458.50891551253</v>
      </c>
      <c r="Q73" s="91">
        <f>Q67*Outflow_routing!P6</f>
        <v>282531.58563888585</v>
      </c>
      <c r="R73" s="91">
        <f>R67*Outflow_routing!Q6</f>
        <v>285558.08292979596</v>
      </c>
      <c r="S73" s="91">
        <f>S67*Outflow_routing!R6</f>
        <v>288501.7943445362</v>
      </c>
      <c r="T73" s="91">
        <f>T67*Outflow_routing!S6</f>
        <v>290971.31943514739</v>
      </c>
      <c r="U73" s="91">
        <f>U67*Outflow_routing!T6</f>
        <v>292832.57716763898</v>
      </c>
      <c r="V73" s="91">
        <f>V67*Outflow_routing!U6</f>
        <v>294120.68169830827</v>
      </c>
      <c r="W73" s="91">
        <f>W67*Outflow_routing!V6</f>
        <v>294950.04792083276</v>
      </c>
      <c r="X73" s="91">
        <f>X67*Outflow_routing!W6</f>
        <v>295451.27173041325</v>
      </c>
      <c r="Y73" s="91">
        <f>Y67*Outflow_routing!X6</f>
        <v>295737.42651889153</v>
      </c>
      <c r="Z73" s="91">
        <f>Z67*Outflow_routing!Y6</f>
        <v>295892.48753519903</v>
      </c>
      <c r="AA73" s="91">
        <f>AA67*Outflow_routing!Z6</f>
        <v>295972.53508803417</v>
      </c>
      <c r="AB73" s="91">
        <f>AB67*Outflow_routing!AA6</f>
        <v>296012.03332765016</v>
      </c>
    </row>
    <row r="75" spans="1:32" ht="21">
      <c r="A75" s="293" t="s">
        <v>7792</v>
      </c>
      <c r="B75" s="52" t="s">
        <v>7805</v>
      </c>
      <c r="C75" s="162"/>
      <c r="D75" s="162"/>
      <c r="E75" s="162"/>
      <c r="F75" s="162"/>
      <c r="G75" s="162"/>
      <c r="H75" s="162"/>
      <c r="I75" s="162"/>
      <c r="J75" s="162"/>
      <c r="K75" s="162"/>
      <c r="L75" s="162"/>
      <c r="M75" s="162"/>
      <c r="N75" s="162"/>
      <c r="O75" s="162"/>
    </row>
    <row r="76" spans="1:32">
      <c r="A76" s="1" t="s">
        <v>7762</v>
      </c>
      <c r="B76" s="163">
        <v>2007</v>
      </c>
      <c r="C76" s="164">
        <f>((VLOOKUP($B$76,Energy_demand!$A$34:$E$66,5,FALSE )))*C7</f>
        <v>73442207.054328874</v>
      </c>
      <c r="D76" s="164">
        <f>((VLOOKUP($B$76,Energy_demand!$A$34:$E$66,5,FALSE )))*D7</f>
        <v>64736905.96523577</v>
      </c>
      <c r="E76" s="164">
        <f>((VLOOKUP($B$76,Energy_demand!$A$34:$E$66,5,FALSE )))*E7</f>
        <v>50627228.248124592</v>
      </c>
      <c r="F76" s="164">
        <f>((VLOOKUP($B$76,Energy_demand!$A$34:$E$66,5,FALSE )))*F7</f>
        <v>36461028.12704552</v>
      </c>
      <c r="G76" s="164">
        <f>((VLOOKUP($B$76,Energy_demand!$A$34:$E$66,5,FALSE )))*G7</f>
        <v>24523091.891719915</v>
      </c>
      <c r="H76" s="164">
        <f>((VLOOKUP($B$76,Energy_demand!$A$34:$E$66,5,FALSE )))*H7</f>
        <v>15531891.0720658</v>
      </c>
      <c r="I76" s="164">
        <f>((VLOOKUP($B$76,Energy_demand!$A$34:$E$66,5,FALSE )))*I7</f>
        <v>9316346.2256190199</v>
      </c>
      <c r="J76" s="164">
        <f>((VLOOKUP($B$76,Energy_demand!$A$34:$E$66,5,FALSE )))*J7</f>
        <v>5314651.7958384035</v>
      </c>
      <c r="K76" s="164">
        <f>((VLOOKUP($B$76,Energy_demand!$A$34:$E$66,5,FALSE )))*K7</f>
        <v>2893003.830081128</v>
      </c>
      <c r="L76" s="164">
        <f>((VLOOKUP($B$76,Energy_demand!$A$34:$E$66,5,FALSE )))*L7</f>
        <v>1506726.9946930145</v>
      </c>
      <c r="M76" s="164">
        <f>((VLOOKUP($B$76,Energy_demand!$A$34:$E$66,5,FALSE )))*M7</f>
        <v>752495.29297698336</v>
      </c>
      <c r="N76" s="164">
        <f>((VLOOKUP($B$76,Energy_demand!$A$34:$E$66,5,FALSE )))*N7</f>
        <v>361063.87528316362</v>
      </c>
      <c r="O76" s="164">
        <f>((VLOOKUP($B$76,Energy_demand!$A$34:$E$66,5,FALSE )))*O7</f>
        <v>166721.2706055186</v>
      </c>
      <c r="P76" s="164">
        <f>((VLOOKUP($B$76,Energy_demand!$A$34:$E$66,5,FALSE )))*P7</f>
        <v>74191.149349162617</v>
      </c>
      <c r="Q76" s="164">
        <f>((VLOOKUP($B$76,Energy_demand!$A$34:$E$66,5,FALSE )))*Q7</f>
        <v>31858.360779997776</v>
      </c>
      <c r="R76" s="164">
        <f>((VLOOKUP($B$76,Energy_demand!$A$34:$E$66,5,FALSE )))*R7</f>
        <v>13216.077481190259</v>
      </c>
      <c r="S76" s="164">
        <f>((VLOOKUP($B$76,Energy_demand!$A$34:$E$66,5,FALSE )))*S7</f>
        <v>5301.983014988421</v>
      </c>
      <c r="T76" s="164">
        <f>((VLOOKUP($B$76,Energy_demand!$A$34:$E$66,5,FALSE )))*T7</f>
        <v>2058.914329032179</v>
      </c>
      <c r="U76" s="164">
        <f>((VLOOKUP($B$76,Energy_demand!$A$34:$E$66,5,FALSE )))*U7</f>
        <v>774.59523039112969</v>
      </c>
      <c r="V76" s="164">
        <f>((VLOOKUP($B$76,Energy_demand!$A$34:$E$66,5,FALSE )))*V7</f>
        <v>282.54657913679785</v>
      </c>
      <c r="W76" s="164">
        <f>((VLOOKUP($B$76,Energy_demand!$A$34:$E$66,5,FALSE )))*W7</f>
        <v>99.99993549742662</v>
      </c>
      <c r="X76" s="164">
        <f>((VLOOKUP($B$76,Energy_demand!$A$34:$E$66,5,FALSE )))*X7</f>
        <v>34.363426931844906</v>
      </c>
      <c r="Y76" s="164">
        <f>((VLOOKUP($B$76,Energy_demand!$A$34:$E$66,5,FALSE )))*Y7</f>
        <v>11.472355171064985</v>
      </c>
      <c r="Z76" s="164">
        <f>((VLOOKUP($B$76,Energy_demand!$A$34:$E$66,5,FALSE )))*Z7</f>
        <v>3.7232507088897706</v>
      </c>
      <c r="AA76" s="164">
        <f>((VLOOKUP($B$76,Energy_demand!$A$34:$E$66,5,FALSE )))*AA7</f>
        <v>1.1752862164479347</v>
      </c>
      <c r="AB76" s="164">
        <f>((VLOOKUP($B$76,Energy_demand!$A$34:$E$66,5,FALSE )))*AB7</f>
        <v>0.36102750233894448</v>
      </c>
    </row>
    <row r="77" spans="1:32">
      <c r="B77" s="163">
        <v>2008</v>
      </c>
      <c r="C77" s="164">
        <f>((VLOOKUP($B$76,Energy_demand!$A$34:$E$66,5,FALSE )))*C8</f>
        <v>0</v>
      </c>
      <c r="D77" s="164">
        <f>((VLOOKUP($B$76,Energy_demand!$A$34:$E$66,5,FALSE )))*D8</f>
        <v>69529126.964282259</v>
      </c>
      <c r="E77" s="164">
        <f>((VLOOKUP($B$76,Energy_demand!$A$34:$E$66,5,FALSE )))*E8</f>
        <v>61287653.71664267</v>
      </c>
      <c r="F77" s="164">
        <f>((VLOOKUP($B$76,Energy_demand!$A$34:$E$66,5,FALSE )))*F8</f>
        <v>47929754.863025606</v>
      </c>
      <c r="G77" s="164">
        <f>((VLOOKUP($B$76,Energy_demand!$A$34:$E$66,5,FALSE )))*G8</f>
        <v>34518345.18015331</v>
      </c>
      <c r="H77" s="164">
        <f>((VLOOKUP($B$76,Energy_demand!$A$34:$E$66,5,FALSE )))*H8</f>
        <v>23216475.077264898</v>
      </c>
      <c r="I77" s="164">
        <f>((VLOOKUP($B$76,Energy_demand!$A$34:$E$66,5,FALSE )))*I8</f>
        <v>14704335.14540481</v>
      </c>
      <c r="J77" s="164">
        <f>((VLOOKUP($B$76,Energy_demand!$A$34:$E$66,5,FALSE )))*J8</f>
        <v>8819961.2395239975</v>
      </c>
      <c r="K77" s="164">
        <f>((VLOOKUP($B$76,Energy_demand!$A$34:$E$66,5,FALSE )))*K8</f>
        <v>5031481.4097354719</v>
      </c>
      <c r="L77" s="164">
        <f>((VLOOKUP($B$76,Energy_demand!$A$34:$E$66,5,FALSE )))*L8</f>
        <v>2738861.4623341365</v>
      </c>
      <c r="M77" s="164">
        <f>((VLOOKUP($B$76,Energy_demand!$A$34:$E$66,5,FALSE )))*M8</f>
        <v>1426446.9535484519</v>
      </c>
      <c r="N77" s="164">
        <f>((VLOOKUP($B$76,Energy_demand!$A$34:$E$66,5,FALSE )))*N8</f>
        <v>712401.53127094184</v>
      </c>
      <c r="O77" s="164">
        <f>((VLOOKUP($B$76,Energy_demand!$A$34:$E$66,5,FALSE )))*O8</f>
        <v>341826.00215442647</v>
      </c>
      <c r="P77" s="164">
        <f>((VLOOKUP($B$76,Energy_demand!$A$34:$E$66,5,FALSE )))*P8</f>
        <v>157838.18129270535</v>
      </c>
      <c r="Q77" s="164">
        <f>((VLOOKUP($B$76,Energy_demand!$A$34:$E$66,5,FALSE )))*Q8</f>
        <v>70238.164804987333</v>
      </c>
      <c r="R77" s="164">
        <f>((VLOOKUP($B$76,Energy_demand!$A$34:$E$66,5,FALSE )))*R8</f>
        <v>30160.912919021721</v>
      </c>
      <c r="S77" s="164">
        <f>((VLOOKUP($B$76,Energy_demand!$A$34:$E$66,5,FALSE )))*S8</f>
        <v>12511.910603118329</v>
      </c>
      <c r="T77" s="164">
        <f>((VLOOKUP($B$76,Energy_demand!$A$34:$E$66,5,FALSE )))*T8</f>
        <v>5019.4876352081146</v>
      </c>
      <c r="U77" s="164">
        <f>((VLOOKUP($B$76,Energy_demand!$A$34:$E$66,5,FALSE )))*U8</f>
        <v>1949.2131504975039</v>
      </c>
      <c r="V77" s="164">
        <f>((VLOOKUP($B$76,Energy_demand!$A$34:$E$66,5,FALSE )))*V8</f>
        <v>733.32396015756524</v>
      </c>
      <c r="W77" s="164">
        <f>((VLOOKUP($B$76,Energy_demand!$A$34:$E$66,5,FALSE )))*W8</f>
        <v>267.49219232468721</v>
      </c>
      <c r="X77" s="164">
        <f>((VLOOKUP($B$76,Energy_demand!$A$34:$E$66,5,FALSE )))*X8</f>
        <v>94.671830960597333</v>
      </c>
      <c r="Y77" s="164">
        <f>((VLOOKUP($B$76,Energy_demand!$A$34:$E$66,5,FALSE )))*Y8</f>
        <v>32.53250644148843</v>
      </c>
      <c r="Z77" s="164">
        <f>((VLOOKUP($B$76,Energy_demand!$A$34:$E$66,5,FALSE )))*Z8</f>
        <v>10.861095700436213</v>
      </c>
      <c r="AA77" s="164">
        <f>((VLOOKUP($B$76,Energy_demand!$A$34:$E$66,5,FALSE )))*AA8</f>
        <v>3.5248718909924435</v>
      </c>
      <c r="AB77" s="164">
        <f>((VLOOKUP($B$76,Energy_demand!$A$34:$E$66,5,FALSE )))*AB8</f>
        <v>1.112665697836797</v>
      </c>
    </row>
    <row r="78" spans="1:32">
      <c r="B78" s="163">
        <v>2009</v>
      </c>
      <c r="C78" s="164">
        <f>((VLOOKUP($B$76,Energy_demand!$A$34:$E$66,5,FALSE )))*C9</f>
        <v>0</v>
      </c>
      <c r="D78" s="164">
        <f>((VLOOKUP($B$76,Energy_demand!$A$34:$E$66,5,FALSE )))*D9</f>
        <v>0</v>
      </c>
      <c r="E78" s="164">
        <f>((VLOOKUP($B$76,Energy_demand!$A$34:$E$66,5,FALSE )))*E9</f>
        <v>71046758.684843019</v>
      </c>
      <c r="F78" s="164">
        <f>((VLOOKUP($B$76,Energy_demand!$A$34:$E$66,5,FALSE )))*F9</f>
        <v>62625396.493233286</v>
      </c>
      <c r="G78" s="164">
        <f>((VLOOKUP($B$76,Energy_demand!$A$34:$E$66,5,FALSE )))*G9</f>
        <v>48975931.041480944</v>
      </c>
      <c r="H78" s="164">
        <f>((VLOOKUP($B$76,Energy_demand!$A$34:$E$66,5,FALSE )))*H9</f>
        <v>35271786.764621608</v>
      </c>
      <c r="I78" s="164">
        <f>((VLOOKUP($B$76,Energy_demand!$A$34:$E$66,5,FALSE )))*I9</f>
        <v>23723227.578773592</v>
      </c>
      <c r="J78" s="164">
        <f>((VLOOKUP($B$76,Energy_demand!$A$34:$E$66,5,FALSE )))*J9</f>
        <v>15025290.785447385</v>
      </c>
      <c r="K78" s="164">
        <f>((VLOOKUP($B$76,Energy_demand!$A$34:$E$66,5,FALSE )))*K9</f>
        <v>9012477.0028542951</v>
      </c>
      <c r="L78" s="164">
        <f>((VLOOKUP($B$76,Energy_demand!$A$34:$E$66,5,FALSE )))*L9</f>
        <v>5141304.9631471084</v>
      </c>
      <c r="M78" s="164">
        <f>((VLOOKUP($B$76,Energy_demand!$A$34:$E$66,5,FALSE )))*M9</f>
        <v>2798643.358281068</v>
      </c>
      <c r="N78" s="164">
        <f>((VLOOKUP($B$76,Energy_demand!$A$34:$E$66,5,FALSE )))*N9</f>
        <v>1457582.4105708662</v>
      </c>
      <c r="O78" s="164">
        <f>((VLOOKUP($B$76,Energy_demand!$A$34:$E$66,5,FALSE )))*O9</f>
        <v>727951.31894752569</v>
      </c>
      <c r="P78" s="164">
        <f>((VLOOKUP($B$76,Energy_demand!$A$34:$E$66,5,FALSE )))*P9</f>
        <v>349287.13400566526</v>
      </c>
      <c r="Q78" s="164">
        <f>((VLOOKUP($B$76,Energy_demand!$A$34:$E$66,5,FALSE )))*Q9</f>
        <v>161283.3594662855</v>
      </c>
      <c r="R78" s="164">
        <f>((VLOOKUP($B$76,Energy_demand!$A$34:$E$66,5,FALSE )))*R9</f>
        <v>71771.272893008936</v>
      </c>
      <c r="S78" s="164">
        <f>((VLOOKUP($B$76,Energy_demand!$A$34:$E$66,5,FALSE )))*S9</f>
        <v>30819.243609560839</v>
      </c>
      <c r="T78" s="164">
        <f>((VLOOKUP($B$76,Energy_demand!$A$34:$E$66,5,FALSE )))*T9</f>
        <v>12785.011578855698</v>
      </c>
      <c r="U78" s="164">
        <f>((VLOOKUP($B$76,Energy_demand!$A$34:$E$66,5,FALSE )))*U9</f>
        <v>5129.0493971452042</v>
      </c>
      <c r="V78" s="164">
        <f>((VLOOKUP($B$76,Energy_demand!$A$34:$E$66,5,FALSE )))*V9</f>
        <v>1991.7591716613945</v>
      </c>
      <c r="W78" s="164">
        <f>((VLOOKUP($B$76,Energy_demand!$A$34:$E$66,5,FALSE )))*W9</f>
        <v>749.33042754718269</v>
      </c>
      <c r="X78" s="164">
        <f>((VLOOKUP($B$76,Energy_demand!$A$34:$E$66,5,FALSE )))*X9</f>
        <v>273.33081929727712</v>
      </c>
      <c r="Y78" s="164">
        <f>((VLOOKUP($B$76,Energy_demand!$A$34:$E$66,5,FALSE )))*Y9</f>
        <v>96.738259520575909</v>
      </c>
      <c r="Z78" s="164">
        <f>((VLOOKUP($B$76,Energy_demand!$A$34:$E$66,5,FALSE )))*Z9</f>
        <v>33.242602567825713</v>
      </c>
      <c r="AA78" s="164">
        <f>((VLOOKUP($B$76,Energy_demand!$A$34:$E$66,5,FALSE )))*AA9</f>
        <v>11.098163877108352</v>
      </c>
      <c r="AB78" s="164">
        <f>((VLOOKUP($B$76,Energy_demand!$A$34:$E$66,5,FALSE )))*AB9</f>
        <v>3.6018102566277723</v>
      </c>
    </row>
    <row r="79" spans="1:32">
      <c r="B79" s="163">
        <v>2010</v>
      </c>
      <c r="C79" s="164">
        <f>((VLOOKUP($B$76,Energy_demand!$A$34:$E$66,5,FALSE )))*C10</f>
        <v>0</v>
      </c>
      <c r="D79" s="164">
        <f>((VLOOKUP($B$76,Energy_demand!$A$34:$E$66,5,FALSE )))*D10</f>
        <v>0</v>
      </c>
      <c r="E79" s="164">
        <f>((VLOOKUP($B$76,Energy_demand!$A$34:$E$66,5,FALSE )))*E10</f>
        <v>0</v>
      </c>
      <c r="F79" s="164">
        <f>((VLOOKUP($B$76,Energy_demand!$A$34:$E$66,5,FALSE )))*F10</f>
        <v>73179120.576199368</v>
      </c>
      <c r="G79" s="164">
        <f>((VLOOKUP($B$76,Energy_demand!$A$34:$E$66,5,FALSE )))*G10</f>
        <v>64505003.830502875</v>
      </c>
      <c r="H79" s="164">
        <f>((VLOOKUP($B$76,Energy_demand!$A$34:$E$66,5,FALSE )))*H10</f>
        <v>50445870.147497199</v>
      </c>
      <c r="I79" s="164">
        <f>((VLOOKUP($B$76,Energy_demand!$A$34:$E$66,5,FALSE )))*I10</f>
        <v>36330416.536467522</v>
      </c>
      <c r="J79" s="164">
        <f>((VLOOKUP($B$76,Energy_demand!$A$34:$E$66,5,FALSE )))*J10</f>
        <v>24435244.669565137</v>
      </c>
      <c r="K79" s="164">
        <f>((VLOOKUP($B$76,Energy_demand!$A$34:$E$66,5,FALSE )))*K10</f>
        <v>15476252.350345224</v>
      </c>
      <c r="L79" s="164">
        <f>((VLOOKUP($B$76,Energy_demand!$A$34:$E$66,5,FALSE )))*L10</f>
        <v>9282972.9813247677</v>
      </c>
      <c r="M79" s="164">
        <f>((VLOOKUP($B$76,Energy_demand!$A$34:$E$66,5,FALSE )))*M10</f>
        <v>5295613.5196273215</v>
      </c>
      <c r="N79" s="164">
        <f>((VLOOKUP($B$76,Energy_demand!$A$34:$E$66,5,FALSE )))*N10</f>
        <v>2882640.4406978521</v>
      </c>
      <c r="O79" s="164">
        <f>((VLOOKUP($B$76,Energy_demand!$A$34:$E$66,5,FALSE )))*O10</f>
        <v>1501329.5602416892</v>
      </c>
      <c r="P79" s="164">
        <f>((VLOOKUP($B$76,Energy_demand!$A$34:$E$66,5,FALSE )))*P10</f>
        <v>749799.68585433939</v>
      </c>
      <c r="Q79" s="164">
        <f>((VLOOKUP($B$76,Energy_demand!$A$34:$E$66,5,FALSE )))*Q10</f>
        <v>359770.46340002446</v>
      </c>
      <c r="R79" s="164">
        <f>((VLOOKUP($B$76,Energy_demand!$A$34:$E$66,5,FALSE )))*R10</f>
        <v>166124.03757464804</v>
      </c>
      <c r="S79" s="164">
        <f>((VLOOKUP($B$76,Energy_demand!$A$34:$E$66,5,FALSE )))*S10</f>
        <v>73925.379991547699</v>
      </c>
      <c r="T79" s="164">
        <f>((VLOOKUP($B$76,Energy_demand!$A$34:$E$66,5,FALSE )))*T10</f>
        <v>31744.236977449356</v>
      </c>
      <c r="U79" s="164">
        <f>((VLOOKUP($B$76,Energy_demand!$A$34:$E$66,5,FALSE )))*U10</f>
        <v>13168.734523800091</v>
      </c>
      <c r="V79" s="164">
        <f>((VLOOKUP($B$76,Energy_demand!$A$34:$E$66,5,FALSE )))*V10</f>
        <v>5282.9901211952938</v>
      </c>
      <c r="W79" s="164">
        <f>((VLOOKUP($B$76,Energy_demand!$A$34:$E$66,5,FALSE )))*W10</f>
        <v>2051.5388355479658</v>
      </c>
      <c r="X79" s="164">
        <f>((VLOOKUP($B$76,Energy_demand!$A$34:$E$66,5,FALSE )))*X10</f>
        <v>771.82045632982238</v>
      </c>
      <c r="Y79" s="164">
        <f>((VLOOKUP($B$76,Energy_demand!$A$34:$E$66,5,FALSE )))*Y10</f>
        <v>281.5344338405971</v>
      </c>
      <c r="Z79" s="164">
        <f>((VLOOKUP($B$76,Energy_demand!$A$34:$E$66,5,FALSE )))*Z10</f>
        <v>99.641713272109612</v>
      </c>
      <c r="AA79" s="164">
        <f>((VLOOKUP($B$76,Energy_demand!$A$34:$E$66,5,FALSE )))*AA10</f>
        <v>34.240329419793397</v>
      </c>
      <c r="AB79" s="164">
        <f>((VLOOKUP($B$76,Energy_demand!$A$34:$E$66,5,FALSE )))*AB10</f>
        <v>11.43125861856659</v>
      </c>
    </row>
    <row r="80" spans="1:32">
      <c r="B80" s="163">
        <v>2011</v>
      </c>
      <c r="C80" s="164">
        <f>((VLOOKUP($B$76,Energy_demand!$A$34:$E$66,5,FALSE )))*C11</f>
        <v>0</v>
      </c>
      <c r="D80" s="164">
        <f>((VLOOKUP($B$76,Energy_demand!$A$34:$E$66,5,FALSE )))*D11</f>
        <v>0</v>
      </c>
      <c r="E80" s="164">
        <f>((VLOOKUP($B$76,Energy_demand!$A$34:$E$66,5,FALSE )))*E11</f>
        <v>0</v>
      </c>
      <c r="F80" s="164">
        <f>((VLOOKUP($B$76,Energy_demand!$A$34:$E$66,5,FALSE )))*F11</f>
        <v>0</v>
      </c>
      <c r="G80" s="164">
        <f>((VLOOKUP($B$76,Energy_demand!$A$34:$E$66,5,FALSE )))*G11</f>
        <v>61962077.996761225</v>
      </c>
      <c r="H80" s="164">
        <f>((VLOOKUP($B$76,Energy_demand!$A$34:$E$66,5,FALSE )))*H11</f>
        <v>54617547.287483156</v>
      </c>
      <c r="I80" s="164">
        <f>((VLOOKUP($B$76,Energy_demand!$A$34:$E$66,5,FALSE )))*I11</f>
        <v>42713425.852651149</v>
      </c>
      <c r="J80" s="164">
        <f>((VLOOKUP($B$76,Energy_demand!$A$34:$E$66,5,FALSE )))*J11</f>
        <v>30761617.321479127</v>
      </c>
      <c r="K80" s="164">
        <f>((VLOOKUP($B$76,Energy_demand!$A$34:$E$66,5,FALSE )))*K11</f>
        <v>20689761.289341982</v>
      </c>
      <c r="L80" s="164">
        <f>((VLOOKUP($B$76,Energy_demand!$A$34:$E$66,5,FALSE )))*L11</f>
        <v>13104021.306612067</v>
      </c>
      <c r="M80" s="164">
        <f>((VLOOKUP($B$76,Energy_demand!$A$34:$E$66,5,FALSE )))*M11</f>
        <v>7860060.2382443333</v>
      </c>
      <c r="N80" s="164">
        <f>((VLOOKUP($B$76,Energy_demand!$A$34:$E$66,5,FALSE )))*N11</f>
        <v>4483891.2432977613</v>
      </c>
      <c r="O80" s="164">
        <f>((VLOOKUP($B$76,Energy_demand!$A$34:$E$66,5,FALSE )))*O11</f>
        <v>2440783.5242725047</v>
      </c>
      <c r="P80" s="164">
        <f>((VLOOKUP($B$76,Energy_demand!$A$34:$E$66,5,FALSE )))*P11</f>
        <v>1271202.7498837446</v>
      </c>
      <c r="Q80" s="164">
        <f>((VLOOKUP($B$76,Energy_demand!$A$34:$E$66,5,FALSE )))*Q11</f>
        <v>634868.88406204653</v>
      </c>
      <c r="R80" s="164">
        <f>((VLOOKUP($B$76,Energy_demand!$A$34:$E$66,5,FALSE )))*R11</f>
        <v>304624.12418459007</v>
      </c>
      <c r="S80" s="164">
        <f>((VLOOKUP($B$76,Energy_demand!$A$34:$E$66,5,FALSE )))*S11</f>
        <v>140660.21144130881</v>
      </c>
      <c r="T80" s="164">
        <f>((VLOOKUP($B$76,Energy_demand!$A$34:$E$66,5,FALSE )))*T11</f>
        <v>62593.949270090925</v>
      </c>
      <c r="U80" s="164">
        <f>((VLOOKUP($B$76,Energy_demand!$A$34:$E$66,5,FALSE )))*U11</f>
        <v>26878.416576436859</v>
      </c>
      <c r="V80" s="164">
        <f>((VLOOKUP($B$76,Energy_demand!$A$34:$E$66,5,FALSE )))*V11</f>
        <v>11150.204447082759</v>
      </c>
      <c r="W80" s="164">
        <f>((VLOOKUP($B$76,Energy_demand!$A$34:$E$66,5,FALSE )))*W11</f>
        <v>4473.2027847310155</v>
      </c>
      <c r="X80" s="164">
        <f>((VLOOKUP($B$76,Energy_demand!$A$34:$E$66,5,FALSE )))*X11</f>
        <v>1737.0748423963876</v>
      </c>
      <c r="Y80" s="164">
        <f>((VLOOKUP($B$76,Energy_demand!$A$34:$E$66,5,FALSE )))*Y11</f>
        <v>653.51426661115624</v>
      </c>
      <c r="Z80" s="164">
        <f>((VLOOKUP($B$76,Energy_demand!$A$34:$E$66,5,FALSE )))*Z11</f>
        <v>238.38027037016201</v>
      </c>
      <c r="AA80" s="164">
        <f>((VLOOKUP($B$76,Energy_demand!$A$34:$E$66,5,FALSE )))*AA11</f>
        <v>84.368431335117677</v>
      </c>
      <c r="AB80" s="164">
        <f>((VLOOKUP($B$76,Energy_demand!$A$34:$E$66,5,FALSE )))*AB11</f>
        <v>28.991902955910383</v>
      </c>
    </row>
    <row r="81" spans="1:28">
      <c r="B81" s="163">
        <v>2012</v>
      </c>
      <c r="C81" s="164">
        <f>((VLOOKUP($B$76,Energy_demand!$A$34:$E$66,5,FALSE )))*C12</f>
        <v>0</v>
      </c>
      <c r="D81" s="164">
        <f>((VLOOKUP($B$76,Energy_demand!$A$34:$E$66,5,FALSE )))*D12</f>
        <v>0</v>
      </c>
      <c r="E81" s="164">
        <f>((VLOOKUP($B$76,Energy_demand!$A$34:$E$66,5,FALSE )))*E12</f>
        <v>0</v>
      </c>
      <c r="F81" s="164">
        <f>((VLOOKUP($B$76,Energy_demand!$A$34:$E$66,5,FALSE )))*F12</f>
        <v>0</v>
      </c>
      <c r="G81" s="164">
        <f>((VLOOKUP($B$76,Energy_demand!$A$34:$E$66,5,FALSE )))*G12</f>
        <v>0</v>
      </c>
      <c r="H81" s="164">
        <f>((VLOOKUP($B$76,Energy_demand!$A$34:$E$66,5,FALSE )))*H12</f>
        <v>78048603.946949288</v>
      </c>
      <c r="I81" s="164">
        <f>((VLOOKUP($B$76,Energy_demand!$A$34:$E$66,5,FALSE )))*I12</f>
        <v>68797294.322785065</v>
      </c>
      <c r="J81" s="164">
        <f>((VLOOKUP($B$76,Energy_demand!$A$34:$E$66,5,FALSE )))*J12</f>
        <v>53802638.087205671</v>
      </c>
      <c r="K81" s="164">
        <f>((VLOOKUP($B$76,Energy_demand!$A$34:$E$66,5,FALSE )))*K12</f>
        <v>38747914.284237452</v>
      </c>
      <c r="L81" s="164">
        <f>((VLOOKUP($B$76,Energy_demand!$A$34:$E$66,5,FALSE )))*L12</f>
        <v>26061214.16252666</v>
      </c>
      <c r="M81" s="164">
        <f>((VLOOKUP($B$76,Energy_demand!$A$34:$E$66,5,FALSE )))*M12</f>
        <v>16506072.780929158</v>
      </c>
      <c r="N81" s="164">
        <f>((VLOOKUP($B$76,Energy_demand!$A$34:$E$66,5,FALSE )))*N12</f>
        <v>9900680.3575238679</v>
      </c>
      <c r="O81" s="164">
        <f>((VLOOKUP($B$76,Energy_demand!$A$34:$E$66,5,FALSE )))*O12</f>
        <v>5647994.1135549638</v>
      </c>
      <c r="P81" s="164">
        <f>((VLOOKUP($B$76,Energy_demand!$A$34:$E$66,5,FALSE )))*P12</f>
        <v>3074457.0350939692</v>
      </c>
      <c r="Q81" s="164">
        <f>((VLOOKUP($B$76,Energy_demand!$A$34:$E$66,5,FALSE )))*Q12</f>
        <v>1601230.9975649179</v>
      </c>
      <c r="R81" s="164">
        <f>((VLOOKUP($B$76,Energy_demand!$A$34:$E$66,5,FALSE )))*R12</f>
        <v>799692.83943302161</v>
      </c>
      <c r="S81" s="164">
        <f>((VLOOKUP($B$76,Energy_demand!$A$34:$E$66,5,FALSE )))*S12</f>
        <v>383710.30136226414</v>
      </c>
      <c r="T81" s="164">
        <f>((VLOOKUP($B$76,Energy_demand!$A$34:$E$66,5,FALSE )))*T12</f>
        <v>177178.25949043699</v>
      </c>
      <c r="U81" s="164">
        <f>((VLOOKUP($B$76,Energy_demand!$A$34:$E$66,5,FALSE )))*U12</f>
        <v>78844.520939277121</v>
      </c>
      <c r="V81" s="164">
        <f>((VLOOKUP($B$76,Energy_demand!$A$34:$E$66,5,FALSE )))*V12</f>
        <v>33856.561269702586</v>
      </c>
      <c r="W81" s="164">
        <f>((VLOOKUP($B$76,Energy_demand!$A$34:$E$66,5,FALSE )))*W12</f>
        <v>14045.008155849186</v>
      </c>
      <c r="X81" s="164">
        <f>((VLOOKUP($B$76,Energy_demand!$A$34:$E$66,5,FALSE )))*X12</f>
        <v>5634.5307292326552</v>
      </c>
      <c r="Y81" s="164">
        <f>((VLOOKUP($B$76,Energy_demand!$A$34:$E$66,5,FALSE )))*Y12</f>
        <v>2188.0522859077064</v>
      </c>
      <c r="Z81" s="164">
        <f>((VLOOKUP($B$76,Energy_demand!$A$34:$E$66,5,FALSE )))*Z12</f>
        <v>823.17891551476441</v>
      </c>
      <c r="AA81" s="164">
        <f>((VLOOKUP($B$76,Energy_demand!$A$34:$E$66,5,FALSE )))*AA12</f>
        <v>300.26829170997081</v>
      </c>
      <c r="AB81" s="164">
        <f>((VLOOKUP($B$76,Energy_demand!$A$34:$E$66,5,FALSE )))*AB12</f>
        <v>106.27206988190707</v>
      </c>
    </row>
    <row r="82" spans="1:28">
      <c r="B82" s="163">
        <v>2013</v>
      </c>
      <c r="C82" s="164">
        <f>((VLOOKUP($B$76,Energy_demand!$A$34:$E$66,5,FALSE )))*C13</f>
        <v>0</v>
      </c>
      <c r="D82" s="164">
        <f>((VLOOKUP($B$76,Energy_demand!$A$34:$E$66,5,FALSE )))*D13</f>
        <v>0</v>
      </c>
      <c r="E82" s="164">
        <f>((VLOOKUP($B$76,Energy_demand!$A$34:$E$66,5,FALSE )))*E13</f>
        <v>0</v>
      </c>
      <c r="F82" s="164">
        <f>((VLOOKUP($B$76,Energy_demand!$A$34:$E$66,5,FALSE )))*F13</f>
        <v>0</v>
      </c>
      <c r="G82" s="164">
        <f>((VLOOKUP($B$76,Energy_demand!$A$34:$E$66,5,FALSE )))*G13</f>
        <v>0</v>
      </c>
      <c r="H82" s="164">
        <f>((VLOOKUP($B$76,Energy_demand!$A$34:$E$66,5,FALSE )))*H13</f>
        <v>0</v>
      </c>
      <c r="I82" s="164">
        <f>((VLOOKUP($B$76,Energy_demand!$A$34:$E$66,5,FALSE )))*I13</f>
        <v>94155610.449991778</v>
      </c>
      <c r="J82" s="164">
        <f>((VLOOKUP($B$76,Energy_demand!$A$34:$E$66,5,FALSE )))*J13</f>
        <v>82995094.296273783</v>
      </c>
      <c r="K82" s="164">
        <f>((VLOOKUP($B$76,Energy_demand!$A$34:$E$66,5,FALSE )))*K13</f>
        <v>64905968.547036879</v>
      </c>
      <c r="L82" s="164">
        <f>((VLOOKUP($B$76,Energy_demand!$A$34:$E$66,5,FALSE )))*L13</f>
        <v>46744378.997171514</v>
      </c>
      <c r="M82" s="164">
        <f>((VLOOKUP($B$76,Energy_demand!$A$34:$E$66,5,FALSE )))*M13</f>
        <v>31439505.698379401</v>
      </c>
      <c r="N82" s="164">
        <f>((VLOOKUP($B$76,Energy_demand!$A$34:$E$66,5,FALSE )))*N13</f>
        <v>19912455.575461008</v>
      </c>
      <c r="O82" s="164">
        <f>((VLOOKUP($B$76,Energy_demand!$A$34:$E$66,5,FALSE )))*O13</f>
        <v>11943898.491336696</v>
      </c>
      <c r="P82" s="164">
        <f>((VLOOKUP($B$76,Energy_demand!$A$34:$E$66,5,FALSE )))*P13</f>
        <v>6813579.0608271873</v>
      </c>
      <c r="Q82" s="164">
        <f>((VLOOKUP($B$76,Energy_demand!$A$34:$E$66,5,FALSE )))*Q13</f>
        <v>3708937.3070440348</v>
      </c>
      <c r="R82" s="164">
        <f>((VLOOKUP($B$76,Energy_demand!$A$34:$E$66,5,FALSE )))*R13</f>
        <v>1931679.4205524947</v>
      </c>
      <c r="S82" s="164">
        <f>((VLOOKUP($B$76,Energy_demand!$A$34:$E$66,5,FALSE )))*S13</f>
        <v>964726.64034430194</v>
      </c>
      <c r="T82" s="164">
        <f>((VLOOKUP($B$76,Energy_demand!$A$34:$E$66,5,FALSE )))*T13</f>
        <v>462897.16706875776</v>
      </c>
      <c r="U82" s="164">
        <f>((VLOOKUP($B$76,Energy_demand!$A$34:$E$66,5,FALSE )))*U13</f>
        <v>213742.80047505206</v>
      </c>
      <c r="V82" s="164">
        <f>((VLOOKUP($B$76,Energy_demand!$A$34:$E$66,5,FALSE )))*V13</f>
        <v>95115.782016046767</v>
      </c>
      <c r="W82" s="164">
        <f>((VLOOKUP($B$76,Energy_demand!$A$34:$E$66,5,FALSE )))*W13</f>
        <v>40843.590184562148</v>
      </c>
      <c r="X82" s="164">
        <f>((VLOOKUP($B$76,Energy_demand!$A$34:$E$66,5,FALSE )))*X13</f>
        <v>16943.497382579168</v>
      </c>
      <c r="Y82" s="164">
        <f>((VLOOKUP($B$76,Energy_demand!$A$34:$E$66,5,FALSE )))*Y13</f>
        <v>6797.3372178539112</v>
      </c>
      <c r="Z82" s="164">
        <f>((VLOOKUP($B$76,Energy_demand!$A$34:$E$66,5,FALSE )))*Z13</f>
        <v>2639.6038911365149</v>
      </c>
      <c r="AA82" s="164">
        <f>((VLOOKUP($B$76,Energy_demand!$A$34:$E$66,5,FALSE )))*AA13</f>
        <v>993.05957288534432</v>
      </c>
      <c r="AB82" s="164">
        <f>((VLOOKUP($B$76,Energy_demand!$A$34:$E$66,5,FALSE )))*AB13</f>
        <v>362.23510575468254</v>
      </c>
    </row>
    <row r="83" spans="1:28">
      <c r="B83" s="163">
        <v>2014</v>
      </c>
      <c r="C83" s="164">
        <f>((VLOOKUP($B$76,Energy_demand!$A$34:$E$66,5,FALSE )))*C14</f>
        <v>0</v>
      </c>
      <c r="D83" s="164">
        <f>((VLOOKUP($B$76,Energy_demand!$A$34:$E$66,5,FALSE )))*D14</f>
        <v>0</v>
      </c>
      <c r="E83" s="164">
        <f>((VLOOKUP($B$76,Energy_demand!$A$34:$E$66,5,FALSE )))*E14</f>
        <v>0</v>
      </c>
      <c r="F83" s="164">
        <f>((VLOOKUP($B$76,Energy_demand!$A$34:$E$66,5,FALSE )))*F14</f>
        <v>0</v>
      </c>
      <c r="G83" s="164">
        <f>((VLOOKUP($B$76,Energy_demand!$A$34:$E$66,5,FALSE )))*G14</f>
        <v>0</v>
      </c>
      <c r="H83" s="164">
        <f>((VLOOKUP($B$76,Energy_demand!$A$34:$E$66,5,FALSE )))*H14</f>
        <v>0</v>
      </c>
      <c r="I83" s="164">
        <f>((VLOOKUP($B$76,Energy_demand!$A$34:$E$66,5,FALSE )))*I14</f>
        <v>0</v>
      </c>
      <c r="J83" s="164">
        <f>((VLOOKUP($B$76,Energy_demand!$A$34:$E$66,5,FALSE )))*J14</f>
        <v>91275548.408303171</v>
      </c>
      <c r="K83" s="164">
        <f>((VLOOKUP($B$76,Energy_demand!$A$34:$E$66,5,FALSE )))*K14</f>
        <v>80456413.705848217</v>
      </c>
      <c r="L83" s="164">
        <f>((VLOOKUP($B$76,Energy_demand!$A$34:$E$66,5,FALSE )))*L14</f>
        <v>62920603.94265528</v>
      </c>
      <c r="M83" s="164">
        <f>((VLOOKUP($B$76,Energy_demand!$A$34:$E$66,5,FALSE )))*M14</f>
        <v>45314546.924832456</v>
      </c>
      <c r="N83" s="164">
        <f>((VLOOKUP($B$76,Energy_demand!$A$34:$E$66,5,FALSE )))*N14</f>
        <v>30477824.004228551</v>
      </c>
      <c r="O83" s="164">
        <f>((VLOOKUP($B$76,Energy_demand!$A$34:$E$66,5,FALSE )))*O14</f>
        <v>19303366.991301112</v>
      </c>
      <c r="P83" s="164">
        <f>((VLOOKUP($B$76,Energy_demand!$A$34:$E$66,5,FALSE )))*P14</f>
        <v>11578554.6896208</v>
      </c>
      <c r="Q83" s="164">
        <f>((VLOOKUP($B$76,Energy_demand!$A$34:$E$66,5,FALSE )))*Q14</f>
        <v>6605163.1169726755</v>
      </c>
      <c r="R83" s="164">
        <f>((VLOOKUP($B$76,Energy_demand!$A$34:$E$66,5,FALSE )))*R14</f>
        <v>3595487.1419187845</v>
      </c>
      <c r="S83" s="164">
        <f>((VLOOKUP($B$76,Energy_demand!$A$34:$E$66,5,FALSE )))*S14</f>
        <v>1872592.5902589443</v>
      </c>
      <c r="T83" s="164">
        <f>((VLOOKUP($B$76,Energy_demand!$A$34:$E$66,5,FALSE )))*T14</f>
        <v>935217.27213796321</v>
      </c>
      <c r="U83" s="164">
        <f>((VLOOKUP($B$76,Energy_demand!$A$34:$E$66,5,FALSE )))*U14</f>
        <v>448737.9199064445</v>
      </c>
      <c r="V83" s="164">
        <f>((VLOOKUP($B$76,Energy_demand!$A$34:$E$66,5,FALSE )))*V14</f>
        <v>207204.76707066587</v>
      </c>
      <c r="W83" s="164">
        <f>((VLOOKUP($B$76,Energy_demand!$A$34:$E$66,5,FALSE )))*W14</f>
        <v>92206.349938226602</v>
      </c>
      <c r="X83" s="164">
        <f>((VLOOKUP($B$76,Energy_demand!$A$34:$E$66,5,FALSE )))*X14</f>
        <v>39594.253334908135</v>
      </c>
      <c r="Y83" s="164">
        <f>((VLOOKUP($B$76,Energy_demand!$A$34:$E$66,5,FALSE )))*Y14</f>
        <v>16425.224244825637</v>
      </c>
      <c r="Z83" s="164">
        <f>((VLOOKUP($B$76,Energy_demand!$A$34:$E$66,5,FALSE )))*Z14</f>
        <v>6589.418084706811</v>
      </c>
      <c r="AA83" s="164">
        <f>((VLOOKUP($B$76,Energy_demand!$A$34:$E$66,5,FALSE )))*AA14</f>
        <v>2558.8628398531864</v>
      </c>
      <c r="AB83" s="164">
        <f>((VLOOKUP($B$76,Energy_demand!$A$34:$E$66,5,FALSE )))*AB14</f>
        <v>962.68354784197584</v>
      </c>
    </row>
    <row r="84" spans="1:28">
      <c r="B84" s="163">
        <v>2015</v>
      </c>
      <c r="C84" s="164">
        <f>((VLOOKUP($B$76,Energy_demand!$A$34:$E$66,5,FALSE )))*C15</f>
        <v>0</v>
      </c>
      <c r="D84" s="164">
        <f>((VLOOKUP($B$76,Energy_demand!$A$34:$E$66,5,FALSE )))*D15</f>
        <v>0</v>
      </c>
      <c r="E84" s="164">
        <f>((VLOOKUP($B$76,Energy_demand!$A$34:$E$66,5,FALSE )))*E15</f>
        <v>0</v>
      </c>
      <c r="F84" s="164">
        <f>((VLOOKUP($B$76,Energy_demand!$A$34:$E$66,5,FALSE )))*F15</f>
        <v>0</v>
      </c>
      <c r="G84" s="164">
        <f>((VLOOKUP($B$76,Energy_demand!$A$34:$E$66,5,FALSE )))*G15</f>
        <v>0</v>
      </c>
      <c r="H84" s="164">
        <f>((VLOOKUP($B$76,Energy_demand!$A$34:$E$66,5,FALSE )))*H15</f>
        <v>0</v>
      </c>
      <c r="I84" s="164">
        <f>((VLOOKUP($B$76,Energy_demand!$A$34:$E$66,5,FALSE )))*I15</f>
        <v>0</v>
      </c>
      <c r="J84" s="164">
        <f>((VLOOKUP($B$76,Energy_demand!$A$34:$E$66,5,FALSE )))*J15</f>
        <v>0</v>
      </c>
      <c r="K84" s="164">
        <f>((VLOOKUP($B$76,Energy_demand!$A$34:$E$66,5,FALSE )))*K15</f>
        <v>95083228.125141978</v>
      </c>
      <c r="L84" s="164">
        <f>((VLOOKUP($B$76,Energy_demand!$A$34:$E$66,5,FALSE )))*L15</f>
        <v>83812758.969170481</v>
      </c>
      <c r="M84" s="164">
        <f>((VLOOKUP($B$76,Energy_demand!$A$34:$E$66,5,FALSE )))*M15</f>
        <v>65545419.806066759</v>
      </c>
      <c r="N84" s="164">
        <f>((VLOOKUP($B$76,Energy_demand!$A$34:$E$66,5,FALSE )))*N15</f>
        <v>47204902.931586713</v>
      </c>
      <c r="O84" s="164">
        <f>((VLOOKUP($B$76,Energy_demand!$A$34:$E$66,5,FALSE )))*O15</f>
        <v>31749246.573558491</v>
      </c>
      <c r="P84" s="164">
        <f>((VLOOKUP($B$76,Energy_demand!$A$34:$E$66,5,FALSE )))*P15</f>
        <v>20108632.368953854</v>
      </c>
      <c r="Q84" s="164">
        <f>((VLOOKUP($B$76,Energy_demand!$A$34:$E$66,5,FALSE )))*Q15</f>
        <v>12061569.348100437</v>
      </c>
      <c r="R84" s="164">
        <f>((VLOOKUP($B$76,Energy_demand!$A$34:$E$66,5,FALSE )))*R15</f>
        <v>6880706.195765296</v>
      </c>
      <c r="S84" s="164">
        <f>((VLOOKUP($B$76,Energy_demand!$A$34:$E$66,5,FALSE )))*S15</f>
        <v>3745477.6235009637</v>
      </c>
      <c r="T84" s="164">
        <f>((VLOOKUP($B$76,Energy_demand!$A$34:$E$66,5,FALSE )))*T15</f>
        <v>1950710.2564704467</v>
      </c>
      <c r="U84" s="164">
        <f>((VLOOKUP($B$76,Energy_demand!$A$34:$E$66,5,FALSE )))*U15</f>
        <v>974231.09237849002</v>
      </c>
      <c r="V84" s="164">
        <f>((VLOOKUP($B$76,Energy_demand!$A$34:$E$66,5,FALSE )))*V15</f>
        <v>467457.61324820231</v>
      </c>
      <c r="W84" s="164">
        <f>((VLOOKUP($B$76,Energy_demand!$A$34:$E$66,5,FALSE )))*W15</f>
        <v>215848.58682924992</v>
      </c>
      <c r="X84" s="164">
        <f>((VLOOKUP($B$76,Energy_demand!$A$34:$E$66,5,FALSE )))*X15</f>
        <v>96052.859266803687</v>
      </c>
      <c r="Y84" s="164">
        <f>((VLOOKUP($B$76,Energy_demand!$A$34:$E$66,5,FALSE )))*Y15</f>
        <v>41245.979760613103</v>
      </c>
      <c r="Z84" s="164">
        <f>((VLOOKUP($B$76,Energy_demand!$A$34:$E$66,5,FALSE )))*Z15</f>
        <v>17110.424107134677</v>
      </c>
      <c r="AA84" s="164">
        <f>((VLOOKUP($B$76,Energy_demand!$A$34:$E$66,5,FALSE )))*AA15</f>
        <v>6864.3043387413745</v>
      </c>
      <c r="AB84" s="164">
        <f>((VLOOKUP($B$76,Energy_demand!$A$34:$E$66,5,FALSE )))*AB15</f>
        <v>2665.6091733826952</v>
      </c>
    </row>
    <row r="85" spans="1:28">
      <c r="A85" s="21"/>
      <c r="B85" s="163">
        <v>2016</v>
      </c>
      <c r="C85" s="164">
        <f>((VLOOKUP($B$76,Energy_demand!$A$34:$E$66,5,FALSE )))*C16</f>
        <v>0</v>
      </c>
      <c r="D85" s="164">
        <f>((VLOOKUP($B$76,Energy_demand!$A$34:$E$66,5,FALSE )))*D16</f>
        <v>0</v>
      </c>
      <c r="E85" s="164">
        <f>((VLOOKUP($B$76,Energy_demand!$A$34:$E$66,5,FALSE )))*E16</f>
        <v>0</v>
      </c>
      <c r="F85" s="164">
        <f>((VLOOKUP($B$76,Energy_demand!$A$34:$E$66,5,FALSE )))*F16</f>
        <v>0</v>
      </c>
      <c r="G85" s="164">
        <f>((VLOOKUP($B$76,Energy_demand!$A$34:$E$66,5,FALSE )))*G16</f>
        <v>0</v>
      </c>
      <c r="H85" s="164">
        <f>((VLOOKUP($B$76,Energy_demand!$A$34:$E$66,5,FALSE )))*H16</f>
        <v>0</v>
      </c>
      <c r="I85" s="164">
        <f>((VLOOKUP($B$76,Energy_demand!$A$34:$E$66,5,FALSE )))*I16</f>
        <v>0</v>
      </c>
      <c r="J85" s="164">
        <f>((VLOOKUP($B$76,Energy_demand!$A$34:$E$66,5,FALSE )))*J16</f>
        <v>0</v>
      </c>
      <c r="K85" s="164">
        <f>((VLOOKUP($B$76,Energy_demand!$A$34:$E$66,5,FALSE )))*K16</f>
        <v>0</v>
      </c>
      <c r="L85" s="164">
        <f>((VLOOKUP($B$76,Energy_demand!$A$34:$E$66,5,FALSE )))*L16</f>
        <v>95332346.318766847</v>
      </c>
      <c r="M85" s="164">
        <f>((VLOOKUP($B$76,Energy_demand!$A$34:$E$66,5,FALSE )))*M16</f>
        <v>84032348.517493725</v>
      </c>
      <c r="N85" s="164">
        <f>((VLOOKUP($B$76,Energy_demand!$A$34:$E$66,5,FALSE )))*N16</f>
        <v>65717148.899666525</v>
      </c>
      <c r="O85" s="164">
        <f>((VLOOKUP($B$76,Energy_demand!$A$34:$E$66,5,FALSE )))*O16</f>
        <v>47328579.844754584</v>
      </c>
      <c r="P85" s="164">
        <f>((VLOOKUP($B$76,Energy_demand!$A$34:$E$66,5,FALSE )))*P16</f>
        <v>31832429.644971944</v>
      </c>
      <c r="Q85" s="164">
        <f>((VLOOKUP($B$76,Energy_demand!$A$34:$E$66,5,FALSE )))*Q16</f>
        <v>20161317.014509082</v>
      </c>
      <c r="R85" s="164">
        <f>((VLOOKUP($B$76,Energy_demand!$A$34:$E$66,5,FALSE )))*R16</f>
        <v>12093170.677036442</v>
      </c>
      <c r="S85" s="164">
        <f>((VLOOKUP($B$76,Energy_demand!$A$34:$E$66,5,FALSE )))*S16</f>
        <v>6898733.6558352932</v>
      </c>
      <c r="T85" s="164">
        <f>((VLOOKUP($B$76,Energy_demand!$A$34:$E$66,5,FALSE )))*T16</f>
        <v>3755290.7802293077</v>
      </c>
      <c r="U85" s="164">
        <f>((VLOOKUP($B$76,Energy_demand!$A$34:$E$66,5,FALSE )))*U16</f>
        <v>1955821.1201312579</v>
      </c>
      <c r="V85" s="164">
        <f>((VLOOKUP($B$76,Energy_demand!$A$34:$E$66,5,FALSE )))*V16</f>
        <v>976783.57923334395</v>
      </c>
      <c r="W85" s="164">
        <f>((VLOOKUP($B$76,Energy_demand!$A$34:$E$66,5,FALSE )))*W16</f>
        <v>468682.35286321957</v>
      </c>
      <c r="X85" s="164">
        <f>((VLOOKUP($B$76,Energy_demand!$A$34:$E$66,5,FALSE )))*X16</f>
        <v>216414.11043533331</v>
      </c>
      <c r="Y85" s="164">
        <f>((VLOOKUP($B$76,Energy_demand!$A$34:$E$66,5,FALSE )))*Y16</f>
        <v>96304.517895405952</v>
      </c>
      <c r="Z85" s="164">
        <f>((VLOOKUP($B$76,Energy_demand!$A$34:$E$66,5,FALSE )))*Z16</f>
        <v>41354.044286553763</v>
      </c>
      <c r="AA85" s="164">
        <f>((VLOOKUP($B$76,Energy_demand!$A$34:$E$66,5,FALSE )))*AA16</f>
        <v>17155.253442757512</v>
      </c>
      <c r="AB85" s="164">
        <f>((VLOOKUP($B$76,Energy_demand!$A$34:$E$66,5,FALSE )))*AB16</f>
        <v>6882.288825922521</v>
      </c>
    </row>
    <row r="86" spans="1:28">
      <c r="B86" s="163">
        <v>2017</v>
      </c>
      <c r="C86" s="164">
        <f>((VLOOKUP($B$76,Energy_demand!$A$34:$E$66,5,FALSE )))*C17</f>
        <v>0</v>
      </c>
      <c r="D86" s="164">
        <f>((VLOOKUP($B$76,Energy_demand!$A$34:$E$66,5,FALSE )))*D17</f>
        <v>0</v>
      </c>
      <c r="E86" s="164">
        <f>((VLOOKUP($B$76,Energy_demand!$A$34:$E$66,5,FALSE )))*E17</f>
        <v>0</v>
      </c>
      <c r="F86" s="164">
        <f>((VLOOKUP($B$76,Energy_demand!$A$34:$E$66,5,FALSE )))*F17</f>
        <v>0</v>
      </c>
      <c r="G86" s="164">
        <f>((VLOOKUP($B$76,Energy_demand!$A$34:$E$66,5,FALSE )))*G17</f>
        <v>0</v>
      </c>
      <c r="H86" s="164">
        <f>((VLOOKUP($B$76,Energy_demand!$A$34:$E$66,5,FALSE )))*H17</f>
        <v>0</v>
      </c>
      <c r="I86" s="164">
        <f>((VLOOKUP($B$76,Energy_demand!$A$34:$E$66,5,FALSE )))*I17</f>
        <v>0</v>
      </c>
      <c r="J86" s="164">
        <f>((VLOOKUP($B$76,Energy_demand!$A$34:$E$66,5,FALSE )))*J17</f>
        <v>0</v>
      </c>
      <c r="K86" s="164">
        <f>((VLOOKUP($B$76,Energy_demand!$A$34:$E$66,5,FALSE )))*K17</f>
        <v>0</v>
      </c>
      <c r="L86" s="164">
        <f>((VLOOKUP($B$76,Energy_demand!$A$34:$E$66,5,FALSE )))*L17</f>
        <v>0</v>
      </c>
      <c r="M86" s="164">
        <f>((VLOOKUP($B$76,Energy_demand!$A$34:$E$66,5,FALSE )))*M17</f>
        <v>81317359.986697882</v>
      </c>
      <c r="N86" s="164">
        <f>((VLOOKUP($B$76,Energy_demand!$A$34:$E$66,5,FALSE )))*N17</f>
        <v>71678595.972828954</v>
      </c>
      <c r="O86" s="164">
        <f>((VLOOKUP($B$76,Energy_demand!$A$34:$E$66,5,FALSE )))*O17</f>
        <v>56055948.067247108</v>
      </c>
      <c r="P86" s="164">
        <f>((VLOOKUP($B$76,Energy_demand!$A$34:$E$66,5,FALSE )))*P17</f>
        <v>40370716.902595013</v>
      </c>
      <c r="Q86" s="164">
        <f>((VLOOKUP($B$76,Energy_demand!$A$34:$E$66,5,FALSE )))*Q17</f>
        <v>27152684.69356709</v>
      </c>
      <c r="R86" s="164">
        <f>((VLOOKUP($B$76,Energy_demand!$A$34:$E$66,5,FALSE )))*R17</f>
        <v>17197364.134863764</v>
      </c>
      <c r="S86" s="164">
        <f>((VLOOKUP($B$76,Energy_demand!$A$34:$E$66,5,FALSE )))*S17</f>
        <v>10315331.063361913</v>
      </c>
      <c r="T86" s="164">
        <f>((VLOOKUP($B$76,Energy_demand!$A$34:$E$66,5,FALSE )))*T17</f>
        <v>5884537.9328870326</v>
      </c>
      <c r="U86" s="164">
        <f>((VLOOKUP($B$76,Energy_demand!$A$34:$E$66,5,FALSE )))*U17</f>
        <v>3203218.466999169</v>
      </c>
      <c r="V86" s="164">
        <f>((VLOOKUP($B$76,Energy_demand!$A$34:$E$66,5,FALSE )))*V17</f>
        <v>1668292.2033986654</v>
      </c>
      <c r="W86" s="164">
        <f>((VLOOKUP($B$76,Energy_demand!$A$34:$E$66,5,FALSE )))*W17</f>
        <v>833184.80042462586</v>
      </c>
      <c r="X86" s="164">
        <f>((VLOOKUP($B$76,Energy_demand!$A$34:$E$66,5,FALSE )))*X17</f>
        <v>399780.48457712587</v>
      </c>
      <c r="Y86" s="164">
        <f>((VLOOKUP($B$76,Energy_demand!$A$34:$E$66,5,FALSE )))*Y17</f>
        <v>184598.667755717</v>
      </c>
      <c r="Z86" s="164">
        <f>((VLOOKUP($B$76,Energy_demand!$A$34:$E$66,5,FALSE )))*Z17</f>
        <v>82146.610803645803</v>
      </c>
      <c r="AA86" s="164">
        <f>((VLOOKUP($B$76,Energy_demand!$A$34:$E$66,5,FALSE )))*AA17</f>
        <v>35274.508978423706</v>
      </c>
      <c r="AB86" s="164">
        <f>((VLOOKUP($B$76,Energy_demand!$A$34:$E$66,5,FALSE )))*AB17</f>
        <v>14633.227584718867</v>
      </c>
    </row>
    <row r="87" spans="1:28">
      <c r="B87" s="163">
        <v>2018</v>
      </c>
      <c r="C87" s="164">
        <f>((VLOOKUP($B$76,Energy_demand!$A$34:$E$66,5,FALSE )))*C18</f>
        <v>0</v>
      </c>
      <c r="D87" s="164">
        <f>((VLOOKUP($B$76,Energy_demand!$A$34:$E$66,5,FALSE )))*D18</f>
        <v>0</v>
      </c>
      <c r="E87" s="164">
        <f>((VLOOKUP($B$76,Energy_demand!$A$34:$E$66,5,FALSE )))*E18</f>
        <v>0</v>
      </c>
      <c r="F87" s="164">
        <f>((VLOOKUP($B$76,Energy_demand!$A$34:$E$66,5,FALSE )))*F18</f>
        <v>0</v>
      </c>
      <c r="G87" s="164">
        <f>((VLOOKUP($B$76,Energy_demand!$A$34:$E$66,5,FALSE )))*G18</f>
        <v>0</v>
      </c>
      <c r="H87" s="164">
        <f>((VLOOKUP($B$76,Energy_demand!$A$34:$E$66,5,FALSE )))*H18</f>
        <v>0</v>
      </c>
      <c r="I87" s="164">
        <f>((VLOOKUP($B$76,Energy_demand!$A$34:$E$66,5,FALSE )))*I18</f>
        <v>0</v>
      </c>
      <c r="J87" s="164">
        <f>((VLOOKUP($B$76,Energy_demand!$A$34:$E$66,5,FALSE )))*J18</f>
        <v>0</v>
      </c>
      <c r="K87" s="164">
        <f>((VLOOKUP($B$76,Energy_demand!$A$34:$E$66,5,FALSE )))*K18</f>
        <v>0</v>
      </c>
      <c r="L87" s="164">
        <f>((VLOOKUP($B$76,Energy_demand!$A$34:$E$66,5,FALSE )))*L18</f>
        <v>0</v>
      </c>
      <c r="M87" s="164">
        <f>((VLOOKUP($B$76,Energy_demand!$A$34:$E$66,5,FALSE )))*M18</f>
        <v>0</v>
      </c>
      <c r="N87" s="164">
        <f>((VLOOKUP($B$76,Energy_demand!$A$34:$E$66,5,FALSE )))*N18</f>
        <v>87674703.24861154</v>
      </c>
      <c r="O87" s="164">
        <f>((VLOOKUP($B$76,Energy_demand!$A$34:$E$66,5,FALSE )))*O18</f>
        <v>77282386.34681353</v>
      </c>
      <c r="P87" s="164">
        <f>((VLOOKUP($B$76,Energy_demand!$A$34:$E$66,5,FALSE )))*P18</f>
        <v>60438369.038535289</v>
      </c>
      <c r="Q87" s="164">
        <f>((VLOOKUP($B$76,Energy_demand!$A$34:$E$66,5,FALSE )))*Q18</f>
        <v>43526875.748889588</v>
      </c>
      <c r="R87" s="164">
        <f>((VLOOKUP($B$76,Energy_demand!$A$34:$E$66,5,FALSE )))*R18</f>
        <v>29275465.574645281</v>
      </c>
      <c r="S87" s="164">
        <f>((VLOOKUP($B$76,Energy_demand!$A$34:$E$66,5,FALSE )))*S18</f>
        <v>18541843.923968282</v>
      </c>
      <c r="T87" s="164">
        <f>((VLOOKUP($B$76,Energy_demand!$A$34:$E$66,5,FALSE )))*T18</f>
        <v>11121777.564340301</v>
      </c>
      <c r="U87" s="164">
        <f>((VLOOKUP($B$76,Energy_demand!$A$34:$E$66,5,FALSE )))*U18</f>
        <v>6344587.6391641954</v>
      </c>
      <c r="V87" s="164">
        <f>((VLOOKUP($B$76,Energy_demand!$A$34:$E$66,5,FALSE )))*V18</f>
        <v>3453644.1982445726</v>
      </c>
      <c r="W87" s="164">
        <f>((VLOOKUP($B$76,Energy_demand!$A$34:$E$66,5,FALSE )))*W18</f>
        <v>1798718.3042941513</v>
      </c>
      <c r="X87" s="164">
        <f>((VLOOKUP($B$76,Energy_demand!$A$34:$E$66,5,FALSE )))*X18</f>
        <v>898322.69690546149</v>
      </c>
      <c r="Y87" s="164">
        <f>((VLOOKUP($B$76,Energy_demand!$A$34:$E$66,5,FALSE )))*Y18</f>
        <v>431035.08716489706</v>
      </c>
      <c r="Z87" s="164">
        <f>((VLOOKUP($B$76,Energy_demand!$A$34:$E$66,5,FALSE )))*Z18</f>
        <v>199030.48276799754</v>
      </c>
      <c r="AA87" s="164">
        <f>((VLOOKUP($B$76,Energy_demand!$A$34:$E$66,5,FALSE )))*AA18</f>
        <v>88568.78440553142</v>
      </c>
      <c r="AB87" s="164">
        <f>((VLOOKUP($B$76,Energy_demand!$A$34:$E$66,5,FALSE )))*AB18</f>
        <v>38032.249293750945</v>
      </c>
    </row>
    <row r="88" spans="1:28">
      <c r="B88" s="163">
        <v>2019</v>
      </c>
      <c r="C88" s="164">
        <f>((VLOOKUP($B$76,Energy_demand!$A$34:$E$66,5,FALSE )))*C19</f>
        <v>0</v>
      </c>
      <c r="D88" s="164">
        <f>((VLOOKUP($B$76,Energy_demand!$A$34:$E$66,5,FALSE )))*D19</f>
        <v>0</v>
      </c>
      <c r="E88" s="164">
        <f>((VLOOKUP($B$76,Energy_demand!$A$34:$E$66,5,FALSE )))*E19</f>
        <v>0</v>
      </c>
      <c r="F88" s="164">
        <f>((VLOOKUP($B$76,Energy_demand!$A$34:$E$66,5,FALSE )))*F19</f>
        <v>0</v>
      </c>
      <c r="G88" s="164">
        <f>((VLOOKUP($B$76,Energy_demand!$A$34:$E$66,5,FALSE )))*G19</f>
        <v>0</v>
      </c>
      <c r="H88" s="164">
        <f>((VLOOKUP($B$76,Energy_demand!$A$34:$E$66,5,FALSE )))*H19</f>
        <v>0</v>
      </c>
      <c r="I88" s="164">
        <f>((VLOOKUP($B$76,Energy_demand!$A$34:$E$66,5,FALSE )))*I19</f>
        <v>0</v>
      </c>
      <c r="J88" s="164">
        <f>((VLOOKUP($B$76,Energy_demand!$A$34:$E$66,5,FALSE )))*J19</f>
        <v>0</v>
      </c>
      <c r="K88" s="164">
        <f>((VLOOKUP($B$76,Energy_demand!$A$34:$E$66,5,FALSE )))*K19</f>
        <v>0</v>
      </c>
      <c r="L88" s="164">
        <f>((VLOOKUP($B$76,Energy_demand!$A$34:$E$66,5,FALSE )))*L19</f>
        <v>0</v>
      </c>
      <c r="M88" s="164">
        <f>((VLOOKUP($B$76,Energy_demand!$A$34:$E$66,5,FALSE )))*M19</f>
        <v>0</v>
      </c>
      <c r="N88" s="164">
        <f>((VLOOKUP($B$76,Energy_demand!$A$34:$E$66,5,FALSE )))*N19</f>
        <v>0</v>
      </c>
      <c r="O88" s="164">
        <f>((VLOOKUP($B$76,Energy_demand!$A$34:$E$66,5,FALSE )))*O19</f>
        <v>88210602.578341872</v>
      </c>
      <c r="P88" s="164">
        <f>((VLOOKUP($B$76,Energy_demand!$A$34:$E$66,5,FALSE )))*P19</f>
        <v>77754764.096707672</v>
      </c>
      <c r="Q88" s="164">
        <f>((VLOOKUP($B$76,Energy_demand!$A$34:$E$66,5,FALSE )))*Q19</f>
        <v>60807790.094525665</v>
      </c>
      <c r="R88" s="164">
        <f>((VLOOKUP($B$76,Energy_demand!$A$34:$E$66,5,FALSE )))*R19</f>
        <v>43792927.673501655</v>
      </c>
      <c r="S88" s="164">
        <f>((VLOOKUP($B$76,Energy_demand!$A$34:$E$66,5,FALSE )))*S19</f>
        <v>29454407.752921131</v>
      </c>
      <c r="T88" s="164">
        <f>((VLOOKUP($B$76,Energy_demand!$A$34:$E$66,5,FALSE )))*T19</f>
        <v>18655178.344988704</v>
      </c>
      <c r="U88" s="164">
        <f>((VLOOKUP($B$76,Energy_demand!$A$34:$E$66,5,FALSE )))*U19</f>
        <v>11189757.870190199</v>
      </c>
      <c r="V88" s="164">
        <f>((VLOOKUP($B$76,Energy_demand!$A$34:$E$66,5,FALSE )))*V19</f>
        <v>6383368.0414611064</v>
      </c>
      <c r="W88" s="164">
        <f>((VLOOKUP($B$76,Energy_demand!$A$34:$E$66,5,FALSE )))*W19</f>
        <v>3474754.1141312351</v>
      </c>
      <c r="X88" s="164">
        <f>((VLOOKUP($B$76,Energy_demand!$A$34:$E$66,5,FALSE )))*X19</f>
        <v>1809712.717710203</v>
      </c>
      <c r="Y88" s="164">
        <f>((VLOOKUP($B$76,Energy_demand!$A$34:$E$66,5,FALSE )))*Y19</f>
        <v>903813.56842615642</v>
      </c>
      <c r="Z88" s="164">
        <f>((VLOOKUP($B$76,Energy_demand!$A$34:$E$66,5,FALSE )))*Z19</f>
        <v>433669.72869481385</v>
      </c>
      <c r="AA88" s="164">
        <f>((VLOOKUP($B$76,Energy_demand!$A$34:$E$66,5,FALSE )))*AA19</f>
        <v>200247.0286855677</v>
      </c>
      <c r="AB88" s="164">
        <f>((VLOOKUP($B$76,Energy_demand!$A$34:$E$66,5,FALSE )))*AB19</f>
        <v>89110.148680964034</v>
      </c>
    </row>
    <row r="89" spans="1:28">
      <c r="B89" s="163">
        <v>2020</v>
      </c>
      <c r="C89" s="164">
        <f>((VLOOKUP($B$76,Energy_demand!$A$34:$E$66,5,FALSE )))*C20</f>
        <v>0</v>
      </c>
      <c r="D89" s="164">
        <f>((VLOOKUP($B$76,Energy_demand!$A$34:$E$66,5,FALSE )))*D20</f>
        <v>0</v>
      </c>
      <c r="E89" s="164">
        <f>((VLOOKUP($B$76,Energy_demand!$A$34:$E$66,5,FALSE )))*E20</f>
        <v>0</v>
      </c>
      <c r="F89" s="164">
        <f>((VLOOKUP($B$76,Energy_demand!$A$34:$E$66,5,FALSE )))*F20</f>
        <v>0</v>
      </c>
      <c r="G89" s="164">
        <f>((VLOOKUP($B$76,Energy_demand!$A$34:$E$66,5,FALSE )))*G20</f>
        <v>0</v>
      </c>
      <c r="H89" s="164">
        <f>((VLOOKUP($B$76,Energy_demand!$A$34:$E$66,5,FALSE )))*H20</f>
        <v>0</v>
      </c>
      <c r="I89" s="164">
        <f>((VLOOKUP($B$76,Energy_demand!$A$34:$E$66,5,FALSE )))*I20</f>
        <v>0</v>
      </c>
      <c r="J89" s="164">
        <f>((VLOOKUP($B$76,Energy_demand!$A$34:$E$66,5,FALSE )))*J20</f>
        <v>0</v>
      </c>
      <c r="K89" s="164">
        <f>((VLOOKUP($B$76,Energy_demand!$A$34:$E$66,5,FALSE )))*K20</f>
        <v>0</v>
      </c>
      <c r="L89" s="164">
        <f>((VLOOKUP($B$76,Energy_demand!$A$34:$E$66,5,FALSE )))*L20</f>
        <v>0</v>
      </c>
      <c r="M89" s="164">
        <f>((VLOOKUP($B$76,Energy_demand!$A$34:$E$66,5,FALSE )))*M20</f>
        <v>0</v>
      </c>
      <c r="N89" s="164">
        <f>((VLOOKUP($B$76,Energy_demand!$A$34:$E$66,5,FALSE )))*N20</f>
        <v>0</v>
      </c>
      <c r="O89" s="164">
        <f>((VLOOKUP($B$76,Energy_demand!$A$34:$E$66,5,FALSE )))*O20</f>
        <v>0</v>
      </c>
      <c r="P89" s="164">
        <f>((VLOOKUP($B$76,Energy_demand!$A$34:$E$66,5,FALSE )))*P20</f>
        <v>93543723.144234315</v>
      </c>
      <c r="Q89" s="164">
        <f>((VLOOKUP($B$76,Energy_demand!$A$34:$E$66,5,FALSE )))*Q20</f>
        <v>82455735.628241941</v>
      </c>
      <c r="R89" s="164">
        <f>((VLOOKUP($B$76,Energy_demand!$A$34:$E$66,5,FALSE )))*R20</f>
        <v>64484165.34240555</v>
      </c>
      <c r="S89" s="164">
        <f>((VLOOKUP($B$76,Energy_demand!$A$34:$E$66,5,FALSE )))*S20</f>
        <v>46440602.17508743</v>
      </c>
      <c r="T89" s="164">
        <f>((VLOOKUP($B$76,Energy_demand!$A$34:$E$66,5,FALSE )))*T20</f>
        <v>31235190.370336942</v>
      </c>
      <c r="U89" s="164">
        <f>((VLOOKUP($B$76,Energy_demand!$A$34:$E$66,5,FALSE )))*U20</f>
        <v>19783050.872598875</v>
      </c>
      <c r="V89" s="164">
        <f>((VLOOKUP($B$76,Energy_demand!$A$34:$E$66,5,FALSE )))*V20</f>
        <v>11866278.901455894</v>
      </c>
      <c r="W89" s="164">
        <f>((VLOOKUP($B$76,Energy_demand!$A$34:$E$66,5,FALSE )))*W20</f>
        <v>6769299.7819380201</v>
      </c>
      <c r="X89" s="164">
        <f>((VLOOKUP($B$76,Energy_demand!$A$34:$E$66,5,FALSE )))*X20</f>
        <v>3684834.105490943</v>
      </c>
      <c r="Y89" s="164">
        <f>((VLOOKUP($B$76,Energy_demand!$A$34:$E$66,5,FALSE )))*Y20</f>
        <v>1919126.0516074039</v>
      </c>
      <c r="Z89" s="164">
        <f>((VLOOKUP($B$76,Energy_demand!$A$34:$E$66,5,FALSE )))*Z20</f>
        <v>958457.18935851869</v>
      </c>
      <c r="AA89" s="164">
        <f>((VLOOKUP($B$76,Energy_demand!$A$34:$E$66,5,FALSE )))*AA20</f>
        <v>459888.94590119494</v>
      </c>
      <c r="AB89" s="164">
        <f>((VLOOKUP($B$76,Energy_demand!$A$34:$E$66,5,FALSE )))*AB20</f>
        <v>212353.75413269736</v>
      </c>
    </row>
    <row r="90" spans="1:28">
      <c r="B90" s="163">
        <v>2021</v>
      </c>
      <c r="C90" s="164">
        <f>((VLOOKUP($B$76,Energy_demand!$A$34:$E$66,5,FALSE )))*C21</f>
        <v>0</v>
      </c>
      <c r="D90" s="164">
        <f>((VLOOKUP($B$76,Energy_demand!$A$34:$E$66,5,FALSE )))*D21</f>
        <v>0</v>
      </c>
      <c r="E90" s="164">
        <f>((VLOOKUP($B$76,Energy_demand!$A$34:$E$66,5,FALSE )))*E21</f>
        <v>0</v>
      </c>
      <c r="F90" s="164">
        <f>((VLOOKUP($B$76,Energy_demand!$A$34:$E$66,5,FALSE )))*F21</f>
        <v>0</v>
      </c>
      <c r="G90" s="164">
        <f>((VLOOKUP($B$76,Energy_demand!$A$34:$E$66,5,FALSE )))*G21</f>
        <v>0</v>
      </c>
      <c r="H90" s="164">
        <f>((VLOOKUP($B$76,Energy_demand!$A$34:$E$66,5,FALSE )))*H21</f>
        <v>0</v>
      </c>
      <c r="I90" s="164">
        <f>((VLOOKUP($B$76,Energy_demand!$A$34:$E$66,5,FALSE )))*I21</f>
        <v>0</v>
      </c>
      <c r="J90" s="164">
        <f>((VLOOKUP($B$76,Energy_demand!$A$34:$E$66,5,FALSE )))*J21</f>
        <v>0</v>
      </c>
      <c r="K90" s="164">
        <f>((VLOOKUP($B$76,Energy_demand!$A$34:$E$66,5,FALSE )))*K21</f>
        <v>0</v>
      </c>
      <c r="L90" s="164">
        <f>((VLOOKUP($B$76,Energy_demand!$A$34:$E$66,5,FALSE )))*L21</f>
        <v>0</v>
      </c>
      <c r="M90" s="164">
        <f>((VLOOKUP($B$76,Energy_demand!$A$34:$E$66,5,FALSE )))*M21</f>
        <v>0</v>
      </c>
      <c r="N90" s="164">
        <f>((VLOOKUP($B$76,Energy_demand!$A$34:$E$66,5,FALSE )))*N21</f>
        <v>0</v>
      </c>
      <c r="O90" s="164">
        <f>((VLOOKUP($B$76,Energy_demand!$A$34:$E$66,5,FALSE )))*O21</f>
        <v>0</v>
      </c>
      <c r="P90" s="164">
        <f>((VLOOKUP($B$76,Energy_demand!$A$34:$E$66,5,FALSE )))*P21</f>
        <v>0</v>
      </c>
      <c r="Q90" s="164">
        <f>((VLOOKUP($B$76,Energy_demand!$A$34:$E$66,5,FALSE )))*Q21</f>
        <v>93024611.025489926</v>
      </c>
      <c r="R90" s="164">
        <f>((VLOOKUP($B$76,Energy_demand!$A$34:$E$66,5,FALSE )))*R21</f>
        <v>81998155.256348833</v>
      </c>
      <c r="S90" s="164">
        <f>((VLOOKUP($B$76,Energy_demand!$A$34:$E$66,5,FALSE )))*S21</f>
        <v>64126316.514379479</v>
      </c>
      <c r="T90" s="164">
        <f>((VLOOKUP($B$76,Energy_demand!$A$34:$E$66,5,FALSE )))*T21</f>
        <v>46182884.40867243</v>
      </c>
      <c r="U90" s="164">
        <f>((VLOOKUP($B$76,Energy_demand!$A$34:$E$66,5,FALSE )))*U21</f>
        <v>31061853.610717822</v>
      </c>
      <c r="V90" s="164">
        <f>((VLOOKUP($B$76,Energy_demand!$A$34:$E$66,5,FALSE )))*V21</f>
        <v>19673266.687102344</v>
      </c>
      <c r="W90" s="164">
        <f>((VLOOKUP($B$76,Energy_demand!$A$34:$E$66,5,FALSE )))*W21</f>
        <v>11800428.099551754</v>
      </c>
      <c r="X90" s="164">
        <f>((VLOOKUP($B$76,Energy_demand!$A$34:$E$66,5,FALSE )))*X21</f>
        <v>6731734.1876458246</v>
      </c>
      <c r="Y90" s="164">
        <f>((VLOOKUP($B$76,Energy_demand!$A$34:$E$66,5,FALSE )))*Y21</f>
        <v>3664385.4641986396</v>
      </c>
      <c r="Z90" s="164">
        <f>((VLOOKUP($B$76,Energy_demand!$A$34:$E$66,5,FALSE )))*Z21</f>
        <v>1908476.0415660953</v>
      </c>
      <c r="AA90" s="164">
        <f>((VLOOKUP($B$76,Energy_demand!$A$34:$E$66,5,FALSE )))*AA21</f>
        <v>953138.32107350789</v>
      </c>
      <c r="AB90" s="164">
        <f>((VLOOKUP($B$76,Energy_demand!$A$34:$E$66,5,FALSE )))*AB21</f>
        <v>457336.83532584622</v>
      </c>
    </row>
    <row r="91" spans="1:28">
      <c r="B91" s="163">
        <v>2022</v>
      </c>
      <c r="C91" s="164">
        <f>((VLOOKUP($B$76,Energy_demand!$A$34:$E$66,5,FALSE )))*C22</f>
        <v>0</v>
      </c>
      <c r="D91" s="164">
        <f>((VLOOKUP($B$76,Energy_demand!$A$34:$E$66,5,FALSE )))*D22</f>
        <v>0</v>
      </c>
      <c r="E91" s="164">
        <f>((VLOOKUP($B$76,Energy_demand!$A$34:$E$66,5,FALSE )))*E22</f>
        <v>0</v>
      </c>
      <c r="F91" s="164">
        <f>((VLOOKUP($B$76,Energy_demand!$A$34:$E$66,5,FALSE )))*F22</f>
        <v>0</v>
      </c>
      <c r="G91" s="164">
        <f>((VLOOKUP($B$76,Energy_demand!$A$34:$E$66,5,FALSE )))*G22</f>
        <v>0</v>
      </c>
      <c r="H91" s="164">
        <f>((VLOOKUP($B$76,Energy_demand!$A$34:$E$66,5,FALSE )))*H22</f>
        <v>0</v>
      </c>
      <c r="I91" s="164">
        <f>((VLOOKUP($B$76,Energy_demand!$A$34:$E$66,5,FALSE )))*I22</f>
        <v>0</v>
      </c>
      <c r="J91" s="164">
        <f>((VLOOKUP($B$76,Energy_demand!$A$34:$E$66,5,FALSE )))*J22</f>
        <v>0</v>
      </c>
      <c r="K91" s="164">
        <f>((VLOOKUP($B$76,Energy_demand!$A$34:$E$66,5,FALSE )))*K22</f>
        <v>0</v>
      </c>
      <c r="L91" s="164">
        <f>((VLOOKUP($B$76,Energy_demand!$A$34:$E$66,5,FALSE )))*L22</f>
        <v>0</v>
      </c>
      <c r="M91" s="164">
        <f>((VLOOKUP($B$76,Energy_demand!$A$34:$E$66,5,FALSE )))*M22</f>
        <v>0</v>
      </c>
      <c r="N91" s="164">
        <f>((VLOOKUP($B$76,Energy_demand!$A$34:$E$66,5,FALSE )))*N22</f>
        <v>0</v>
      </c>
      <c r="O91" s="164">
        <f>((VLOOKUP($B$76,Energy_demand!$A$34:$E$66,5,FALSE )))*O22</f>
        <v>0</v>
      </c>
      <c r="P91" s="164">
        <f>((VLOOKUP($B$76,Energy_demand!$A$34:$E$66,5,FALSE )))*P22</f>
        <v>0</v>
      </c>
      <c r="Q91" s="164">
        <f>((VLOOKUP($B$76,Energy_demand!$A$34:$E$66,5,FALSE )))*Q22</f>
        <v>0</v>
      </c>
      <c r="R91" s="164">
        <f>((VLOOKUP($B$76,Energy_demand!$A$34:$E$66,5,FALSE )))*R22</f>
        <v>93024611.025489926</v>
      </c>
      <c r="S91" s="164">
        <f>((VLOOKUP($B$76,Energy_demand!$A$34:$E$66,5,FALSE )))*S22</f>
        <v>81998155.256348833</v>
      </c>
      <c r="T91" s="164">
        <f>((VLOOKUP($B$76,Energy_demand!$A$34:$E$66,5,FALSE )))*T22</f>
        <v>64126316.514379479</v>
      </c>
      <c r="U91" s="164">
        <f>((VLOOKUP($B$76,Energy_demand!$A$34:$E$66,5,FALSE )))*U22</f>
        <v>46182884.40867243</v>
      </c>
      <c r="V91" s="164">
        <f>((VLOOKUP($B$76,Energy_demand!$A$34:$E$66,5,FALSE )))*V22</f>
        <v>31061853.610717822</v>
      </c>
      <c r="W91" s="164">
        <f>((VLOOKUP($B$76,Energy_demand!$A$34:$E$66,5,FALSE )))*W22</f>
        <v>19673266.687102344</v>
      </c>
      <c r="X91" s="164">
        <f>((VLOOKUP($B$76,Energy_demand!$A$34:$E$66,5,FALSE )))*X22</f>
        <v>11800428.099551754</v>
      </c>
      <c r="Y91" s="164">
        <f>((VLOOKUP($B$76,Energy_demand!$A$34:$E$66,5,FALSE )))*Y22</f>
        <v>6731734.1876458246</v>
      </c>
      <c r="Z91" s="164">
        <f>((VLOOKUP($B$76,Energy_demand!$A$34:$E$66,5,FALSE )))*Z22</f>
        <v>3664385.4641986396</v>
      </c>
      <c r="AA91" s="164">
        <f>((VLOOKUP($B$76,Energy_demand!$A$34:$E$66,5,FALSE )))*AA22</f>
        <v>1908476.0415660953</v>
      </c>
      <c r="AB91" s="164">
        <f>((VLOOKUP($B$76,Energy_demand!$A$34:$E$66,5,FALSE )))*AB22</f>
        <v>953138.32107350789</v>
      </c>
    </row>
    <row r="92" spans="1:28">
      <c r="B92" s="163">
        <v>2023</v>
      </c>
      <c r="C92" s="164">
        <f>((VLOOKUP($B$76,Energy_demand!$A$34:$E$66,5,FALSE )))*C23</f>
        <v>0</v>
      </c>
      <c r="D92" s="164">
        <f>((VLOOKUP($B$76,Energy_demand!$A$34:$E$66,5,FALSE )))*D23</f>
        <v>0</v>
      </c>
      <c r="E92" s="164">
        <f>((VLOOKUP($B$76,Energy_demand!$A$34:$E$66,5,FALSE )))*E23</f>
        <v>0</v>
      </c>
      <c r="F92" s="164">
        <f>((VLOOKUP($B$76,Energy_demand!$A$34:$E$66,5,FALSE )))*F23</f>
        <v>0</v>
      </c>
      <c r="G92" s="164">
        <f>((VLOOKUP($B$76,Energy_demand!$A$34:$E$66,5,FALSE )))*G23</f>
        <v>0</v>
      </c>
      <c r="H92" s="164">
        <f>((VLOOKUP($B$76,Energy_demand!$A$34:$E$66,5,FALSE )))*H23</f>
        <v>0</v>
      </c>
      <c r="I92" s="164">
        <f>((VLOOKUP($B$76,Energy_demand!$A$34:$E$66,5,FALSE )))*I23</f>
        <v>0</v>
      </c>
      <c r="J92" s="164">
        <f>((VLOOKUP($B$76,Energy_demand!$A$34:$E$66,5,FALSE )))*J23</f>
        <v>0</v>
      </c>
      <c r="K92" s="164">
        <f>((VLOOKUP($B$76,Energy_demand!$A$34:$E$66,5,FALSE )))*K23</f>
        <v>0</v>
      </c>
      <c r="L92" s="164">
        <f>((VLOOKUP($B$76,Energy_demand!$A$34:$E$66,5,FALSE )))*L23</f>
        <v>0</v>
      </c>
      <c r="M92" s="164">
        <f>((VLOOKUP($B$76,Energy_demand!$A$34:$E$66,5,FALSE )))*M23</f>
        <v>0</v>
      </c>
      <c r="N92" s="164">
        <f>((VLOOKUP($B$76,Energy_demand!$A$34:$E$66,5,FALSE )))*N23</f>
        <v>0</v>
      </c>
      <c r="O92" s="164">
        <f>((VLOOKUP($B$76,Energy_demand!$A$34:$E$66,5,FALSE )))*O23</f>
        <v>0</v>
      </c>
      <c r="P92" s="164">
        <f>((VLOOKUP($B$76,Energy_demand!$A$34:$E$66,5,FALSE )))*P23</f>
        <v>0</v>
      </c>
      <c r="Q92" s="164">
        <f>((VLOOKUP($B$76,Energy_demand!$A$34:$E$66,5,FALSE )))*Q23</f>
        <v>0</v>
      </c>
      <c r="R92" s="164">
        <f>((VLOOKUP($B$76,Energy_demand!$A$34:$E$66,5,FALSE )))*R23</f>
        <v>0</v>
      </c>
      <c r="S92" s="164">
        <f>((VLOOKUP($B$76,Energy_demand!$A$34:$E$66,5,FALSE )))*S23</f>
        <v>93024611.025489926</v>
      </c>
      <c r="T92" s="164">
        <f>((VLOOKUP($B$76,Energy_demand!$A$34:$E$66,5,FALSE )))*T23</f>
        <v>81998155.256348833</v>
      </c>
      <c r="U92" s="164">
        <f>((VLOOKUP($B$76,Energy_demand!$A$34:$E$66,5,FALSE )))*U23</f>
        <v>64126316.514379479</v>
      </c>
      <c r="V92" s="164">
        <f>((VLOOKUP($B$76,Energy_demand!$A$34:$E$66,5,FALSE )))*V23</f>
        <v>46182884.40867243</v>
      </c>
      <c r="W92" s="164">
        <f>((VLOOKUP($B$76,Energy_demand!$A$34:$E$66,5,FALSE )))*W23</f>
        <v>31061853.610717822</v>
      </c>
      <c r="X92" s="164">
        <f>((VLOOKUP($B$76,Energy_demand!$A$34:$E$66,5,FALSE )))*X23</f>
        <v>19673266.687102344</v>
      </c>
      <c r="Y92" s="164">
        <f>((VLOOKUP($B$76,Energy_demand!$A$34:$E$66,5,FALSE )))*Y23</f>
        <v>11800428.099551754</v>
      </c>
      <c r="Z92" s="164">
        <f>((VLOOKUP($B$76,Energy_demand!$A$34:$E$66,5,FALSE )))*Z23</f>
        <v>6731734.1876458246</v>
      </c>
      <c r="AA92" s="164">
        <f>((VLOOKUP($B$76,Energy_demand!$A$34:$E$66,5,FALSE )))*AA23</f>
        <v>3664385.4641986396</v>
      </c>
      <c r="AB92" s="164">
        <f>((VLOOKUP($B$76,Energy_demand!$A$34:$E$66,5,FALSE )))*AB23</f>
        <v>1908476.0415660953</v>
      </c>
    </row>
    <row r="93" spans="1:28">
      <c r="B93" s="163">
        <v>2024</v>
      </c>
      <c r="C93" s="164">
        <f>((VLOOKUP($B$76,Energy_demand!$A$34:$E$66,5,FALSE )))*C24</f>
        <v>0</v>
      </c>
      <c r="D93" s="164">
        <f>((VLOOKUP($B$76,Energy_demand!$A$34:$E$66,5,FALSE )))*D24</f>
        <v>0</v>
      </c>
      <c r="E93" s="164">
        <f>((VLOOKUP($B$76,Energy_demand!$A$34:$E$66,5,FALSE )))*E24</f>
        <v>0</v>
      </c>
      <c r="F93" s="164">
        <f>((VLOOKUP($B$76,Energy_demand!$A$34:$E$66,5,FALSE )))*F24</f>
        <v>0</v>
      </c>
      <c r="G93" s="164">
        <f>((VLOOKUP($B$76,Energy_demand!$A$34:$E$66,5,FALSE )))*G24</f>
        <v>0</v>
      </c>
      <c r="H93" s="164">
        <f>((VLOOKUP($B$76,Energy_demand!$A$34:$E$66,5,FALSE )))*H24</f>
        <v>0</v>
      </c>
      <c r="I93" s="164">
        <f>((VLOOKUP($B$76,Energy_demand!$A$34:$E$66,5,FALSE )))*I24</f>
        <v>0</v>
      </c>
      <c r="J93" s="164">
        <f>((VLOOKUP($B$76,Energy_demand!$A$34:$E$66,5,FALSE )))*J24</f>
        <v>0</v>
      </c>
      <c r="K93" s="164">
        <f>((VLOOKUP($B$76,Energy_demand!$A$34:$E$66,5,FALSE )))*K24</f>
        <v>0</v>
      </c>
      <c r="L93" s="164">
        <f>((VLOOKUP($B$76,Energy_demand!$A$34:$E$66,5,FALSE )))*L24</f>
        <v>0</v>
      </c>
      <c r="M93" s="164">
        <f>((VLOOKUP($B$76,Energy_demand!$A$34:$E$66,5,FALSE )))*M24</f>
        <v>0</v>
      </c>
      <c r="N93" s="164">
        <f>((VLOOKUP($B$76,Energy_demand!$A$34:$E$66,5,FALSE )))*N24</f>
        <v>0</v>
      </c>
      <c r="O93" s="164">
        <f>((VLOOKUP($B$76,Energy_demand!$A$34:$E$66,5,FALSE )))*O24</f>
        <v>0</v>
      </c>
      <c r="P93" s="164">
        <f>((VLOOKUP($B$76,Energy_demand!$A$34:$E$66,5,FALSE )))*P24</f>
        <v>0</v>
      </c>
      <c r="Q93" s="164">
        <f>((VLOOKUP($B$76,Energy_demand!$A$34:$E$66,5,FALSE )))*Q24</f>
        <v>0</v>
      </c>
      <c r="R93" s="164">
        <f>((VLOOKUP($B$76,Energy_demand!$A$34:$E$66,5,FALSE )))*R24</f>
        <v>0</v>
      </c>
      <c r="S93" s="164">
        <f>((VLOOKUP($B$76,Energy_demand!$A$34:$E$66,5,FALSE )))*S24</f>
        <v>0</v>
      </c>
      <c r="T93" s="164">
        <f>((VLOOKUP($B$76,Energy_demand!$A$34:$E$66,5,FALSE )))*T24</f>
        <v>93024611.025489926</v>
      </c>
      <c r="U93" s="164">
        <f>((VLOOKUP($B$76,Energy_demand!$A$34:$E$66,5,FALSE )))*U24</f>
        <v>81998155.256348833</v>
      </c>
      <c r="V93" s="164">
        <f>((VLOOKUP($B$76,Energy_demand!$A$34:$E$66,5,FALSE )))*V24</f>
        <v>64126316.514379479</v>
      </c>
      <c r="W93" s="164">
        <f>((VLOOKUP($B$76,Energy_demand!$A$34:$E$66,5,FALSE )))*W24</f>
        <v>46182884.40867243</v>
      </c>
      <c r="X93" s="164">
        <f>((VLOOKUP($B$76,Energy_demand!$A$34:$E$66,5,FALSE )))*X24</f>
        <v>31061853.610717822</v>
      </c>
      <c r="Y93" s="164">
        <f>((VLOOKUP($B$76,Energy_demand!$A$34:$E$66,5,FALSE )))*Y24</f>
        <v>19673266.687102344</v>
      </c>
      <c r="Z93" s="164">
        <f>((VLOOKUP($B$76,Energy_demand!$A$34:$E$66,5,FALSE )))*Z24</f>
        <v>11800428.099551754</v>
      </c>
      <c r="AA93" s="164">
        <f>((VLOOKUP($B$76,Energy_demand!$A$34:$E$66,5,FALSE )))*AA24</f>
        <v>6731734.1876458246</v>
      </c>
      <c r="AB93" s="164">
        <f>((VLOOKUP($B$76,Energy_demand!$A$34:$E$66,5,FALSE )))*AB24</f>
        <v>3664385.4641986396</v>
      </c>
    </row>
    <row r="94" spans="1:28">
      <c r="B94" s="163">
        <v>2025</v>
      </c>
      <c r="C94" s="164">
        <f>((VLOOKUP($B$76,Energy_demand!$A$34:$E$66,5,FALSE )))*C25</f>
        <v>0</v>
      </c>
      <c r="D94" s="164">
        <f>((VLOOKUP($B$76,Energy_demand!$A$34:$E$66,5,FALSE )))*D25</f>
        <v>0</v>
      </c>
      <c r="E94" s="164">
        <f>((VLOOKUP($B$76,Energy_demand!$A$34:$E$66,5,FALSE )))*E25</f>
        <v>0</v>
      </c>
      <c r="F94" s="164">
        <f>((VLOOKUP($B$76,Energy_demand!$A$34:$E$66,5,FALSE )))*F25</f>
        <v>0</v>
      </c>
      <c r="G94" s="164">
        <f>((VLOOKUP($B$76,Energy_demand!$A$34:$E$66,5,FALSE )))*G25</f>
        <v>0</v>
      </c>
      <c r="H94" s="164">
        <f>((VLOOKUP($B$76,Energy_demand!$A$34:$E$66,5,FALSE )))*H25</f>
        <v>0</v>
      </c>
      <c r="I94" s="164">
        <f>((VLOOKUP($B$76,Energy_demand!$A$34:$E$66,5,FALSE )))*I25</f>
        <v>0</v>
      </c>
      <c r="J94" s="164">
        <f>((VLOOKUP($B$76,Energy_demand!$A$34:$E$66,5,FALSE )))*J25</f>
        <v>0</v>
      </c>
      <c r="K94" s="164">
        <f>((VLOOKUP($B$76,Energy_demand!$A$34:$E$66,5,FALSE )))*K25</f>
        <v>0</v>
      </c>
      <c r="L94" s="164">
        <f>((VLOOKUP($B$76,Energy_demand!$A$34:$E$66,5,FALSE )))*L25</f>
        <v>0</v>
      </c>
      <c r="M94" s="164">
        <f>((VLOOKUP($B$76,Energy_demand!$A$34:$E$66,5,FALSE )))*M25</f>
        <v>0</v>
      </c>
      <c r="N94" s="164">
        <f>((VLOOKUP($B$76,Energy_demand!$A$34:$E$66,5,FALSE )))*N25</f>
        <v>0</v>
      </c>
      <c r="O94" s="164">
        <f>((VLOOKUP($B$76,Energy_demand!$A$34:$E$66,5,FALSE )))*O25</f>
        <v>0</v>
      </c>
      <c r="P94" s="164">
        <f>((VLOOKUP($B$76,Energy_demand!$A$34:$E$66,5,FALSE )))*P25</f>
        <v>0</v>
      </c>
      <c r="Q94" s="164">
        <f>((VLOOKUP($B$76,Energy_demand!$A$34:$E$66,5,FALSE )))*Q25</f>
        <v>0</v>
      </c>
      <c r="R94" s="164">
        <f>((VLOOKUP($B$76,Energy_demand!$A$34:$E$66,5,FALSE )))*R25</f>
        <v>0</v>
      </c>
      <c r="S94" s="164">
        <f>((VLOOKUP($B$76,Energy_demand!$A$34:$E$66,5,FALSE )))*S25</f>
        <v>0</v>
      </c>
      <c r="T94" s="164">
        <f>((VLOOKUP($B$76,Energy_demand!$A$34:$E$66,5,FALSE )))*T25</f>
        <v>0</v>
      </c>
      <c r="U94" s="164">
        <f>((VLOOKUP($B$76,Energy_demand!$A$34:$E$66,5,FALSE )))*U25</f>
        <v>93024611.025489926</v>
      </c>
      <c r="V94" s="164">
        <f>((VLOOKUP($B$76,Energy_demand!$A$34:$E$66,5,FALSE )))*V25</f>
        <v>81998155.256348833</v>
      </c>
      <c r="W94" s="164">
        <f>((VLOOKUP($B$76,Energy_demand!$A$34:$E$66,5,FALSE )))*W25</f>
        <v>64126316.514379479</v>
      </c>
      <c r="X94" s="164">
        <f>((VLOOKUP($B$76,Energy_demand!$A$34:$E$66,5,FALSE )))*X25</f>
        <v>46182884.40867243</v>
      </c>
      <c r="Y94" s="164">
        <f>((VLOOKUP($B$76,Energy_demand!$A$34:$E$66,5,FALSE )))*Y25</f>
        <v>31061853.610717822</v>
      </c>
      <c r="Z94" s="164">
        <f>((VLOOKUP($B$76,Energy_demand!$A$34:$E$66,5,FALSE )))*Z25</f>
        <v>19673266.687102344</v>
      </c>
      <c r="AA94" s="164">
        <f>((VLOOKUP($B$76,Energy_demand!$A$34:$E$66,5,FALSE )))*AA25</f>
        <v>11800428.099551754</v>
      </c>
      <c r="AB94" s="164">
        <f>((VLOOKUP($B$76,Energy_demand!$A$34:$E$66,5,FALSE )))*AB25</f>
        <v>6731734.1876458246</v>
      </c>
    </row>
    <row r="95" spans="1:28">
      <c r="B95" s="163">
        <v>2026</v>
      </c>
      <c r="C95" s="164">
        <f>((VLOOKUP($B$76,Energy_demand!$A$34:$E$66,5,FALSE )))*C26</f>
        <v>0</v>
      </c>
      <c r="D95" s="164">
        <f>((VLOOKUP($B$76,Energy_demand!$A$34:$E$66,5,FALSE )))*D26</f>
        <v>0</v>
      </c>
      <c r="E95" s="164">
        <f>((VLOOKUP($B$76,Energy_demand!$A$34:$E$66,5,FALSE )))*E26</f>
        <v>0</v>
      </c>
      <c r="F95" s="164">
        <f>((VLOOKUP($B$76,Energy_demand!$A$34:$E$66,5,FALSE )))*F26</f>
        <v>0</v>
      </c>
      <c r="G95" s="164">
        <f>((VLOOKUP($B$76,Energy_demand!$A$34:$E$66,5,FALSE )))*G26</f>
        <v>0</v>
      </c>
      <c r="H95" s="164">
        <f>((VLOOKUP($B$76,Energy_demand!$A$34:$E$66,5,FALSE )))*H26</f>
        <v>0</v>
      </c>
      <c r="I95" s="164">
        <f>((VLOOKUP($B$76,Energy_demand!$A$34:$E$66,5,FALSE )))*I26</f>
        <v>0</v>
      </c>
      <c r="J95" s="164">
        <f>((VLOOKUP($B$76,Energy_demand!$A$34:$E$66,5,FALSE )))*J26</f>
        <v>0</v>
      </c>
      <c r="K95" s="164">
        <f>((VLOOKUP($B$76,Energy_demand!$A$34:$E$66,5,FALSE )))*K26</f>
        <v>0</v>
      </c>
      <c r="L95" s="164">
        <f>((VLOOKUP($B$76,Energy_demand!$A$34:$E$66,5,FALSE )))*L26</f>
        <v>0</v>
      </c>
      <c r="M95" s="164">
        <f>((VLOOKUP($B$76,Energy_demand!$A$34:$E$66,5,FALSE )))*M26</f>
        <v>0</v>
      </c>
      <c r="N95" s="164">
        <f>((VLOOKUP($B$76,Energy_demand!$A$34:$E$66,5,FALSE )))*N26</f>
        <v>0</v>
      </c>
      <c r="O95" s="164">
        <f>((VLOOKUP($B$76,Energy_demand!$A$34:$E$66,5,FALSE )))*O26</f>
        <v>0</v>
      </c>
      <c r="P95" s="164">
        <f>((VLOOKUP($B$76,Energy_demand!$A$34:$E$66,5,FALSE )))*P26</f>
        <v>0</v>
      </c>
      <c r="Q95" s="164">
        <f>((VLOOKUP($B$76,Energy_demand!$A$34:$E$66,5,FALSE )))*Q26</f>
        <v>0</v>
      </c>
      <c r="R95" s="164">
        <f>((VLOOKUP($B$76,Energy_demand!$A$34:$E$66,5,FALSE )))*R26</f>
        <v>0</v>
      </c>
      <c r="S95" s="164">
        <f>((VLOOKUP($B$76,Energy_demand!$A$34:$E$66,5,FALSE )))*S26</f>
        <v>0</v>
      </c>
      <c r="T95" s="164">
        <f>((VLOOKUP($B$76,Energy_demand!$A$34:$E$66,5,FALSE )))*T26</f>
        <v>0</v>
      </c>
      <c r="U95" s="164">
        <f>((VLOOKUP($B$76,Energy_demand!$A$34:$E$66,5,FALSE )))*U26</f>
        <v>0</v>
      </c>
      <c r="V95" s="164">
        <f>((VLOOKUP($B$76,Energy_demand!$A$34:$E$66,5,FALSE )))*V26</f>
        <v>93024611.025489926</v>
      </c>
      <c r="W95" s="164">
        <f>((VLOOKUP($B$76,Energy_demand!$A$34:$E$66,5,FALSE )))*W26</f>
        <v>81998155.256348833</v>
      </c>
      <c r="X95" s="164">
        <f>((VLOOKUP($B$76,Energy_demand!$A$34:$E$66,5,FALSE )))*X26</f>
        <v>64126316.514379479</v>
      </c>
      <c r="Y95" s="164">
        <f>((VLOOKUP($B$76,Energy_demand!$A$34:$E$66,5,FALSE )))*Y26</f>
        <v>46182884.40867243</v>
      </c>
      <c r="Z95" s="164">
        <f>((VLOOKUP($B$76,Energy_demand!$A$34:$E$66,5,FALSE )))*Z26</f>
        <v>31061853.610717822</v>
      </c>
      <c r="AA95" s="164">
        <f>((VLOOKUP($B$76,Energy_demand!$A$34:$E$66,5,FALSE )))*AA26</f>
        <v>19673266.687102344</v>
      </c>
      <c r="AB95" s="164">
        <f>((VLOOKUP($B$76,Energy_demand!$A$34:$E$66,5,FALSE )))*AB26</f>
        <v>11800428.099551754</v>
      </c>
    </row>
    <row r="96" spans="1:28">
      <c r="B96" s="163">
        <v>2027</v>
      </c>
      <c r="C96" s="164">
        <f>((VLOOKUP($B$76,Energy_demand!$A$34:$E$66,5,FALSE )))*C27</f>
        <v>0</v>
      </c>
      <c r="D96" s="164">
        <f>((VLOOKUP($B$76,Energy_demand!$A$34:$E$66,5,FALSE )))*D27</f>
        <v>0</v>
      </c>
      <c r="E96" s="164">
        <f>((VLOOKUP($B$76,Energy_demand!$A$34:$E$66,5,FALSE )))*E27</f>
        <v>0</v>
      </c>
      <c r="F96" s="164">
        <f>((VLOOKUP($B$76,Energy_demand!$A$34:$E$66,5,FALSE )))*F27</f>
        <v>0</v>
      </c>
      <c r="G96" s="164">
        <f>((VLOOKUP($B$76,Energy_demand!$A$34:$E$66,5,FALSE )))*G27</f>
        <v>0</v>
      </c>
      <c r="H96" s="164">
        <f>((VLOOKUP($B$76,Energy_demand!$A$34:$E$66,5,FALSE )))*H27</f>
        <v>0</v>
      </c>
      <c r="I96" s="164">
        <f>((VLOOKUP($B$76,Energy_demand!$A$34:$E$66,5,FALSE )))*I27</f>
        <v>0</v>
      </c>
      <c r="J96" s="164">
        <f>((VLOOKUP($B$76,Energy_demand!$A$34:$E$66,5,FALSE )))*J27</f>
        <v>0</v>
      </c>
      <c r="K96" s="164">
        <f>((VLOOKUP($B$76,Energy_demand!$A$34:$E$66,5,FALSE )))*K27</f>
        <v>0</v>
      </c>
      <c r="L96" s="164">
        <f>((VLOOKUP($B$76,Energy_demand!$A$34:$E$66,5,FALSE )))*L27</f>
        <v>0</v>
      </c>
      <c r="M96" s="164">
        <f>((VLOOKUP($B$76,Energy_demand!$A$34:$E$66,5,FALSE )))*M27</f>
        <v>0</v>
      </c>
      <c r="N96" s="164">
        <f>((VLOOKUP($B$76,Energy_demand!$A$34:$E$66,5,FALSE )))*N27</f>
        <v>0</v>
      </c>
      <c r="O96" s="164">
        <f>((VLOOKUP($B$76,Energy_demand!$A$34:$E$66,5,FALSE )))*O27</f>
        <v>0</v>
      </c>
      <c r="P96" s="164">
        <f>((VLOOKUP($B$76,Energy_demand!$A$34:$E$66,5,FALSE )))*P27</f>
        <v>0</v>
      </c>
      <c r="Q96" s="164">
        <f>((VLOOKUP($B$76,Energy_demand!$A$34:$E$66,5,FALSE )))*Q27</f>
        <v>0</v>
      </c>
      <c r="R96" s="164">
        <f>((VLOOKUP($B$76,Energy_demand!$A$34:$E$66,5,FALSE )))*R27</f>
        <v>0</v>
      </c>
      <c r="S96" s="164">
        <f>((VLOOKUP($B$76,Energy_demand!$A$34:$E$66,5,FALSE )))*S27</f>
        <v>0</v>
      </c>
      <c r="T96" s="164">
        <f>((VLOOKUP($B$76,Energy_demand!$A$34:$E$66,5,FALSE )))*T27</f>
        <v>0</v>
      </c>
      <c r="U96" s="164">
        <f>((VLOOKUP($B$76,Energy_demand!$A$34:$E$66,5,FALSE )))*U27</f>
        <v>0</v>
      </c>
      <c r="V96" s="164">
        <f>((VLOOKUP($B$76,Energy_demand!$A$34:$E$66,5,FALSE )))*V27</f>
        <v>0</v>
      </c>
      <c r="W96" s="164">
        <f>((VLOOKUP($B$76,Energy_demand!$A$34:$E$66,5,FALSE )))*W27</f>
        <v>93024611.025489926</v>
      </c>
      <c r="X96" s="164">
        <f>((VLOOKUP($B$76,Energy_demand!$A$34:$E$66,5,FALSE )))*X27</f>
        <v>81998155.256348833</v>
      </c>
      <c r="Y96" s="164">
        <f>((VLOOKUP($B$76,Energy_demand!$A$34:$E$66,5,FALSE )))*Y27</f>
        <v>64126316.514379479</v>
      </c>
      <c r="Z96" s="164">
        <f>((VLOOKUP($B$76,Energy_demand!$A$34:$E$66,5,FALSE )))*Z27</f>
        <v>46182884.40867243</v>
      </c>
      <c r="AA96" s="164">
        <f>((VLOOKUP($B$76,Energy_demand!$A$34:$E$66,5,FALSE )))*AA27</f>
        <v>31061853.610717822</v>
      </c>
      <c r="AB96" s="164">
        <f>((VLOOKUP($B$76,Energy_demand!$A$34:$E$66,5,FALSE )))*AB27</f>
        <v>19673266.687102344</v>
      </c>
    </row>
    <row r="97" spans="1:28">
      <c r="B97" s="163">
        <v>2028</v>
      </c>
      <c r="C97" s="164">
        <f>((VLOOKUP($B$76,Energy_demand!$A$34:$E$66,5,FALSE )))*C28</f>
        <v>0</v>
      </c>
      <c r="D97" s="164">
        <f>((VLOOKUP($B$76,Energy_demand!$A$34:$E$66,5,FALSE )))*D28</f>
        <v>0</v>
      </c>
      <c r="E97" s="164">
        <f>((VLOOKUP($B$76,Energy_demand!$A$34:$E$66,5,FALSE )))*E28</f>
        <v>0</v>
      </c>
      <c r="F97" s="164">
        <f>((VLOOKUP($B$76,Energy_demand!$A$34:$E$66,5,FALSE )))*F28</f>
        <v>0</v>
      </c>
      <c r="G97" s="164">
        <f>((VLOOKUP($B$76,Energy_demand!$A$34:$E$66,5,FALSE )))*G28</f>
        <v>0</v>
      </c>
      <c r="H97" s="164">
        <f>((VLOOKUP($B$76,Energy_demand!$A$34:$E$66,5,FALSE )))*H28</f>
        <v>0</v>
      </c>
      <c r="I97" s="164">
        <f>((VLOOKUP($B$76,Energy_demand!$A$34:$E$66,5,FALSE )))*I28</f>
        <v>0</v>
      </c>
      <c r="J97" s="164">
        <f>((VLOOKUP($B$76,Energy_demand!$A$34:$E$66,5,FALSE )))*J28</f>
        <v>0</v>
      </c>
      <c r="K97" s="164">
        <f>((VLOOKUP($B$76,Energy_demand!$A$34:$E$66,5,FALSE )))*K28</f>
        <v>0</v>
      </c>
      <c r="L97" s="164">
        <f>((VLOOKUP($B$76,Energy_demand!$A$34:$E$66,5,FALSE )))*L28</f>
        <v>0</v>
      </c>
      <c r="M97" s="164">
        <f>((VLOOKUP($B$76,Energy_demand!$A$34:$E$66,5,FALSE )))*M28</f>
        <v>0</v>
      </c>
      <c r="N97" s="164">
        <f>((VLOOKUP($B$76,Energy_demand!$A$34:$E$66,5,FALSE )))*N28</f>
        <v>0</v>
      </c>
      <c r="O97" s="164">
        <f>((VLOOKUP($B$76,Energy_demand!$A$34:$E$66,5,FALSE )))*O28</f>
        <v>0</v>
      </c>
      <c r="P97" s="164">
        <f>((VLOOKUP($B$76,Energy_demand!$A$34:$E$66,5,FALSE )))*P28</f>
        <v>0</v>
      </c>
      <c r="Q97" s="164">
        <f>((VLOOKUP($B$76,Energy_demand!$A$34:$E$66,5,FALSE )))*Q28</f>
        <v>0</v>
      </c>
      <c r="R97" s="164">
        <f>((VLOOKUP($B$76,Energy_demand!$A$34:$E$66,5,FALSE )))*R28</f>
        <v>0</v>
      </c>
      <c r="S97" s="164">
        <f>((VLOOKUP($B$76,Energy_demand!$A$34:$E$66,5,FALSE )))*S28</f>
        <v>0</v>
      </c>
      <c r="T97" s="164">
        <f>((VLOOKUP($B$76,Energy_demand!$A$34:$E$66,5,FALSE )))*T28</f>
        <v>0</v>
      </c>
      <c r="U97" s="164">
        <f>((VLOOKUP($B$76,Energy_demand!$A$34:$E$66,5,FALSE )))*U28</f>
        <v>0</v>
      </c>
      <c r="V97" s="164">
        <f>((VLOOKUP($B$76,Energy_demand!$A$34:$E$66,5,FALSE )))*V28</f>
        <v>0</v>
      </c>
      <c r="W97" s="164">
        <f>((VLOOKUP($B$76,Energy_demand!$A$34:$E$66,5,FALSE )))*W28</f>
        <v>0</v>
      </c>
      <c r="X97" s="164">
        <f>((VLOOKUP($B$76,Energy_demand!$A$34:$E$66,5,FALSE )))*X28</f>
        <v>93024611.025489926</v>
      </c>
      <c r="Y97" s="164">
        <f>((VLOOKUP($B$76,Energy_demand!$A$34:$E$66,5,FALSE )))*Y28</f>
        <v>81998155.256348833</v>
      </c>
      <c r="Z97" s="164">
        <f>((VLOOKUP($B$76,Energy_demand!$A$34:$E$66,5,FALSE )))*Z28</f>
        <v>64126316.514379479</v>
      </c>
      <c r="AA97" s="164">
        <f>((VLOOKUP($B$76,Energy_demand!$A$34:$E$66,5,FALSE )))*AA28</f>
        <v>46182884.40867243</v>
      </c>
      <c r="AB97" s="164">
        <f>((VLOOKUP($B$76,Energy_demand!$A$34:$E$66,5,FALSE )))*AB28</f>
        <v>31061853.610717822</v>
      </c>
    </row>
    <row r="98" spans="1:28">
      <c r="B98" s="163">
        <v>2029</v>
      </c>
      <c r="C98" s="164">
        <f>((VLOOKUP($B$76,Energy_demand!$A$34:$E$66,5,FALSE )))*C29</f>
        <v>0</v>
      </c>
      <c r="D98" s="164">
        <f>((VLOOKUP($B$76,Energy_demand!$A$34:$E$66,5,FALSE )))*D29</f>
        <v>0</v>
      </c>
      <c r="E98" s="164">
        <f>((VLOOKUP($B$76,Energy_demand!$A$34:$E$66,5,FALSE )))*E29</f>
        <v>0</v>
      </c>
      <c r="F98" s="164">
        <f>((VLOOKUP($B$76,Energy_demand!$A$34:$E$66,5,FALSE )))*F29</f>
        <v>0</v>
      </c>
      <c r="G98" s="164">
        <f>((VLOOKUP($B$76,Energy_demand!$A$34:$E$66,5,FALSE )))*G29</f>
        <v>0</v>
      </c>
      <c r="H98" s="164">
        <f>((VLOOKUP($B$76,Energy_demand!$A$34:$E$66,5,FALSE )))*H29</f>
        <v>0</v>
      </c>
      <c r="I98" s="164">
        <f>((VLOOKUP($B$76,Energy_demand!$A$34:$E$66,5,FALSE )))*I29</f>
        <v>0</v>
      </c>
      <c r="J98" s="164">
        <f>((VLOOKUP($B$76,Energy_demand!$A$34:$E$66,5,FALSE )))*J29</f>
        <v>0</v>
      </c>
      <c r="K98" s="164">
        <f>((VLOOKUP($B$76,Energy_demand!$A$34:$E$66,5,FALSE )))*K29</f>
        <v>0</v>
      </c>
      <c r="L98" s="164">
        <f>((VLOOKUP($B$76,Energy_demand!$A$34:$E$66,5,FALSE )))*L29</f>
        <v>0</v>
      </c>
      <c r="M98" s="164">
        <f>((VLOOKUP($B$76,Energy_demand!$A$34:$E$66,5,FALSE )))*M29</f>
        <v>0</v>
      </c>
      <c r="N98" s="164">
        <f>((VLOOKUP($B$76,Energy_demand!$A$34:$E$66,5,FALSE )))*N29</f>
        <v>0</v>
      </c>
      <c r="O98" s="164">
        <f>((VLOOKUP($B$76,Energy_demand!$A$34:$E$66,5,FALSE )))*O29</f>
        <v>0</v>
      </c>
      <c r="P98" s="164">
        <f>((VLOOKUP($B$76,Energy_demand!$A$34:$E$66,5,FALSE )))*P29</f>
        <v>0</v>
      </c>
      <c r="Q98" s="164">
        <f>((VLOOKUP($B$76,Energy_demand!$A$34:$E$66,5,FALSE )))*Q29</f>
        <v>0</v>
      </c>
      <c r="R98" s="164">
        <f>((VLOOKUP($B$76,Energy_demand!$A$34:$E$66,5,FALSE )))*R29</f>
        <v>0</v>
      </c>
      <c r="S98" s="164">
        <f>((VLOOKUP($B$76,Energy_demand!$A$34:$E$66,5,FALSE )))*S29</f>
        <v>0</v>
      </c>
      <c r="T98" s="164">
        <f>((VLOOKUP($B$76,Energy_demand!$A$34:$E$66,5,FALSE )))*T29</f>
        <v>0</v>
      </c>
      <c r="U98" s="164">
        <f>((VLOOKUP($B$76,Energy_demand!$A$34:$E$66,5,FALSE )))*U29</f>
        <v>0</v>
      </c>
      <c r="V98" s="164">
        <f>((VLOOKUP($B$76,Energy_demand!$A$34:$E$66,5,FALSE )))*V29</f>
        <v>0</v>
      </c>
      <c r="W98" s="164">
        <f>((VLOOKUP($B$76,Energy_demand!$A$34:$E$66,5,FALSE )))*W29</f>
        <v>0</v>
      </c>
      <c r="X98" s="164">
        <f>((VLOOKUP($B$76,Energy_demand!$A$34:$E$66,5,FALSE )))*X29</f>
        <v>0</v>
      </c>
      <c r="Y98" s="164">
        <f>((VLOOKUP($B$76,Energy_demand!$A$34:$E$66,5,FALSE )))*Y29</f>
        <v>93024611.025489926</v>
      </c>
      <c r="Z98" s="164">
        <f>((VLOOKUP($B$76,Energy_demand!$A$34:$E$66,5,FALSE )))*Z29</f>
        <v>81998155.256348833</v>
      </c>
      <c r="AA98" s="164">
        <f>((VLOOKUP($B$76,Energy_demand!$A$34:$E$66,5,FALSE )))*AA29</f>
        <v>64126316.514379479</v>
      </c>
      <c r="AB98" s="164">
        <f>((VLOOKUP($B$76,Energy_demand!$A$34:$E$66,5,FALSE )))*AB29</f>
        <v>46182884.40867243</v>
      </c>
    </row>
    <row r="99" spans="1:28">
      <c r="B99" s="163">
        <v>2030</v>
      </c>
      <c r="C99" s="164">
        <f>((VLOOKUP($B$76,Energy_demand!$A$34:$E$66,5,FALSE )))*C30</f>
        <v>0</v>
      </c>
      <c r="D99" s="164">
        <f>((VLOOKUP($B$76,Energy_demand!$A$34:$E$66,5,FALSE )))*D30</f>
        <v>0</v>
      </c>
      <c r="E99" s="164">
        <f>((VLOOKUP($B$76,Energy_demand!$A$34:$E$66,5,FALSE )))*E30</f>
        <v>0</v>
      </c>
      <c r="F99" s="164">
        <f>((VLOOKUP($B$76,Energy_demand!$A$34:$E$66,5,FALSE )))*F30</f>
        <v>0</v>
      </c>
      <c r="G99" s="164">
        <f>((VLOOKUP($B$76,Energy_demand!$A$34:$E$66,5,FALSE )))*G30</f>
        <v>0</v>
      </c>
      <c r="H99" s="164">
        <f>((VLOOKUP($B$76,Energy_demand!$A$34:$E$66,5,FALSE )))*H30</f>
        <v>0</v>
      </c>
      <c r="I99" s="164">
        <f>((VLOOKUP($B$76,Energy_demand!$A$34:$E$66,5,FALSE )))*I30</f>
        <v>0</v>
      </c>
      <c r="J99" s="164">
        <f>((VLOOKUP($B$76,Energy_demand!$A$34:$E$66,5,FALSE )))*J30</f>
        <v>0</v>
      </c>
      <c r="K99" s="164">
        <f>((VLOOKUP($B$76,Energy_demand!$A$34:$E$66,5,FALSE )))*K30</f>
        <v>0</v>
      </c>
      <c r="L99" s="164">
        <f>((VLOOKUP($B$76,Energy_demand!$A$34:$E$66,5,FALSE )))*L30</f>
        <v>0</v>
      </c>
      <c r="M99" s="164">
        <f>((VLOOKUP($B$76,Energy_demand!$A$34:$E$66,5,FALSE )))*M30</f>
        <v>0</v>
      </c>
      <c r="N99" s="164">
        <f>((VLOOKUP($B$76,Energy_demand!$A$34:$E$66,5,FALSE )))*N30</f>
        <v>0</v>
      </c>
      <c r="O99" s="164">
        <f>((VLOOKUP($B$76,Energy_demand!$A$34:$E$66,5,FALSE )))*O30</f>
        <v>0</v>
      </c>
      <c r="P99" s="164">
        <f>((VLOOKUP($B$76,Energy_demand!$A$34:$E$66,5,FALSE )))*P30</f>
        <v>0</v>
      </c>
      <c r="Q99" s="164">
        <f>((VLOOKUP($B$76,Energy_demand!$A$34:$E$66,5,FALSE )))*Q30</f>
        <v>0</v>
      </c>
      <c r="R99" s="164">
        <f>((VLOOKUP($B$76,Energy_demand!$A$34:$E$66,5,FALSE )))*R30</f>
        <v>0</v>
      </c>
      <c r="S99" s="164">
        <f>((VLOOKUP($B$76,Energy_demand!$A$34:$E$66,5,FALSE )))*S30</f>
        <v>0</v>
      </c>
      <c r="T99" s="164">
        <f>((VLOOKUP($B$76,Energy_demand!$A$34:$E$66,5,FALSE )))*T30</f>
        <v>0</v>
      </c>
      <c r="U99" s="164">
        <f>((VLOOKUP($B$76,Energy_demand!$A$34:$E$66,5,FALSE )))*U30</f>
        <v>0</v>
      </c>
      <c r="V99" s="164">
        <f>((VLOOKUP($B$76,Energy_demand!$A$34:$E$66,5,FALSE )))*V30</f>
        <v>0</v>
      </c>
      <c r="W99" s="164">
        <f>((VLOOKUP($B$76,Energy_demand!$A$34:$E$66,5,FALSE )))*W30</f>
        <v>0</v>
      </c>
      <c r="X99" s="164">
        <f>((VLOOKUP($B$76,Energy_demand!$A$34:$E$66,5,FALSE )))*X30</f>
        <v>0</v>
      </c>
      <c r="Y99" s="164">
        <f>((VLOOKUP($B$76,Energy_demand!$A$34:$E$66,5,FALSE )))*Y30</f>
        <v>0</v>
      </c>
      <c r="Z99" s="164">
        <f>((VLOOKUP($B$76,Energy_demand!$A$34:$E$66,5,FALSE )))*Z30</f>
        <v>93024611.025489926</v>
      </c>
      <c r="AA99" s="164">
        <f>((VLOOKUP($B$76,Energy_demand!$A$34:$E$66,5,FALSE )))*AA30</f>
        <v>81998155.256348833</v>
      </c>
      <c r="AB99" s="164">
        <f>((VLOOKUP($B$76,Energy_demand!$A$34:$E$66,5,FALSE )))*AB30</f>
        <v>64126316.514379479</v>
      </c>
    </row>
    <row r="100" spans="1:28">
      <c r="B100" s="163">
        <v>2031</v>
      </c>
      <c r="C100" s="164">
        <f>((VLOOKUP($B$76,Energy_demand!$A$34:$E$66,5,FALSE )))*C31</f>
        <v>0</v>
      </c>
      <c r="D100" s="164">
        <f>((VLOOKUP($B$76,Energy_demand!$A$34:$E$66,5,FALSE )))*D31</f>
        <v>0</v>
      </c>
      <c r="E100" s="164">
        <f>((VLOOKUP($B$76,Energy_demand!$A$34:$E$66,5,FALSE )))*E31</f>
        <v>0</v>
      </c>
      <c r="F100" s="164">
        <f>((VLOOKUP($B$76,Energy_demand!$A$34:$E$66,5,FALSE )))*F31</f>
        <v>0</v>
      </c>
      <c r="G100" s="164">
        <f>((VLOOKUP($B$76,Energy_demand!$A$34:$E$66,5,FALSE )))*G31</f>
        <v>0</v>
      </c>
      <c r="H100" s="164">
        <f>((VLOOKUP($B$76,Energy_demand!$A$34:$E$66,5,FALSE )))*H31</f>
        <v>0</v>
      </c>
      <c r="I100" s="164">
        <f>((VLOOKUP($B$76,Energy_demand!$A$34:$E$66,5,FALSE )))*I31</f>
        <v>0</v>
      </c>
      <c r="J100" s="164">
        <f>((VLOOKUP($B$76,Energy_demand!$A$34:$E$66,5,FALSE )))*J31</f>
        <v>0</v>
      </c>
      <c r="K100" s="164">
        <f>((VLOOKUP($B$76,Energy_demand!$A$34:$E$66,5,FALSE )))*K31</f>
        <v>0</v>
      </c>
      <c r="L100" s="164">
        <f>((VLOOKUP($B$76,Energy_demand!$A$34:$E$66,5,FALSE )))*L31</f>
        <v>0</v>
      </c>
      <c r="M100" s="164">
        <f>((VLOOKUP($B$76,Energy_demand!$A$34:$E$66,5,FALSE )))*M31</f>
        <v>0</v>
      </c>
      <c r="N100" s="164">
        <f>((VLOOKUP($B$76,Energy_demand!$A$34:$E$66,5,FALSE )))*N31</f>
        <v>0</v>
      </c>
      <c r="O100" s="164">
        <f>((VLOOKUP($B$76,Energy_demand!$A$34:$E$66,5,FALSE )))*O31</f>
        <v>0</v>
      </c>
      <c r="P100" s="164">
        <f>((VLOOKUP($B$76,Energy_demand!$A$34:$E$66,5,FALSE )))*P31</f>
        <v>0</v>
      </c>
      <c r="Q100" s="164">
        <f>((VLOOKUP($B$76,Energy_demand!$A$34:$E$66,5,FALSE )))*Q31</f>
        <v>0</v>
      </c>
      <c r="R100" s="164">
        <f>((VLOOKUP($B$76,Energy_demand!$A$34:$E$66,5,FALSE )))*R31</f>
        <v>0</v>
      </c>
      <c r="S100" s="164">
        <f>((VLOOKUP($B$76,Energy_demand!$A$34:$E$66,5,FALSE )))*S31</f>
        <v>0</v>
      </c>
      <c r="T100" s="164">
        <f>((VLOOKUP($B$76,Energy_demand!$A$34:$E$66,5,FALSE )))*T31</f>
        <v>0</v>
      </c>
      <c r="U100" s="164">
        <f>((VLOOKUP($B$76,Energy_demand!$A$34:$E$66,5,FALSE )))*U31</f>
        <v>0</v>
      </c>
      <c r="V100" s="164">
        <f>((VLOOKUP($B$76,Energy_demand!$A$34:$E$66,5,FALSE )))*V31</f>
        <v>0</v>
      </c>
      <c r="W100" s="164">
        <f>((VLOOKUP($B$76,Energy_demand!$A$34:$E$66,5,FALSE )))*W31</f>
        <v>0</v>
      </c>
      <c r="X100" s="164">
        <f>((VLOOKUP($B$76,Energy_demand!$A$34:$E$66,5,FALSE )))*X31</f>
        <v>0</v>
      </c>
      <c r="Y100" s="164">
        <f>((VLOOKUP($B$76,Energy_demand!$A$34:$E$66,5,FALSE )))*Y31</f>
        <v>0</v>
      </c>
      <c r="Z100" s="164">
        <f>((VLOOKUP($B$76,Energy_demand!$A$34:$E$66,5,FALSE )))*Z31</f>
        <v>0</v>
      </c>
      <c r="AA100" s="164">
        <f>((VLOOKUP($B$76,Energy_demand!$A$34:$E$66,5,FALSE )))*AA31</f>
        <v>93024611.025489926</v>
      </c>
      <c r="AB100" s="164">
        <f>((VLOOKUP($B$76,Energy_demand!$A$34:$E$66,5,FALSE )))*AB31</f>
        <v>81998155.256348833</v>
      </c>
    </row>
    <row r="101" spans="1:28">
      <c r="B101" s="163">
        <v>2032</v>
      </c>
      <c r="C101" s="164">
        <f>((VLOOKUP($B$76,Energy_demand!$A$34:$E$66,5,FALSE )))*C32</f>
        <v>0</v>
      </c>
      <c r="D101" s="164">
        <f>((VLOOKUP($B$76,Energy_demand!$A$34:$E$66,5,FALSE )))*D32</f>
        <v>0</v>
      </c>
      <c r="E101" s="164">
        <f>((VLOOKUP($B$76,Energy_demand!$A$34:$E$66,5,FALSE )))*E32</f>
        <v>0</v>
      </c>
      <c r="F101" s="164">
        <f>((VLOOKUP($B$76,Energy_demand!$A$34:$E$66,5,FALSE )))*F32</f>
        <v>0</v>
      </c>
      <c r="G101" s="164">
        <f>((VLOOKUP($B$76,Energy_demand!$A$34:$E$66,5,FALSE )))*G32</f>
        <v>0</v>
      </c>
      <c r="H101" s="164">
        <f>((VLOOKUP($B$76,Energy_demand!$A$34:$E$66,5,FALSE )))*H32</f>
        <v>0</v>
      </c>
      <c r="I101" s="164">
        <f>((VLOOKUP($B$76,Energy_demand!$A$34:$E$66,5,FALSE )))*I32</f>
        <v>0</v>
      </c>
      <c r="J101" s="164">
        <f>((VLOOKUP($B$76,Energy_demand!$A$34:$E$66,5,FALSE )))*J32</f>
        <v>0</v>
      </c>
      <c r="K101" s="164">
        <f>((VLOOKUP($B$76,Energy_demand!$A$34:$E$66,5,FALSE )))*K32</f>
        <v>0</v>
      </c>
      <c r="L101" s="164">
        <f>((VLOOKUP($B$76,Energy_demand!$A$34:$E$66,5,FALSE )))*L32</f>
        <v>0</v>
      </c>
      <c r="M101" s="164">
        <f>((VLOOKUP($B$76,Energy_demand!$A$34:$E$66,5,FALSE )))*M32</f>
        <v>0</v>
      </c>
      <c r="N101" s="164">
        <f>((VLOOKUP($B$76,Energy_demand!$A$34:$E$66,5,FALSE )))*N32</f>
        <v>0</v>
      </c>
      <c r="O101" s="164">
        <f>((VLOOKUP($B$76,Energy_demand!$A$34:$E$66,5,FALSE )))*O32</f>
        <v>0</v>
      </c>
      <c r="P101" s="164">
        <f>((VLOOKUP($B$76,Energy_demand!$A$34:$E$66,5,FALSE )))*P32</f>
        <v>0</v>
      </c>
      <c r="Q101" s="164">
        <f>((VLOOKUP($B$76,Energy_demand!$A$34:$E$66,5,FALSE )))*Q32</f>
        <v>0</v>
      </c>
      <c r="R101" s="164">
        <f>((VLOOKUP($B$76,Energy_demand!$A$34:$E$66,5,FALSE )))*R32</f>
        <v>0</v>
      </c>
      <c r="S101" s="164">
        <f>((VLOOKUP($B$76,Energy_demand!$A$34:$E$66,5,FALSE )))*S32</f>
        <v>0</v>
      </c>
      <c r="T101" s="164">
        <f>((VLOOKUP($B$76,Energy_demand!$A$34:$E$66,5,FALSE )))*T32</f>
        <v>0</v>
      </c>
      <c r="U101" s="164">
        <f>((VLOOKUP($B$76,Energy_demand!$A$34:$E$66,5,FALSE )))*U32</f>
        <v>0</v>
      </c>
      <c r="V101" s="164">
        <f>((VLOOKUP($B$76,Energy_demand!$A$34:$E$66,5,FALSE )))*V32</f>
        <v>0</v>
      </c>
      <c r="W101" s="164">
        <f>((VLOOKUP($B$76,Energy_demand!$A$34:$E$66,5,FALSE )))*W32</f>
        <v>0</v>
      </c>
      <c r="X101" s="164">
        <f>((VLOOKUP($B$76,Energy_demand!$A$34:$E$66,5,FALSE )))*X32</f>
        <v>0</v>
      </c>
      <c r="Y101" s="164">
        <f>((VLOOKUP($B$76,Energy_demand!$A$34:$E$66,5,FALSE )))*Y32</f>
        <v>0</v>
      </c>
      <c r="Z101" s="164">
        <f>((VLOOKUP($B$76,Energy_demand!$A$34:$E$66,5,FALSE )))*Z32</f>
        <v>0</v>
      </c>
      <c r="AA101" s="164">
        <f>((VLOOKUP($B$76,Energy_demand!$A$34:$E$66,5,FALSE )))*AA32</f>
        <v>0</v>
      </c>
      <c r="AB101" s="164">
        <f>((VLOOKUP($B$76,Energy_demand!$A$34:$E$66,5,FALSE )))*AB32</f>
        <v>93024611.025489926</v>
      </c>
    </row>
    <row r="103" spans="1:28" ht="21">
      <c r="B103" s="52" t="s">
        <v>7763</v>
      </c>
    </row>
    <row r="104" spans="1:28">
      <c r="A104" s="1" t="s">
        <v>7762</v>
      </c>
      <c r="B104" s="163">
        <v>2007</v>
      </c>
      <c r="C104" s="164">
        <f>(C76*Emissions_factors!$E$20)/1000</f>
        <v>15501.446642957195</v>
      </c>
      <c r="D104" s="164">
        <f>(D76*Emissions_factors!$E$20)/1000</f>
        <v>13664.018742082315</v>
      </c>
      <c r="E104" s="164">
        <f>(E76*Emissions_factors!$E$20)/1000</f>
        <v>10685.889066331658</v>
      </c>
      <c r="F104" s="164">
        <f>(F76*Emissions_factors!$E$20)/1000</f>
        <v>7695.8292067754974</v>
      </c>
      <c r="G104" s="164">
        <f>(G76*Emissions_factors!$E$20)/1000</f>
        <v>5176.0890055853233</v>
      </c>
      <c r="H104" s="164">
        <f>(H76*Emissions_factors!$E$20)/1000</f>
        <v>3278.3162485809285</v>
      </c>
      <c r="I104" s="164">
        <f>(I76*Emissions_factors!$E$20)/1000</f>
        <v>1966.4011978414067</v>
      </c>
      <c r="J104" s="164">
        <f>(J76*Emissions_factors!$E$20)/1000</f>
        <v>1121.7635545476119</v>
      </c>
      <c r="K104" s="164">
        <f>(K76*Emissions_factors!$E$20)/1000</f>
        <v>610.62631841522375</v>
      </c>
      <c r="L104" s="164">
        <f>(L76*Emissions_factors!$E$20)/1000</f>
        <v>318.02486676985455</v>
      </c>
      <c r="M104" s="164">
        <f>(M76*Emissions_factors!$E$20)/1000</f>
        <v>158.82918148865187</v>
      </c>
      <c r="N104" s="164">
        <f>(N76*Emissions_factors!$E$20)/1000</f>
        <v>76.209752156017345</v>
      </c>
      <c r="O104" s="164">
        <f>(O76*Emissions_factors!$E$20)/1000</f>
        <v>35.189858586706812</v>
      </c>
      <c r="P104" s="164">
        <f>(P76*Emissions_factors!$E$20)/1000</f>
        <v>15.659525893127755</v>
      </c>
      <c r="Q104" s="164">
        <f>(Q76*Emissions_factors!$E$20)/1000</f>
        <v>6.7243442098341308</v>
      </c>
      <c r="R104" s="164">
        <f>(R76*Emissions_factors!$E$20)/1000</f>
        <v>2.7895174739548283</v>
      </c>
      <c r="S104" s="164">
        <f>(S76*Emissions_factors!$E$20)/1000</f>
        <v>1.119089554973606</v>
      </c>
      <c r="T104" s="164">
        <f>(T76*Emissions_factors!$E$20)/1000</f>
        <v>0.43457504742882203</v>
      </c>
      <c r="U104" s="164">
        <f>(U76*Emissions_factors!$E$20)/1000</f>
        <v>0.16349381527865575</v>
      </c>
      <c r="V104" s="164">
        <f>(V76*Emissions_factors!$E$20)/1000</f>
        <v>5.9637106458403921E-2</v>
      </c>
      <c r="W104" s="164">
        <f>(W76*Emissions_factors!$E$20)/1000</f>
        <v>2.1106986385441836E-2</v>
      </c>
      <c r="X104" s="164">
        <f>(X76*Emissions_factors!$E$20)/1000</f>
        <v>7.2530885225045045E-3</v>
      </c>
      <c r="Y104" s="164">
        <f>(Y76*Emissions_factors!$E$20)/1000</f>
        <v>2.4214700059566863E-3</v>
      </c>
      <c r="Z104" s="164">
        <f>(Z76*Emissions_factors!$E$20)/1000</f>
        <v>7.8586652712536384E-4</v>
      </c>
      <c r="AA104" s="164">
        <f>(AA76*Emissions_factors!$E$20)/1000</f>
        <v>2.4806766170566561E-4</v>
      </c>
      <c r="AB104" s="164">
        <f>(AB76*Emissions_factors!$E$20)/1000</f>
        <v>7.6202074918681014E-5</v>
      </c>
    </row>
    <row r="105" spans="1:28">
      <c r="B105" s="163">
        <v>2008</v>
      </c>
      <c r="C105" s="164">
        <f>(C77*Emissions_factors!$E$20)/1000</f>
        <v>0</v>
      </c>
      <c r="D105" s="164">
        <f>(D77*Emissions_factors!$E$20)/1000</f>
        <v>14675.512828351057</v>
      </c>
      <c r="E105" s="164">
        <f>(E77*Emissions_factors!$E$20)/1000</f>
        <v>12935.985069971768</v>
      </c>
      <c r="F105" s="164">
        <f>(F77*Emissions_factors!$E$20)/1000</f>
        <v>10116.533358938816</v>
      </c>
      <c r="G105" s="164">
        <f>(G77*Emissions_factors!$E$20)/1000</f>
        <v>7285.7871171749593</v>
      </c>
      <c r="H105" s="164">
        <f>(H77*Emissions_factors!$E$20)/1000</f>
        <v>4900.3013945583025</v>
      </c>
      <c r="I105" s="164">
        <f>(I77*Emissions_factors!$E$20)/1000</f>
        <v>3103.6440191405932</v>
      </c>
      <c r="J105" s="164">
        <f>(J77*Emissions_factors!$E$20)/1000</f>
        <v>1861.6292188263303</v>
      </c>
      <c r="K105" s="164">
        <f>(K77*Emissions_factors!$E$20)/1000</f>
        <v>1061.9947811528662</v>
      </c>
      <c r="L105" s="164">
        <f>(L77*Emissions_factors!$E$20)/1000</f>
        <v>578.09148885486627</v>
      </c>
      <c r="M105" s="164">
        <f>(M77*Emissions_factors!$E$20)/1000</f>
        <v>301.08015848547171</v>
      </c>
      <c r="N105" s="164">
        <f>(N77*Emissions_factors!$E$20)/1000</f>
        <v>150.36659120535768</v>
      </c>
      <c r="O105" s="164">
        <f>(O77*Emissions_factors!$E$20)/1000</f>
        <v>72.149214274734803</v>
      </c>
      <c r="P105" s="164">
        <f>(P77*Emissions_factors!$E$20)/1000</f>
        <v>33.314904925451323</v>
      </c>
      <c r="Q105" s="164">
        <f>(Q77*Emissions_factors!$E$20)/1000</f>
        <v>14.825169445388678</v>
      </c>
      <c r="R105" s="164">
        <f>(R77*Emissions_factors!$E$20)/1000</f>
        <v>6.3660638898179149</v>
      </c>
      <c r="S105" s="164">
        <f>(S77*Emissions_factors!$E$20)/1000</f>
        <v>2.6408889710001859</v>
      </c>
      <c r="T105" s="164">
        <f>(T77*Emissions_factors!$E$20)/1000</f>
        <v>1.0594632551633767</v>
      </c>
      <c r="U105" s="164">
        <f>(U77*Emissions_factors!$E$20)/1000</f>
        <v>0.41142041967550819</v>
      </c>
      <c r="V105" s="164">
        <f>(V77*Emissions_factors!$E$20)/1000</f>
        <v>0.1547826882704573</v>
      </c>
      <c r="W105" s="164">
        <f>(W77*Emissions_factors!$E$20)/1000</f>
        <v>5.6459577033971732E-2</v>
      </c>
      <c r="X105" s="164">
        <f>(X77*Emissions_factors!$E$20)/1000</f>
        <v>1.9982383360853281E-2</v>
      </c>
      <c r="Y105" s="164">
        <f>(Y77*Emissions_factors!$E$20)/1000</f>
        <v>6.8666361346049632E-3</v>
      </c>
      <c r="Z105" s="164">
        <f>(Z77*Emissions_factors!$E$20)/1000</f>
        <v>2.2924514694910715E-3</v>
      </c>
      <c r="AA105" s="164">
        <f>(AA77*Emissions_factors!$E$20)/1000</f>
        <v>7.4399471003177512E-4</v>
      </c>
      <c r="AB105" s="164">
        <f>(AB77*Emissions_factors!$E$20)/1000</f>
        <v>2.3485034884241276E-4</v>
      </c>
    </row>
    <row r="106" spans="1:28">
      <c r="B106" s="163">
        <v>2009</v>
      </c>
      <c r="C106" s="164">
        <f>(C78*Emissions_factors!$E$20)/1000</f>
        <v>0</v>
      </c>
      <c r="D106" s="164">
        <f>(D78*Emissions_factors!$E$20)/1000</f>
        <v>0</v>
      </c>
      <c r="E106" s="164">
        <f>(E78*Emissions_factors!$E$20)/1000</f>
        <v>14995.839355609816</v>
      </c>
      <c r="F106" s="164">
        <f>(F78*Emissions_factors!$E$20)/1000</f>
        <v>13218.34243782675</v>
      </c>
      <c r="G106" s="164">
        <f>(G78*Emissions_factors!$E$20)/1000</f>
        <v>10337.349764925382</v>
      </c>
      <c r="H106" s="164">
        <f>(H78*Emissions_factors!$E$20)/1000</f>
        <v>7444.816032408683</v>
      </c>
      <c r="I106" s="164">
        <f>(I78*Emissions_factors!$E$20)/1000</f>
        <v>5007.2616450517417</v>
      </c>
      <c r="J106" s="164">
        <f>(J78*Emissions_factors!$E$20)/1000</f>
        <v>3171.38812608438</v>
      </c>
      <c r="K106" s="164">
        <f>(K78*Emissions_factors!$E$20)/1000</f>
        <v>1902.2635209924563</v>
      </c>
      <c r="L106" s="164">
        <f>(L78*Emissions_factors!$E$20)/1000</f>
        <v>1085.1752385714601</v>
      </c>
      <c r="M106" s="164">
        <f>(M78*Emissions_factors!$E$20)/1000</f>
        <v>590.70965363238508</v>
      </c>
      <c r="N106" s="164">
        <f>(N78*Emissions_factors!$E$20)/1000</f>
        <v>307.65191939919271</v>
      </c>
      <c r="O106" s="164">
        <f>(O78*Emissions_factors!$E$20)/1000</f>
        <v>153.64868489025426</v>
      </c>
      <c r="P106" s="164">
        <f>(P78*Emissions_factors!$E$20)/1000</f>
        <v>73.724035374575777</v>
      </c>
      <c r="Q106" s="164">
        <f>(Q78*Emissions_factors!$E$20)/1000</f>
        <v>34.042078682548883</v>
      </c>
      <c r="R106" s="164">
        <f>(R78*Emissions_factors!$E$20)/1000</f>
        <v>15.148762569527396</v>
      </c>
      <c r="S106" s="164">
        <f>(S78*Emissions_factors!$E$20)/1000</f>
        <v>6.5050177486700065</v>
      </c>
      <c r="T106" s="164">
        <f>(T78*Emissions_factors!$E$20)/1000</f>
        <v>2.6985323939490722</v>
      </c>
      <c r="U106" s="164">
        <f>(U78*Emissions_factors!$E$20)/1000</f>
        <v>1.0825884562554384</v>
      </c>
      <c r="V106" s="164">
        <f>(V78*Emissions_factors!$E$20)/1000</f>
        <v>0.42040060836257054</v>
      </c>
      <c r="W106" s="164">
        <f>(W78*Emissions_factors!$E$20)/1000</f>
        <v>0.15816117334238386</v>
      </c>
      <c r="X106" s="164">
        <f>(X78*Emissions_factors!$E$20)/1000</f>
        <v>5.7691936029076282E-2</v>
      </c>
      <c r="Y106" s="164">
        <f>(Y78*Emissions_factors!$E$20)/1000</f>
        <v>2.0418544437007958E-2</v>
      </c>
      <c r="Z106" s="164">
        <f>(Z78*Emissions_factors!$E$20)/1000</f>
        <v>7.0165161239909733E-3</v>
      </c>
      <c r="AA106" s="164">
        <f>(AA78*Emissions_factors!$E$20)/1000</f>
        <v>2.3424894495412598E-3</v>
      </c>
      <c r="AB106" s="164">
        <f>(AB78*Emissions_factors!$E$20)/1000</f>
        <v>7.6023409086642391E-4</v>
      </c>
    </row>
    <row r="107" spans="1:28">
      <c r="B107" s="163">
        <v>2010</v>
      </c>
      <c r="C107" s="164">
        <f>(C79*Emissions_factors!$E$20)/1000</f>
        <v>0</v>
      </c>
      <c r="D107" s="164">
        <f>(D79*Emissions_factors!$E$20)/1000</f>
        <v>0</v>
      </c>
      <c r="E107" s="164">
        <f>(E79*Emissions_factors!$E$20)/1000</f>
        <v>0</v>
      </c>
      <c r="F107" s="164">
        <f>(F79*Emissions_factors!$E$20)/1000</f>
        <v>15445.916980018401</v>
      </c>
      <c r="G107" s="164">
        <f>(G79*Emissions_factors!$E$20)/1000</f>
        <v>13615.071158504243</v>
      </c>
      <c r="H107" s="164">
        <f>(H79*Emissions_factors!$E$20)/1000</f>
        <v>10647.609812032233</v>
      </c>
      <c r="I107" s="164">
        <f>(I79*Emissions_factors!$E$20)/1000</f>
        <v>7668.2610183522002</v>
      </c>
      <c r="J107" s="164">
        <f>(J79*Emissions_factors!$E$20)/1000</f>
        <v>5157.5470924051133</v>
      </c>
      <c r="K107" s="164">
        <f>(K79*Emissions_factors!$E$20)/1000</f>
        <v>3266.5725835873668</v>
      </c>
      <c r="L107" s="164">
        <f>(L79*Emissions_factors!$E$20)/1000</f>
        <v>1959.3571071682188</v>
      </c>
      <c r="M107" s="164">
        <f>(M79*Emissions_factors!$E$20)/1000</f>
        <v>1117.7451455877388</v>
      </c>
      <c r="N107" s="164">
        <f>(N79*Emissions_factors!$E$20)/1000</f>
        <v>608.43891781809566</v>
      </c>
      <c r="O107" s="164">
        <f>(O79*Emissions_factors!$E$20)/1000</f>
        <v>316.88563028021338</v>
      </c>
      <c r="P107" s="164">
        <f>(P79*Emissions_factors!$E$20)/1000</f>
        <v>158.26021969327542</v>
      </c>
      <c r="Q107" s="164">
        <f>(Q79*Emissions_factors!$E$20)/1000</f>
        <v>75.936751709843165</v>
      </c>
      <c r="R107" s="164">
        <f>(R79*Emissions_factors!$E$20)/1000</f>
        <v>35.063800610880961</v>
      </c>
      <c r="S107" s="164">
        <f>(S79*Emissions_factors!$E$20)/1000</f>
        <v>15.603429954815974</v>
      </c>
      <c r="T107" s="164">
        <f>(T79*Emissions_factors!$E$20)/1000</f>
        <v>6.700256098830236</v>
      </c>
      <c r="U107" s="164">
        <f>(U79*Emissions_factors!$E$20)/1000</f>
        <v>2.7795247959384852</v>
      </c>
      <c r="V107" s="164">
        <f>(V79*Emissions_factors!$E$20)/1000</f>
        <v>1.1150807248806907</v>
      </c>
      <c r="W107" s="164">
        <f>(W79*Emissions_factors!$E$20)/1000</f>
        <v>0.43301830201910918</v>
      </c>
      <c r="X107" s="164">
        <f>(X79*Emissions_factors!$E$20)/1000</f>
        <v>0.16290814371753562</v>
      </c>
      <c r="Y107" s="164">
        <f>(Y79*Emissions_factors!$E$20)/1000</f>
        <v>5.9423472950734836E-2</v>
      </c>
      <c r="Z107" s="164">
        <f>(Z79*Emissions_factors!$E$20)/1000</f>
        <v>2.1031376420344177E-2</v>
      </c>
      <c r="AA107" s="164">
        <f>(AA79*Emissions_factors!$E$20)/1000</f>
        <v>7.2271063306357927E-3</v>
      </c>
      <c r="AB107" s="164">
        <f>(AB79*Emissions_factors!$E$20)/1000</f>
        <v>2.4127957566208499E-3</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13078.335802776393</v>
      </c>
      <c r="H108" s="164">
        <f>(H80*Emissions_factors!$E$20)/1000</f>
        <v>11528.125705969071</v>
      </c>
      <c r="I108" s="164">
        <f>(I80*Emissions_factors!$E$20)/1000</f>
        <v>9015.5227947190779</v>
      </c>
      <c r="J108" s="164">
        <f>(J80*Emissions_factors!$E$20)/1000</f>
        <v>6492.8545680445995</v>
      </c>
      <c r="K108" s="164">
        <f>(K80*Emissions_factors!$E$20)/1000</f>
        <v>4366.9879153414131</v>
      </c>
      <c r="L108" s="164">
        <f>(L80*Emissions_factors!$E$20)/1000</f>
        <v>2765.8657771866087</v>
      </c>
      <c r="M108" s="164">
        <f>(M80*Emissions_factors!$E$20)/1000</f>
        <v>1659.0229144862315</v>
      </c>
      <c r="N108" s="164">
        <f>(N80*Emissions_factors!$E$20)/1000</f>
        <v>946.41492472285847</v>
      </c>
      <c r="O108" s="164">
        <f>(O80*Emissions_factors!$E$20)/1000</f>
        <v>515.17617846819758</v>
      </c>
      <c r="P108" s="164">
        <f>(P80*Emissions_factors!$E$20)/1000</f>
        <v>268.312764417962</v>
      </c>
      <c r="Q108" s="164">
        <f>(Q80*Emissions_factors!$E$20)/1000</f>
        <v>134.00177535897615</v>
      </c>
      <c r="R108" s="164">
        <f>(R80*Emissions_factors!$E$20)/1000</f>
        <v>64.297013891641427</v>
      </c>
      <c r="S108" s="164">
        <f>(S80*Emissions_factors!$E$20)/1000</f>
        <v>29.689150828917054</v>
      </c>
      <c r="T108" s="164">
        <f>(T80*Emissions_factors!$E$20)/1000</f>
        <v>13.211704872438091</v>
      </c>
      <c r="U108" s="164">
        <f>(U80*Emissions_factors!$E$20)/1000</f>
        <v>5.6732273867885281</v>
      </c>
      <c r="V108" s="164">
        <f>(V80*Emissions_factors!$E$20)/1000</f>
        <v>2.3534736526457576</v>
      </c>
      <c r="W108" s="164">
        <f>(W80*Emissions_factors!$E$20)/1000</f>
        <v>0.94415891177317557</v>
      </c>
      <c r="X108" s="164">
        <f>(X80*Emissions_factors!$E$20)/1000</f>
        <v>0.36664438698460555</v>
      </c>
      <c r="Y108" s="164">
        <f>(Y80*Emissions_factors!$E$20)/1000</f>
        <v>0.13793725625361677</v>
      </c>
      <c r="Z108" s="164">
        <f>(Z80*Emissions_factors!$E$20)/1000</f>
        <v>5.0314923667030095E-2</v>
      </c>
      <c r="AA108" s="164">
        <f>(AA80*Emissions_factors!$E$20)/1000</f>
        <v>1.7807644801903291E-2</v>
      </c>
      <c r="AB108" s="164">
        <f>(AB80*Emissions_factors!$E$20)/1000</f>
        <v>6.119320956904005E-3</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16473.718835082585</v>
      </c>
      <c r="I109" s="164">
        <f>(I81*Emissions_factors!$E$20)/1000</f>
        <v>14521.044912710244</v>
      </c>
      <c r="J109" s="164">
        <f>(J81*Emissions_factors!$E$20)/1000</f>
        <v>11356.122821066501</v>
      </c>
      <c r="K109" s="164">
        <f>(K81*Emissions_factors!$E$20)/1000</f>
        <v>8178.5222679739991</v>
      </c>
      <c r="L109" s="164">
        <f>(L81*Emissions_factors!$E$20)/1000</f>
        <v>5500.7404732845025</v>
      </c>
      <c r="M109" s="164">
        <f>(M81*Emissions_factors!$E$20)/1000</f>
        <v>3483.9367818707174</v>
      </c>
      <c r="N109" s="164">
        <f>(N81*Emissions_factors!$E$20)/1000</f>
        <v>2089.7366030625631</v>
      </c>
      <c r="O109" s="164">
        <f>(O81*Emissions_factors!$E$20)/1000</f>
        <v>1192.1221175480462</v>
      </c>
      <c r="P109" s="164">
        <f>(P81*Emissions_factors!$E$20)/1000</f>
        <v>648.92564639728414</v>
      </c>
      <c r="Q109" s="164">
        <f>(Q81*Emissions_factors!$E$20)/1000</f>
        <v>337.97182665602725</v>
      </c>
      <c r="R109" s="164">
        <f>(R81*Emissions_factors!$E$20)/1000</f>
        <v>168.79116761912786</v>
      </c>
      <c r="S109" s="164">
        <f>(S81*Emissions_factors!$E$20)/1000</f>
        <v>80.98973330853309</v>
      </c>
      <c r="T109" s="164">
        <f>(T81*Emissions_factors!$E$20)/1000</f>
        <v>37.397015230646538</v>
      </c>
      <c r="U109" s="164">
        <f>(U81*Emissions_factors!$E$20)/1000</f>
        <v>16.641713034653222</v>
      </c>
      <c r="V109" s="164">
        <f>(V81*Emissions_factors!$E$20)/1000</f>
        <v>7.1461043871961252</v>
      </c>
      <c r="W109" s="164">
        <f>(W81*Emissions_factors!$E$20)/1000</f>
        <v>2.9644798714550875</v>
      </c>
      <c r="X109" s="164">
        <f>(X81*Emissions_factors!$E$20)/1000</f>
        <v>1.1892804010191367</v>
      </c>
      <c r="Y109" s="164">
        <f>(Y81*Emissions_factors!$E$20)/1000</f>
        <v>0.46183219598653963</v>
      </c>
      <c r="Z109" s="164">
        <f>(Z81*Emissions_factors!$E$20)/1000</f>
        <v>0.17374837369770135</v>
      </c>
      <c r="AA109" s="164">
        <f>(AA81*Emissions_factors!$E$20)/1000</f>
        <v>6.337762833122354E-2</v>
      </c>
      <c r="AB109" s="164">
        <f>(AB81*Emissions_factors!$E$20)/1000</f>
        <v>2.2430845789974126E-2</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19873.424697679766</v>
      </c>
      <c r="J110" s="164">
        <f>(J82*Emissions_factors!$E$20)/1000</f>
        <v>17517.774553114508</v>
      </c>
      <c r="K110" s="164">
        <f>(K82*Emissions_factors!$E$20)/1000</f>
        <v>13699.702781223074</v>
      </c>
      <c r="L110" s="164">
        <f>(L82*Emissions_factors!$E$20)/1000</f>
        <v>9866.3360749329931</v>
      </c>
      <c r="M110" s="164">
        <f>(M82*Emissions_factors!$E$20)/1000</f>
        <v>6635.9364677569401</v>
      </c>
      <c r="N110" s="164">
        <f>(N82*Emissions_factors!$E$20)/1000</f>
        <v>4202.9219983125549</v>
      </c>
      <c r="O110" s="164">
        <f>(O82*Emissions_factors!$E$20)/1000</f>
        <v>2520.9986545664365</v>
      </c>
      <c r="P110" s="164">
        <f>(P82*Emissions_factors!$E$20)/1000</f>
        <v>1438.1421323687944</v>
      </c>
      <c r="Q110" s="164">
        <f>(Q82*Emissions_factors!$E$20)/1000</f>
        <v>782.8453973977845</v>
      </c>
      <c r="R110" s="164">
        <f>(R82*Emissions_factors!$E$20)/1000</f>
        <v>407.71957529601508</v>
      </c>
      <c r="S110" s="164">
        <f>(S82*Emissions_factors!$E$20)/1000</f>
        <v>203.62485197747182</v>
      </c>
      <c r="T110" s="164">
        <f>(T82*Emissions_factors!$E$20)/1000</f>
        <v>97.703705053202711</v>
      </c>
      <c r="U110" s="164">
        <f>(U82*Emissions_factors!$E$20)/1000</f>
        <v>45.11469289626924</v>
      </c>
      <c r="V110" s="164">
        <f>(V82*Emissions_factors!$E$20)/1000</f>
        <v>20.076088110126992</v>
      </c>
      <c r="W110" s="164">
        <f>(W82*Emissions_factors!$E$20)/1000</f>
        <v>8.6208565802555324</v>
      </c>
      <c r="X110" s="164">
        <f>(X82*Emissions_factors!$E$20)/1000</f>
        <v>3.5762639925409849</v>
      </c>
      <c r="Y110" s="164">
        <f>(Y82*Emissions_factors!$E$20)/1000</f>
        <v>1.4347139665724251</v>
      </c>
      <c r="Z110" s="164">
        <f>(Z82*Emissions_factors!$E$20)/1000</f>
        <v>0.55714119330218426</v>
      </c>
      <c r="AA110" s="164">
        <f>(AA82*Emissions_factors!$E$20)/1000</f>
        <v>0.20960508404890965</v>
      </c>
      <c r="AB110" s="164">
        <f>(AB82*Emissions_factors!$E$20)/1000</f>
        <v>7.6456963771640837E-2</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19265.530002540552</v>
      </c>
      <c r="K111" s="164">
        <f>(K83*Emissions_factors!$E$20)/1000</f>
        <v>16981.935240893381</v>
      </c>
      <c r="L111" s="164">
        <f>(L83*Emissions_factors!$E$20)/1000</f>
        <v>13280.65187417625</v>
      </c>
      <c r="M111" s="164">
        <f>(M83*Emissions_factors!$E$20)/1000</f>
        <v>9564.5414194243858</v>
      </c>
      <c r="N111" s="164">
        <f>(N83*Emissions_factors!$E$20)/1000</f>
        <v>6432.9543125725204</v>
      </c>
      <c r="O111" s="164">
        <f>(O83*Emissions_factors!$E$20)/1000</f>
        <v>4074.3616708539257</v>
      </c>
      <c r="P111" s="164">
        <f>(P83*Emissions_factors!$E$20)/1000</f>
        <v>2443.8855383382624</v>
      </c>
      <c r="Q111" s="164">
        <f>(Q83*Emissions_factors!$E$20)/1000</f>
        <v>1394.1517790994228</v>
      </c>
      <c r="R111" s="164">
        <f>(R83*Emissions_factors!$E$20)/1000</f>
        <v>758.89947104479791</v>
      </c>
      <c r="S111" s="164">
        <f>(S83*Emissions_factors!$E$20)/1000</f>
        <v>395.24811802595542</v>
      </c>
      <c r="T111" s="164">
        <f>(T83*Emissions_factors!$E$20)/1000</f>
        <v>197.39630963015989</v>
      </c>
      <c r="U111" s="164">
        <f>(U83*Emissions_factors!$E$20)/1000</f>
        <v>94.715112754653234</v>
      </c>
      <c r="V111" s="164">
        <f>(V83*Emissions_factors!$E$20)/1000</f>
        <v>43.734710185605444</v>
      </c>
      <c r="W111" s="164">
        <f>(W83*Emissions_factors!$E$20)/1000</f>
        <v>19.461994281461489</v>
      </c>
      <c r="X111" s="164">
        <f>(X83*Emissions_factors!$E$20)/1000</f>
        <v>8.3571590513990603</v>
      </c>
      <c r="Y111" s="164">
        <f>(Y83*Emissions_factors!$E$20)/1000</f>
        <v>3.4668720813553473</v>
      </c>
      <c r="Z111" s="164">
        <f>(Z83*Emissions_factors!$E$20)/1000</f>
        <v>1.3908284751390665</v>
      </c>
      <c r="AA111" s="164">
        <f>(AA83*Emissions_factors!$E$20)/1000</f>
        <v>0.54009917960781206</v>
      </c>
      <c r="AB111" s="164">
        <f>(AB83*Emissions_factors!$E$20)/1000</f>
        <v>0.20319361644300585</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20069.216960373717</v>
      </c>
      <c r="L112" s="164">
        <f>(L84*Emissions_factors!$E$20)/1000</f>
        <v>17690.359035622812</v>
      </c>
      <c r="M112" s="164">
        <f>(M84*Emissions_factors!$E$20)/1000</f>
        <v>13834.671758466511</v>
      </c>
      <c r="N112" s="164">
        <f>(N84*Emissions_factors!$E$20)/1000</f>
        <v>9963.5388617700082</v>
      </c>
      <c r="O112" s="164">
        <f>(O84*Emissions_factors!$E$20)/1000</f>
        <v>6701.3134742809907</v>
      </c>
      <c r="P112" s="164">
        <f>(P84*Emissions_factors!$E$20)/1000</f>
        <v>4244.3290341150896</v>
      </c>
      <c r="Q112" s="164">
        <f>(Q84*Emissions_factors!$E$20)/1000</f>
        <v>2545.8354423035594</v>
      </c>
      <c r="R112" s="164">
        <f>(R84*Emissions_factors!$E$20)/1000</f>
        <v>1452.3106567401812</v>
      </c>
      <c r="S112" s="164">
        <f>(S84*Emissions_factors!$E$20)/1000</f>
        <v>790.5579619923484</v>
      </c>
      <c r="T112" s="164">
        <f>(T84*Emissions_factors!$E$20)/1000</f>
        <v>411.73641383321723</v>
      </c>
      <c r="U112" s="164">
        <f>(U84*Emissions_factors!$E$20)/1000</f>
        <v>205.63095666832788</v>
      </c>
      <c r="V112" s="164">
        <f>(V84*Emissions_factors!$E$20)/1000</f>
        <v>98.666278428298071</v>
      </c>
      <c r="W112" s="164">
        <f>(W84*Emissions_factors!$E$20)/1000</f>
        <v>45.559161222049788</v>
      </c>
      <c r="X112" s="164">
        <f>(X84*Emissions_factors!$E$20)/1000</f>
        <v>20.273877005444255</v>
      </c>
      <c r="Y112" s="164">
        <f>(Y84*Emissions_factors!$E$20)/1000</f>
        <v>8.7057889480726072</v>
      </c>
      <c r="Z112" s="164">
        <f>(Z84*Emissions_factors!$E$20)/1000</f>
        <v>3.611497216292916</v>
      </c>
      <c r="AA112" s="164">
        <f>(AA84*Emissions_factors!$E$20)/1000</f>
        <v>1.4488487167781421</v>
      </c>
      <c r="AB112" s="164">
        <f>(AB84*Emissions_factors!$E$20)/1000</f>
        <v>0.56263012822588554</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20121.798337502118</v>
      </c>
      <c r="M113" s="164">
        <f>(M85*Emissions_factors!$E$20)/1000</f>
        <v>17736.707801587403</v>
      </c>
      <c r="N113" s="164">
        <f>(N85*Emissions_factors!$E$20)/1000</f>
        <v>13870.918618252614</v>
      </c>
      <c r="O113" s="164">
        <f>(O85*Emissions_factors!$E$20)/1000</f>
        <v>9989.6433478323506</v>
      </c>
      <c r="P113" s="164">
        <f>(P85*Emissions_factors!$E$20)/1000</f>
        <v>6718.8709251642285</v>
      </c>
      <c r="Q113" s="164">
        <f>(Q85*Emissions_factors!$E$20)/1000</f>
        <v>4255.4491822524324</v>
      </c>
      <c r="R113" s="164">
        <f>(R85*Emissions_factors!$E$20)/1000</f>
        <v>2552.5055348020819</v>
      </c>
      <c r="S113" s="164">
        <f>(S85*Emissions_factors!$E$20)/1000</f>
        <v>1456.1157127371555</v>
      </c>
      <c r="T113" s="164">
        <f>(T85*Emissions_factors!$E$20)/1000</f>
        <v>792.62922498299997</v>
      </c>
      <c r="U113" s="164">
        <f>(U85*Emissions_factors!$E$20)/1000</f>
        <v>412.81516382610459</v>
      </c>
      <c r="V113" s="164">
        <f>(V85*Emissions_factors!$E$20)/1000</f>
        <v>206.16971006878191</v>
      </c>
      <c r="W113" s="164">
        <f>(W85*Emissions_factors!$E$20)/1000</f>
        <v>98.924784218839761</v>
      </c>
      <c r="X113" s="164">
        <f>(X85*Emissions_factors!$E$20)/1000</f>
        <v>45.678526289585804</v>
      </c>
      <c r="Y113" s="164">
        <f>(Y85*Emissions_factors!$E$20)/1000</f>
        <v>20.326994592183336</v>
      </c>
      <c r="Z113" s="164">
        <f>(Z85*Emissions_factors!$E$20)/1000</f>
        <v>8.7285981275629041</v>
      </c>
      <c r="AA113" s="164">
        <f>(AA85*Emissions_factors!$E$20)/1000</f>
        <v>3.6209593441628281</v>
      </c>
      <c r="AB113" s="164">
        <f>(AB85*Emissions_factors!$E$20)/1000</f>
        <v>1.4526447024874665</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17163.655172392322</v>
      </c>
      <c r="N114" s="164">
        <f>(N86*Emissions_factors!$E$20)/1000</f>
        <v>15129.201251985009</v>
      </c>
      <c r="O114" s="164">
        <f>(O86*Emissions_factors!$E$20)/1000</f>
        <v>11831.728958553847</v>
      </c>
      <c r="P114" s="164">
        <f>(P86*Emissions_factors!$E$20)/1000</f>
        <v>8521.0472166307281</v>
      </c>
      <c r="Q114" s="164">
        <f>(Q86*Emissions_factors!$E$20)/1000</f>
        <v>5731.1171582712059</v>
      </c>
      <c r="R114" s="164">
        <f>(R86*Emissions_factors!$E$20)/1000</f>
        <v>3629.8476479456945</v>
      </c>
      <c r="S114" s="164">
        <f>(S86*Emissions_factors!$E$20)/1000</f>
        <v>2177.2569275437991</v>
      </c>
      <c r="T114" s="164">
        <f>(T86*Emissions_factors!$E$20)/1000</f>
        <v>1242.0494214944661</v>
      </c>
      <c r="U114" s="164">
        <f>(U86*Emissions_factors!$E$20)/1000</f>
        <v>676.10332182951458</v>
      </c>
      <c r="V114" s="164">
        <f>(V86*Emissions_factors!$E$20)/1000</f>
        <v>352.12643537135631</v>
      </c>
      <c r="W114" s="164">
        <f>(W86*Emissions_factors!$E$20)/1000</f>
        <v>175.86031582562578</v>
      </c>
      <c r="X114" s="164">
        <f>(X86*Emissions_factors!$E$20)/1000</f>
        <v>84.381666879693967</v>
      </c>
      <c r="Y114" s="164">
        <f>(Y86*Emissions_factors!$E$20)/1000</f>
        <v>38.963240803199184</v>
      </c>
      <c r="Z114" s="164">
        <f>(Z86*Emissions_factors!$E$20)/1000</f>
        <v>17.33868514232552</v>
      </c>
      <c r="AA114" s="164">
        <f>(AA86*Emissions_factors!$E$20)/1000</f>
        <v>7.4453906100758926</v>
      </c>
      <c r="AB114" s="164">
        <f>(AB86*Emissions_factors!$E$20)/1000</f>
        <v>3.088635346306611</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18505.499614684435</v>
      </c>
      <c r="O115" s="164">
        <f>(O87*Emissions_factors!$E$20)/1000</f>
        <v>16311.993286221932</v>
      </c>
      <c r="P115" s="164">
        <f>(P87*Emissions_factors!$E$20)/1000</f>
        <v>12756.726552963644</v>
      </c>
      <c r="Q115" s="164">
        <f>(Q87*Emissions_factors!$E$20)/1000</f>
        <v>9187.2176643181265</v>
      </c>
      <c r="R115" s="164">
        <f>(R87*Emissions_factors!$E$20)/1000</f>
        <v>6179.1725188403798</v>
      </c>
      <c r="S115" s="164">
        <f>(S87*Emissions_factors!$E$20)/1000</f>
        <v>3913.6269970319854</v>
      </c>
      <c r="T115" s="164">
        <f>(T87*Emissions_factors!$E$20)/1000</f>
        <v>2347.4735905053076</v>
      </c>
      <c r="U115" s="164">
        <f>(U87*Emissions_factors!$E$20)/1000</f>
        <v>1339.1521129983869</v>
      </c>
      <c r="V115" s="164">
        <f>(V87*Emissions_factors!$E$20)/1000</f>
        <v>728.96068092348196</v>
      </c>
      <c r="W115" s="164">
        <f>(W87*Emissions_factors!$E$20)/1000</f>
        <v>379.65547248736652</v>
      </c>
      <c r="X115" s="164">
        <f>(X87*Emissions_factors!$E$20)/1000</f>
        <v>189.60897163583576</v>
      </c>
      <c r="Y115" s="164">
        <f>(Y87*Emissions_factors!$E$20)/1000</f>
        <v>90.978575847894831</v>
      </c>
      <c r="Z115" s="164">
        <f>(Z87*Emissions_factors!$E$20)/1000</f>
        <v>42.009363997841241</v>
      </c>
      <c r="AA115" s="164">
        <f>(AA87*Emissions_factors!$E$20)/1000</f>
        <v>18.694213324475516</v>
      </c>
      <c r="AB115" s="164">
        <f>(AB87*Emissions_factors!$E$20)/1000</f>
        <v>8.0274668584320121</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18618.61188621062</v>
      </c>
      <c r="P116" s="164">
        <f>(P88*Emissions_factors!$E$20)/1000</f>
        <v>16411.698057892088</v>
      </c>
      <c r="Q116" s="164">
        <f>(Q88*Emissions_factors!$E$20)/1000</f>
        <v>12834.700255251533</v>
      </c>
      <c r="R116" s="164">
        <f>(R88*Emissions_factors!$E$20)/1000</f>
        <v>9243.3732440459953</v>
      </c>
      <c r="S116" s="164">
        <f>(S88*Emissions_factors!$E$20)/1000</f>
        <v>6216.9418444090634</v>
      </c>
      <c r="T116" s="164">
        <f>(T88*Emissions_factors!$E$20)/1000</f>
        <v>3937.5484932767658</v>
      </c>
      <c r="U116" s="164">
        <f>(U88*Emissions_factors!$E$20)/1000</f>
        <v>2361.8221936610453</v>
      </c>
      <c r="V116" s="164">
        <f>(V88*Emissions_factors!$E$20)/1000</f>
        <v>1347.3374925111959</v>
      </c>
      <c r="W116" s="164">
        <f>(W88*Emissions_factors!$E$20)/1000</f>
        <v>733.41635086967983</v>
      </c>
      <c r="X116" s="164">
        <f>(X88*Emissions_factors!$E$20)/1000</f>
        <v>381.97606332709256</v>
      </c>
      <c r="Y116" s="164">
        <f>(Y88*Emissions_factors!$E$20)/1000</f>
        <v>190.76792988770882</v>
      </c>
      <c r="Z116" s="164">
        <f>(Z88*Emissions_factors!$E$20)/1000</f>
        <v>91.534669635614364</v>
      </c>
      <c r="AA116" s="164">
        <f>(AA88*Emissions_factors!$E$20)/1000</f>
        <v>42.266140344662773</v>
      </c>
      <c r="AB116" s="164">
        <f>(AB88*Emissions_factors!$E$20)/1000</f>
        <v>18.808479082091079</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19744.273644053537</v>
      </c>
      <c r="Q117" s="164">
        <f>(Q89*Emissions_factors!$E$20)/1000</f>
        <v>17403.932119053028</v>
      </c>
      <c r="R117" s="164">
        <f>(R89*Emissions_factors!$E$20)/1000</f>
        <v>13610.672778821539</v>
      </c>
      <c r="S117" s="164">
        <f>(S89*Emissions_factors!$E$20)/1000</f>
        <v>9802.2179010957025</v>
      </c>
      <c r="T117" s="164">
        <f>(T89*Emissions_factors!$E$20)/1000</f>
        <v>6592.8116314670178</v>
      </c>
      <c r="U117" s="164">
        <f>(U89*Emissions_factors!$E$20)/1000</f>
        <v>4175.6085476794451</v>
      </c>
      <c r="V117" s="164">
        <f>(V89*Emissions_factors!$E$20)/1000</f>
        <v>2504.6154877302961</v>
      </c>
      <c r="W117" s="164">
        <f>(W89*Emissions_factors!$E$20)/1000</f>
        <v>1428.796104973658</v>
      </c>
      <c r="X117" s="164">
        <f>(X89*Emissions_factors!$E$20)/1000</f>
        <v>777.75793464597336</v>
      </c>
      <c r="Y117" s="164">
        <f>(Y89*Emissions_factors!$E$20)/1000</f>
        <v>405.06993571277474</v>
      </c>
      <c r="Z117" s="164">
        <f>(Z89*Emissions_factors!$E$20)/1000</f>
        <v>202.30155895790253</v>
      </c>
      <c r="AA117" s="164">
        <f>(AA89*Emissions_factors!$E$20)/1000</f>
        <v>97.068759811365226</v>
      </c>
      <c r="AB117" s="164">
        <f>(AB89*Emissions_factors!$E$20)/1000</f>
        <v>44.821506884788434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19634.704649150161</v>
      </c>
      <c r="R118" s="164">
        <f>(R90*Emissions_factors!$E$20)/1000</f>
        <v>17307.350629957549</v>
      </c>
      <c r="S118" s="164">
        <f>(S90*Emissions_factors!$E$20)/1000</f>
        <v>13535.141626690076</v>
      </c>
      <c r="T118" s="164">
        <f>(T90*Emissions_factors!$E$20)/1000</f>
        <v>9747.8214121384899</v>
      </c>
      <c r="U118" s="164">
        <f>(U90*Emissions_factors!$E$20)/1000</f>
        <v>6556.2254416142105</v>
      </c>
      <c r="V118" s="164">
        <f>(V90*Emissions_factors!$E$20)/1000</f>
        <v>4152.4363996466918</v>
      </c>
      <c r="W118" s="164">
        <f>(W90*Emissions_factors!$E$20)/1000</f>
        <v>2490.7163589723887</v>
      </c>
      <c r="X118" s="164">
        <f>(X90*Emissions_factors!$E$20)/1000</f>
        <v>1420.8671349864044</v>
      </c>
      <c r="Y118" s="164">
        <f>(Y90*Emissions_factors!$E$20)/1000</f>
        <v>773.44183992840692</v>
      </c>
      <c r="Z118" s="164">
        <f>(Z90*Emissions_factors!$E$20)/1000</f>
        <v>402.82203809335579</v>
      </c>
      <c r="AA118" s="164">
        <f>(AA90*Emissions_factors!$E$20)/1000</f>
        <v>201.1789054289853</v>
      </c>
      <c r="AB118" s="164">
        <f>(AB90*Emissions_factors!$E$20)/1000</f>
        <v>96.530085832226362</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19634.704649150161</v>
      </c>
      <c r="S119" s="164">
        <f>(S91*Emissions_factors!$E$20)/1000</f>
        <v>17307.350629957549</v>
      </c>
      <c r="T119" s="164">
        <f>(T91*Emissions_factors!$E$20)/1000</f>
        <v>13535.141626690076</v>
      </c>
      <c r="U119" s="164">
        <f>(U91*Emissions_factors!$E$20)/1000</f>
        <v>9747.8214121384899</v>
      </c>
      <c r="V119" s="164">
        <f>(V91*Emissions_factors!$E$20)/1000</f>
        <v>6556.2254416142105</v>
      </c>
      <c r="W119" s="164">
        <f>(W91*Emissions_factors!$E$20)/1000</f>
        <v>4152.4363996466918</v>
      </c>
      <c r="X119" s="164">
        <f>(X91*Emissions_factors!$E$20)/1000</f>
        <v>2490.7163589723887</v>
      </c>
      <c r="Y119" s="164">
        <f>(Y91*Emissions_factors!$E$20)/1000</f>
        <v>1420.8671349864044</v>
      </c>
      <c r="Z119" s="164">
        <f>(Z91*Emissions_factors!$E$20)/1000</f>
        <v>773.44183992840692</v>
      </c>
      <c r="AA119" s="164">
        <f>(AA91*Emissions_factors!$E$20)/1000</f>
        <v>402.82203809335579</v>
      </c>
      <c r="AB119" s="164">
        <f>(AB91*Emissions_factors!$E$20)/1000</f>
        <v>201.1789054289853</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19634.704649150161</v>
      </c>
      <c r="T120" s="164">
        <f>(T92*Emissions_factors!$E$20)/1000</f>
        <v>17307.350629957549</v>
      </c>
      <c r="U120" s="164">
        <f>(U92*Emissions_factors!$E$20)/1000</f>
        <v>13535.141626690076</v>
      </c>
      <c r="V120" s="164">
        <f>(V92*Emissions_factors!$E$20)/1000</f>
        <v>9747.8214121384899</v>
      </c>
      <c r="W120" s="164">
        <f>(W92*Emissions_factors!$E$20)/1000</f>
        <v>6556.2254416142105</v>
      </c>
      <c r="X120" s="164">
        <f>(X92*Emissions_factors!$E$20)/1000</f>
        <v>4152.4363996466918</v>
      </c>
      <c r="Y120" s="164">
        <f>(Y92*Emissions_factors!$E$20)/1000</f>
        <v>2490.7163589723887</v>
      </c>
      <c r="Z120" s="164">
        <f>(Z92*Emissions_factors!$E$20)/1000</f>
        <v>1420.8671349864044</v>
      </c>
      <c r="AA120" s="164">
        <f>(AA92*Emissions_factors!$E$20)/1000</f>
        <v>773.44183992840692</v>
      </c>
      <c r="AB120" s="164">
        <f>(AB92*Emissions_factors!$E$20)/1000</f>
        <v>402.82203809335579</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19634.704649150161</v>
      </c>
      <c r="U121" s="164">
        <f>(U93*Emissions_factors!$E$20)/1000</f>
        <v>17307.350629957549</v>
      </c>
      <c r="V121" s="164">
        <f>(V93*Emissions_factors!$E$20)/1000</f>
        <v>13535.141626690076</v>
      </c>
      <c r="W121" s="164">
        <f>(W93*Emissions_factors!$E$20)/1000</f>
        <v>9747.8214121384899</v>
      </c>
      <c r="X121" s="164">
        <f>(X93*Emissions_factors!$E$20)/1000</f>
        <v>6556.2254416142105</v>
      </c>
      <c r="Y121" s="164">
        <f>(Y93*Emissions_factors!$E$20)/1000</f>
        <v>4152.4363996466918</v>
      </c>
      <c r="Z121" s="164">
        <f>(Z93*Emissions_factors!$E$20)/1000</f>
        <v>2490.7163589723887</v>
      </c>
      <c r="AA121" s="164">
        <f>(AA93*Emissions_factors!$E$20)/1000</f>
        <v>1420.8671349864044</v>
      </c>
      <c r="AB121" s="164">
        <f>(AB93*Emissions_factors!$E$20)/1000</f>
        <v>773.44183992840692</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19634.704649150161</v>
      </c>
      <c r="V122" s="164">
        <f>(V94*Emissions_factors!$E$20)/1000</f>
        <v>17307.350629957549</v>
      </c>
      <c r="W122" s="164">
        <f>(W94*Emissions_factors!$E$20)/1000</f>
        <v>13535.141626690076</v>
      </c>
      <c r="X122" s="164">
        <f>(X94*Emissions_factors!$E$20)/1000</f>
        <v>9747.8214121384899</v>
      </c>
      <c r="Y122" s="164">
        <f>(Y94*Emissions_factors!$E$20)/1000</f>
        <v>6556.2254416142105</v>
      </c>
      <c r="Z122" s="164">
        <f>(Z94*Emissions_factors!$E$20)/1000</f>
        <v>4152.4363996466918</v>
      </c>
      <c r="AA122" s="164">
        <f>(AA94*Emissions_factors!$E$20)/1000</f>
        <v>2490.7163589723887</v>
      </c>
      <c r="AB122" s="164">
        <f>(AB94*Emissions_factors!$E$20)/1000</f>
        <v>1420.8671349864044</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19634.704649150161</v>
      </c>
      <c r="W123" s="164">
        <f>(W95*Emissions_factors!$E$20)/1000</f>
        <v>17307.350629957549</v>
      </c>
      <c r="X123" s="164">
        <f>(X95*Emissions_factors!$E$20)/1000</f>
        <v>13535.141626690076</v>
      </c>
      <c r="Y123" s="164">
        <f>(Y95*Emissions_factors!$E$20)/1000</f>
        <v>9747.8214121384899</v>
      </c>
      <c r="Z123" s="164">
        <f>(Z95*Emissions_factors!$E$20)/1000</f>
        <v>6556.2254416142105</v>
      </c>
      <c r="AA123" s="164">
        <f>(AA95*Emissions_factors!$E$20)/1000</f>
        <v>4152.4363996466918</v>
      </c>
      <c r="AB123" s="164">
        <f>(AB95*Emissions_factors!$E$20)/1000</f>
        <v>2490.7163589723887</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19634.704649150161</v>
      </c>
      <c r="X124" s="164">
        <f>(X96*Emissions_factors!$E$20)/1000</f>
        <v>17307.350629957549</v>
      </c>
      <c r="Y124" s="164">
        <f>(Y96*Emissions_factors!$E$20)/1000</f>
        <v>13535.141626690076</v>
      </c>
      <c r="Z124" s="164">
        <f>(Z96*Emissions_factors!$E$20)/1000</f>
        <v>9747.8214121384899</v>
      </c>
      <c r="AA124" s="164">
        <f>(AA96*Emissions_factors!$E$20)/1000</f>
        <v>6556.2254416142105</v>
      </c>
      <c r="AB124" s="164">
        <f>(AB96*Emissions_factors!$E$20)/1000</f>
        <v>4152.4363996466918</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19634.704649150161</v>
      </c>
      <c r="Y125" s="164">
        <f>(Y97*Emissions_factors!$E$20)/1000</f>
        <v>17307.350629957549</v>
      </c>
      <c r="Z125" s="164">
        <f>(Z97*Emissions_factors!$E$20)/1000</f>
        <v>13535.141626690076</v>
      </c>
      <c r="AA125" s="164">
        <f>(AA97*Emissions_factors!$E$20)/1000</f>
        <v>9747.8214121384899</v>
      </c>
      <c r="AB125" s="164">
        <f>(AB97*Emissions_factors!$E$20)/1000</f>
        <v>6556.2254416142105</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19634.704649150161</v>
      </c>
      <c r="Z126" s="164">
        <f>(Z98*Emissions_factors!$E$20)/1000</f>
        <v>17307.350629957549</v>
      </c>
      <c r="AA126" s="164">
        <f>(AA98*Emissions_factors!$E$20)/1000</f>
        <v>13535.141626690076</v>
      </c>
      <c r="AB126" s="164">
        <f>(AB98*Emissions_factors!$E$20)/1000</f>
        <v>9747.8214121384899</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19634.704649150161</v>
      </c>
      <c r="AA127" s="164">
        <f>(AA99*Emissions_factors!$E$20)/1000</f>
        <v>17307.350629957549</v>
      </c>
      <c r="AB127" s="164">
        <f>(AB99*Emissions_factors!$E$20)/1000</f>
        <v>13535.141626690076</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19634.704649150161</v>
      </c>
      <c r="AB128" s="164">
        <f>(AB100*Emissions_factors!$E$20)/1000</f>
        <v>17307.350629957549</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19634.704649150161</v>
      </c>
    </row>
    <row r="131" spans="1:28">
      <c r="B131" s="307" t="s">
        <v>7803</v>
      </c>
      <c r="C131" s="298">
        <f t="shared" ref="C131:AB131" si="26">SUM(C104:C129)</f>
        <v>15501.446642957195</v>
      </c>
      <c r="D131" s="298">
        <f t="shared" si="26"/>
        <v>28339.53157043337</v>
      </c>
      <c r="E131" s="298">
        <f t="shared" si="26"/>
        <v>38617.713491913244</v>
      </c>
      <c r="F131" s="298">
        <f t="shared" si="26"/>
        <v>46476.621983559467</v>
      </c>
      <c r="G131" s="298">
        <f t="shared" si="26"/>
        <v>49492.632848966299</v>
      </c>
      <c r="H131" s="298">
        <f t="shared" si="26"/>
        <v>54272.888028631802</v>
      </c>
      <c r="I131" s="298">
        <f t="shared" si="26"/>
        <v>61155.560285495034</v>
      </c>
      <c r="J131" s="298">
        <f t="shared" si="26"/>
        <v>65944.609936629597</v>
      </c>
      <c r="K131" s="298">
        <f t="shared" si="26"/>
        <v>70137.822369953486</v>
      </c>
      <c r="L131" s="298">
        <f t="shared" si="26"/>
        <v>73166.400274069674</v>
      </c>
      <c r="M131" s="298">
        <f t="shared" si="26"/>
        <v>72246.836455178753</v>
      </c>
      <c r="N131" s="298">
        <f t="shared" si="26"/>
        <v>72283.853365941235</v>
      </c>
      <c r="O131" s="298">
        <f t="shared" si="26"/>
        <v>72333.822962568258</v>
      </c>
      <c r="P131" s="298">
        <f t="shared" si="26"/>
        <v>73477.17019822805</v>
      </c>
      <c r="Q131" s="298">
        <f t="shared" si="26"/>
        <v>74373.455593159859</v>
      </c>
      <c r="R131" s="298">
        <f t="shared" si="26"/>
        <v>75069.013032699353</v>
      </c>
      <c r="S131" s="298">
        <f t="shared" si="26"/>
        <v>75569.334530978173</v>
      </c>
      <c r="T131" s="298">
        <f t="shared" si="26"/>
        <v>75905.86865507788</v>
      </c>
      <c r="U131" s="298">
        <f t="shared" si="26"/>
        <v>76118.957829772815</v>
      </c>
      <c r="V131" s="298">
        <f t="shared" si="26"/>
        <v>76246.616521694144</v>
      </c>
      <c r="W131" s="298">
        <f t="shared" si="26"/>
        <v>76319.268943450501</v>
      </c>
      <c r="X131" s="298">
        <f t="shared" si="26"/>
        <v>76358.67787632317</v>
      </c>
      <c r="Y131" s="298">
        <f t="shared" si="26"/>
        <v>76379.1084444999</v>
      </c>
      <c r="Z131" s="298">
        <f t="shared" si="26"/>
        <v>76389.255063431629</v>
      </c>
      <c r="AA131" s="298">
        <f t="shared" si="26"/>
        <v>76394.092199953186</v>
      </c>
      <c r="AB131" s="298">
        <f t="shared" si="26"/>
        <v>76396.309570270503</v>
      </c>
    </row>
    <row r="132" spans="1:28">
      <c r="A132" s="1"/>
      <c r="B132" s="307" t="s">
        <v>7801</v>
      </c>
      <c r="C132" s="164">
        <f>(C148*Emissions_factors!$D$9)/1000</f>
        <v>56800.624828425658</v>
      </c>
      <c r="D132" s="164">
        <f>D148*(Emissions_factors!$D$9/1000)</f>
        <v>53774.226207889944</v>
      </c>
      <c r="E132" s="164">
        <f>E148*(Emissions_factors!$D$9/1000)</f>
        <v>54947.9712986866</v>
      </c>
      <c r="F132" s="164">
        <f>F148*(Emissions_factors!$D$9/1000)</f>
        <v>56597.152234926252</v>
      </c>
      <c r="G132" s="164">
        <f>G148*(Emissions_factors!$D$9/1000)</f>
        <v>47921.827067099781</v>
      </c>
      <c r="H132" s="164">
        <f>H148*(Emissions_factors!$D$9/1000)</f>
        <v>60363.238646866688</v>
      </c>
      <c r="I132" s="164">
        <f>I148*(Emissions_factors!$D$9/1000)</f>
        <v>72820.490003862826</v>
      </c>
      <c r="J132" s="164">
        <f>J148*(Emissions_factors!$D$9/1000)</f>
        <v>70593.03347615349</v>
      </c>
      <c r="K132" s="164">
        <f>K148*(Emissions_factors!$D$9/1000)</f>
        <v>73537.914842572325</v>
      </c>
      <c r="L132" s="164">
        <f>L148*(Emissions_factors!$D$9/1000)</f>
        <v>73730.584284594312</v>
      </c>
      <c r="M132" s="164">
        <f>M148*(Emissions_factors!$D$9/1000)</f>
        <v>62891.313345548653</v>
      </c>
      <c r="N132" s="164">
        <f>N148*(Emissions_factors!$D$9/1000)</f>
        <v>67808.119144404234</v>
      </c>
      <c r="O132" s="164">
        <f>O148*(Emissions_factors!$D$9/1000)</f>
        <v>68222.586764519452</v>
      </c>
      <c r="P132" s="164">
        <f>P148*(Emissions_factors!$D$9/1000)</f>
        <v>72347.252846571297</v>
      </c>
      <c r="Q132" s="164">
        <f>Q148*(Emissions_factors!$D$9/1000)</f>
        <v>71945.768551867615</v>
      </c>
      <c r="R132" s="164">
        <f>R148*(Emissions_factors!$D$9/1000)</f>
        <v>71945.768551867615</v>
      </c>
      <c r="S132" s="164">
        <f>S148*(Emissions_factors!$D$9/1000)</f>
        <v>71945.768551867615</v>
      </c>
      <c r="T132" s="164">
        <f>T148*(Emissions_factors!$D$9/1000)</f>
        <v>71945.768551867615</v>
      </c>
      <c r="U132" s="164">
        <f>U148*(Emissions_factors!$D$9/1000)</f>
        <v>71945.768551867615</v>
      </c>
      <c r="V132" s="164">
        <f>V148*(Emissions_factors!$D$9/1000)</f>
        <v>71945.768551867615</v>
      </c>
      <c r="W132" s="164">
        <f>W148*(Emissions_factors!$D$9/1000)</f>
        <v>71945.768551867615</v>
      </c>
      <c r="X132" s="164">
        <f>X148*(Emissions_factors!$D$9/1000)</f>
        <v>71945.768551867615</v>
      </c>
      <c r="Y132" s="164">
        <f>Y148*(Emissions_factors!$D$9/1000)</f>
        <v>71945.768551867615</v>
      </c>
      <c r="Z132" s="164">
        <f>Z148*(Emissions_factors!$D$9/1000)</f>
        <v>71945.768551867615</v>
      </c>
      <c r="AA132" s="164">
        <f>AA148*(Emissions_factors!$D$9/1000)</f>
        <v>71945.768551867615</v>
      </c>
      <c r="AB132" s="164">
        <f>AB148*(Emissions_factors!$D$9/1000)</f>
        <v>71945.768551867615</v>
      </c>
    </row>
    <row r="133" spans="1:28">
      <c r="B133" s="307" t="s">
        <v>7802</v>
      </c>
      <c r="C133" s="50">
        <f>(C182*Emissions_factors!$E$30)+(C183*Emissions_factors!$G$30)+(C184*Emissions_factors!$I$30)</f>
        <v>0</v>
      </c>
      <c r="D133" s="50">
        <f>(D182*Emissions_factors!$E$30)+(D183*Emissions_factors!$G$30)+(D184*Emissions_factors!$I$30)</f>
        <v>2863.7468946930694</v>
      </c>
      <c r="E133" s="50">
        <f>(E182*Emissions_factors!$E$30)+(E183*Emissions_factors!$G$30)+(E184*Emissions_factors!$I$30)</f>
        <v>7352.7671708889175</v>
      </c>
      <c r="F133" s="50">
        <f>(F182*Emissions_factors!$E$30)+(F183*Emissions_factors!$G$30)+(F184*Emissions_factors!$I$30)</f>
        <v>11824.831143168358</v>
      </c>
      <c r="G133" s="50">
        <f>(G182*Emissions_factors!$E$30)+(G183*Emissions_factors!$G$30)+(G184*Emissions_factors!$I$30)</f>
        <v>15682.76840929943</v>
      </c>
      <c r="H133" s="50">
        <f>(H182*Emissions_factors!$E$30)+(H183*Emissions_factors!$G$30)+(H184*Emissions_factors!$I$30)</f>
        <v>18225.001708949927</v>
      </c>
      <c r="I133" s="50">
        <f>(I182*Emissions_factors!$E$30)+(I183*Emissions_factors!$G$30)+(I184*Emissions_factors!$I$30)</f>
        <v>20246.907642209844</v>
      </c>
      <c r="J133" s="50">
        <f>(J182*Emissions_factors!$E$30)+(J183*Emissions_factors!$G$30)+(J184*Emissions_factors!$I$30)</f>
        <v>22562.508882180045</v>
      </c>
      <c r="K133" s="50">
        <f>(K182*Emissions_factors!$E$30)+(K183*Emissions_factors!$G$30)+(K184*Emissions_factors!$I$30)</f>
        <v>24743.754894541125</v>
      </c>
      <c r="L133" s="50">
        <f>(L182*Emissions_factors!$E$30)+(L183*Emissions_factors!$G$30)+(L184*Emissions_factors!$I$30)</f>
        <v>26640.862373792905</v>
      </c>
      <c r="M133" s="50">
        <f>(M182*Emissions_factors!$E$30)+(M183*Emissions_factors!$G$30)+(M184*Emissions_factors!$I$30)</f>
        <v>28183.838853891433</v>
      </c>
      <c r="N133" s="50">
        <f>(N182*Emissions_factors!$E$30)+(N183*Emissions_factors!$G$30)+(N184*Emissions_factors!$I$30)</f>
        <v>28784.295871307939</v>
      </c>
      <c r="O133" s="50">
        <f>(O182*Emissions_factors!$E$30)+(O183*Emissions_factors!$G$30)+(O184*Emissions_factors!$I$30)</f>
        <v>28940.400800273113</v>
      </c>
      <c r="P133" s="50">
        <f>(P182*Emissions_factors!$E$30)+(P183*Emissions_factors!$G$30)+(P184*Emissions_factors!$I$30)</f>
        <v>28990.717892334978</v>
      </c>
      <c r="Q133" s="50">
        <f>(Q182*Emissions_factors!$E$30)+(Q183*Emissions_factors!$G$30)+(Q184*Emissions_factors!$I$30)</f>
        <v>29205.009777037922</v>
      </c>
      <c r="R133" s="50">
        <f>(R182*Emissions_factors!$E$30)+(R183*Emissions_factors!$G$30)+(R184*Emissions_factors!$I$30)</f>
        <v>29517.855800151887</v>
      </c>
      <c r="S133" s="50">
        <f>(S182*Emissions_factors!$E$30)+(S183*Emissions_factors!$G$30)+(S184*Emissions_factors!$I$30)</f>
        <v>29822.144329357787</v>
      </c>
      <c r="T133" s="50">
        <f>(T182*Emissions_factors!$E$30)+(T183*Emissions_factors!$G$30)+(T184*Emissions_factors!$I$30)</f>
        <v>30077.416688562691</v>
      </c>
      <c r="U133" s="50">
        <f>(U182*Emissions_factors!$E$30)+(U183*Emissions_factors!$G$30)+(U184*Emissions_factors!$I$30)</f>
        <v>30269.813054271977</v>
      </c>
      <c r="V133" s="50">
        <f>(V182*Emissions_factors!$E$30)+(V183*Emissions_factors!$G$30)+(V184*Emissions_factors!$I$30)</f>
        <v>30402.963141993947</v>
      </c>
      <c r="W133" s="50">
        <f>(W182*Emissions_factors!$E$30)+(W183*Emissions_factors!$G$30)+(W184*Emissions_factors!$I$30)</f>
        <v>30488.693905805005</v>
      </c>
      <c r="X133" s="50">
        <f>(X182*Emissions_factors!$E$30)+(X183*Emissions_factors!$G$30)+(X184*Emissions_factors!$I$30)</f>
        <v>30540.504913859844</v>
      </c>
      <c r="Y133" s="50">
        <f>(Y182*Emissions_factors!$E$30)+(Y183*Emissions_factors!$G$30)+(Y184*Emissions_factors!$I$30)</f>
        <v>30570.084450520695</v>
      </c>
      <c r="Z133" s="50">
        <f>(Z182*Emissions_factors!$E$30)+(Z183*Emissions_factors!$G$30)+(Z184*Emissions_factors!$I$30)</f>
        <v>30586.112953978311</v>
      </c>
      <c r="AA133" s="50">
        <f>(AA182*Emissions_factors!$E$30)+(AA183*Emissions_factors!$G$30)+(AA184*Emissions_factors!$I$30)</f>
        <v>30594.387390119286</v>
      </c>
      <c r="AB133" s="50">
        <f>(AB182*Emissions_factors!$E$30)+(AB183*Emissions_factors!$G$30)+(AB184*Emissions_factors!$I$30)</f>
        <v>30598.470283971859</v>
      </c>
    </row>
    <row r="134" spans="1:28">
      <c r="B134" s="307" t="s">
        <v>7804</v>
      </c>
      <c r="C134" s="306">
        <f>SUM(C131:C133)</f>
        <v>72302.071471382849</v>
      </c>
      <c r="D134" s="306">
        <f t="shared" ref="D134:AB134" si="27">SUM(D131:D133)</f>
        <v>84977.504673016389</v>
      </c>
      <c r="E134" s="306">
        <f t="shared" si="27"/>
        <v>100918.45196148875</v>
      </c>
      <c r="F134" s="306">
        <f t="shared" si="27"/>
        <v>114898.60536165407</v>
      </c>
      <c r="G134" s="306">
        <f t="shared" si="27"/>
        <v>113097.22832536552</v>
      </c>
      <c r="H134" s="306">
        <f t="shared" si="27"/>
        <v>132861.12838444841</v>
      </c>
      <c r="I134" s="306">
        <f t="shared" si="27"/>
        <v>154222.95793156771</v>
      </c>
      <c r="J134" s="306">
        <f t="shared" si="27"/>
        <v>159100.15229496313</v>
      </c>
      <c r="K134" s="306">
        <f t="shared" si="27"/>
        <v>168419.49210706691</v>
      </c>
      <c r="L134" s="306">
        <f t="shared" si="27"/>
        <v>173537.84693245689</v>
      </c>
      <c r="M134" s="306">
        <f t="shared" si="27"/>
        <v>163321.98865461885</v>
      </c>
      <c r="N134" s="306">
        <f t="shared" si="27"/>
        <v>168876.26838165338</v>
      </c>
      <c r="O134" s="306">
        <f t="shared" si="27"/>
        <v>169496.81052736082</v>
      </c>
      <c r="P134" s="306">
        <f t="shared" si="27"/>
        <v>174815.14093713433</v>
      </c>
      <c r="Q134" s="306">
        <f t="shared" si="27"/>
        <v>175524.23392206538</v>
      </c>
      <c r="R134" s="306">
        <f t="shared" si="27"/>
        <v>176532.63738471887</v>
      </c>
      <c r="S134" s="306">
        <f t="shared" si="27"/>
        <v>177337.24741220358</v>
      </c>
      <c r="T134" s="306">
        <f t="shared" si="27"/>
        <v>177929.0538955082</v>
      </c>
      <c r="U134" s="306">
        <f t="shared" si="27"/>
        <v>178334.53943591239</v>
      </c>
      <c r="V134" s="306">
        <f t="shared" si="27"/>
        <v>178595.34821555568</v>
      </c>
      <c r="W134" s="306">
        <f t="shared" si="27"/>
        <v>178753.73140112311</v>
      </c>
      <c r="X134" s="306">
        <f t="shared" si="27"/>
        <v>178844.95134205066</v>
      </c>
      <c r="Y134" s="306">
        <f t="shared" si="27"/>
        <v>178894.96144688822</v>
      </c>
      <c r="Z134" s="306">
        <f t="shared" si="27"/>
        <v>178921.13656927756</v>
      </c>
      <c r="AA134" s="306">
        <f t="shared" si="27"/>
        <v>178934.24814194007</v>
      </c>
      <c r="AB134" s="306">
        <f t="shared" si="27"/>
        <v>178940.54840610997</v>
      </c>
    </row>
    <row r="137" spans="1:28" ht="21">
      <c r="A137" s="293" t="s">
        <v>7793</v>
      </c>
      <c r="B137" s="291" t="s">
        <v>7794</v>
      </c>
    </row>
    <row r="138" spans="1:28">
      <c r="B138" s="294" t="s">
        <v>437</v>
      </c>
      <c r="C138" s="302">
        <f>$C$38*(BOM_average!$B$35*BOM_average!B24)/1000000</f>
        <v>225.57612377849412</v>
      </c>
      <c r="D138" s="302">
        <f>D38*(BOM_average!C35*BOM_average!C24)/1000000</f>
        <v>213.55718434092327</v>
      </c>
      <c r="E138" s="302">
        <f>E38*(BOM_average!D35*BOM_average!D24)/1000000</f>
        <v>218.21855679387988</v>
      </c>
      <c r="F138" s="302">
        <f>F38*(BOM_average!E35*BOM_average!E24)/1000000</f>
        <v>224.76805944688866</v>
      </c>
      <c r="G138" s="302">
        <f>G38*(BOM_average!F35*BOM_average!F24)/1000000</f>
        <v>190.31515985665453</v>
      </c>
      <c r="H138" s="302">
        <f>H38*(BOM_average!G35*BOM_average!G24)/1000000</f>
        <v>239.72457052729547</v>
      </c>
      <c r="I138" s="302">
        <f>I38*(BOM_average!H35*BOM_average!H24)/1000000</f>
        <v>289.19688676560719</v>
      </c>
      <c r="J138" s="302">
        <f>J38*(BOM_average!I35*BOM_average!I24)/1000000</f>
        <v>280.35083954476181</v>
      </c>
      <c r="K138" s="302">
        <f>K38*(BOM_average!J35*BOM_average!J24)/1000000</f>
        <v>292.0460440540586</v>
      </c>
      <c r="L138" s="302">
        <f>L38*(BOM_average!K35*BOM_average!K24)/1000000</f>
        <v>292.81120510700771</v>
      </c>
      <c r="M138" s="302">
        <f>M38*(BOM_average!L35*BOM_average!L24)/1000000</f>
        <v>249.76448281477033</v>
      </c>
      <c r="N138" s="302">
        <f>N38*(BOM_average!M35*BOM_average!M24)/1000000</f>
        <v>269.2909228289023</v>
      </c>
      <c r="O138" s="302">
        <f>O38*(BOM_average!N35*BOM_average!N24)/1000000</f>
        <v>270.9369258343217</v>
      </c>
      <c r="P138" s="302">
        <f>P38*(BOM_average!O35*BOM_average!O24)/1000000</f>
        <v>287.31748836299749</v>
      </c>
      <c r="Q138" s="302">
        <f>Q38*(BOM_average!P35*BOM_average!P24)/1000000</f>
        <v>285.72304690692607</v>
      </c>
      <c r="R138" s="302">
        <f>R38*(BOM_average!Q35*BOM_average!Q24)/1000000</f>
        <v>285.72304690692607</v>
      </c>
      <c r="S138" s="302">
        <f>S38*(BOM_average!R35*BOM_average!R24)/1000000</f>
        <v>285.72304690692607</v>
      </c>
      <c r="T138" s="302">
        <f>T38*(BOM_average!S35*BOM_average!S24)/1000000</f>
        <v>285.72304690692607</v>
      </c>
      <c r="U138" s="302">
        <f>U38*(BOM_average!T35*BOM_average!T24)/1000000</f>
        <v>285.72304690692607</v>
      </c>
      <c r="V138" s="302">
        <f>V38*(BOM_average!U35*BOM_average!U24)/1000000</f>
        <v>285.72304690692607</v>
      </c>
      <c r="W138" s="302">
        <f>W38*(BOM_average!V35*BOM_average!V24)/1000000</f>
        <v>285.72304690692607</v>
      </c>
      <c r="X138" s="302">
        <f>X38*(BOM_average!W35*BOM_average!W24)/1000000</f>
        <v>285.72304690692607</v>
      </c>
      <c r="Y138" s="302">
        <f>Y38*(BOM_average!X35*BOM_average!X24)/1000000</f>
        <v>285.72304690692607</v>
      </c>
      <c r="Z138" s="302">
        <f>Z38*(BOM_average!Y35*BOM_average!Y24)/1000000</f>
        <v>285.72304690692607</v>
      </c>
      <c r="AA138" s="302">
        <f>AA38*(BOM_average!Z35*BOM_average!Z24)/1000000</f>
        <v>285.72304690692607</v>
      </c>
      <c r="AB138" s="302">
        <f>AB38*(BOM_average!AA35*BOM_average!AA24)/1000000</f>
        <v>285.72304690692607</v>
      </c>
    </row>
    <row r="139" spans="1:28">
      <c r="B139" s="294" t="s">
        <v>217</v>
      </c>
      <c r="C139" s="302">
        <f>C38*(BOM_average!B35*BOM_average!B25)/1000000</f>
        <v>27.187613839806104</v>
      </c>
      <c r="D139" s="302">
        <f>D38*(BOM_average!C35*BOM_average!C25)/1000000</f>
        <v>25.739028418976897</v>
      </c>
      <c r="E139" s="302">
        <f>E38*(BOM_average!D35*BOM_average!D25)/1000000</f>
        <v>26.300841398523161</v>
      </c>
      <c r="F139" s="302">
        <f>F38*(BOM_average!E35*BOM_average!E25)/1000000</f>
        <v>27.090221701678118</v>
      </c>
      <c r="G139" s="302">
        <f>G38*(BOM_average!F35*BOM_average!F25)/1000000</f>
        <v>22.937778109550923</v>
      </c>
      <c r="H139" s="302">
        <f>H38*(BOM_average!G35*BOM_average!G25)/1000000</f>
        <v>28.892858615699112</v>
      </c>
      <c r="I139" s="302">
        <f>I38*(BOM_average!H35*BOM_average!H25)/1000000</f>
        <v>34.855520829758397</v>
      </c>
      <c r="J139" s="302">
        <f>J38*(BOM_average!I35*BOM_average!I25)/1000000</f>
        <v>33.789348968036023</v>
      </c>
      <c r="K139" s="302">
        <f>K38*(BOM_average!J35*BOM_average!J25)/1000000</f>
        <v>35.198916162694218</v>
      </c>
      <c r="L139" s="302">
        <f>L38*(BOM_average!K35*BOM_average!K25)/1000000</f>
        <v>35.291137373363064</v>
      </c>
      <c r="M139" s="302">
        <f>M38*(BOM_average!L35*BOM_average!L25)/1000000</f>
        <v>30.10292133725482</v>
      </c>
      <c r="N139" s="302">
        <f>N38*(BOM_average!M35*BOM_average!M25)/1000000</f>
        <v>32.456349979781081</v>
      </c>
      <c r="O139" s="302">
        <f>O38*(BOM_average!N35*BOM_average!N25)/1000000</f>
        <v>32.654734867955</v>
      </c>
      <c r="P139" s="302">
        <f>P38*(BOM_average!O35*BOM_average!O25)/1000000</f>
        <v>34.629005908030798</v>
      </c>
      <c r="Q139" s="302">
        <f>Q38*(BOM_average!P35*BOM_average!P25)/1000000</f>
        <v>34.436835487368668</v>
      </c>
      <c r="R139" s="302">
        <f>R38*(BOM_average!Q35*BOM_average!Q25)/1000000</f>
        <v>34.436835487368668</v>
      </c>
      <c r="S139" s="302">
        <f>S38*(BOM_average!R35*BOM_average!R25)/1000000</f>
        <v>34.436835487368668</v>
      </c>
      <c r="T139" s="302">
        <f>T38*(BOM_average!S35*BOM_average!S25)/1000000</f>
        <v>34.436835487368668</v>
      </c>
      <c r="U139" s="302">
        <f>U38*(BOM_average!T35*BOM_average!T25)/1000000</f>
        <v>34.436835487368668</v>
      </c>
      <c r="V139" s="302">
        <f>V38*(BOM_average!U35*BOM_average!U25)/1000000</f>
        <v>34.436835487368668</v>
      </c>
      <c r="W139" s="302">
        <f>W38*(BOM_average!V35*BOM_average!V25)/1000000</f>
        <v>34.436835487368668</v>
      </c>
      <c r="X139" s="302">
        <f>X38*(BOM_average!W35*BOM_average!W25)/1000000</f>
        <v>34.436835487368668</v>
      </c>
      <c r="Y139" s="302">
        <f>Y38*(BOM_average!X35*BOM_average!X25)/1000000</f>
        <v>34.436835487368668</v>
      </c>
      <c r="Z139" s="302">
        <f>Z38*(BOM_average!Y35*BOM_average!Y25)/1000000</f>
        <v>34.436835487368668</v>
      </c>
      <c r="AA139" s="302">
        <f>AA38*(BOM_average!Z35*BOM_average!Z25)/1000000</f>
        <v>34.436835487368668</v>
      </c>
      <c r="AB139" s="302">
        <f>AB38*(BOM_average!AA35*BOM_average!AA25)/1000000</f>
        <v>34.436835487368668</v>
      </c>
    </row>
    <row r="140" spans="1:28">
      <c r="B140" s="294" t="s">
        <v>313</v>
      </c>
      <c r="C140" s="302">
        <f>C38*(BOM_average!B35*BOM_average!B26)/1000000</f>
        <v>143.90041231483798</v>
      </c>
      <c r="D140" s="302">
        <f>D38*(BOM_average!C35*BOM_average!C26)/1000000</f>
        <v>136.23324297225352</v>
      </c>
      <c r="E140" s="302">
        <f>E38*(BOM_average!D35*BOM_average!D26)/1000000</f>
        <v>139.20684410830353</v>
      </c>
      <c r="F140" s="302">
        <f>F38*(BOM_average!E35*BOM_average!E26)/1000000</f>
        <v>143.38492872310326</v>
      </c>
      <c r="G140" s="302">
        <f>G38*(BOM_average!F35*BOM_average!F26)/1000000</f>
        <v>121.40659886517582</v>
      </c>
      <c r="H140" s="302">
        <f>H38*(BOM_average!G35*BOM_average!G26)/1000000</f>
        <v>152.92604537681166</v>
      </c>
      <c r="I140" s="302">
        <f>I38*(BOM_average!H35*BOM_average!H26)/1000000</f>
        <v>184.4856208567669</v>
      </c>
      <c r="J140" s="302">
        <f>J38*(BOM_average!I35*BOM_average!I26)/1000000</f>
        <v>178.84251545574426</v>
      </c>
      <c r="K140" s="302">
        <f>K38*(BOM_average!J35*BOM_average!J26)/1000000</f>
        <v>186.3031665335451</v>
      </c>
      <c r="L140" s="302">
        <f>L38*(BOM_average!K35*BOM_average!K26)/1000000</f>
        <v>186.79128109621377</v>
      </c>
      <c r="M140" s="302">
        <f>M38*(BOM_average!L35*BOM_average!L26)/1000000</f>
        <v>159.33074589906695</v>
      </c>
      <c r="N140" s="302">
        <f>N38*(BOM_average!M35*BOM_average!M26)/1000000</f>
        <v>171.78712967766978</v>
      </c>
      <c r="O140" s="302">
        <f>O38*(BOM_average!N35*BOM_average!N26)/1000000</f>
        <v>172.83715441957864</v>
      </c>
      <c r="P140" s="302">
        <f>P38*(BOM_average!O35*BOM_average!O26)/1000000</f>
        <v>183.28670760074806</v>
      </c>
      <c r="Q140" s="302">
        <f>Q38*(BOM_average!P35*BOM_average!P26)/1000000</f>
        <v>182.26957520616077</v>
      </c>
      <c r="R140" s="302">
        <f>R38*(BOM_average!Q35*BOM_average!Q26)/1000000</f>
        <v>182.26957520616077</v>
      </c>
      <c r="S140" s="302">
        <f>S38*(BOM_average!R35*BOM_average!R26)/1000000</f>
        <v>182.26957520616077</v>
      </c>
      <c r="T140" s="302">
        <f>T38*(BOM_average!S35*BOM_average!S26)/1000000</f>
        <v>182.26957520616077</v>
      </c>
      <c r="U140" s="302">
        <f>U38*(BOM_average!T35*BOM_average!T26)/1000000</f>
        <v>182.26957520616077</v>
      </c>
      <c r="V140" s="302">
        <f>V38*(BOM_average!U35*BOM_average!U26)/1000000</f>
        <v>182.26957520616077</v>
      </c>
      <c r="W140" s="302">
        <f>W38*(BOM_average!V35*BOM_average!V26)/1000000</f>
        <v>182.26957520616077</v>
      </c>
      <c r="X140" s="302">
        <f>X38*(BOM_average!W35*BOM_average!W26)/1000000</f>
        <v>182.26957520616077</v>
      </c>
      <c r="Y140" s="302">
        <f>Y38*(BOM_average!X35*BOM_average!X26)/1000000</f>
        <v>182.26957520616077</v>
      </c>
      <c r="Z140" s="302">
        <f>Z38*(BOM_average!Y35*BOM_average!Y26)/1000000</f>
        <v>182.26957520616077</v>
      </c>
      <c r="AA140" s="302">
        <f>AA38*(BOM_average!Z35*BOM_average!Z26)/1000000</f>
        <v>182.26957520616077</v>
      </c>
      <c r="AB140" s="302">
        <f>AB38*(BOM_average!AA35*BOM_average!AA26)/1000000</f>
        <v>182.26957520616077</v>
      </c>
    </row>
    <row r="141" spans="1:28">
      <c r="B141" s="294" t="s">
        <v>6911</v>
      </c>
      <c r="C141" s="302">
        <f>C38*(BOM_average!B35*BOM_average!B27)/1000000</f>
        <v>542.82137516865805</v>
      </c>
      <c r="D141" s="302">
        <f>D38*(BOM_average!C35*BOM_average!C27)/1000000</f>
        <v>513.89926619591313</v>
      </c>
      <c r="E141" s="302">
        <f>E38*(BOM_average!D35*BOM_average!D27)/1000000</f>
        <v>525.11628935733518</v>
      </c>
      <c r="F141" s="302">
        <f>F38*(BOM_average!E35*BOM_average!E27)/1000000</f>
        <v>540.87686710477476</v>
      </c>
      <c r="G141" s="302">
        <f>G38*(BOM_average!F35*BOM_average!F27)/1000000</f>
        <v>457.97017458405873</v>
      </c>
      <c r="H141" s="302">
        <f>H38*(BOM_average!G35*BOM_average!G27)/1000000</f>
        <v>576.86788324779491</v>
      </c>
      <c r="I141" s="302">
        <f>I38*(BOM_average!H35*BOM_average!H27)/1000000</f>
        <v>695.91696647270726</v>
      </c>
      <c r="J141" s="302">
        <f>J38*(BOM_average!I35*BOM_average!I27)/1000000</f>
        <v>674.63003487377034</v>
      </c>
      <c r="K141" s="302">
        <f>K38*(BOM_average!J35*BOM_average!J27)/1000000</f>
        <v>702.77311530390045</v>
      </c>
      <c r="L141" s="302">
        <f>L38*(BOM_average!K35*BOM_average!K27)/1000000</f>
        <v>704.61438187072554</v>
      </c>
      <c r="M141" s="302">
        <f>M38*(BOM_average!L35*BOM_average!L27)/1000000</f>
        <v>601.02770523237405</v>
      </c>
      <c r="N141" s="302">
        <f>N38*(BOM_average!M35*BOM_average!M27)/1000000</f>
        <v>648.01569688271172</v>
      </c>
      <c r="O141" s="302">
        <f>O38*(BOM_average!N35*BOM_average!N27)/1000000</f>
        <v>651.9766019641861</v>
      </c>
      <c r="P141" s="302">
        <f>P38*(BOM_average!O35*BOM_average!O27)/1000000</f>
        <v>691.39442389015926</v>
      </c>
      <c r="Q141" s="302">
        <f>Q38*(BOM_average!P35*BOM_average!P27)/1000000</f>
        <v>687.55759537607207</v>
      </c>
      <c r="R141" s="302">
        <f>R38*(BOM_average!Q35*BOM_average!Q27)/1000000</f>
        <v>687.55759537607207</v>
      </c>
      <c r="S141" s="302">
        <f>S38*(BOM_average!R35*BOM_average!R27)/1000000</f>
        <v>687.55759537607207</v>
      </c>
      <c r="T141" s="302">
        <f>T38*(BOM_average!S35*BOM_average!S27)/1000000</f>
        <v>687.55759537607207</v>
      </c>
      <c r="U141" s="302">
        <f>U38*(BOM_average!T35*BOM_average!T27)/1000000</f>
        <v>687.55759537607207</v>
      </c>
      <c r="V141" s="302">
        <f>V38*(BOM_average!U35*BOM_average!U27)/1000000</f>
        <v>687.55759537607207</v>
      </c>
      <c r="W141" s="302">
        <f>W38*(BOM_average!V35*BOM_average!V27)/1000000</f>
        <v>687.55759537607207</v>
      </c>
      <c r="X141" s="302">
        <f>X38*(BOM_average!W35*BOM_average!W27)/1000000</f>
        <v>687.55759537607207</v>
      </c>
      <c r="Y141" s="302">
        <f>Y38*(BOM_average!X35*BOM_average!X27)/1000000</f>
        <v>687.55759537607207</v>
      </c>
      <c r="Z141" s="302">
        <f>Z38*(BOM_average!Y35*BOM_average!Y27)/1000000</f>
        <v>687.55759537607207</v>
      </c>
      <c r="AA141" s="302">
        <f>AA38*(BOM_average!Z35*BOM_average!Z27)/1000000</f>
        <v>687.55759537607207</v>
      </c>
      <c r="AB141" s="302">
        <f>AB38*(BOM_average!AA35*BOM_average!AA27)/1000000</f>
        <v>687.55759537607207</v>
      </c>
    </row>
    <row r="142" spans="1:28">
      <c r="B142" s="294" t="s">
        <v>441</v>
      </c>
      <c r="C142" s="302">
        <f>C38*(BOM_average!B35*BOM_average!B28)/1000000</f>
        <v>518.95793600551895</v>
      </c>
      <c r="D142" s="302">
        <f>D38*(BOM_average!C35*BOM_average!C28)/1000000</f>
        <v>491.30729683759938</v>
      </c>
      <c r="E142" s="302">
        <f>E38*(BOM_average!D35*BOM_average!D28)/1000000</f>
        <v>502.03119875868543</v>
      </c>
      <c r="F142" s="302">
        <f>F38*(BOM_average!E35*BOM_average!E28)/1000000</f>
        <v>517.09891213958247</v>
      </c>
      <c r="G142" s="302">
        <f>G38*(BOM_average!F35*BOM_average!F28)/1000000</f>
        <v>437.8369523130616</v>
      </c>
      <c r="H142" s="302">
        <f>H38*(BOM_average!G35*BOM_average!G28)/1000000</f>
        <v>551.50769614614387</v>
      </c>
      <c r="I142" s="302">
        <f>I38*(BOM_average!H35*BOM_average!H28)/1000000</f>
        <v>665.32315983261708</v>
      </c>
      <c r="J142" s="302">
        <f>J38*(BOM_average!I35*BOM_average!I28)/1000000</f>
        <v>644.97204141351904</v>
      </c>
      <c r="K142" s="302">
        <f>K38*(BOM_average!J35*BOM_average!J28)/1000000</f>
        <v>671.87789958522376</v>
      </c>
      <c r="L142" s="302">
        <f>L38*(BOM_average!K35*BOM_average!K28)/1000000</f>
        <v>673.63822064269618</v>
      </c>
      <c r="M142" s="302">
        <f>M38*(BOM_average!L35*BOM_average!L28)/1000000</f>
        <v>574.60540733609548</v>
      </c>
      <c r="N142" s="302">
        <f>N38*(BOM_average!M35*BOM_average!M28)/1000000</f>
        <v>619.52771931455675</v>
      </c>
      <c r="O142" s="302">
        <f>O38*(BOM_average!N35*BOM_average!N28)/1000000</f>
        <v>623.31449562777209</v>
      </c>
      <c r="P142" s="302">
        <f>P38*(BOM_average!O35*BOM_average!O28)/1000000</f>
        <v>660.9994366494484</v>
      </c>
      <c r="Q142" s="302">
        <f>Q38*(BOM_average!P35*BOM_average!P28)/1000000</f>
        <v>657.33128226650956</v>
      </c>
      <c r="R142" s="302">
        <f>R38*(BOM_average!Q35*BOM_average!Q28)/1000000</f>
        <v>657.33128226650956</v>
      </c>
      <c r="S142" s="302">
        <f>S38*(BOM_average!R35*BOM_average!R28)/1000000</f>
        <v>657.33128226650956</v>
      </c>
      <c r="T142" s="302">
        <f>T38*(BOM_average!S35*BOM_average!S28)/1000000</f>
        <v>657.33128226650956</v>
      </c>
      <c r="U142" s="302">
        <f>U38*(BOM_average!T35*BOM_average!T28)/1000000</f>
        <v>657.33128226650956</v>
      </c>
      <c r="V142" s="302">
        <f>V38*(BOM_average!U35*BOM_average!U28)/1000000</f>
        <v>657.33128226650956</v>
      </c>
      <c r="W142" s="302">
        <f>W38*(BOM_average!V35*BOM_average!V28)/1000000</f>
        <v>657.33128226650956</v>
      </c>
      <c r="X142" s="302">
        <f>X38*(BOM_average!W35*BOM_average!W28)/1000000</f>
        <v>657.33128226650956</v>
      </c>
      <c r="Y142" s="302">
        <f>Y38*(BOM_average!X35*BOM_average!X28)/1000000</f>
        <v>657.33128226650956</v>
      </c>
      <c r="Z142" s="302">
        <f>Z38*(BOM_average!Y35*BOM_average!Y28)/1000000</f>
        <v>657.33128226650956</v>
      </c>
      <c r="AA142" s="302">
        <f>AA38*(BOM_average!Z35*BOM_average!Z28)/1000000</f>
        <v>657.33128226650956</v>
      </c>
      <c r="AB142" s="302">
        <f>AB38*(BOM_average!AA35*BOM_average!AA28)/1000000</f>
        <v>657.33128226650956</v>
      </c>
    </row>
    <row r="143" spans="1:28">
      <c r="B143" s="294" t="s">
        <v>6912</v>
      </c>
      <c r="C143" s="302">
        <f>C38*(BOM_average!B35*BOM_average!B29)/1000000</f>
        <v>319.71199608722554</v>
      </c>
      <c r="D143" s="302">
        <f>D38*(BOM_average!C35*BOM_average!C29)/1000000</f>
        <v>302.67739573115904</v>
      </c>
      <c r="E143" s="302">
        <f>E38*(BOM_average!D35*BOM_average!D29)/1000000</f>
        <v>309.28401998942564</v>
      </c>
      <c r="F143" s="302">
        <f>F38*(BOM_average!E35*BOM_average!E29)/1000000</f>
        <v>318.56671592150127</v>
      </c>
      <c r="G143" s="302">
        <f>G38*(BOM_average!F35*BOM_average!F29)/1000000</f>
        <v>269.73616987575593</v>
      </c>
      <c r="H143" s="302">
        <f>H38*(BOM_average!G35*BOM_average!G29)/1000000</f>
        <v>339.76477505967966</v>
      </c>
      <c r="I143" s="302">
        <f>I38*(BOM_average!H35*BOM_average!H29)/1000000</f>
        <v>409.8825371289517</v>
      </c>
      <c r="J143" s="302">
        <f>J38*(BOM_average!I35*BOM_average!I29)/1000000</f>
        <v>397.34491848791379</v>
      </c>
      <c r="K143" s="302">
        <f>K38*(BOM_average!J35*BOM_average!J29)/1000000</f>
        <v>413.92068508804925</v>
      </c>
      <c r="L143" s="302">
        <f>L38*(BOM_average!K35*BOM_average!K29)/1000000</f>
        <v>415.00515787474711</v>
      </c>
      <c r="M143" s="302">
        <f>M38*(BOM_average!L35*BOM_average!L29)/1000000</f>
        <v>353.99447430356429</v>
      </c>
      <c r="N143" s="302">
        <f>N38*(BOM_average!M35*BOM_average!M29)/1000000</f>
        <v>381.66955360196465</v>
      </c>
      <c r="O143" s="302">
        <f>O38*(BOM_average!N35*BOM_average!N29)/1000000</f>
        <v>384.00245523008624</v>
      </c>
      <c r="P143" s="302">
        <f>P38*(BOM_average!O35*BOM_average!O29)/1000000</f>
        <v>407.21884114607576</v>
      </c>
      <c r="Q143" s="302">
        <f>Q38*(BOM_average!P35*BOM_average!P29)/1000000</f>
        <v>404.9590183774863</v>
      </c>
      <c r="R143" s="302">
        <f>R38*(BOM_average!Q35*BOM_average!Q29)/1000000</f>
        <v>404.9590183774863</v>
      </c>
      <c r="S143" s="302">
        <f>S38*(BOM_average!R35*BOM_average!R29)/1000000</f>
        <v>404.9590183774863</v>
      </c>
      <c r="T143" s="302">
        <f>T38*(BOM_average!S35*BOM_average!S29)/1000000</f>
        <v>404.9590183774863</v>
      </c>
      <c r="U143" s="302">
        <f>U38*(BOM_average!T35*BOM_average!T29)/1000000</f>
        <v>404.9590183774863</v>
      </c>
      <c r="V143" s="302">
        <f>V38*(BOM_average!U35*BOM_average!U29)/1000000</f>
        <v>404.9590183774863</v>
      </c>
      <c r="W143" s="302">
        <f>W38*(BOM_average!V35*BOM_average!V29)/1000000</f>
        <v>404.9590183774863</v>
      </c>
      <c r="X143" s="302">
        <f>X38*(BOM_average!W35*BOM_average!W29)/1000000</f>
        <v>404.9590183774863</v>
      </c>
      <c r="Y143" s="302">
        <f>Y38*(BOM_average!X35*BOM_average!X29)/1000000</f>
        <v>404.9590183774863</v>
      </c>
      <c r="Z143" s="302">
        <f>Z38*(BOM_average!Y35*BOM_average!Y29)/1000000</f>
        <v>404.9590183774863</v>
      </c>
      <c r="AA143" s="302">
        <f>AA38*(BOM_average!Z35*BOM_average!Z29)/1000000</f>
        <v>404.9590183774863</v>
      </c>
      <c r="AB143" s="302">
        <f>AB38*(BOM_average!AA35*BOM_average!AA29)/1000000</f>
        <v>404.9590183774863</v>
      </c>
    </row>
    <row r="144" spans="1:28">
      <c r="B144" s="294" t="s">
        <v>443</v>
      </c>
      <c r="C144" s="302">
        <f>C38*(BOM_average!B35*BOM_average!B30)/1000000</f>
        <v>153.17252471606278</v>
      </c>
      <c r="D144" s="302">
        <f>D38*(BOM_average!C35*BOM_average!C30)/1000000</f>
        <v>145.01132721330785</v>
      </c>
      <c r="E144" s="302">
        <f>E38*(BOM_average!D35*BOM_average!D30)/1000000</f>
        <v>148.17653005171809</v>
      </c>
      <c r="F144" s="302">
        <f>F38*(BOM_average!E35*BOM_average!E30)/1000000</f>
        <v>152.62382633552608</v>
      </c>
      <c r="G144" s="302">
        <f>G38*(BOM_average!F35*BOM_average!F30)/1000000</f>
        <v>129.22933969558724</v>
      </c>
      <c r="H144" s="302">
        <f>H38*(BOM_average!G35*BOM_average!G30)/1000000</f>
        <v>162.77971750324235</v>
      </c>
      <c r="I144" s="302">
        <f>I38*(BOM_average!H35*BOM_average!H30)/1000000</f>
        <v>196.3728099584294</v>
      </c>
      <c r="J144" s="302">
        <f>J38*(BOM_average!I35*BOM_average!I30)/1000000</f>
        <v>190.36609540070913</v>
      </c>
      <c r="K144" s="302">
        <f>K38*(BOM_average!J35*BOM_average!J30)/1000000</f>
        <v>198.30746779311147</v>
      </c>
      <c r="L144" s="302">
        <f>L38*(BOM_average!K35*BOM_average!K30)/1000000</f>
        <v>198.8270336422423</v>
      </c>
      <c r="M144" s="302">
        <f>M38*(BOM_average!L35*BOM_average!L30)/1000000</f>
        <v>169.59709997812891</v>
      </c>
      <c r="N144" s="302">
        <f>N38*(BOM_average!M35*BOM_average!M30)/1000000</f>
        <v>182.85610126595265</v>
      </c>
      <c r="O144" s="302">
        <f>O38*(BOM_average!N35*BOM_average!N30)/1000000</f>
        <v>183.97378354458729</v>
      </c>
      <c r="P144" s="302">
        <f>P38*(BOM_average!O35*BOM_average!O30)/1000000</f>
        <v>195.09664564878045</v>
      </c>
      <c r="Q144" s="302">
        <f>Q38*(BOM_average!P35*BOM_average!P30)/1000000</f>
        <v>194.01397511057127</v>
      </c>
      <c r="R144" s="302">
        <f>R38*(BOM_average!Q35*BOM_average!Q30)/1000000</f>
        <v>194.01397511057127</v>
      </c>
      <c r="S144" s="302">
        <f>S38*(BOM_average!R35*BOM_average!R30)/1000000</f>
        <v>194.01397511057127</v>
      </c>
      <c r="T144" s="302">
        <f>T38*(BOM_average!S35*BOM_average!S30)/1000000</f>
        <v>194.01397511057127</v>
      </c>
      <c r="U144" s="302">
        <f>U38*(BOM_average!T35*BOM_average!T30)/1000000</f>
        <v>194.01397511057127</v>
      </c>
      <c r="V144" s="302">
        <f>V38*(BOM_average!U35*BOM_average!U30)/1000000</f>
        <v>194.01397511057127</v>
      </c>
      <c r="W144" s="302">
        <f>W38*(BOM_average!V35*BOM_average!V30)/1000000</f>
        <v>194.01397511057127</v>
      </c>
      <c r="X144" s="302">
        <f>X38*(BOM_average!W35*BOM_average!W30)/1000000</f>
        <v>194.01397511057127</v>
      </c>
      <c r="Y144" s="302">
        <f>Y38*(BOM_average!X35*BOM_average!X30)/1000000</f>
        <v>194.01397511057127</v>
      </c>
      <c r="Z144" s="302">
        <f>Z38*(BOM_average!Y35*BOM_average!Y30)/1000000</f>
        <v>194.01397511057127</v>
      </c>
      <c r="AA144" s="302">
        <f>AA38*(BOM_average!Z35*BOM_average!Z30)/1000000</f>
        <v>194.01397511057127</v>
      </c>
      <c r="AB144" s="302">
        <f>AB38*(BOM_average!AA35*BOM_average!AA30)/1000000</f>
        <v>194.01397511057127</v>
      </c>
    </row>
    <row r="145" spans="2:28">
      <c r="B145" s="294" t="s">
        <v>445</v>
      </c>
      <c r="C145" s="302">
        <f>C38*(BOM_average!B35*BOM_average!B31)/1000000</f>
        <v>199.29388847133947</v>
      </c>
      <c r="D145" s="302">
        <f>D38*(BOM_average!C35*BOM_average!C31)/1000000</f>
        <v>188.67529490880841</v>
      </c>
      <c r="E145" s="302">
        <f>E38*(BOM_average!D35*BOM_average!D31)/1000000</f>
        <v>192.79356339486117</v>
      </c>
      <c r="F145" s="302">
        <f>F38*(BOM_average!E35*BOM_average!E31)/1000000</f>
        <v>198.57997300864278</v>
      </c>
      <c r="G145" s="302">
        <f>G38*(BOM_average!F35*BOM_average!F31)/1000000</f>
        <v>168.14123590545211</v>
      </c>
      <c r="H145" s="302">
        <f>H38*(BOM_average!G35*BOM_average!G31)/1000000</f>
        <v>211.79387703913275</v>
      </c>
      <c r="I145" s="302">
        <f>I38*(BOM_average!H35*BOM_average!H31)/1000000</f>
        <v>255.50209451208903</v>
      </c>
      <c r="J145" s="302">
        <f>J38*(BOM_average!I35*BOM_average!I31)/1000000</f>
        <v>247.68671441461692</v>
      </c>
      <c r="K145" s="302">
        <f>K38*(BOM_average!J35*BOM_average!J31)/1000000</f>
        <v>258.01929192363565</v>
      </c>
      <c r="L145" s="302">
        <f>L38*(BOM_average!K35*BOM_average!K31)/1000000</f>
        <v>258.69530283735628</v>
      </c>
      <c r="M145" s="302">
        <f>M38*(BOM_average!L35*BOM_average!L31)/1000000</f>
        <v>220.66402307305805</v>
      </c>
      <c r="N145" s="302">
        <f>N38*(BOM_average!M35*BOM_average!M31)/1000000</f>
        <v>237.91540630118726</v>
      </c>
      <c r="O145" s="302">
        <f>O38*(BOM_average!N35*BOM_average!N31)/1000000</f>
        <v>239.36963086135245</v>
      </c>
      <c r="P145" s="302">
        <f>P38*(BOM_average!O35*BOM_average!O31)/1000000</f>
        <v>253.84166782610387</v>
      </c>
      <c r="Q145" s="302">
        <f>Q38*(BOM_average!P35*BOM_average!P31)/1000000</f>
        <v>252.43299729662706</v>
      </c>
      <c r="R145" s="302">
        <f>R38*(BOM_average!Q35*BOM_average!Q31)/1000000</f>
        <v>252.43299729662706</v>
      </c>
      <c r="S145" s="302">
        <f>S38*(BOM_average!R35*BOM_average!R31)/1000000</f>
        <v>252.43299729662706</v>
      </c>
      <c r="T145" s="302">
        <f>T38*(BOM_average!S35*BOM_average!S31)/1000000</f>
        <v>252.43299729662706</v>
      </c>
      <c r="U145" s="302">
        <f>U38*(BOM_average!T35*BOM_average!T31)/1000000</f>
        <v>252.43299729662706</v>
      </c>
      <c r="V145" s="302">
        <f>V38*(BOM_average!U35*BOM_average!U31)/1000000</f>
        <v>252.43299729662706</v>
      </c>
      <c r="W145" s="302">
        <f>W38*(BOM_average!V35*BOM_average!V31)/1000000</f>
        <v>252.43299729662706</v>
      </c>
      <c r="X145" s="302">
        <f>X38*(BOM_average!W35*BOM_average!W31)/1000000</f>
        <v>252.43299729662706</v>
      </c>
      <c r="Y145" s="302">
        <f>Y38*(BOM_average!X35*BOM_average!X31)/1000000</f>
        <v>252.43299729662706</v>
      </c>
      <c r="Z145" s="302">
        <f>Z38*(BOM_average!Y35*BOM_average!Y31)/1000000</f>
        <v>252.43299729662706</v>
      </c>
      <c r="AA145" s="302">
        <f>AA38*(BOM_average!Z35*BOM_average!Z31)/1000000</f>
        <v>252.43299729662706</v>
      </c>
      <c r="AB145" s="302">
        <f>AB38*(BOM_average!AA35*BOM_average!AA31)/1000000</f>
        <v>252.43299729662706</v>
      </c>
    </row>
    <row r="146" spans="2:28">
      <c r="B146" s="294" t="s">
        <v>6915</v>
      </c>
      <c r="C146" s="302">
        <f>C38*(BOM_average!B35*BOM_average!B32)/1000000</f>
        <v>58.973834696251373</v>
      </c>
      <c r="D146" s="302">
        <f>D38*(BOM_average!C35*BOM_average!C32)/1000000</f>
        <v>55.831645107465043</v>
      </c>
      <c r="E146" s="302">
        <f>E38*(BOM_average!D35*BOM_average!D32)/1000000</f>
        <v>57.050298056605442</v>
      </c>
      <c r="F146" s="302">
        <f>F38*(BOM_average!E35*BOM_average!E32)/1000000</f>
        <v>58.762577176981146</v>
      </c>
      <c r="G146" s="302">
        <f>G38*(BOM_average!F35*BOM_average!F32)/1000000</f>
        <v>49.755331324861736</v>
      </c>
      <c r="H146" s="302">
        <f>H38*(BOM_average!G35*BOM_average!G32)/1000000</f>
        <v>62.672755245980547</v>
      </c>
      <c r="I146" s="302">
        <f>I38*(BOM_average!H35*BOM_average!H32)/1000000</f>
        <v>75.606624979214359</v>
      </c>
      <c r="J146" s="302">
        <f>J38*(BOM_average!I35*BOM_average!I32)/1000000</f>
        <v>73.293945260373007</v>
      </c>
      <c r="K146" s="302">
        <f>K38*(BOM_average!J35*BOM_average!J32)/1000000</f>
        <v>76.351498719121977</v>
      </c>
      <c r="L146" s="302">
        <f>L38*(BOM_average!K35*BOM_average!K32)/1000000</f>
        <v>76.551539754922999</v>
      </c>
      <c r="M146" s="302">
        <f>M38*(BOM_average!L35*BOM_average!L32)/1000000</f>
        <v>65.29755488207951</v>
      </c>
      <c r="N146" s="302">
        <f>N38*(BOM_average!M35*BOM_average!M32)/1000000</f>
        <v>70.402479225625981</v>
      </c>
      <c r="O146" s="302">
        <f>O38*(BOM_average!N35*BOM_average!N32)/1000000</f>
        <v>70.832804507952659</v>
      </c>
      <c r="P146" s="302">
        <f>P38*(BOM_average!O35*BOM_average!O32)/1000000</f>
        <v>75.115281618634498</v>
      </c>
      <c r="Q146" s="302">
        <f>Q38*(BOM_average!P35*BOM_average!P32)/1000000</f>
        <v>74.698436407855269</v>
      </c>
      <c r="R146" s="302">
        <f>R38*(BOM_average!Q35*BOM_average!Q32)/1000000</f>
        <v>74.698436407855269</v>
      </c>
      <c r="S146" s="302">
        <f>S38*(BOM_average!R35*BOM_average!R32)/1000000</f>
        <v>74.698436407855269</v>
      </c>
      <c r="T146" s="302">
        <f>T38*(BOM_average!S35*BOM_average!S32)/1000000</f>
        <v>74.698436407855269</v>
      </c>
      <c r="U146" s="302">
        <f>U38*(BOM_average!T35*BOM_average!T32)/1000000</f>
        <v>74.698436407855269</v>
      </c>
      <c r="V146" s="302">
        <f>V38*(BOM_average!U35*BOM_average!U32)/1000000</f>
        <v>74.698436407855269</v>
      </c>
      <c r="W146" s="302">
        <f>W38*(BOM_average!V35*BOM_average!V32)/1000000</f>
        <v>74.698436407855269</v>
      </c>
      <c r="X146" s="302">
        <f>X38*(BOM_average!W35*BOM_average!W32)/1000000</f>
        <v>74.698436407855269</v>
      </c>
      <c r="Y146" s="302">
        <f>Y38*(BOM_average!X35*BOM_average!X32)/1000000</f>
        <v>74.698436407855269</v>
      </c>
      <c r="Z146" s="302">
        <f>Z38*(BOM_average!Y35*BOM_average!Y32)/1000000</f>
        <v>74.698436407855269</v>
      </c>
      <c r="AA146" s="302">
        <f>AA38*(BOM_average!Z35*BOM_average!Z32)/1000000</f>
        <v>74.698436407855269</v>
      </c>
      <c r="AB146" s="302">
        <f>AB38*(BOM_average!AA35*BOM_average!AA32)/1000000</f>
        <v>74.698436407855269</v>
      </c>
    </row>
    <row r="147" spans="2:28" ht="17" thickBot="1">
      <c r="B147" s="297" t="s">
        <v>447</v>
      </c>
      <c r="C147" s="303">
        <f>C38*(BOM_average!B35*BOM_average!B33)/1000000</f>
        <v>94.721145415139233</v>
      </c>
      <c r="D147" s="303">
        <f>D38*(BOM_average!C35*BOM_average!C33)/1000000</f>
        <v>89.674300513593693</v>
      </c>
      <c r="E147" s="303">
        <f>E38*(BOM_average!D35*BOM_average!D33)/1000000</f>
        <v>91.631646577329533</v>
      </c>
      <c r="F147" s="303">
        <f>F38*(BOM_average!E35*BOM_average!E33)/1000000</f>
        <v>94.381833001322121</v>
      </c>
      <c r="G147" s="303">
        <f>G38*(BOM_average!F35*BOM_average!F33)/1000000</f>
        <v>79.914796076508679</v>
      </c>
      <c r="H147" s="303">
        <f>H38*(BOM_average!G35*BOM_average!G33)/1000000</f>
        <v>100.66218677822046</v>
      </c>
      <c r="I147" s="303">
        <f>I38*(BOM_average!H35*BOM_average!H33)/1000000</f>
        <v>121.43599201052596</v>
      </c>
      <c r="J147" s="303">
        <f>J38*(BOM_average!I35*BOM_average!I33)/1000000</f>
        <v>117.72146889912759</v>
      </c>
      <c r="K147" s="303">
        <f>K38*(BOM_average!J35*BOM_average!J33)/1000000</f>
        <v>122.63237501999296</v>
      </c>
      <c r="L147" s="303">
        <f>L38*(BOM_average!K35*BOM_average!K33)/1000000</f>
        <v>122.95367201786833</v>
      </c>
      <c r="M147" s="303">
        <f>M38*(BOM_average!L35*BOM_average!L33)/1000000</f>
        <v>104.87802299265503</v>
      </c>
      <c r="N147" s="303">
        <f>N38*(BOM_average!M35*BOM_average!M33)/1000000</f>
        <v>113.0773249978388</v>
      </c>
      <c r="O147" s="303">
        <f>O38*(BOM_average!N35*BOM_average!N33)/1000000</f>
        <v>113.76849429101802</v>
      </c>
      <c r="P147" s="303">
        <f>P38*(BOM_average!O35*BOM_average!O33)/1000000</f>
        <v>120.64681819902198</v>
      </c>
      <c r="Q147" s="303">
        <f>Q38*(BOM_average!P35*BOM_average!P33)/1000000</f>
        <v>119.97729999609032</v>
      </c>
      <c r="R147" s="303">
        <f>R38*(BOM_average!Q35*BOM_average!Q33)/1000000</f>
        <v>119.97729999609032</v>
      </c>
      <c r="S147" s="303">
        <f>S38*(BOM_average!R35*BOM_average!R33)/1000000</f>
        <v>119.97729999609032</v>
      </c>
      <c r="T147" s="303">
        <f>T38*(BOM_average!S35*BOM_average!S33)/1000000</f>
        <v>119.97729999609032</v>
      </c>
      <c r="U147" s="303">
        <f>U38*(BOM_average!T35*BOM_average!T33)/1000000</f>
        <v>119.97729999609032</v>
      </c>
      <c r="V147" s="303">
        <f>V38*(BOM_average!U35*BOM_average!U33)/1000000</f>
        <v>119.97729999609032</v>
      </c>
      <c r="W147" s="303">
        <f>W38*(BOM_average!V35*BOM_average!V33)/1000000</f>
        <v>119.97729999609032</v>
      </c>
      <c r="X147" s="303">
        <f>X38*(BOM_average!W35*BOM_average!W33)/1000000</f>
        <v>119.97729999609032</v>
      </c>
      <c r="Y147" s="303">
        <f>Y38*(BOM_average!X35*BOM_average!X33)/1000000</f>
        <v>119.97729999609032</v>
      </c>
      <c r="Z147" s="303">
        <f>Z38*(BOM_average!Y35*BOM_average!Y33)/1000000</f>
        <v>119.97729999609032</v>
      </c>
      <c r="AA147" s="303">
        <f>AA38*(BOM_average!Z35*BOM_average!Z33)/1000000</f>
        <v>119.97729999609032</v>
      </c>
      <c r="AB147" s="303">
        <f>AB38*(BOM_average!AA35*BOM_average!AA33)/1000000</f>
        <v>119.97729999609032</v>
      </c>
    </row>
    <row r="148" spans="2:28">
      <c r="B148" s="296" t="s">
        <v>7797</v>
      </c>
      <c r="C148" s="304">
        <f>C38*(BOM_average!B35)/1000000</f>
        <v>2284.3168504933333</v>
      </c>
      <c r="D148" s="304">
        <f>D38*(BOM_average!C35)/1000000</f>
        <v>2162.6059822400002</v>
      </c>
      <c r="E148" s="304">
        <f>E38*(BOM_average!D35)/1000000</f>
        <v>2209.809788486667</v>
      </c>
      <c r="F148" s="304">
        <f>F38*(BOM_average!E35)/1000000</f>
        <v>2276.1339145600004</v>
      </c>
      <c r="G148" s="304">
        <f>G38*(BOM_average!F35)/1000000</f>
        <v>1927.2435366066672</v>
      </c>
      <c r="H148" s="304">
        <f>H38*(BOM_average!G35)/1000000</f>
        <v>2427.5923655400011</v>
      </c>
      <c r="I148" s="304">
        <f>I38*(BOM_average!H35)/1000000</f>
        <v>2928.5782133466673</v>
      </c>
      <c r="J148" s="304">
        <f>J38*(BOM_average!I35)/1000000</f>
        <v>2838.9979227185718</v>
      </c>
      <c r="K148" s="304">
        <f>K38*(BOM_average!J35)/1000000</f>
        <v>2957.4304601833333</v>
      </c>
      <c r="L148" s="304">
        <f>L38*(BOM_average!K35)/1000000</f>
        <v>2965.178932217143</v>
      </c>
      <c r="M148" s="304">
        <f>M38*(BOM_average!L35)/1000000</f>
        <v>2529.2624378490477</v>
      </c>
      <c r="N148" s="304">
        <f>N38*(BOM_average!M35)/1000000</f>
        <v>2726.9986840761908</v>
      </c>
      <c r="O148" s="304">
        <f>O38*(BOM_average!N35)/1000000</f>
        <v>2743.6670811488098</v>
      </c>
      <c r="P148" s="304">
        <f>P38*(BOM_average!O35)/1000000</f>
        <v>2909.5463168500005</v>
      </c>
      <c r="Q148" s="304">
        <f>Q38*(BOM_average!P35)/1000000</f>
        <v>2893.4000624316673</v>
      </c>
      <c r="R148" s="304">
        <f>R38*(BOM_average!Q35)/1000000</f>
        <v>2893.4000624316673</v>
      </c>
      <c r="S148" s="304">
        <f>S38*(BOM_average!R35)/1000000</f>
        <v>2893.4000624316673</v>
      </c>
      <c r="T148" s="304">
        <f>T38*(BOM_average!S35)/1000000</f>
        <v>2893.4000624316673</v>
      </c>
      <c r="U148" s="304">
        <f>U38*(BOM_average!T35)/1000000</f>
        <v>2893.4000624316673</v>
      </c>
      <c r="V148" s="304">
        <f>V38*(BOM_average!U35)/1000000</f>
        <v>2893.4000624316673</v>
      </c>
      <c r="W148" s="304">
        <f>W38*(BOM_average!V35)/1000000</f>
        <v>2893.4000624316673</v>
      </c>
      <c r="X148" s="304">
        <f>X38*(BOM_average!W35)/1000000</f>
        <v>2893.4000624316673</v>
      </c>
      <c r="Y148" s="304">
        <f>Y38*(BOM_average!X35)/1000000</f>
        <v>2893.4000624316673</v>
      </c>
      <c r="Z148" s="304">
        <f>Z38*(BOM_average!Y35)/1000000</f>
        <v>2893.4000624316673</v>
      </c>
      <c r="AA148" s="304">
        <f>AA38*(BOM_average!Z35)/1000000</f>
        <v>2893.4000624316673</v>
      </c>
      <c r="AB148" s="304">
        <f>AB38*(BOM_average!AA35)/1000000</f>
        <v>2893.4000624316673</v>
      </c>
    </row>
    <row r="149" spans="2:28">
      <c r="B149" s="295" t="s">
        <v>7798</v>
      </c>
      <c r="C149" s="302">
        <f>C38*(BOM_average!B36)/1000000</f>
        <v>3038.6202445279996</v>
      </c>
      <c r="D149" s="302">
        <f>D38*(BOM_average!C36)/1000000</f>
        <v>2876.7192769919998</v>
      </c>
      <c r="E149" s="302">
        <f>E38*(BOM_average!D36)/1000000</f>
        <v>2939.5102340559997</v>
      </c>
      <c r="F149" s="302">
        <f>F38*(BOM_average!E36)/1000000</f>
        <v>3027.7352244479998</v>
      </c>
      <c r="G149" s="302">
        <f>G38*(BOM_average!F36)/1000000</f>
        <v>2563.637888152</v>
      </c>
      <c r="H149" s="302">
        <f>H38*(BOM_average!G36)/1000000</f>
        <v>3229.2067126320003</v>
      </c>
      <c r="I149" s="302">
        <f>I38*(BOM_average!H36)/1000000</f>
        <v>3895.622905744</v>
      </c>
      <c r="J149" s="302">
        <f>J38*(BOM_average!I36)/1000000</f>
        <v>3776.4623415891429</v>
      </c>
      <c r="K149" s="302">
        <f>K38*(BOM_average!J36)/1000000</f>
        <v>3934.0024419799993</v>
      </c>
      <c r="L149" s="302">
        <f>L38*(BOM_average!K36)/1000000</f>
        <v>3944.3095340022855</v>
      </c>
      <c r="M149" s="302">
        <f>M38*(BOM_average!L36)/1000000</f>
        <v>3364.4492206554273</v>
      </c>
      <c r="N149" s="302">
        <f>N38*(BOM_average!M36)/1000000</f>
        <v>3627.4798771657138</v>
      </c>
      <c r="O149" s="302">
        <f>O38*(BOM_average!N36)/1000000</f>
        <v>3649.6523392642857</v>
      </c>
      <c r="P149" s="302">
        <f>P38*(BOM_average!O36)/1000000</f>
        <v>3870.3064939800001</v>
      </c>
      <c r="Q149" s="302">
        <f>Q38*(BOM_average!P36)/1000000</f>
        <v>3848.8285910619998</v>
      </c>
      <c r="R149" s="302">
        <f>R38*(BOM_average!Q36)/1000000</f>
        <v>3848.8285910619998</v>
      </c>
      <c r="S149" s="302">
        <f>S38*(BOM_average!R36)/1000000</f>
        <v>3848.8285910619998</v>
      </c>
      <c r="T149" s="302">
        <f>T38*(BOM_average!S36)/1000000</f>
        <v>3848.8285910619998</v>
      </c>
      <c r="U149" s="302">
        <f>U38*(BOM_average!T36)/1000000</f>
        <v>3848.8285910619998</v>
      </c>
      <c r="V149" s="302">
        <f>V38*(BOM_average!U36)/1000000</f>
        <v>3848.8285910619998</v>
      </c>
      <c r="W149" s="302">
        <f>W38*(BOM_average!V36)/1000000</f>
        <v>3848.8285910619998</v>
      </c>
      <c r="X149" s="302">
        <f>X38*(BOM_average!W36)/1000000</f>
        <v>3848.8285910619998</v>
      </c>
      <c r="Y149" s="302">
        <f>Y38*(BOM_average!X36)/1000000</f>
        <v>3848.8285910619998</v>
      </c>
      <c r="Z149" s="302">
        <f>Z38*(BOM_average!Y36)/1000000</f>
        <v>3848.8285910619998</v>
      </c>
      <c r="AA149" s="302">
        <f>AA38*(BOM_average!Z36)/1000000</f>
        <v>3848.8285910619998</v>
      </c>
      <c r="AB149" s="302">
        <f>AB38*(BOM_average!AA36)/1000000</f>
        <v>3848.8285910619998</v>
      </c>
    </row>
    <row r="150" spans="2:28">
      <c r="B150" s="295" t="s">
        <v>7799</v>
      </c>
      <c r="C150" s="302">
        <f>C38*(BOM_average!B37)/1000000</f>
        <v>1541.280124032</v>
      </c>
      <c r="D150" s="302">
        <f>D38*(BOM_average!C37)/1000000</f>
        <v>1459.1590548480001</v>
      </c>
      <c r="E150" s="302">
        <f>E38*(BOM_average!D37)/1000000</f>
        <v>1491.0085280640001</v>
      </c>
      <c r="F150" s="302">
        <f>F38*(BOM_average!E37)/1000000</f>
        <v>1535.7589125120001</v>
      </c>
      <c r="G150" s="302">
        <f>G38*(BOM_average!F37)/1000000</f>
        <v>1300.3547018880004</v>
      </c>
      <c r="H150" s="302">
        <f>H38*(BOM_average!G37)/1000000</f>
        <v>1637.9513470080003</v>
      </c>
      <c r="I150" s="302">
        <f>I38*(BOM_average!H37)/1000000</f>
        <v>1975.9778031360001</v>
      </c>
      <c r="J150" s="302">
        <f>J38*(BOM_average!I37)/1000000</f>
        <v>1915.5359596937144</v>
      </c>
      <c r="K150" s="302">
        <f>K38*(BOM_average!J37)/1000000</f>
        <v>1995.44506512</v>
      </c>
      <c r="L150" s="302">
        <f>L38*(BOM_average!K37)/1000000</f>
        <v>2000.6731340434287</v>
      </c>
      <c r="M150" s="302">
        <f>M38*(BOM_average!L37)/1000000</f>
        <v>1706.5504389531427</v>
      </c>
      <c r="N150" s="302">
        <f>N38*(BOM_average!M37)/1000000</f>
        <v>1839.9675461485715</v>
      </c>
      <c r="O150" s="302">
        <f>O38*(BOM_average!N37)/1000000</f>
        <v>1851.2140897714289</v>
      </c>
      <c r="P150" s="302">
        <f>P38*(BOM_average!O37)/1000000</f>
        <v>1963.1365531200001</v>
      </c>
      <c r="Q150" s="302">
        <f>Q38*(BOM_average!P37)/1000000</f>
        <v>1952.2423109280003</v>
      </c>
      <c r="R150" s="302">
        <f>R38*(BOM_average!Q37)/1000000</f>
        <v>1952.2423109280003</v>
      </c>
      <c r="S150" s="302">
        <f>S38*(BOM_average!R37)/1000000</f>
        <v>1952.2423109280003</v>
      </c>
      <c r="T150" s="302">
        <f>T38*(BOM_average!S37)/1000000</f>
        <v>1952.2423109280003</v>
      </c>
      <c r="U150" s="302">
        <f>U38*(BOM_average!T37)/1000000</f>
        <v>1952.2423109280003</v>
      </c>
      <c r="V150" s="302">
        <f>V38*(BOM_average!U37)/1000000</f>
        <v>1952.2423109280003</v>
      </c>
      <c r="W150" s="302">
        <f>W38*(BOM_average!V37)/1000000</f>
        <v>1952.2423109280003</v>
      </c>
      <c r="X150" s="302">
        <f>X38*(BOM_average!W37)/1000000</f>
        <v>1952.2423109280003</v>
      </c>
      <c r="Y150" s="302">
        <f>Y38*(BOM_average!X37)/1000000</f>
        <v>1952.2423109280003</v>
      </c>
      <c r="Z150" s="302">
        <f>Z38*(BOM_average!Y37)/1000000</f>
        <v>1952.2423109280003</v>
      </c>
      <c r="AA150" s="302">
        <f>AA38*(BOM_average!Z37)/1000000</f>
        <v>1952.2423109280003</v>
      </c>
      <c r="AB150" s="302">
        <f>AB38*(BOM_average!AA37)/1000000</f>
        <v>1952.2423109280003</v>
      </c>
    </row>
    <row r="152" spans="2:28">
      <c r="B152" s="291" t="s">
        <v>7795</v>
      </c>
    </row>
    <row r="153" spans="2:28">
      <c r="B153" s="294" t="s">
        <v>437</v>
      </c>
      <c r="C153" s="299">
        <f>C$5*(BOM_average!B$35*BOM_average!B24)/1000000</f>
        <v>225.57612377849412</v>
      </c>
      <c r="D153" s="299">
        <f>D5*(BOM_average!C35*BOM_average!C24)/1000000</f>
        <v>412.39517167317712</v>
      </c>
      <c r="E153" s="299">
        <f>E5*(BOM_average!D35*BOM_average!D24)/1000000</f>
        <v>561.96265729977222</v>
      </c>
      <c r="F153" s="299">
        <f>F5*(BOM_average!E35*BOM_average!E24)/1000000</f>
        <v>676.3250279109252</v>
      </c>
      <c r="G153" s="299">
        <f>G5*(BOM_average!F35*BOM_average!F24)/1000000</f>
        <v>720.21383900061642</v>
      </c>
      <c r="H153" s="299">
        <f>H5*(BOM_average!G35*BOM_average!G24)/1000000</f>
        <v>789.7758217203417</v>
      </c>
      <c r="I153" s="299">
        <f>I5*(BOM_average!H35*BOM_average!H24)/1000000</f>
        <v>889.9320568295268</v>
      </c>
      <c r="J153" s="299">
        <f>J5*(BOM_average!I35*BOM_average!I24)/1000000</f>
        <v>959.62201632961637</v>
      </c>
      <c r="K153" s="299">
        <f>K5*(BOM_average!J35*BOM_average!J24)/1000000</f>
        <v>1020.641395356605</v>
      </c>
      <c r="L153" s="299">
        <f>L5*(BOM_average!K35*BOM_average!K24)/1000000</f>
        <v>1064.7130856286851</v>
      </c>
      <c r="M153" s="299">
        <f>M5*(BOM_average!L35*BOM_average!L24)/1000000</f>
        <v>1051.3316422965966</v>
      </c>
      <c r="N153" s="299">
        <f>N5*(BOM_average!M35*BOM_average!M24)/1000000</f>
        <v>1051.8703119350255</v>
      </c>
      <c r="O153" s="299">
        <f>O5*(BOM_average!N35*BOM_average!N24)/1000000</f>
        <v>1052.5974692871641</v>
      </c>
      <c r="P153" s="299">
        <f>P5*(BOM_average!O35*BOM_average!O24)/1000000</f>
        <v>1069.235390221842</v>
      </c>
      <c r="Q153" s="299">
        <f>Q5*(BOM_average!P35*BOM_average!P24)/1000000</f>
        <v>1082.2780763820419</v>
      </c>
      <c r="R153" s="299">
        <f>R5*(BOM_average!Q35*BOM_average!Q24)/1000000</f>
        <v>1092.3997922329643</v>
      </c>
      <c r="S153" s="299">
        <f>S5*(BOM_average!R35*BOM_average!R24)/1000000</f>
        <v>1099.6804370981754</v>
      </c>
      <c r="T153" s="299">
        <f>T5*(BOM_average!S35*BOM_average!S24)/1000000</f>
        <v>1104.5776635181239</v>
      </c>
      <c r="U153" s="299">
        <f>U5*(BOM_average!T35*BOM_average!T24)/1000000</f>
        <v>1107.678529970776</v>
      </c>
      <c r="V153" s="299">
        <f>V5*(BOM_average!U35*BOM_average!U24)/1000000</f>
        <v>1109.5362051274601</v>
      </c>
      <c r="W153" s="299">
        <f>W5*(BOM_average!V35*BOM_average!V24)/1000000</f>
        <v>1110.5934321493353</v>
      </c>
      <c r="X153" s="299">
        <f>X5*(BOM_average!W35*BOM_average!W24)/1000000</f>
        <v>1111.1669118800817</v>
      </c>
      <c r="Y153" s="299">
        <f>Y5*(BOM_average!X35*BOM_average!X24)/1000000</f>
        <v>1111.4642143799701</v>
      </c>
      <c r="Z153" s="299">
        <f>Z5*(BOM_average!Y35*BOM_average!Y24)/1000000</f>
        <v>1111.611862483629</v>
      </c>
      <c r="AA153" s="299">
        <f>AA5*(BOM_average!Z35*BOM_average!Z24)/1000000</f>
        <v>1111.6822541080357</v>
      </c>
      <c r="AB153" s="299">
        <f>AB5*(BOM_average!AA35*BOM_average!AA24)/1000000</f>
        <v>1111.7145247053618</v>
      </c>
    </row>
    <row r="154" spans="2:28">
      <c r="B154" s="294" t="s">
        <v>217</v>
      </c>
      <c r="C154" s="299">
        <f>C5*(BOM_average!B35*BOM_average!B25)/1000000</f>
        <v>27.187613839806104</v>
      </c>
      <c r="D154" s="299">
        <f>D5*(BOM_average!C35*BOM_average!C25)/1000000</f>
        <v>49.704022256631283</v>
      </c>
      <c r="E154" s="299">
        <f>E5*(BOM_average!D35*BOM_average!D25)/1000000</f>
        <v>67.730677622868669</v>
      </c>
      <c r="F154" s="299">
        <f>F5*(BOM_average!E35*BOM_average!E25)/1000000</f>
        <v>81.514228461050251</v>
      </c>
      <c r="G154" s="299">
        <f>G5*(BOM_average!F35*BOM_average!F25)/1000000</f>
        <v>86.803937441804024</v>
      </c>
      <c r="H154" s="299">
        <f>H5*(BOM_average!G35*BOM_average!G25)/1000000</f>
        <v>95.187911296999161</v>
      </c>
      <c r="I154" s="299">
        <f>I5*(BOM_average!H35*BOM_average!H25)/1000000</f>
        <v>107.25926440913628</v>
      </c>
      <c r="J154" s="299">
        <f>J5*(BOM_average!I35*BOM_average!I25)/1000000</f>
        <v>115.65866269501463</v>
      </c>
      <c r="K154" s="299">
        <f>K5*(BOM_average!J35*BOM_average!J25)/1000000</f>
        <v>123.01303728901894</v>
      </c>
      <c r="L154" s="299">
        <f>L5*(BOM_average!K35*BOM_average!K25)/1000000</f>
        <v>128.32478782499959</v>
      </c>
      <c r="M154" s="299">
        <f>M5*(BOM_average!L35*BOM_average!L25)/1000000</f>
        <v>126.71198631108886</v>
      </c>
      <c r="N154" s="299">
        <f>N5*(BOM_average!M35*BOM_average!M25)/1000000</f>
        <v>126.77690959229221</v>
      </c>
      <c r="O154" s="299">
        <f>O5*(BOM_average!N35*BOM_average!N25)/1000000</f>
        <v>126.86455039824087</v>
      </c>
      <c r="P154" s="299">
        <f>P5*(BOM_average!O35*BOM_average!O25)/1000000</f>
        <v>128.86983961898051</v>
      </c>
      <c r="Q154" s="299">
        <f>Q5*(BOM_average!P35*BOM_average!P25)/1000000</f>
        <v>130.44181234737752</v>
      </c>
      <c r="R154" s="299">
        <f>R5*(BOM_average!Q35*BOM_average!Q25)/1000000</f>
        <v>131.66173446210158</v>
      </c>
      <c r="S154" s="299">
        <f>S5*(BOM_average!R35*BOM_average!R25)/1000000</f>
        <v>132.5392358473745</v>
      </c>
      <c r="T154" s="299">
        <f>T5*(BOM_average!S35*BOM_average!S25)/1000000</f>
        <v>133.12947518016134</v>
      </c>
      <c r="U154" s="299">
        <f>U5*(BOM_average!T35*BOM_average!T25)/1000000</f>
        <v>133.50320781760263</v>
      </c>
      <c r="V154" s="299">
        <f>V5*(BOM_average!U35*BOM_average!U25)/1000000</f>
        <v>133.72710454015345</v>
      </c>
      <c r="W154" s="299">
        <f>W5*(BOM_average!V35*BOM_average!V25)/1000000</f>
        <v>133.85452706843478</v>
      </c>
      <c r="X154" s="299">
        <f>X5*(BOM_average!W35*BOM_average!W25)/1000000</f>
        <v>133.92364584396529</v>
      </c>
      <c r="Y154" s="299">
        <f>Y5*(BOM_average!X35*BOM_average!X25)/1000000</f>
        <v>133.95947829566796</v>
      </c>
      <c r="Z154" s="299">
        <f>Z5*(BOM_average!Y35*BOM_average!Y25)/1000000</f>
        <v>133.97727361708417</v>
      </c>
      <c r="AA154" s="299">
        <f>AA5*(BOM_average!Z35*BOM_average!Z25)/1000000</f>
        <v>133.98575758369321</v>
      </c>
      <c r="AB154" s="299">
        <f>AB5*(BOM_average!AA35*BOM_average!AA25)/1000000</f>
        <v>133.9896470048065</v>
      </c>
    </row>
    <row r="155" spans="2:28">
      <c r="B155" s="294" t="s">
        <v>313</v>
      </c>
      <c r="C155" s="299">
        <f>C5*(BOM_average!B35*BOM_average!B26)/1000000</f>
        <v>143.90041231483798</v>
      </c>
      <c r="D155" s="299">
        <f>D5*(BOM_average!C35*BOM_average!C26)/1000000</f>
        <v>263.07675762126149</v>
      </c>
      <c r="E155" s="299">
        <f>E5*(BOM_average!D35*BOM_average!D26)/1000000</f>
        <v>358.4894391145171</v>
      </c>
      <c r="F155" s="299">
        <f>F5*(BOM_average!E35*BOM_average!E26)/1000000</f>
        <v>431.44393451318371</v>
      </c>
      <c r="G155" s="299">
        <f>G5*(BOM_average!F35*BOM_average!F26)/1000000</f>
        <v>459.44165832377757</v>
      </c>
      <c r="H155" s="299">
        <f>H5*(BOM_average!G35*BOM_average!G26)/1000000</f>
        <v>503.81691323610806</v>
      </c>
      <c r="I155" s="299">
        <f>I5*(BOM_average!H35*BOM_average!H26)/1000000</f>
        <v>567.70897453540613</v>
      </c>
      <c r="J155" s="299">
        <f>J5*(BOM_average!I35*BOM_average!I26)/1000000</f>
        <v>612.16586890120675</v>
      </c>
      <c r="K155" s="299">
        <f>K5*(BOM_average!J35*BOM_average!J26)/1000000</f>
        <v>651.09159230711703</v>
      </c>
      <c r="L155" s="299">
        <f>L5*(BOM_average!K35*BOM_average!K26)/1000000</f>
        <v>679.20597912844403</v>
      </c>
      <c r="M155" s="299">
        <f>M5*(BOM_average!L35*BOM_average!L26)/1000000</f>
        <v>670.66963591711192</v>
      </c>
      <c r="N155" s="299">
        <f>N5*(BOM_average!M35*BOM_average!M26)/1000000</f>
        <v>671.01326618157873</v>
      </c>
      <c r="O155" s="299">
        <f>O5*(BOM_average!N35*BOM_average!N26)/1000000</f>
        <v>671.47713727324299</v>
      </c>
      <c r="P155" s="299">
        <f>P5*(BOM_average!O35*BOM_average!O26)/1000000</f>
        <v>682.09086554580085</v>
      </c>
      <c r="Q155" s="299">
        <f>Q5*(BOM_average!P35*BOM_average!P26)/1000000</f>
        <v>690.41110744333776</v>
      </c>
      <c r="R155" s="299">
        <f>R5*(BOM_average!Q35*BOM_average!Q26)/1000000</f>
        <v>696.86799241805954</v>
      </c>
      <c r="S155" s="299">
        <f>S5*(BOM_average!R35*BOM_average!R26)/1000000</f>
        <v>701.51249016220277</v>
      </c>
      <c r="T155" s="299">
        <f>T5*(BOM_average!S35*BOM_average!S26)/1000000</f>
        <v>704.6365481929264</v>
      </c>
      <c r="U155" s="299">
        <f>U5*(BOM_average!T35*BOM_average!T26)/1000000</f>
        <v>706.61466517443853</v>
      </c>
      <c r="V155" s="299">
        <f>V5*(BOM_average!U35*BOM_average!U26)/1000000</f>
        <v>707.79972065157017</v>
      </c>
      <c r="W155" s="299">
        <f>W5*(BOM_average!V35*BOM_average!V26)/1000000</f>
        <v>708.47415109132567</v>
      </c>
      <c r="X155" s="299">
        <f>X5*(BOM_average!W35*BOM_average!W26)/1000000</f>
        <v>708.83998754744653</v>
      </c>
      <c r="Y155" s="299">
        <f>Y5*(BOM_average!X35*BOM_average!X26)/1000000</f>
        <v>709.02964393305831</v>
      </c>
      <c r="Z155" s="299">
        <f>Z5*(BOM_average!Y35*BOM_average!Y26)/1000000</f>
        <v>709.12383219482172</v>
      </c>
      <c r="AA155" s="299">
        <f>AA5*(BOM_average!Z35*BOM_average!Z26)/1000000</f>
        <v>709.16873669803772</v>
      </c>
      <c r="AB155" s="299">
        <f>AB5*(BOM_average!AA35*BOM_average!AA26)/1000000</f>
        <v>709.18932288501117</v>
      </c>
    </row>
    <row r="156" spans="2:28">
      <c r="B156" s="294" t="s">
        <v>6911</v>
      </c>
      <c r="C156" s="299">
        <f>C5*(BOM_average!B35*BOM_average!B27)/1000000</f>
        <v>542.82137516865805</v>
      </c>
      <c r="D156" s="299">
        <f>D5*(BOM_average!C35*BOM_average!C27)/1000000</f>
        <v>992.37858356129266</v>
      </c>
      <c r="E156" s="299">
        <f>E5*(BOM_average!D35*BOM_average!D27)/1000000</f>
        <v>1352.2944597116887</v>
      </c>
      <c r="F156" s="299">
        <f>F5*(BOM_average!E35*BOM_average!E27)/1000000</f>
        <v>1627.4935288456716</v>
      </c>
      <c r="G156" s="299">
        <f>G5*(BOM_average!F35*BOM_average!F27)/1000000</f>
        <v>1733.1065892669844</v>
      </c>
      <c r="H156" s="299">
        <f>H5*(BOM_average!G35*BOM_average!G27)/1000000</f>
        <v>1900.4989998062226</v>
      </c>
      <c r="I156" s="299">
        <f>I5*(BOM_average!H35*BOM_average!H27)/1000000</f>
        <v>2141.5127399264725</v>
      </c>
      <c r="J156" s="299">
        <f>J5*(BOM_average!I35*BOM_average!I27)/1000000</f>
        <v>2309.2131109481566</v>
      </c>
      <c r="K156" s="299">
        <f>K5*(BOM_average!J35*BOM_average!J27)/1000000</f>
        <v>2456.0487896563004</v>
      </c>
      <c r="L156" s="299">
        <f>L5*(BOM_average!K35*BOM_average!K27)/1000000</f>
        <v>2562.1019264811407</v>
      </c>
      <c r="M156" s="299">
        <f>M5*(BOM_average!L35*BOM_average!L27)/1000000</f>
        <v>2529.9011183920788</v>
      </c>
      <c r="N156" s="299">
        <f>N5*(BOM_average!M35*BOM_average!M27)/1000000</f>
        <v>2531.1973610484192</v>
      </c>
      <c r="O156" s="299">
        <f>O5*(BOM_average!N35*BOM_average!N27)/1000000</f>
        <v>2532.9471763535157</v>
      </c>
      <c r="P156" s="299">
        <f>P5*(BOM_average!O35*BOM_average!O27)/1000000</f>
        <v>2572.98429983285</v>
      </c>
      <c r="Q156" s="299">
        <f>Q5*(BOM_average!P35*BOM_average!P27)/1000000</f>
        <v>2604.3699301858442</v>
      </c>
      <c r="R156" s="299">
        <f>R5*(BOM_average!Q35*BOM_average!Q27)/1000000</f>
        <v>2628.7266024489913</v>
      </c>
      <c r="S156" s="299">
        <f>S5*(BOM_average!R35*BOM_average!R27)/1000000</f>
        <v>2646.2465845802972</v>
      </c>
      <c r="T156" s="299">
        <f>T5*(BOM_average!S35*BOM_average!S27)/1000000</f>
        <v>2658.0311614905695</v>
      </c>
      <c r="U156" s="299">
        <f>U5*(BOM_average!T35*BOM_average!T27)/1000000</f>
        <v>2665.4930176650992</v>
      </c>
      <c r="V156" s="299">
        <f>V5*(BOM_average!U35*BOM_average!U27)/1000000</f>
        <v>2669.9632859110329</v>
      </c>
      <c r="W156" s="299">
        <f>W5*(BOM_average!V35*BOM_average!V27)/1000000</f>
        <v>2672.5073735399324</v>
      </c>
      <c r="X156" s="299">
        <f>X5*(BOM_average!W35*BOM_average!W27)/1000000</f>
        <v>2673.8873824294401</v>
      </c>
      <c r="Y156" s="299">
        <f>Y5*(BOM_average!X35*BOM_average!X27)/1000000</f>
        <v>2674.6028045633398</v>
      </c>
      <c r="Z156" s="299">
        <f>Z5*(BOM_average!Y35*BOM_average!Y27)/1000000</f>
        <v>2674.9581016813449</v>
      </c>
      <c r="AA156" s="299">
        <f>AA5*(BOM_average!Z35*BOM_average!Z27)/1000000</f>
        <v>2675.1274905232171</v>
      </c>
      <c r="AB156" s="299">
        <f>AB5*(BOM_average!AA35*BOM_average!AA27)/1000000</f>
        <v>2675.205145772029</v>
      </c>
    </row>
    <row r="157" spans="2:28">
      <c r="B157" s="294" t="s">
        <v>441</v>
      </c>
      <c r="C157" s="299">
        <f>C5*(BOM_average!B35*BOM_average!B28)/1000000</f>
        <v>518.95793600551895</v>
      </c>
      <c r="D157" s="299">
        <f>D5*(BOM_average!C35*BOM_average!C28)/1000000</f>
        <v>948.75177179792183</v>
      </c>
      <c r="E157" s="299">
        <f>E5*(BOM_average!D35*BOM_average!D28)/1000000</f>
        <v>1292.8450753539828</v>
      </c>
      <c r="F157" s="299">
        <f>F5*(BOM_average!E35*BOM_average!E28)/1000000</f>
        <v>1555.9458805940819</v>
      </c>
      <c r="G157" s="299">
        <f>G5*(BOM_average!F35*BOM_average!F28)/1000000</f>
        <v>1656.9159940765167</v>
      </c>
      <c r="H157" s="299">
        <f>H5*(BOM_average!G35*BOM_average!G28)/1000000</f>
        <v>1816.9495223240742</v>
      </c>
      <c r="I157" s="299">
        <f>I5*(BOM_average!H35*BOM_average!H28)/1000000</f>
        <v>2047.3678493159205</v>
      </c>
      <c r="J157" s="299">
        <f>J5*(BOM_average!I35*BOM_average!I28)/1000000</f>
        <v>2207.6957995292519</v>
      </c>
      <c r="K157" s="299">
        <f>K5*(BOM_average!J35*BOM_average!J28)/1000000</f>
        <v>2348.0763081830828</v>
      </c>
      <c r="L157" s="299">
        <f>L5*(BOM_average!K35*BOM_average!K28)/1000000</f>
        <v>2449.467151490293</v>
      </c>
      <c r="M157" s="299">
        <f>M5*(BOM_average!L35*BOM_average!L28)/1000000</f>
        <v>2418.6819509288425</v>
      </c>
      <c r="N157" s="299">
        <f>N5*(BOM_average!M35*BOM_average!M28)/1000000</f>
        <v>2419.9212083425505</v>
      </c>
      <c r="O157" s="299">
        <f>O5*(BOM_average!N35*BOM_average!N28)/1000000</f>
        <v>2421.5940985061725</v>
      </c>
      <c r="P157" s="299">
        <f>P5*(BOM_average!O35*BOM_average!O28)/1000000</f>
        <v>2459.871115430898</v>
      </c>
      <c r="Q157" s="299">
        <f>Q5*(BOM_average!P35*BOM_average!P28)/1000000</f>
        <v>2489.8769749885864</v>
      </c>
      <c r="R157" s="299">
        <f>R5*(BOM_average!Q35*BOM_average!Q28)/1000000</f>
        <v>2513.1628825520429</v>
      </c>
      <c r="S157" s="299">
        <f>S5*(BOM_average!R35*BOM_average!R28)/1000000</f>
        <v>2529.9126536215613</v>
      </c>
      <c r="T157" s="299">
        <f>T5*(BOM_average!S35*BOM_average!S28)/1000000</f>
        <v>2541.1791585711003</v>
      </c>
      <c r="U157" s="299">
        <f>U5*(BOM_average!T35*BOM_average!T28)/1000000</f>
        <v>2548.3129776435362</v>
      </c>
      <c r="V157" s="299">
        <f>V5*(BOM_average!U35*BOM_average!U28)/1000000</f>
        <v>2552.5867245673376</v>
      </c>
      <c r="W157" s="299">
        <f>W5*(BOM_average!V35*BOM_average!V28)/1000000</f>
        <v>2555.0189693633361</v>
      </c>
      <c r="X157" s="299">
        <f>X5*(BOM_average!W35*BOM_average!W28)/1000000</f>
        <v>2556.3383104905088</v>
      </c>
      <c r="Y157" s="299">
        <f>Y5*(BOM_average!X35*BOM_average!X28)/1000000</f>
        <v>2557.0222813342616</v>
      </c>
      <c r="Z157" s="299">
        <f>Z5*(BOM_average!Y35*BOM_average!Y28)/1000000</f>
        <v>2557.3619589288869</v>
      </c>
      <c r="AA157" s="299">
        <f>AA5*(BOM_average!Z35*BOM_average!Z28)/1000000</f>
        <v>2557.5239011216258</v>
      </c>
      <c r="AB157" s="299">
        <f>AB5*(BOM_average!AA35*BOM_average!AA28)/1000000</f>
        <v>2557.5981425009945</v>
      </c>
    </row>
    <row r="158" spans="2:28">
      <c r="B158" s="294" t="s">
        <v>6912</v>
      </c>
      <c r="C158" s="299">
        <f>C5*(BOM_average!B35*BOM_average!B29)/1000000</f>
        <v>319.71199608722554</v>
      </c>
      <c r="D158" s="299">
        <f>D5*(BOM_average!C35*BOM_average!C29)/1000000</f>
        <v>584.4930806676781</v>
      </c>
      <c r="E158" s="299">
        <f>E5*(BOM_average!D35*BOM_average!D29)/1000000</f>
        <v>796.47703791654851</v>
      </c>
      <c r="F158" s="299">
        <f>F5*(BOM_average!E35*BOM_average!E29)/1000000</f>
        <v>958.56432434080682</v>
      </c>
      <c r="G158" s="299">
        <f>G5*(BOM_average!F35*BOM_average!F29)/1000000</f>
        <v>1020.7685113990034</v>
      </c>
      <c r="H158" s="299">
        <f>H5*(BOM_average!G35*BOM_average!G29)/1000000</f>
        <v>1119.3596210190399</v>
      </c>
      <c r="I158" s="299">
        <f>I5*(BOM_average!H35*BOM_average!H29)/1000000</f>
        <v>1261.3123654450519</v>
      </c>
      <c r="J158" s="299">
        <f>J5*(BOM_average!I35*BOM_average!I29)/1000000</f>
        <v>1360.0848582328535</v>
      </c>
      <c r="K158" s="299">
        <f>K5*(BOM_average!J35*BOM_average!J29)/1000000</f>
        <v>1446.5684237004389</v>
      </c>
      <c r="L158" s="299">
        <f>L5*(BOM_average!K35*BOM_average!K29)/1000000</f>
        <v>1509.0318078202081</v>
      </c>
      <c r="M158" s="299">
        <f>M5*(BOM_average!L35*BOM_average!L29)/1000000</f>
        <v>1490.066112840756</v>
      </c>
      <c r="N158" s="299">
        <f>N5*(BOM_average!M35*BOM_average!M29)/1000000</f>
        <v>1490.8295763778049</v>
      </c>
      <c r="O158" s="299">
        <f>O5*(BOM_average!N35*BOM_average!N29)/1000000</f>
        <v>1491.8601860213591</v>
      </c>
      <c r="P158" s="299">
        <f>P5*(BOM_average!O35*BOM_average!O29)/1000000</f>
        <v>1515.4413293784933</v>
      </c>
      <c r="Q158" s="299">
        <f>Q5*(BOM_average!P35*BOM_average!P29)/1000000</f>
        <v>1533.9268993792944</v>
      </c>
      <c r="R158" s="299">
        <f>R5*(BOM_average!Q35*BOM_average!Q29)/1000000</f>
        <v>1548.272539885573</v>
      </c>
      <c r="S158" s="299">
        <f>S5*(BOM_average!R35*BOM_average!R29)/1000000</f>
        <v>1558.591493255587</v>
      </c>
      <c r="T158" s="299">
        <f>T5*(BOM_average!S35*BOM_average!S29)/1000000</f>
        <v>1565.532396431804</v>
      </c>
      <c r="U158" s="299">
        <f>U5*(BOM_average!T35*BOM_average!T29)/1000000</f>
        <v>1569.9272950876159</v>
      </c>
      <c r="V158" s="299">
        <f>V5*(BOM_average!U35*BOM_average!U29)/1000000</f>
        <v>1572.5602024293887</v>
      </c>
      <c r="W158" s="299">
        <f>W5*(BOM_average!V35*BOM_average!V29)/1000000</f>
        <v>1574.0586241409574</v>
      </c>
      <c r="X158" s="299">
        <f>X5*(BOM_average!W35*BOM_average!W29)/1000000</f>
        <v>1574.8714244779846</v>
      </c>
      <c r="Y158" s="299">
        <f>Y5*(BOM_average!X35*BOM_average!X29)/1000000</f>
        <v>1575.2927952068048</v>
      </c>
      <c r="Z158" s="299">
        <f>Z5*(BOM_average!Y35*BOM_average!Y29)/1000000</f>
        <v>1575.5020587988404</v>
      </c>
      <c r="AA158" s="299">
        <f>AA5*(BOM_average!Z35*BOM_average!Z29)/1000000</f>
        <v>1575.6018257704948</v>
      </c>
      <c r="AB158" s="299">
        <f>AB5*(BOM_average!AA35*BOM_average!AA29)/1000000</f>
        <v>1575.6475633109455</v>
      </c>
    </row>
    <row r="159" spans="2:28">
      <c r="B159" s="294" t="s">
        <v>443</v>
      </c>
      <c r="C159" s="299">
        <f>C5*(BOM_average!B35*BOM_average!B30)/1000000</f>
        <v>153.17252471606278</v>
      </c>
      <c r="D159" s="299">
        <f>D5*(BOM_average!C35*BOM_average!C30)/1000000</f>
        <v>280.02790618001086</v>
      </c>
      <c r="E159" s="299">
        <f>E5*(BOM_average!D35*BOM_average!D30)/1000000</f>
        <v>381.58843042838066</v>
      </c>
      <c r="F159" s="299">
        <f>F5*(BOM_average!E35*BOM_average!E30)/1000000</f>
        <v>459.24369263257319</v>
      </c>
      <c r="G159" s="299">
        <f>G5*(BOM_average!F35*BOM_average!F30)/1000000</f>
        <v>489.04542824531734</v>
      </c>
      <c r="H159" s="299">
        <f>H5*(BOM_average!G35*BOM_average!G30)/1000000</f>
        <v>536.27996858123595</v>
      </c>
      <c r="I159" s="299">
        <f>I5*(BOM_average!H35*BOM_average!H30)/1000000</f>
        <v>604.2888657143111</v>
      </c>
      <c r="J159" s="299">
        <f>J5*(BOM_average!I35*BOM_average!I30)/1000000</f>
        <v>651.61030587909954</v>
      </c>
      <c r="K159" s="299">
        <f>K5*(BOM_average!J35*BOM_average!J30)/1000000</f>
        <v>693.0441783369314</v>
      </c>
      <c r="L159" s="299">
        <f>L5*(BOM_average!K35*BOM_average!K30)/1000000</f>
        <v>722.97009405178608</v>
      </c>
      <c r="M159" s="299">
        <f>M5*(BOM_average!L35*BOM_average!L30)/1000000</f>
        <v>713.88371813048684</v>
      </c>
      <c r="N159" s="299">
        <f>N5*(BOM_average!M35*BOM_average!M30)/1000000</f>
        <v>714.24948994677663</v>
      </c>
      <c r="O159" s="299">
        <f>O5*(BOM_average!N35*BOM_average!N30)/1000000</f>
        <v>714.74325021549316</v>
      </c>
      <c r="P159" s="299">
        <f>P5*(BOM_average!O35*BOM_average!O30)/1000000</f>
        <v>726.04086590682994</v>
      </c>
      <c r="Q159" s="299">
        <f>Q5*(BOM_average!P35*BOM_average!P30)/1000000</f>
        <v>734.89721619237173</v>
      </c>
      <c r="R159" s="299">
        <f>R5*(BOM_average!Q35*BOM_average!Q30)/1000000</f>
        <v>741.77014558478709</v>
      </c>
      <c r="S159" s="299">
        <f>S5*(BOM_average!R35*BOM_average!R30)/1000000</f>
        <v>746.71390796923379</v>
      </c>
      <c r="T159" s="299">
        <f>T5*(BOM_average!S35*BOM_average!S30)/1000000</f>
        <v>750.03926227661748</v>
      </c>
      <c r="U159" s="299">
        <f>U5*(BOM_average!T35*BOM_average!T30)/1000000</f>
        <v>752.14483770456695</v>
      </c>
      <c r="V159" s="299">
        <f>V5*(BOM_average!U35*BOM_average!U30)/1000000</f>
        <v>753.40625132000355</v>
      </c>
      <c r="W159" s="299">
        <f>W5*(BOM_average!V35*BOM_average!V30)/1000000</f>
        <v>754.12413816647552</v>
      </c>
      <c r="X159" s="299">
        <f>X5*(BOM_average!W35*BOM_average!W30)/1000000</f>
        <v>754.51354701330081</v>
      </c>
      <c r="Y159" s="299">
        <f>Y5*(BOM_average!X35*BOM_average!X30)/1000000</f>
        <v>754.71542376226466</v>
      </c>
      <c r="Z159" s="299">
        <f>Z5*(BOM_average!Y35*BOM_average!Y30)/1000000</f>
        <v>754.81568097223965</v>
      </c>
      <c r="AA159" s="299">
        <f>AA5*(BOM_average!Z35*BOM_average!Z30)/1000000</f>
        <v>754.86347886258659</v>
      </c>
      <c r="AB159" s="299">
        <f>AB5*(BOM_average!AA35*BOM_average!AA30)/1000000</f>
        <v>754.88539150468591</v>
      </c>
    </row>
    <row r="160" spans="2:28">
      <c r="B160" s="294" t="s">
        <v>445</v>
      </c>
      <c r="C160" s="299">
        <f>C5*(BOM_average!B35*BOM_average!B31)/1000000</f>
        <v>199.29388847133947</v>
      </c>
      <c r="D160" s="299">
        <f>D5*(BOM_average!C35*BOM_average!C31)/1000000</f>
        <v>364.34635001644904</v>
      </c>
      <c r="E160" s="299">
        <f>E5*(BOM_average!D35*BOM_average!D31)/1000000</f>
        <v>496.48748844950131</v>
      </c>
      <c r="F160" s="299">
        <f>F5*(BOM_average!E35*BOM_average!E31)/1000000</f>
        <v>597.52531617757052</v>
      </c>
      <c r="G160" s="299">
        <f>G5*(BOM_average!F35*BOM_average!F31)/1000000</f>
        <v>636.30057162542789</v>
      </c>
      <c r="H160" s="299">
        <f>H5*(BOM_average!G35*BOM_average!G31)/1000000</f>
        <v>697.75777637642045</v>
      </c>
      <c r="I160" s="299">
        <f>I5*(BOM_average!H35*BOM_average!H31)/1000000</f>
        <v>786.24464819251546</v>
      </c>
      <c r="J160" s="299">
        <f>J5*(BOM_average!I35*BOM_average!I31)/1000000</f>
        <v>847.81491894431372</v>
      </c>
      <c r="K160" s="299">
        <f>K5*(BOM_average!J35*BOM_average!J31)/1000000</f>
        <v>901.72483243469901</v>
      </c>
      <c r="L160" s="299">
        <f>L5*(BOM_average!K35*BOM_average!K31)/1000000</f>
        <v>940.66165951863309</v>
      </c>
      <c r="M160" s="299">
        <f>M5*(BOM_average!L35*BOM_average!L31)/1000000</f>
        <v>928.8393095715727</v>
      </c>
      <c r="N160" s="299">
        <f>N5*(BOM_average!M35*BOM_average!M31)/1000000</f>
        <v>929.31521794806986</v>
      </c>
      <c r="O160" s="299">
        <f>O5*(BOM_average!N35*BOM_average!N31)/1000000</f>
        <v>929.95765303300163</v>
      </c>
      <c r="P160" s="299">
        <f>P5*(BOM_average!O35*BOM_average!O31)/1000000</f>
        <v>944.65706316386581</v>
      </c>
      <c r="Q160" s="299">
        <f>Q5*(BOM_average!P35*BOM_average!P31)/1000000</f>
        <v>956.18012507945218</v>
      </c>
      <c r="R160" s="299">
        <f>R5*(BOM_average!Q35*BOM_average!Q31)/1000000</f>
        <v>965.12254361268799</v>
      </c>
      <c r="S160" s="299">
        <f>S5*(BOM_average!R35*BOM_average!R31)/1000000</f>
        <v>971.55490888903955</v>
      </c>
      <c r="T160" s="299">
        <f>T5*(BOM_average!S35*BOM_average!S31)/1000000</f>
        <v>975.88155161881036</v>
      </c>
      <c r="U160" s="299">
        <f>U5*(BOM_average!T35*BOM_average!T31)/1000000</f>
        <v>978.62113115687464</v>
      </c>
      <c r="V160" s="299">
        <f>V5*(BOM_average!U35*BOM_average!U31)/1000000</f>
        <v>980.26236560709378</v>
      </c>
      <c r="W160" s="299">
        <f>W5*(BOM_average!V35*BOM_average!V31)/1000000</f>
        <v>981.19641341613146</v>
      </c>
      <c r="X160" s="299">
        <f>X5*(BOM_average!W35*BOM_average!W31)/1000000</f>
        <v>981.70307610536258</v>
      </c>
      <c r="Y160" s="299">
        <f>Y5*(BOM_average!X35*BOM_average!X31)/1000000</f>
        <v>981.96573941503607</v>
      </c>
      <c r="Z160" s="299">
        <f>Z5*(BOM_average!Y35*BOM_average!Y31)/1000000</f>
        <v>982.09618480176732</v>
      </c>
      <c r="AA160" s="299">
        <f>AA5*(BOM_average!Z35*BOM_average!Z31)/1000000</f>
        <v>982.15837498532437</v>
      </c>
      <c r="AB160" s="299">
        <f>AB5*(BOM_average!AA35*BOM_average!AA31)/1000000</f>
        <v>982.18688568369373</v>
      </c>
    </row>
    <row r="161" spans="2:28">
      <c r="B161" s="294" t="s">
        <v>6915</v>
      </c>
      <c r="C161" s="299">
        <f>C5*(BOM_average!B35*BOM_average!B32)/1000000</f>
        <v>58.973834696251373</v>
      </c>
      <c r="D161" s="299">
        <f>D5*(BOM_average!C35*BOM_average!C32)/1000000</f>
        <v>107.81515470878398</v>
      </c>
      <c r="E161" s="299">
        <f>E5*(BOM_average!D35*BOM_average!D32)/1000000</f>
        <v>146.91755626409304</v>
      </c>
      <c r="F161" s="299">
        <f>F5*(BOM_average!E35*BOM_average!E32)/1000000</f>
        <v>176.81605539122697</v>
      </c>
      <c r="G161" s="299">
        <f>G5*(BOM_average!F35*BOM_average!F32)/1000000</f>
        <v>188.29019302097029</v>
      </c>
      <c r="H161" s="299">
        <f>H5*(BOM_average!G35*BOM_average!G32)/1000000</f>
        <v>206.47623506008648</v>
      </c>
      <c r="I161" s="299">
        <f>I5*(BOM_average!H35*BOM_average!H32)/1000000</f>
        <v>232.6607316911572</v>
      </c>
      <c r="J161" s="299">
        <f>J5*(BOM_average!I35*BOM_average!I32)/1000000</f>
        <v>250.88023153318159</v>
      </c>
      <c r="K161" s="299">
        <f>K5*(BOM_average!J35*BOM_average!J32)/1000000</f>
        <v>266.83292507063749</v>
      </c>
      <c r="L161" s="299">
        <f>L5*(BOM_average!K35*BOM_average!K32)/1000000</f>
        <v>278.35487399570286</v>
      </c>
      <c r="M161" s="299">
        <f>M5*(BOM_average!L35*BOM_average!L32)/1000000</f>
        <v>274.85647614292856</v>
      </c>
      <c r="N161" s="299">
        <f>N5*(BOM_average!M35*BOM_average!M32)/1000000</f>
        <v>274.99730405361549</v>
      </c>
      <c r="O161" s="299">
        <f>O5*(BOM_average!N35*BOM_average!N32)/1000000</f>
        <v>275.18740953448327</v>
      </c>
      <c r="P161" s="299">
        <f>P5*(BOM_average!O35*BOM_average!O32)/1000000</f>
        <v>279.53716952882775</v>
      </c>
      <c r="Q161" s="299">
        <f>Q5*(BOM_average!P35*BOM_average!P32)/1000000</f>
        <v>282.94700388861139</v>
      </c>
      <c r="R161" s="299">
        <f>R5*(BOM_average!Q35*BOM_average!Q32)/1000000</f>
        <v>285.59318996290023</v>
      </c>
      <c r="S161" s="299">
        <f>S5*(BOM_average!R35*BOM_average!R32)/1000000</f>
        <v>287.49661635205422</v>
      </c>
      <c r="T161" s="299">
        <f>T5*(BOM_average!S35*BOM_average!S32)/1000000</f>
        <v>288.77693013935811</v>
      </c>
      <c r="U161" s="299">
        <f>U5*(BOM_average!T35*BOM_average!T32)/1000000</f>
        <v>289.58760984486383</v>
      </c>
      <c r="V161" s="299">
        <f>V5*(BOM_average!U35*BOM_average!U32)/1000000</f>
        <v>290.07327395582791</v>
      </c>
      <c r="W161" s="299">
        <f>W5*(BOM_average!V35*BOM_average!V32)/1000000</f>
        <v>290.34967169943712</v>
      </c>
      <c r="X161" s="299">
        <f>X5*(BOM_average!W35*BOM_average!W32)/1000000</f>
        <v>290.49960023919647</v>
      </c>
      <c r="Y161" s="299">
        <f>Y5*(BOM_average!X35*BOM_average!X32)/1000000</f>
        <v>290.57732596738748</v>
      </c>
      <c r="Z161" s="299">
        <f>Z5*(BOM_average!Y35*BOM_average!Y32)/1000000</f>
        <v>290.61592657241852</v>
      </c>
      <c r="AA161" s="299">
        <f>AA5*(BOM_average!Z35*BOM_average!Z32)/1000000</f>
        <v>290.6343295130855</v>
      </c>
      <c r="AB161" s="299">
        <f>AB5*(BOM_average!AA35*BOM_average!AA32)/1000000</f>
        <v>290.64276622544838</v>
      </c>
    </row>
    <row r="162" spans="2:28" ht="17" thickBot="1">
      <c r="B162" s="297" t="s">
        <v>447</v>
      </c>
      <c r="C162" s="300">
        <f>C5*(BOM_average!B35*BOM_average!B33)/1000000</f>
        <v>94.721145415139233</v>
      </c>
      <c r="D162" s="300">
        <f>D5*(BOM_average!C35*BOM_average!C33)/1000000</f>
        <v>173.16789725012748</v>
      </c>
      <c r="E162" s="300">
        <f>E5*(BOM_average!D35*BOM_average!D33)/1000000</f>
        <v>235.97243222531418</v>
      </c>
      <c r="F162" s="300">
        <f>F5*(BOM_average!E35*BOM_average!E33)/1000000</f>
        <v>283.99406924624344</v>
      </c>
      <c r="G162" s="300">
        <f>G5*(BOM_average!F35*BOM_average!F33)/1000000</f>
        <v>302.42331781958268</v>
      </c>
      <c r="H162" s="300">
        <f>H5*(BOM_average!G35*BOM_average!G33)/1000000</f>
        <v>331.632928172807</v>
      </c>
      <c r="I162" s="300">
        <f>I5*(BOM_average!H35*BOM_average!H33)/1000000</f>
        <v>373.68929988050479</v>
      </c>
      <c r="J162" s="300">
        <f>J5*(BOM_average!I35*BOM_average!I33)/1000000</f>
        <v>402.95264866588047</v>
      </c>
      <c r="K162" s="300">
        <f>K5*(BOM_average!J35*BOM_average!J33)/1000000</f>
        <v>428.57515417374361</v>
      </c>
      <c r="L162" s="300">
        <f>L5*(BOM_average!K35*BOM_average!K33)/1000000</f>
        <v>447.08119511915805</v>
      </c>
      <c r="M162" s="300">
        <f>M5*(BOM_average!L35*BOM_average!L33)/1000000</f>
        <v>441.46222437663459</v>
      </c>
      <c r="N162" s="300">
        <f>N5*(BOM_average!M35*BOM_average!M33)/1000000</f>
        <v>441.6884158914886</v>
      </c>
      <c r="O162" s="300">
        <f>O5*(BOM_average!N35*BOM_average!N33)/1000000</f>
        <v>441.99375484375838</v>
      </c>
      <c r="P162" s="300">
        <f>P5*(BOM_average!O35*BOM_average!O33)/1000000</f>
        <v>448.98014552137607</v>
      </c>
      <c r="Q162" s="300">
        <f>Q5*(BOM_average!P35*BOM_average!P33)/1000000</f>
        <v>454.456869527847</v>
      </c>
      <c r="R162" s="300">
        <f>R5*(BOM_average!Q35*BOM_average!Q33)/1000000</f>
        <v>458.70705568632252</v>
      </c>
      <c r="S162" s="300">
        <f>S5*(BOM_average!R35*BOM_average!R33)/1000000</f>
        <v>461.76425433590492</v>
      </c>
      <c r="T162" s="300">
        <f>T5*(BOM_average!S35*BOM_average!S33)/1000000</f>
        <v>463.82063729029198</v>
      </c>
      <c r="U162" s="300">
        <f>U5*(BOM_average!T35*BOM_average!T33)/1000000</f>
        <v>465.12271490938883</v>
      </c>
      <c r="V162" s="300">
        <f>V5*(BOM_average!U35*BOM_average!U33)/1000000</f>
        <v>465.90276696322741</v>
      </c>
      <c r="W162" s="300">
        <f>W5*(BOM_average!V35*BOM_average!V33)/1000000</f>
        <v>466.3467047027296</v>
      </c>
      <c r="X162" s="300">
        <f>X5*(BOM_average!W35*BOM_average!W33)/1000000</f>
        <v>466.5875132424755</v>
      </c>
      <c r="Y162" s="300">
        <f>Y5*(BOM_average!X35*BOM_average!X33)/1000000</f>
        <v>466.71235284363758</v>
      </c>
      <c r="Z162" s="300">
        <f>Z5*(BOM_average!Y35*BOM_average!Y33)/1000000</f>
        <v>466.77435141539559</v>
      </c>
      <c r="AA162" s="300">
        <f>AA5*(BOM_average!Z35*BOM_average!Z33)/1000000</f>
        <v>466.80390939865975</v>
      </c>
      <c r="AB162" s="300">
        <f>AB5*(BOM_average!AA35*BOM_average!AA33)/1000000</f>
        <v>466.81746007011714</v>
      </c>
    </row>
    <row r="163" spans="2:28">
      <c r="B163" s="296" t="s">
        <v>7756</v>
      </c>
      <c r="C163" s="301">
        <f>C5*(BOM_average!B35)/1000000</f>
        <v>2284.3168504933333</v>
      </c>
      <c r="D163" s="301">
        <f>D5*(BOM_average!C35)/1000000</f>
        <v>4176.1566957333334</v>
      </c>
      <c r="E163" s="301">
        <f>E5*(BOM_average!D35)/1000000</f>
        <v>5690.765254386667</v>
      </c>
      <c r="F163" s="301">
        <f>F5*(BOM_average!E35)/1000000</f>
        <v>6848.8660581133336</v>
      </c>
      <c r="G163" s="301">
        <f>G5*(BOM_average!F35)/1000000</f>
        <v>7293.3100402200007</v>
      </c>
      <c r="H163" s="301">
        <f>H5*(BOM_average!G35)/1000000</f>
        <v>7997.7356975933353</v>
      </c>
      <c r="I163" s="301">
        <f>I5*(BOM_average!H35)/1000000</f>
        <v>9011.9767959400033</v>
      </c>
      <c r="J163" s="301">
        <f>J5*(BOM_average!I35)/1000000</f>
        <v>9717.6984216585752</v>
      </c>
      <c r="K163" s="301">
        <f>K5*(BOM_average!J35)/1000000</f>
        <v>10335.616636508574</v>
      </c>
      <c r="L163" s="301">
        <f>L5*(BOM_average!K35)/1000000</f>
        <v>10781.912561059049</v>
      </c>
      <c r="M163" s="301">
        <f>M5*(BOM_average!L35)/1000000</f>
        <v>10646.404174908097</v>
      </c>
      <c r="N163" s="301">
        <f>N5*(BOM_average!M35)/1000000</f>
        <v>10651.859061317622</v>
      </c>
      <c r="O163" s="301">
        <f>O5*(BOM_average!N35)/1000000</f>
        <v>10659.222685466433</v>
      </c>
      <c r="P163" s="301">
        <f>P5*(BOM_average!O35)/1000000</f>
        <v>10827.708084149765</v>
      </c>
      <c r="Q163" s="301">
        <f>Q5*(BOM_average!P35)/1000000</f>
        <v>10959.786015414764</v>
      </c>
      <c r="R163" s="301">
        <f>R5*(BOM_average!Q35)/1000000</f>
        <v>11062.28447884643</v>
      </c>
      <c r="S163" s="301">
        <f>S5*(BOM_average!R35)/1000000</f>
        <v>11136.012582111429</v>
      </c>
      <c r="T163" s="301">
        <f>T5*(BOM_average!S35)/1000000</f>
        <v>11185.604784709763</v>
      </c>
      <c r="U163" s="301">
        <f>U5*(BOM_average!T35)/1000000</f>
        <v>11217.005986974762</v>
      </c>
      <c r="V163" s="301">
        <f>V5*(BOM_average!U35)/1000000</f>
        <v>11235.817901073095</v>
      </c>
      <c r="W163" s="301">
        <f>W5*(BOM_average!V35)/1000000</f>
        <v>11246.524005338095</v>
      </c>
      <c r="X163" s="301">
        <f>X5*(BOM_average!W35)/1000000</f>
        <v>11252.331399269762</v>
      </c>
      <c r="Y163" s="301">
        <f>Y5*(BOM_average!X35)/1000000</f>
        <v>11255.342059701428</v>
      </c>
      <c r="Z163" s="301">
        <f>Z5*(BOM_average!Y35)/1000000</f>
        <v>11256.837231466427</v>
      </c>
      <c r="AA163" s="301">
        <f>AA5*(BOM_average!Z35)/1000000</f>
        <v>11257.550058564761</v>
      </c>
      <c r="AB163" s="301">
        <f>AB5*(BOM_average!AA35)/1000000</f>
        <v>11257.876849663093</v>
      </c>
    </row>
    <row r="164" spans="2:28">
      <c r="B164" s="295" t="s">
        <v>7757</v>
      </c>
      <c r="C164" s="299">
        <f>C5*(BOM_average!B36)/1000000</f>
        <v>3038.6202445279996</v>
      </c>
      <c r="D164" s="299">
        <f>D5*(BOM_average!C36)/1000000</f>
        <v>5555.1638019199991</v>
      </c>
      <c r="E164" s="299">
        <f>E5*(BOM_average!D36)/1000000</f>
        <v>7569.9106737759994</v>
      </c>
      <c r="F164" s="299">
        <f>F5*(BOM_average!E36)/1000000</f>
        <v>9110.4275012239996</v>
      </c>
      <c r="G164" s="299">
        <f>G5*(BOM_average!F36)/1000000</f>
        <v>9701.6311607759999</v>
      </c>
      <c r="H164" s="299">
        <f>H5*(BOM_average!G36)/1000000</f>
        <v>10638.664945208</v>
      </c>
      <c r="I164" s="299">
        <f>I5*(BOM_average!H36)/1000000</f>
        <v>11987.818208952</v>
      </c>
      <c r="J164" s="299">
        <f>J5*(BOM_average!I36)/1000000</f>
        <v>12926.575902941146</v>
      </c>
      <c r="K164" s="299">
        <f>K5*(BOM_average!J36)/1000000</f>
        <v>13748.536655321144</v>
      </c>
      <c r="L164" s="299">
        <f>L5*(BOM_average!K36)/1000000</f>
        <v>14342.203786523429</v>
      </c>
      <c r="M164" s="299">
        <f>M5*(BOM_average!L36)/1000000</f>
        <v>14161.949227978857</v>
      </c>
      <c r="N164" s="299">
        <f>N5*(BOM_average!M36)/1000000</f>
        <v>14169.205370344571</v>
      </c>
      <c r="O164" s="299">
        <f>O5*(BOM_average!N36)/1000000</f>
        <v>14179.000534008857</v>
      </c>
      <c r="P164" s="299">
        <f>P5*(BOM_average!O36)/1000000</f>
        <v>14403.121431788857</v>
      </c>
      <c r="Q164" s="299">
        <f>Q5*(BOM_average!P36)/1000000</f>
        <v>14578.812766250856</v>
      </c>
      <c r="R164" s="299">
        <f>R5*(BOM_average!Q36)/1000000</f>
        <v>14715.157208112856</v>
      </c>
      <c r="S164" s="299">
        <f>S5*(BOM_average!R36)/1000000</f>
        <v>14813.231040174856</v>
      </c>
      <c r="T164" s="299">
        <f>T5*(BOM_average!S36)/1000000</f>
        <v>14879.199065036855</v>
      </c>
      <c r="U164" s="299">
        <f>U5*(BOM_average!T36)/1000000</f>
        <v>14920.969246298855</v>
      </c>
      <c r="V164" s="299">
        <f>V5*(BOM_average!U36)/1000000</f>
        <v>14945.993035360854</v>
      </c>
      <c r="W164" s="299">
        <f>W5*(BOM_average!V36)/1000000</f>
        <v>14960.234398222854</v>
      </c>
      <c r="X164" s="299">
        <f>X5*(BOM_average!W36)/1000000</f>
        <v>14967.959449484853</v>
      </c>
      <c r="Y164" s="299">
        <f>Y5*(BOM_average!X36)/1000000</f>
        <v>14971.964258946853</v>
      </c>
      <c r="Z164" s="299">
        <f>Z5*(BOM_average!Y36)/1000000</f>
        <v>14973.953150808853</v>
      </c>
      <c r="AA164" s="299">
        <f>AA5*(BOM_average!Z36)/1000000</f>
        <v>14974.901360270853</v>
      </c>
      <c r="AB164" s="299">
        <f>AB5*(BOM_average!AA36)/1000000</f>
        <v>14975.336060932852</v>
      </c>
    </row>
    <row r="165" spans="2:28">
      <c r="B165" s="295" t="s">
        <v>7758</v>
      </c>
      <c r="C165" s="299">
        <f>C5*(BOM_average!B37)/1000000</f>
        <v>1541.280124032</v>
      </c>
      <c r="D165" s="299">
        <f>D5*(BOM_average!C37)/1000000</f>
        <v>2817.7471564799998</v>
      </c>
      <c r="E165" s="299">
        <f>E5*(BOM_average!D37)/1000000</f>
        <v>3839.6877277439999</v>
      </c>
      <c r="F165" s="299">
        <f>F5*(BOM_average!E37)/1000000</f>
        <v>4621.0844722559996</v>
      </c>
      <c r="G165" s="299">
        <f>G5*(BOM_average!F37)/1000000</f>
        <v>4920.9608557439997</v>
      </c>
      <c r="H165" s="299">
        <f>H5*(BOM_average!G37)/1000000</f>
        <v>5396.2527419520002</v>
      </c>
      <c r="I165" s="299">
        <f>I5*(BOM_average!H37)/1000000</f>
        <v>6080.5840970880008</v>
      </c>
      <c r="J165" s="299">
        <f>J5*(BOM_average!I37)/1000000</f>
        <v>6556.7504023817155</v>
      </c>
      <c r="K165" s="299">
        <f>K5*(BOM_average!J37)/1000000</f>
        <v>6973.6737651017147</v>
      </c>
      <c r="L165" s="299">
        <f>L5*(BOM_average!K37)/1000000</f>
        <v>7274.7996959451439</v>
      </c>
      <c r="M165" s="299">
        <f>M5*(BOM_average!L37)/1000000</f>
        <v>7183.3691300982864</v>
      </c>
      <c r="N165" s="299">
        <f>N5*(BOM_average!M37)/1000000</f>
        <v>7187.0496650468576</v>
      </c>
      <c r="O165" s="299">
        <f>O5*(BOM_average!N37)/1000000</f>
        <v>7192.0180684182869</v>
      </c>
      <c r="P165" s="299">
        <f>P5*(BOM_average!O37)/1000000</f>
        <v>7305.6989687382866</v>
      </c>
      <c r="Q165" s="299">
        <f>Q5*(BOM_average!P37)/1000000</f>
        <v>7394.8149292662856</v>
      </c>
      <c r="R165" s="299">
        <f>R5*(BOM_average!Q37)/1000000</f>
        <v>7463.9729553942861</v>
      </c>
      <c r="S165" s="299">
        <f>S5*(BOM_average!R37)/1000000</f>
        <v>7513.7189703222857</v>
      </c>
      <c r="T165" s="299">
        <f>T5*(BOM_average!S37)/1000000</f>
        <v>7547.1799484502862</v>
      </c>
      <c r="U165" s="299">
        <f>U5*(BOM_average!T37)/1000000</f>
        <v>7568.3670481782856</v>
      </c>
      <c r="V165" s="299">
        <f>V5*(BOM_average!U37)/1000000</f>
        <v>7581.0598711062848</v>
      </c>
      <c r="W165" s="299">
        <f>W5*(BOM_average!V37)/1000000</f>
        <v>7588.2835212342852</v>
      </c>
      <c r="X165" s="299">
        <f>X5*(BOM_average!W37)/1000000</f>
        <v>7592.2019009622854</v>
      </c>
      <c r="Y165" s="299">
        <f>Y5*(BOM_average!X37)/1000000</f>
        <v>7594.2332614902853</v>
      </c>
      <c r="Z165" s="299">
        <f>Z5*(BOM_average!Y37)/1000000</f>
        <v>7595.2420876182841</v>
      </c>
      <c r="AA165" s="299">
        <f>AA5*(BOM_average!Z37)/1000000</f>
        <v>7595.7230481462839</v>
      </c>
      <c r="AB165" s="299">
        <f>AB5*(BOM_average!AA37)/1000000</f>
        <v>7595.9435414742838</v>
      </c>
    </row>
    <row r="167" spans="2:28">
      <c r="B167" s="291" t="s">
        <v>7796</v>
      </c>
    </row>
    <row r="168" spans="2:28">
      <c r="B168" s="294" t="s">
        <v>437</v>
      </c>
      <c r="C168" s="299">
        <f>C67*(BOM_average!B35*BOM_average!B24)/1000000</f>
        <v>0</v>
      </c>
      <c r="D168" s="299">
        <f>D67*(BOM_average!C35*BOM_average!C24)/1000000</f>
        <v>26.738136446240322</v>
      </c>
      <c r="E168" s="299">
        <f>E67*(BOM_average!D35*BOM_average!D24)/1000000</f>
        <v>68.651071167284655</v>
      </c>
      <c r="F168" s="299">
        <f>F67*(BOM_average!E35*BOM_average!E24)/1000000</f>
        <v>110.40568883573575</v>
      </c>
      <c r="G168" s="299">
        <f>G67*(BOM_average!F35*BOM_average!F24)/1000000</f>
        <v>146.42634876696329</v>
      </c>
      <c r="H168" s="299">
        <f>H67*(BOM_average!G35*BOM_average!G24)/1000000</f>
        <v>170.1625878075703</v>
      </c>
      <c r="I168" s="299">
        <f>I67*(BOM_average!H35*BOM_average!H24)/1000000</f>
        <v>189.04065165642206</v>
      </c>
      <c r="J168" s="299">
        <f>J67*(BOM_average!I35*BOM_average!I24)/1000000</f>
        <v>210.66088004467224</v>
      </c>
      <c r="K168" s="299">
        <f>K67*(BOM_average!J35*BOM_average!J24)/1000000</f>
        <v>231.02666502706995</v>
      </c>
      <c r="L168" s="299">
        <f>L67*(BOM_average!K35*BOM_average!K24)/1000000</f>
        <v>248.73951483492763</v>
      </c>
      <c r="M168" s="299">
        <f>M67*(BOM_average!L35*BOM_average!L24)/1000000</f>
        <v>263.14592614685881</v>
      </c>
      <c r="N168" s="299">
        <f>N67*(BOM_average!M35*BOM_average!M24)/1000000</f>
        <v>268.75225319047337</v>
      </c>
      <c r="O168" s="299">
        <f>O67*(BOM_average!N35*BOM_average!N24)/1000000</f>
        <v>270.20976848218316</v>
      </c>
      <c r="P168" s="299">
        <f>P67*(BOM_average!O35*BOM_average!O24)/1000000</f>
        <v>270.67956742831956</v>
      </c>
      <c r="Q168" s="299">
        <f>Q67*(BOM_average!P35*BOM_average!P24)/1000000</f>
        <v>272.68036074672602</v>
      </c>
      <c r="R168" s="299">
        <f>R67*(BOM_average!Q35*BOM_average!Q24)/1000000</f>
        <v>275.60133105600386</v>
      </c>
      <c r="S168" s="299">
        <f>S67*(BOM_average!R35*BOM_average!R24)/1000000</f>
        <v>278.44240204171507</v>
      </c>
      <c r="T168" s="299">
        <f>T67*(BOM_average!S35*BOM_average!S24)/1000000</f>
        <v>280.82582048697748</v>
      </c>
      <c r="U168" s="299">
        <f>U67*(BOM_average!T35*BOM_average!T24)/1000000</f>
        <v>282.62218045427375</v>
      </c>
      <c r="V168" s="299">
        <f>V67*(BOM_average!U35*BOM_average!U24)/1000000</f>
        <v>283.8653717502421</v>
      </c>
      <c r="W168" s="299">
        <f>W67*(BOM_average!V35*BOM_average!V24)/1000000</f>
        <v>284.66581988505055</v>
      </c>
      <c r="X168" s="299">
        <f>X67*(BOM_average!W35*BOM_average!W24)/1000000</f>
        <v>285.14956717617974</v>
      </c>
      <c r="Y168" s="299">
        <f>Y67*(BOM_average!X35*BOM_average!X24)/1000000</f>
        <v>285.42574440703771</v>
      </c>
      <c r="Z168" s="299">
        <f>Z67*(BOM_average!Y35*BOM_average!Y24)/1000000</f>
        <v>285.57539880326698</v>
      </c>
      <c r="AA168" s="299">
        <f>AA67*(BOM_average!Z35*BOM_average!Z24)/1000000</f>
        <v>285.65265528251916</v>
      </c>
      <c r="AB168" s="299">
        <f>AB67*(BOM_average!AA35*BOM_average!AA24)/1000000</f>
        <v>285.69077630960004</v>
      </c>
    </row>
    <row r="169" spans="2:28">
      <c r="B169" s="294" t="s">
        <v>217</v>
      </c>
      <c r="C169" s="299">
        <f>C67*(BOM_average!B35*BOM_average!B25)/1000000</f>
        <v>0</v>
      </c>
      <c r="D169" s="299">
        <f>D67*(BOM_average!C35*BOM_average!C24)/1000000</f>
        <v>26.738136446240322</v>
      </c>
      <c r="E169" s="299">
        <f>E67*(BOM_average!D35*BOM_average!D24)/1000000</f>
        <v>68.651071167284655</v>
      </c>
      <c r="F169" s="299">
        <f>F67*(BOM_average!E35*BOM_average!E24)/1000000</f>
        <v>110.40568883573575</v>
      </c>
      <c r="G169" s="299">
        <f>G67*(BOM_average!F35*BOM_average!F24)/1000000</f>
        <v>146.42634876696329</v>
      </c>
      <c r="H169" s="299">
        <f>H67*(BOM_average!G35*BOM_average!G24)/1000000</f>
        <v>170.1625878075703</v>
      </c>
      <c r="I169" s="299">
        <f>I67*(BOM_average!H35*BOM_average!H24)/1000000</f>
        <v>189.04065165642206</v>
      </c>
      <c r="J169" s="299">
        <f>J67*(BOM_average!I35*BOM_average!I24)/1000000</f>
        <v>210.66088004467224</v>
      </c>
      <c r="K169" s="299">
        <f>K67*(BOM_average!J35*BOM_average!J24)/1000000</f>
        <v>231.02666502706995</v>
      </c>
      <c r="L169" s="299">
        <f>L67*(BOM_average!K35*BOM_average!K24)/1000000</f>
        <v>248.73951483492763</v>
      </c>
      <c r="M169" s="299">
        <f>M67*(BOM_average!L35*BOM_average!L24)/1000000</f>
        <v>263.14592614685881</v>
      </c>
      <c r="N169" s="299">
        <f>N67*(BOM_average!M35*BOM_average!M24)/1000000</f>
        <v>268.75225319047337</v>
      </c>
      <c r="O169" s="299">
        <f>O67*(BOM_average!N35*BOM_average!N24)/1000000</f>
        <v>270.20976848218316</v>
      </c>
      <c r="P169" s="299">
        <f>P67*(BOM_average!O35*BOM_average!O24)/1000000</f>
        <v>270.67956742831956</v>
      </c>
      <c r="Q169" s="299">
        <f>Q67*(BOM_average!P35*BOM_average!P24)/1000000</f>
        <v>272.68036074672602</v>
      </c>
      <c r="R169" s="299">
        <f>R67*(BOM_average!Q35*BOM_average!Q24)/1000000</f>
        <v>275.60133105600386</v>
      </c>
      <c r="S169" s="299">
        <f>S67*(BOM_average!R35*BOM_average!R24)/1000000</f>
        <v>278.44240204171507</v>
      </c>
      <c r="T169" s="299">
        <f>T67*(BOM_average!S35*BOM_average!S24)/1000000</f>
        <v>280.82582048697748</v>
      </c>
      <c r="U169" s="299">
        <f>U67*(BOM_average!T35*BOM_average!T24)/1000000</f>
        <v>282.62218045427375</v>
      </c>
      <c r="V169" s="299">
        <f>V67*(BOM_average!U35*BOM_average!U24)/1000000</f>
        <v>283.8653717502421</v>
      </c>
      <c r="W169" s="299">
        <f>W67*(BOM_average!V35*BOM_average!V24)/1000000</f>
        <v>284.66581988505055</v>
      </c>
      <c r="X169" s="299">
        <f>X67*(BOM_average!W35*BOM_average!W24)/1000000</f>
        <v>285.14956717617974</v>
      </c>
      <c r="Y169" s="299">
        <f>Y67*(BOM_average!X35*BOM_average!X24)/1000000</f>
        <v>285.42574440703771</v>
      </c>
      <c r="Z169" s="299">
        <f>Z67*(BOM_average!Y35*BOM_average!Y24)/1000000</f>
        <v>285.57539880326698</v>
      </c>
      <c r="AA169" s="299">
        <f>AA67*(BOM_average!Z35*BOM_average!Z24)/1000000</f>
        <v>285.65265528251916</v>
      </c>
      <c r="AB169" s="299">
        <f>AB67*(BOM_average!AA35*BOM_average!AA24)/1000000</f>
        <v>285.69077630960004</v>
      </c>
    </row>
    <row r="170" spans="2:28">
      <c r="B170" s="294" t="s">
        <v>313</v>
      </c>
      <c r="C170" s="299">
        <f>C67*(BOM_average!B35*BOM_average!B26)/1000000</f>
        <v>0</v>
      </c>
      <c r="D170" s="299">
        <f>D67*(BOM_average!C35*BOM_average!C26)/1000000</f>
        <v>17.056897665830014</v>
      </c>
      <c r="E170" s="299">
        <f>E67*(BOM_average!D35*BOM_average!D26)/1000000</f>
        <v>43.79416261504791</v>
      </c>
      <c r="F170" s="299">
        <f>F67*(BOM_average!E35*BOM_average!E26)/1000000</f>
        <v>70.430433324436564</v>
      </c>
      <c r="G170" s="299">
        <f>G67*(BOM_average!F35*BOM_average!F26)/1000000</f>
        <v>93.408875054582026</v>
      </c>
      <c r="H170" s="299">
        <f>H67*(BOM_average!G35*BOM_average!G26)/1000000</f>
        <v>108.55079046448121</v>
      </c>
      <c r="I170" s="299">
        <f>I67*(BOM_average!H35*BOM_average!H26)/1000000</f>
        <v>120.59355955746885</v>
      </c>
      <c r="J170" s="299">
        <f>J67*(BOM_average!I35*BOM_average!I26)/1000000</f>
        <v>134.38562108994375</v>
      </c>
      <c r="K170" s="299">
        <f>K67*(BOM_average!J35*BOM_average!J26)/1000000</f>
        <v>147.37744312763482</v>
      </c>
      <c r="L170" s="299">
        <f>L67*(BOM_average!K35*BOM_average!K26)/1000000</f>
        <v>158.67689427488662</v>
      </c>
      <c r="M170" s="299">
        <f>M67*(BOM_average!L35*BOM_average!L26)/1000000</f>
        <v>167.86708911039909</v>
      </c>
      <c r="N170" s="299">
        <f>N67*(BOM_average!M35*BOM_average!M26)/1000000</f>
        <v>171.44349941320294</v>
      </c>
      <c r="O170" s="299">
        <f>O67*(BOM_average!N35*BOM_average!N26)/1000000</f>
        <v>172.37328332791446</v>
      </c>
      <c r="P170" s="299">
        <f>P67*(BOM_average!O35*BOM_average!O26)/1000000</f>
        <v>172.67297932819014</v>
      </c>
      <c r="Q170" s="299">
        <f>Q67*(BOM_average!P35*BOM_average!P26)/1000000</f>
        <v>173.94933330862375</v>
      </c>
      <c r="R170" s="299">
        <f>R67*(BOM_average!Q35*BOM_average!Q26)/1000000</f>
        <v>175.81269023143898</v>
      </c>
      <c r="S170" s="299">
        <f>S67*(BOM_average!R35*BOM_average!R26)/1000000</f>
        <v>177.6250774620176</v>
      </c>
      <c r="T170" s="299">
        <f>T67*(BOM_average!S35*BOM_average!S26)/1000000</f>
        <v>179.14551717543702</v>
      </c>
      <c r="U170" s="299">
        <f>U67*(BOM_average!T35*BOM_average!T26)/1000000</f>
        <v>180.29145822464864</v>
      </c>
      <c r="V170" s="299">
        <f>V67*(BOM_average!U35*BOM_average!U26)/1000000</f>
        <v>181.08451972902898</v>
      </c>
      <c r="W170" s="299">
        <f>W67*(BOM_average!V35*BOM_average!V26)/1000000</f>
        <v>181.59514476640521</v>
      </c>
      <c r="X170" s="299">
        <f>X67*(BOM_average!W35*BOM_average!W26)/1000000</f>
        <v>181.90373875003993</v>
      </c>
      <c r="Y170" s="299">
        <f>Y67*(BOM_average!X35*BOM_average!X26)/1000000</f>
        <v>182.0799188205489</v>
      </c>
      <c r="Z170" s="299">
        <f>Z67*(BOM_average!Y35*BOM_average!Y26)/1000000</f>
        <v>182.17538694439725</v>
      </c>
      <c r="AA170" s="299">
        <f>AA67*(BOM_average!Z35*BOM_average!Z26)/1000000</f>
        <v>182.22467070294474</v>
      </c>
      <c r="AB170" s="299">
        <f>AB67*(BOM_average!AA35*BOM_average!AA26)/1000000</f>
        <v>182.24898901918723</v>
      </c>
    </row>
    <row r="171" spans="2:28">
      <c r="B171" s="294" t="s">
        <v>6911</v>
      </c>
      <c r="C171" s="299">
        <f>C67*(BOM_average!B35*BOM_average!B27)/1000000</f>
        <v>0</v>
      </c>
      <c r="D171" s="299">
        <f>D67*(BOM_average!C35*BOM_average!C27)/1000000</f>
        <v>64.342057803278564</v>
      </c>
      <c r="E171" s="299">
        <f>E67*(BOM_average!D35*BOM_average!D27)/1000000</f>
        <v>165.20041320693906</v>
      </c>
      <c r="F171" s="299">
        <f>F67*(BOM_average!E35*BOM_average!E27)/1000000</f>
        <v>265.67779797079157</v>
      </c>
      <c r="G171" s="299">
        <f>G67*(BOM_average!F35*BOM_average!F27)/1000000</f>
        <v>352.35711416274592</v>
      </c>
      <c r="H171" s="299">
        <f>H67*(BOM_average!G35*BOM_average!G27)/1000000</f>
        <v>409.47547270855694</v>
      </c>
      <c r="I171" s="299">
        <f>I67*(BOM_average!H35*BOM_average!H27)/1000000</f>
        <v>454.90322635245747</v>
      </c>
      <c r="J171" s="299">
        <f>J67*(BOM_average!I35*BOM_average!I27)/1000000</f>
        <v>506.92966385208661</v>
      </c>
      <c r="K171" s="299">
        <f>K67*(BOM_average!J35*BOM_average!J27)/1000000</f>
        <v>555.93743659575614</v>
      </c>
      <c r="L171" s="299">
        <f>L67*(BOM_average!K35*BOM_average!K27)/1000000</f>
        <v>598.56124504588558</v>
      </c>
      <c r="M171" s="299">
        <f>M67*(BOM_average!L35*BOM_average!L27)/1000000</f>
        <v>633.2285133214358</v>
      </c>
      <c r="N171" s="299">
        <f>N67*(BOM_average!M35*BOM_average!M27)/1000000</f>
        <v>646.71945422637145</v>
      </c>
      <c r="O171" s="299">
        <f>O67*(BOM_average!N35*BOM_average!N27)/1000000</f>
        <v>650.22678665909007</v>
      </c>
      <c r="P171" s="299">
        <f>P67*(BOM_average!O35*BOM_average!O27)/1000000</f>
        <v>651.35730041082456</v>
      </c>
      <c r="Q171" s="299">
        <f>Q67*(BOM_average!P35*BOM_average!P27)/1000000</f>
        <v>656.1719650230782</v>
      </c>
      <c r="R171" s="299">
        <f>R67*(BOM_average!Q35*BOM_average!Q27)/1000000</f>
        <v>663.20092311292433</v>
      </c>
      <c r="S171" s="299">
        <f>S67*(BOM_average!R35*BOM_average!R27)/1000000</f>
        <v>670.03761324476613</v>
      </c>
      <c r="T171" s="299">
        <f>T67*(BOM_average!S35*BOM_average!S27)/1000000</f>
        <v>675.77301846579962</v>
      </c>
      <c r="U171" s="299">
        <f>U67*(BOM_average!T35*BOM_average!T27)/1000000</f>
        <v>680.09573920154207</v>
      </c>
      <c r="V171" s="299">
        <f>V67*(BOM_average!U35*BOM_average!U27)/1000000</f>
        <v>683.08732713013819</v>
      </c>
      <c r="W171" s="299">
        <f>W67*(BOM_average!V35*BOM_average!V27)/1000000</f>
        <v>685.01350774717275</v>
      </c>
      <c r="X171" s="299">
        <f>X67*(BOM_average!W35*BOM_average!W27)/1000000</f>
        <v>686.17758648656411</v>
      </c>
      <c r="Y171" s="299">
        <f>Y67*(BOM_average!X35*BOM_average!X27)/1000000</f>
        <v>686.84217324217229</v>
      </c>
      <c r="Z171" s="299">
        <f>Z67*(BOM_average!Y35*BOM_average!Y27)/1000000</f>
        <v>687.202298258067</v>
      </c>
      <c r="AA171" s="299">
        <f>AA67*(BOM_average!Z35*BOM_average!Z27)/1000000</f>
        <v>687.38820653419964</v>
      </c>
      <c r="AB171" s="299">
        <f>AB67*(BOM_average!AA35*BOM_average!AA27)/1000000</f>
        <v>687.47994012726019</v>
      </c>
    </row>
    <row r="172" spans="2:28">
      <c r="B172" s="294" t="s">
        <v>441</v>
      </c>
      <c r="C172" s="299">
        <f>C67*(BOM_average!B35*BOM_average!B28)/1000000</f>
        <v>0</v>
      </c>
      <c r="D172" s="299">
        <f>D67*(BOM_average!C35*BOM_average!C28)/1000000</f>
        <v>61.513461045196479</v>
      </c>
      <c r="E172" s="299">
        <f>E67*(BOM_average!D35*BOM_average!D28)/1000000</f>
        <v>157.93789520262439</v>
      </c>
      <c r="F172" s="299">
        <f>F67*(BOM_average!E35*BOM_average!E28)/1000000</f>
        <v>253.9981068994831</v>
      </c>
      <c r="G172" s="299">
        <f>G67*(BOM_average!F35*BOM_average!F28)/1000000</f>
        <v>336.86683883062693</v>
      </c>
      <c r="H172" s="299">
        <f>H67*(BOM_average!G35*BOM_average!G28)/1000000</f>
        <v>391.47416789858659</v>
      </c>
      <c r="I172" s="299">
        <f>I67*(BOM_average!H35*BOM_average!H28)/1000000</f>
        <v>434.90483284077101</v>
      </c>
      <c r="J172" s="299">
        <f>J67*(BOM_average!I35*BOM_average!I28)/1000000</f>
        <v>484.64409120018763</v>
      </c>
      <c r="K172" s="299">
        <f>K67*(BOM_average!J35*BOM_average!J28)/1000000</f>
        <v>531.49739093139306</v>
      </c>
      <c r="L172" s="299">
        <f>L67*(BOM_average!K35*BOM_average!K28)/1000000</f>
        <v>572.24737733548579</v>
      </c>
      <c r="M172" s="299">
        <f>M67*(BOM_average!L35*BOM_average!L28)/1000000</f>
        <v>605.39060789754558</v>
      </c>
      <c r="N172" s="299">
        <f>N67*(BOM_average!M35*BOM_average!M28)/1000000</f>
        <v>618.28846190084914</v>
      </c>
      <c r="O172" s="299">
        <f>O67*(BOM_average!N35*BOM_average!N28)/1000000</f>
        <v>621.64160546414985</v>
      </c>
      <c r="P172" s="299">
        <f>P67*(BOM_average!O35*BOM_average!O28)/1000000</f>
        <v>622.72241972472261</v>
      </c>
      <c r="Q172" s="299">
        <f>Q67*(BOM_average!P35*BOM_average!P28)/1000000</f>
        <v>627.32542270882152</v>
      </c>
      <c r="R172" s="299">
        <f>R67*(BOM_average!Q35*BOM_average!Q28)/1000000</f>
        <v>634.04537470305252</v>
      </c>
      <c r="S172" s="299">
        <f>S67*(BOM_average!R35*BOM_average!R28)/1000000</f>
        <v>640.5815111969913</v>
      </c>
      <c r="T172" s="299">
        <f>T67*(BOM_average!S35*BOM_average!S28)/1000000</f>
        <v>646.06477731697044</v>
      </c>
      <c r="U172" s="299">
        <f>U67*(BOM_average!T35*BOM_average!T28)/1000000</f>
        <v>650.19746319407352</v>
      </c>
      <c r="V172" s="299">
        <f>V67*(BOM_average!U35*BOM_average!U28)/1000000</f>
        <v>653.05753534270787</v>
      </c>
      <c r="W172" s="299">
        <f>W67*(BOM_average!V35*BOM_average!V28)/1000000</f>
        <v>654.89903747051096</v>
      </c>
      <c r="X172" s="299">
        <f>X67*(BOM_average!W35*BOM_average!W28)/1000000</f>
        <v>656.01194113933718</v>
      </c>
      <c r="Y172" s="299">
        <f>Y67*(BOM_average!X35*BOM_average!X28)/1000000</f>
        <v>656.64731142275639</v>
      </c>
      <c r="Z172" s="299">
        <f>Z67*(BOM_average!Y35*BOM_average!Y28)/1000000</f>
        <v>656.99160467188392</v>
      </c>
      <c r="AA172" s="299">
        <f>AA67*(BOM_average!Z35*BOM_average!Z28)/1000000</f>
        <v>657.1693400737704</v>
      </c>
      <c r="AB172" s="299">
        <f>AB67*(BOM_average!AA35*BOM_average!AA28)/1000000</f>
        <v>657.25704088714076</v>
      </c>
    </row>
    <row r="173" spans="2:28">
      <c r="B173" s="294" t="s">
        <v>6912</v>
      </c>
      <c r="C173" s="299">
        <f>C67*(BOM_average!B35*BOM_average!B29)/1000000</f>
        <v>0</v>
      </c>
      <c r="D173" s="299">
        <f>D67*(BOM_average!C35*BOM_average!C29)/1000000</f>
        <v>37.896311150706467</v>
      </c>
      <c r="E173" s="299">
        <f>E67*(BOM_average!D35*BOM_average!D29)/1000000</f>
        <v>97.300062740555333</v>
      </c>
      <c r="F173" s="299">
        <f>F67*(BOM_average!E35*BOM_average!E29)/1000000</f>
        <v>156.47942949724282</v>
      </c>
      <c r="G173" s="299">
        <f>G67*(BOM_average!F35*BOM_average!F29)/1000000</f>
        <v>207.5319828175594</v>
      </c>
      <c r="H173" s="299">
        <f>H67*(BOM_average!G35*BOM_average!G29)/1000000</f>
        <v>241.17366543964323</v>
      </c>
      <c r="I173" s="299">
        <f>I67*(BOM_average!H35*BOM_average!H29)/1000000</f>
        <v>267.92979270293961</v>
      </c>
      <c r="J173" s="299">
        <f>J67*(BOM_average!I35*BOM_average!I29)/1000000</f>
        <v>298.57242570011221</v>
      </c>
      <c r="K173" s="299">
        <f>K67*(BOM_average!J35*BOM_average!J29)/1000000</f>
        <v>327.43711962046393</v>
      </c>
      <c r="L173" s="299">
        <f>L67*(BOM_average!K35*BOM_average!K29)/1000000</f>
        <v>352.5417737549779</v>
      </c>
      <c r="M173" s="299">
        <f>M67*(BOM_average!L35*BOM_average!L29)/1000000</f>
        <v>372.96016928301657</v>
      </c>
      <c r="N173" s="299">
        <f>N67*(BOM_average!M35*BOM_average!M29)/1000000</f>
        <v>380.90609006491576</v>
      </c>
      <c r="O173" s="299">
        <f>O67*(BOM_average!N35*BOM_average!N29)/1000000</f>
        <v>382.97184558653191</v>
      </c>
      <c r="P173" s="299">
        <f>P67*(BOM_average!O35*BOM_average!O29)/1000000</f>
        <v>383.63769778894164</v>
      </c>
      <c r="Q173" s="299">
        <f>Q67*(BOM_average!P35*BOM_average!P29)/1000000</f>
        <v>386.47344837668493</v>
      </c>
      <c r="R173" s="299">
        <f>R67*(BOM_average!Q35*BOM_average!Q29)/1000000</f>
        <v>390.61337787120777</v>
      </c>
      <c r="S173" s="299">
        <f>S67*(BOM_average!R35*BOM_average!R29)/1000000</f>
        <v>394.64006500747212</v>
      </c>
      <c r="T173" s="299">
        <f>T67*(BOM_average!S35*BOM_average!S29)/1000000</f>
        <v>398.01811520126921</v>
      </c>
      <c r="U173" s="299">
        <f>U67*(BOM_average!T35*BOM_average!T29)/1000000</f>
        <v>400.56411972167427</v>
      </c>
      <c r="V173" s="299">
        <f>V67*(BOM_average!U35*BOM_average!U29)/1000000</f>
        <v>402.32611103571332</v>
      </c>
      <c r="W173" s="299">
        <f>W67*(BOM_average!V35*BOM_average!V29)/1000000</f>
        <v>403.46059666591771</v>
      </c>
      <c r="X173" s="299">
        <f>X67*(BOM_average!W35*BOM_average!W29)/1000000</f>
        <v>404.14621804045896</v>
      </c>
      <c r="Y173" s="299">
        <f>Y67*(BOM_average!X35*BOM_average!X29)/1000000</f>
        <v>404.53764764866588</v>
      </c>
      <c r="Z173" s="299">
        <f>Z67*(BOM_average!Y35*BOM_average!Y29)/1000000</f>
        <v>404.74975478545076</v>
      </c>
      <c r="AA173" s="299">
        <f>AA67*(BOM_average!Z35*BOM_average!Z29)/1000000</f>
        <v>404.85925140583169</v>
      </c>
      <c r="AB173" s="299">
        <f>AB67*(BOM_average!AA35*BOM_average!AA29)/1000000</f>
        <v>404.91328083703553</v>
      </c>
    </row>
    <row r="174" spans="2:28">
      <c r="B174" s="294" t="s">
        <v>443</v>
      </c>
      <c r="C174" s="299">
        <f>C67*(BOM_average!B35*BOM_average!B30)/1000000</f>
        <v>0</v>
      </c>
      <c r="D174" s="299">
        <f>D67*(BOM_average!C35*BOM_average!C30)/1000000</f>
        <v>18.155945749359777</v>
      </c>
      <c r="E174" s="299">
        <f>E67*(BOM_average!D35*BOM_average!D30)/1000000</f>
        <v>46.61600580334828</v>
      </c>
      <c r="F174" s="299">
        <f>F67*(BOM_average!E35*BOM_average!E30)/1000000</f>
        <v>74.968564131333551</v>
      </c>
      <c r="G174" s="299">
        <f>G67*(BOM_average!F35*BOM_average!F30)/1000000</f>
        <v>99.427604082843047</v>
      </c>
      <c r="H174" s="299">
        <f>H67*(BOM_average!G35*BOM_average!G30)/1000000</f>
        <v>115.5451771673238</v>
      </c>
      <c r="I174" s="299">
        <f>I67*(BOM_average!H35*BOM_average!H30)/1000000</f>
        <v>128.36391282535416</v>
      </c>
      <c r="J174" s="299">
        <f>J67*(BOM_average!I35*BOM_average!I30)/1000000</f>
        <v>143.04465523592086</v>
      </c>
      <c r="K174" s="299">
        <f>K67*(BOM_average!J35*BOM_average!J30)/1000000</f>
        <v>156.87359533527959</v>
      </c>
      <c r="L174" s="299">
        <f>L67*(BOM_average!K35*BOM_average!K30)/1000000</f>
        <v>168.90111792738756</v>
      </c>
      <c r="M174" s="299">
        <f>M67*(BOM_average!L35*BOM_average!L30)/1000000</f>
        <v>178.68347589942809</v>
      </c>
      <c r="N174" s="299">
        <f>N67*(BOM_average!M35*BOM_average!M30)/1000000</f>
        <v>182.49032944966297</v>
      </c>
      <c r="O174" s="299">
        <f>O67*(BOM_average!N35*BOM_average!N30)/1000000</f>
        <v>183.48002327587074</v>
      </c>
      <c r="P174" s="299">
        <f>P67*(BOM_average!O35*BOM_average!O30)/1000000</f>
        <v>183.79902995744365</v>
      </c>
      <c r="Q174" s="299">
        <f>Q67*(BOM_average!P35*BOM_average!P30)/1000000</f>
        <v>185.15762482502942</v>
      </c>
      <c r="R174" s="299">
        <f>R67*(BOM_average!Q35*BOM_average!Q30)/1000000</f>
        <v>187.14104571815582</v>
      </c>
      <c r="S174" s="299">
        <f>S67*(BOM_average!R35*BOM_average!R30)/1000000</f>
        <v>189.07021272612457</v>
      </c>
      <c r="T174" s="299">
        <f>T67*(BOM_average!S35*BOM_average!S30)/1000000</f>
        <v>190.68862080318752</v>
      </c>
      <c r="U174" s="299">
        <f>U67*(BOM_average!T35*BOM_average!T30)/1000000</f>
        <v>191.90839968262171</v>
      </c>
      <c r="V174" s="299">
        <f>V67*(BOM_average!U35*BOM_average!U30)/1000000</f>
        <v>192.7525614951347</v>
      </c>
      <c r="W174" s="299">
        <f>W67*(BOM_average!V35*BOM_average!V30)/1000000</f>
        <v>193.29608826409927</v>
      </c>
      <c r="X174" s="299">
        <f>X67*(BOM_average!W35*BOM_average!W30)/1000000</f>
        <v>193.624566263746</v>
      </c>
      <c r="Y174" s="299">
        <f>Y67*(BOM_average!X35*BOM_average!X30)/1000000</f>
        <v>193.81209836160733</v>
      </c>
      <c r="Z174" s="299">
        <f>Z67*(BOM_average!Y35*BOM_average!Y30)/1000000</f>
        <v>193.91371790059628</v>
      </c>
      <c r="AA174" s="299">
        <f>AA67*(BOM_average!Z35*BOM_average!Z30)/1000000</f>
        <v>193.96617722022424</v>
      </c>
      <c r="AB174" s="299">
        <f>AB67*(BOM_average!AA35*BOM_average!AA30)/1000000</f>
        <v>193.99206246847186</v>
      </c>
    </row>
    <row r="175" spans="2:28">
      <c r="B175" s="294" t="s">
        <v>445</v>
      </c>
      <c r="C175" s="299">
        <f>C67*(BOM_average!B35*BOM_average!B31)/1000000</f>
        <v>0</v>
      </c>
      <c r="D175" s="299">
        <f>D67*(BOM_average!C35*BOM_average!C31)/1000000</f>
        <v>23.622833363698867</v>
      </c>
      <c r="E175" s="299">
        <f>E67*(BOM_average!D35*BOM_average!D31)/1000000</f>
        <v>60.652424961808833</v>
      </c>
      <c r="F175" s="299">
        <f>F67*(BOM_average!E35*BOM_average!E31)/1000000</f>
        <v>97.542145280573607</v>
      </c>
      <c r="G175" s="299">
        <f>G67*(BOM_average!F35*BOM_average!F31)/1000000</f>
        <v>129.3659804575947</v>
      </c>
      <c r="H175" s="299">
        <f>H67*(BOM_average!G35*BOM_average!G31)/1000000</f>
        <v>150.33667228814022</v>
      </c>
      <c r="I175" s="299">
        <f>I67*(BOM_average!H35*BOM_average!H31)/1000000</f>
        <v>167.01522269599403</v>
      </c>
      <c r="J175" s="299">
        <f>J67*(BOM_average!I35*BOM_average!I31)/1000000</f>
        <v>186.11644366281877</v>
      </c>
      <c r="K175" s="299">
        <f>K67*(BOM_average!J35*BOM_average!J31)/1000000</f>
        <v>204.10937843325033</v>
      </c>
      <c r="L175" s="299">
        <f>L67*(BOM_average!K35*BOM_average!K31)/1000000</f>
        <v>219.75847575342215</v>
      </c>
      <c r="M175" s="299">
        <f>M67*(BOM_average!L35*BOM_average!L31)/1000000</f>
        <v>232.48637302011849</v>
      </c>
      <c r="N175" s="299">
        <f>N67*(BOM_average!M35*BOM_average!M31)/1000000</f>
        <v>237.43949792469007</v>
      </c>
      <c r="O175" s="299">
        <f>O67*(BOM_average!N35*BOM_average!N31)/1000000</f>
        <v>238.72719577642067</v>
      </c>
      <c r="P175" s="299">
        <f>P67*(BOM_average!O35*BOM_average!O31)/1000000</f>
        <v>239.14225769523969</v>
      </c>
      <c r="Q175" s="299">
        <f>Q67*(BOM_average!P35*BOM_average!P31)/1000000</f>
        <v>240.90993538104061</v>
      </c>
      <c r="R175" s="299">
        <f>R67*(BOM_average!Q35*BOM_average!Q31)/1000000</f>
        <v>243.49057876339134</v>
      </c>
      <c r="S175" s="299">
        <f>S67*(BOM_average!R35*BOM_average!R31)/1000000</f>
        <v>246.00063202027542</v>
      </c>
      <c r="T175" s="299">
        <f>T67*(BOM_average!S35*BOM_average!S31)/1000000</f>
        <v>248.10635456685608</v>
      </c>
      <c r="U175" s="299">
        <f>U67*(BOM_average!T35*BOM_average!T31)/1000000</f>
        <v>249.69341775856284</v>
      </c>
      <c r="V175" s="299">
        <f>V67*(BOM_average!U35*BOM_average!U31)/1000000</f>
        <v>250.79176284640795</v>
      </c>
      <c r="W175" s="299">
        <f>W67*(BOM_average!V35*BOM_average!V31)/1000000</f>
        <v>251.49894948758927</v>
      </c>
      <c r="X175" s="299">
        <f>X67*(BOM_average!W35*BOM_average!W31)/1000000</f>
        <v>251.92633460739603</v>
      </c>
      <c r="Y175" s="299">
        <f>Y67*(BOM_average!X35*BOM_average!X31)/1000000</f>
        <v>252.17033398695349</v>
      </c>
      <c r="Z175" s="299">
        <f>Z67*(BOM_average!Y35*BOM_average!Y31)/1000000</f>
        <v>252.30255190989578</v>
      </c>
      <c r="AA175" s="299">
        <f>AA67*(BOM_average!Z35*BOM_average!Z31)/1000000</f>
        <v>252.37080711307004</v>
      </c>
      <c r="AB175" s="299">
        <f>AB67*(BOM_average!AA35*BOM_average!AA31)/1000000</f>
        <v>252.40448659825759</v>
      </c>
    </row>
    <row r="176" spans="2:28">
      <c r="B176" s="294" t="s">
        <v>6915</v>
      </c>
      <c r="C176" s="299">
        <f>C67*(BOM_average!B35*BOM_average!B32)/1000000</f>
        <v>0</v>
      </c>
      <c r="D176" s="299">
        <f>D67*(BOM_average!C35*BOM_average!C32)/1000000</f>
        <v>6.9903250949324267</v>
      </c>
      <c r="E176" s="299">
        <f>E67*(BOM_average!D35*BOM_average!D32)/1000000</f>
        <v>17.947896501296373</v>
      </c>
      <c r="F176" s="299">
        <f>F67*(BOM_average!E35*BOM_average!E32)/1000000</f>
        <v>28.86407804984719</v>
      </c>
      <c r="G176" s="299">
        <f>G67*(BOM_average!F35*BOM_average!F32)/1000000</f>
        <v>38.281193695118425</v>
      </c>
      <c r="H176" s="299">
        <f>H67*(BOM_average!G35*BOM_average!G32)/1000000</f>
        <v>44.48671320686438</v>
      </c>
      <c r="I176" s="299">
        <f>I67*(BOM_average!H35*BOM_average!H32)/1000000</f>
        <v>49.42212834814363</v>
      </c>
      <c r="J176" s="299">
        <f>J67*(BOM_average!I35*BOM_average!I32)/1000000</f>
        <v>55.074445418348681</v>
      </c>
      <c r="K176" s="299">
        <f>K67*(BOM_average!J35*BOM_average!J32)/1000000</f>
        <v>60.398805181666077</v>
      </c>
      <c r="L176" s="299">
        <f>L67*(BOM_average!K35*BOM_average!K32)/1000000</f>
        <v>65.029590829857597</v>
      </c>
      <c r="M176" s="299">
        <f>M67*(BOM_average!L35*BOM_average!L32)/1000000</f>
        <v>68.795952734853856</v>
      </c>
      <c r="N176" s="299">
        <f>N67*(BOM_average!M35*BOM_average!M32)/1000000</f>
        <v>70.261651314938973</v>
      </c>
      <c r="O176" s="299">
        <f>O67*(BOM_average!N35*BOM_average!N32)/1000000</f>
        <v>70.642699027084959</v>
      </c>
      <c r="P176" s="299">
        <f>P67*(BOM_average!O35*BOM_average!O32)/1000000</f>
        <v>70.765521624290002</v>
      </c>
      <c r="Q176" s="299">
        <f>Q67*(BOM_average!P35*BOM_average!P32)/1000000</f>
        <v>71.28860204807161</v>
      </c>
      <c r="R176" s="299">
        <f>R67*(BOM_average!Q35*BOM_average!Q32)/1000000</f>
        <v>72.052250333566391</v>
      </c>
      <c r="S176" s="299">
        <f>S67*(BOM_average!R35*BOM_average!R32)/1000000</f>
        <v>72.79501001870122</v>
      </c>
      <c r="T176" s="299">
        <f>T67*(BOM_average!S35*BOM_average!S32)/1000000</f>
        <v>73.418122620551429</v>
      </c>
      <c r="U176" s="299">
        <f>U67*(BOM_average!T35*BOM_average!T32)/1000000</f>
        <v>73.887756702349563</v>
      </c>
      <c r="V176" s="299">
        <f>V67*(BOM_average!U35*BOM_average!U32)/1000000</f>
        <v>74.21277229689116</v>
      </c>
      <c r="W176" s="299">
        <f>W67*(BOM_average!V35*BOM_average!V32)/1000000</f>
        <v>74.422038664246017</v>
      </c>
      <c r="X176" s="299">
        <f>X67*(BOM_average!W35*BOM_average!W32)/1000000</f>
        <v>74.548507868095939</v>
      </c>
      <c r="Y176" s="299">
        <f>Y67*(BOM_average!X35*BOM_average!X32)/1000000</f>
        <v>74.620710679664242</v>
      </c>
      <c r="Z176" s="299">
        <f>Z67*(BOM_average!Y35*BOM_average!Y32)/1000000</f>
        <v>74.659835802824247</v>
      </c>
      <c r="AA176" s="299">
        <f>AA67*(BOM_average!Z35*BOM_average!Z32)/1000000</f>
        <v>74.680033467188323</v>
      </c>
      <c r="AB176" s="299">
        <f>AB67*(BOM_average!AA35*BOM_average!AA32)/1000000</f>
        <v>74.689999695492389</v>
      </c>
    </row>
    <row r="177" spans="1:28">
      <c r="B177" s="294" t="s">
        <v>447</v>
      </c>
      <c r="C177" s="299">
        <f>C67*(BOM_average!B35*BOM_average!B33)/1000000</f>
        <v>0</v>
      </c>
      <c r="D177" s="299">
        <f>D67*(BOM_average!C35*BOM_average!C33)/1000000</f>
        <v>11.227548678605416</v>
      </c>
      <c r="E177" s="299">
        <f>E67*(BOM_average!D35*BOM_average!D33)/1000000</f>
        <v>28.827111602142857</v>
      </c>
      <c r="F177" s="299">
        <f>F67*(BOM_average!E35*BOM_average!E33)/1000000</f>
        <v>46.360195980392838</v>
      </c>
      <c r="G177" s="299">
        <f>G67*(BOM_average!F35*BOM_average!F33)/1000000</f>
        <v>61.485547503169407</v>
      </c>
      <c r="H177" s="299">
        <f>H67*(BOM_average!G35*BOM_average!G33)/1000000</f>
        <v>71.452576424996238</v>
      </c>
      <c r="I177" s="299">
        <f>I67*(BOM_average!H35*BOM_average!H33)/1000000</f>
        <v>79.379620302828172</v>
      </c>
      <c r="J177" s="299">
        <f>J67*(BOM_average!I35*BOM_average!I33)/1000000</f>
        <v>88.458120113751917</v>
      </c>
      <c r="K177" s="299">
        <f>K67*(BOM_average!J35*BOM_average!J33)/1000000</f>
        <v>97.009869512129796</v>
      </c>
      <c r="L177" s="299">
        <f>L67*(BOM_average!K35*BOM_average!K33)/1000000</f>
        <v>104.44763107245394</v>
      </c>
      <c r="M177" s="299">
        <f>M67*(BOM_average!L35*BOM_average!L33)/1000000</f>
        <v>110.49699373517844</v>
      </c>
      <c r="N177" s="299">
        <f>N67*(BOM_average!M35*BOM_average!M33)/1000000</f>
        <v>112.85113348298481</v>
      </c>
      <c r="O177" s="299">
        <f>O67*(BOM_average!N35*BOM_average!N33)/1000000</f>
        <v>113.46315533874824</v>
      </c>
      <c r="P177" s="299">
        <f>P67*(BOM_average!O35*BOM_average!O33)/1000000</f>
        <v>113.66042752140423</v>
      </c>
      <c r="Q177" s="299">
        <f>Q67*(BOM_average!P35*BOM_average!P33)/1000000</f>
        <v>114.50057598961942</v>
      </c>
      <c r="R177" s="299">
        <f>R67*(BOM_average!Q35*BOM_average!Q33)/1000000</f>
        <v>115.72711383761477</v>
      </c>
      <c r="S177" s="299">
        <f>S67*(BOM_average!R35*BOM_average!R33)/1000000</f>
        <v>116.92010134650795</v>
      </c>
      <c r="T177" s="299">
        <f>T67*(BOM_average!S35*BOM_average!S33)/1000000</f>
        <v>117.92091704170319</v>
      </c>
      <c r="U177" s="299">
        <f>U67*(BOM_average!T35*BOM_average!T33)/1000000</f>
        <v>118.67522237699342</v>
      </c>
      <c r="V177" s="299">
        <f>V67*(BOM_average!U35*BOM_average!U33)/1000000</f>
        <v>119.19724794225176</v>
      </c>
      <c r="W177" s="299">
        <f>W67*(BOM_average!V35*BOM_average!V33)/1000000</f>
        <v>119.53336225658815</v>
      </c>
      <c r="X177" s="299">
        <f>X67*(BOM_average!W35*BOM_average!W33)/1000000</f>
        <v>119.73649145634435</v>
      </c>
      <c r="Y177" s="299">
        <f>Y67*(BOM_average!X35*BOM_average!X33)/1000000</f>
        <v>119.85246039492819</v>
      </c>
      <c r="Z177" s="299">
        <f>Z67*(BOM_average!Y35*BOM_average!Y33)/1000000</f>
        <v>119.91530142433238</v>
      </c>
      <c r="AA177" s="299">
        <f>AA67*(BOM_average!Z35*BOM_average!Z33)/1000000</f>
        <v>119.94774201282608</v>
      </c>
      <c r="AB177" s="299">
        <f>AB67*(BOM_average!AA35*BOM_average!AA33)/1000000</f>
        <v>119.96374932463293</v>
      </c>
    </row>
    <row r="178" spans="1:28">
      <c r="B178" s="294" t="s">
        <v>7756</v>
      </c>
      <c r="C178" s="299">
        <f>C67*(BOM_average!B35)/1000000</f>
        <v>0</v>
      </c>
      <c r="D178" s="299">
        <f>D67*(BOM_average!C35)/1000000</f>
        <v>270.76613700000007</v>
      </c>
      <c r="E178" s="299">
        <f>E67*(BOM_average!D35)/1000000</f>
        <v>695.2012298333334</v>
      </c>
      <c r="F178" s="299">
        <f>F67*(BOM_average!E35)/1000000</f>
        <v>1118.0331108333335</v>
      </c>
      <c r="G178" s="299">
        <f>G67*(BOM_average!F35)/1000000</f>
        <v>1482.7995545000003</v>
      </c>
      <c r="H178" s="299">
        <f>H67*(BOM_average!G35)/1000000</f>
        <v>1723.1667081666669</v>
      </c>
      <c r="I178" s="299">
        <f>I67*(BOM_average!H35)/1000000</f>
        <v>1914.3371150000003</v>
      </c>
      <c r="J178" s="299">
        <f>J67*(BOM_average!I35)/1000000</f>
        <v>2133.2762970000003</v>
      </c>
      <c r="K178" s="299">
        <f>K67*(BOM_average!J35)/1000000</f>
        <v>2339.5122453333333</v>
      </c>
      <c r="L178" s="299">
        <f>L67*(BOM_average!K35)/1000000</f>
        <v>2518.8830076666668</v>
      </c>
      <c r="M178" s="299">
        <f>M67*(BOM_average!L35)/1000000</f>
        <v>2664.7708240000006</v>
      </c>
      <c r="N178" s="299">
        <f>N67*(BOM_average!M35)/1000000</f>
        <v>2721.5437976666672</v>
      </c>
      <c r="O178" s="299">
        <f>O67*(BOM_average!N35)/1000000</f>
        <v>2736.3034570000004</v>
      </c>
      <c r="P178" s="299">
        <f>P67*(BOM_average!O35)/1000000</f>
        <v>2741.0609181666669</v>
      </c>
      <c r="Q178" s="299">
        <f>Q67*(BOM_average!P35)/1000000</f>
        <v>2761.3221311666671</v>
      </c>
      <c r="R178" s="299">
        <f>R67*(BOM_average!Q35)/1000000</f>
        <v>2790.9015990000003</v>
      </c>
      <c r="S178" s="299">
        <f>S67*(BOM_average!R35)/1000000</f>
        <v>2819.671959166667</v>
      </c>
      <c r="T178" s="299">
        <f>T67*(BOM_average!S35)/1000000</f>
        <v>2843.8078598333341</v>
      </c>
      <c r="U178" s="299">
        <f>U67*(BOM_average!T35)/1000000</f>
        <v>2861.9988601666669</v>
      </c>
      <c r="V178" s="299">
        <f>V67*(BOM_average!U35)/1000000</f>
        <v>2874.5881483333342</v>
      </c>
      <c r="W178" s="299">
        <f>W67*(BOM_average!V35)/1000000</f>
        <v>2882.693958166667</v>
      </c>
      <c r="X178" s="299">
        <f>X67*(BOM_average!W35)/1000000</f>
        <v>2887.5926685000004</v>
      </c>
      <c r="Y178" s="299">
        <f>Y67*(BOM_average!X35)/1000000</f>
        <v>2890.3894020000007</v>
      </c>
      <c r="Z178" s="299">
        <f>Z67*(BOM_average!Y35)/1000000</f>
        <v>2891.9048906666671</v>
      </c>
      <c r="AA178" s="299">
        <f>AA67*(BOM_average!Z35)/1000000</f>
        <v>2892.6872353333338</v>
      </c>
      <c r="AB178" s="299">
        <f>AB67*(BOM_average!AA35)/1000000</f>
        <v>2893.0732713333341</v>
      </c>
    </row>
    <row r="179" spans="1:28">
      <c r="B179" s="295" t="s">
        <v>7757</v>
      </c>
      <c r="C179" s="299">
        <f>C67*(BOM_average!B36)/1000000</f>
        <v>0</v>
      </c>
      <c r="D179" s="299">
        <f>D67*(BOM_average!C36)/1000000</f>
        <v>360.17571959999998</v>
      </c>
      <c r="E179" s="299">
        <f>E67*(BOM_average!D36)/1000000</f>
        <v>924.76336219999996</v>
      </c>
      <c r="F179" s="299">
        <f>F67*(BOM_average!E36)/1000000</f>
        <v>1487.2183969999999</v>
      </c>
      <c r="G179" s="299">
        <f>G67*(BOM_average!F36)/1000000</f>
        <v>1972.4342285999999</v>
      </c>
      <c r="H179" s="299">
        <f>H67*(BOM_average!G36)/1000000</f>
        <v>2292.1729281999997</v>
      </c>
      <c r="I179" s="299">
        <f>I67*(BOM_average!H36)/1000000</f>
        <v>2546.4696419999996</v>
      </c>
      <c r="J179" s="299">
        <f>J67*(BOM_average!I36)/1000000</f>
        <v>2837.7046476</v>
      </c>
      <c r="K179" s="299">
        <f>K67*(BOM_average!J36)/1000000</f>
        <v>3112.0416895999997</v>
      </c>
      <c r="L179" s="299">
        <f>L67*(BOM_average!K36)/1000000</f>
        <v>3350.6424027999997</v>
      </c>
      <c r="M179" s="299">
        <f>M67*(BOM_average!L36)/1000000</f>
        <v>3544.7037791999996</v>
      </c>
      <c r="N179" s="299">
        <f>N67*(BOM_average!M36)/1000000</f>
        <v>3620.2237347999999</v>
      </c>
      <c r="O179" s="299">
        <f>O67*(BOM_average!N36)/1000000</f>
        <v>3639.8571755999992</v>
      </c>
      <c r="P179" s="299">
        <f>P67*(BOM_average!O36)/1000000</f>
        <v>3646.1855962</v>
      </c>
      <c r="Q179" s="299">
        <f>Q67*(BOM_average!P36)/1000000</f>
        <v>3673.1372565999995</v>
      </c>
      <c r="R179" s="299">
        <f>R67*(BOM_average!Q36)/1000000</f>
        <v>3712.4841491999996</v>
      </c>
      <c r="S179" s="299">
        <f>S67*(BOM_average!R36)/1000000</f>
        <v>3750.7547589999995</v>
      </c>
      <c r="T179" s="299">
        <f>T67*(BOM_average!S36)/1000000</f>
        <v>3782.8605662</v>
      </c>
      <c r="U179" s="299">
        <f>U67*(BOM_average!T36)/1000000</f>
        <v>3807.0584097999999</v>
      </c>
      <c r="V179" s="299">
        <f>V67*(BOM_average!U36)/1000000</f>
        <v>3823.8048019999997</v>
      </c>
      <c r="W179" s="299">
        <f>W67*(BOM_average!V36)/1000000</f>
        <v>3834.5872282</v>
      </c>
      <c r="X179" s="299">
        <f>X67*(BOM_average!W36)/1000000</f>
        <v>3841.1035397999999</v>
      </c>
      <c r="Y179" s="299">
        <f>Y67*(BOM_average!X36)/1000000</f>
        <v>3844.8237815999996</v>
      </c>
      <c r="Z179" s="299">
        <f>Z67*(BOM_average!Y36)/1000000</f>
        <v>3846.8396991999998</v>
      </c>
      <c r="AA179" s="299">
        <f>AA67*(BOM_average!Z36)/1000000</f>
        <v>3847.8803815999995</v>
      </c>
      <c r="AB179" s="299">
        <f>AB67*(BOM_average!AA36)/1000000</f>
        <v>3848.3938903999997</v>
      </c>
    </row>
    <row r="180" spans="1:28">
      <c r="B180" s="295" t="s">
        <v>7758</v>
      </c>
      <c r="C180" s="299">
        <f>C67*(BOM_average!B37)/1000000</f>
        <v>0</v>
      </c>
      <c r="D180" s="299">
        <f>D67*(BOM_average!C37)/1000000</f>
        <v>182.69202240000001</v>
      </c>
      <c r="E180" s="299">
        <f>E67*(BOM_average!D37)/1000000</f>
        <v>469.06795679999999</v>
      </c>
      <c r="F180" s="299">
        <f>F67*(BOM_average!E37)/1000000</f>
        <v>754.362168</v>
      </c>
      <c r="G180" s="299">
        <f>G67*(BOM_average!F37)/1000000</f>
        <v>1000.4783183999999</v>
      </c>
      <c r="H180" s="299">
        <f>H67*(BOM_average!G37)/1000000</f>
        <v>1162.6594608</v>
      </c>
      <c r="I180" s="299">
        <f>I67*(BOM_average!H37)/1000000</f>
        <v>1291.646448</v>
      </c>
      <c r="J180" s="299">
        <f>J67*(BOM_average!I37)/1000000</f>
        <v>1439.3696544000002</v>
      </c>
      <c r="K180" s="299">
        <f>K67*(BOM_average!J37)/1000000</f>
        <v>1578.5217024000001</v>
      </c>
      <c r="L180" s="299">
        <f>L67*(BOM_average!K37)/1000000</f>
        <v>1699.5472032</v>
      </c>
      <c r="M180" s="299">
        <f>M67*(BOM_average!L37)/1000000</f>
        <v>1797.9810047999999</v>
      </c>
      <c r="N180" s="299">
        <f>N67*(BOM_average!M37)/1000000</f>
        <v>1836.2870112000001</v>
      </c>
      <c r="O180" s="299">
        <f>O67*(BOM_average!N37)/1000000</f>
        <v>1846.2456864000001</v>
      </c>
      <c r="P180" s="299">
        <f>P67*(BOM_average!O37)/1000000</f>
        <v>1849.4556528000001</v>
      </c>
      <c r="Q180" s="299">
        <f>Q67*(BOM_average!P37)/1000000</f>
        <v>1863.1263504000001</v>
      </c>
      <c r="R180" s="299">
        <f>R67*(BOM_average!Q37)/1000000</f>
        <v>1883.0842848</v>
      </c>
      <c r="S180" s="299">
        <f>S67*(BOM_average!R37)/1000000</f>
        <v>1902.496296</v>
      </c>
      <c r="T180" s="299">
        <f>T67*(BOM_average!S37)/1000000</f>
        <v>1918.7813328</v>
      </c>
      <c r="U180" s="299">
        <f>U67*(BOM_average!T37)/1000000</f>
        <v>1931.0552112</v>
      </c>
      <c r="V180" s="299">
        <f>V67*(BOM_average!U37)/1000000</f>
        <v>1939.5494880000001</v>
      </c>
      <c r="W180" s="299">
        <f>W67*(BOM_average!V37)/1000000</f>
        <v>1945.0186607999999</v>
      </c>
      <c r="X180" s="299">
        <f>X67*(BOM_average!W37)/1000000</f>
        <v>1948.3239312000001</v>
      </c>
      <c r="Y180" s="299">
        <f>Y67*(BOM_average!X37)/1000000</f>
        <v>1950.2109504</v>
      </c>
      <c r="Z180" s="299">
        <f>Z67*(BOM_average!Y37)/1000000</f>
        <v>1951.2334848</v>
      </c>
      <c r="AA180" s="299">
        <f>AA67*(BOM_average!Z37)/1000000</f>
        <v>1951.7613504000001</v>
      </c>
      <c r="AB180" s="299">
        <f>AB67*(BOM_average!AA37)/1000000</f>
        <v>1952.0218176000001</v>
      </c>
    </row>
    <row r="182" spans="1:28">
      <c r="B182" s="7" t="s">
        <v>6905</v>
      </c>
      <c r="C182" s="91">
        <f>C178*Outflow_routing!B4</f>
        <v>0</v>
      </c>
      <c r="D182" s="91">
        <f>D178*Outflow_routing!C4</f>
        <v>102.71722064816554</v>
      </c>
      <c r="E182" s="91">
        <f>E178*Outflow_routing!D4</f>
        <v>263.72994389496546</v>
      </c>
      <c r="F182" s="91">
        <f>F178*Outflow_routing!E4</f>
        <v>424.13447637812402</v>
      </c>
      <c r="G182" s="91">
        <f>G178*Outflow_routing!F4</f>
        <v>562.5114377451788</v>
      </c>
      <c r="H182" s="91">
        <f>H178*Outflow_routing!G4</f>
        <v>653.6965698052876</v>
      </c>
      <c r="I182" s="91">
        <f>I178*Outflow_routing!H4</f>
        <v>726.21853683434426</v>
      </c>
      <c r="J182" s="91">
        <f>J178*Outflow_routing!I4</f>
        <v>809.27480271453032</v>
      </c>
      <c r="K182" s="91">
        <f>K178*Outflow_routing!J4</f>
        <v>887.511999009644</v>
      </c>
      <c r="L182" s="91">
        <f>L178*Outflow_routing!K4</f>
        <v>955.55767996723978</v>
      </c>
      <c r="M182" s="91">
        <f>M178*Outflow_routing!L4</f>
        <v>1010.9013473335548</v>
      </c>
      <c r="N182" s="91">
        <f>N178*Outflow_routing!M4</f>
        <v>1032.438612397729</v>
      </c>
      <c r="O182" s="91">
        <f>O178*Outflow_routing!N4</f>
        <v>1038.0378029066726</v>
      </c>
      <c r="P182" s="91">
        <f>P178*Outflow_routing!O4</f>
        <v>1039.8425824621809</v>
      </c>
      <c r="Q182" s="91">
        <f>Q178*Outflow_routing!P4</f>
        <v>1047.5288297506315</v>
      </c>
      <c r="R182" s="91">
        <f>R178*Outflow_routing!Q4</f>
        <v>1058.7500288184153</v>
      </c>
      <c r="S182" s="91">
        <f>S178*Outflow_routing!R4</f>
        <v>1069.6642866577058</v>
      </c>
      <c r="T182" s="91">
        <f>T178*Outflow_routing!S4</f>
        <v>1078.8204265716133</v>
      </c>
      <c r="U182" s="91">
        <f>U178*Outflow_routing!T4</f>
        <v>1085.7213227314969</v>
      </c>
      <c r="V182" s="91">
        <f>V178*Outflow_routing!U4</f>
        <v>1090.4971662130579</v>
      </c>
      <c r="W182" s="91">
        <f>W178*Outflow_routing!V4</f>
        <v>1093.5721676383009</v>
      </c>
      <c r="X182" s="91">
        <f>X178*Outflow_routing!W4</f>
        <v>1095.4305311536782</v>
      </c>
      <c r="Y182" s="91">
        <f>Y178*Outflow_routing!X4</f>
        <v>1096.4914935590828</v>
      </c>
      <c r="Z182" s="91">
        <f>Z178*Outflow_routing!Y4</f>
        <v>1097.066405863437</v>
      </c>
      <c r="AA182" s="91">
        <f>AA178*Outflow_routing!Z4</f>
        <v>1097.3631943416392</v>
      </c>
      <c r="AB182" s="91">
        <f>AB178*Outflow_routing!AA4</f>
        <v>1097.5096400731088</v>
      </c>
    </row>
    <row r="183" spans="1:28">
      <c r="B183" s="7" t="s">
        <v>6907</v>
      </c>
      <c r="C183" s="91">
        <f>C179*Outflow_routing!B5</f>
        <v>0</v>
      </c>
      <c r="D183" s="91">
        <f>D179*Outflow_routing!C5</f>
        <v>30.80140763316971</v>
      </c>
      <c r="E183" s="91">
        <f>E179*Outflow_routing!D5</f>
        <v>79.083657596287253</v>
      </c>
      <c r="F183" s="91">
        <f>F179*Outflow_routing!E5</f>
        <v>127.18353179503502</v>
      </c>
      <c r="G183" s="91">
        <f>G179*Outflow_routing!F5</f>
        <v>168.67808516408735</v>
      </c>
      <c r="H183" s="91">
        <f>H179*Outflow_routing!G5</f>
        <v>196.02141089802777</v>
      </c>
      <c r="I183" s="91">
        <f>I179*Outflow_routing!H5</f>
        <v>217.76828697903636</v>
      </c>
      <c r="J183" s="91">
        <f>J179*Outflow_routing!I5</f>
        <v>242.6740416881444</v>
      </c>
      <c r="K183" s="91">
        <f>K179*Outflow_routing!J5</f>
        <v>266.13472101684613</v>
      </c>
      <c r="L183" s="91">
        <f>L179*Outflow_routing!K5</f>
        <v>286.53931085704983</v>
      </c>
      <c r="M183" s="91">
        <f>M179*Outflow_routing!L5</f>
        <v>303.13499800383653</v>
      </c>
      <c r="N183" s="91">
        <f>N179*Outflow_routing!M5</f>
        <v>309.59329269248963</v>
      </c>
      <c r="O183" s="91">
        <f>O179*Outflow_routing!N5</f>
        <v>311.27229985597666</v>
      </c>
      <c r="P183" s="91">
        <f>P179*Outflow_routing!O5</f>
        <v>311.81349197961907</v>
      </c>
      <c r="Q183" s="91">
        <f>Q179*Outflow_routing!P5</f>
        <v>314.11833662404177</v>
      </c>
      <c r="R183" s="91">
        <f>R179*Outflow_routing!Q5</f>
        <v>317.48319330959816</v>
      </c>
      <c r="S183" s="91">
        <f>S179*Outflow_routing!R5</f>
        <v>320.75600874015777</v>
      </c>
      <c r="T183" s="91">
        <f>T179*Outflow_routing!S5</f>
        <v>323.50162428597361</v>
      </c>
      <c r="U183" s="91">
        <f>U179*Outflow_routing!T5</f>
        <v>325.57096878647189</v>
      </c>
      <c r="V183" s="91">
        <f>V179*Outflow_routing!U5</f>
        <v>327.00308212578852</v>
      </c>
      <c r="W183" s="91">
        <f>W179*Outflow_routing!V5</f>
        <v>327.92517066920732</v>
      </c>
      <c r="X183" s="91">
        <f>X179*Outflow_routing!W5</f>
        <v>328.48243080345304</v>
      </c>
      <c r="Y183" s="91">
        <f>Y179*Outflow_routing!X5</f>
        <v>328.80057741339948</v>
      </c>
      <c r="Z183" s="91">
        <f>Z179*Outflow_routing!Y5</f>
        <v>328.97297409749979</v>
      </c>
      <c r="AA183" s="91">
        <f>AA179*Outflow_routing!Z5</f>
        <v>329.06197088732966</v>
      </c>
      <c r="AB183" s="91">
        <f>AB179*Outflow_routing!AA5</f>
        <v>329.10588499094996</v>
      </c>
    </row>
    <row r="184" spans="1:28">
      <c r="B184" s="7" t="s">
        <v>6908</v>
      </c>
      <c r="C184" s="91">
        <f>C180*Outflow_routing!B6</f>
        <v>0</v>
      </c>
      <c r="D184" s="91">
        <f>D180*Outflow_routing!C6</f>
        <v>2.5266152929554493</v>
      </c>
      <c r="E184" s="91">
        <f>E180*Outflow_routing!D6</f>
        <v>6.487170361995215</v>
      </c>
      <c r="F184" s="91">
        <f>F180*Outflow_routing!E6</f>
        <v>10.432765290225545</v>
      </c>
      <c r="G184" s="91">
        <f>G180*Outflow_routing!F6</f>
        <v>13.836530935133986</v>
      </c>
      <c r="H184" s="91">
        <f>H180*Outflow_routing!G6</f>
        <v>16.079482484050803</v>
      </c>
      <c r="I184" s="91">
        <f>I180*Outflow_routing!H6</f>
        <v>17.863361660439889</v>
      </c>
      <c r="J184" s="91">
        <f>J180*Outflow_routing!I6</f>
        <v>19.906361171373405</v>
      </c>
      <c r="K184" s="91">
        <f>K180*Outflow_routing!J6</f>
        <v>21.83082228305285</v>
      </c>
      <c r="L184" s="91">
        <f>L180*Outflow_routing!K6</f>
        <v>23.504594772632952</v>
      </c>
      <c r="M184" s="91">
        <f>M180*Outflow_routing!L6</f>
        <v>24.865925963776977</v>
      </c>
      <c r="N184" s="91">
        <f>N180*Outflow_routing!M6</f>
        <v>25.395694808146008</v>
      </c>
      <c r="O184" s="91">
        <f>O180*Outflow_routing!N6</f>
        <v>25.533422447959449</v>
      </c>
      <c r="P184" s="91">
        <f>P180*Outflow_routing!O6</f>
        <v>25.577816013094743</v>
      </c>
      <c r="Q184" s="91">
        <f>Q180*Outflow_routing!P6</f>
        <v>25.766880610266391</v>
      </c>
      <c r="R184" s="91">
        <f>R180*Outflow_routing!Q6</f>
        <v>26.042897163197392</v>
      </c>
      <c r="S184" s="91">
        <f>S180*Outflow_routing!R6</f>
        <v>26.311363644221704</v>
      </c>
      <c r="T184" s="91">
        <f>T180*Outflow_routing!S6</f>
        <v>26.53658433248544</v>
      </c>
      <c r="U184" s="91">
        <f>U180*Outflow_routing!T6</f>
        <v>26.706331037688678</v>
      </c>
      <c r="V184" s="91">
        <f>V180*Outflow_routing!U6</f>
        <v>26.823806170885717</v>
      </c>
      <c r="W184" s="91">
        <f>W180*Outflow_routing!V6</f>
        <v>26.899444370379946</v>
      </c>
      <c r="X184" s="91">
        <f>X180*Outflow_routing!W6</f>
        <v>26.945155981813691</v>
      </c>
      <c r="Y184" s="91">
        <f>Y180*Outflow_routing!X6</f>
        <v>26.971253298522907</v>
      </c>
      <c r="Z184" s="91">
        <f>Z180*Outflow_routing!Y6</f>
        <v>26.985394863210153</v>
      </c>
      <c r="AA184" s="91">
        <f>AA180*Outflow_routing!Z6</f>
        <v>26.99269520002872</v>
      </c>
      <c r="AB184" s="91">
        <f>AB180*Outflow_routing!AA6</f>
        <v>26.996297439481697</v>
      </c>
    </row>
    <row r="187" spans="1:28" ht="21">
      <c r="A187" s="293"/>
      <c r="B187" s="382"/>
      <c r="C187" s="378"/>
      <c r="D187" s="378"/>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row>
    <row r="188" spans="1:28" ht="19">
      <c r="B188" s="382"/>
      <c r="Q188" s="1"/>
      <c r="R188" s="1"/>
      <c r="S188" s="1"/>
      <c r="T188" s="1"/>
      <c r="U188" s="1"/>
      <c r="V188" s="1"/>
      <c r="W188" s="1"/>
      <c r="X188" s="1"/>
      <c r="Y188" s="1"/>
      <c r="Z188" s="1"/>
      <c r="AA188" s="1"/>
      <c r="AB188" s="1"/>
    </row>
    <row r="189" spans="1:28">
      <c r="C189"/>
      <c r="D189"/>
      <c r="E189"/>
      <c r="F189"/>
      <c r="G189"/>
      <c r="H189"/>
      <c r="I189"/>
      <c r="J189"/>
      <c r="K189"/>
      <c r="L189"/>
      <c r="M189"/>
      <c r="N189"/>
      <c r="O189"/>
      <c r="P189"/>
    </row>
  </sheetData>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AB2BE-D522-E145-BE73-1C634285DCCF}">
  <dimension ref="A1:AF189"/>
  <sheetViews>
    <sheetView zoomScale="50" zoomScaleNormal="50" workbookViewId="0">
      <pane xSplit="2" ySplit="2" topLeftCell="C3" activePane="bottomRight" state="frozen"/>
      <selection pane="topRight" activeCell="C1" sqref="C1"/>
      <selection pane="bottomLeft" activeCell="A3" sqref="A3"/>
      <selection pane="bottomRight" activeCell="AB187" sqref="T187:AB187"/>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2" t="s">
        <v>175</v>
      </c>
      <c r="C2" s="213">
        <v>2007</v>
      </c>
      <c r="D2" s="213">
        <v>2008</v>
      </c>
      <c r="E2" s="213">
        <v>2009</v>
      </c>
      <c r="F2" s="213">
        <v>2010</v>
      </c>
      <c r="G2" s="213">
        <v>2011</v>
      </c>
      <c r="H2" s="213">
        <v>2012</v>
      </c>
      <c r="I2" s="213">
        <v>2013</v>
      </c>
      <c r="J2" s="213">
        <v>2014</v>
      </c>
      <c r="K2" s="213">
        <v>2015</v>
      </c>
      <c r="L2" s="213">
        <v>2016</v>
      </c>
      <c r="M2" s="213">
        <v>2017</v>
      </c>
      <c r="N2" s="213">
        <v>2018</v>
      </c>
      <c r="O2" s="213">
        <v>2019</v>
      </c>
      <c r="P2" s="213">
        <v>2020</v>
      </c>
      <c r="Q2" s="213">
        <v>2021</v>
      </c>
      <c r="R2" s="213">
        <v>2022</v>
      </c>
      <c r="S2" s="213">
        <v>2023</v>
      </c>
      <c r="T2" s="213">
        <v>2024</v>
      </c>
      <c r="U2" s="213">
        <v>2025</v>
      </c>
      <c r="V2" s="213">
        <v>2026</v>
      </c>
      <c r="W2" s="213">
        <v>2027</v>
      </c>
      <c r="X2" s="213">
        <v>2028</v>
      </c>
      <c r="Y2" s="213">
        <v>2029</v>
      </c>
      <c r="Z2" s="213">
        <v>2030</v>
      </c>
      <c r="AA2" s="213">
        <v>2031</v>
      </c>
      <c r="AB2" s="213">
        <v>2032</v>
      </c>
    </row>
    <row r="3" spans="1:28" ht="17" thickTop="1"/>
    <row r="4" spans="1:28" ht="26">
      <c r="A4" s="292" t="s">
        <v>7791</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16900001.359999999</v>
      </c>
      <c r="D5" s="47">
        <f t="shared" ref="D5:AB5" si="0">C5+D38-D67</f>
        <v>30896350.399999999</v>
      </c>
      <c r="E5" s="47">
        <f t="shared" si="0"/>
        <v>42101839.119999997</v>
      </c>
      <c r="F5" s="47">
        <f t="shared" si="0"/>
        <v>50669785.879999995</v>
      </c>
      <c r="G5" s="47">
        <f t="shared" si="0"/>
        <v>53957904.119999997</v>
      </c>
      <c r="H5" s="47">
        <f t="shared" si="0"/>
        <v>59169437.960000008</v>
      </c>
      <c r="I5" s="47">
        <f t="shared" si="0"/>
        <v>66673071.24000001</v>
      </c>
      <c r="J5" s="47">
        <f t="shared" si="0"/>
        <v>71894193.008571446</v>
      </c>
      <c r="K5" s="47">
        <f t="shared" si="0"/>
        <v>76465721.10857144</v>
      </c>
      <c r="L5" s="47">
        <f t="shared" si="0"/>
        <v>79767540.525714293</v>
      </c>
      <c r="M5" s="47">
        <f t="shared" si="0"/>
        <v>78765012.391428575</v>
      </c>
      <c r="N5" s="47">
        <f t="shared" si="0"/>
        <v>78805369.134285718</v>
      </c>
      <c r="O5" s="47">
        <f t="shared" si="0"/>
        <v>78859847.241428584</v>
      </c>
      <c r="P5" s="47">
        <f t="shared" si="0"/>
        <v>80106348.341428578</v>
      </c>
      <c r="Q5" s="47">
        <f t="shared" si="0"/>
        <v>81083497.031428576</v>
      </c>
      <c r="R5" s="47">
        <f t="shared" si="0"/>
        <v>81841808.721428573</v>
      </c>
      <c r="S5" s="47">
        <f t="shared" si="0"/>
        <v>82387269.411428571</v>
      </c>
      <c r="T5" s="47">
        <f t="shared" si="0"/>
        <v>82754166.101428568</v>
      </c>
      <c r="U5" s="47">
        <f t="shared" si="0"/>
        <v>83040696.791428566</v>
      </c>
      <c r="V5" s="47">
        <f t="shared" si="0"/>
        <v>83400732.481428564</v>
      </c>
      <c r="W5" s="47">
        <f t="shared" si="0"/>
        <v>83979767.171428561</v>
      </c>
      <c r="X5" s="47">
        <f t="shared" si="0"/>
        <v>84860299.861428559</v>
      </c>
      <c r="Y5" s="47">
        <f t="shared" si="0"/>
        <v>86043232.551428556</v>
      </c>
      <c r="Z5" s="47">
        <f t="shared" si="0"/>
        <v>87460534.241428554</v>
      </c>
      <c r="AA5" s="47">
        <f t="shared" si="0"/>
        <v>89004557.931428552</v>
      </c>
      <c r="AB5" s="47">
        <f t="shared" si="0"/>
        <v>90559497.621428549</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7762</v>
      </c>
      <c r="B7" s="7">
        <v>2007</v>
      </c>
      <c r="C7" s="83">
        <f>$C$38*Product_lifespan!B24</f>
        <v>16900001.359999999</v>
      </c>
      <c r="D7" s="83">
        <f>$C$38*Product_lifespan!C24</f>
        <v>14896799.030635754</v>
      </c>
      <c r="E7" s="83">
        <f>$C$38*Product_lifespan!D24</f>
        <v>11649979.767266605</v>
      </c>
      <c r="F7" s="83">
        <f>$C$38*Product_lifespan!E24</f>
        <v>8390153.9679797478</v>
      </c>
      <c r="G7" s="83">
        <f>$C$38*Product_lifespan!F24</f>
        <v>5643080.4974977039</v>
      </c>
      <c r="H7" s="83">
        <f>$C$38*Product_lifespan!G24</f>
        <v>3574088.9438018613</v>
      </c>
      <c r="I7" s="83">
        <f>$C$38*Product_lifespan!H24</f>
        <v>2143811.7153358618</v>
      </c>
      <c r="J7" s="83">
        <f>$C$38*Product_lifespan!I24</f>
        <v>1222970.0900893798</v>
      </c>
      <c r="K7" s="83">
        <f>$C$38*Product_lifespan!J24</f>
        <v>665717.58425898873</v>
      </c>
      <c r="L7" s="83">
        <f>$C$38*Product_lifespan!K24</f>
        <v>346717.36159323069</v>
      </c>
      <c r="M7" s="83">
        <f>$C$38*Product_lifespan!L24</f>
        <v>173158.89574638041</v>
      </c>
      <c r="N7" s="83">
        <f>$C$38*Product_lifespan!M24</f>
        <v>83085.465811483533</v>
      </c>
      <c r="O7" s="83">
        <f>$C$38*Product_lifespan!N24</f>
        <v>38364.719865919615</v>
      </c>
      <c r="P7" s="83">
        <f>$C$38*Product_lifespan!O24</f>
        <v>17072.342664937754</v>
      </c>
      <c r="Q7" s="83">
        <f>$C$38*Product_lifespan!P24</f>
        <v>7331.0207046344212</v>
      </c>
      <c r="R7" s="83">
        <f>$C$38*Product_lifespan!Q24</f>
        <v>3041.1902959391773</v>
      </c>
      <c r="S7" s="83">
        <f>$C$38*Product_lifespan!R24</f>
        <v>1220.0548398241492</v>
      </c>
      <c r="T7" s="83">
        <f>$C$38*Product_lifespan!S24</f>
        <v>473.78280632317092</v>
      </c>
      <c r="U7" s="83">
        <f>$C$38*Product_lifespan!T24</f>
        <v>178.24437707020147</v>
      </c>
      <c r="V7" s="83">
        <f>$C$38*Product_lifespan!U24</f>
        <v>65.017620836787998</v>
      </c>
      <c r="W7" s="83">
        <f>$C$38*Product_lifespan!V24</f>
        <v>23.011278033301007</v>
      </c>
      <c r="X7" s="83">
        <f>$C$38*Product_lifespan!W24</f>
        <v>7.9074688135779434</v>
      </c>
      <c r="Y7" s="83">
        <f>$C$38*Product_lifespan!X24</f>
        <v>2.6399372482090095</v>
      </c>
      <c r="Z7" s="83">
        <f>$C$38*Product_lifespan!Y24</f>
        <v>0.85676812513696443</v>
      </c>
      <c r="AA7" s="83">
        <f>$C$38*Product_lifespan!Z24</f>
        <v>0.27044855340017476</v>
      </c>
      <c r="AB7" s="83">
        <f>$C$38*Product_lifespan!AA24</f>
        <v>8.3077095926761574E-2</v>
      </c>
    </row>
    <row r="8" spans="1:28">
      <c r="A8" s="1"/>
      <c r="B8" s="7">
        <v>2008</v>
      </c>
      <c r="C8" s="83"/>
      <c r="D8" s="83">
        <f>$D$38*Product_lifespan!B24</f>
        <v>15999551.039999999</v>
      </c>
      <c r="E8" s="83">
        <f>$D$38*Product_lifespan!C24</f>
        <v>14103081.493673872</v>
      </c>
      <c r="F8" s="83">
        <f>$D$38*Product_lifespan!D24</f>
        <v>11029256.266364548</v>
      </c>
      <c r="G8" s="83">
        <f>$D$38*Product_lifespan!E24</f>
        <v>7943117.5054148333</v>
      </c>
      <c r="H8" s="83">
        <f>$D$38*Product_lifespan!F24</f>
        <v>5342411.075554085</v>
      </c>
      <c r="I8" s="83">
        <f>$D$38*Product_lifespan!G24</f>
        <v>3383657.6258037398</v>
      </c>
      <c r="J8" s="83">
        <f>$D$38*Product_lifespan!H24</f>
        <v>2029587.1123921655</v>
      </c>
      <c r="K8" s="83">
        <f>$D$38*Product_lifespan!I24</f>
        <v>1157808.9232046327</v>
      </c>
      <c r="L8" s="83">
        <f>$D$38*Product_lifespan!J24</f>
        <v>630247.43257045455</v>
      </c>
      <c r="M8" s="83">
        <f>$D$38*Product_lifespan!K24</f>
        <v>328243.88620433991</v>
      </c>
      <c r="N8" s="83">
        <f>$D$38*Product_lifespan!L24</f>
        <v>163932.80281512666</v>
      </c>
      <c r="O8" s="83">
        <f>$D$38*Product_lifespan!M24</f>
        <v>78658.582482682454</v>
      </c>
      <c r="P8" s="83">
        <f>$D$38*Product_lifespan!N24</f>
        <v>36320.606167695769</v>
      </c>
      <c r="Q8" s="83">
        <f>$D$38*Product_lifespan!O24</f>
        <v>16162.709814127567</v>
      </c>
      <c r="R8" s="83">
        <f>$D$38*Product_lifespan!P24</f>
        <v>6940.4160059248179</v>
      </c>
      <c r="S8" s="83">
        <f>$D$38*Product_lifespan!Q24</f>
        <v>2879.1523932890127</v>
      </c>
      <c r="T8" s="83">
        <f>$D$38*Product_lifespan!R24</f>
        <v>1155.0490006212342</v>
      </c>
      <c r="U8" s="83">
        <f>$D$38*Product_lifespan!S24</f>
        <v>448.53914684193893</v>
      </c>
      <c r="V8" s="83">
        <f>$D$38*Product_lifespan!T24</f>
        <v>168.74732420303746</v>
      </c>
      <c r="W8" s="83">
        <f>$D$38*Product_lifespan!U24</f>
        <v>61.553411796740647</v>
      </c>
      <c r="X8" s="83">
        <f>$D$38*Product_lifespan!V24</f>
        <v>21.78521229358234</v>
      </c>
      <c r="Y8" s="83">
        <f>$D$38*Product_lifespan!W24</f>
        <v>7.4861503372120763</v>
      </c>
      <c r="Z8" s="83">
        <f>$D$38*Product_lifespan!X24</f>
        <v>2.4992785411892533</v>
      </c>
      <c r="AA8" s="83">
        <f>$D$38*Product_lifespan!Y24</f>
        <v>0.8111185943463125</v>
      </c>
      <c r="AB8" s="83">
        <f>$D$38*Product_lifespan!Z24</f>
        <v>0.25603876246198487</v>
      </c>
    </row>
    <row r="9" spans="1:28">
      <c r="A9" s="1"/>
      <c r="B9" s="7">
        <v>2009</v>
      </c>
      <c r="C9" s="83"/>
      <c r="D9" s="83"/>
      <c r="E9" s="83">
        <f>$E$38*Product_lifespan!B24</f>
        <v>16348777.720000001</v>
      </c>
      <c r="F9" s="83">
        <f>$E$38*Product_lifespan!C24</f>
        <v>14410913.401925042</v>
      </c>
      <c r="G9" s="83">
        <f>$E$38*Product_lifespan!D24</f>
        <v>11269994.930789704</v>
      </c>
      <c r="H9" s="83">
        <f>$E$38*Product_lifespan!E24</f>
        <v>8116494.1550677419</v>
      </c>
      <c r="I9" s="83">
        <f>$E$38*Product_lifespan!F24</f>
        <v>5459021.3778336039</v>
      </c>
      <c r="J9" s="83">
        <f>$E$38*Product_lifespan!G24</f>
        <v>3457513.6681365455</v>
      </c>
      <c r="K9" s="83">
        <f>$E$38*Product_lifespan!H24</f>
        <v>2073887.4785249082</v>
      </c>
      <c r="L9" s="83">
        <f>$E$38*Product_lifespan!I24</f>
        <v>1183080.7427272091</v>
      </c>
      <c r="M9" s="83">
        <f>$E$38*Product_lifespan!J24</f>
        <v>644004.01973373443</v>
      </c>
      <c r="N9" s="83">
        <f>$E$38*Product_lifespan!K24</f>
        <v>335408.55740810389</v>
      </c>
      <c r="O9" s="83">
        <f>$E$38*Product_lifespan!L24</f>
        <v>167511.00999900908</v>
      </c>
      <c r="P9" s="83">
        <f>$E$38*Product_lifespan!M24</f>
        <v>80375.48538484874</v>
      </c>
      <c r="Q9" s="83">
        <f>$E$38*Product_lifespan!N24</f>
        <v>37113.386207324431</v>
      </c>
      <c r="R9" s="83">
        <f>$E$38*Product_lifespan!O24</f>
        <v>16515.497806370578</v>
      </c>
      <c r="S9" s="83">
        <f>$E$38*Product_lifespan!P24</f>
        <v>7091.9064092185336</v>
      </c>
      <c r="T9" s="83">
        <f>$E$38*Product_lifespan!Q24</f>
        <v>2941.9964586636361</v>
      </c>
      <c r="U9" s="83">
        <f>$E$38*Product_lifespan!R24</f>
        <v>1180.2605785408778</v>
      </c>
      <c r="V9" s="83">
        <f>$E$38*Product_lifespan!S24</f>
        <v>458.32953637912209</v>
      </c>
      <c r="W9" s="83">
        <f>$E$38*Product_lifespan!T24</f>
        <v>172.43061929319211</v>
      </c>
      <c r="X9" s="83">
        <f>$E$38*Product_lifespan!U24</f>
        <v>62.896955349350776</v>
      </c>
      <c r="Y9" s="83">
        <f>$E$38*Product_lifespan!V24</f>
        <v>22.260724221595979</v>
      </c>
      <c r="Z9" s="83">
        <f>$E$38*Product_lifespan!W24</f>
        <v>7.6495526365459368</v>
      </c>
      <c r="AA9" s="83">
        <f>$E$38*Product_lifespan!X24</f>
        <v>2.5538309936394921</v>
      </c>
      <c r="AB9" s="83">
        <f>$E$38*Product_lifespan!Y24</f>
        <v>0.82882310699680195</v>
      </c>
    </row>
    <row r="10" spans="1:28">
      <c r="A10" s="1"/>
      <c r="B10" s="7">
        <v>2010</v>
      </c>
      <c r="C10" s="83"/>
      <c r="D10" s="83"/>
      <c r="E10" s="83"/>
      <c r="F10" s="83">
        <f>$F$38*Product_lifespan!B24</f>
        <v>16839461.760000002</v>
      </c>
      <c r="G10" s="83">
        <f>$F$38*Product_lifespan!C24</f>
        <v>14843435.351226261</v>
      </c>
      <c r="H10" s="83">
        <f>$F$38*Product_lifespan!D24</f>
        <v>11608246.923576564</v>
      </c>
      <c r="I10" s="83">
        <f>$F$38*Product_lifespan!E24</f>
        <v>8360098.5523416102</v>
      </c>
      <c r="J10" s="83">
        <f>$F$38*Product_lifespan!F24</f>
        <v>5622865.7159240823</v>
      </c>
      <c r="K10" s="83">
        <f>$F$38*Product_lifespan!G24</f>
        <v>3561285.7545941784</v>
      </c>
      <c r="L10" s="83">
        <f>$F$38*Product_lifespan!H24</f>
        <v>2136132.1003490295</v>
      </c>
      <c r="M10" s="83">
        <f>$F$38*Product_lifespan!I24</f>
        <v>1218589.1365918722</v>
      </c>
      <c r="N10" s="83">
        <f>$F$38*Product_lifespan!J24</f>
        <v>663332.83437610441</v>
      </c>
      <c r="O10" s="83">
        <f>$F$38*Product_lifespan!K24</f>
        <v>345475.34214383649</v>
      </c>
      <c r="P10" s="83">
        <f>$F$38*Product_lifespan!L24</f>
        <v>172538.60169659773</v>
      </c>
      <c r="Q10" s="83">
        <f>$F$38*Product_lifespan!M24</f>
        <v>82787.835014959099</v>
      </c>
      <c r="R10" s="83">
        <f>$F$38*Product_lifespan!N24</f>
        <v>38227.288824032723</v>
      </c>
      <c r="S10" s="83">
        <f>$F$38*Product_lifespan!O24</f>
        <v>17011.185699681853</v>
      </c>
      <c r="T10" s="83">
        <f>$F$38*Product_lifespan!P24</f>
        <v>7304.759342188574</v>
      </c>
      <c r="U10" s="83">
        <f>$F$38*Product_lifespan!Q24</f>
        <v>3030.2960693578821</v>
      </c>
      <c r="V10" s="83">
        <f>$F$38*Product_lifespan!R24</f>
        <v>1215.6843294077514</v>
      </c>
      <c r="W10" s="83">
        <f>$F$38*Product_lifespan!S24</f>
        <v>472.08560991645533</v>
      </c>
      <c r="X10" s="83">
        <f>$F$38*Product_lifespan!T24</f>
        <v>177.60586568430185</v>
      </c>
      <c r="Y10" s="83">
        <f>$F$38*Product_lifespan!U24</f>
        <v>64.784713118346801</v>
      </c>
      <c r="Z10" s="83">
        <f>$F$38*Product_lifespan!V24</f>
        <v>22.928846467885752</v>
      </c>
      <c r="AA10" s="83">
        <f>$F$38*Product_lifespan!W24</f>
        <v>7.8791424845564837</v>
      </c>
      <c r="AB10" s="83">
        <f>$F$38*Product_lifespan!X24</f>
        <v>2.6304804001515922</v>
      </c>
    </row>
    <row r="11" spans="1:28">
      <c r="A11" s="1"/>
      <c r="B11" s="7">
        <v>2011</v>
      </c>
      <c r="C11" s="83"/>
      <c r="D11" s="83"/>
      <c r="E11" s="83"/>
      <c r="F11" s="83"/>
      <c r="G11" s="83">
        <f>$G$38*Product_lifespan!B24</f>
        <v>14258275.240000002</v>
      </c>
      <c r="H11" s="83">
        <f>$G$38*Product_lifespan!C24</f>
        <v>12568203.76810726</v>
      </c>
      <c r="I11" s="83">
        <f>$G$38*Product_lifespan!D24</f>
        <v>9828911.5204022937</v>
      </c>
      <c r="J11" s="83">
        <f>$G$38*Product_lifespan!E24</f>
        <v>7078645.8552943813</v>
      </c>
      <c r="K11" s="83">
        <f>$G$38*Product_lifespan!F24</f>
        <v>4760981.5656723948</v>
      </c>
      <c r="L11" s="83">
        <f>$G$38*Product_lifespan!G24</f>
        <v>3015404.7214211491</v>
      </c>
      <c r="M11" s="83">
        <f>$G$38*Product_lifespan!H24</f>
        <v>1808701.4816663454</v>
      </c>
      <c r="N11" s="83">
        <f>$G$38*Product_lifespan!I24</f>
        <v>1031801.3462445056</v>
      </c>
      <c r="O11" s="83">
        <f>$G$38*Product_lifespan!J24</f>
        <v>561655.84524382278</v>
      </c>
      <c r="P11" s="83">
        <f>$G$38*Product_lifespan!K24</f>
        <v>292520.18782576529</v>
      </c>
      <c r="Q11" s="83">
        <f>$G$38*Product_lifespan!L24</f>
        <v>146091.53829123464</v>
      </c>
      <c r="R11" s="83">
        <f>$G$38*Product_lifespan!M24</f>
        <v>70097.949387605389</v>
      </c>
      <c r="S11" s="83">
        <f>$G$38*Product_lifespan!N24</f>
        <v>32367.73321500951</v>
      </c>
      <c r="T11" s="83">
        <f>$G$38*Product_lifespan!O24</f>
        <v>14403.676989306328</v>
      </c>
      <c r="U11" s="83">
        <f>$G$38*Product_lifespan!P24</f>
        <v>6185.0711588828144</v>
      </c>
      <c r="V11" s="83">
        <f>$G$38*Product_lifespan!Q24</f>
        <v>2565.8062016107347</v>
      </c>
      <c r="W11" s="83">
        <f>$G$38*Product_lifespan!R24</f>
        <v>1029.341793739763</v>
      </c>
      <c r="X11" s="83">
        <f>$G$38*Product_lifespan!S24</f>
        <v>399.72337946222416</v>
      </c>
      <c r="Y11" s="83">
        <f>$G$38*Product_lifespan!T24</f>
        <v>150.38208187749387</v>
      </c>
      <c r="Z11" s="83">
        <f>$G$38*Product_lifespan!U24</f>
        <v>54.854382173900753</v>
      </c>
      <c r="AA11" s="83">
        <f>$G$38*Product_lifespan!V24</f>
        <v>19.414266829560287</v>
      </c>
      <c r="AB11" s="83">
        <f>$G$38*Product_lifespan!W24</f>
        <v>6.6714116995615784</v>
      </c>
    </row>
    <row r="12" spans="1:28">
      <c r="A12" s="1"/>
      <c r="B12" s="7">
        <v>2012</v>
      </c>
      <c r="C12" s="83"/>
      <c r="D12" s="83"/>
      <c r="E12" s="83"/>
      <c r="F12" s="83"/>
      <c r="G12" s="83"/>
      <c r="H12" s="83">
        <f>$H$38*Product_lifespan!B24</f>
        <v>17959992.840000004</v>
      </c>
      <c r="I12" s="83">
        <f>$H$38*Product_lifespan!C24</f>
        <v>15831146.88750162</v>
      </c>
      <c r="J12" s="83">
        <f>$H$38*Product_lifespan!D24</f>
        <v>12380682.625356495</v>
      </c>
      <c r="K12" s="83">
        <f>$H$38*Product_lifespan!E24</f>
        <v>8916396.0393559337</v>
      </c>
      <c r="L12" s="83">
        <f>$H$38*Product_lifespan!F24</f>
        <v>5997022.3180267494</v>
      </c>
      <c r="M12" s="83">
        <f>$H$38*Product_lifespan!G24</f>
        <v>3798260.7499745553</v>
      </c>
      <c r="N12" s="83">
        <f>$H$38*Product_lifespan!H24</f>
        <v>2278274.5538039533</v>
      </c>
      <c r="O12" s="83">
        <f>$H$38*Product_lifespan!I24</f>
        <v>1299676.4670993742</v>
      </c>
      <c r="P12" s="83">
        <f>$H$38*Product_lifespan!J24</f>
        <v>707472.3126977036</v>
      </c>
      <c r="Q12" s="83">
        <f>$H$38*Product_lifespan!K24</f>
        <v>368463.95447379514</v>
      </c>
      <c r="R12" s="83">
        <f>$H$38*Product_lifespan!L24</f>
        <v>184019.6613917491</v>
      </c>
      <c r="S12" s="83">
        <f>$H$38*Product_lifespan!M24</f>
        <v>88296.70124253229</v>
      </c>
      <c r="T12" s="83">
        <f>$H$38*Product_lifespan!N24</f>
        <v>40771.008204257465</v>
      </c>
      <c r="U12" s="83">
        <f>$H$38*Product_lifespan!O24</f>
        <v>18143.143630155821</v>
      </c>
      <c r="V12" s="83">
        <f>$H$38*Product_lifespan!P24</f>
        <v>7790.8324715735998</v>
      </c>
      <c r="W12" s="83">
        <f>$H$38*Product_lifespan!Q24</f>
        <v>3231.9379612254133</v>
      </c>
      <c r="X12" s="83">
        <f>$H$38*Product_lifespan!R24</f>
        <v>1296.5783683019224</v>
      </c>
      <c r="Y12" s="83">
        <f>$H$38*Product_lifespan!S24</f>
        <v>503.49911979410979</v>
      </c>
      <c r="Z12" s="83">
        <f>$H$38*Product_lifespan!T24</f>
        <v>189.42411114404072</v>
      </c>
      <c r="AA12" s="83">
        <f>$H$38*Product_lifespan!U24</f>
        <v>69.09561601967512</v>
      </c>
      <c r="AB12" s="83">
        <f>$H$38*Product_lifespan!V24</f>
        <v>24.454577246101209</v>
      </c>
    </row>
    <row r="13" spans="1:28">
      <c r="A13" s="1"/>
      <c r="B13" s="7">
        <v>2013</v>
      </c>
      <c r="C13" s="83"/>
      <c r="D13" s="83"/>
      <c r="E13" s="83"/>
      <c r="F13" s="83"/>
      <c r="G13" s="83"/>
      <c r="H13" s="83"/>
      <c r="I13" s="83">
        <f>$I$38*Product_lifespan!B24</f>
        <v>21666423.280000001</v>
      </c>
      <c r="J13" s="83">
        <f>$I$38*Product_lifespan!C24</f>
        <v>19098244.221374899</v>
      </c>
      <c r="K13" s="83">
        <f>$I$38*Product_lifespan!D24</f>
        <v>14935702.516478034</v>
      </c>
      <c r="L13" s="83">
        <f>$I$38*Product_lifespan!E24</f>
        <v>10756485.954189343</v>
      </c>
      <c r="M13" s="83">
        <f>$I$38*Product_lifespan!F24</f>
        <v>7234636.7350764666</v>
      </c>
      <c r="N13" s="83">
        <f>$I$38*Product_lifespan!G24</f>
        <v>4582113.4713079846</v>
      </c>
      <c r="O13" s="83">
        <f>$I$38*Product_lifespan!H24</f>
        <v>2748445.4626747826</v>
      </c>
      <c r="P13" s="83">
        <f>$I$38*Product_lifespan!I24</f>
        <v>1567892.6330368198</v>
      </c>
      <c r="Q13" s="83">
        <f>$I$38*Product_lifespan!J24</f>
        <v>853474.42631769797</v>
      </c>
      <c r="R13" s="83">
        <f>$I$38*Product_lifespan!K24</f>
        <v>444504.40889217489</v>
      </c>
      <c r="S13" s="83">
        <f>$I$38*Product_lifespan!L24</f>
        <v>221996.07266413083</v>
      </c>
      <c r="T13" s="83">
        <f>$I$38*Product_lifespan!M24</f>
        <v>106518.62282971857</v>
      </c>
      <c r="U13" s="83">
        <f>$I$38*Product_lifespan!N24</f>
        <v>49184.981819057044</v>
      </c>
      <c r="V13" s="83">
        <f>$I$38*Product_lifespan!O24</f>
        <v>21887.371171178689</v>
      </c>
      <c r="W13" s="83">
        <f>$I$38*Product_lifespan!P24</f>
        <v>9398.6381585151103</v>
      </c>
      <c r="X13" s="83">
        <f>$I$38*Product_lifespan!Q24</f>
        <v>3898.9178061726902</v>
      </c>
      <c r="Y13" s="83">
        <f>$I$38*Product_lifespan!R24</f>
        <v>1564.1551749817504</v>
      </c>
      <c r="Z13" s="83">
        <f>$I$38*Product_lifespan!S24</f>
        <v>607.40698216038982</v>
      </c>
      <c r="AA13" s="83">
        <f>$I$38*Product_lifespan!T24</f>
        <v>228.51584675155976</v>
      </c>
      <c r="AB13" s="83">
        <f>$I$38*Product_lifespan!U24</f>
        <v>83.354981085539777</v>
      </c>
    </row>
    <row r="14" spans="1:28">
      <c r="A14" s="1"/>
      <c r="B14" s="7">
        <v>2014</v>
      </c>
      <c r="C14" s="83"/>
      <c r="D14" s="83"/>
      <c r="E14" s="83"/>
      <c r="F14" s="83"/>
      <c r="G14" s="83"/>
      <c r="H14" s="83"/>
      <c r="I14" s="83"/>
      <c r="J14" s="83">
        <f>$J$38*Product_lifespan!B24</f>
        <v>21003683.768571429</v>
      </c>
      <c r="K14" s="83">
        <f>$J$38*Product_lifespan!C24</f>
        <v>18514060.995521411</v>
      </c>
      <c r="L14" s="83">
        <f>$J$38*Product_lifespan!D24</f>
        <v>14478844.45270383</v>
      </c>
      <c r="M14" s="83">
        <f>$J$38*Product_lifespan!E24</f>
        <v>10427463.108385891</v>
      </c>
      <c r="N14" s="83">
        <f>$J$38*Product_lifespan!F24</f>
        <v>7013341.3438988328</v>
      </c>
      <c r="O14" s="83">
        <f>$J$38*Product_lifespan!G24</f>
        <v>4441954.313331591</v>
      </c>
      <c r="P14" s="83">
        <f>$J$38*Product_lifespan!H24</f>
        <v>2664375.1304569785</v>
      </c>
      <c r="Q14" s="83">
        <f>$J$38*Product_lifespan!I24</f>
        <v>1519933.4297958093</v>
      </c>
      <c r="R14" s="83">
        <f>$J$38*Product_lifespan!J24</f>
        <v>827368.07655222015</v>
      </c>
      <c r="S14" s="83">
        <f>$J$38*Product_lifespan!K24</f>
        <v>430907.76532207633</v>
      </c>
      <c r="T14" s="83">
        <f>$J$38*Product_lifespan!L24</f>
        <v>215205.58552026073</v>
      </c>
      <c r="U14" s="83">
        <f>$J$38*Product_lifespan!M24</f>
        <v>103260.39699613687</v>
      </c>
      <c r="V14" s="83">
        <f>$J$38*Product_lifespan!N24</f>
        <v>47680.495804031445</v>
      </c>
      <c r="W14" s="83">
        <f>$J$38*Product_lifespan!O24</f>
        <v>21217.873234718048</v>
      </c>
      <c r="X14" s="83">
        <f>$J$38*Product_lifespan!P24</f>
        <v>9111.1495970312208</v>
      </c>
      <c r="Y14" s="83">
        <f>$J$38*Product_lifespan!Q24</f>
        <v>3779.656456545672</v>
      </c>
      <c r="Z14" s="83">
        <f>$J$38*Product_lifespan!R24</f>
        <v>1516.3102943076626</v>
      </c>
      <c r="AA14" s="83">
        <f>$J$38*Product_lifespan!S24</f>
        <v>588.82742237827881</v>
      </c>
      <c r="AB14" s="83">
        <f>$J$38*Product_lifespan!T24</f>
        <v>221.52593066468935</v>
      </c>
    </row>
    <row r="15" spans="1:28">
      <c r="A15" s="1"/>
      <c r="B15" s="7">
        <v>2015</v>
      </c>
      <c r="C15" s="83"/>
      <c r="D15" s="83"/>
      <c r="E15" s="83"/>
      <c r="F15" s="83"/>
      <c r="G15" s="83"/>
      <c r="H15" s="83"/>
      <c r="I15" s="83"/>
      <c r="J15" s="83"/>
      <c r="K15" s="83">
        <f>$K$38*Product_lifespan!B24</f>
        <v>21879880.099999998</v>
      </c>
      <c r="L15" s="83">
        <f>$K$38*Product_lifespan!C24</f>
        <v>19286399.434000194</v>
      </c>
      <c r="M15" s="83">
        <f>$K$38*Product_lifespan!D24</f>
        <v>15082848.518493801</v>
      </c>
      <c r="N15" s="83">
        <f>$K$38*Product_lifespan!E24</f>
        <v>10862458.465502519</v>
      </c>
      <c r="O15" s="83">
        <f>$K$38*Product_lifespan!F24</f>
        <v>7305912.1150211608</v>
      </c>
      <c r="P15" s="83">
        <f>$K$38*Product_lifespan!G24</f>
        <v>4627256.2878137166</v>
      </c>
      <c r="Q15" s="83">
        <f>$K$38*Product_lifespan!H24</f>
        <v>2775523.0481545939</v>
      </c>
      <c r="R15" s="83">
        <f>$K$38*Product_lifespan!I24</f>
        <v>1583339.4546568145</v>
      </c>
      <c r="S15" s="83">
        <f>$K$38*Product_lifespan!J24</f>
        <v>861882.82555548381</v>
      </c>
      <c r="T15" s="83">
        <f>$K$38*Product_lifespan!K24</f>
        <v>448883.65028203954</v>
      </c>
      <c r="U15" s="83">
        <f>$K$38*Product_lifespan!L24</f>
        <v>224183.16995799361</v>
      </c>
      <c r="V15" s="83">
        <f>$K$38*Product_lifespan!M24</f>
        <v>107568.04045653099</v>
      </c>
      <c r="W15" s="83">
        <f>$K$38*Product_lifespan!N24</f>
        <v>49669.550484368083</v>
      </c>
      <c r="X15" s="83">
        <f>$K$38*Product_lifespan!O24</f>
        <v>22103.004761826392</v>
      </c>
      <c r="Y15" s="83">
        <f>$K$38*Product_lifespan!P24</f>
        <v>9491.2332023634026</v>
      </c>
      <c r="Z15" s="83">
        <f>$K$38*Product_lifespan!Q24</f>
        <v>3937.3298036487677</v>
      </c>
      <c r="AA15" s="83">
        <f>$K$38*Product_lifespan!R24</f>
        <v>1579.5651752999081</v>
      </c>
      <c r="AB15" s="83">
        <f>$K$38*Product_lifespan!S24</f>
        <v>613.39113382133485</v>
      </c>
    </row>
    <row r="16" spans="1:28">
      <c r="A16" s="1"/>
      <c r="B16" s="7">
        <v>2016</v>
      </c>
      <c r="C16" s="83"/>
      <c r="D16" s="83"/>
      <c r="E16" s="83"/>
      <c r="F16" s="83"/>
      <c r="G16" s="83"/>
      <c r="H16" s="83"/>
      <c r="I16" s="83"/>
      <c r="J16" s="83"/>
      <c r="K16" s="83"/>
      <c r="L16" s="83">
        <f>$L$38*Product_lifespan!B24</f>
        <v>21937205.417142857</v>
      </c>
      <c r="M16" s="83">
        <f>$L$38*Product_lifespan!C24</f>
        <v>19336929.828090329</v>
      </c>
      <c r="N16" s="83">
        <f>$L$38*Product_lifespan!D24</f>
        <v>15122365.603175648</v>
      </c>
      <c r="O16" s="83">
        <f>$L$38*Product_lifespan!E24</f>
        <v>10890918.122211793</v>
      </c>
      <c r="P16" s="83">
        <f>$L$38*Product_lifespan!F24</f>
        <v>7325053.6152075101</v>
      </c>
      <c r="Q16" s="83">
        <f>$L$38*Product_lifespan!G24</f>
        <v>4639379.705903206</v>
      </c>
      <c r="R16" s="83">
        <f>$L$38*Product_lifespan!H24</f>
        <v>2782794.9225088223</v>
      </c>
      <c r="S16" s="83">
        <f>$L$38*Product_lifespan!I24</f>
        <v>1587487.8062916575</v>
      </c>
      <c r="T16" s="83">
        <f>$L$38*Product_lifespan!J24</f>
        <v>864140.95979064133</v>
      </c>
      <c r="U16" s="83">
        <f>$L$38*Product_lifespan!K24</f>
        <v>450059.7260875309</v>
      </c>
      <c r="V16" s="83">
        <f>$L$38*Product_lifespan!L24</f>
        <v>224770.53018378999</v>
      </c>
      <c r="W16" s="83">
        <f>$L$38*Product_lifespan!M24</f>
        <v>107849.86887631316</v>
      </c>
      <c r="X16" s="83">
        <f>$L$38*Product_lifespan!N24</f>
        <v>49799.684777647853</v>
      </c>
      <c r="Y16" s="83">
        <f>$L$38*Product_lifespan!O24</f>
        <v>22160.91466590223</v>
      </c>
      <c r="Z16" s="83">
        <f>$L$38*Product_lifespan!P24</f>
        <v>9516.1002469228606</v>
      </c>
      <c r="AA16" s="83">
        <f>$L$38*Product_lifespan!Q24</f>
        <v>3947.6456133633828</v>
      </c>
      <c r="AB16" s="83">
        <f>$L$38*Product_lifespan!R24</f>
        <v>1583.7036383174402</v>
      </c>
    </row>
    <row r="17" spans="1:28">
      <c r="A17" s="86"/>
      <c r="B17" s="7">
        <v>2017</v>
      </c>
      <c r="C17" s="83"/>
      <c r="D17" s="83"/>
      <c r="E17" s="83"/>
      <c r="F17" s="83"/>
      <c r="G17" s="83"/>
      <c r="H17" s="83"/>
      <c r="I17" s="83"/>
      <c r="J17" s="83"/>
      <c r="K17" s="83"/>
      <c r="L17" s="83"/>
      <c r="M17" s="83">
        <f>$M$38*Product_lifespan!B24</f>
        <v>18712175.865714282</v>
      </c>
      <c r="N17" s="83">
        <f>$M$38*Product_lifespan!C24</f>
        <v>16494171.64883934</v>
      </c>
      <c r="O17" s="83">
        <f>$M$38*Product_lifespan!D24</f>
        <v>12899198.384271957</v>
      </c>
      <c r="P17" s="83">
        <f>$M$38*Product_lifespan!E24</f>
        <v>9289823.9026684631</v>
      </c>
      <c r="Q17" s="83">
        <f>$M$38*Product_lifespan!F24</f>
        <v>6248183.7985816281</v>
      </c>
      <c r="R17" s="83">
        <f>$M$38*Product_lifespan!G24</f>
        <v>3957335.8280561371</v>
      </c>
      <c r="S17" s="83">
        <f>$M$38*Product_lifespan!H24</f>
        <v>2373691.0421374813</v>
      </c>
      <c r="T17" s="83">
        <f>$M$38*Product_lifespan!I24</f>
        <v>1354108.2581463717</v>
      </c>
      <c r="U17" s="83">
        <f>$M$38*Product_lifespan!J24</f>
        <v>737101.98290496843</v>
      </c>
      <c r="V17" s="83">
        <f>$M$38*Product_lifespan!K24</f>
        <v>383895.60495449475</v>
      </c>
      <c r="W17" s="83">
        <f>$M$38*Product_lifespan!L24</f>
        <v>191726.59462550216</v>
      </c>
      <c r="X17" s="83">
        <f>$M$38*Product_lifespan!M24</f>
        <v>91994.658167842368</v>
      </c>
      <c r="Y17" s="83">
        <f>$M$38*Product_lifespan!N24</f>
        <v>42478.540082789106</v>
      </c>
      <c r="Z17" s="83">
        <f>$M$38*Product_lifespan!O24</f>
        <v>18902.997199880258</v>
      </c>
      <c r="AA17" s="83">
        <f>$M$38*Product_lifespan!P24</f>
        <v>8117.1205716584591</v>
      </c>
      <c r="AB17" s="83">
        <f>$M$38*Product_lifespan!Q24</f>
        <v>3367.2948567571921</v>
      </c>
    </row>
    <row r="18" spans="1:28">
      <c r="A18" s="1"/>
      <c r="B18" s="7">
        <v>2018</v>
      </c>
      <c r="C18" s="83"/>
      <c r="D18" s="83"/>
      <c r="E18" s="83"/>
      <c r="F18" s="83"/>
      <c r="G18" s="83"/>
      <c r="H18" s="83"/>
      <c r="I18" s="83"/>
      <c r="J18" s="83"/>
      <c r="K18" s="83"/>
      <c r="L18" s="83"/>
      <c r="M18" s="83"/>
      <c r="N18" s="83">
        <f>$N$38*Product_lifespan!B24</f>
        <v>20175082.742857143</v>
      </c>
      <c r="O18" s="83">
        <f>$N$38*Product_lifespan!C24</f>
        <v>17783676.263963949</v>
      </c>
      <c r="P18" s="83">
        <f>$N$38*Product_lifespan!D24</f>
        <v>13907650.109042086</v>
      </c>
      <c r="Q18" s="83">
        <f>$N$38*Product_lifespan!E24</f>
        <v>10016096.858426679</v>
      </c>
      <c r="R18" s="83">
        <f>$N$38*Product_lifespan!F24</f>
        <v>6736663.1242460227</v>
      </c>
      <c r="S18" s="83">
        <f>$N$38*Product_lifespan!G24</f>
        <v>4266718.0099879857</v>
      </c>
      <c r="T18" s="83">
        <f>$N$38*Product_lifespan!H24</f>
        <v>2559264.8083673003</v>
      </c>
      <c r="U18" s="83">
        <f>$N$38*Product_lifespan!I24</f>
        <v>1459971.6434338021</v>
      </c>
      <c r="V18" s="83">
        <f>$N$38*Product_lifespan!J24</f>
        <v>794728.18135915638</v>
      </c>
      <c r="W18" s="83">
        <f>$N$38*Product_lifespan!K24</f>
        <v>413908.3370185332</v>
      </c>
      <c r="X18" s="83">
        <f>$N$38*Product_lifespan!L24</f>
        <v>206715.66675808828</v>
      </c>
      <c r="Y18" s="83">
        <f>$N$38*Product_lifespan!M24</f>
        <v>99186.746306599627</v>
      </c>
      <c r="Z18" s="83">
        <f>$N$38*Product_lifespan!N24</f>
        <v>45799.487302613066</v>
      </c>
      <c r="AA18" s="83">
        <f>$N$38*Product_lifespan!O24</f>
        <v>20380.822376426688</v>
      </c>
      <c r="AB18" s="83">
        <f>$N$38*Product_lifespan!P24</f>
        <v>8751.7122723828197</v>
      </c>
    </row>
    <row r="19" spans="1:28">
      <c r="A19" s="1"/>
      <c r="B19" s="7">
        <v>2019</v>
      </c>
      <c r="C19" s="83"/>
      <c r="D19" s="83"/>
      <c r="E19" s="83"/>
      <c r="F19" s="83"/>
      <c r="G19" s="83"/>
      <c r="H19" s="83"/>
      <c r="I19" s="83"/>
      <c r="J19" s="83"/>
      <c r="K19" s="83"/>
      <c r="L19" s="83"/>
      <c r="M19" s="83"/>
      <c r="N19" s="83"/>
      <c r="O19" s="83">
        <f>$O$38*Product_lifespan!B24</f>
        <v>20298400.107142858</v>
      </c>
      <c r="P19" s="83">
        <f>$O$38*Product_lifespan!C24</f>
        <v>17892376.491473988</v>
      </c>
      <c r="Q19" s="83">
        <f>$O$38*Product_lifespan!D24</f>
        <v>13992658.670182297</v>
      </c>
      <c r="R19" s="83">
        <f>$O$38*Product_lifespan!E24</f>
        <v>10077318.846001867</v>
      </c>
      <c r="S19" s="83">
        <f>$O$38*Product_lifespan!F24</f>
        <v>6777840.0329680899</v>
      </c>
      <c r="T19" s="83">
        <f>$O$38*Product_lifespan!G24</f>
        <v>4292797.7255385146</v>
      </c>
      <c r="U19" s="83">
        <f>$O$38*Product_lifespan!H24</f>
        <v>2574907.9556445414</v>
      </c>
      <c r="V19" s="83">
        <f>$O$38*Product_lifespan!I24</f>
        <v>1468895.5153849039</v>
      </c>
      <c r="W19" s="83">
        <f>$O$38*Product_lifespan!J24</f>
        <v>799585.84592975094</v>
      </c>
      <c r="X19" s="83">
        <f>$O$38*Product_lifespan!K24</f>
        <v>416438.29368971859</v>
      </c>
      <c r="Y19" s="83">
        <f>$O$38*Product_lifespan!L24</f>
        <v>207979.18728516999</v>
      </c>
      <c r="Z19" s="83">
        <f>$O$38*Product_lifespan!M24</f>
        <v>99793.011385286169</v>
      </c>
      <c r="AA19" s="83">
        <f>$O$38*Product_lifespan!N24</f>
        <v>46079.430246678312</v>
      </c>
      <c r="AB19" s="83">
        <f>$O$38*Product_lifespan!O24</f>
        <v>20505.397295373481</v>
      </c>
    </row>
    <row r="20" spans="1:28">
      <c r="A20" s="1"/>
      <c r="B20" s="7">
        <v>2020</v>
      </c>
      <c r="C20" s="83"/>
      <c r="D20" s="83"/>
      <c r="E20" s="83"/>
      <c r="F20" s="83"/>
      <c r="G20" s="83"/>
      <c r="H20" s="83"/>
      <c r="I20" s="83"/>
      <c r="J20" s="83"/>
      <c r="K20" s="83"/>
      <c r="L20" s="83"/>
      <c r="M20" s="83"/>
      <c r="N20" s="83"/>
      <c r="O20" s="83"/>
      <c r="P20" s="83">
        <f>$P$38*Product_lifespan!B24</f>
        <v>21525620.100000001</v>
      </c>
      <c r="Q20" s="83">
        <f>$P$38*Product_lifespan!C24</f>
        <v>18974130.818621043</v>
      </c>
      <c r="R20" s="83">
        <f>$P$38*Product_lifespan!D24</f>
        <v>14838640.145699218</v>
      </c>
      <c r="S20" s="83">
        <f>$P$38*Product_lifespan!E24</f>
        <v>10686582.979969632</v>
      </c>
      <c r="T20" s="83">
        <f>$P$38*Product_lifespan!F24</f>
        <v>7187621.1365496945</v>
      </c>
      <c r="U20" s="83">
        <f>$P$38*Product_lifespan!G24</f>
        <v>4552335.7761368323</v>
      </c>
      <c r="V20" s="83">
        <f>$P$38*Product_lifespan!H24</f>
        <v>2730584.1915180241</v>
      </c>
      <c r="W20" s="83">
        <f>$P$38*Product_lifespan!I24</f>
        <v>1557703.3984881742</v>
      </c>
      <c r="X20" s="83">
        <f>$P$38*Product_lifespan!J24</f>
        <v>847927.96801578079</v>
      </c>
      <c r="Y20" s="83">
        <f>$P$38*Product_lifespan!K24</f>
        <v>441615.71639839298</v>
      </c>
      <c r="Z20" s="83">
        <f>$P$38*Product_lifespan!L24</f>
        <v>220553.39093606386</v>
      </c>
      <c r="AA20" s="83">
        <f>$P$38*Product_lifespan!M24</f>
        <v>105826.39224648754</v>
      </c>
      <c r="AB20" s="83">
        <f>$P$38*Product_lifespan!N24</f>
        <v>48865.344297031981</v>
      </c>
    </row>
    <row r="21" spans="1:28">
      <c r="A21" s="1"/>
      <c r="B21" s="7">
        <v>2021</v>
      </c>
      <c r="C21" s="83"/>
      <c r="D21" s="83"/>
      <c r="E21" s="83"/>
      <c r="F21" s="83"/>
      <c r="G21" s="83"/>
      <c r="H21" s="83"/>
      <c r="I21" s="83"/>
      <c r="J21" s="83"/>
      <c r="K21" s="83"/>
      <c r="L21" s="83"/>
      <c r="M21" s="83"/>
      <c r="N21" s="83"/>
      <c r="O21" s="83"/>
      <c r="P21" s="83"/>
      <c r="Q21" s="83">
        <f>$Q$38*Product_lifespan!B24</f>
        <v>21406165.690000001</v>
      </c>
      <c r="R21" s="83">
        <f>$Q$38*Product_lifespan!C24</f>
        <v>18868835.659100819</v>
      </c>
      <c r="S21" s="83">
        <f>$Q$38*Product_lifespan!D24</f>
        <v>14756294.503828172</v>
      </c>
      <c r="T21" s="83">
        <f>$Q$38*Product_lifespan!E24</f>
        <v>10627278.789945934</v>
      </c>
      <c r="U21" s="83">
        <f>$Q$38*Product_lifespan!F24</f>
        <v>7147734.1071316628</v>
      </c>
      <c r="V21" s="83">
        <f>$Q$38*Product_lifespan!G24</f>
        <v>4527073.0156805003</v>
      </c>
      <c r="W21" s="83">
        <f>$Q$38*Product_lifespan!H24</f>
        <v>2715431.0706305513</v>
      </c>
      <c r="X21" s="83">
        <f>$Q$38*Product_lifespan!I24</f>
        <v>1549059.0695649206</v>
      </c>
      <c r="Y21" s="83">
        <f>$Q$38*Product_lifespan!J24</f>
        <v>843222.47127880994</v>
      </c>
      <c r="Z21" s="83">
        <f>$Q$38*Product_lifespan!K24</f>
        <v>439165.01139644522</v>
      </c>
      <c r="AA21" s="83">
        <f>$Q$38*Product_lifespan!L24</f>
        <v>219329.45057730193</v>
      </c>
      <c r="AB21" s="83">
        <f>$Q$38*Product_lifespan!M24</f>
        <v>105239.11860747015</v>
      </c>
    </row>
    <row r="22" spans="1:28">
      <c r="A22" s="1"/>
      <c r="B22" s="7">
        <v>2022</v>
      </c>
      <c r="C22" s="83"/>
      <c r="D22" s="83"/>
      <c r="E22" s="83"/>
      <c r="F22" s="83"/>
      <c r="G22" s="83"/>
      <c r="H22" s="83"/>
      <c r="I22" s="83"/>
      <c r="J22" s="83"/>
      <c r="K22" s="83"/>
      <c r="L22" s="83"/>
      <c r="M22" s="83"/>
      <c r="N22" s="83"/>
      <c r="O22" s="83"/>
      <c r="P22" s="83"/>
      <c r="Q22" s="83"/>
      <c r="R22" s="83">
        <f>$R$38*Product_lifespan!B24</f>
        <v>21406165.690000001</v>
      </c>
      <c r="S22" s="83">
        <f>$R$38*Product_lifespan!C24</f>
        <v>18868835.659100819</v>
      </c>
      <c r="T22" s="83">
        <f>$R$38*Product_lifespan!D24</f>
        <v>14756294.503828172</v>
      </c>
      <c r="U22" s="83">
        <f>$R$38*Product_lifespan!E24</f>
        <v>10627278.789945934</v>
      </c>
      <c r="V22" s="83">
        <f>$R$38*Product_lifespan!F24</f>
        <v>7147734.1071316628</v>
      </c>
      <c r="W22" s="83">
        <f>$R$38*Product_lifespan!G24</f>
        <v>4527073.0156805003</v>
      </c>
      <c r="X22" s="83">
        <f>$R$38*Product_lifespan!H24</f>
        <v>2715431.0706305513</v>
      </c>
      <c r="Y22" s="83">
        <f>$R$38*Product_lifespan!I24</f>
        <v>1549059.0695649206</v>
      </c>
      <c r="Z22" s="83">
        <f>$R$38*Product_lifespan!J24</f>
        <v>843222.47127880994</v>
      </c>
      <c r="AA22" s="83">
        <f>$R$38*Product_lifespan!K24</f>
        <v>439165.01139644522</v>
      </c>
      <c r="AB22" s="83">
        <f>$R$38*Product_lifespan!L24</f>
        <v>219329.45057730193</v>
      </c>
    </row>
    <row r="23" spans="1:28">
      <c r="A23" s="1"/>
      <c r="B23" s="7">
        <v>2023</v>
      </c>
      <c r="C23" s="83"/>
      <c r="D23" s="83"/>
      <c r="E23" s="83"/>
      <c r="F23" s="83"/>
      <c r="G23" s="83"/>
      <c r="H23" s="83"/>
      <c r="I23" s="83"/>
      <c r="J23" s="83"/>
      <c r="K23" s="83"/>
      <c r="L23" s="83"/>
      <c r="M23" s="83"/>
      <c r="N23" s="83"/>
      <c r="O23" s="83"/>
      <c r="P23" s="83"/>
      <c r="Q23" s="83"/>
      <c r="R23" s="83"/>
      <c r="S23" s="83">
        <f>$S$38*Product_lifespan!B31</f>
        <v>21406165.690000001</v>
      </c>
      <c r="T23" s="83">
        <f>$S$38*Product_lifespan!C31</f>
        <v>19467462.169660632</v>
      </c>
      <c r="U23" s="83">
        <f>$S$38*Product_lifespan!D31</f>
        <v>16179756.813901614</v>
      </c>
      <c r="V23" s="83">
        <f>$S$38*Product_lifespan!E31</f>
        <v>12638816.122240169</v>
      </c>
      <c r="W23" s="83">
        <f>$S$38*Product_lifespan!F31</f>
        <v>9377654.4682572037</v>
      </c>
      <c r="X23" s="83">
        <f>$S$38*Product_lifespan!G31</f>
        <v>6650361.2040895931</v>
      </c>
      <c r="Y23" s="83">
        <f>$S$38*Product_lifespan!H31</f>
        <v>4527073.0156804807</v>
      </c>
      <c r="Z23" s="83">
        <f>$S$38*Product_lifespan!I31</f>
        <v>2967510.8971140189</v>
      </c>
      <c r="AA23" s="83">
        <f>$S$38*Product_lifespan!J31</f>
        <v>1877807.362274477</v>
      </c>
      <c r="AB23" s="83">
        <f>$S$38*Product_lifespan!K31</f>
        <v>1149400.2285137346</v>
      </c>
    </row>
    <row r="24" spans="1:28">
      <c r="A24" s="1"/>
      <c r="B24" s="7">
        <v>2024</v>
      </c>
      <c r="C24" s="83"/>
      <c r="D24" s="83"/>
      <c r="E24" s="83"/>
      <c r="F24" s="83"/>
      <c r="G24" s="83"/>
      <c r="H24" s="83"/>
      <c r="I24" s="83"/>
      <c r="J24" s="83"/>
      <c r="K24" s="83"/>
      <c r="L24" s="83"/>
      <c r="M24" s="83"/>
      <c r="N24" s="83"/>
      <c r="O24" s="83"/>
      <c r="P24" s="83"/>
      <c r="Q24" s="83"/>
      <c r="R24" s="83"/>
      <c r="S24" s="83"/>
      <c r="T24" s="83">
        <f>$T$38*Product_lifespan!B31</f>
        <v>20807539.690000001</v>
      </c>
      <c r="U24" s="83">
        <f>$T$38*Product_lifespan!C31</f>
        <v>18923052.246952269</v>
      </c>
      <c r="V24" s="83">
        <f>$T$38*Product_lifespan!D31</f>
        <v>15727287.967180347</v>
      </c>
      <c r="W24" s="83">
        <f>$T$38*Product_lifespan!E31</f>
        <v>12285370.108154302</v>
      </c>
      <c r="X24" s="83">
        <f>$T$38*Product_lifespan!F31</f>
        <v>9115407.2323434222</v>
      </c>
      <c r="Y24" s="83">
        <f>$T$38*Product_lifespan!G31</f>
        <v>6464383.0525694853</v>
      </c>
      <c r="Z24" s="83">
        <f>$T$38*Product_lifespan!H31</f>
        <v>4400472.8739114795</v>
      </c>
      <c r="AA24" s="83">
        <f>$T$38*Product_lifespan!I31</f>
        <v>2884524.0977020324</v>
      </c>
      <c r="AB24" s="83">
        <f>$T$38*Product_lifespan!J31</f>
        <v>1825294.2533726781</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$U$38*Product_lifespan!B31</f>
        <v>19982703.690000001</v>
      </c>
      <c r="V25" s="83">
        <f>$U$38*Product_lifespan!C31</f>
        <v>18172919.604856748</v>
      </c>
      <c r="W25" s="83">
        <f>$U$38*Product_lifespan!D31</f>
        <v>15103839.280263668</v>
      </c>
      <c r="X25" s="83">
        <f>$U$38*Product_lifespan!E31</f>
        <v>11798363.201547289</v>
      </c>
      <c r="Y25" s="83">
        <f>$U$38*Product_lifespan!F31</f>
        <v>8754061.4821050763</v>
      </c>
      <c r="Z25" s="83">
        <f>$U$38*Product_lifespan!G31</f>
        <v>6208127.102130916</v>
      </c>
      <c r="AA25" s="83">
        <f>$U$38*Product_lifespan!H31</f>
        <v>4226032.8152835937</v>
      </c>
      <c r="AB25" s="83">
        <f>$U$38*Product_lifespan!I31</f>
        <v>2770178.0791866565</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$V$38*Product_lifespan!B31</f>
        <v>19394627.690000001</v>
      </c>
      <c r="W26" s="83">
        <f>$V$38*Product_lifespan!C31</f>
        <v>17638104.19472314</v>
      </c>
      <c r="X26" s="83">
        <f>$V$38*Product_lifespan!D31</f>
        <v>14659344.604949772</v>
      </c>
      <c r="Y26" s="83">
        <f>$V$38*Product_lifespan!E31</f>
        <v>11451146.211006349</v>
      </c>
      <c r="Z26" s="83">
        <f>$V$38*Product_lifespan!F31</f>
        <v>8496436.0105965994</v>
      </c>
      <c r="AA26" s="83">
        <f>$V$38*Product_lifespan!G31</f>
        <v>6025426.5721951323</v>
      </c>
      <c r="AB26" s="83">
        <f>$V$38*Product_lifespan!H31</f>
        <v>4101663.8353680079</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$W$38*Product_lifespan!B31</f>
        <v>19176244.690000001</v>
      </c>
      <c r="X27" s="83">
        <f>$W$38*Product_lifespan!C31</f>
        <v>17439499.603290725</v>
      </c>
      <c r="Y27" s="83">
        <f>$W$38*Product_lifespan!D31</f>
        <v>14494280.768508438</v>
      </c>
      <c r="Z27" s="83">
        <f>$W$38*Product_lifespan!E31</f>
        <v>11322206.604483889</v>
      </c>
      <c r="AA27" s="83">
        <f>$W$38*Product_lifespan!F31</f>
        <v>8400766.3635706436</v>
      </c>
      <c r="AB27" s="83">
        <f>$W$38*Product_lifespan!G31</f>
        <v>5957580.4267497035</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$X$38*Product_lifespan!B31</f>
        <v>19282877.690000001</v>
      </c>
      <c r="Y28" s="83">
        <f>$X$38*Product_lifespan!C31</f>
        <v>17536475.116028495</v>
      </c>
      <c r="Z28" s="83">
        <f>$X$38*Product_lifespan!D31</f>
        <v>14574878.855682114</v>
      </c>
      <c r="AA28" s="83">
        <f>$X$38*Product_lifespan!E31</f>
        <v>11385165.795731878</v>
      </c>
      <c r="AB28" s="83">
        <f>$X$38*Product_lifespan!F31</f>
        <v>8447480.3544550929</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$Y$38*Product_lifespan!B31</f>
        <v>19594523.690000001</v>
      </c>
      <c r="Z29" s="83">
        <f>$Y$38*Product_lifespan!C31</f>
        <v>17819896.108054183</v>
      </c>
      <c r="AA29" s="83">
        <f>$Y$38*Product_lifespan!D31</f>
        <v>14810435.123210248</v>
      </c>
      <c r="AB29" s="83">
        <f>$Y$38*Product_lifespan!E31</f>
        <v>11569170.56082027</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$Z$38*Product_lifespan!B31</f>
        <v>19987713.690000001</v>
      </c>
      <c r="AA30" s="83">
        <f>$Z$38*Product_lifespan!C31</f>
        <v>18177475.861539166</v>
      </c>
      <c r="AB30" s="83">
        <f>$Z$38*Product_lifespan!D31</f>
        <v>15107626.066875132</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$AA$38*Product_lifespan!B31</f>
        <v>20371580.690000001</v>
      </c>
      <c r="AB31" s="83">
        <f>$AA$38*Product_lifespan!C31</f>
        <v>18526576.976091977</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AB38*Product_lifespan!B31</f>
        <v>20695930.690000001</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(VLOOKUP(C2,Inflows!$E$2:$H$15,4,FALSE ))</f>
        <v>#N/A</v>
      </c>
      <c r="D35" s="167">
        <f>(VLOOKUP(D2,Inflows!$E$2:$H$15,4,FALSE ))</f>
        <v>131539.76</v>
      </c>
      <c r="E35" s="167">
        <f>(VLOOKUP(E2,Inflows!$E$2:$H$15,4,FALSE ))</f>
        <v>123559.92</v>
      </c>
      <c r="F35" s="167">
        <f>(VLOOKUP(F2,Inflows!$E$2:$H$15,4,FALSE ))</f>
        <v>111440.12</v>
      </c>
      <c r="G35" s="167">
        <f>(VLOOKUP(G2,Inflows!$E$2:$H$15,4,FALSE ))</f>
        <v>120766.8</v>
      </c>
      <c r="H35" s="167">
        <f>(VLOOKUP(H2,Inflows!$E$2:$H$15,4,FALSE ))</f>
        <v>150991.56</v>
      </c>
      <c r="I35" s="167">
        <f>(VLOOKUP(I2,Inflows!$E$2:$H$15,4,FALSE ))</f>
        <v>156858.13999999998</v>
      </c>
      <c r="J35" s="167">
        <f>(VLOOKUP(J2,Inflows!$E$2:$H$15,4,FALSE ))</f>
        <v>240599.22857142857</v>
      </c>
      <c r="K35" s="167">
        <f>(VLOOKUP(K2,Inflows!$E$2:$H$15,4,FALSE ))</f>
        <v>333264.09999999992</v>
      </c>
      <c r="L35" s="167">
        <f>(VLOOKUP(L2,Inflows!$E$2:$H$15,4,FALSE ))</f>
        <v>423099.97714285704</v>
      </c>
      <c r="M35" s="167">
        <f>(VLOOKUP(M2,Inflows!$E$2:$H$15,4,FALSE ))</f>
        <v>517397.74571428559</v>
      </c>
      <c r="N35" s="167">
        <f>(VLOOKUP(N2,Inflows!$E$2:$H$15,4,FALSE ))</f>
        <v>648586.74285714282</v>
      </c>
      <c r="O35" s="167">
        <f>(VLOOKUP(O2,Inflows!$E$2:$H$15,4,FALSE ))</f>
        <v>783938.60714285693</v>
      </c>
      <c r="P35" s="167">
        <f>(VLOOKUP(P2,Inflows!$E$2:$H$15,4,FALSE ))</f>
        <v>920106.92</v>
      </c>
      <c r="Q35" s="167">
        <f>(VLOOKUP(Q2,Inflows!$E$2:$H$15,4,FALSE ))</f>
        <v>1190116.2</v>
      </c>
      <c r="R35" s="167" t="e">
        <f>(VLOOKUP(R2,Inflows!$E$2:$H$15,4,FALSE ))</f>
        <v>#N/A</v>
      </c>
      <c r="S35" s="167" t="e">
        <f>(VLOOKUP(S2,Inflows!$E$2:$H$15,4,FALSE ))</f>
        <v>#N/A</v>
      </c>
      <c r="T35" s="167" t="e">
        <f>(VLOOKUP(T2,Inflows!$E$2:$H$15,4,FALSE ))</f>
        <v>#N/A</v>
      </c>
      <c r="U35" s="167" t="e">
        <f>(VLOOKUP(U2,Inflows!$E$2:$H$15,4,FALSE ))</f>
        <v>#N/A</v>
      </c>
      <c r="V35" s="167" t="e">
        <f>(VLOOKUP(V2,Inflows!$E$2:$H$15,4,FALSE ))</f>
        <v>#N/A</v>
      </c>
      <c r="W35" s="167" t="e">
        <f>(VLOOKUP(W2,Inflows!$E$2:$H$15,4,FALSE ))</f>
        <v>#N/A</v>
      </c>
      <c r="X35" s="167" t="e">
        <f>(VLOOKUP(X2,Inflows!$E$2:$H$15,4,FALSE ))</f>
        <v>#N/A</v>
      </c>
      <c r="Y35" s="167" t="e">
        <f>(VLOOKUP(Y2,Inflows!$E$2:$H$15,4,FALSE ))</f>
        <v>#N/A</v>
      </c>
      <c r="Z35" s="167" t="e">
        <f>(VLOOKUP(Z2,Inflows!$E$2:$H$15,4,FALSE ))</f>
        <v>#N/A</v>
      </c>
      <c r="AA35" s="167" t="e">
        <f>(VLOOKUP(AA2,Inflows!$E$2:$H$15,4,FALSE ))</f>
        <v>#N/A</v>
      </c>
      <c r="AB35" s="167" t="e">
        <f>(VLOOKUP(AB2,Inflows!$E$2:$H$15,4,FALSE ))</f>
        <v>#N/A</v>
      </c>
    </row>
    <row r="36" spans="1:32" ht="19">
      <c r="B36" s="166" t="s">
        <v>214</v>
      </c>
      <c r="C36" s="167">
        <f>(VLOOKUP(C2,Inflows!$E$16:$H$30,4,FALSE ))</f>
        <v>19493713.800000001</v>
      </c>
      <c r="D36" s="167">
        <f>(VLOOKUP(D2,Inflows!$E$16:$H$30,4,FALSE ))</f>
        <v>19102516.399999999</v>
      </c>
      <c r="E36" s="167">
        <f>(VLOOKUP(E2,Inflows!$E$16:$H$30,4,FALSE ))</f>
        <v>20373363.559999999</v>
      </c>
      <c r="F36" s="167">
        <f>(VLOOKUP(F2,Inflows!$E$16:$H$30,4,FALSE ))</f>
        <v>21680436.800000001</v>
      </c>
      <c r="G36" s="167">
        <f>(VLOOKUP(G2,Inflows!$E$16:$H$30,4,FALSE ))</f>
        <v>19761832.640000001</v>
      </c>
      <c r="H36" s="167">
        <f>(VLOOKUP(H2,Inflows!$E$16:$H$30,4,FALSE ))</f>
        <v>23524308.360000003</v>
      </c>
      <c r="I36" s="167">
        <f>(VLOOKUP(I2,Inflows!$E$16:$H$30,4,FALSE ))</f>
        <v>27353621.280000001</v>
      </c>
      <c r="J36" s="167">
        <f>(VLOOKUP(J2,Inflows!$E$16:$H$30,4,FALSE ))</f>
        <v>27140838.120000001</v>
      </c>
      <c r="K36" s="167">
        <f>(VLOOKUP(K2,Inflows!$E$16:$H$30,4,FALSE ))</f>
        <v>27348712.299999997</v>
      </c>
      <c r="L36" s="167">
        <f>(VLOOKUP(L2,Inflows!$E$16:$H$30,4,FALSE ))</f>
        <v>26555055.84</v>
      </c>
      <c r="M36" s="167">
        <f>(VLOOKUP(M2,Inflows!$E$16:$H$30,4,FALSE ))</f>
        <v>23358322.739999998</v>
      </c>
      <c r="N36" s="167">
        <f>(VLOOKUP(N2,Inflows!$E$16:$H$30,4,FALSE ))</f>
        <v>23514952.800000001</v>
      </c>
      <c r="O36" s="167">
        <f>(VLOOKUP(O2,Inflows!$E$16:$H$30,4,FALSE ))</f>
        <v>24538051.599999998</v>
      </c>
      <c r="P36" s="167">
        <f>(VLOOKUP(P2,Inflows!$E$16:$H$30,4,FALSE ))</f>
        <v>26349760.080000002</v>
      </c>
      <c r="Q36" s="167">
        <f>(VLOOKUP(Q2,Inflows!$E$16:$H$30,4,FALSE ))</f>
        <v>23536843.330000002</v>
      </c>
      <c r="R36" s="167" t="e">
        <f>(VLOOKUP(R2,Inflows!$E$16:$H$30,4,FALSE ))</f>
        <v>#N/A</v>
      </c>
      <c r="S36" s="167" t="e">
        <f>(VLOOKUP(S2,Inflows!$E$16:$H$30,4,FALSE ))</f>
        <v>#N/A</v>
      </c>
      <c r="T36" s="167" t="e">
        <f>(VLOOKUP(T2,Inflows!$E$16:$H$30,4,FALSE ))</f>
        <v>#N/A</v>
      </c>
      <c r="U36" s="167" t="e">
        <f>(VLOOKUP(U2,Inflows!$E$16:$H$30,4,FALSE ))</f>
        <v>#N/A</v>
      </c>
      <c r="V36" s="167" t="e">
        <f>(VLOOKUP(V2,Inflows!$E$16:$H$30,4,FALSE ))</f>
        <v>#N/A</v>
      </c>
      <c r="W36" s="167" t="e">
        <f>(VLOOKUP(W2,Inflows!$E$16:$H$30,4,FALSE ))</f>
        <v>#N/A</v>
      </c>
      <c r="X36" s="167" t="e">
        <f>(VLOOKUP(X2,Inflows!$E$16:$H$30,4,FALSE ))</f>
        <v>#N/A</v>
      </c>
      <c r="Y36" s="167" t="e">
        <f>(VLOOKUP(Y2,Inflows!$E$16:$H$30,4,FALSE ))</f>
        <v>#N/A</v>
      </c>
      <c r="Z36" s="167" t="e">
        <f>(VLOOKUP(Z2,Inflows!$E$16:$H$30,4,FALSE ))</f>
        <v>#N/A</v>
      </c>
      <c r="AA36" s="167" t="e">
        <f>(VLOOKUP(AA2,Inflows!$E$16:$H$30,4,FALSE ))</f>
        <v>#N/A</v>
      </c>
      <c r="AB36" s="167" t="e">
        <f>(VLOOKUP(AB2,Inflows!$E$16:$H$30,4,FALSE ))</f>
        <v>#N/A</v>
      </c>
    </row>
    <row r="37" spans="1:32" ht="19">
      <c r="B37" s="166" t="s">
        <v>7856</v>
      </c>
      <c r="C37" s="7">
        <f>(VLOOKUP(C2,Inflows!$E$31:$H$45,4,FALSE ))</f>
        <v>2593712.44</v>
      </c>
      <c r="D37" s="7">
        <f>(VLOOKUP(D2,Inflows!$E$31:$H$45,4,FALSE ))</f>
        <v>3234505.12</v>
      </c>
      <c r="E37" s="7">
        <f>(VLOOKUP(E2,Inflows!$E$31:$H$45,4,FALSE ))</f>
        <v>4148145.7600000002</v>
      </c>
      <c r="F37" s="7">
        <f>(VLOOKUP(F2,Inflows!$E$31:$H$45,4,FALSE ))</f>
        <v>4952415.16</v>
      </c>
      <c r="G37" s="7">
        <f>(VLOOKUP(G2,Inflows!$E$31:$H$45,4,FALSE ))</f>
        <v>5624324.2000000002</v>
      </c>
      <c r="H37" s="7">
        <f>(VLOOKUP(H2,Inflows!$E$31:$H$45,4,FALSE ))</f>
        <v>5715307.0800000001</v>
      </c>
      <c r="I37" s="7">
        <f>(VLOOKUP(I2,Inflows!$E$31:$H$45,4,FALSE ))</f>
        <v>5844056.1399999997</v>
      </c>
      <c r="J37" s="7">
        <f>(VLOOKUP(J2,Inflows!$E$31:$H$45,4,FALSE ))</f>
        <v>6377753.5800000001</v>
      </c>
      <c r="K37" s="7">
        <f>(VLOOKUP(K2,Inflows!$E$31:$H$45,4,FALSE ))</f>
        <v>5802096.2999999998</v>
      </c>
      <c r="L37" s="7">
        <f>(VLOOKUP(L2,Inflows!$E$31:$H$45,4,FALSE ))</f>
        <v>5040950.3999999994</v>
      </c>
      <c r="M37" s="7">
        <f>(VLOOKUP(M2,Inflows!$E$31:$H$45,4,FALSE ))</f>
        <v>5163544.62</v>
      </c>
      <c r="N37" s="7">
        <f>(VLOOKUP(N2,Inflows!$E$31:$H$45,4,FALSE ))</f>
        <v>3988456.8000000003</v>
      </c>
      <c r="O37" s="7">
        <f>(VLOOKUP(O2,Inflows!$E$31:$H$45,4,FALSE ))</f>
        <v>5023590.0999999996</v>
      </c>
      <c r="P37" s="7">
        <f>(VLOOKUP(P2,Inflows!$E$31:$H$45,4,FALSE ))</f>
        <v>5744246.9000000004</v>
      </c>
      <c r="Q37" s="7">
        <f>(VLOOKUP(Q2,Inflows!$E$31:$H$45,4,FALSE ))</f>
        <v>3320793.8400000003</v>
      </c>
      <c r="R37" s="7" t="e">
        <f>(VLOOKUP(R2,Inflows!$E$31:$H$45,4,FALSE ))</f>
        <v>#N/A</v>
      </c>
      <c r="S37" s="7" t="e">
        <f>(VLOOKUP(S2,Inflows!$E$31:$H$45,4,FALSE ))</f>
        <v>#N/A</v>
      </c>
      <c r="T37" s="7" t="e">
        <f>(VLOOKUP(T2,Inflows!$E$31:$H$45,4,FALSE ))</f>
        <v>#N/A</v>
      </c>
      <c r="U37" s="7" t="e">
        <f>(VLOOKUP(U2,Inflows!$E$31:$H$45,4,FALSE ))</f>
        <v>#N/A</v>
      </c>
      <c r="V37" s="7" t="e">
        <f>(VLOOKUP(V2,Inflows!$E$31:$H$45,4,FALSE ))</f>
        <v>#N/A</v>
      </c>
      <c r="W37" s="7" t="e">
        <f>(VLOOKUP(W2,Inflows!$E$31:$H$45,4,FALSE ))</f>
        <v>#N/A</v>
      </c>
      <c r="X37" s="7" t="e">
        <f>(VLOOKUP(X2,Inflows!$E$31:$H$45,4,FALSE ))</f>
        <v>#N/A</v>
      </c>
      <c r="Y37" s="7" t="e">
        <f>(VLOOKUP(Y2,Inflows!$E$31:$H$45,4,FALSE ))</f>
        <v>#N/A</v>
      </c>
      <c r="Z37" s="7" t="e">
        <f>(VLOOKUP(Z2,Inflows!$E$31:$H$45,4,FALSE ))</f>
        <v>#N/A</v>
      </c>
      <c r="AA37" s="7" t="e">
        <f>(VLOOKUP(AA2,Inflows!$E$31:$H$45,4,FALSE ))</f>
        <v>#N/A</v>
      </c>
      <c r="AB37" s="7" t="e">
        <f>(VLOOKUP(AB2,Inflows!$E$31:$H$45,4,FALSE ))</f>
        <v>#N/A</v>
      </c>
    </row>
    <row r="38" spans="1:32">
      <c r="A38" s="1"/>
      <c r="B38" s="7" t="s">
        <v>7877</v>
      </c>
      <c r="C38" s="374">
        <f>C36-C37</f>
        <v>16900001.359999999</v>
      </c>
      <c r="D38" s="374">
        <f>D35+D36-D37</f>
        <v>15999551.039999999</v>
      </c>
      <c r="E38" s="374">
        <f t="shared" ref="E38:Q38" si="1">E35+E36-E37</f>
        <v>16348777.720000001</v>
      </c>
      <c r="F38" s="374">
        <f t="shared" si="1"/>
        <v>16839461.760000002</v>
      </c>
      <c r="G38" s="374">
        <f t="shared" si="1"/>
        <v>14258275.240000002</v>
      </c>
      <c r="H38" s="374">
        <f t="shared" si="1"/>
        <v>17959992.840000004</v>
      </c>
      <c r="I38" s="374">
        <f t="shared" si="1"/>
        <v>21666423.280000001</v>
      </c>
      <c r="J38" s="374">
        <f t="shared" si="1"/>
        <v>21003683.768571429</v>
      </c>
      <c r="K38" s="374">
        <f t="shared" si="1"/>
        <v>21879880.099999998</v>
      </c>
      <c r="L38" s="374">
        <f t="shared" si="1"/>
        <v>21937205.417142857</v>
      </c>
      <c r="M38" s="374">
        <f t="shared" si="1"/>
        <v>18712175.865714282</v>
      </c>
      <c r="N38" s="374">
        <f t="shared" si="1"/>
        <v>20175082.742857143</v>
      </c>
      <c r="O38" s="374">
        <f t="shared" si="1"/>
        <v>20298400.107142858</v>
      </c>
      <c r="P38" s="374">
        <f t="shared" si="1"/>
        <v>21525620.100000001</v>
      </c>
      <c r="Q38" s="374">
        <f t="shared" si="1"/>
        <v>21406165.690000001</v>
      </c>
      <c r="R38" s="379">
        <f>$Q$38-R187</f>
        <v>21406165.690000001</v>
      </c>
      <c r="S38" s="379">
        <f t="shared" ref="S38:AB38" si="2">$Q$38-S187</f>
        <v>21406165.690000001</v>
      </c>
      <c r="T38" s="379">
        <f t="shared" si="2"/>
        <v>20807539.690000001</v>
      </c>
      <c r="U38" s="379">
        <f t="shared" si="2"/>
        <v>19982703.690000001</v>
      </c>
      <c r="V38" s="379">
        <f t="shared" si="2"/>
        <v>19394627.690000001</v>
      </c>
      <c r="W38" s="379">
        <f t="shared" si="2"/>
        <v>19176244.690000001</v>
      </c>
      <c r="X38" s="379">
        <f t="shared" si="2"/>
        <v>19282877.690000001</v>
      </c>
      <c r="Y38" s="379">
        <f t="shared" si="2"/>
        <v>19594523.690000001</v>
      </c>
      <c r="Z38" s="379">
        <f t="shared" si="2"/>
        <v>19987713.690000001</v>
      </c>
      <c r="AA38" s="379">
        <f t="shared" si="2"/>
        <v>20371580.690000001</v>
      </c>
      <c r="AB38" s="379">
        <f t="shared" si="2"/>
        <v>20695930.690000001</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c r="S40" s="201"/>
      <c r="T40" s="201"/>
      <c r="U40" s="201"/>
      <c r="V40" s="201"/>
      <c r="W40" s="201"/>
      <c r="X40" s="201"/>
      <c r="Y40" s="201"/>
      <c r="Z40" s="201"/>
      <c r="AA40" s="201"/>
      <c r="AB40" s="201"/>
    </row>
    <row r="41" spans="1:32">
      <c r="A41" s="1" t="s">
        <v>7762</v>
      </c>
      <c r="B41" s="7">
        <v>2007</v>
      </c>
      <c r="C41" s="50"/>
      <c r="D41" s="50">
        <f t="shared" ref="D41:AB41" si="3">C7-D7</f>
        <v>2003202.3293642458</v>
      </c>
      <c r="E41" s="50">
        <f t="shared" si="3"/>
        <v>3246819.2633691486</v>
      </c>
      <c r="F41" s="50">
        <f t="shared" si="3"/>
        <v>3259825.7992868572</v>
      </c>
      <c r="G41" s="50">
        <f t="shared" si="3"/>
        <v>2747073.4704820439</v>
      </c>
      <c r="H41" s="50">
        <f t="shared" si="3"/>
        <v>2068991.5536958426</v>
      </c>
      <c r="I41" s="50">
        <f t="shared" si="3"/>
        <v>1430277.2284659995</v>
      </c>
      <c r="J41" s="50">
        <f t="shared" si="3"/>
        <v>920841.62524648197</v>
      </c>
      <c r="K41" s="50">
        <f t="shared" si="3"/>
        <v>557252.50583039108</v>
      </c>
      <c r="L41" s="50">
        <f t="shared" si="3"/>
        <v>319000.22266575805</v>
      </c>
      <c r="M41" s="50">
        <f t="shared" si="3"/>
        <v>173558.46584685027</v>
      </c>
      <c r="N41" s="50">
        <f t="shared" si="3"/>
        <v>90073.429934896878</v>
      </c>
      <c r="O41" s="50">
        <f t="shared" si="3"/>
        <v>44720.745945563918</v>
      </c>
      <c r="P41" s="50">
        <f t="shared" si="3"/>
        <v>21292.37720098186</v>
      </c>
      <c r="Q41" s="50">
        <f t="shared" si="3"/>
        <v>9741.3219603033322</v>
      </c>
      <c r="R41" s="50">
        <f t="shared" si="3"/>
        <v>4289.8304086952439</v>
      </c>
      <c r="S41" s="50">
        <f t="shared" si="3"/>
        <v>1821.1354561150281</v>
      </c>
      <c r="T41" s="50">
        <f t="shared" si="3"/>
        <v>746.2720335009783</v>
      </c>
      <c r="U41" s="50">
        <f t="shared" si="3"/>
        <v>295.53842925296942</v>
      </c>
      <c r="V41" s="50">
        <f t="shared" si="3"/>
        <v>113.22675623341347</v>
      </c>
      <c r="W41" s="50">
        <f t="shared" si="3"/>
        <v>42.006342803486987</v>
      </c>
      <c r="X41" s="50">
        <f t="shared" si="3"/>
        <v>15.103809219723065</v>
      </c>
      <c r="Y41" s="50">
        <f t="shared" si="3"/>
        <v>5.2675315653689339</v>
      </c>
      <c r="Z41" s="50">
        <f t="shared" si="3"/>
        <v>1.783169123072045</v>
      </c>
      <c r="AA41" s="50">
        <f t="shared" si="3"/>
        <v>0.58631957173678972</v>
      </c>
      <c r="AB41" s="50">
        <f t="shared" si="3"/>
        <v>0.18737145747341319</v>
      </c>
    </row>
    <row r="42" spans="1:32">
      <c r="B42" s="7">
        <v>2008</v>
      </c>
      <c r="C42" s="8"/>
      <c r="D42" s="50"/>
      <c r="E42" s="50">
        <f t="shared" ref="E42:AB42" si="4">D8-E8</f>
        <v>1896469.5463261269</v>
      </c>
      <c r="F42" s="50">
        <f t="shared" si="4"/>
        <v>3073825.2273093238</v>
      </c>
      <c r="G42" s="50">
        <f t="shared" si="4"/>
        <v>3086138.760949715</v>
      </c>
      <c r="H42" s="50">
        <f t="shared" si="4"/>
        <v>2600706.4298607484</v>
      </c>
      <c r="I42" s="50">
        <f t="shared" si="4"/>
        <v>1958753.4497503452</v>
      </c>
      <c r="J42" s="50">
        <f t="shared" si="4"/>
        <v>1354070.5134115743</v>
      </c>
      <c r="K42" s="50">
        <f t="shared" si="4"/>
        <v>871778.18918753276</v>
      </c>
      <c r="L42" s="50">
        <f t="shared" si="4"/>
        <v>527561.49063417816</v>
      </c>
      <c r="M42" s="50">
        <f t="shared" si="4"/>
        <v>302003.54636611464</v>
      </c>
      <c r="N42" s="50">
        <f t="shared" si="4"/>
        <v>164311.08338921325</v>
      </c>
      <c r="O42" s="50">
        <f t="shared" si="4"/>
        <v>85274.220332444209</v>
      </c>
      <c r="P42" s="50">
        <f t="shared" si="4"/>
        <v>42337.976314986685</v>
      </c>
      <c r="Q42" s="50">
        <f t="shared" si="4"/>
        <v>20157.896353568201</v>
      </c>
      <c r="R42" s="50">
        <f t="shared" si="4"/>
        <v>9222.2938082027504</v>
      </c>
      <c r="S42" s="50">
        <f t="shared" si="4"/>
        <v>4061.2636126358052</v>
      </c>
      <c r="T42" s="50">
        <f t="shared" si="4"/>
        <v>1724.1033926677785</v>
      </c>
      <c r="U42" s="50">
        <f t="shared" si="4"/>
        <v>706.50985377929533</v>
      </c>
      <c r="V42" s="50">
        <f t="shared" si="4"/>
        <v>279.79182263890146</v>
      </c>
      <c r="W42" s="50">
        <f t="shared" si="4"/>
        <v>107.19391240629682</v>
      </c>
      <c r="X42" s="50">
        <f t="shared" si="4"/>
        <v>39.768199503158307</v>
      </c>
      <c r="Y42" s="50">
        <f t="shared" si="4"/>
        <v>14.299061956370263</v>
      </c>
      <c r="Z42" s="50">
        <f t="shared" si="4"/>
        <v>4.9868717960228235</v>
      </c>
      <c r="AA42" s="50">
        <f t="shared" si="4"/>
        <v>1.6881599468429407</v>
      </c>
      <c r="AB42" s="50">
        <f t="shared" si="4"/>
        <v>0.55507983188432763</v>
      </c>
    </row>
    <row r="43" spans="1:32">
      <c r="B43" s="7">
        <v>2009</v>
      </c>
      <c r="C43" s="8"/>
      <c r="D43" s="8"/>
      <c r="E43" s="50"/>
      <c r="F43" s="50">
        <f t="shared" ref="F43:AB43" si="5">E9-F9</f>
        <v>1937864.3180749584</v>
      </c>
      <c r="G43" s="50">
        <f t="shared" si="5"/>
        <v>3140918.4711353388</v>
      </c>
      <c r="H43" s="50">
        <f t="shared" si="5"/>
        <v>3153500.7757219616</v>
      </c>
      <c r="I43" s="50">
        <f t="shared" si="5"/>
        <v>2657472.777234138</v>
      </c>
      <c r="J43" s="50">
        <f t="shared" si="5"/>
        <v>2001507.7096970584</v>
      </c>
      <c r="K43" s="50">
        <f t="shared" si="5"/>
        <v>1383626.1896116373</v>
      </c>
      <c r="L43" s="50">
        <f t="shared" si="5"/>
        <v>890806.73579769908</v>
      </c>
      <c r="M43" s="50">
        <f t="shared" si="5"/>
        <v>539076.72299347469</v>
      </c>
      <c r="N43" s="50">
        <f t="shared" si="5"/>
        <v>308595.46232563053</v>
      </c>
      <c r="O43" s="50">
        <f t="shared" si="5"/>
        <v>167897.54740909481</v>
      </c>
      <c r="P43" s="50">
        <f t="shared" si="5"/>
        <v>87135.524614160342</v>
      </c>
      <c r="Q43" s="50">
        <f t="shared" si="5"/>
        <v>43262.099177524309</v>
      </c>
      <c r="R43" s="50">
        <f t="shared" si="5"/>
        <v>20597.888400953852</v>
      </c>
      <c r="S43" s="50">
        <f t="shared" si="5"/>
        <v>9423.5913971520458</v>
      </c>
      <c r="T43" s="50">
        <f t="shared" si="5"/>
        <v>4149.9099505548975</v>
      </c>
      <c r="U43" s="50">
        <f t="shared" si="5"/>
        <v>1761.7358801227583</v>
      </c>
      <c r="V43" s="50">
        <f t="shared" si="5"/>
        <v>721.93104216175561</v>
      </c>
      <c r="W43" s="50">
        <f t="shared" si="5"/>
        <v>285.89891708592995</v>
      </c>
      <c r="X43" s="50">
        <f t="shared" si="5"/>
        <v>109.53366394384133</v>
      </c>
      <c r="Y43" s="50">
        <f t="shared" si="5"/>
        <v>40.636231127754797</v>
      </c>
      <c r="Z43" s="50">
        <f t="shared" si="5"/>
        <v>14.611171585050041</v>
      </c>
      <c r="AA43" s="50">
        <f t="shared" si="5"/>
        <v>5.0957216429064447</v>
      </c>
      <c r="AB43" s="50">
        <f t="shared" si="5"/>
        <v>1.7250078866426901</v>
      </c>
      <c r="AD43" s="1"/>
    </row>
    <row r="44" spans="1:32">
      <c r="B44" s="7">
        <v>2010</v>
      </c>
      <c r="C44" s="8"/>
      <c r="D44" s="8"/>
      <c r="E44" s="8"/>
      <c r="F44" s="50"/>
      <c r="G44" s="50">
        <f t="shared" ref="G44:AB44" si="6">F10-G10</f>
        <v>1996026.4087737408</v>
      </c>
      <c r="H44" s="50">
        <f t="shared" si="6"/>
        <v>3235188.4276496973</v>
      </c>
      <c r="I44" s="50">
        <f t="shared" si="6"/>
        <v>3248148.3712349534</v>
      </c>
      <c r="J44" s="50">
        <f t="shared" si="6"/>
        <v>2737232.8364175279</v>
      </c>
      <c r="K44" s="50">
        <f t="shared" si="6"/>
        <v>2061579.9613299039</v>
      </c>
      <c r="L44" s="50">
        <f t="shared" si="6"/>
        <v>1425153.6542451489</v>
      </c>
      <c r="M44" s="50">
        <f t="shared" si="6"/>
        <v>917542.96375715733</v>
      </c>
      <c r="N44" s="50">
        <f t="shared" si="6"/>
        <v>555256.30221576779</v>
      </c>
      <c r="O44" s="50">
        <f t="shared" si="6"/>
        <v>317857.49223226792</v>
      </c>
      <c r="P44" s="50">
        <f t="shared" si="6"/>
        <v>172936.74044723876</v>
      </c>
      <c r="Q44" s="50">
        <f t="shared" si="6"/>
        <v>89750.766681638634</v>
      </c>
      <c r="R44" s="50">
        <f t="shared" si="6"/>
        <v>44560.546190926376</v>
      </c>
      <c r="S44" s="50">
        <f t="shared" si="6"/>
        <v>21216.10312435087</v>
      </c>
      <c r="T44" s="50">
        <f t="shared" si="6"/>
        <v>9706.4263574932793</v>
      </c>
      <c r="U44" s="50">
        <f t="shared" si="6"/>
        <v>4274.4632728306915</v>
      </c>
      <c r="V44" s="50">
        <f t="shared" si="6"/>
        <v>1814.6117399501306</v>
      </c>
      <c r="W44" s="50">
        <f t="shared" si="6"/>
        <v>743.59871949129615</v>
      </c>
      <c r="X44" s="50">
        <f t="shared" si="6"/>
        <v>294.47974423215351</v>
      </c>
      <c r="Y44" s="50">
        <f t="shared" si="6"/>
        <v>112.82115256595505</v>
      </c>
      <c r="Z44" s="50">
        <f t="shared" si="6"/>
        <v>41.855866650461053</v>
      </c>
      <c r="AA44" s="50">
        <f t="shared" si="6"/>
        <v>15.049703983329268</v>
      </c>
      <c r="AB44" s="50">
        <f t="shared" si="6"/>
        <v>5.2486620844048915</v>
      </c>
    </row>
    <row r="45" spans="1:32">
      <c r="B45" s="7">
        <v>2011</v>
      </c>
      <c r="C45" s="8"/>
      <c r="D45" s="8"/>
      <c r="E45" s="8"/>
      <c r="F45" s="8"/>
      <c r="G45" s="50"/>
      <c r="H45" s="50">
        <f t="shared" ref="H45:AB45" si="7">G11-H11</f>
        <v>1690071.4718927424</v>
      </c>
      <c r="I45" s="50">
        <f t="shared" si="7"/>
        <v>2739292.247704966</v>
      </c>
      <c r="J45" s="50">
        <f t="shared" si="7"/>
        <v>2750265.6651079124</v>
      </c>
      <c r="K45" s="50">
        <f t="shared" si="7"/>
        <v>2317664.2896219864</v>
      </c>
      <c r="L45" s="50">
        <f t="shared" si="7"/>
        <v>1745576.8442512457</v>
      </c>
      <c r="M45" s="50">
        <f t="shared" si="7"/>
        <v>1206703.2397548037</v>
      </c>
      <c r="N45" s="50">
        <f t="shared" si="7"/>
        <v>776900.13542183978</v>
      </c>
      <c r="O45" s="50">
        <f t="shared" si="7"/>
        <v>470145.50100068282</v>
      </c>
      <c r="P45" s="50">
        <f t="shared" si="7"/>
        <v>269135.6574180575</v>
      </c>
      <c r="Q45" s="50">
        <f t="shared" si="7"/>
        <v>146428.64953453065</v>
      </c>
      <c r="R45" s="50">
        <f t="shared" si="7"/>
        <v>75993.58890362925</v>
      </c>
      <c r="S45" s="50">
        <f t="shared" si="7"/>
        <v>37730.216172595879</v>
      </c>
      <c r="T45" s="50">
        <f t="shared" si="7"/>
        <v>17964.056225703182</v>
      </c>
      <c r="U45" s="50">
        <f t="shared" si="7"/>
        <v>8218.6058304235139</v>
      </c>
      <c r="V45" s="50">
        <f t="shared" si="7"/>
        <v>3619.2649572720798</v>
      </c>
      <c r="W45" s="50">
        <f t="shared" si="7"/>
        <v>1536.4644078709716</v>
      </c>
      <c r="X45" s="50">
        <f t="shared" si="7"/>
        <v>629.61841427753893</v>
      </c>
      <c r="Y45" s="50">
        <f t="shared" si="7"/>
        <v>249.34129758473028</v>
      </c>
      <c r="Z45" s="50">
        <f t="shared" si="7"/>
        <v>95.527699703593129</v>
      </c>
      <c r="AA45" s="50">
        <f t="shared" si="7"/>
        <v>35.44011534434047</v>
      </c>
      <c r="AB45" s="50">
        <f t="shared" si="7"/>
        <v>12.742855129998709</v>
      </c>
      <c r="AD45" s="1"/>
      <c r="AE45" s="1"/>
      <c r="AF45" s="1"/>
    </row>
    <row r="46" spans="1:32">
      <c r="B46" s="7">
        <v>2012</v>
      </c>
      <c r="C46" s="8"/>
      <c r="D46" s="8"/>
      <c r="E46" s="8"/>
      <c r="F46" s="8"/>
      <c r="G46" s="8"/>
      <c r="H46" s="50"/>
      <c r="I46" s="50">
        <f t="shared" ref="I46:AB46" si="8">H12-I12</f>
        <v>2128845.9524983838</v>
      </c>
      <c r="J46" s="50">
        <f t="shared" si="8"/>
        <v>3450464.2621451244</v>
      </c>
      <c r="K46" s="50">
        <f t="shared" si="8"/>
        <v>3464286.5860005617</v>
      </c>
      <c r="L46" s="50">
        <f t="shared" si="8"/>
        <v>2919373.7213291842</v>
      </c>
      <c r="M46" s="50">
        <f t="shared" si="8"/>
        <v>2198761.5680521941</v>
      </c>
      <c r="N46" s="50">
        <f t="shared" si="8"/>
        <v>1519986.196170602</v>
      </c>
      <c r="O46" s="50">
        <f t="shared" si="8"/>
        <v>978598.08670457918</v>
      </c>
      <c r="P46" s="50">
        <f t="shared" si="8"/>
        <v>592204.15440167056</v>
      </c>
      <c r="Q46" s="50">
        <f t="shared" si="8"/>
        <v>339008.35822390846</v>
      </c>
      <c r="R46" s="50">
        <f t="shared" si="8"/>
        <v>184444.29308204603</v>
      </c>
      <c r="S46" s="50">
        <f t="shared" si="8"/>
        <v>95722.960149216815</v>
      </c>
      <c r="T46" s="50">
        <f t="shared" si="8"/>
        <v>47525.693038274825</v>
      </c>
      <c r="U46" s="50">
        <f t="shared" si="8"/>
        <v>22627.864574101644</v>
      </c>
      <c r="V46" s="50">
        <f t="shared" si="8"/>
        <v>10352.311158582221</v>
      </c>
      <c r="W46" s="50">
        <f t="shared" si="8"/>
        <v>4558.8945103481865</v>
      </c>
      <c r="X46" s="50">
        <f t="shared" si="8"/>
        <v>1935.3595929234909</v>
      </c>
      <c r="Y46" s="50">
        <f t="shared" si="8"/>
        <v>793.07924850781262</v>
      </c>
      <c r="Z46" s="50">
        <f t="shared" si="8"/>
        <v>314.07500865006909</v>
      </c>
      <c r="AA46" s="50">
        <f t="shared" si="8"/>
        <v>120.3284951243656</v>
      </c>
      <c r="AB46" s="50">
        <f t="shared" si="8"/>
        <v>44.641038773573911</v>
      </c>
    </row>
    <row r="47" spans="1:32">
      <c r="B47" s="7">
        <v>2013</v>
      </c>
      <c r="C47" s="8"/>
      <c r="D47" s="8"/>
      <c r="E47" s="8"/>
      <c r="F47" s="8"/>
      <c r="G47" s="8"/>
      <c r="H47" s="8"/>
      <c r="I47" s="50"/>
      <c r="J47" s="50">
        <f t="shared" ref="J47:AB47" si="9">I13-J13</f>
        <v>2568179.058625102</v>
      </c>
      <c r="K47" s="50">
        <f t="shared" si="9"/>
        <v>4162541.7048968654</v>
      </c>
      <c r="L47" s="50">
        <f t="shared" si="9"/>
        <v>4179216.5622886904</v>
      </c>
      <c r="M47" s="50">
        <f t="shared" si="9"/>
        <v>3521849.2191128768</v>
      </c>
      <c r="N47" s="50">
        <f t="shared" si="9"/>
        <v>2652523.263768482</v>
      </c>
      <c r="O47" s="50">
        <f t="shared" si="9"/>
        <v>1833668.0086332019</v>
      </c>
      <c r="P47" s="50">
        <f t="shared" si="9"/>
        <v>1180552.8296379629</v>
      </c>
      <c r="Q47" s="50">
        <f t="shared" si="9"/>
        <v>714418.20671912178</v>
      </c>
      <c r="R47" s="50">
        <f t="shared" si="9"/>
        <v>408970.01742552308</v>
      </c>
      <c r="S47" s="50">
        <f t="shared" si="9"/>
        <v>222508.33622804406</v>
      </c>
      <c r="T47" s="50">
        <f t="shared" si="9"/>
        <v>115477.44983441225</v>
      </c>
      <c r="U47" s="50">
        <f t="shared" si="9"/>
        <v>57333.641010661529</v>
      </c>
      <c r="V47" s="50">
        <f t="shared" si="9"/>
        <v>27297.610647878355</v>
      </c>
      <c r="W47" s="50">
        <f t="shared" si="9"/>
        <v>12488.733012663579</v>
      </c>
      <c r="X47" s="50">
        <f t="shared" si="9"/>
        <v>5499.7203523424196</v>
      </c>
      <c r="Y47" s="50">
        <f t="shared" si="9"/>
        <v>2334.7626311909398</v>
      </c>
      <c r="Z47" s="50">
        <f t="shared" si="9"/>
        <v>956.74819282136059</v>
      </c>
      <c r="AA47" s="50">
        <f t="shared" si="9"/>
        <v>378.89113540883005</v>
      </c>
      <c r="AB47" s="50">
        <f t="shared" si="9"/>
        <v>145.16086566601999</v>
      </c>
    </row>
    <row r="48" spans="1:32">
      <c r="B48" s="7">
        <v>2014</v>
      </c>
      <c r="C48" s="8"/>
      <c r="D48" s="8"/>
      <c r="E48" s="8"/>
      <c r="F48" s="8"/>
      <c r="G48" s="8"/>
      <c r="H48" s="8"/>
      <c r="I48" s="8"/>
      <c r="J48" s="50"/>
      <c r="K48" s="50">
        <f t="shared" ref="K48:AB48" si="10">J14-K14</f>
        <v>2489622.7730500177</v>
      </c>
      <c r="L48" s="50">
        <f t="shared" si="10"/>
        <v>4035216.5428175814</v>
      </c>
      <c r="M48" s="50">
        <f t="shared" si="10"/>
        <v>4051381.3443179391</v>
      </c>
      <c r="N48" s="50">
        <f t="shared" si="10"/>
        <v>3414121.7644870579</v>
      </c>
      <c r="O48" s="50">
        <f t="shared" si="10"/>
        <v>2571387.0305672418</v>
      </c>
      <c r="P48" s="50">
        <f t="shared" si="10"/>
        <v>1777579.1828746125</v>
      </c>
      <c r="Q48" s="50">
        <f t="shared" si="10"/>
        <v>1144441.7006611691</v>
      </c>
      <c r="R48" s="50">
        <f t="shared" si="10"/>
        <v>692565.35324358917</v>
      </c>
      <c r="S48" s="50">
        <f t="shared" si="10"/>
        <v>396460.31123014382</v>
      </c>
      <c r="T48" s="50">
        <f t="shared" si="10"/>
        <v>215702.1798018156</v>
      </c>
      <c r="U48" s="50">
        <f t="shared" si="10"/>
        <v>111945.18852412386</v>
      </c>
      <c r="V48" s="50">
        <f t="shared" si="10"/>
        <v>55579.901192105426</v>
      </c>
      <c r="W48" s="50">
        <f t="shared" si="10"/>
        <v>26462.622569313397</v>
      </c>
      <c r="X48" s="50">
        <f t="shared" si="10"/>
        <v>12106.723637686828</v>
      </c>
      <c r="Y48" s="50">
        <f t="shared" si="10"/>
        <v>5331.4931404855488</v>
      </c>
      <c r="Z48" s="50">
        <f t="shared" si="10"/>
        <v>2263.3461622380091</v>
      </c>
      <c r="AA48" s="50">
        <f t="shared" si="10"/>
        <v>927.4828719293838</v>
      </c>
      <c r="AB48" s="50">
        <f t="shared" si="10"/>
        <v>367.30149171358948</v>
      </c>
      <c r="AD48" s="1"/>
    </row>
    <row r="49" spans="2:32">
      <c r="B49" s="7">
        <v>2015</v>
      </c>
      <c r="C49" s="8"/>
      <c r="D49" s="8"/>
      <c r="E49" s="8"/>
      <c r="F49" s="8"/>
      <c r="G49" s="8"/>
      <c r="H49" s="8"/>
      <c r="I49" s="8"/>
      <c r="J49" s="8"/>
      <c r="K49" s="50"/>
      <c r="L49" s="50">
        <f t="shared" ref="L49:AB49" si="11">K15-L15</f>
        <v>2593480.6659998037</v>
      </c>
      <c r="M49" s="50">
        <f t="shared" si="11"/>
        <v>4203550.9155063927</v>
      </c>
      <c r="N49" s="50">
        <f t="shared" si="11"/>
        <v>4220390.0529912822</v>
      </c>
      <c r="O49" s="50">
        <f t="shared" si="11"/>
        <v>3556546.3504813584</v>
      </c>
      <c r="P49" s="50">
        <f t="shared" si="11"/>
        <v>2678655.8272074442</v>
      </c>
      <c r="Q49" s="50">
        <f t="shared" si="11"/>
        <v>1851733.2396591227</v>
      </c>
      <c r="R49" s="50">
        <f t="shared" si="11"/>
        <v>1192183.5934977795</v>
      </c>
      <c r="S49" s="50">
        <f t="shared" si="11"/>
        <v>721456.62910133065</v>
      </c>
      <c r="T49" s="50">
        <f t="shared" si="11"/>
        <v>412999.17527344427</v>
      </c>
      <c r="U49" s="50">
        <f t="shared" si="11"/>
        <v>224700.48032404593</v>
      </c>
      <c r="V49" s="50">
        <f t="shared" si="11"/>
        <v>116615.12950146262</v>
      </c>
      <c r="W49" s="50">
        <f t="shared" si="11"/>
        <v>57898.489972162904</v>
      </c>
      <c r="X49" s="50">
        <f t="shared" si="11"/>
        <v>27566.54572254169</v>
      </c>
      <c r="Y49" s="50">
        <f t="shared" si="11"/>
        <v>12611.77155946299</v>
      </c>
      <c r="Z49" s="50">
        <f t="shared" si="11"/>
        <v>5553.9033987146349</v>
      </c>
      <c r="AA49" s="50">
        <f t="shared" si="11"/>
        <v>2357.7646283488593</v>
      </c>
      <c r="AB49" s="50">
        <f t="shared" si="11"/>
        <v>966.17404147857326</v>
      </c>
    </row>
    <row r="50" spans="2:32">
      <c r="B50" s="7">
        <v>2016</v>
      </c>
      <c r="C50" s="8"/>
      <c r="D50" s="8"/>
      <c r="E50" s="8"/>
      <c r="F50" s="8"/>
      <c r="G50" s="8"/>
      <c r="H50" s="8"/>
      <c r="I50" s="8"/>
      <c r="J50" s="8"/>
      <c r="K50" s="8"/>
      <c r="L50" s="50"/>
      <c r="M50" s="50">
        <f t="shared" ref="M50:AB50" si="12">L16-M16</f>
        <v>2600275.5890525281</v>
      </c>
      <c r="N50" s="50">
        <f t="shared" si="12"/>
        <v>4214564.2249146812</v>
      </c>
      <c r="O50" s="50">
        <f t="shared" si="12"/>
        <v>4231447.4809638541</v>
      </c>
      <c r="P50" s="50">
        <f t="shared" si="12"/>
        <v>3565864.5070042834</v>
      </c>
      <c r="Q50" s="50">
        <f t="shared" si="12"/>
        <v>2685673.909304304</v>
      </c>
      <c r="R50" s="50">
        <f t="shared" si="12"/>
        <v>1856584.7833943837</v>
      </c>
      <c r="S50" s="50">
        <f t="shared" si="12"/>
        <v>1195307.1162171648</v>
      </c>
      <c r="T50" s="50">
        <f t="shared" si="12"/>
        <v>723346.84650101617</v>
      </c>
      <c r="U50" s="50">
        <f t="shared" si="12"/>
        <v>414081.23370311043</v>
      </c>
      <c r="V50" s="50">
        <f t="shared" si="12"/>
        <v>225289.19590374091</v>
      </c>
      <c r="W50" s="50">
        <f t="shared" si="12"/>
        <v>116920.66130747682</v>
      </c>
      <c r="X50" s="50">
        <f t="shared" si="12"/>
        <v>58050.184098665311</v>
      </c>
      <c r="Y50" s="50">
        <f t="shared" si="12"/>
        <v>27638.770111745624</v>
      </c>
      <c r="Z50" s="50">
        <f t="shared" si="12"/>
        <v>12644.814418979369</v>
      </c>
      <c r="AA50" s="50">
        <f t="shared" si="12"/>
        <v>5568.4546335594778</v>
      </c>
      <c r="AB50" s="50">
        <f t="shared" si="12"/>
        <v>2363.9419750459429</v>
      </c>
      <c r="AD50" s="1"/>
      <c r="AE50" s="1"/>
      <c r="AF50" s="1"/>
    </row>
    <row r="51" spans="2:32">
      <c r="B51" s="7">
        <v>2017</v>
      </c>
      <c r="C51" s="8"/>
      <c r="D51" s="8"/>
      <c r="E51" s="8"/>
      <c r="F51" s="8"/>
      <c r="G51" s="8"/>
      <c r="H51" s="8"/>
      <c r="I51" s="8"/>
      <c r="J51" s="8"/>
      <c r="K51" s="8"/>
      <c r="L51" s="8"/>
      <c r="M51" s="50"/>
      <c r="N51" s="50">
        <f t="shared" ref="N51:AB51" si="13">M17-N17</f>
        <v>2218004.2168749422</v>
      </c>
      <c r="O51" s="50">
        <f t="shared" si="13"/>
        <v>3594973.2645673826</v>
      </c>
      <c r="P51" s="50">
        <f t="shared" si="13"/>
        <v>3609374.4816034939</v>
      </c>
      <c r="Q51" s="50">
        <f t="shared" si="13"/>
        <v>3041640.1040868349</v>
      </c>
      <c r="R51" s="50">
        <f t="shared" si="13"/>
        <v>2290847.9705254911</v>
      </c>
      <c r="S51" s="50">
        <f t="shared" si="13"/>
        <v>1583644.7859186558</v>
      </c>
      <c r="T51" s="50">
        <f t="shared" si="13"/>
        <v>1019582.7839911096</v>
      </c>
      <c r="U51" s="50">
        <f t="shared" si="13"/>
        <v>617006.27524140326</v>
      </c>
      <c r="V51" s="50">
        <f t="shared" si="13"/>
        <v>353206.37795047369</v>
      </c>
      <c r="W51" s="50">
        <f t="shared" si="13"/>
        <v>192169.01032899259</v>
      </c>
      <c r="X51" s="50">
        <f t="shared" si="13"/>
        <v>99731.936457659787</v>
      </c>
      <c r="Y51" s="50">
        <f t="shared" si="13"/>
        <v>49516.118085053262</v>
      </c>
      <c r="Z51" s="50">
        <f t="shared" si="13"/>
        <v>23575.542882908849</v>
      </c>
      <c r="AA51" s="50">
        <f t="shared" si="13"/>
        <v>10785.876628221798</v>
      </c>
      <c r="AB51" s="50">
        <f t="shared" si="13"/>
        <v>4749.825714901267</v>
      </c>
      <c r="AD51" s="97"/>
      <c r="AE51" s="268"/>
      <c r="AF51" s="97"/>
    </row>
    <row r="52" spans="2:32">
      <c r="B52" s="7">
        <v>2018</v>
      </c>
      <c r="C52" s="8"/>
      <c r="D52" s="8"/>
      <c r="E52" s="8"/>
      <c r="F52" s="8"/>
      <c r="G52" s="8"/>
      <c r="H52" s="8"/>
      <c r="I52" s="8"/>
      <c r="J52" s="8"/>
      <c r="K52" s="8"/>
      <c r="L52" s="8"/>
      <c r="M52" s="8"/>
      <c r="N52" s="50"/>
      <c r="O52" s="50">
        <f t="shared" ref="O52:AB52" si="14">N18-O18</f>
        <v>2391406.4788931943</v>
      </c>
      <c r="P52" s="50">
        <f t="shared" si="14"/>
        <v>3876026.1549218632</v>
      </c>
      <c r="Q52" s="50">
        <f t="shared" si="14"/>
        <v>3891553.2506154068</v>
      </c>
      <c r="R52" s="50">
        <f t="shared" si="14"/>
        <v>3279433.7341806563</v>
      </c>
      <c r="S52" s="50">
        <f t="shared" si="14"/>
        <v>2469945.1142580369</v>
      </c>
      <c r="T52" s="50">
        <f t="shared" si="14"/>
        <v>1707453.2016206854</v>
      </c>
      <c r="U52" s="50">
        <f t="shared" si="14"/>
        <v>1099293.1649334983</v>
      </c>
      <c r="V52" s="50">
        <f t="shared" si="14"/>
        <v>665243.46207464568</v>
      </c>
      <c r="W52" s="50">
        <f t="shared" si="14"/>
        <v>380819.84434062318</v>
      </c>
      <c r="X52" s="50">
        <f t="shared" si="14"/>
        <v>207192.67026044492</v>
      </c>
      <c r="Y52" s="50">
        <f t="shared" si="14"/>
        <v>107528.92045148865</v>
      </c>
      <c r="Z52" s="50">
        <f t="shared" si="14"/>
        <v>53387.259003986561</v>
      </c>
      <c r="AA52" s="50">
        <f t="shared" si="14"/>
        <v>25418.664926186379</v>
      </c>
      <c r="AB52" s="50">
        <f t="shared" si="14"/>
        <v>11629.110104043868</v>
      </c>
    </row>
    <row r="53" spans="2:32">
      <c r="B53" s="7">
        <v>2019</v>
      </c>
      <c r="C53" s="8"/>
      <c r="D53" s="8"/>
      <c r="E53" s="8"/>
      <c r="F53" s="8"/>
      <c r="G53" s="8"/>
      <c r="H53" s="8"/>
      <c r="I53" s="8"/>
      <c r="J53" s="8"/>
      <c r="K53" s="8"/>
      <c r="L53" s="8"/>
      <c r="M53" s="8"/>
      <c r="N53" s="8"/>
      <c r="O53" s="50"/>
      <c r="P53" s="50">
        <f t="shared" ref="P53:AB53" si="15">O19-P19</f>
        <v>2406023.6156688705</v>
      </c>
      <c r="Q53" s="50">
        <f t="shared" si="15"/>
        <v>3899717.8212916907</v>
      </c>
      <c r="R53" s="50">
        <f t="shared" si="15"/>
        <v>3915339.8241804298</v>
      </c>
      <c r="S53" s="50">
        <f t="shared" si="15"/>
        <v>3299478.8130337773</v>
      </c>
      <c r="T53" s="50">
        <f t="shared" si="15"/>
        <v>2485042.3074295754</v>
      </c>
      <c r="U53" s="50">
        <f t="shared" si="15"/>
        <v>1717889.7698939731</v>
      </c>
      <c r="V53" s="50">
        <f t="shared" si="15"/>
        <v>1106012.4402596375</v>
      </c>
      <c r="W53" s="50">
        <f t="shared" si="15"/>
        <v>669309.66945515294</v>
      </c>
      <c r="X53" s="50">
        <f t="shared" si="15"/>
        <v>383147.55224003235</v>
      </c>
      <c r="Y53" s="50">
        <f t="shared" si="15"/>
        <v>208459.1064045486</v>
      </c>
      <c r="Z53" s="50">
        <f t="shared" si="15"/>
        <v>108186.17589988382</v>
      </c>
      <c r="AA53" s="50">
        <f t="shared" si="15"/>
        <v>53713.581138607857</v>
      </c>
      <c r="AB53" s="50">
        <f t="shared" si="15"/>
        <v>25574.032951304831</v>
      </c>
    </row>
    <row r="54" spans="2:32">
      <c r="B54" s="7">
        <v>2020</v>
      </c>
      <c r="C54" s="8"/>
      <c r="D54" s="8"/>
      <c r="E54" s="8"/>
      <c r="F54" s="8"/>
      <c r="G54" s="8"/>
      <c r="H54" s="8"/>
      <c r="I54" s="8"/>
      <c r="J54" s="8"/>
      <c r="K54" s="8"/>
      <c r="L54" s="8"/>
      <c r="M54" s="8"/>
      <c r="N54" s="8"/>
      <c r="O54" s="8"/>
      <c r="P54" s="50"/>
      <c r="Q54" s="50">
        <f t="shared" ref="Q54:AB54" si="16">P20-Q20</f>
        <v>2551489.2813789584</v>
      </c>
      <c r="R54" s="50">
        <f t="shared" si="16"/>
        <v>4135490.6729218252</v>
      </c>
      <c r="S54" s="50">
        <f t="shared" si="16"/>
        <v>4152057.165729586</v>
      </c>
      <c r="T54" s="50">
        <f t="shared" si="16"/>
        <v>3498961.8434199374</v>
      </c>
      <c r="U54" s="50">
        <f t="shared" si="16"/>
        <v>2635285.3604128622</v>
      </c>
      <c r="V54" s="50">
        <f t="shared" si="16"/>
        <v>1821751.5846188082</v>
      </c>
      <c r="W54" s="50">
        <f t="shared" si="16"/>
        <v>1172880.7930298499</v>
      </c>
      <c r="X54" s="50">
        <f t="shared" si="16"/>
        <v>709775.4304723934</v>
      </c>
      <c r="Y54" s="50">
        <f t="shared" si="16"/>
        <v>406312.25161738781</v>
      </c>
      <c r="Z54" s="50">
        <f t="shared" si="16"/>
        <v>221062.32546232911</v>
      </c>
      <c r="AA54" s="50">
        <f t="shared" si="16"/>
        <v>114726.99868957633</v>
      </c>
      <c r="AB54" s="50">
        <f t="shared" si="16"/>
        <v>56961.047949455555</v>
      </c>
    </row>
    <row r="55" spans="2:32">
      <c r="B55" s="7">
        <v>2021</v>
      </c>
      <c r="C55" s="8"/>
      <c r="D55" s="8"/>
      <c r="E55" s="8"/>
      <c r="F55" s="8"/>
      <c r="G55" s="8"/>
      <c r="H55" s="8"/>
      <c r="I55" s="8"/>
      <c r="J55" s="8"/>
      <c r="K55" s="8"/>
      <c r="L55" s="8"/>
      <c r="M55" s="8"/>
      <c r="N55" s="8"/>
      <c r="O55" s="8"/>
      <c r="P55" s="8"/>
      <c r="Q55" s="50"/>
      <c r="R55" s="50">
        <f t="shared" ref="R55:AB55" si="17">Q21-R21</f>
        <v>2537330.030899182</v>
      </c>
      <c r="S55" s="50">
        <f t="shared" si="17"/>
        <v>4112541.1552726477</v>
      </c>
      <c r="T55" s="50">
        <f t="shared" si="17"/>
        <v>4129015.7138822377</v>
      </c>
      <c r="U55" s="50">
        <f t="shared" si="17"/>
        <v>3479544.6828142712</v>
      </c>
      <c r="V55" s="50">
        <f t="shared" si="17"/>
        <v>2620661.0914511625</v>
      </c>
      <c r="W55" s="50">
        <f t="shared" si="17"/>
        <v>1811641.945049949</v>
      </c>
      <c r="X55" s="50">
        <f t="shared" si="17"/>
        <v>1166372.0010656307</v>
      </c>
      <c r="Y55" s="50">
        <f t="shared" si="17"/>
        <v>705836.59828611067</v>
      </c>
      <c r="Z55" s="50">
        <f t="shared" si="17"/>
        <v>404057.45988236472</v>
      </c>
      <c r="AA55" s="50">
        <f t="shared" si="17"/>
        <v>219835.56081914328</v>
      </c>
      <c r="AB55" s="50">
        <f t="shared" si="17"/>
        <v>114090.33196983178</v>
      </c>
    </row>
    <row r="56" spans="2:32">
      <c r="B56" s="7">
        <v>2022</v>
      </c>
      <c r="C56" s="8"/>
      <c r="D56" s="8"/>
      <c r="E56" s="8"/>
      <c r="F56" s="8"/>
      <c r="G56" s="8"/>
      <c r="H56" s="8"/>
      <c r="I56" s="8"/>
      <c r="J56" s="8"/>
      <c r="K56" s="8"/>
      <c r="L56" s="8"/>
      <c r="M56" s="8"/>
      <c r="N56" s="8"/>
      <c r="O56" s="8"/>
      <c r="P56" s="8"/>
      <c r="Q56" s="51"/>
      <c r="R56" s="50"/>
      <c r="S56" s="50">
        <f t="shared" ref="S56:AB56" si="18">R22-S22</f>
        <v>2537330.030899182</v>
      </c>
      <c r="T56" s="50">
        <f t="shared" si="18"/>
        <v>4112541.1552726477</v>
      </c>
      <c r="U56" s="50">
        <f t="shared" si="18"/>
        <v>4129015.7138822377</v>
      </c>
      <c r="V56" s="50">
        <f t="shared" si="18"/>
        <v>3479544.6828142712</v>
      </c>
      <c r="W56" s="50">
        <f t="shared" si="18"/>
        <v>2620661.0914511625</v>
      </c>
      <c r="X56" s="50">
        <f t="shared" si="18"/>
        <v>1811641.945049949</v>
      </c>
      <c r="Y56" s="50">
        <f t="shared" si="18"/>
        <v>1166372.0010656307</v>
      </c>
      <c r="Z56" s="50">
        <f t="shared" si="18"/>
        <v>705836.59828611067</v>
      </c>
      <c r="AA56" s="50">
        <f t="shared" si="18"/>
        <v>404057.45988236472</v>
      </c>
      <c r="AB56" s="50">
        <f t="shared" si="18"/>
        <v>219835.56081914328</v>
      </c>
    </row>
    <row r="57" spans="2:32">
      <c r="B57" s="7">
        <v>2023</v>
      </c>
      <c r="C57" s="8"/>
      <c r="D57" s="8"/>
      <c r="E57" s="8"/>
      <c r="F57" s="8"/>
      <c r="G57" s="8"/>
      <c r="H57" s="8"/>
      <c r="I57" s="8"/>
      <c r="J57" s="8"/>
      <c r="K57" s="8"/>
      <c r="L57" s="8"/>
      <c r="M57" s="8"/>
      <c r="N57" s="8"/>
      <c r="O57" s="8"/>
      <c r="P57" s="8"/>
      <c r="Q57" s="51"/>
      <c r="R57" s="51"/>
      <c r="S57" s="50"/>
      <c r="T57" s="50">
        <f t="shared" ref="T57:AB57" si="19">S23-T23</f>
        <v>1938703.5203393698</v>
      </c>
      <c r="U57" s="50">
        <f t="shared" si="19"/>
        <v>3287705.3557590172</v>
      </c>
      <c r="V57" s="50">
        <f t="shared" si="19"/>
        <v>3540940.6916614454</v>
      </c>
      <c r="W57" s="50">
        <f t="shared" si="19"/>
        <v>3261161.6539829653</v>
      </c>
      <c r="X57" s="50">
        <f t="shared" si="19"/>
        <v>2727293.2641676106</v>
      </c>
      <c r="Y57" s="50">
        <f t="shared" si="19"/>
        <v>2123288.1884091124</v>
      </c>
      <c r="Z57" s="50">
        <f t="shared" si="19"/>
        <v>1559562.1185664618</v>
      </c>
      <c r="AA57" s="50">
        <f t="shared" si="19"/>
        <v>1089703.5348395419</v>
      </c>
      <c r="AB57" s="50">
        <f t="shared" si="19"/>
        <v>728407.13376074238</v>
      </c>
    </row>
    <row r="58" spans="2:32">
      <c r="B58" s="7">
        <v>2024</v>
      </c>
      <c r="C58" s="8"/>
      <c r="D58" s="8"/>
      <c r="E58" s="8"/>
      <c r="F58" s="8"/>
      <c r="G58" s="8"/>
      <c r="H58" s="8"/>
      <c r="I58" s="8"/>
      <c r="J58" s="8"/>
      <c r="K58" s="8"/>
      <c r="L58" s="8"/>
      <c r="M58" s="8"/>
      <c r="N58" s="8"/>
      <c r="O58" s="8"/>
      <c r="P58" s="8"/>
      <c r="Q58" s="51"/>
      <c r="R58" s="51"/>
      <c r="S58" s="51"/>
      <c r="T58" s="50"/>
      <c r="U58" s="50">
        <f t="shared" ref="U58:AB58" si="20">T24-U24</f>
        <v>1884487.4430477321</v>
      </c>
      <c r="V58" s="50">
        <f t="shared" si="20"/>
        <v>3195764.2797719222</v>
      </c>
      <c r="W58" s="50">
        <f t="shared" si="20"/>
        <v>3441917.8590260446</v>
      </c>
      <c r="X58" s="50">
        <f t="shared" si="20"/>
        <v>3169962.8758108802</v>
      </c>
      <c r="Y58" s="50">
        <f t="shared" si="20"/>
        <v>2651024.179773937</v>
      </c>
      <c r="Z58" s="50">
        <f t="shared" si="20"/>
        <v>2063910.1786580058</v>
      </c>
      <c r="AA58" s="50">
        <f t="shared" si="20"/>
        <v>1515948.7762094471</v>
      </c>
      <c r="AB58" s="50">
        <f t="shared" si="20"/>
        <v>1059229.8443293544</v>
      </c>
    </row>
    <row r="59" spans="2:32">
      <c r="B59" s="7">
        <v>2025</v>
      </c>
      <c r="C59" s="8"/>
      <c r="D59" s="8"/>
      <c r="E59" s="8"/>
      <c r="F59" s="8"/>
      <c r="G59" s="8"/>
      <c r="H59" s="8"/>
      <c r="I59" s="8"/>
      <c r="J59" s="8"/>
      <c r="K59" s="8"/>
      <c r="L59" s="8"/>
      <c r="M59" s="8"/>
      <c r="N59" s="8"/>
      <c r="O59" s="8"/>
      <c r="P59" s="8"/>
      <c r="Q59" s="51"/>
      <c r="R59" s="51"/>
      <c r="S59" s="51"/>
      <c r="T59" s="51"/>
      <c r="U59" s="50"/>
      <c r="V59" s="50">
        <f t="shared" ref="V59:AB59" si="21">U25-V25</f>
        <v>1809784.0851432532</v>
      </c>
      <c r="W59" s="50">
        <f t="shared" si="21"/>
        <v>3069080.3245930802</v>
      </c>
      <c r="X59" s="50">
        <f t="shared" si="21"/>
        <v>3305476.0787163787</v>
      </c>
      <c r="Y59" s="50">
        <f t="shared" si="21"/>
        <v>3044301.719442213</v>
      </c>
      <c r="Z59" s="50">
        <f t="shared" si="21"/>
        <v>2545934.3799741603</v>
      </c>
      <c r="AA59" s="50">
        <f t="shared" si="21"/>
        <v>1982094.2868473222</v>
      </c>
      <c r="AB59" s="50">
        <f t="shared" si="21"/>
        <v>1455854.7360969372</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2">V26-W26</f>
        <v>1756523.4952768609</v>
      </c>
      <c r="X60" s="50">
        <f t="shared" si="22"/>
        <v>2978759.5897733681</v>
      </c>
      <c r="Y60" s="50">
        <f t="shared" si="22"/>
        <v>3208198.3939434234</v>
      </c>
      <c r="Z60" s="50">
        <f t="shared" si="22"/>
        <v>2954710.2004097495</v>
      </c>
      <c r="AA60" s="50">
        <f t="shared" si="22"/>
        <v>2471009.4384014672</v>
      </c>
      <c r="AB60" s="50">
        <f t="shared" si="22"/>
        <v>1923762.7368271244</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1736745.0867092758</v>
      </c>
      <c r="Y61" s="50">
        <f>X27-Y27</f>
        <v>2945218.8347822875</v>
      </c>
      <c r="Z61" s="50">
        <f>Y27-Z27</f>
        <v>3172074.1640245486</v>
      </c>
      <c r="AA61" s="50">
        <f>Z27-AA27</f>
        <v>2921440.2409132458</v>
      </c>
      <c r="AB61" s="50">
        <f>AA27-AB27</f>
        <v>2443185.9368209401</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1746402.5739715062</v>
      </c>
      <c r="Z62" s="50">
        <f>Y28-Z28</f>
        <v>2961596.260346381</v>
      </c>
      <c r="AA62" s="50">
        <f>Z28-AA28</f>
        <v>3189713.0599502362</v>
      </c>
      <c r="AB62" s="50">
        <f>AA28-AB28</f>
        <v>2937685.441276785</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1774627.5819458179</v>
      </c>
      <c r="AA63" s="50">
        <f>Z29-AA29</f>
        <v>3009460.9848439358</v>
      </c>
      <c r="AB63" s="50">
        <f>AA29-AB29</f>
        <v>3241264.5623899773</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1810237.8284608349</v>
      </c>
      <c r="AB64" s="50">
        <f>AA30-AB30</f>
        <v>3069849.7946640346</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1845003.7139080241</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3">ROUND(SUM(C41:C66),0)</f>
        <v>0</v>
      </c>
      <c r="D67" s="90">
        <f t="shared" si="23"/>
        <v>2003202</v>
      </c>
      <c r="E67" s="90">
        <f t="shared" si="23"/>
        <v>5143289</v>
      </c>
      <c r="F67" s="90">
        <f t="shared" si="23"/>
        <v>8271515</v>
      </c>
      <c r="G67" s="90">
        <f t="shared" si="23"/>
        <v>10970157</v>
      </c>
      <c r="H67" s="90">
        <f t="shared" si="23"/>
        <v>12748459</v>
      </c>
      <c r="I67" s="90">
        <f t="shared" si="23"/>
        <v>14162790</v>
      </c>
      <c r="J67" s="90">
        <f t="shared" si="23"/>
        <v>15782562</v>
      </c>
      <c r="K67" s="90">
        <f t="shared" si="23"/>
        <v>17308352</v>
      </c>
      <c r="L67" s="90">
        <f t="shared" si="23"/>
        <v>18635386</v>
      </c>
      <c r="M67" s="90">
        <f t="shared" si="23"/>
        <v>19714704</v>
      </c>
      <c r="N67" s="90">
        <f t="shared" si="23"/>
        <v>20134726</v>
      </c>
      <c r="O67" s="90">
        <f t="shared" si="23"/>
        <v>20243922</v>
      </c>
      <c r="P67" s="90">
        <f t="shared" si="23"/>
        <v>20279119</v>
      </c>
      <c r="Q67" s="90">
        <f t="shared" si="23"/>
        <v>20429017</v>
      </c>
      <c r="R67" s="90">
        <f t="shared" si="23"/>
        <v>20647854</v>
      </c>
      <c r="S67" s="90">
        <f t="shared" si="23"/>
        <v>20860705</v>
      </c>
      <c r="T67" s="90">
        <f t="shared" si="23"/>
        <v>20440643</v>
      </c>
      <c r="U67" s="90">
        <f t="shared" si="23"/>
        <v>19696173</v>
      </c>
      <c r="V67" s="90">
        <f t="shared" si="23"/>
        <v>19034592</v>
      </c>
      <c r="W67" s="90">
        <f t="shared" si="23"/>
        <v>18597210</v>
      </c>
      <c r="X67" s="90">
        <f t="shared" si="23"/>
        <v>18402345</v>
      </c>
      <c r="Y67" s="90">
        <f t="shared" si="23"/>
        <v>18411591</v>
      </c>
      <c r="Z67" s="90">
        <f t="shared" si="23"/>
        <v>18570412</v>
      </c>
      <c r="AA67" s="90">
        <f t="shared" si="23"/>
        <v>18827557</v>
      </c>
      <c r="AB67" s="267">
        <f t="shared" si="23"/>
        <v>19140991</v>
      </c>
      <c r="AD67" s="1"/>
      <c r="AE67" s="1"/>
      <c r="AF67" s="1"/>
    </row>
    <row r="68" spans="1:32">
      <c r="R68" s="97"/>
      <c r="S68" s="97"/>
      <c r="T68" s="97"/>
      <c r="U68" s="97"/>
      <c r="V68" s="97"/>
      <c r="W68" s="97"/>
      <c r="X68" s="97"/>
      <c r="Y68" s="97"/>
      <c r="Z68" s="97"/>
      <c r="AA68" s="97"/>
      <c r="AB68" s="97"/>
      <c r="AD68" s="97"/>
      <c r="AE68" s="268"/>
      <c r="AF68" s="97"/>
    </row>
    <row r="69" spans="1:32" ht="21">
      <c r="B69" s="52" t="s">
        <v>7652</v>
      </c>
      <c r="Q69" s="46"/>
      <c r="R69" s="46"/>
      <c r="S69" s="46"/>
      <c r="T69" s="46"/>
      <c r="U69" s="46"/>
      <c r="V69" s="46"/>
      <c r="W69" s="46"/>
      <c r="X69" s="46"/>
      <c r="Y69" s="46"/>
      <c r="Z69" s="46"/>
      <c r="AA69" s="46"/>
      <c r="AB69" s="46"/>
    </row>
    <row r="70" spans="1:32">
      <c r="B70" s="7" t="s">
        <v>7761</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759930.1157694119</v>
      </c>
      <c r="E71" s="91">
        <f>E67*Outflow_routing!D4</f>
        <v>1951146.3173486961</v>
      </c>
      <c r="F71" s="91">
        <f>F67*Outflow_routing!E4</f>
        <v>3137862.9571747766</v>
      </c>
      <c r="G71" s="91">
        <f>G67*Outflow_routing!F4</f>
        <v>4161613.5961418892</v>
      </c>
      <c r="H71" s="91">
        <f>H67*Outflow_routing!G4</f>
        <v>4836226.1637875764</v>
      </c>
      <c r="I71" s="91">
        <f>I67*Outflow_routing!H4</f>
        <v>5372763.5277510053</v>
      </c>
      <c r="J71" s="91">
        <f>J67*Outflow_routing!I4</f>
        <v>5987236.5182332695</v>
      </c>
      <c r="K71" s="91">
        <f>K67*Outflow_routing!J4</f>
        <v>6566056.7127717184</v>
      </c>
      <c r="L71" s="91">
        <f>L67*Outflow_routing!K4</f>
        <v>7069477.2870572601</v>
      </c>
      <c r="M71" s="91">
        <f>M67*Outflow_routing!L4</f>
        <v>7478924.8877944853</v>
      </c>
      <c r="N71" s="91">
        <f>N67*Outflow_routing!M4</f>
        <v>7638263.4702667966</v>
      </c>
      <c r="O71" s="91">
        <f>O67*Outflow_routing!N4</f>
        <v>7679687.814352694</v>
      </c>
      <c r="P71" s="91">
        <f>P67*Outflow_routing!O4</f>
        <v>7693040.0675377129</v>
      </c>
      <c r="Q71" s="91">
        <f>Q67*Outflow_routing!P4</f>
        <v>7749905.0289812433</v>
      </c>
      <c r="R71" s="91">
        <f>R67*Outflow_routing!Q4</f>
        <v>7832922.5313322945</v>
      </c>
      <c r="S71" s="91">
        <f>S67*Outflow_routing!R4</f>
        <v>7913669.1984540503</v>
      </c>
      <c r="T71" s="91">
        <f>T67*Outflow_routing!S4</f>
        <v>7754315.4416734902</v>
      </c>
      <c r="U71" s="91">
        <f>U67*Outflow_routing!T4</f>
        <v>7471895.0101409471</v>
      </c>
      <c r="V71" s="91">
        <f>V67*Outflow_routing!U4</f>
        <v>7220919.1595173739</v>
      </c>
      <c r="W71" s="91">
        <f>W67*Outflow_routing!V4</f>
        <v>7054994.9272654802</v>
      </c>
      <c r="X71" s="91">
        <f>X67*Outflow_routing!W4</f>
        <v>6981071.3878473854</v>
      </c>
      <c r="Y71" s="91">
        <f>Y67*Outflow_routing!X4</f>
        <v>6984578.9291988835</v>
      </c>
      <c r="Z71" s="91">
        <f>Z67*Outflow_routing!Y4</f>
        <v>7044828.8994548107</v>
      </c>
      <c r="AA71" s="91">
        <f>AA67*Outflow_routing!Z4</f>
        <v>7142378.8368148599</v>
      </c>
      <c r="AB71" s="91">
        <f>AB67*Outflow_routing!AA4</f>
        <v>7261282.4400990373</v>
      </c>
    </row>
    <row r="72" spans="1:32">
      <c r="B72" s="7" t="s">
        <v>6907</v>
      </c>
      <c r="C72" s="91">
        <f>C67*Outflow_routing!B5</f>
        <v>0</v>
      </c>
      <c r="D72" s="91">
        <f>D67*Outflow_routing!C5</f>
        <v>171309.27493420307</v>
      </c>
      <c r="E72" s="91">
        <f>E67*Outflow_routing!D5</f>
        <v>439842.36705387791</v>
      </c>
      <c r="F72" s="91">
        <f>F67*Outflow_routing!E5</f>
        <v>707361.13345403248</v>
      </c>
      <c r="G72" s="91">
        <f>G67*Outflow_routing!F5</f>
        <v>938142.85408279963</v>
      </c>
      <c r="H72" s="91">
        <f>H67*Outflow_routing!G5</f>
        <v>1090219.1929812448</v>
      </c>
      <c r="I72" s="91">
        <f>I67*Outflow_routing!H5</f>
        <v>1211169.5605063203</v>
      </c>
      <c r="J72" s="91">
        <f>J67*Outflow_routing!I5</f>
        <v>1349688.7746837842</v>
      </c>
      <c r="K72" s="91">
        <f>K67*Outflow_routing!J5</f>
        <v>1480170.8621626594</v>
      </c>
      <c r="L72" s="91">
        <f>L67*Outflow_routing!K5</f>
        <v>1593655.7889713561</v>
      </c>
      <c r="M72" s="91">
        <f>M67*Outflow_routing!L5</f>
        <v>1685956.6073628287</v>
      </c>
      <c r="N72" s="91">
        <f>N67*Outflow_routing!M5</f>
        <v>1721875.9326612328</v>
      </c>
      <c r="O72" s="91">
        <f>O67*Outflow_routing!N5</f>
        <v>1731214.1260065446</v>
      </c>
      <c r="P72" s="91">
        <f>P67*Outflow_routing!O5</f>
        <v>1734224.0933237991</v>
      </c>
      <c r="Q72" s="91">
        <f>Q67*Outflow_routing!P5</f>
        <v>1747043.0290547374</v>
      </c>
      <c r="R72" s="91">
        <f>R67*Outflow_routing!Q5</f>
        <v>1765757.4711323592</v>
      </c>
      <c r="S72" s="91">
        <f>S67*Outflow_routing!R5</f>
        <v>1783960.0041165617</v>
      </c>
      <c r="T72" s="91">
        <f>T67*Outflow_routing!S5</f>
        <v>1748037.2581092138</v>
      </c>
      <c r="U72" s="91">
        <f>U67*Outflow_routing!T5</f>
        <v>1684371.8784269521</v>
      </c>
      <c r="V72" s="91">
        <f>V67*Outflow_routing!U5</f>
        <v>1627794.977335477</v>
      </c>
      <c r="W72" s="91">
        <f>W67*Outflow_routing!V5</f>
        <v>1590391.0643555222</v>
      </c>
      <c r="X72" s="91">
        <f>X67*Outflow_routing!W5</f>
        <v>1573726.6531478388</v>
      </c>
      <c r="Y72" s="91">
        <f>Y67*Outflow_routing!X5</f>
        <v>1574517.3500201672</v>
      </c>
      <c r="Z72" s="91">
        <f>Z67*Outflow_routing!Y5</f>
        <v>1588099.3603987135</v>
      </c>
      <c r="AA72" s="91">
        <f>AA67*Outflow_routing!Z5</f>
        <v>1610089.8154316836</v>
      </c>
      <c r="AB72" s="91">
        <f>AB67*Outflow_routing!AA5</f>
        <v>1636893.9776079031</v>
      </c>
    </row>
    <row r="73" spans="1:32">
      <c r="B73" s="7" t="s">
        <v>6908</v>
      </c>
      <c r="C73" s="91">
        <f>C67*Outflow_routing!B6</f>
        <v>0</v>
      </c>
      <c r="D73" s="91">
        <f>D67*Outflow_routing!C6</f>
        <v>27704.115054336067</v>
      </c>
      <c r="E73" s="91">
        <f>E67*Outflow_routing!D6</f>
        <v>71131.253969245779</v>
      </c>
      <c r="F73" s="91">
        <f>F67*Outflow_routing!E6</f>
        <v>114394.35625247308</v>
      </c>
      <c r="G73" s="91">
        <f>G67*Outflow_routing!F6</f>
        <v>151716.34797296039</v>
      </c>
      <c r="H73" s="91">
        <f>H67*Outflow_routing!G6</f>
        <v>176310.11495669739</v>
      </c>
      <c r="I73" s="91">
        <f>I67*Outflow_routing!H6</f>
        <v>195870.19364517424</v>
      </c>
      <c r="J73" s="91">
        <f>J67*Outflow_routing!I6</f>
        <v>218271.50407207679</v>
      </c>
      <c r="K73" s="91">
        <f>K67*Outflow_routing!J6</f>
        <v>239373.0513492637</v>
      </c>
      <c r="L73" s="91">
        <f>L67*Outflow_routing!K6</f>
        <v>257725.81987536134</v>
      </c>
      <c r="M73" s="91">
        <f>M67*Outflow_routing!L6</f>
        <v>272652.69697123877</v>
      </c>
      <c r="N73" s="91">
        <f>N67*Outflow_routing!M6</f>
        <v>278461.56587879395</v>
      </c>
      <c r="O73" s="91">
        <f>O67*Outflow_routing!N6</f>
        <v>279971.7373679764</v>
      </c>
      <c r="P73" s="91">
        <f>P67*Outflow_routing!O6</f>
        <v>280458.50891551253</v>
      </c>
      <c r="Q73" s="91">
        <f>Q67*Outflow_routing!P6</f>
        <v>282531.58563888585</v>
      </c>
      <c r="R73" s="91">
        <f>R67*Outflow_routing!Q6</f>
        <v>285558.08292979596</v>
      </c>
      <c r="S73" s="91">
        <f>S67*Outflow_routing!R6</f>
        <v>288501.7943445362</v>
      </c>
      <c r="T73" s="91">
        <f>T67*Outflow_routing!S6</f>
        <v>282692.37224034779</v>
      </c>
      <c r="U73" s="91">
        <f>U67*Outflow_routing!T6</f>
        <v>272396.41480095743</v>
      </c>
      <c r="V73" s="91">
        <f>V67*Outflow_routing!U6</f>
        <v>263246.80525495921</v>
      </c>
      <c r="W73" s="91">
        <f>W67*Outflow_routing!V6</f>
        <v>257197.8490085619</v>
      </c>
      <c r="X73" s="91">
        <f>X67*Outflow_routing!W6</f>
        <v>254502.88245997459</v>
      </c>
      <c r="Y73" s="91">
        <f>Y67*Outflow_routing!X6</f>
        <v>254630.75386175653</v>
      </c>
      <c r="Z73" s="91">
        <f>Z67*Outflow_routing!Y6</f>
        <v>256827.2349240981</v>
      </c>
      <c r="AA73" s="91">
        <f>AA67*Outflow_routing!Z6</f>
        <v>260383.52863069746</v>
      </c>
      <c r="AB73" s="91">
        <f>AB67*Outflow_routing!AA6</f>
        <v>264718.2944695598</v>
      </c>
    </row>
    <row r="75" spans="1:32" ht="21">
      <c r="A75" s="293" t="s">
        <v>7792</v>
      </c>
      <c r="B75" s="52" t="s">
        <v>7805</v>
      </c>
      <c r="C75" s="162"/>
      <c r="D75" s="162"/>
      <c r="E75" s="162"/>
      <c r="F75" s="162"/>
      <c r="G75" s="162"/>
      <c r="H75" s="162"/>
      <c r="I75" s="162"/>
      <c r="J75" s="162"/>
      <c r="K75" s="162"/>
      <c r="L75" s="162"/>
      <c r="M75" s="162"/>
      <c r="N75" s="162"/>
      <c r="O75" s="162"/>
    </row>
    <row r="76" spans="1:32">
      <c r="A76" s="1" t="s">
        <v>7762</v>
      </c>
      <c r="B76" s="163">
        <v>2007</v>
      </c>
      <c r="C76" s="164">
        <f>((VLOOKUP($B$76,Energy_demand!$A$34:$E$66,5,FALSE )))*C7</f>
        <v>73442207.054328874</v>
      </c>
      <c r="D76" s="164">
        <f>((VLOOKUP($B$76,Energy_demand!$A$34:$E$66,5,FALSE )))*D7</f>
        <v>64736905.96523577</v>
      </c>
      <c r="E76" s="164">
        <f>((VLOOKUP($B$76,Energy_demand!$A$34:$E$66,5,FALSE )))*E7</f>
        <v>50627228.248124592</v>
      </c>
      <c r="F76" s="164">
        <f>((VLOOKUP($B$76,Energy_demand!$A$34:$E$66,5,FALSE )))*F7</f>
        <v>36461028.12704552</v>
      </c>
      <c r="G76" s="164">
        <f>((VLOOKUP($B$76,Energy_demand!$A$34:$E$66,5,FALSE )))*G7</f>
        <v>24523091.891719915</v>
      </c>
      <c r="H76" s="164">
        <f>((VLOOKUP($B$76,Energy_demand!$A$34:$E$66,5,FALSE )))*H7</f>
        <v>15531891.0720658</v>
      </c>
      <c r="I76" s="164">
        <f>((VLOOKUP($B$76,Energy_demand!$A$34:$E$66,5,FALSE )))*I7</f>
        <v>9316346.2256190199</v>
      </c>
      <c r="J76" s="164">
        <f>((VLOOKUP($B$76,Energy_demand!$A$34:$E$66,5,FALSE )))*J7</f>
        <v>5314651.7958384035</v>
      </c>
      <c r="K76" s="164">
        <f>((VLOOKUP($B$76,Energy_demand!$A$34:$E$66,5,FALSE )))*K7</f>
        <v>2893003.830081128</v>
      </c>
      <c r="L76" s="164">
        <f>((VLOOKUP($B$76,Energy_demand!$A$34:$E$66,5,FALSE )))*L7</f>
        <v>1506726.9946930145</v>
      </c>
      <c r="M76" s="164">
        <f>((VLOOKUP($B$76,Energy_demand!$A$34:$E$66,5,FALSE )))*M7</f>
        <v>752495.29297698336</v>
      </c>
      <c r="N76" s="164">
        <f>((VLOOKUP($B$76,Energy_demand!$A$34:$E$66,5,FALSE )))*N7</f>
        <v>361063.87528316362</v>
      </c>
      <c r="O76" s="164">
        <f>((VLOOKUP($B$76,Energy_demand!$A$34:$E$66,5,FALSE )))*O7</f>
        <v>166721.2706055186</v>
      </c>
      <c r="P76" s="164">
        <f>((VLOOKUP($B$76,Energy_demand!$A$34:$E$66,5,FALSE )))*P7</f>
        <v>74191.149349162617</v>
      </c>
      <c r="Q76" s="164">
        <f>((VLOOKUP($B$76,Energy_demand!$A$34:$E$66,5,FALSE )))*Q7</f>
        <v>31858.360779997776</v>
      </c>
      <c r="R76" s="164">
        <f>((VLOOKUP($B$76,Energy_demand!$A$34:$E$66,5,FALSE )))*R7</f>
        <v>13216.077481190259</v>
      </c>
      <c r="S76" s="164">
        <f>((VLOOKUP($B$76,Energy_demand!$A$34:$E$66,5,FALSE )))*S7</f>
        <v>5301.983014988421</v>
      </c>
      <c r="T76" s="164">
        <f>((VLOOKUP($B$76,Energy_demand!$A$34:$E$66,5,FALSE )))*T7</f>
        <v>2058.914329032179</v>
      </c>
      <c r="U76" s="164">
        <f>((VLOOKUP($B$76,Energy_demand!$A$34:$E$66,5,FALSE )))*U7</f>
        <v>774.59523039112969</v>
      </c>
      <c r="V76" s="164">
        <f>((VLOOKUP($B$76,Energy_demand!$A$34:$E$66,5,FALSE )))*V7</f>
        <v>282.54657913679785</v>
      </c>
      <c r="W76" s="164">
        <f>((VLOOKUP($B$76,Energy_demand!$A$34:$E$66,5,FALSE )))*W7</f>
        <v>99.99993549742662</v>
      </c>
      <c r="X76" s="164">
        <f>((VLOOKUP($B$76,Energy_demand!$A$34:$E$66,5,FALSE )))*X7</f>
        <v>34.363426931844906</v>
      </c>
      <c r="Y76" s="164">
        <f>((VLOOKUP($B$76,Energy_demand!$A$34:$E$66,5,FALSE )))*Y7</f>
        <v>11.472355171064985</v>
      </c>
      <c r="Z76" s="164">
        <f>((VLOOKUP($B$76,Energy_demand!$A$34:$E$66,5,FALSE )))*Z7</f>
        <v>3.7232507088897706</v>
      </c>
      <c r="AA76" s="164">
        <f>((VLOOKUP($B$76,Energy_demand!$A$34:$E$66,5,FALSE )))*AA7</f>
        <v>1.1752862164479347</v>
      </c>
      <c r="AB76" s="164">
        <f>((VLOOKUP($B$76,Energy_demand!$A$34:$E$66,5,FALSE )))*AB7</f>
        <v>0.36102750233894448</v>
      </c>
    </row>
    <row r="77" spans="1:32">
      <c r="B77" s="163">
        <v>2008</v>
      </c>
      <c r="C77" s="164">
        <f>((VLOOKUP($B$76,Energy_demand!$A$34:$E$66,5,FALSE )))*C8</f>
        <v>0</v>
      </c>
      <c r="D77" s="164">
        <f>((VLOOKUP($B$76,Energy_demand!$A$34:$E$66,5,FALSE )))*D8</f>
        <v>69529126.964282259</v>
      </c>
      <c r="E77" s="164">
        <f>((VLOOKUP($B$76,Energy_demand!$A$34:$E$66,5,FALSE )))*E8</f>
        <v>61287653.71664267</v>
      </c>
      <c r="F77" s="164">
        <f>((VLOOKUP($B$76,Energy_demand!$A$34:$E$66,5,FALSE )))*F8</f>
        <v>47929754.863025606</v>
      </c>
      <c r="G77" s="164">
        <f>((VLOOKUP($B$76,Energy_demand!$A$34:$E$66,5,FALSE )))*G8</f>
        <v>34518345.18015331</v>
      </c>
      <c r="H77" s="164">
        <f>((VLOOKUP($B$76,Energy_demand!$A$34:$E$66,5,FALSE )))*H8</f>
        <v>23216475.077264898</v>
      </c>
      <c r="I77" s="164">
        <f>((VLOOKUP($B$76,Energy_demand!$A$34:$E$66,5,FALSE )))*I8</f>
        <v>14704335.14540481</v>
      </c>
      <c r="J77" s="164">
        <f>((VLOOKUP($B$76,Energy_demand!$A$34:$E$66,5,FALSE )))*J8</f>
        <v>8819961.2395239975</v>
      </c>
      <c r="K77" s="164">
        <f>((VLOOKUP($B$76,Energy_demand!$A$34:$E$66,5,FALSE )))*K8</f>
        <v>5031481.4097354719</v>
      </c>
      <c r="L77" s="164">
        <f>((VLOOKUP($B$76,Energy_demand!$A$34:$E$66,5,FALSE )))*L8</f>
        <v>2738861.4623341365</v>
      </c>
      <c r="M77" s="164">
        <f>((VLOOKUP($B$76,Energy_demand!$A$34:$E$66,5,FALSE )))*M8</f>
        <v>1426446.9535484519</v>
      </c>
      <c r="N77" s="164">
        <f>((VLOOKUP($B$76,Energy_demand!$A$34:$E$66,5,FALSE )))*N8</f>
        <v>712401.53127094184</v>
      </c>
      <c r="O77" s="164">
        <f>((VLOOKUP($B$76,Energy_demand!$A$34:$E$66,5,FALSE )))*O8</f>
        <v>341826.00215442647</v>
      </c>
      <c r="P77" s="164">
        <f>((VLOOKUP($B$76,Energy_demand!$A$34:$E$66,5,FALSE )))*P8</f>
        <v>157838.18129270535</v>
      </c>
      <c r="Q77" s="164">
        <f>((VLOOKUP($B$76,Energy_demand!$A$34:$E$66,5,FALSE )))*Q8</f>
        <v>70238.164804987333</v>
      </c>
      <c r="R77" s="164">
        <f>((VLOOKUP($B$76,Energy_demand!$A$34:$E$66,5,FALSE )))*R8</f>
        <v>30160.912919021721</v>
      </c>
      <c r="S77" s="164">
        <f>((VLOOKUP($B$76,Energy_demand!$A$34:$E$66,5,FALSE )))*S8</f>
        <v>12511.910603118329</v>
      </c>
      <c r="T77" s="164">
        <f>((VLOOKUP($B$76,Energy_demand!$A$34:$E$66,5,FALSE )))*T8</f>
        <v>5019.4876352081146</v>
      </c>
      <c r="U77" s="164">
        <f>((VLOOKUP($B$76,Energy_demand!$A$34:$E$66,5,FALSE )))*U8</f>
        <v>1949.2131504975039</v>
      </c>
      <c r="V77" s="164">
        <f>((VLOOKUP($B$76,Energy_demand!$A$34:$E$66,5,FALSE )))*V8</f>
        <v>733.32396015756524</v>
      </c>
      <c r="W77" s="164">
        <f>((VLOOKUP($B$76,Energy_demand!$A$34:$E$66,5,FALSE )))*W8</f>
        <v>267.49219232468721</v>
      </c>
      <c r="X77" s="164">
        <f>((VLOOKUP($B$76,Energy_demand!$A$34:$E$66,5,FALSE )))*X8</f>
        <v>94.671830960597333</v>
      </c>
      <c r="Y77" s="164">
        <f>((VLOOKUP($B$76,Energy_demand!$A$34:$E$66,5,FALSE )))*Y8</f>
        <v>32.53250644148843</v>
      </c>
      <c r="Z77" s="164">
        <f>((VLOOKUP($B$76,Energy_demand!$A$34:$E$66,5,FALSE )))*Z8</f>
        <v>10.861095700436213</v>
      </c>
      <c r="AA77" s="164">
        <f>((VLOOKUP($B$76,Energy_demand!$A$34:$E$66,5,FALSE )))*AA8</f>
        <v>3.5248718909924435</v>
      </c>
      <c r="AB77" s="164">
        <f>((VLOOKUP($B$76,Energy_demand!$A$34:$E$66,5,FALSE )))*AB8</f>
        <v>1.112665697836797</v>
      </c>
    </row>
    <row r="78" spans="1:32">
      <c r="B78" s="163">
        <v>2009</v>
      </c>
      <c r="C78" s="164">
        <f>((VLOOKUP($B$76,Energy_demand!$A$34:$E$66,5,FALSE )))*C9</f>
        <v>0</v>
      </c>
      <c r="D78" s="164">
        <f>((VLOOKUP($B$76,Energy_demand!$A$34:$E$66,5,FALSE )))*D9</f>
        <v>0</v>
      </c>
      <c r="E78" s="164">
        <f>((VLOOKUP($B$76,Energy_demand!$A$34:$E$66,5,FALSE )))*E9</f>
        <v>71046758.684843019</v>
      </c>
      <c r="F78" s="164">
        <f>((VLOOKUP($B$76,Energy_demand!$A$34:$E$66,5,FALSE )))*F9</f>
        <v>62625396.493233286</v>
      </c>
      <c r="G78" s="164">
        <f>((VLOOKUP($B$76,Energy_demand!$A$34:$E$66,5,FALSE )))*G9</f>
        <v>48975931.041480944</v>
      </c>
      <c r="H78" s="164">
        <f>((VLOOKUP($B$76,Energy_demand!$A$34:$E$66,5,FALSE )))*H9</f>
        <v>35271786.764621608</v>
      </c>
      <c r="I78" s="164">
        <f>((VLOOKUP($B$76,Energy_demand!$A$34:$E$66,5,FALSE )))*I9</f>
        <v>23723227.578773592</v>
      </c>
      <c r="J78" s="164">
        <f>((VLOOKUP($B$76,Energy_demand!$A$34:$E$66,5,FALSE )))*J9</f>
        <v>15025290.785447385</v>
      </c>
      <c r="K78" s="164">
        <f>((VLOOKUP($B$76,Energy_demand!$A$34:$E$66,5,FALSE )))*K9</f>
        <v>9012477.0028542951</v>
      </c>
      <c r="L78" s="164">
        <f>((VLOOKUP($B$76,Energy_demand!$A$34:$E$66,5,FALSE )))*L9</f>
        <v>5141304.9631471084</v>
      </c>
      <c r="M78" s="164">
        <f>((VLOOKUP($B$76,Energy_demand!$A$34:$E$66,5,FALSE )))*M9</f>
        <v>2798643.358281068</v>
      </c>
      <c r="N78" s="164">
        <f>((VLOOKUP($B$76,Energy_demand!$A$34:$E$66,5,FALSE )))*N9</f>
        <v>1457582.4105708662</v>
      </c>
      <c r="O78" s="164">
        <f>((VLOOKUP($B$76,Energy_demand!$A$34:$E$66,5,FALSE )))*O9</f>
        <v>727951.31894752569</v>
      </c>
      <c r="P78" s="164">
        <f>((VLOOKUP($B$76,Energy_demand!$A$34:$E$66,5,FALSE )))*P9</f>
        <v>349287.13400566526</v>
      </c>
      <c r="Q78" s="164">
        <f>((VLOOKUP($B$76,Energy_demand!$A$34:$E$66,5,FALSE )))*Q9</f>
        <v>161283.3594662855</v>
      </c>
      <c r="R78" s="164">
        <f>((VLOOKUP($B$76,Energy_demand!$A$34:$E$66,5,FALSE )))*R9</f>
        <v>71771.272893008936</v>
      </c>
      <c r="S78" s="164">
        <f>((VLOOKUP($B$76,Energy_demand!$A$34:$E$66,5,FALSE )))*S9</f>
        <v>30819.243609560839</v>
      </c>
      <c r="T78" s="164">
        <f>((VLOOKUP($B$76,Energy_demand!$A$34:$E$66,5,FALSE )))*T9</f>
        <v>12785.011578855698</v>
      </c>
      <c r="U78" s="164">
        <f>((VLOOKUP($B$76,Energy_demand!$A$34:$E$66,5,FALSE )))*U9</f>
        <v>5129.0493971452042</v>
      </c>
      <c r="V78" s="164">
        <f>((VLOOKUP($B$76,Energy_demand!$A$34:$E$66,5,FALSE )))*V9</f>
        <v>1991.7591716613945</v>
      </c>
      <c r="W78" s="164">
        <f>((VLOOKUP($B$76,Energy_demand!$A$34:$E$66,5,FALSE )))*W9</f>
        <v>749.33042754718269</v>
      </c>
      <c r="X78" s="164">
        <f>((VLOOKUP($B$76,Energy_demand!$A$34:$E$66,5,FALSE )))*X9</f>
        <v>273.33081929727712</v>
      </c>
      <c r="Y78" s="164">
        <f>((VLOOKUP($B$76,Energy_demand!$A$34:$E$66,5,FALSE )))*Y9</f>
        <v>96.738259520575909</v>
      </c>
      <c r="Z78" s="164">
        <f>((VLOOKUP($B$76,Energy_demand!$A$34:$E$66,5,FALSE )))*Z9</f>
        <v>33.242602567825713</v>
      </c>
      <c r="AA78" s="164">
        <f>((VLOOKUP($B$76,Energy_demand!$A$34:$E$66,5,FALSE )))*AA9</f>
        <v>11.098163877108352</v>
      </c>
      <c r="AB78" s="164">
        <f>((VLOOKUP($B$76,Energy_demand!$A$34:$E$66,5,FALSE )))*AB9</f>
        <v>3.6018102566277723</v>
      </c>
    </row>
    <row r="79" spans="1:32">
      <c r="B79" s="163">
        <v>2010</v>
      </c>
      <c r="C79" s="164">
        <f>((VLOOKUP($B$76,Energy_demand!$A$34:$E$66,5,FALSE )))*C10</f>
        <v>0</v>
      </c>
      <c r="D79" s="164">
        <f>((VLOOKUP($B$76,Energy_demand!$A$34:$E$66,5,FALSE )))*D10</f>
        <v>0</v>
      </c>
      <c r="E79" s="164">
        <f>((VLOOKUP($B$76,Energy_demand!$A$34:$E$66,5,FALSE )))*E10</f>
        <v>0</v>
      </c>
      <c r="F79" s="164">
        <f>((VLOOKUP($B$76,Energy_demand!$A$34:$E$66,5,FALSE )))*F10</f>
        <v>73179120.576199368</v>
      </c>
      <c r="G79" s="164">
        <f>((VLOOKUP($B$76,Energy_demand!$A$34:$E$66,5,FALSE )))*G10</f>
        <v>64505003.830502875</v>
      </c>
      <c r="H79" s="164">
        <f>((VLOOKUP($B$76,Energy_demand!$A$34:$E$66,5,FALSE )))*H10</f>
        <v>50445870.147497199</v>
      </c>
      <c r="I79" s="164">
        <f>((VLOOKUP($B$76,Energy_demand!$A$34:$E$66,5,FALSE )))*I10</f>
        <v>36330416.536467522</v>
      </c>
      <c r="J79" s="164">
        <f>((VLOOKUP($B$76,Energy_demand!$A$34:$E$66,5,FALSE )))*J10</f>
        <v>24435244.669565137</v>
      </c>
      <c r="K79" s="164">
        <f>((VLOOKUP($B$76,Energy_demand!$A$34:$E$66,5,FALSE )))*K10</f>
        <v>15476252.350345224</v>
      </c>
      <c r="L79" s="164">
        <f>((VLOOKUP($B$76,Energy_demand!$A$34:$E$66,5,FALSE )))*L10</f>
        <v>9282972.9813247677</v>
      </c>
      <c r="M79" s="164">
        <f>((VLOOKUP($B$76,Energy_demand!$A$34:$E$66,5,FALSE )))*M10</f>
        <v>5295613.5196273215</v>
      </c>
      <c r="N79" s="164">
        <f>((VLOOKUP($B$76,Energy_demand!$A$34:$E$66,5,FALSE )))*N10</f>
        <v>2882640.4406978521</v>
      </c>
      <c r="O79" s="164">
        <f>((VLOOKUP($B$76,Energy_demand!$A$34:$E$66,5,FALSE )))*O10</f>
        <v>1501329.5602416892</v>
      </c>
      <c r="P79" s="164">
        <f>((VLOOKUP($B$76,Energy_demand!$A$34:$E$66,5,FALSE )))*P10</f>
        <v>749799.68585433939</v>
      </c>
      <c r="Q79" s="164">
        <f>((VLOOKUP($B$76,Energy_demand!$A$34:$E$66,5,FALSE )))*Q10</f>
        <v>359770.46340002446</v>
      </c>
      <c r="R79" s="164">
        <f>((VLOOKUP($B$76,Energy_demand!$A$34:$E$66,5,FALSE )))*R10</f>
        <v>166124.03757464804</v>
      </c>
      <c r="S79" s="164">
        <f>((VLOOKUP($B$76,Energy_demand!$A$34:$E$66,5,FALSE )))*S10</f>
        <v>73925.379991547699</v>
      </c>
      <c r="T79" s="164">
        <f>((VLOOKUP($B$76,Energy_demand!$A$34:$E$66,5,FALSE )))*T10</f>
        <v>31744.236977449356</v>
      </c>
      <c r="U79" s="164">
        <f>((VLOOKUP($B$76,Energy_demand!$A$34:$E$66,5,FALSE )))*U10</f>
        <v>13168.734523800091</v>
      </c>
      <c r="V79" s="164">
        <f>((VLOOKUP($B$76,Energy_demand!$A$34:$E$66,5,FALSE )))*V10</f>
        <v>5282.9901211952938</v>
      </c>
      <c r="W79" s="164">
        <f>((VLOOKUP($B$76,Energy_demand!$A$34:$E$66,5,FALSE )))*W10</f>
        <v>2051.5388355479658</v>
      </c>
      <c r="X79" s="164">
        <f>((VLOOKUP($B$76,Energy_demand!$A$34:$E$66,5,FALSE )))*X10</f>
        <v>771.82045632982238</v>
      </c>
      <c r="Y79" s="164">
        <f>((VLOOKUP($B$76,Energy_demand!$A$34:$E$66,5,FALSE )))*Y10</f>
        <v>281.5344338405971</v>
      </c>
      <c r="Z79" s="164">
        <f>((VLOOKUP($B$76,Energy_demand!$A$34:$E$66,5,FALSE )))*Z10</f>
        <v>99.641713272109612</v>
      </c>
      <c r="AA79" s="164">
        <f>((VLOOKUP($B$76,Energy_demand!$A$34:$E$66,5,FALSE )))*AA10</f>
        <v>34.240329419793397</v>
      </c>
      <c r="AB79" s="164">
        <f>((VLOOKUP($B$76,Energy_demand!$A$34:$E$66,5,FALSE )))*AB10</f>
        <v>11.43125861856659</v>
      </c>
    </row>
    <row r="80" spans="1:32">
      <c r="B80" s="163">
        <v>2011</v>
      </c>
      <c r="C80" s="164">
        <f>((VLOOKUP($B$76,Energy_demand!$A$34:$E$66,5,FALSE )))*C11</f>
        <v>0</v>
      </c>
      <c r="D80" s="164">
        <f>((VLOOKUP($B$76,Energy_demand!$A$34:$E$66,5,FALSE )))*D11</f>
        <v>0</v>
      </c>
      <c r="E80" s="164">
        <f>((VLOOKUP($B$76,Energy_demand!$A$34:$E$66,5,FALSE )))*E11</f>
        <v>0</v>
      </c>
      <c r="F80" s="164">
        <f>((VLOOKUP($B$76,Energy_demand!$A$34:$E$66,5,FALSE )))*F11</f>
        <v>0</v>
      </c>
      <c r="G80" s="164">
        <f>((VLOOKUP($B$76,Energy_demand!$A$34:$E$66,5,FALSE )))*G11</f>
        <v>61962077.996761225</v>
      </c>
      <c r="H80" s="164">
        <f>((VLOOKUP($B$76,Energy_demand!$A$34:$E$66,5,FALSE )))*H11</f>
        <v>54617547.287483156</v>
      </c>
      <c r="I80" s="164">
        <f>((VLOOKUP($B$76,Energy_demand!$A$34:$E$66,5,FALSE )))*I11</f>
        <v>42713425.852651149</v>
      </c>
      <c r="J80" s="164">
        <f>((VLOOKUP($B$76,Energy_demand!$A$34:$E$66,5,FALSE )))*J11</f>
        <v>30761617.321479127</v>
      </c>
      <c r="K80" s="164">
        <f>((VLOOKUP($B$76,Energy_demand!$A$34:$E$66,5,FALSE )))*K11</f>
        <v>20689761.289341982</v>
      </c>
      <c r="L80" s="164">
        <f>((VLOOKUP($B$76,Energy_demand!$A$34:$E$66,5,FALSE )))*L11</f>
        <v>13104021.306612067</v>
      </c>
      <c r="M80" s="164">
        <f>((VLOOKUP($B$76,Energy_demand!$A$34:$E$66,5,FALSE )))*M11</f>
        <v>7860060.2382443333</v>
      </c>
      <c r="N80" s="164">
        <f>((VLOOKUP($B$76,Energy_demand!$A$34:$E$66,5,FALSE )))*N11</f>
        <v>4483891.2432977613</v>
      </c>
      <c r="O80" s="164">
        <f>((VLOOKUP($B$76,Energy_demand!$A$34:$E$66,5,FALSE )))*O11</f>
        <v>2440783.5242725047</v>
      </c>
      <c r="P80" s="164">
        <f>((VLOOKUP($B$76,Energy_demand!$A$34:$E$66,5,FALSE )))*P11</f>
        <v>1271202.7498837446</v>
      </c>
      <c r="Q80" s="164">
        <f>((VLOOKUP($B$76,Energy_demand!$A$34:$E$66,5,FALSE )))*Q11</f>
        <v>634868.88406204653</v>
      </c>
      <c r="R80" s="164">
        <f>((VLOOKUP($B$76,Energy_demand!$A$34:$E$66,5,FALSE )))*R11</f>
        <v>304624.12418459007</v>
      </c>
      <c r="S80" s="164">
        <f>((VLOOKUP($B$76,Energy_demand!$A$34:$E$66,5,FALSE )))*S11</f>
        <v>140660.21144130881</v>
      </c>
      <c r="T80" s="164">
        <f>((VLOOKUP($B$76,Energy_demand!$A$34:$E$66,5,FALSE )))*T11</f>
        <v>62593.949270090925</v>
      </c>
      <c r="U80" s="164">
        <f>((VLOOKUP($B$76,Energy_demand!$A$34:$E$66,5,FALSE )))*U11</f>
        <v>26878.416576436859</v>
      </c>
      <c r="V80" s="164">
        <f>((VLOOKUP($B$76,Energy_demand!$A$34:$E$66,5,FALSE )))*V11</f>
        <v>11150.204447082759</v>
      </c>
      <c r="W80" s="164">
        <f>((VLOOKUP($B$76,Energy_demand!$A$34:$E$66,5,FALSE )))*W11</f>
        <v>4473.2027847310155</v>
      </c>
      <c r="X80" s="164">
        <f>((VLOOKUP($B$76,Energy_demand!$A$34:$E$66,5,FALSE )))*X11</f>
        <v>1737.0748423963876</v>
      </c>
      <c r="Y80" s="164">
        <f>((VLOOKUP($B$76,Energy_demand!$A$34:$E$66,5,FALSE )))*Y11</f>
        <v>653.51426661115624</v>
      </c>
      <c r="Z80" s="164">
        <f>((VLOOKUP($B$76,Energy_demand!$A$34:$E$66,5,FALSE )))*Z11</f>
        <v>238.38027037016201</v>
      </c>
      <c r="AA80" s="164">
        <f>((VLOOKUP($B$76,Energy_demand!$A$34:$E$66,5,FALSE )))*AA11</f>
        <v>84.368431335117677</v>
      </c>
      <c r="AB80" s="164">
        <f>((VLOOKUP($B$76,Energy_demand!$A$34:$E$66,5,FALSE )))*AB11</f>
        <v>28.991902955910383</v>
      </c>
    </row>
    <row r="81" spans="1:28">
      <c r="B81" s="163">
        <v>2012</v>
      </c>
      <c r="C81" s="164">
        <f>((VLOOKUP($B$76,Energy_demand!$A$34:$E$66,5,FALSE )))*C12</f>
        <v>0</v>
      </c>
      <c r="D81" s="164">
        <f>((VLOOKUP($B$76,Energy_demand!$A$34:$E$66,5,FALSE )))*D12</f>
        <v>0</v>
      </c>
      <c r="E81" s="164">
        <f>((VLOOKUP($B$76,Energy_demand!$A$34:$E$66,5,FALSE )))*E12</f>
        <v>0</v>
      </c>
      <c r="F81" s="164">
        <f>((VLOOKUP($B$76,Energy_demand!$A$34:$E$66,5,FALSE )))*F12</f>
        <v>0</v>
      </c>
      <c r="G81" s="164">
        <f>((VLOOKUP($B$76,Energy_demand!$A$34:$E$66,5,FALSE )))*G12</f>
        <v>0</v>
      </c>
      <c r="H81" s="164">
        <f>((VLOOKUP($B$76,Energy_demand!$A$34:$E$66,5,FALSE )))*H12</f>
        <v>78048603.946949288</v>
      </c>
      <c r="I81" s="164">
        <f>((VLOOKUP($B$76,Energy_demand!$A$34:$E$66,5,FALSE )))*I12</f>
        <v>68797294.322785065</v>
      </c>
      <c r="J81" s="164">
        <f>((VLOOKUP($B$76,Energy_demand!$A$34:$E$66,5,FALSE )))*J12</f>
        <v>53802638.087205671</v>
      </c>
      <c r="K81" s="164">
        <f>((VLOOKUP($B$76,Energy_demand!$A$34:$E$66,5,FALSE )))*K12</f>
        <v>38747914.284237452</v>
      </c>
      <c r="L81" s="164">
        <f>((VLOOKUP($B$76,Energy_demand!$A$34:$E$66,5,FALSE )))*L12</f>
        <v>26061214.16252666</v>
      </c>
      <c r="M81" s="164">
        <f>((VLOOKUP($B$76,Energy_demand!$A$34:$E$66,5,FALSE )))*M12</f>
        <v>16506072.780929158</v>
      </c>
      <c r="N81" s="164">
        <f>((VLOOKUP($B$76,Energy_demand!$A$34:$E$66,5,FALSE )))*N12</f>
        <v>9900680.3575238679</v>
      </c>
      <c r="O81" s="164">
        <f>((VLOOKUP($B$76,Energy_demand!$A$34:$E$66,5,FALSE )))*O12</f>
        <v>5647994.1135549638</v>
      </c>
      <c r="P81" s="164">
        <f>((VLOOKUP($B$76,Energy_demand!$A$34:$E$66,5,FALSE )))*P12</f>
        <v>3074457.0350939692</v>
      </c>
      <c r="Q81" s="164">
        <f>((VLOOKUP($B$76,Energy_demand!$A$34:$E$66,5,FALSE )))*Q12</f>
        <v>1601230.9975649179</v>
      </c>
      <c r="R81" s="164">
        <f>((VLOOKUP($B$76,Energy_demand!$A$34:$E$66,5,FALSE )))*R12</f>
        <v>799692.83943302161</v>
      </c>
      <c r="S81" s="164">
        <f>((VLOOKUP($B$76,Energy_demand!$A$34:$E$66,5,FALSE )))*S12</f>
        <v>383710.30136226414</v>
      </c>
      <c r="T81" s="164">
        <f>((VLOOKUP($B$76,Energy_demand!$A$34:$E$66,5,FALSE )))*T12</f>
        <v>177178.25949043699</v>
      </c>
      <c r="U81" s="164">
        <f>((VLOOKUP($B$76,Energy_demand!$A$34:$E$66,5,FALSE )))*U12</f>
        <v>78844.520939277121</v>
      </c>
      <c r="V81" s="164">
        <f>((VLOOKUP($B$76,Energy_demand!$A$34:$E$66,5,FALSE )))*V12</f>
        <v>33856.561269702586</v>
      </c>
      <c r="W81" s="164">
        <f>((VLOOKUP($B$76,Energy_demand!$A$34:$E$66,5,FALSE )))*W12</f>
        <v>14045.008155849186</v>
      </c>
      <c r="X81" s="164">
        <f>((VLOOKUP($B$76,Energy_demand!$A$34:$E$66,5,FALSE )))*X12</f>
        <v>5634.5307292326552</v>
      </c>
      <c r="Y81" s="164">
        <f>((VLOOKUP($B$76,Energy_demand!$A$34:$E$66,5,FALSE )))*Y12</f>
        <v>2188.0522859077064</v>
      </c>
      <c r="Z81" s="164">
        <f>((VLOOKUP($B$76,Energy_demand!$A$34:$E$66,5,FALSE )))*Z12</f>
        <v>823.17891551476441</v>
      </c>
      <c r="AA81" s="164">
        <f>((VLOOKUP($B$76,Energy_demand!$A$34:$E$66,5,FALSE )))*AA12</f>
        <v>300.26829170997081</v>
      </c>
      <c r="AB81" s="164">
        <f>((VLOOKUP($B$76,Energy_demand!$A$34:$E$66,5,FALSE )))*AB12</f>
        <v>106.27206988190707</v>
      </c>
    </row>
    <row r="82" spans="1:28">
      <c r="B82" s="163">
        <v>2013</v>
      </c>
      <c r="C82" s="164">
        <f>((VLOOKUP($B$76,Energy_demand!$A$34:$E$66,5,FALSE )))*C13</f>
        <v>0</v>
      </c>
      <c r="D82" s="164">
        <f>((VLOOKUP($B$76,Energy_demand!$A$34:$E$66,5,FALSE )))*D13</f>
        <v>0</v>
      </c>
      <c r="E82" s="164">
        <f>((VLOOKUP($B$76,Energy_demand!$A$34:$E$66,5,FALSE )))*E13</f>
        <v>0</v>
      </c>
      <c r="F82" s="164">
        <f>((VLOOKUP($B$76,Energy_demand!$A$34:$E$66,5,FALSE )))*F13</f>
        <v>0</v>
      </c>
      <c r="G82" s="164">
        <f>((VLOOKUP($B$76,Energy_demand!$A$34:$E$66,5,FALSE )))*G13</f>
        <v>0</v>
      </c>
      <c r="H82" s="164">
        <f>((VLOOKUP($B$76,Energy_demand!$A$34:$E$66,5,FALSE )))*H13</f>
        <v>0</v>
      </c>
      <c r="I82" s="164">
        <f>((VLOOKUP($B$76,Energy_demand!$A$34:$E$66,5,FALSE )))*I13</f>
        <v>94155610.449991778</v>
      </c>
      <c r="J82" s="164">
        <f>((VLOOKUP($B$76,Energy_demand!$A$34:$E$66,5,FALSE )))*J13</f>
        <v>82995094.296273783</v>
      </c>
      <c r="K82" s="164">
        <f>((VLOOKUP($B$76,Energy_demand!$A$34:$E$66,5,FALSE )))*K13</f>
        <v>64905968.547036879</v>
      </c>
      <c r="L82" s="164">
        <f>((VLOOKUP($B$76,Energy_demand!$A$34:$E$66,5,FALSE )))*L13</f>
        <v>46744378.997171514</v>
      </c>
      <c r="M82" s="164">
        <f>((VLOOKUP($B$76,Energy_demand!$A$34:$E$66,5,FALSE )))*M13</f>
        <v>31439505.698379401</v>
      </c>
      <c r="N82" s="164">
        <f>((VLOOKUP($B$76,Energy_demand!$A$34:$E$66,5,FALSE )))*N13</f>
        <v>19912455.575461008</v>
      </c>
      <c r="O82" s="164">
        <f>((VLOOKUP($B$76,Energy_demand!$A$34:$E$66,5,FALSE )))*O13</f>
        <v>11943898.491336696</v>
      </c>
      <c r="P82" s="164">
        <f>((VLOOKUP($B$76,Energy_demand!$A$34:$E$66,5,FALSE )))*P13</f>
        <v>6813579.0608271873</v>
      </c>
      <c r="Q82" s="164">
        <f>((VLOOKUP($B$76,Energy_demand!$A$34:$E$66,5,FALSE )))*Q13</f>
        <v>3708937.3070440348</v>
      </c>
      <c r="R82" s="164">
        <f>((VLOOKUP($B$76,Energy_demand!$A$34:$E$66,5,FALSE )))*R13</f>
        <v>1931679.4205524947</v>
      </c>
      <c r="S82" s="164">
        <f>((VLOOKUP($B$76,Energy_demand!$A$34:$E$66,5,FALSE )))*S13</f>
        <v>964726.64034430194</v>
      </c>
      <c r="T82" s="164">
        <f>((VLOOKUP($B$76,Energy_demand!$A$34:$E$66,5,FALSE )))*T13</f>
        <v>462897.16706875776</v>
      </c>
      <c r="U82" s="164">
        <f>((VLOOKUP($B$76,Energy_demand!$A$34:$E$66,5,FALSE )))*U13</f>
        <v>213742.80047505206</v>
      </c>
      <c r="V82" s="164">
        <f>((VLOOKUP($B$76,Energy_demand!$A$34:$E$66,5,FALSE )))*V13</f>
        <v>95115.782016046767</v>
      </c>
      <c r="W82" s="164">
        <f>((VLOOKUP($B$76,Energy_demand!$A$34:$E$66,5,FALSE )))*W13</f>
        <v>40843.590184562148</v>
      </c>
      <c r="X82" s="164">
        <f>((VLOOKUP($B$76,Energy_demand!$A$34:$E$66,5,FALSE )))*X13</f>
        <v>16943.497382579168</v>
      </c>
      <c r="Y82" s="164">
        <f>((VLOOKUP($B$76,Energy_demand!$A$34:$E$66,5,FALSE )))*Y13</f>
        <v>6797.3372178539112</v>
      </c>
      <c r="Z82" s="164">
        <f>((VLOOKUP($B$76,Energy_demand!$A$34:$E$66,5,FALSE )))*Z13</f>
        <v>2639.6038911365149</v>
      </c>
      <c r="AA82" s="164">
        <f>((VLOOKUP($B$76,Energy_demand!$A$34:$E$66,5,FALSE )))*AA13</f>
        <v>993.05957288534432</v>
      </c>
      <c r="AB82" s="164">
        <f>((VLOOKUP($B$76,Energy_demand!$A$34:$E$66,5,FALSE )))*AB13</f>
        <v>362.23510575468254</v>
      </c>
    </row>
    <row r="83" spans="1:28">
      <c r="B83" s="163">
        <v>2014</v>
      </c>
      <c r="C83" s="164">
        <f>((VLOOKUP($B$76,Energy_demand!$A$34:$E$66,5,FALSE )))*C14</f>
        <v>0</v>
      </c>
      <c r="D83" s="164">
        <f>((VLOOKUP($B$76,Energy_demand!$A$34:$E$66,5,FALSE )))*D14</f>
        <v>0</v>
      </c>
      <c r="E83" s="164">
        <f>((VLOOKUP($B$76,Energy_demand!$A$34:$E$66,5,FALSE )))*E14</f>
        <v>0</v>
      </c>
      <c r="F83" s="164">
        <f>((VLOOKUP($B$76,Energy_demand!$A$34:$E$66,5,FALSE )))*F14</f>
        <v>0</v>
      </c>
      <c r="G83" s="164">
        <f>((VLOOKUP($B$76,Energy_demand!$A$34:$E$66,5,FALSE )))*G14</f>
        <v>0</v>
      </c>
      <c r="H83" s="164">
        <f>((VLOOKUP($B$76,Energy_demand!$A$34:$E$66,5,FALSE )))*H14</f>
        <v>0</v>
      </c>
      <c r="I83" s="164">
        <f>((VLOOKUP($B$76,Energy_demand!$A$34:$E$66,5,FALSE )))*I14</f>
        <v>0</v>
      </c>
      <c r="J83" s="164">
        <f>((VLOOKUP($B$76,Energy_demand!$A$34:$E$66,5,FALSE )))*J14</f>
        <v>91275548.408303171</v>
      </c>
      <c r="K83" s="164">
        <f>((VLOOKUP($B$76,Energy_demand!$A$34:$E$66,5,FALSE )))*K14</f>
        <v>80456413.705848217</v>
      </c>
      <c r="L83" s="164">
        <f>((VLOOKUP($B$76,Energy_demand!$A$34:$E$66,5,FALSE )))*L14</f>
        <v>62920603.94265528</v>
      </c>
      <c r="M83" s="164">
        <f>((VLOOKUP($B$76,Energy_demand!$A$34:$E$66,5,FALSE )))*M14</f>
        <v>45314546.924832456</v>
      </c>
      <c r="N83" s="164">
        <f>((VLOOKUP($B$76,Energy_demand!$A$34:$E$66,5,FALSE )))*N14</f>
        <v>30477824.004228551</v>
      </c>
      <c r="O83" s="164">
        <f>((VLOOKUP($B$76,Energy_demand!$A$34:$E$66,5,FALSE )))*O14</f>
        <v>19303366.991301112</v>
      </c>
      <c r="P83" s="164">
        <f>((VLOOKUP($B$76,Energy_demand!$A$34:$E$66,5,FALSE )))*P14</f>
        <v>11578554.6896208</v>
      </c>
      <c r="Q83" s="164">
        <f>((VLOOKUP($B$76,Energy_demand!$A$34:$E$66,5,FALSE )))*Q14</f>
        <v>6605163.1169726755</v>
      </c>
      <c r="R83" s="164">
        <f>((VLOOKUP($B$76,Energy_demand!$A$34:$E$66,5,FALSE )))*R14</f>
        <v>3595487.1419187845</v>
      </c>
      <c r="S83" s="164">
        <f>((VLOOKUP($B$76,Energy_demand!$A$34:$E$66,5,FALSE )))*S14</f>
        <v>1872592.5902589443</v>
      </c>
      <c r="T83" s="164">
        <f>((VLOOKUP($B$76,Energy_demand!$A$34:$E$66,5,FALSE )))*T14</f>
        <v>935217.27213796321</v>
      </c>
      <c r="U83" s="164">
        <f>((VLOOKUP($B$76,Energy_demand!$A$34:$E$66,5,FALSE )))*U14</f>
        <v>448737.9199064445</v>
      </c>
      <c r="V83" s="164">
        <f>((VLOOKUP($B$76,Energy_demand!$A$34:$E$66,5,FALSE )))*V14</f>
        <v>207204.76707066587</v>
      </c>
      <c r="W83" s="164">
        <f>((VLOOKUP($B$76,Energy_demand!$A$34:$E$66,5,FALSE )))*W14</f>
        <v>92206.349938226602</v>
      </c>
      <c r="X83" s="164">
        <f>((VLOOKUP($B$76,Energy_demand!$A$34:$E$66,5,FALSE )))*X14</f>
        <v>39594.253334908135</v>
      </c>
      <c r="Y83" s="164">
        <f>((VLOOKUP($B$76,Energy_demand!$A$34:$E$66,5,FALSE )))*Y14</f>
        <v>16425.224244825637</v>
      </c>
      <c r="Z83" s="164">
        <f>((VLOOKUP($B$76,Energy_demand!$A$34:$E$66,5,FALSE )))*Z14</f>
        <v>6589.418084706811</v>
      </c>
      <c r="AA83" s="164">
        <f>((VLOOKUP($B$76,Energy_demand!$A$34:$E$66,5,FALSE )))*AA14</f>
        <v>2558.8628398531864</v>
      </c>
      <c r="AB83" s="164">
        <f>((VLOOKUP($B$76,Energy_demand!$A$34:$E$66,5,FALSE )))*AB14</f>
        <v>962.68354784197584</v>
      </c>
    </row>
    <row r="84" spans="1:28">
      <c r="B84" s="163">
        <v>2015</v>
      </c>
      <c r="C84" s="164">
        <f>((VLOOKUP($B$76,Energy_demand!$A$34:$E$66,5,FALSE )))*C15</f>
        <v>0</v>
      </c>
      <c r="D84" s="164">
        <f>((VLOOKUP($B$76,Energy_demand!$A$34:$E$66,5,FALSE )))*D15</f>
        <v>0</v>
      </c>
      <c r="E84" s="164">
        <f>((VLOOKUP($B$76,Energy_demand!$A$34:$E$66,5,FALSE )))*E15</f>
        <v>0</v>
      </c>
      <c r="F84" s="164">
        <f>((VLOOKUP($B$76,Energy_demand!$A$34:$E$66,5,FALSE )))*F15</f>
        <v>0</v>
      </c>
      <c r="G84" s="164">
        <f>((VLOOKUP($B$76,Energy_demand!$A$34:$E$66,5,FALSE )))*G15</f>
        <v>0</v>
      </c>
      <c r="H84" s="164">
        <f>((VLOOKUP($B$76,Energy_demand!$A$34:$E$66,5,FALSE )))*H15</f>
        <v>0</v>
      </c>
      <c r="I84" s="164">
        <f>((VLOOKUP($B$76,Energy_demand!$A$34:$E$66,5,FALSE )))*I15</f>
        <v>0</v>
      </c>
      <c r="J84" s="164">
        <f>((VLOOKUP($B$76,Energy_demand!$A$34:$E$66,5,FALSE )))*J15</f>
        <v>0</v>
      </c>
      <c r="K84" s="164">
        <f>((VLOOKUP($B$76,Energy_demand!$A$34:$E$66,5,FALSE )))*K15</f>
        <v>95083228.125141978</v>
      </c>
      <c r="L84" s="164">
        <f>((VLOOKUP($B$76,Energy_demand!$A$34:$E$66,5,FALSE )))*L15</f>
        <v>83812758.969170481</v>
      </c>
      <c r="M84" s="164">
        <f>((VLOOKUP($B$76,Energy_demand!$A$34:$E$66,5,FALSE )))*M15</f>
        <v>65545419.806066759</v>
      </c>
      <c r="N84" s="164">
        <f>((VLOOKUP($B$76,Energy_demand!$A$34:$E$66,5,FALSE )))*N15</f>
        <v>47204902.931586713</v>
      </c>
      <c r="O84" s="164">
        <f>((VLOOKUP($B$76,Energy_demand!$A$34:$E$66,5,FALSE )))*O15</f>
        <v>31749246.573558491</v>
      </c>
      <c r="P84" s="164">
        <f>((VLOOKUP($B$76,Energy_demand!$A$34:$E$66,5,FALSE )))*P15</f>
        <v>20108632.368953854</v>
      </c>
      <c r="Q84" s="164">
        <f>((VLOOKUP($B$76,Energy_demand!$A$34:$E$66,5,FALSE )))*Q15</f>
        <v>12061569.348100437</v>
      </c>
      <c r="R84" s="164">
        <f>((VLOOKUP($B$76,Energy_demand!$A$34:$E$66,5,FALSE )))*R15</f>
        <v>6880706.195765296</v>
      </c>
      <c r="S84" s="164">
        <f>((VLOOKUP($B$76,Energy_demand!$A$34:$E$66,5,FALSE )))*S15</f>
        <v>3745477.6235009637</v>
      </c>
      <c r="T84" s="164">
        <f>((VLOOKUP($B$76,Energy_demand!$A$34:$E$66,5,FALSE )))*T15</f>
        <v>1950710.2564704467</v>
      </c>
      <c r="U84" s="164">
        <f>((VLOOKUP($B$76,Energy_demand!$A$34:$E$66,5,FALSE )))*U15</f>
        <v>974231.09237849002</v>
      </c>
      <c r="V84" s="164">
        <f>((VLOOKUP($B$76,Energy_demand!$A$34:$E$66,5,FALSE )))*V15</f>
        <v>467457.61324820231</v>
      </c>
      <c r="W84" s="164">
        <f>((VLOOKUP($B$76,Energy_demand!$A$34:$E$66,5,FALSE )))*W15</f>
        <v>215848.58682924992</v>
      </c>
      <c r="X84" s="164">
        <f>((VLOOKUP($B$76,Energy_demand!$A$34:$E$66,5,FALSE )))*X15</f>
        <v>96052.859266803687</v>
      </c>
      <c r="Y84" s="164">
        <f>((VLOOKUP($B$76,Energy_demand!$A$34:$E$66,5,FALSE )))*Y15</f>
        <v>41245.979760613103</v>
      </c>
      <c r="Z84" s="164">
        <f>((VLOOKUP($B$76,Energy_demand!$A$34:$E$66,5,FALSE )))*Z15</f>
        <v>17110.424107134677</v>
      </c>
      <c r="AA84" s="164">
        <f>((VLOOKUP($B$76,Energy_demand!$A$34:$E$66,5,FALSE )))*AA15</f>
        <v>6864.3043387413745</v>
      </c>
      <c r="AB84" s="164">
        <f>((VLOOKUP($B$76,Energy_demand!$A$34:$E$66,5,FALSE )))*AB15</f>
        <v>2665.6091733826952</v>
      </c>
    </row>
    <row r="85" spans="1:28">
      <c r="A85" s="21"/>
      <c r="B85" s="163">
        <v>2016</v>
      </c>
      <c r="C85" s="164">
        <f>((VLOOKUP($B$76,Energy_demand!$A$34:$E$66,5,FALSE )))*C16</f>
        <v>0</v>
      </c>
      <c r="D85" s="164">
        <f>((VLOOKUP($B$76,Energy_demand!$A$34:$E$66,5,FALSE )))*D16</f>
        <v>0</v>
      </c>
      <c r="E85" s="164">
        <f>((VLOOKUP($B$76,Energy_demand!$A$34:$E$66,5,FALSE )))*E16</f>
        <v>0</v>
      </c>
      <c r="F85" s="164">
        <f>((VLOOKUP($B$76,Energy_demand!$A$34:$E$66,5,FALSE )))*F16</f>
        <v>0</v>
      </c>
      <c r="G85" s="164">
        <f>((VLOOKUP($B$76,Energy_demand!$A$34:$E$66,5,FALSE )))*G16</f>
        <v>0</v>
      </c>
      <c r="H85" s="164">
        <f>((VLOOKUP($B$76,Energy_demand!$A$34:$E$66,5,FALSE )))*H16</f>
        <v>0</v>
      </c>
      <c r="I85" s="164">
        <f>((VLOOKUP($B$76,Energy_demand!$A$34:$E$66,5,FALSE )))*I16</f>
        <v>0</v>
      </c>
      <c r="J85" s="164">
        <f>((VLOOKUP($B$76,Energy_demand!$A$34:$E$66,5,FALSE )))*J16</f>
        <v>0</v>
      </c>
      <c r="K85" s="164">
        <f>((VLOOKUP($B$76,Energy_demand!$A$34:$E$66,5,FALSE )))*K16</f>
        <v>0</v>
      </c>
      <c r="L85" s="164">
        <f>((VLOOKUP($B$76,Energy_demand!$A$34:$E$66,5,FALSE )))*L16</f>
        <v>95332346.318766847</v>
      </c>
      <c r="M85" s="164">
        <f>((VLOOKUP($B$76,Energy_demand!$A$34:$E$66,5,FALSE )))*M16</f>
        <v>84032348.517493725</v>
      </c>
      <c r="N85" s="164">
        <f>((VLOOKUP($B$76,Energy_demand!$A$34:$E$66,5,FALSE )))*N16</f>
        <v>65717148.899666525</v>
      </c>
      <c r="O85" s="164">
        <f>((VLOOKUP($B$76,Energy_demand!$A$34:$E$66,5,FALSE )))*O16</f>
        <v>47328579.844754584</v>
      </c>
      <c r="P85" s="164">
        <f>((VLOOKUP($B$76,Energy_demand!$A$34:$E$66,5,FALSE )))*P16</f>
        <v>31832429.644971944</v>
      </c>
      <c r="Q85" s="164">
        <f>((VLOOKUP($B$76,Energy_demand!$A$34:$E$66,5,FALSE )))*Q16</f>
        <v>20161317.014509082</v>
      </c>
      <c r="R85" s="164">
        <f>((VLOOKUP($B$76,Energy_demand!$A$34:$E$66,5,FALSE )))*R16</f>
        <v>12093170.677036442</v>
      </c>
      <c r="S85" s="164">
        <f>((VLOOKUP($B$76,Energy_demand!$A$34:$E$66,5,FALSE )))*S16</f>
        <v>6898733.6558352932</v>
      </c>
      <c r="T85" s="164">
        <f>((VLOOKUP($B$76,Energy_demand!$A$34:$E$66,5,FALSE )))*T16</f>
        <v>3755290.7802293077</v>
      </c>
      <c r="U85" s="164">
        <f>((VLOOKUP($B$76,Energy_demand!$A$34:$E$66,5,FALSE )))*U16</f>
        <v>1955821.1201312579</v>
      </c>
      <c r="V85" s="164">
        <f>((VLOOKUP($B$76,Energy_demand!$A$34:$E$66,5,FALSE )))*V16</f>
        <v>976783.57923334395</v>
      </c>
      <c r="W85" s="164">
        <f>((VLOOKUP($B$76,Energy_demand!$A$34:$E$66,5,FALSE )))*W16</f>
        <v>468682.35286321957</v>
      </c>
      <c r="X85" s="164">
        <f>((VLOOKUP($B$76,Energy_demand!$A$34:$E$66,5,FALSE )))*X16</f>
        <v>216414.11043533331</v>
      </c>
      <c r="Y85" s="164">
        <f>((VLOOKUP($B$76,Energy_demand!$A$34:$E$66,5,FALSE )))*Y16</f>
        <v>96304.517895405952</v>
      </c>
      <c r="Z85" s="164">
        <f>((VLOOKUP($B$76,Energy_demand!$A$34:$E$66,5,FALSE )))*Z16</f>
        <v>41354.044286553763</v>
      </c>
      <c r="AA85" s="164">
        <f>((VLOOKUP($B$76,Energy_demand!$A$34:$E$66,5,FALSE )))*AA16</f>
        <v>17155.253442757512</v>
      </c>
      <c r="AB85" s="164">
        <f>((VLOOKUP($B$76,Energy_demand!$A$34:$E$66,5,FALSE )))*AB16</f>
        <v>6882.288825922521</v>
      </c>
    </row>
    <row r="86" spans="1:28">
      <c r="B86" s="163">
        <v>2017</v>
      </c>
      <c r="C86" s="164">
        <f>((VLOOKUP($B$76,Energy_demand!$A$34:$E$66,5,FALSE )))*C17</f>
        <v>0</v>
      </c>
      <c r="D86" s="164">
        <f>((VLOOKUP($B$76,Energy_demand!$A$34:$E$66,5,FALSE )))*D17</f>
        <v>0</v>
      </c>
      <c r="E86" s="164">
        <f>((VLOOKUP($B$76,Energy_demand!$A$34:$E$66,5,FALSE )))*E17</f>
        <v>0</v>
      </c>
      <c r="F86" s="164">
        <f>((VLOOKUP($B$76,Energy_demand!$A$34:$E$66,5,FALSE )))*F17</f>
        <v>0</v>
      </c>
      <c r="G86" s="164">
        <f>((VLOOKUP($B$76,Energy_demand!$A$34:$E$66,5,FALSE )))*G17</f>
        <v>0</v>
      </c>
      <c r="H86" s="164">
        <f>((VLOOKUP($B$76,Energy_demand!$A$34:$E$66,5,FALSE )))*H17</f>
        <v>0</v>
      </c>
      <c r="I86" s="164">
        <f>((VLOOKUP($B$76,Energy_demand!$A$34:$E$66,5,FALSE )))*I17</f>
        <v>0</v>
      </c>
      <c r="J86" s="164">
        <f>((VLOOKUP($B$76,Energy_demand!$A$34:$E$66,5,FALSE )))*J17</f>
        <v>0</v>
      </c>
      <c r="K86" s="164">
        <f>((VLOOKUP($B$76,Energy_demand!$A$34:$E$66,5,FALSE )))*K17</f>
        <v>0</v>
      </c>
      <c r="L86" s="164">
        <f>((VLOOKUP($B$76,Energy_demand!$A$34:$E$66,5,FALSE )))*L17</f>
        <v>0</v>
      </c>
      <c r="M86" s="164">
        <f>((VLOOKUP($B$76,Energy_demand!$A$34:$E$66,5,FALSE )))*M17</f>
        <v>81317359.986697882</v>
      </c>
      <c r="N86" s="164">
        <f>((VLOOKUP($B$76,Energy_demand!$A$34:$E$66,5,FALSE )))*N17</f>
        <v>71678595.972828954</v>
      </c>
      <c r="O86" s="164">
        <f>((VLOOKUP($B$76,Energy_demand!$A$34:$E$66,5,FALSE )))*O17</f>
        <v>56055948.067247108</v>
      </c>
      <c r="P86" s="164">
        <f>((VLOOKUP($B$76,Energy_demand!$A$34:$E$66,5,FALSE )))*P17</f>
        <v>40370716.902595013</v>
      </c>
      <c r="Q86" s="164">
        <f>((VLOOKUP($B$76,Energy_demand!$A$34:$E$66,5,FALSE )))*Q17</f>
        <v>27152684.69356709</v>
      </c>
      <c r="R86" s="164">
        <f>((VLOOKUP($B$76,Energy_demand!$A$34:$E$66,5,FALSE )))*R17</f>
        <v>17197364.134863764</v>
      </c>
      <c r="S86" s="164">
        <f>((VLOOKUP($B$76,Energy_demand!$A$34:$E$66,5,FALSE )))*S17</f>
        <v>10315331.063361913</v>
      </c>
      <c r="T86" s="164">
        <f>((VLOOKUP($B$76,Energy_demand!$A$34:$E$66,5,FALSE )))*T17</f>
        <v>5884537.9328870326</v>
      </c>
      <c r="U86" s="164">
        <f>((VLOOKUP($B$76,Energy_demand!$A$34:$E$66,5,FALSE )))*U17</f>
        <v>3203218.466999169</v>
      </c>
      <c r="V86" s="164">
        <f>((VLOOKUP($B$76,Energy_demand!$A$34:$E$66,5,FALSE )))*V17</f>
        <v>1668292.2033986654</v>
      </c>
      <c r="W86" s="164">
        <f>((VLOOKUP($B$76,Energy_demand!$A$34:$E$66,5,FALSE )))*W17</f>
        <v>833184.80042462586</v>
      </c>
      <c r="X86" s="164">
        <f>((VLOOKUP($B$76,Energy_demand!$A$34:$E$66,5,FALSE )))*X17</f>
        <v>399780.48457712587</v>
      </c>
      <c r="Y86" s="164">
        <f>((VLOOKUP($B$76,Energy_demand!$A$34:$E$66,5,FALSE )))*Y17</f>
        <v>184598.667755717</v>
      </c>
      <c r="Z86" s="164">
        <f>((VLOOKUP($B$76,Energy_demand!$A$34:$E$66,5,FALSE )))*Z17</f>
        <v>82146.610803645803</v>
      </c>
      <c r="AA86" s="164">
        <f>((VLOOKUP($B$76,Energy_demand!$A$34:$E$66,5,FALSE )))*AA17</f>
        <v>35274.508978423706</v>
      </c>
      <c r="AB86" s="164">
        <f>((VLOOKUP($B$76,Energy_demand!$A$34:$E$66,5,FALSE )))*AB17</f>
        <v>14633.227584718867</v>
      </c>
    </row>
    <row r="87" spans="1:28">
      <c r="B87" s="163">
        <v>2018</v>
      </c>
      <c r="C87" s="164">
        <f>((VLOOKUP($B$76,Energy_demand!$A$34:$E$66,5,FALSE )))*C18</f>
        <v>0</v>
      </c>
      <c r="D87" s="164">
        <f>((VLOOKUP($B$76,Energy_demand!$A$34:$E$66,5,FALSE )))*D18</f>
        <v>0</v>
      </c>
      <c r="E87" s="164">
        <f>((VLOOKUP($B$76,Energy_demand!$A$34:$E$66,5,FALSE )))*E18</f>
        <v>0</v>
      </c>
      <c r="F87" s="164">
        <f>((VLOOKUP($B$76,Energy_demand!$A$34:$E$66,5,FALSE )))*F18</f>
        <v>0</v>
      </c>
      <c r="G87" s="164">
        <f>((VLOOKUP($B$76,Energy_demand!$A$34:$E$66,5,FALSE )))*G18</f>
        <v>0</v>
      </c>
      <c r="H87" s="164">
        <f>((VLOOKUP($B$76,Energy_demand!$A$34:$E$66,5,FALSE )))*H18</f>
        <v>0</v>
      </c>
      <c r="I87" s="164">
        <f>((VLOOKUP($B$76,Energy_demand!$A$34:$E$66,5,FALSE )))*I18</f>
        <v>0</v>
      </c>
      <c r="J87" s="164">
        <f>((VLOOKUP($B$76,Energy_demand!$A$34:$E$66,5,FALSE )))*J18</f>
        <v>0</v>
      </c>
      <c r="K87" s="164">
        <f>((VLOOKUP($B$76,Energy_demand!$A$34:$E$66,5,FALSE )))*K18</f>
        <v>0</v>
      </c>
      <c r="L87" s="164">
        <f>((VLOOKUP($B$76,Energy_demand!$A$34:$E$66,5,FALSE )))*L18</f>
        <v>0</v>
      </c>
      <c r="M87" s="164">
        <f>((VLOOKUP($B$76,Energy_demand!$A$34:$E$66,5,FALSE )))*M18</f>
        <v>0</v>
      </c>
      <c r="N87" s="164">
        <f>((VLOOKUP($B$76,Energy_demand!$A$34:$E$66,5,FALSE )))*N18</f>
        <v>87674703.24861154</v>
      </c>
      <c r="O87" s="164">
        <f>((VLOOKUP($B$76,Energy_demand!$A$34:$E$66,5,FALSE )))*O18</f>
        <v>77282386.34681353</v>
      </c>
      <c r="P87" s="164">
        <f>((VLOOKUP($B$76,Energy_demand!$A$34:$E$66,5,FALSE )))*P18</f>
        <v>60438369.038535289</v>
      </c>
      <c r="Q87" s="164">
        <f>((VLOOKUP($B$76,Energy_demand!$A$34:$E$66,5,FALSE )))*Q18</f>
        <v>43526875.748889588</v>
      </c>
      <c r="R87" s="164">
        <f>((VLOOKUP($B$76,Energy_demand!$A$34:$E$66,5,FALSE )))*R18</f>
        <v>29275465.574645281</v>
      </c>
      <c r="S87" s="164">
        <f>((VLOOKUP($B$76,Energy_demand!$A$34:$E$66,5,FALSE )))*S18</f>
        <v>18541843.923968282</v>
      </c>
      <c r="T87" s="164">
        <f>((VLOOKUP($B$76,Energy_demand!$A$34:$E$66,5,FALSE )))*T18</f>
        <v>11121777.564340301</v>
      </c>
      <c r="U87" s="164">
        <f>((VLOOKUP($B$76,Energy_demand!$A$34:$E$66,5,FALSE )))*U18</f>
        <v>6344587.6391641954</v>
      </c>
      <c r="V87" s="164">
        <f>((VLOOKUP($B$76,Energy_demand!$A$34:$E$66,5,FALSE )))*V18</f>
        <v>3453644.1982445726</v>
      </c>
      <c r="W87" s="164">
        <f>((VLOOKUP($B$76,Energy_demand!$A$34:$E$66,5,FALSE )))*W18</f>
        <v>1798718.3042941513</v>
      </c>
      <c r="X87" s="164">
        <f>((VLOOKUP($B$76,Energy_demand!$A$34:$E$66,5,FALSE )))*X18</f>
        <v>898322.69690546149</v>
      </c>
      <c r="Y87" s="164">
        <f>((VLOOKUP($B$76,Energy_demand!$A$34:$E$66,5,FALSE )))*Y18</f>
        <v>431035.08716489706</v>
      </c>
      <c r="Z87" s="164">
        <f>((VLOOKUP($B$76,Energy_demand!$A$34:$E$66,5,FALSE )))*Z18</f>
        <v>199030.48276799754</v>
      </c>
      <c r="AA87" s="164">
        <f>((VLOOKUP($B$76,Energy_demand!$A$34:$E$66,5,FALSE )))*AA18</f>
        <v>88568.78440553142</v>
      </c>
      <c r="AB87" s="164">
        <f>((VLOOKUP($B$76,Energy_demand!$A$34:$E$66,5,FALSE )))*AB18</f>
        <v>38032.249293750945</v>
      </c>
    </row>
    <row r="88" spans="1:28">
      <c r="B88" s="163">
        <v>2019</v>
      </c>
      <c r="C88" s="164">
        <f>((VLOOKUP($B$76,Energy_demand!$A$34:$E$66,5,FALSE )))*C19</f>
        <v>0</v>
      </c>
      <c r="D88" s="164">
        <f>((VLOOKUP($B$76,Energy_demand!$A$34:$E$66,5,FALSE )))*D19</f>
        <v>0</v>
      </c>
      <c r="E88" s="164">
        <f>((VLOOKUP($B$76,Energy_demand!$A$34:$E$66,5,FALSE )))*E19</f>
        <v>0</v>
      </c>
      <c r="F88" s="164">
        <f>((VLOOKUP($B$76,Energy_demand!$A$34:$E$66,5,FALSE )))*F19</f>
        <v>0</v>
      </c>
      <c r="G88" s="164">
        <f>((VLOOKUP($B$76,Energy_demand!$A$34:$E$66,5,FALSE )))*G19</f>
        <v>0</v>
      </c>
      <c r="H88" s="164">
        <f>((VLOOKUP($B$76,Energy_demand!$A$34:$E$66,5,FALSE )))*H19</f>
        <v>0</v>
      </c>
      <c r="I88" s="164">
        <f>((VLOOKUP($B$76,Energy_demand!$A$34:$E$66,5,FALSE )))*I19</f>
        <v>0</v>
      </c>
      <c r="J88" s="164">
        <f>((VLOOKUP($B$76,Energy_demand!$A$34:$E$66,5,FALSE )))*J19</f>
        <v>0</v>
      </c>
      <c r="K88" s="164">
        <f>((VLOOKUP($B$76,Energy_demand!$A$34:$E$66,5,FALSE )))*K19</f>
        <v>0</v>
      </c>
      <c r="L88" s="164">
        <f>((VLOOKUP($B$76,Energy_demand!$A$34:$E$66,5,FALSE )))*L19</f>
        <v>0</v>
      </c>
      <c r="M88" s="164">
        <f>((VLOOKUP($B$76,Energy_demand!$A$34:$E$66,5,FALSE )))*M19</f>
        <v>0</v>
      </c>
      <c r="N88" s="164">
        <f>((VLOOKUP($B$76,Energy_demand!$A$34:$E$66,5,FALSE )))*N19</f>
        <v>0</v>
      </c>
      <c r="O88" s="164">
        <f>((VLOOKUP($B$76,Energy_demand!$A$34:$E$66,5,FALSE )))*O19</f>
        <v>88210602.578341872</v>
      </c>
      <c r="P88" s="164">
        <f>((VLOOKUP($B$76,Energy_demand!$A$34:$E$66,5,FALSE )))*P19</f>
        <v>77754764.096707672</v>
      </c>
      <c r="Q88" s="164">
        <f>((VLOOKUP($B$76,Energy_demand!$A$34:$E$66,5,FALSE )))*Q19</f>
        <v>60807790.094525665</v>
      </c>
      <c r="R88" s="164">
        <f>((VLOOKUP($B$76,Energy_demand!$A$34:$E$66,5,FALSE )))*R19</f>
        <v>43792927.673501655</v>
      </c>
      <c r="S88" s="164">
        <f>((VLOOKUP($B$76,Energy_demand!$A$34:$E$66,5,FALSE )))*S19</f>
        <v>29454407.752921131</v>
      </c>
      <c r="T88" s="164">
        <f>((VLOOKUP($B$76,Energy_demand!$A$34:$E$66,5,FALSE )))*T19</f>
        <v>18655178.344988704</v>
      </c>
      <c r="U88" s="164">
        <f>((VLOOKUP($B$76,Energy_demand!$A$34:$E$66,5,FALSE )))*U19</f>
        <v>11189757.870190199</v>
      </c>
      <c r="V88" s="164">
        <f>((VLOOKUP($B$76,Energy_demand!$A$34:$E$66,5,FALSE )))*V19</f>
        <v>6383368.0414611064</v>
      </c>
      <c r="W88" s="164">
        <f>((VLOOKUP($B$76,Energy_demand!$A$34:$E$66,5,FALSE )))*W19</f>
        <v>3474754.1141312351</v>
      </c>
      <c r="X88" s="164">
        <f>((VLOOKUP($B$76,Energy_demand!$A$34:$E$66,5,FALSE )))*X19</f>
        <v>1809712.717710203</v>
      </c>
      <c r="Y88" s="164">
        <f>((VLOOKUP($B$76,Energy_demand!$A$34:$E$66,5,FALSE )))*Y19</f>
        <v>903813.56842615642</v>
      </c>
      <c r="Z88" s="164">
        <f>((VLOOKUP($B$76,Energy_demand!$A$34:$E$66,5,FALSE )))*Z19</f>
        <v>433669.72869481385</v>
      </c>
      <c r="AA88" s="164">
        <f>((VLOOKUP($B$76,Energy_demand!$A$34:$E$66,5,FALSE )))*AA19</f>
        <v>200247.0286855677</v>
      </c>
      <c r="AB88" s="164">
        <f>((VLOOKUP($B$76,Energy_demand!$A$34:$E$66,5,FALSE )))*AB19</f>
        <v>89110.148680964034</v>
      </c>
    </row>
    <row r="89" spans="1:28">
      <c r="B89" s="163">
        <v>2020</v>
      </c>
      <c r="C89" s="164">
        <f>((VLOOKUP($B$76,Energy_demand!$A$34:$E$66,5,FALSE )))*C20</f>
        <v>0</v>
      </c>
      <c r="D89" s="164">
        <f>((VLOOKUP($B$76,Energy_demand!$A$34:$E$66,5,FALSE )))*D20</f>
        <v>0</v>
      </c>
      <c r="E89" s="164">
        <f>((VLOOKUP($B$76,Energy_demand!$A$34:$E$66,5,FALSE )))*E20</f>
        <v>0</v>
      </c>
      <c r="F89" s="164">
        <f>((VLOOKUP($B$76,Energy_demand!$A$34:$E$66,5,FALSE )))*F20</f>
        <v>0</v>
      </c>
      <c r="G89" s="164">
        <f>((VLOOKUP($B$76,Energy_demand!$A$34:$E$66,5,FALSE )))*G20</f>
        <v>0</v>
      </c>
      <c r="H89" s="164">
        <f>((VLOOKUP($B$76,Energy_demand!$A$34:$E$66,5,FALSE )))*H20</f>
        <v>0</v>
      </c>
      <c r="I89" s="164">
        <f>((VLOOKUP($B$76,Energy_demand!$A$34:$E$66,5,FALSE )))*I20</f>
        <v>0</v>
      </c>
      <c r="J89" s="164">
        <f>((VLOOKUP($B$76,Energy_demand!$A$34:$E$66,5,FALSE )))*J20</f>
        <v>0</v>
      </c>
      <c r="K89" s="164">
        <f>((VLOOKUP($B$76,Energy_demand!$A$34:$E$66,5,FALSE )))*K20</f>
        <v>0</v>
      </c>
      <c r="L89" s="164">
        <f>((VLOOKUP($B$76,Energy_demand!$A$34:$E$66,5,FALSE )))*L20</f>
        <v>0</v>
      </c>
      <c r="M89" s="164">
        <f>((VLOOKUP($B$76,Energy_demand!$A$34:$E$66,5,FALSE )))*M20</f>
        <v>0</v>
      </c>
      <c r="N89" s="164">
        <f>((VLOOKUP($B$76,Energy_demand!$A$34:$E$66,5,FALSE )))*N20</f>
        <v>0</v>
      </c>
      <c r="O89" s="164">
        <f>((VLOOKUP($B$76,Energy_demand!$A$34:$E$66,5,FALSE )))*O20</f>
        <v>0</v>
      </c>
      <c r="P89" s="164">
        <f>((VLOOKUP($B$76,Energy_demand!$A$34:$E$66,5,FALSE )))*P20</f>
        <v>93543723.144234315</v>
      </c>
      <c r="Q89" s="164">
        <f>((VLOOKUP($B$76,Energy_demand!$A$34:$E$66,5,FALSE )))*Q20</f>
        <v>82455735.628241941</v>
      </c>
      <c r="R89" s="164">
        <f>((VLOOKUP($B$76,Energy_demand!$A$34:$E$66,5,FALSE )))*R20</f>
        <v>64484165.34240555</v>
      </c>
      <c r="S89" s="164">
        <f>((VLOOKUP($B$76,Energy_demand!$A$34:$E$66,5,FALSE )))*S20</f>
        <v>46440602.17508743</v>
      </c>
      <c r="T89" s="164">
        <f>((VLOOKUP($B$76,Energy_demand!$A$34:$E$66,5,FALSE )))*T20</f>
        <v>31235190.370336942</v>
      </c>
      <c r="U89" s="164">
        <f>((VLOOKUP($B$76,Energy_demand!$A$34:$E$66,5,FALSE )))*U20</f>
        <v>19783050.872598875</v>
      </c>
      <c r="V89" s="164">
        <f>((VLOOKUP($B$76,Energy_demand!$A$34:$E$66,5,FALSE )))*V20</f>
        <v>11866278.901455894</v>
      </c>
      <c r="W89" s="164">
        <f>((VLOOKUP($B$76,Energy_demand!$A$34:$E$66,5,FALSE )))*W20</f>
        <v>6769299.7819380201</v>
      </c>
      <c r="X89" s="164">
        <f>((VLOOKUP($B$76,Energy_demand!$A$34:$E$66,5,FALSE )))*X20</f>
        <v>3684834.105490943</v>
      </c>
      <c r="Y89" s="164">
        <f>((VLOOKUP($B$76,Energy_demand!$A$34:$E$66,5,FALSE )))*Y20</f>
        <v>1919126.0516074039</v>
      </c>
      <c r="Z89" s="164">
        <f>((VLOOKUP($B$76,Energy_demand!$A$34:$E$66,5,FALSE )))*Z20</f>
        <v>958457.18935851869</v>
      </c>
      <c r="AA89" s="164">
        <f>((VLOOKUP($B$76,Energy_demand!$A$34:$E$66,5,FALSE )))*AA20</f>
        <v>459888.94590119494</v>
      </c>
      <c r="AB89" s="164">
        <f>((VLOOKUP($B$76,Energy_demand!$A$34:$E$66,5,FALSE )))*AB20</f>
        <v>212353.75413269736</v>
      </c>
    </row>
    <row r="90" spans="1:28">
      <c r="B90" s="163">
        <v>2021</v>
      </c>
      <c r="C90" s="164">
        <f>((VLOOKUP($B$76,Energy_demand!$A$34:$E$66,5,FALSE )))*C21</f>
        <v>0</v>
      </c>
      <c r="D90" s="164">
        <f>((VLOOKUP($B$76,Energy_demand!$A$34:$E$66,5,FALSE )))*D21</f>
        <v>0</v>
      </c>
      <c r="E90" s="164">
        <f>((VLOOKUP($B$76,Energy_demand!$A$34:$E$66,5,FALSE )))*E21</f>
        <v>0</v>
      </c>
      <c r="F90" s="164">
        <f>((VLOOKUP($B$76,Energy_demand!$A$34:$E$66,5,FALSE )))*F21</f>
        <v>0</v>
      </c>
      <c r="G90" s="164">
        <f>((VLOOKUP($B$76,Energy_demand!$A$34:$E$66,5,FALSE )))*G21</f>
        <v>0</v>
      </c>
      <c r="H90" s="164">
        <f>((VLOOKUP($B$76,Energy_demand!$A$34:$E$66,5,FALSE )))*H21</f>
        <v>0</v>
      </c>
      <c r="I90" s="164">
        <f>((VLOOKUP($B$76,Energy_demand!$A$34:$E$66,5,FALSE )))*I21</f>
        <v>0</v>
      </c>
      <c r="J90" s="164">
        <f>((VLOOKUP($B$76,Energy_demand!$A$34:$E$66,5,FALSE )))*J21</f>
        <v>0</v>
      </c>
      <c r="K90" s="164">
        <f>((VLOOKUP($B$76,Energy_demand!$A$34:$E$66,5,FALSE )))*K21</f>
        <v>0</v>
      </c>
      <c r="L90" s="164">
        <f>((VLOOKUP($B$76,Energy_demand!$A$34:$E$66,5,FALSE )))*L21</f>
        <v>0</v>
      </c>
      <c r="M90" s="164">
        <f>((VLOOKUP($B$76,Energy_demand!$A$34:$E$66,5,FALSE )))*M21</f>
        <v>0</v>
      </c>
      <c r="N90" s="164">
        <f>((VLOOKUP($B$76,Energy_demand!$A$34:$E$66,5,FALSE )))*N21</f>
        <v>0</v>
      </c>
      <c r="O90" s="164">
        <f>((VLOOKUP($B$76,Energy_demand!$A$34:$E$66,5,FALSE )))*O21</f>
        <v>0</v>
      </c>
      <c r="P90" s="164">
        <f>((VLOOKUP($B$76,Energy_demand!$A$34:$E$66,5,FALSE )))*P21</f>
        <v>0</v>
      </c>
      <c r="Q90" s="164">
        <f>((VLOOKUP($B$76,Energy_demand!$A$34:$E$66,5,FALSE )))*Q21</f>
        <v>93024611.025489926</v>
      </c>
      <c r="R90" s="164">
        <f>((VLOOKUP($B$76,Energy_demand!$A$34:$E$66,5,FALSE )))*R21</f>
        <v>81998155.256348833</v>
      </c>
      <c r="S90" s="164">
        <f>((VLOOKUP($B$76,Energy_demand!$A$34:$E$66,5,FALSE )))*S21</f>
        <v>64126316.514379479</v>
      </c>
      <c r="T90" s="164">
        <f>((VLOOKUP($B$76,Energy_demand!$A$34:$E$66,5,FALSE )))*T21</f>
        <v>46182884.40867243</v>
      </c>
      <c r="U90" s="164">
        <f>((VLOOKUP($B$76,Energy_demand!$A$34:$E$66,5,FALSE )))*U21</f>
        <v>31061853.610717822</v>
      </c>
      <c r="V90" s="164">
        <f>((VLOOKUP($B$76,Energy_demand!$A$34:$E$66,5,FALSE )))*V21</f>
        <v>19673266.687102344</v>
      </c>
      <c r="W90" s="164">
        <f>((VLOOKUP($B$76,Energy_demand!$A$34:$E$66,5,FALSE )))*W21</f>
        <v>11800428.099551754</v>
      </c>
      <c r="X90" s="164">
        <f>((VLOOKUP($B$76,Energy_demand!$A$34:$E$66,5,FALSE )))*X21</f>
        <v>6731734.1876458246</v>
      </c>
      <c r="Y90" s="164">
        <f>((VLOOKUP($B$76,Energy_demand!$A$34:$E$66,5,FALSE )))*Y21</f>
        <v>3664385.4641986396</v>
      </c>
      <c r="Z90" s="164">
        <f>((VLOOKUP($B$76,Energy_demand!$A$34:$E$66,5,FALSE )))*Z21</f>
        <v>1908476.0415660953</v>
      </c>
      <c r="AA90" s="164">
        <f>((VLOOKUP($B$76,Energy_demand!$A$34:$E$66,5,FALSE )))*AA21</f>
        <v>953138.32107350789</v>
      </c>
      <c r="AB90" s="164">
        <f>((VLOOKUP($B$76,Energy_demand!$A$34:$E$66,5,FALSE )))*AB21</f>
        <v>457336.83532584622</v>
      </c>
    </row>
    <row r="91" spans="1:28">
      <c r="B91" s="163">
        <v>2022</v>
      </c>
      <c r="C91" s="164">
        <f>((VLOOKUP($B$76,Energy_demand!$A$34:$E$66,5,FALSE )))*C22</f>
        <v>0</v>
      </c>
      <c r="D91" s="164">
        <f>((VLOOKUP($B$76,Energy_demand!$A$34:$E$66,5,FALSE )))*D22</f>
        <v>0</v>
      </c>
      <c r="E91" s="164">
        <f>((VLOOKUP($B$76,Energy_demand!$A$34:$E$66,5,FALSE )))*E22</f>
        <v>0</v>
      </c>
      <c r="F91" s="164">
        <f>((VLOOKUP($B$76,Energy_demand!$A$34:$E$66,5,FALSE )))*F22</f>
        <v>0</v>
      </c>
      <c r="G91" s="164">
        <f>((VLOOKUP($B$76,Energy_demand!$A$34:$E$66,5,FALSE )))*G22</f>
        <v>0</v>
      </c>
      <c r="H91" s="164">
        <f>((VLOOKUP($B$76,Energy_demand!$A$34:$E$66,5,FALSE )))*H22</f>
        <v>0</v>
      </c>
      <c r="I91" s="164">
        <f>((VLOOKUP($B$76,Energy_demand!$A$34:$E$66,5,FALSE )))*I22</f>
        <v>0</v>
      </c>
      <c r="J91" s="164">
        <f>((VLOOKUP($B$76,Energy_demand!$A$34:$E$66,5,FALSE )))*J22</f>
        <v>0</v>
      </c>
      <c r="K91" s="164">
        <f>((VLOOKUP($B$76,Energy_demand!$A$34:$E$66,5,FALSE )))*K22</f>
        <v>0</v>
      </c>
      <c r="L91" s="164">
        <f>((VLOOKUP($B$76,Energy_demand!$A$34:$E$66,5,FALSE )))*L22</f>
        <v>0</v>
      </c>
      <c r="M91" s="164">
        <f>((VLOOKUP($B$76,Energy_demand!$A$34:$E$66,5,FALSE )))*M22</f>
        <v>0</v>
      </c>
      <c r="N91" s="164">
        <f>((VLOOKUP($B$76,Energy_demand!$A$34:$E$66,5,FALSE )))*N22</f>
        <v>0</v>
      </c>
      <c r="O91" s="164">
        <f>((VLOOKUP($B$76,Energy_demand!$A$34:$E$66,5,FALSE )))*O22</f>
        <v>0</v>
      </c>
      <c r="P91" s="164">
        <f>((VLOOKUP($B$76,Energy_demand!$A$34:$E$66,5,FALSE )))*P22</f>
        <v>0</v>
      </c>
      <c r="Q91" s="164">
        <f>((VLOOKUP($B$76,Energy_demand!$A$34:$E$66,5,FALSE )))*Q22</f>
        <v>0</v>
      </c>
      <c r="R91" s="164">
        <f>((VLOOKUP($B$76,Energy_demand!$A$34:$E$66,5,FALSE )))*R22</f>
        <v>93024611.025489926</v>
      </c>
      <c r="S91" s="164">
        <f>((VLOOKUP($B$76,Energy_demand!$A$34:$E$66,5,FALSE )))*S22</f>
        <v>81998155.256348833</v>
      </c>
      <c r="T91" s="164">
        <f>((VLOOKUP($B$76,Energy_demand!$A$34:$E$66,5,FALSE )))*T22</f>
        <v>64126316.514379479</v>
      </c>
      <c r="U91" s="164">
        <f>((VLOOKUP($B$76,Energy_demand!$A$34:$E$66,5,FALSE )))*U22</f>
        <v>46182884.40867243</v>
      </c>
      <c r="V91" s="164">
        <f>((VLOOKUP($B$76,Energy_demand!$A$34:$E$66,5,FALSE )))*V22</f>
        <v>31061853.610717822</v>
      </c>
      <c r="W91" s="164">
        <f>((VLOOKUP($B$76,Energy_demand!$A$34:$E$66,5,FALSE )))*W22</f>
        <v>19673266.687102344</v>
      </c>
      <c r="X91" s="164">
        <f>((VLOOKUP($B$76,Energy_demand!$A$34:$E$66,5,FALSE )))*X22</f>
        <v>11800428.099551754</v>
      </c>
      <c r="Y91" s="164">
        <f>((VLOOKUP($B$76,Energy_demand!$A$34:$E$66,5,FALSE )))*Y22</f>
        <v>6731734.1876458246</v>
      </c>
      <c r="Z91" s="164">
        <f>((VLOOKUP($B$76,Energy_demand!$A$34:$E$66,5,FALSE )))*Z22</f>
        <v>3664385.4641986396</v>
      </c>
      <c r="AA91" s="164">
        <f>((VLOOKUP($B$76,Energy_demand!$A$34:$E$66,5,FALSE )))*AA22</f>
        <v>1908476.0415660953</v>
      </c>
      <c r="AB91" s="164">
        <f>((VLOOKUP($B$76,Energy_demand!$A$34:$E$66,5,FALSE )))*AB22</f>
        <v>953138.32107350789</v>
      </c>
    </row>
    <row r="92" spans="1:28">
      <c r="B92" s="163">
        <v>2023</v>
      </c>
      <c r="C92" s="164">
        <f>((VLOOKUP($B$76,Energy_demand!$A$34:$E$66,5,FALSE )))*C23</f>
        <v>0</v>
      </c>
      <c r="D92" s="164">
        <f>((VLOOKUP($B$76,Energy_demand!$A$34:$E$66,5,FALSE )))*D23</f>
        <v>0</v>
      </c>
      <c r="E92" s="164">
        <f>((VLOOKUP($B$76,Energy_demand!$A$34:$E$66,5,FALSE )))*E23</f>
        <v>0</v>
      </c>
      <c r="F92" s="164">
        <f>((VLOOKUP($B$76,Energy_demand!$A$34:$E$66,5,FALSE )))*F23</f>
        <v>0</v>
      </c>
      <c r="G92" s="164">
        <f>((VLOOKUP($B$76,Energy_demand!$A$34:$E$66,5,FALSE )))*G23</f>
        <v>0</v>
      </c>
      <c r="H92" s="164">
        <f>((VLOOKUP($B$76,Energy_demand!$A$34:$E$66,5,FALSE )))*H23</f>
        <v>0</v>
      </c>
      <c r="I92" s="164">
        <f>((VLOOKUP($B$76,Energy_demand!$A$34:$E$66,5,FALSE )))*I23</f>
        <v>0</v>
      </c>
      <c r="J92" s="164">
        <f>((VLOOKUP($B$76,Energy_demand!$A$34:$E$66,5,FALSE )))*J23</f>
        <v>0</v>
      </c>
      <c r="K92" s="164">
        <f>((VLOOKUP($B$76,Energy_demand!$A$34:$E$66,5,FALSE )))*K23</f>
        <v>0</v>
      </c>
      <c r="L92" s="164">
        <f>((VLOOKUP($B$76,Energy_demand!$A$34:$E$66,5,FALSE )))*L23</f>
        <v>0</v>
      </c>
      <c r="M92" s="164">
        <f>((VLOOKUP($B$76,Energy_demand!$A$34:$E$66,5,FALSE )))*M23</f>
        <v>0</v>
      </c>
      <c r="N92" s="164">
        <f>((VLOOKUP($B$76,Energy_demand!$A$34:$E$66,5,FALSE )))*N23</f>
        <v>0</v>
      </c>
      <c r="O92" s="164">
        <f>((VLOOKUP($B$76,Energy_demand!$A$34:$E$66,5,FALSE )))*O23</f>
        <v>0</v>
      </c>
      <c r="P92" s="164">
        <f>((VLOOKUP($B$76,Energy_demand!$A$34:$E$66,5,FALSE )))*P23</f>
        <v>0</v>
      </c>
      <c r="Q92" s="164">
        <f>((VLOOKUP($B$76,Energy_demand!$A$34:$E$66,5,FALSE )))*Q23</f>
        <v>0</v>
      </c>
      <c r="R92" s="164">
        <f>((VLOOKUP($B$76,Energy_demand!$A$34:$E$66,5,FALSE )))*R23</f>
        <v>0</v>
      </c>
      <c r="S92" s="164">
        <f>((VLOOKUP($B$76,Energy_demand!$A$34:$E$66,5,FALSE )))*S23</f>
        <v>93024611.025489926</v>
      </c>
      <c r="T92" s="164">
        <f>((VLOOKUP($B$76,Energy_demand!$A$34:$E$66,5,FALSE )))*T23</f>
        <v>84599601.918998331</v>
      </c>
      <c r="U92" s="164">
        <f>((VLOOKUP($B$76,Energy_demand!$A$34:$E$66,5,FALSE )))*U23</f>
        <v>70312245.821928784</v>
      </c>
      <c r="V92" s="164">
        <f>((VLOOKUP($B$76,Energy_demand!$A$34:$E$66,5,FALSE )))*V23</f>
        <v>54924406.856447279</v>
      </c>
      <c r="W92" s="164">
        <f>((VLOOKUP($B$76,Energy_demand!$A$34:$E$66,5,FALSE )))*W23</f>
        <v>40752401.521800697</v>
      </c>
      <c r="X92" s="164">
        <f>((VLOOKUP($B$76,Energy_demand!$A$34:$E$66,5,FALSE )))*X23</f>
        <v>28900423.978239477</v>
      </c>
      <c r="Y92" s="164">
        <f>((VLOOKUP($B$76,Energy_demand!$A$34:$E$66,5,FALSE )))*Y23</f>
        <v>19673266.687102258</v>
      </c>
      <c r="Z92" s="164">
        <f>((VLOOKUP($B$76,Energy_demand!$A$34:$E$66,5,FALSE )))*Z23</f>
        <v>12895889.479492029</v>
      </c>
      <c r="AA92" s="164">
        <f>((VLOOKUP($B$76,Energy_demand!$A$34:$E$66,5,FALSE )))*AA23</f>
        <v>8160373.1366980961</v>
      </c>
      <c r="AB92" s="164">
        <f>((VLOOKUP($B$76,Energy_demand!$A$34:$E$66,5,FALSE )))*AB23</f>
        <v>4994939.8093302054</v>
      </c>
    </row>
    <row r="93" spans="1:28">
      <c r="B93" s="163">
        <v>2024</v>
      </c>
      <c r="C93" s="164">
        <f>((VLOOKUP($B$76,Energy_demand!$A$34:$E$66,5,FALSE )))*C24</f>
        <v>0</v>
      </c>
      <c r="D93" s="164">
        <f>((VLOOKUP($B$76,Energy_demand!$A$34:$E$66,5,FALSE )))*D24</f>
        <v>0</v>
      </c>
      <c r="E93" s="164">
        <f>((VLOOKUP($B$76,Energy_demand!$A$34:$E$66,5,FALSE )))*E24</f>
        <v>0</v>
      </c>
      <c r="F93" s="164">
        <f>((VLOOKUP($B$76,Energy_demand!$A$34:$E$66,5,FALSE )))*F24</f>
        <v>0</v>
      </c>
      <c r="G93" s="164">
        <f>((VLOOKUP($B$76,Energy_demand!$A$34:$E$66,5,FALSE )))*G24</f>
        <v>0</v>
      </c>
      <c r="H93" s="164">
        <f>((VLOOKUP($B$76,Energy_demand!$A$34:$E$66,5,FALSE )))*H24</f>
        <v>0</v>
      </c>
      <c r="I93" s="164">
        <f>((VLOOKUP($B$76,Energy_demand!$A$34:$E$66,5,FALSE )))*I24</f>
        <v>0</v>
      </c>
      <c r="J93" s="164">
        <f>((VLOOKUP($B$76,Energy_demand!$A$34:$E$66,5,FALSE )))*J24</f>
        <v>0</v>
      </c>
      <c r="K93" s="164">
        <f>((VLOOKUP($B$76,Energy_demand!$A$34:$E$66,5,FALSE )))*K24</f>
        <v>0</v>
      </c>
      <c r="L93" s="164">
        <f>((VLOOKUP($B$76,Energy_demand!$A$34:$E$66,5,FALSE )))*L24</f>
        <v>0</v>
      </c>
      <c r="M93" s="164">
        <f>((VLOOKUP($B$76,Energy_demand!$A$34:$E$66,5,FALSE )))*M24</f>
        <v>0</v>
      </c>
      <c r="N93" s="164">
        <f>((VLOOKUP($B$76,Energy_demand!$A$34:$E$66,5,FALSE )))*N24</f>
        <v>0</v>
      </c>
      <c r="O93" s="164">
        <f>((VLOOKUP($B$76,Energy_demand!$A$34:$E$66,5,FALSE )))*O24</f>
        <v>0</v>
      </c>
      <c r="P93" s="164">
        <f>((VLOOKUP($B$76,Energy_demand!$A$34:$E$66,5,FALSE )))*P24</f>
        <v>0</v>
      </c>
      <c r="Q93" s="164">
        <f>((VLOOKUP($B$76,Energy_demand!$A$34:$E$66,5,FALSE )))*Q24</f>
        <v>0</v>
      </c>
      <c r="R93" s="164">
        <f>((VLOOKUP($B$76,Energy_demand!$A$34:$E$66,5,FALSE )))*R24</f>
        <v>0</v>
      </c>
      <c r="S93" s="164">
        <f>((VLOOKUP($B$76,Energy_demand!$A$34:$E$66,5,FALSE )))*S24</f>
        <v>0</v>
      </c>
      <c r="T93" s="164">
        <f>((VLOOKUP($B$76,Energy_demand!$A$34:$E$66,5,FALSE )))*T24</f>
        <v>90423166.581576303</v>
      </c>
      <c r="U93" s="164">
        <f>((VLOOKUP($B$76,Energy_demand!$A$34:$E$66,5,FALSE )))*U24</f>
        <v>82233763.868794844</v>
      </c>
      <c r="V93" s="164">
        <f>((VLOOKUP($B$76,Energy_demand!$A$34:$E$66,5,FALSE )))*V24</f>
        <v>68345955.404628083</v>
      </c>
      <c r="W93" s="164">
        <f>((VLOOKUP($B$76,Energy_demand!$A$34:$E$66,5,FALSE )))*W24</f>
        <v>53388439.207920335</v>
      </c>
      <c r="X93" s="164">
        <f>((VLOOKUP($B$76,Energy_demand!$A$34:$E$66,5,FALSE )))*X24</f>
        <v>39612755.708221585</v>
      </c>
      <c r="Y93" s="164">
        <f>((VLOOKUP($B$76,Energy_demand!$A$34:$E$66,5,FALSE )))*Y24</f>
        <v>28092220.143188357</v>
      </c>
      <c r="Z93" s="164">
        <f>((VLOOKUP($B$76,Energy_demand!$A$34:$E$66,5,FALSE )))*Z24</f>
        <v>19123101.416292697</v>
      </c>
      <c r="AA93" s="164">
        <f>((VLOOKUP($B$76,Energy_demand!$A$34:$E$66,5,FALSE )))*AA24</f>
        <v>12535254.378028868</v>
      </c>
      <c r="AB93" s="164">
        <f>((VLOOKUP($B$76,Energy_demand!$A$34:$E$66,5,FALSE )))*AB24</f>
        <v>7932167.3197352244</v>
      </c>
    </row>
    <row r="94" spans="1:28">
      <c r="B94" s="163">
        <v>2025</v>
      </c>
      <c r="C94" s="164">
        <f>((VLOOKUP($B$76,Energy_demand!$A$34:$E$66,5,FALSE )))*C25</f>
        <v>0</v>
      </c>
      <c r="D94" s="164">
        <f>((VLOOKUP($B$76,Energy_demand!$A$34:$E$66,5,FALSE )))*D25</f>
        <v>0</v>
      </c>
      <c r="E94" s="164">
        <f>((VLOOKUP($B$76,Energy_demand!$A$34:$E$66,5,FALSE )))*E25</f>
        <v>0</v>
      </c>
      <c r="F94" s="164">
        <f>((VLOOKUP($B$76,Energy_demand!$A$34:$E$66,5,FALSE )))*F25</f>
        <v>0</v>
      </c>
      <c r="G94" s="164">
        <f>((VLOOKUP($B$76,Energy_demand!$A$34:$E$66,5,FALSE )))*G25</f>
        <v>0</v>
      </c>
      <c r="H94" s="164">
        <f>((VLOOKUP($B$76,Energy_demand!$A$34:$E$66,5,FALSE )))*H25</f>
        <v>0</v>
      </c>
      <c r="I94" s="164">
        <f>((VLOOKUP($B$76,Energy_demand!$A$34:$E$66,5,FALSE )))*I25</f>
        <v>0</v>
      </c>
      <c r="J94" s="164">
        <f>((VLOOKUP($B$76,Energy_demand!$A$34:$E$66,5,FALSE )))*J25</f>
        <v>0</v>
      </c>
      <c r="K94" s="164">
        <f>((VLOOKUP($B$76,Energy_demand!$A$34:$E$66,5,FALSE )))*K25</f>
        <v>0</v>
      </c>
      <c r="L94" s="164">
        <f>((VLOOKUP($B$76,Energy_demand!$A$34:$E$66,5,FALSE )))*L25</f>
        <v>0</v>
      </c>
      <c r="M94" s="164">
        <f>((VLOOKUP($B$76,Energy_demand!$A$34:$E$66,5,FALSE )))*M25</f>
        <v>0</v>
      </c>
      <c r="N94" s="164">
        <f>((VLOOKUP($B$76,Energy_demand!$A$34:$E$66,5,FALSE )))*N25</f>
        <v>0</v>
      </c>
      <c r="O94" s="164">
        <f>((VLOOKUP($B$76,Energy_demand!$A$34:$E$66,5,FALSE )))*O25</f>
        <v>0</v>
      </c>
      <c r="P94" s="164">
        <f>((VLOOKUP($B$76,Energy_demand!$A$34:$E$66,5,FALSE )))*P25</f>
        <v>0</v>
      </c>
      <c r="Q94" s="164">
        <f>((VLOOKUP($B$76,Energy_demand!$A$34:$E$66,5,FALSE )))*Q25</f>
        <v>0</v>
      </c>
      <c r="R94" s="164">
        <f>((VLOOKUP($B$76,Energy_demand!$A$34:$E$66,5,FALSE )))*R25</f>
        <v>0</v>
      </c>
      <c r="S94" s="164">
        <f>((VLOOKUP($B$76,Energy_demand!$A$34:$E$66,5,FALSE )))*S25</f>
        <v>0</v>
      </c>
      <c r="T94" s="164">
        <f>((VLOOKUP($B$76,Energy_demand!$A$34:$E$66,5,FALSE )))*T25</f>
        <v>0</v>
      </c>
      <c r="U94" s="164">
        <f>((VLOOKUP($B$76,Energy_demand!$A$34:$E$66,5,FALSE )))*U25</f>
        <v>86838683.065424412</v>
      </c>
      <c r="V94" s="164">
        <f>((VLOOKUP($B$76,Energy_demand!$A$34:$E$66,5,FALSE )))*V25</f>
        <v>78973918.165504918</v>
      </c>
      <c r="W94" s="164">
        <f>((VLOOKUP($B$76,Energy_demand!$A$34:$E$66,5,FALSE )))*W25</f>
        <v>65636639.199443817</v>
      </c>
      <c r="X94" s="164">
        <f>((VLOOKUP($B$76,Energy_demand!$A$34:$E$66,5,FALSE )))*X25</f>
        <v>51272057.007113196</v>
      </c>
      <c r="Y94" s="164">
        <f>((VLOOKUP($B$76,Energy_demand!$A$34:$E$66,5,FALSE )))*Y25</f>
        <v>38042458.236529164</v>
      </c>
      <c r="Z94" s="164">
        <f>((VLOOKUP($B$76,Energy_demand!$A$34:$E$66,5,FALSE )))*Z25</f>
        <v>26978610.613217689</v>
      </c>
      <c r="AA94" s="164">
        <f>((VLOOKUP($B$76,Energy_demand!$A$34:$E$66,5,FALSE )))*AA25</f>
        <v>18365038.583549917</v>
      </c>
      <c r="AB94" s="164">
        <f>((VLOOKUP($B$76,Energy_demand!$A$34:$E$66,5,FALSE )))*AB25</f>
        <v>12038341.757209744</v>
      </c>
    </row>
    <row r="95" spans="1:28">
      <c r="B95" s="163">
        <v>2026</v>
      </c>
      <c r="C95" s="164">
        <f>((VLOOKUP($B$76,Energy_demand!$A$34:$E$66,5,FALSE )))*C26</f>
        <v>0</v>
      </c>
      <c r="D95" s="164">
        <f>((VLOOKUP($B$76,Energy_demand!$A$34:$E$66,5,FALSE )))*D26</f>
        <v>0</v>
      </c>
      <c r="E95" s="164">
        <f>((VLOOKUP($B$76,Energy_demand!$A$34:$E$66,5,FALSE )))*E26</f>
        <v>0</v>
      </c>
      <c r="F95" s="164">
        <f>((VLOOKUP($B$76,Energy_demand!$A$34:$E$66,5,FALSE )))*F26</f>
        <v>0</v>
      </c>
      <c r="G95" s="164">
        <f>((VLOOKUP($B$76,Energy_demand!$A$34:$E$66,5,FALSE )))*G26</f>
        <v>0</v>
      </c>
      <c r="H95" s="164">
        <f>((VLOOKUP($B$76,Energy_demand!$A$34:$E$66,5,FALSE )))*H26</f>
        <v>0</v>
      </c>
      <c r="I95" s="164">
        <f>((VLOOKUP($B$76,Energy_demand!$A$34:$E$66,5,FALSE )))*I26</f>
        <v>0</v>
      </c>
      <c r="J95" s="164">
        <f>((VLOOKUP($B$76,Energy_demand!$A$34:$E$66,5,FALSE )))*J26</f>
        <v>0</v>
      </c>
      <c r="K95" s="164">
        <f>((VLOOKUP($B$76,Energy_demand!$A$34:$E$66,5,FALSE )))*K26</f>
        <v>0</v>
      </c>
      <c r="L95" s="164">
        <f>((VLOOKUP($B$76,Energy_demand!$A$34:$E$66,5,FALSE )))*L26</f>
        <v>0</v>
      </c>
      <c r="M95" s="164">
        <f>((VLOOKUP($B$76,Energy_demand!$A$34:$E$66,5,FALSE )))*M26</f>
        <v>0</v>
      </c>
      <c r="N95" s="164">
        <f>((VLOOKUP($B$76,Energy_demand!$A$34:$E$66,5,FALSE )))*N26</f>
        <v>0</v>
      </c>
      <c r="O95" s="164">
        <f>((VLOOKUP($B$76,Energy_demand!$A$34:$E$66,5,FALSE )))*O26</f>
        <v>0</v>
      </c>
      <c r="P95" s="164">
        <f>((VLOOKUP($B$76,Energy_demand!$A$34:$E$66,5,FALSE )))*P26</f>
        <v>0</v>
      </c>
      <c r="Q95" s="164">
        <f>((VLOOKUP($B$76,Energy_demand!$A$34:$E$66,5,FALSE )))*Q26</f>
        <v>0</v>
      </c>
      <c r="R95" s="164">
        <f>((VLOOKUP($B$76,Energy_demand!$A$34:$E$66,5,FALSE )))*R26</f>
        <v>0</v>
      </c>
      <c r="S95" s="164">
        <f>((VLOOKUP($B$76,Energy_demand!$A$34:$E$66,5,FALSE )))*S26</f>
        <v>0</v>
      </c>
      <c r="T95" s="164">
        <f>((VLOOKUP($B$76,Energy_demand!$A$34:$E$66,5,FALSE )))*T26</f>
        <v>0</v>
      </c>
      <c r="U95" s="164">
        <f>((VLOOKUP($B$76,Energy_demand!$A$34:$E$66,5,FALSE )))*U26</f>
        <v>0</v>
      </c>
      <c r="V95" s="164">
        <f>((VLOOKUP($B$76,Energy_demand!$A$34:$E$66,5,FALSE )))*V26</f>
        <v>84283085.676071227</v>
      </c>
      <c r="W95" s="164">
        <f>((VLOOKUP($B$76,Energy_demand!$A$34:$E$66,5,FALSE )))*W26</f>
        <v>76649774.915443167</v>
      </c>
      <c r="X95" s="164">
        <f>((VLOOKUP($B$76,Energy_demand!$A$34:$E$66,5,FALSE )))*X26</f>
        <v>63705002.078028239</v>
      </c>
      <c r="Y95" s="164">
        <f>((VLOOKUP($B$76,Energy_demand!$A$34:$E$66,5,FALSE )))*Y26</f>
        <v>49763158.778711587</v>
      </c>
      <c r="Z95" s="164">
        <f>((VLOOKUP($B$76,Energy_demand!$A$34:$E$66,5,FALSE )))*Z26</f>
        <v>36922897.189287059</v>
      </c>
      <c r="AA95" s="164">
        <f>((VLOOKUP($B$76,Energy_demand!$A$34:$E$66,5,FALSE )))*AA26</f>
        <v>26184650.313295003</v>
      </c>
      <c r="AB95" s="164">
        <f>((VLOOKUP($B$76,Energy_demand!$A$34:$E$66,5,FALSE )))*AB26</f>
        <v>17824569.255795013</v>
      </c>
    </row>
    <row r="96" spans="1:28">
      <c r="B96" s="163">
        <v>2027</v>
      </c>
      <c r="C96" s="164">
        <f>((VLOOKUP($B$76,Energy_demand!$A$34:$E$66,5,FALSE )))*C27</f>
        <v>0</v>
      </c>
      <c r="D96" s="164">
        <f>((VLOOKUP($B$76,Energy_demand!$A$34:$E$66,5,FALSE )))*D27</f>
        <v>0</v>
      </c>
      <c r="E96" s="164">
        <f>((VLOOKUP($B$76,Energy_demand!$A$34:$E$66,5,FALSE )))*E27</f>
        <v>0</v>
      </c>
      <c r="F96" s="164">
        <f>((VLOOKUP($B$76,Energy_demand!$A$34:$E$66,5,FALSE )))*F27</f>
        <v>0</v>
      </c>
      <c r="G96" s="164">
        <f>((VLOOKUP($B$76,Energy_demand!$A$34:$E$66,5,FALSE )))*G27</f>
        <v>0</v>
      </c>
      <c r="H96" s="164">
        <f>((VLOOKUP($B$76,Energy_demand!$A$34:$E$66,5,FALSE )))*H27</f>
        <v>0</v>
      </c>
      <c r="I96" s="164">
        <f>((VLOOKUP($B$76,Energy_demand!$A$34:$E$66,5,FALSE )))*I27</f>
        <v>0</v>
      </c>
      <c r="J96" s="164">
        <f>((VLOOKUP($B$76,Energy_demand!$A$34:$E$66,5,FALSE )))*J27</f>
        <v>0</v>
      </c>
      <c r="K96" s="164">
        <f>((VLOOKUP($B$76,Energy_demand!$A$34:$E$66,5,FALSE )))*K27</f>
        <v>0</v>
      </c>
      <c r="L96" s="164">
        <f>((VLOOKUP($B$76,Energy_demand!$A$34:$E$66,5,FALSE )))*L27</f>
        <v>0</v>
      </c>
      <c r="M96" s="164">
        <f>((VLOOKUP($B$76,Energy_demand!$A$34:$E$66,5,FALSE )))*M27</f>
        <v>0</v>
      </c>
      <c r="N96" s="164">
        <f>((VLOOKUP($B$76,Energy_demand!$A$34:$E$66,5,FALSE )))*N27</f>
        <v>0</v>
      </c>
      <c r="O96" s="164">
        <f>((VLOOKUP($B$76,Energy_demand!$A$34:$E$66,5,FALSE )))*O27</f>
        <v>0</v>
      </c>
      <c r="P96" s="164">
        <f>((VLOOKUP($B$76,Energy_demand!$A$34:$E$66,5,FALSE )))*P27</f>
        <v>0</v>
      </c>
      <c r="Q96" s="164">
        <f>((VLOOKUP($B$76,Energy_demand!$A$34:$E$66,5,FALSE )))*Q27</f>
        <v>0</v>
      </c>
      <c r="R96" s="164">
        <f>((VLOOKUP($B$76,Energy_demand!$A$34:$E$66,5,FALSE )))*R27</f>
        <v>0</v>
      </c>
      <c r="S96" s="164">
        <f>((VLOOKUP($B$76,Energy_demand!$A$34:$E$66,5,FALSE )))*S27</f>
        <v>0</v>
      </c>
      <c r="T96" s="164">
        <f>((VLOOKUP($B$76,Energy_demand!$A$34:$E$66,5,FALSE )))*T27</f>
        <v>0</v>
      </c>
      <c r="U96" s="164">
        <f>((VLOOKUP($B$76,Energy_demand!$A$34:$E$66,5,FALSE )))*U27</f>
        <v>0</v>
      </c>
      <c r="V96" s="164">
        <f>((VLOOKUP($B$76,Energy_demand!$A$34:$E$66,5,FALSE )))*V27</f>
        <v>0</v>
      </c>
      <c r="W96" s="164">
        <f>((VLOOKUP($B$76,Energy_demand!$A$34:$E$66,5,FALSE )))*W27</f>
        <v>83334060.338055179</v>
      </c>
      <c r="X96" s="164">
        <f>((VLOOKUP($B$76,Energy_demand!$A$34:$E$66,5,FALSE )))*X27</f>
        <v>75786700.456736743</v>
      </c>
      <c r="Y96" s="164">
        <f>((VLOOKUP($B$76,Energy_demand!$A$34:$E$66,5,FALSE )))*Y27</f>
        <v>62987685.422551565</v>
      </c>
      <c r="Z96" s="164">
        <f>((VLOOKUP($B$76,Energy_demand!$A$34:$E$66,5,FALSE )))*Z27</f>
        <v>49202826.913760416</v>
      </c>
      <c r="AA96" s="164">
        <f>((VLOOKUP($B$76,Energy_demand!$A$34:$E$66,5,FALSE )))*AA27</f>
        <v>36507146.333649561</v>
      </c>
      <c r="AB96" s="164">
        <f>((VLOOKUP($B$76,Energy_demand!$A$34:$E$66,5,FALSE )))*AB27</f>
        <v>25889811.836332817</v>
      </c>
    </row>
    <row r="97" spans="1:28">
      <c r="B97" s="163">
        <v>2028</v>
      </c>
      <c r="C97" s="164">
        <f>((VLOOKUP($B$76,Energy_demand!$A$34:$E$66,5,FALSE )))*C28</f>
        <v>0</v>
      </c>
      <c r="D97" s="164">
        <f>((VLOOKUP($B$76,Energy_demand!$A$34:$E$66,5,FALSE )))*D28</f>
        <v>0</v>
      </c>
      <c r="E97" s="164">
        <f>((VLOOKUP($B$76,Energy_demand!$A$34:$E$66,5,FALSE )))*E28</f>
        <v>0</v>
      </c>
      <c r="F97" s="164">
        <f>((VLOOKUP($B$76,Energy_demand!$A$34:$E$66,5,FALSE )))*F28</f>
        <v>0</v>
      </c>
      <c r="G97" s="164">
        <f>((VLOOKUP($B$76,Energy_demand!$A$34:$E$66,5,FALSE )))*G28</f>
        <v>0</v>
      </c>
      <c r="H97" s="164">
        <f>((VLOOKUP($B$76,Energy_demand!$A$34:$E$66,5,FALSE )))*H28</f>
        <v>0</v>
      </c>
      <c r="I97" s="164">
        <f>((VLOOKUP($B$76,Energy_demand!$A$34:$E$66,5,FALSE )))*I28</f>
        <v>0</v>
      </c>
      <c r="J97" s="164">
        <f>((VLOOKUP($B$76,Energy_demand!$A$34:$E$66,5,FALSE )))*J28</f>
        <v>0</v>
      </c>
      <c r="K97" s="164">
        <f>((VLOOKUP($B$76,Energy_demand!$A$34:$E$66,5,FALSE )))*K28</f>
        <v>0</v>
      </c>
      <c r="L97" s="164">
        <f>((VLOOKUP($B$76,Energy_demand!$A$34:$E$66,5,FALSE )))*L28</f>
        <v>0</v>
      </c>
      <c r="M97" s="164">
        <f>((VLOOKUP($B$76,Energy_demand!$A$34:$E$66,5,FALSE )))*M28</f>
        <v>0</v>
      </c>
      <c r="N97" s="164">
        <f>((VLOOKUP($B$76,Energy_demand!$A$34:$E$66,5,FALSE )))*N28</f>
        <v>0</v>
      </c>
      <c r="O97" s="164">
        <f>((VLOOKUP($B$76,Energy_demand!$A$34:$E$66,5,FALSE )))*O28</f>
        <v>0</v>
      </c>
      <c r="P97" s="164">
        <f>((VLOOKUP($B$76,Energy_demand!$A$34:$E$66,5,FALSE )))*P28</f>
        <v>0</v>
      </c>
      <c r="Q97" s="164">
        <f>((VLOOKUP($B$76,Energy_demand!$A$34:$E$66,5,FALSE )))*Q28</f>
        <v>0</v>
      </c>
      <c r="R97" s="164">
        <f>((VLOOKUP($B$76,Energy_demand!$A$34:$E$66,5,FALSE )))*R28</f>
        <v>0</v>
      </c>
      <c r="S97" s="164">
        <f>((VLOOKUP($B$76,Energy_demand!$A$34:$E$66,5,FALSE )))*S28</f>
        <v>0</v>
      </c>
      <c r="T97" s="164">
        <f>((VLOOKUP($B$76,Energy_demand!$A$34:$E$66,5,FALSE )))*T28</f>
        <v>0</v>
      </c>
      <c r="U97" s="164">
        <f>((VLOOKUP($B$76,Energy_demand!$A$34:$E$66,5,FALSE )))*U28</f>
        <v>0</v>
      </c>
      <c r="V97" s="164">
        <f>((VLOOKUP($B$76,Energy_demand!$A$34:$E$66,5,FALSE )))*V28</f>
        <v>0</v>
      </c>
      <c r="W97" s="164">
        <f>((VLOOKUP($B$76,Energy_demand!$A$34:$E$66,5,FALSE )))*W28</f>
        <v>0</v>
      </c>
      <c r="X97" s="164">
        <f>((VLOOKUP($B$76,Energy_demand!$A$34:$E$66,5,FALSE )))*X28</f>
        <v>83797454.553120747</v>
      </c>
      <c r="Y97" s="164">
        <f>((VLOOKUP($B$76,Energy_demand!$A$34:$E$66,5,FALSE )))*Y28</f>
        <v>76208126.20304136</v>
      </c>
      <c r="Z97" s="164">
        <f>((VLOOKUP($B$76,Energy_demand!$A$34:$E$66,5,FALSE )))*Z28</f>
        <v>63337939.915453687</v>
      </c>
      <c r="AA97" s="164">
        <f>((VLOOKUP($B$76,Energy_demand!$A$34:$E$66,5,FALSE )))*AA28</f>
        <v>49476428.191127881</v>
      </c>
      <c r="AB97" s="164">
        <f>((VLOOKUP($B$76,Energy_demand!$A$34:$E$66,5,FALSE )))*AB28</f>
        <v>36710150.96766042</v>
      </c>
    </row>
    <row r="98" spans="1:28">
      <c r="B98" s="163">
        <v>2029</v>
      </c>
      <c r="C98" s="164">
        <f>((VLOOKUP($B$76,Energy_demand!$A$34:$E$66,5,FALSE )))*C29</f>
        <v>0</v>
      </c>
      <c r="D98" s="164">
        <f>((VLOOKUP($B$76,Energy_demand!$A$34:$E$66,5,FALSE )))*D29</f>
        <v>0</v>
      </c>
      <c r="E98" s="164">
        <f>((VLOOKUP($B$76,Energy_demand!$A$34:$E$66,5,FALSE )))*E29</f>
        <v>0</v>
      </c>
      <c r="F98" s="164">
        <f>((VLOOKUP($B$76,Energy_demand!$A$34:$E$66,5,FALSE )))*F29</f>
        <v>0</v>
      </c>
      <c r="G98" s="164">
        <f>((VLOOKUP($B$76,Energy_demand!$A$34:$E$66,5,FALSE )))*G29</f>
        <v>0</v>
      </c>
      <c r="H98" s="164">
        <f>((VLOOKUP($B$76,Energy_demand!$A$34:$E$66,5,FALSE )))*H29</f>
        <v>0</v>
      </c>
      <c r="I98" s="164">
        <f>((VLOOKUP($B$76,Energy_demand!$A$34:$E$66,5,FALSE )))*I29</f>
        <v>0</v>
      </c>
      <c r="J98" s="164">
        <f>((VLOOKUP($B$76,Energy_demand!$A$34:$E$66,5,FALSE )))*J29</f>
        <v>0</v>
      </c>
      <c r="K98" s="164">
        <f>((VLOOKUP($B$76,Energy_demand!$A$34:$E$66,5,FALSE )))*K29</f>
        <v>0</v>
      </c>
      <c r="L98" s="164">
        <f>((VLOOKUP($B$76,Energy_demand!$A$34:$E$66,5,FALSE )))*L29</f>
        <v>0</v>
      </c>
      <c r="M98" s="164">
        <f>((VLOOKUP($B$76,Energy_demand!$A$34:$E$66,5,FALSE )))*M29</f>
        <v>0</v>
      </c>
      <c r="N98" s="164">
        <f>((VLOOKUP($B$76,Energy_demand!$A$34:$E$66,5,FALSE )))*N29</f>
        <v>0</v>
      </c>
      <c r="O98" s="164">
        <f>((VLOOKUP($B$76,Energy_demand!$A$34:$E$66,5,FALSE )))*O29</f>
        <v>0</v>
      </c>
      <c r="P98" s="164">
        <f>((VLOOKUP($B$76,Energy_demand!$A$34:$E$66,5,FALSE )))*P29</f>
        <v>0</v>
      </c>
      <c r="Q98" s="164">
        <f>((VLOOKUP($B$76,Energy_demand!$A$34:$E$66,5,FALSE )))*Q29</f>
        <v>0</v>
      </c>
      <c r="R98" s="164">
        <f>((VLOOKUP($B$76,Energy_demand!$A$34:$E$66,5,FALSE )))*R29</f>
        <v>0</v>
      </c>
      <c r="S98" s="164">
        <f>((VLOOKUP($B$76,Energy_demand!$A$34:$E$66,5,FALSE )))*S29</f>
        <v>0</v>
      </c>
      <c r="T98" s="164">
        <f>((VLOOKUP($B$76,Energy_demand!$A$34:$E$66,5,FALSE )))*T29</f>
        <v>0</v>
      </c>
      <c r="U98" s="164">
        <f>((VLOOKUP($B$76,Energy_demand!$A$34:$E$66,5,FALSE )))*U29</f>
        <v>0</v>
      </c>
      <c r="V98" s="164">
        <f>((VLOOKUP($B$76,Energy_demand!$A$34:$E$66,5,FALSE )))*V29</f>
        <v>0</v>
      </c>
      <c r="W98" s="164">
        <f>((VLOOKUP($B$76,Energy_demand!$A$34:$E$66,5,FALSE )))*W29</f>
        <v>0</v>
      </c>
      <c r="X98" s="164">
        <f>((VLOOKUP($B$76,Energy_demand!$A$34:$E$66,5,FALSE )))*X29</f>
        <v>0</v>
      </c>
      <c r="Y98" s="164">
        <f>((VLOOKUP($B$76,Energy_demand!$A$34:$E$66,5,FALSE )))*Y29</f>
        <v>85151772.19914332</v>
      </c>
      <c r="Z98" s="164">
        <f>((VLOOKUP($B$76,Energy_demand!$A$34:$E$66,5,FALSE )))*Z29</f>
        <v>77439786.647114486</v>
      </c>
      <c r="AA98" s="164">
        <f>((VLOOKUP($B$76,Energy_demand!$A$34:$E$66,5,FALSE )))*AA29</f>
        <v>64361594.991227366</v>
      </c>
      <c r="AB98" s="164">
        <f>((VLOOKUP($B$76,Energy_demand!$A$34:$E$66,5,FALSE )))*AB29</f>
        <v>50276056.295808978</v>
      </c>
    </row>
    <row r="99" spans="1:28">
      <c r="B99" s="163">
        <v>2030</v>
      </c>
      <c r="C99" s="164">
        <f>((VLOOKUP($B$76,Energy_demand!$A$34:$E$66,5,FALSE )))*C30</f>
        <v>0</v>
      </c>
      <c r="D99" s="164">
        <f>((VLOOKUP($B$76,Energy_demand!$A$34:$E$66,5,FALSE )))*D30</f>
        <v>0</v>
      </c>
      <c r="E99" s="164">
        <f>((VLOOKUP($B$76,Energy_demand!$A$34:$E$66,5,FALSE )))*E30</f>
        <v>0</v>
      </c>
      <c r="F99" s="164">
        <f>((VLOOKUP($B$76,Energy_demand!$A$34:$E$66,5,FALSE )))*F30</f>
        <v>0</v>
      </c>
      <c r="G99" s="164">
        <f>((VLOOKUP($B$76,Energy_demand!$A$34:$E$66,5,FALSE )))*G30</f>
        <v>0</v>
      </c>
      <c r="H99" s="164">
        <f>((VLOOKUP($B$76,Energy_demand!$A$34:$E$66,5,FALSE )))*H30</f>
        <v>0</v>
      </c>
      <c r="I99" s="164">
        <f>((VLOOKUP($B$76,Energy_demand!$A$34:$E$66,5,FALSE )))*I30</f>
        <v>0</v>
      </c>
      <c r="J99" s="164">
        <f>((VLOOKUP($B$76,Energy_demand!$A$34:$E$66,5,FALSE )))*J30</f>
        <v>0</v>
      </c>
      <c r="K99" s="164">
        <f>((VLOOKUP($B$76,Energy_demand!$A$34:$E$66,5,FALSE )))*K30</f>
        <v>0</v>
      </c>
      <c r="L99" s="164">
        <f>((VLOOKUP($B$76,Energy_demand!$A$34:$E$66,5,FALSE )))*L30</f>
        <v>0</v>
      </c>
      <c r="M99" s="164">
        <f>((VLOOKUP($B$76,Energy_demand!$A$34:$E$66,5,FALSE )))*M30</f>
        <v>0</v>
      </c>
      <c r="N99" s="164">
        <f>((VLOOKUP($B$76,Energy_demand!$A$34:$E$66,5,FALSE )))*N30</f>
        <v>0</v>
      </c>
      <c r="O99" s="164">
        <f>((VLOOKUP($B$76,Energy_demand!$A$34:$E$66,5,FALSE )))*O30</f>
        <v>0</v>
      </c>
      <c r="P99" s="164">
        <f>((VLOOKUP($B$76,Energy_demand!$A$34:$E$66,5,FALSE )))*P30</f>
        <v>0</v>
      </c>
      <c r="Q99" s="164">
        <f>((VLOOKUP($B$76,Energy_demand!$A$34:$E$66,5,FALSE )))*Q30</f>
        <v>0</v>
      </c>
      <c r="R99" s="164">
        <f>((VLOOKUP($B$76,Energy_demand!$A$34:$E$66,5,FALSE )))*R30</f>
        <v>0</v>
      </c>
      <c r="S99" s="164">
        <f>((VLOOKUP($B$76,Energy_demand!$A$34:$E$66,5,FALSE )))*S30</f>
        <v>0</v>
      </c>
      <c r="T99" s="164">
        <f>((VLOOKUP($B$76,Energy_demand!$A$34:$E$66,5,FALSE )))*T30</f>
        <v>0</v>
      </c>
      <c r="U99" s="164">
        <f>((VLOOKUP($B$76,Energy_demand!$A$34:$E$66,5,FALSE )))*U30</f>
        <v>0</v>
      </c>
      <c r="V99" s="164">
        <f>((VLOOKUP($B$76,Energy_demand!$A$34:$E$66,5,FALSE )))*V30</f>
        <v>0</v>
      </c>
      <c r="W99" s="164">
        <f>((VLOOKUP($B$76,Energy_demand!$A$34:$E$66,5,FALSE )))*W30</f>
        <v>0</v>
      </c>
      <c r="X99" s="164">
        <f>((VLOOKUP($B$76,Energy_demand!$A$34:$E$66,5,FALSE )))*X30</f>
        <v>0</v>
      </c>
      <c r="Y99" s="164">
        <f>((VLOOKUP($B$76,Energy_demand!$A$34:$E$66,5,FALSE )))*Y30</f>
        <v>0</v>
      </c>
      <c r="Z99" s="164">
        <f>((VLOOKUP($B$76,Energy_demand!$A$34:$E$66,5,FALSE )))*Z30</f>
        <v>86860454.984225154</v>
      </c>
      <c r="AA99" s="164">
        <f>((VLOOKUP($B$76,Energy_demand!$A$34:$E$66,5,FALSE )))*AA30</f>
        <v>78993718.255430043</v>
      </c>
      <c r="AB99" s="164">
        <f>((VLOOKUP($B$76,Energy_demand!$A$34:$E$66,5,FALSE )))*AB30</f>
        <v>65653095.409148507</v>
      </c>
    </row>
    <row r="100" spans="1:28">
      <c r="B100" s="163">
        <v>2031</v>
      </c>
      <c r="C100" s="164">
        <f>((VLOOKUP($B$76,Energy_demand!$A$34:$E$66,5,FALSE )))*C31</f>
        <v>0</v>
      </c>
      <c r="D100" s="164">
        <f>((VLOOKUP($B$76,Energy_demand!$A$34:$E$66,5,FALSE )))*D31</f>
        <v>0</v>
      </c>
      <c r="E100" s="164">
        <f>((VLOOKUP($B$76,Energy_demand!$A$34:$E$66,5,FALSE )))*E31</f>
        <v>0</v>
      </c>
      <c r="F100" s="164">
        <f>((VLOOKUP($B$76,Energy_demand!$A$34:$E$66,5,FALSE )))*F31</f>
        <v>0</v>
      </c>
      <c r="G100" s="164">
        <f>((VLOOKUP($B$76,Energy_demand!$A$34:$E$66,5,FALSE )))*G31</f>
        <v>0</v>
      </c>
      <c r="H100" s="164">
        <f>((VLOOKUP($B$76,Energy_demand!$A$34:$E$66,5,FALSE )))*H31</f>
        <v>0</v>
      </c>
      <c r="I100" s="164">
        <f>((VLOOKUP($B$76,Energy_demand!$A$34:$E$66,5,FALSE )))*I31</f>
        <v>0</v>
      </c>
      <c r="J100" s="164">
        <f>((VLOOKUP($B$76,Energy_demand!$A$34:$E$66,5,FALSE )))*J31</f>
        <v>0</v>
      </c>
      <c r="K100" s="164">
        <f>((VLOOKUP($B$76,Energy_demand!$A$34:$E$66,5,FALSE )))*K31</f>
        <v>0</v>
      </c>
      <c r="L100" s="164">
        <f>((VLOOKUP($B$76,Energy_demand!$A$34:$E$66,5,FALSE )))*L31</f>
        <v>0</v>
      </c>
      <c r="M100" s="164">
        <f>((VLOOKUP($B$76,Energy_demand!$A$34:$E$66,5,FALSE )))*M31</f>
        <v>0</v>
      </c>
      <c r="N100" s="164">
        <f>((VLOOKUP($B$76,Energy_demand!$A$34:$E$66,5,FALSE )))*N31</f>
        <v>0</v>
      </c>
      <c r="O100" s="164">
        <f>((VLOOKUP($B$76,Energy_demand!$A$34:$E$66,5,FALSE )))*O31</f>
        <v>0</v>
      </c>
      <c r="P100" s="164">
        <f>((VLOOKUP($B$76,Energy_demand!$A$34:$E$66,5,FALSE )))*P31</f>
        <v>0</v>
      </c>
      <c r="Q100" s="164">
        <f>((VLOOKUP($B$76,Energy_demand!$A$34:$E$66,5,FALSE )))*Q31</f>
        <v>0</v>
      </c>
      <c r="R100" s="164">
        <f>((VLOOKUP($B$76,Energy_demand!$A$34:$E$66,5,FALSE )))*R31</f>
        <v>0</v>
      </c>
      <c r="S100" s="164">
        <f>((VLOOKUP($B$76,Energy_demand!$A$34:$E$66,5,FALSE )))*S31</f>
        <v>0</v>
      </c>
      <c r="T100" s="164">
        <f>((VLOOKUP($B$76,Energy_demand!$A$34:$E$66,5,FALSE )))*T31</f>
        <v>0</v>
      </c>
      <c r="U100" s="164">
        <f>((VLOOKUP($B$76,Energy_demand!$A$34:$E$66,5,FALSE )))*U31</f>
        <v>0</v>
      </c>
      <c r="V100" s="164">
        <f>((VLOOKUP($B$76,Energy_demand!$A$34:$E$66,5,FALSE )))*V31</f>
        <v>0</v>
      </c>
      <c r="W100" s="164">
        <f>((VLOOKUP($B$76,Energy_demand!$A$34:$E$66,5,FALSE )))*W31</f>
        <v>0</v>
      </c>
      <c r="X100" s="164">
        <f>((VLOOKUP($B$76,Energy_demand!$A$34:$E$66,5,FALSE )))*X31</f>
        <v>0</v>
      </c>
      <c r="Y100" s="164">
        <f>((VLOOKUP($B$76,Energy_demand!$A$34:$E$66,5,FALSE )))*Y31</f>
        <v>0</v>
      </c>
      <c r="Z100" s="164">
        <f>((VLOOKUP($B$76,Energy_demand!$A$34:$E$66,5,FALSE )))*Z31</f>
        <v>0</v>
      </c>
      <c r="AA100" s="164">
        <f>((VLOOKUP($B$76,Energy_demand!$A$34:$E$66,5,FALSE )))*AA31</f>
        <v>88528622.879291177</v>
      </c>
      <c r="AB100" s="164">
        <f>((VLOOKUP($B$76,Energy_demand!$A$34:$E$66,5,FALSE )))*AB31</f>
        <v>80510804.307184324</v>
      </c>
    </row>
    <row r="101" spans="1:28">
      <c r="B101" s="163">
        <v>2032</v>
      </c>
      <c r="C101" s="164">
        <f>((VLOOKUP($B$76,Energy_demand!$A$34:$E$66,5,FALSE )))*C32</f>
        <v>0</v>
      </c>
      <c r="D101" s="164">
        <f>((VLOOKUP($B$76,Energy_demand!$A$34:$E$66,5,FALSE )))*D32</f>
        <v>0</v>
      </c>
      <c r="E101" s="164">
        <f>((VLOOKUP($B$76,Energy_demand!$A$34:$E$66,5,FALSE )))*E32</f>
        <v>0</v>
      </c>
      <c r="F101" s="164">
        <f>((VLOOKUP($B$76,Energy_demand!$A$34:$E$66,5,FALSE )))*F32</f>
        <v>0</v>
      </c>
      <c r="G101" s="164">
        <f>((VLOOKUP($B$76,Energy_demand!$A$34:$E$66,5,FALSE )))*G32</f>
        <v>0</v>
      </c>
      <c r="H101" s="164">
        <f>((VLOOKUP($B$76,Energy_demand!$A$34:$E$66,5,FALSE )))*H32</f>
        <v>0</v>
      </c>
      <c r="I101" s="164">
        <f>((VLOOKUP($B$76,Energy_demand!$A$34:$E$66,5,FALSE )))*I32</f>
        <v>0</v>
      </c>
      <c r="J101" s="164">
        <f>((VLOOKUP($B$76,Energy_demand!$A$34:$E$66,5,FALSE )))*J32</f>
        <v>0</v>
      </c>
      <c r="K101" s="164">
        <f>((VLOOKUP($B$76,Energy_demand!$A$34:$E$66,5,FALSE )))*K32</f>
        <v>0</v>
      </c>
      <c r="L101" s="164">
        <f>((VLOOKUP($B$76,Energy_demand!$A$34:$E$66,5,FALSE )))*L32</f>
        <v>0</v>
      </c>
      <c r="M101" s="164">
        <f>((VLOOKUP($B$76,Energy_demand!$A$34:$E$66,5,FALSE )))*M32</f>
        <v>0</v>
      </c>
      <c r="N101" s="164">
        <f>((VLOOKUP($B$76,Energy_demand!$A$34:$E$66,5,FALSE )))*N32</f>
        <v>0</v>
      </c>
      <c r="O101" s="164">
        <f>((VLOOKUP($B$76,Energy_demand!$A$34:$E$66,5,FALSE )))*O32</f>
        <v>0</v>
      </c>
      <c r="P101" s="164">
        <f>((VLOOKUP($B$76,Energy_demand!$A$34:$E$66,5,FALSE )))*P32</f>
        <v>0</v>
      </c>
      <c r="Q101" s="164">
        <f>((VLOOKUP($B$76,Energy_demand!$A$34:$E$66,5,FALSE )))*Q32</f>
        <v>0</v>
      </c>
      <c r="R101" s="164">
        <f>((VLOOKUP($B$76,Energy_demand!$A$34:$E$66,5,FALSE )))*R32</f>
        <v>0</v>
      </c>
      <c r="S101" s="164">
        <f>((VLOOKUP($B$76,Energy_demand!$A$34:$E$66,5,FALSE )))*S32</f>
        <v>0</v>
      </c>
      <c r="T101" s="164">
        <f>((VLOOKUP($B$76,Energy_demand!$A$34:$E$66,5,FALSE )))*T32</f>
        <v>0</v>
      </c>
      <c r="U101" s="164">
        <f>((VLOOKUP($B$76,Energy_demand!$A$34:$E$66,5,FALSE )))*U32</f>
        <v>0</v>
      </c>
      <c r="V101" s="164">
        <f>((VLOOKUP($B$76,Energy_demand!$A$34:$E$66,5,FALSE )))*V32</f>
        <v>0</v>
      </c>
      <c r="W101" s="164">
        <f>((VLOOKUP($B$76,Energy_demand!$A$34:$E$66,5,FALSE )))*W32</f>
        <v>0</v>
      </c>
      <c r="X101" s="164">
        <f>((VLOOKUP($B$76,Energy_demand!$A$34:$E$66,5,FALSE )))*X32</f>
        <v>0</v>
      </c>
      <c r="Y101" s="164">
        <f>((VLOOKUP($B$76,Energy_demand!$A$34:$E$66,5,FALSE )))*Y32</f>
        <v>0</v>
      </c>
      <c r="Z101" s="164">
        <f>((VLOOKUP($B$76,Energy_demand!$A$34:$E$66,5,FALSE )))*Z32</f>
        <v>0</v>
      </c>
      <c r="AA101" s="164">
        <f>((VLOOKUP($B$76,Energy_demand!$A$34:$E$66,5,FALSE )))*AA32</f>
        <v>0</v>
      </c>
      <c r="AB101" s="164">
        <f>((VLOOKUP($B$76,Energy_demand!$A$34:$E$66,5,FALSE )))*AB32</f>
        <v>89938148.201250762</v>
      </c>
    </row>
    <row r="103" spans="1:28" ht="21">
      <c r="B103" s="52" t="s">
        <v>7763</v>
      </c>
    </row>
    <row r="104" spans="1:28">
      <c r="A104" s="1" t="s">
        <v>7762</v>
      </c>
      <c r="B104" s="163">
        <v>2007</v>
      </c>
      <c r="C104" s="164">
        <f>(C76*Emissions_factors!$E$20)/1000</f>
        <v>15501.446642957195</v>
      </c>
      <c r="D104" s="164">
        <f>(D76*Emissions_factors!$E$20)/1000</f>
        <v>13664.018742082315</v>
      </c>
      <c r="E104" s="164">
        <f>(E76*Emissions_factors!$E$20)/1000</f>
        <v>10685.889066331658</v>
      </c>
      <c r="F104" s="164">
        <f>(F76*Emissions_factors!$E$20)/1000</f>
        <v>7695.8292067754974</v>
      </c>
      <c r="G104" s="164">
        <f>(G76*Emissions_factors!$E$20)/1000</f>
        <v>5176.0890055853233</v>
      </c>
      <c r="H104" s="164">
        <f>(H76*Emissions_factors!$E$20)/1000</f>
        <v>3278.3162485809285</v>
      </c>
      <c r="I104" s="164">
        <f>(I76*Emissions_factors!$E$20)/1000</f>
        <v>1966.4011978414067</v>
      </c>
      <c r="J104" s="164">
        <f>(J76*Emissions_factors!$E$20)/1000</f>
        <v>1121.7635545476119</v>
      </c>
      <c r="K104" s="164">
        <f>(K76*Emissions_factors!$E$20)/1000</f>
        <v>610.62631841522375</v>
      </c>
      <c r="L104" s="164">
        <f>(L76*Emissions_factors!$E$20)/1000</f>
        <v>318.02486676985455</v>
      </c>
      <c r="M104" s="164">
        <f>(M76*Emissions_factors!$E$20)/1000</f>
        <v>158.82918148865187</v>
      </c>
      <c r="N104" s="164">
        <f>(N76*Emissions_factors!$E$20)/1000</f>
        <v>76.209752156017345</v>
      </c>
      <c r="O104" s="164">
        <f>(O76*Emissions_factors!$E$20)/1000</f>
        <v>35.189858586706812</v>
      </c>
      <c r="P104" s="164">
        <f>(P76*Emissions_factors!$E$20)/1000</f>
        <v>15.659525893127755</v>
      </c>
      <c r="Q104" s="164">
        <f>(Q76*Emissions_factors!$E$20)/1000</f>
        <v>6.7243442098341308</v>
      </c>
      <c r="R104" s="164">
        <f>(R76*Emissions_factors!$E$20)/1000</f>
        <v>2.7895174739548283</v>
      </c>
      <c r="S104" s="164">
        <f>(S76*Emissions_factors!$E$20)/1000</f>
        <v>1.119089554973606</v>
      </c>
      <c r="T104" s="164">
        <f>(T76*Emissions_factors!$E$20)/1000</f>
        <v>0.43457504742882203</v>
      </c>
      <c r="U104" s="164">
        <f>(U76*Emissions_factors!$E$20)/1000</f>
        <v>0.16349381527865575</v>
      </c>
      <c r="V104" s="164">
        <f>(V76*Emissions_factors!$E$20)/1000</f>
        <v>5.9637106458403921E-2</v>
      </c>
      <c r="W104" s="164">
        <f>(W76*Emissions_factors!$E$20)/1000</f>
        <v>2.1106986385441836E-2</v>
      </c>
      <c r="X104" s="164">
        <f>(X76*Emissions_factors!$E$20)/1000</f>
        <v>7.2530885225045045E-3</v>
      </c>
      <c r="Y104" s="164">
        <f>(Y76*Emissions_factors!$E$20)/1000</f>
        <v>2.4214700059566863E-3</v>
      </c>
      <c r="Z104" s="164">
        <f>(Z76*Emissions_factors!$E$20)/1000</f>
        <v>7.8586652712536384E-4</v>
      </c>
      <c r="AA104" s="164">
        <f>(AA76*Emissions_factors!$E$20)/1000</f>
        <v>2.4806766170566561E-4</v>
      </c>
      <c r="AB104" s="164">
        <f>(AB76*Emissions_factors!$E$20)/1000</f>
        <v>7.6202074918681014E-5</v>
      </c>
    </row>
    <row r="105" spans="1:28">
      <c r="B105" s="163">
        <v>2008</v>
      </c>
      <c r="C105" s="164">
        <f>(C77*Emissions_factors!$E$20)/1000</f>
        <v>0</v>
      </c>
      <c r="D105" s="164">
        <f>(D77*Emissions_factors!$E$20)/1000</f>
        <v>14675.512828351057</v>
      </c>
      <c r="E105" s="164">
        <f>(E77*Emissions_factors!$E$20)/1000</f>
        <v>12935.985069971768</v>
      </c>
      <c r="F105" s="164">
        <f>(F77*Emissions_factors!$E$20)/1000</f>
        <v>10116.533358938816</v>
      </c>
      <c r="G105" s="164">
        <f>(G77*Emissions_factors!$E$20)/1000</f>
        <v>7285.7871171749593</v>
      </c>
      <c r="H105" s="164">
        <f>(H77*Emissions_factors!$E$20)/1000</f>
        <v>4900.3013945583025</v>
      </c>
      <c r="I105" s="164">
        <f>(I77*Emissions_factors!$E$20)/1000</f>
        <v>3103.6440191405932</v>
      </c>
      <c r="J105" s="164">
        <f>(J77*Emissions_factors!$E$20)/1000</f>
        <v>1861.6292188263303</v>
      </c>
      <c r="K105" s="164">
        <f>(K77*Emissions_factors!$E$20)/1000</f>
        <v>1061.9947811528662</v>
      </c>
      <c r="L105" s="164">
        <f>(L77*Emissions_factors!$E$20)/1000</f>
        <v>578.09148885486627</v>
      </c>
      <c r="M105" s="164">
        <f>(M77*Emissions_factors!$E$20)/1000</f>
        <v>301.08015848547171</v>
      </c>
      <c r="N105" s="164">
        <f>(N77*Emissions_factors!$E$20)/1000</f>
        <v>150.36659120535768</v>
      </c>
      <c r="O105" s="164">
        <f>(O77*Emissions_factors!$E$20)/1000</f>
        <v>72.149214274734803</v>
      </c>
      <c r="P105" s="164">
        <f>(P77*Emissions_factors!$E$20)/1000</f>
        <v>33.314904925451323</v>
      </c>
      <c r="Q105" s="164">
        <f>(Q77*Emissions_factors!$E$20)/1000</f>
        <v>14.825169445388678</v>
      </c>
      <c r="R105" s="164">
        <f>(R77*Emissions_factors!$E$20)/1000</f>
        <v>6.3660638898179149</v>
      </c>
      <c r="S105" s="164">
        <f>(S77*Emissions_factors!$E$20)/1000</f>
        <v>2.6408889710001859</v>
      </c>
      <c r="T105" s="164">
        <f>(T77*Emissions_factors!$E$20)/1000</f>
        <v>1.0594632551633767</v>
      </c>
      <c r="U105" s="164">
        <f>(U77*Emissions_factors!$E$20)/1000</f>
        <v>0.41142041967550819</v>
      </c>
      <c r="V105" s="164">
        <f>(V77*Emissions_factors!$E$20)/1000</f>
        <v>0.1547826882704573</v>
      </c>
      <c r="W105" s="164">
        <f>(W77*Emissions_factors!$E$20)/1000</f>
        <v>5.6459577033971732E-2</v>
      </c>
      <c r="X105" s="164">
        <f>(X77*Emissions_factors!$E$20)/1000</f>
        <v>1.9982383360853281E-2</v>
      </c>
      <c r="Y105" s="164">
        <f>(Y77*Emissions_factors!$E$20)/1000</f>
        <v>6.8666361346049632E-3</v>
      </c>
      <c r="Z105" s="164">
        <f>(Z77*Emissions_factors!$E$20)/1000</f>
        <v>2.2924514694910715E-3</v>
      </c>
      <c r="AA105" s="164">
        <f>(AA77*Emissions_factors!$E$20)/1000</f>
        <v>7.4399471003177512E-4</v>
      </c>
      <c r="AB105" s="164">
        <f>(AB77*Emissions_factors!$E$20)/1000</f>
        <v>2.3485034884241276E-4</v>
      </c>
    </row>
    <row r="106" spans="1:28">
      <c r="B106" s="163">
        <v>2009</v>
      </c>
      <c r="C106" s="164">
        <f>(C78*Emissions_factors!$E$20)/1000</f>
        <v>0</v>
      </c>
      <c r="D106" s="164">
        <f>(D78*Emissions_factors!$E$20)/1000</f>
        <v>0</v>
      </c>
      <c r="E106" s="164">
        <f>(E78*Emissions_factors!$E$20)/1000</f>
        <v>14995.839355609816</v>
      </c>
      <c r="F106" s="164">
        <f>(F78*Emissions_factors!$E$20)/1000</f>
        <v>13218.34243782675</v>
      </c>
      <c r="G106" s="164">
        <f>(G78*Emissions_factors!$E$20)/1000</f>
        <v>10337.349764925382</v>
      </c>
      <c r="H106" s="164">
        <f>(H78*Emissions_factors!$E$20)/1000</f>
        <v>7444.816032408683</v>
      </c>
      <c r="I106" s="164">
        <f>(I78*Emissions_factors!$E$20)/1000</f>
        <v>5007.2616450517417</v>
      </c>
      <c r="J106" s="164">
        <f>(J78*Emissions_factors!$E$20)/1000</f>
        <v>3171.38812608438</v>
      </c>
      <c r="K106" s="164">
        <f>(K78*Emissions_factors!$E$20)/1000</f>
        <v>1902.2635209924563</v>
      </c>
      <c r="L106" s="164">
        <f>(L78*Emissions_factors!$E$20)/1000</f>
        <v>1085.1752385714601</v>
      </c>
      <c r="M106" s="164">
        <f>(M78*Emissions_factors!$E$20)/1000</f>
        <v>590.70965363238508</v>
      </c>
      <c r="N106" s="164">
        <f>(N78*Emissions_factors!$E$20)/1000</f>
        <v>307.65191939919271</v>
      </c>
      <c r="O106" s="164">
        <f>(O78*Emissions_factors!$E$20)/1000</f>
        <v>153.64868489025426</v>
      </c>
      <c r="P106" s="164">
        <f>(P78*Emissions_factors!$E$20)/1000</f>
        <v>73.724035374575777</v>
      </c>
      <c r="Q106" s="164">
        <f>(Q78*Emissions_factors!$E$20)/1000</f>
        <v>34.042078682548883</v>
      </c>
      <c r="R106" s="164">
        <f>(R78*Emissions_factors!$E$20)/1000</f>
        <v>15.148762569527396</v>
      </c>
      <c r="S106" s="164">
        <f>(S78*Emissions_factors!$E$20)/1000</f>
        <v>6.5050177486700065</v>
      </c>
      <c r="T106" s="164">
        <f>(T78*Emissions_factors!$E$20)/1000</f>
        <v>2.6985323939490722</v>
      </c>
      <c r="U106" s="164">
        <f>(U78*Emissions_factors!$E$20)/1000</f>
        <v>1.0825884562554384</v>
      </c>
      <c r="V106" s="164">
        <f>(V78*Emissions_factors!$E$20)/1000</f>
        <v>0.42040060836257054</v>
      </c>
      <c r="W106" s="164">
        <f>(W78*Emissions_factors!$E$20)/1000</f>
        <v>0.15816117334238386</v>
      </c>
      <c r="X106" s="164">
        <f>(X78*Emissions_factors!$E$20)/1000</f>
        <v>5.7691936029076282E-2</v>
      </c>
      <c r="Y106" s="164">
        <f>(Y78*Emissions_factors!$E$20)/1000</f>
        <v>2.0418544437007958E-2</v>
      </c>
      <c r="Z106" s="164">
        <f>(Z78*Emissions_factors!$E$20)/1000</f>
        <v>7.0165161239909733E-3</v>
      </c>
      <c r="AA106" s="164">
        <f>(AA78*Emissions_factors!$E$20)/1000</f>
        <v>2.3424894495412598E-3</v>
      </c>
      <c r="AB106" s="164">
        <f>(AB78*Emissions_factors!$E$20)/1000</f>
        <v>7.6023409086642391E-4</v>
      </c>
    </row>
    <row r="107" spans="1:28">
      <c r="B107" s="163">
        <v>2010</v>
      </c>
      <c r="C107" s="164">
        <f>(C79*Emissions_factors!$E$20)/1000</f>
        <v>0</v>
      </c>
      <c r="D107" s="164">
        <f>(D79*Emissions_factors!$E$20)/1000</f>
        <v>0</v>
      </c>
      <c r="E107" s="164">
        <f>(E79*Emissions_factors!$E$20)/1000</f>
        <v>0</v>
      </c>
      <c r="F107" s="164">
        <f>(F79*Emissions_factors!$E$20)/1000</f>
        <v>15445.916980018401</v>
      </c>
      <c r="G107" s="164">
        <f>(G79*Emissions_factors!$E$20)/1000</f>
        <v>13615.071158504243</v>
      </c>
      <c r="H107" s="164">
        <f>(H79*Emissions_factors!$E$20)/1000</f>
        <v>10647.609812032233</v>
      </c>
      <c r="I107" s="164">
        <f>(I79*Emissions_factors!$E$20)/1000</f>
        <v>7668.2610183522002</v>
      </c>
      <c r="J107" s="164">
        <f>(J79*Emissions_factors!$E$20)/1000</f>
        <v>5157.5470924051133</v>
      </c>
      <c r="K107" s="164">
        <f>(K79*Emissions_factors!$E$20)/1000</f>
        <v>3266.5725835873668</v>
      </c>
      <c r="L107" s="164">
        <f>(L79*Emissions_factors!$E$20)/1000</f>
        <v>1959.3571071682188</v>
      </c>
      <c r="M107" s="164">
        <f>(M79*Emissions_factors!$E$20)/1000</f>
        <v>1117.7451455877388</v>
      </c>
      <c r="N107" s="164">
        <f>(N79*Emissions_factors!$E$20)/1000</f>
        <v>608.43891781809566</v>
      </c>
      <c r="O107" s="164">
        <f>(O79*Emissions_factors!$E$20)/1000</f>
        <v>316.88563028021338</v>
      </c>
      <c r="P107" s="164">
        <f>(P79*Emissions_factors!$E$20)/1000</f>
        <v>158.26021969327542</v>
      </c>
      <c r="Q107" s="164">
        <f>(Q79*Emissions_factors!$E$20)/1000</f>
        <v>75.936751709843165</v>
      </c>
      <c r="R107" s="164">
        <f>(R79*Emissions_factors!$E$20)/1000</f>
        <v>35.063800610880961</v>
      </c>
      <c r="S107" s="164">
        <f>(S79*Emissions_factors!$E$20)/1000</f>
        <v>15.603429954815974</v>
      </c>
      <c r="T107" s="164">
        <f>(T79*Emissions_factors!$E$20)/1000</f>
        <v>6.700256098830236</v>
      </c>
      <c r="U107" s="164">
        <f>(U79*Emissions_factors!$E$20)/1000</f>
        <v>2.7795247959384852</v>
      </c>
      <c r="V107" s="164">
        <f>(V79*Emissions_factors!$E$20)/1000</f>
        <v>1.1150807248806907</v>
      </c>
      <c r="W107" s="164">
        <f>(W79*Emissions_factors!$E$20)/1000</f>
        <v>0.43301830201910918</v>
      </c>
      <c r="X107" s="164">
        <f>(X79*Emissions_factors!$E$20)/1000</f>
        <v>0.16290814371753562</v>
      </c>
      <c r="Y107" s="164">
        <f>(Y79*Emissions_factors!$E$20)/1000</f>
        <v>5.9423472950734836E-2</v>
      </c>
      <c r="Z107" s="164">
        <f>(Z79*Emissions_factors!$E$20)/1000</f>
        <v>2.1031376420344177E-2</v>
      </c>
      <c r="AA107" s="164">
        <f>(AA79*Emissions_factors!$E$20)/1000</f>
        <v>7.2271063306357927E-3</v>
      </c>
      <c r="AB107" s="164">
        <f>(AB79*Emissions_factors!$E$20)/1000</f>
        <v>2.4127957566208499E-3</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13078.335802776393</v>
      </c>
      <c r="H108" s="164">
        <f>(H80*Emissions_factors!$E$20)/1000</f>
        <v>11528.125705969071</v>
      </c>
      <c r="I108" s="164">
        <f>(I80*Emissions_factors!$E$20)/1000</f>
        <v>9015.5227947190779</v>
      </c>
      <c r="J108" s="164">
        <f>(J80*Emissions_factors!$E$20)/1000</f>
        <v>6492.8545680445995</v>
      </c>
      <c r="K108" s="164">
        <f>(K80*Emissions_factors!$E$20)/1000</f>
        <v>4366.9879153414131</v>
      </c>
      <c r="L108" s="164">
        <f>(L80*Emissions_factors!$E$20)/1000</f>
        <v>2765.8657771866087</v>
      </c>
      <c r="M108" s="164">
        <f>(M80*Emissions_factors!$E$20)/1000</f>
        <v>1659.0229144862315</v>
      </c>
      <c r="N108" s="164">
        <f>(N80*Emissions_factors!$E$20)/1000</f>
        <v>946.41492472285847</v>
      </c>
      <c r="O108" s="164">
        <f>(O80*Emissions_factors!$E$20)/1000</f>
        <v>515.17617846819758</v>
      </c>
      <c r="P108" s="164">
        <f>(P80*Emissions_factors!$E$20)/1000</f>
        <v>268.312764417962</v>
      </c>
      <c r="Q108" s="164">
        <f>(Q80*Emissions_factors!$E$20)/1000</f>
        <v>134.00177535897615</v>
      </c>
      <c r="R108" s="164">
        <f>(R80*Emissions_factors!$E$20)/1000</f>
        <v>64.297013891641427</v>
      </c>
      <c r="S108" s="164">
        <f>(S80*Emissions_factors!$E$20)/1000</f>
        <v>29.689150828917054</v>
      </c>
      <c r="T108" s="164">
        <f>(T80*Emissions_factors!$E$20)/1000</f>
        <v>13.211704872438091</v>
      </c>
      <c r="U108" s="164">
        <f>(U80*Emissions_factors!$E$20)/1000</f>
        <v>5.6732273867885281</v>
      </c>
      <c r="V108" s="164">
        <f>(V80*Emissions_factors!$E$20)/1000</f>
        <v>2.3534736526457576</v>
      </c>
      <c r="W108" s="164">
        <f>(W80*Emissions_factors!$E$20)/1000</f>
        <v>0.94415891177317557</v>
      </c>
      <c r="X108" s="164">
        <f>(X80*Emissions_factors!$E$20)/1000</f>
        <v>0.36664438698460555</v>
      </c>
      <c r="Y108" s="164">
        <f>(Y80*Emissions_factors!$E$20)/1000</f>
        <v>0.13793725625361677</v>
      </c>
      <c r="Z108" s="164">
        <f>(Z80*Emissions_factors!$E$20)/1000</f>
        <v>5.0314923667030095E-2</v>
      </c>
      <c r="AA108" s="164">
        <f>(AA80*Emissions_factors!$E$20)/1000</f>
        <v>1.7807644801903291E-2</v>
      </c>
      <c r="AB108" s="164">
        <f>(AB80*Emissions_factors!$E$20)/1000</f>
        <v>6.119320956904005E-3</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16473.718835082585</v>
      </c>
      <c r="I109" s="164">
        <f>(I81*Emissions_factors!$E$20)/1000</f>
        <v>14521.044912710244</v>
      </c>
      <c r="J109" s="164">
        <f>(J81*Emissions_factors!$E$20)/1000</f>
        <v>11356.122821066501</v>
      </c>
      <c r="K109" s="164">
        <f>(K81*Emissions_factors!$E$20)/1000</f>
        <v>8178.5222679739991</v>
      </c>
      <c r="L109" s="164">
        <f>(L81*Emissions_factors!$E$20)/1000</f>
        <v>5500.7404732845025</v>
      </c>
      <c r="M109" s="164">
        <f>(M81*Emissions_factors!$E$20)/1000</f>
        <v>3483.9367818707174</v>
      </c>
      <c r="N109" s="164">
        <f>(N81*Emissions_factors!$E$20)/1000</f>
        <v>2089.7366030625631</v>
      </c>
      <c r="O109" s="164">
        <f>(O81*Emissions_factors!$E$20)/1000</f>
        <v>1192.1221175480462</v>
      </c>
      <c r="P109" s="164">
        <f>(P81*Emissions_factors!$E$20)/1000</f>
        <v>648.92564639728414</v>
      </c>
      <c r="Q109" s="164">
        <f>(Q81*Emissions_factors!$E$20)/1000</f>
        <v>337.97182665602725</v>
      </c>
      <c r="R109" s="164">
        <f>(R81*Emissions_factors!$E$20)/1000</f>
        <v>168.79116761912786</v>
      </c>
      <c r="S109" s="164">
        <f>(S81*Emissions_factors!$E$20)/1000</f>
        <v>80.98973330853309</v>
      </c>
      <c r="T109" s="164">
        <f>(T81*Emissions_factors!$E$20)/1000</f>
        <v>37.397015230646538</v>
      </c>
      <c r="U109" s="164">
        <f>(U81*Emissions_factors!$E$20)/1000</f>
        <v>16.641713034653222</v>
      </c>
      <c r="V109" s="164">
        <f>(V81*Emissions_factors!$E$20)/1000</f>
        <v>7.1461043871961252</v>
      </c>
      <c r="W109" s="164">
        <f>(W81*Emissions_factors!$E$20)/1000</f>
        <v>2.9644798714550875</v>
      </c>
      <c r="X109" s="164">
        <f>(X81*Emissions_factors!$E$20)/1000</f>
        <v>1.1892804010191367</v>
      </c>
      <c r="Y109" s="164">
        <f>(Y81*Emissions_factors!$E$20)/1000</f>
        <v>0.46183219598653963</v>
      </c>
      <c r="Z109" s="164">
        <f>(Z81*Emissions_factors!$E$20)/1000</f>
        <v>0.17374837369770135</v>
      </c>
      <c r="AA109" s="164">
        <f>(AA81*Emissions_factors!$E$20)/1000</f>
        <v>6.337762833122354E-2</v>
      </c>
      <c r="AB109" s="164">
        <f>(AB81*Emissions_factors!$E$20)/1000</f>
        <v>2.2430845789974126E-2</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19873.424697679766</v>
      </c>
      <c r="J110" s="164">
        <f>(J82*Emissions_factors!$E$20)/1000</f>
        <v>17517.774553114508</v>
      </c>
      <c r="K110" s="164">
        <f>(K82*Emissions_factors!$E$20)/1000</f>
        <v>13699.702781223074</v>
      </c>
      <c r="L110" s="164">
        <f>(L82*Emissions_factors!$E$20)/1000</f>
        <v>9866.3360749329931</v>
      </c>
      <c r="M110" s="164">
        <f>(M82*Emissions_factors!$E$20)/1000</f>
        <v>6635.9364677569401</v>
      </c>
      <c r="N110" s="164">
        <f>(N82*Emissions_factors!$E$20)/1000</f>
        <v>4202.9219983125549</v>
      </c>
      <c r="O110" s="164">
        <f>(O82*Emissions_factors!$E$20)/1000</f>
        <v>2520.9986545664365</v>
      </c>
      <c r="P110" s="164">
        <f>(P82*Emissions_factors!$E$20)/1000</f>
        <v>1438.1421323687944</v>
      </c>
      <c r="Q110" s="164">
        <f>(Q82*Emissions_factors!$E$20)/1000</f>
        <v>782.8453973977845</v>
      </c>
      <c r="R110" s="164">
        <f>(R82*Emissions_factors!$E$20)/1000</f>
        <v>407.71957529601508</v>
      </c>
      <c r="S110" s="164">
        <f>(S82*Emissions_factors!$E$20)/1000</f>
        <v>203.62485197747182</v>
      </c>
      <c r="T110" s="164">
        <f>(T82*Emissions_factors!$E$20)/1000</f>
        <v>97.703705053202711</v>
      </c>
      <c r="U110" s="164">
        <f>(U82*Emissions_factors!$E$20)/1000</f>
        <v>45.11469289626924</v>
      </c>
      <c r="V110" s="164">
        <f>(V82*Emissions_factors!$E$20)/1000</f>
        <v>20.076088110126992</v>
      </c>
      <c r="W110" s="164">
        <f>(W82*Emissions_factors!$E$20)/1000</f>
        <v>8.6208565802555324</v>
      </c>
      <c r="X110" s="164">
        <f>(X82*Emissions_factors!$E$20)/1000</f>
        <v>3.5762639925409849</v>
      </c>
      <c r="Y110" s="164">
        <f>(Y82*Emissions_factors!$E$20)/1000</f>
        <v>1.4347139665724251</v>
      </c>
      <c r="Z110" s="164">
        <f>(Z82*Emissions_factors!$E$20)/1000</f>
        <v>0.55714119330218426</v>
      </c>
      <c r="AA110" s="164">
        <f>(AA82*Emissions_factors!$E$20)/1000</f>
        <v>0.20960508404890965</v>
      </c>
      <c r="AB110" s="164">
        <f>(AB82*Emissions_factors!$E$20)/1000</f>
        <v>7.6456963771640837E-2</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19265.530002540552</v>
      </c>
      <c r="K111" s="164">
        <f>(K83*Emissions_factors!$E$20)/1000</f>
        <v>16981.935240893381</v>
      </c>
      <c r="L111" s="164">
        <f>(L83*Emissions_factors!$E$20)/1000</f>
        <v>13280.65187417625</v>
      </c>
      <c r="M111" s="164">
        <f>(M83*Emissions_factors!$E$20)/1000</f>
        <v>9564.5414194243858</v>
      </c>
      <c r="N111" s="164">
        <f>(N83*Emissions_factors!$E$20)/1000</f>
        <v>6432.9543125725204</v>
      </c>
      <c r="O111" s="164">
        <f>(O83*Emissions_factors!$E$20)/1000</f>
        <v>4074.3616708539257</v>
      </c>
      <c r="P111" s="164">
        <f>(P83*Emissions_factors!$E$20)/1000</f>
        <v>2443.8855383382624</v>
      </c>
      <c r="Q111" s="164">
        <f>(Q83*Emissions_factors!$E$20)/1000</f>
        <v>1394.1517790994228</v>
      </c>
      <c r="R111" s="164">
        <f>(R83*Emissions_factors!$E$20)/1000</f>
        <v>758.89947104479791</v>
      </c>
      <c r="S111" s="164">
        <f>(S83*Emissions_factors!$E$20)/1000</f>
        <v>395.24811802595542</v>
      </c>
      <c r="T111" s="164">
        <f>(T83*Emissions_factors!$E$20)/1000</f>
        <v>197.39630963015989</v>
      </c>
      <c r="U111" s="164">
        <f>(U83*Emissions_factors!$E$20)/1000</f>
        <v>94.715112754653234</v>
      </c>
      <c r="V111" s="164">
        <f>(V83*Emissions_factors!$E$20)/1000</f>
        <v>43.734710185605444</v>
      </c>
      <c r="W111" s="164">
        <f>(W83*Emissions_factors!$E$20)/1000</f>
        <v>19.461994281461489</v>
      </c>
      <c r="X111" s="164">
        <f>(X83*Emissions_factors!$E$20)/1000</f>
        <v>8.3571590513990603</v>
      </c>
      <c r="Y111" s="164">
        <f>(Y83*Emissions_factors!$E$20)/1000</f>
        <v>3.4668720813553473</v>
      </c>
      <c r="Z111" s="164">
        <f>(Z83*Emissions_factors!$E$20)/1000</f>
        <v>1.3908284751390665</v>
      </c>
      <c r="AA111" s="164">
        <f>(AA83*Emissions_factors!$E$20)/1000</f>
        <v>0.54009917960781206</v>
      </c>
      <c r="AB111" s="164">
        <f>(AB83*Emissions_factors!$E$20)/1000</f>
        <v>0.20319361644300585</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20069.216960373717</v>
      </c>
      <c r="L112" s="164">
        <f>(L84*Emissions_factors!$E$20)/1000</f>
        <v>17690.359035622812</v>
      </c>
      <c r="M112" s="164">
        <f>(M84*Emissions_factors!$E$20)/1000</f>
        <v>13834.671758466511</v>
      </c>
      <c r="N112" s="164">
        <f>(N84*Emissions_factors!$E$20)/1000</f>
        <v>9963.5388617700082</v>
      </c>
      <c r="O112" s="164">
        <f>(O84*Emissions_factors!$E$20)/1000</f>
        <v>6701.3134742809907</v>
      </c>
      <c r="P112" s="164">
        <f>(P84*Emissions_factors!$E$20)/1000</f>
        <v>4244.3290341150896</v>
      </c>
      <c r="Q112" s="164">
        <f>(Q84*Emissions_factors!$E$20)/1000</f>
        <v>2545.8354423035594</v>
      </c>
      <c r="R112" s="164">
        <f>(R84*Emissions_factors!$E$20)/1000</f>
        <v>1452.3106567401812</v>
      </c>
      <c r="S112" s="164">
        <f>(S84*Emissions_factors!$E$20)/1000</f>
        <v>790.5579619923484</v>
      </c>
      <c r="T112" s="164">
        <f>(T84*Emissions_factors!$E$20)/1000</f>
        <v>411.73641383321723</v>
      </c>
      <c r="U112" s="164">
        <f>(U84*Emissions_factors!$E$20)/1000</f>
        <v>205.63095666832788</v>
      </c>
      <c r="V112" s="164">
        <f>(V84*Emissions_factors!$E$20)/1000</f>
        <v>98.666278428298071</v>
      </c>
      <c r="W112" s="164">
        <f>(W84*Emissions_factors!$E$20)/1000</f>
        <v>45.559161222049788</v>
      </c>
      <c r="X112" s="164">
        <f>(X84*Emissions_factors!$E$20)/1000</f>
        <v>20.273877005444255</v>
      </c>
      <c r="Y112" s="164">
        <f>(Y84*Emissions_factors!$E$20)/1000</f>
        <v>8.7057889480726072</v>
      </c>
      <c r="Z112" s="164">
        <f>(Z84*Emissions_factors!$E$20)/1000</f>
        <v>3.611497216292916</v>
      </c>
      <c r="AA112" s="164">
        <f>(AA84*Emissions_factors!$E$20)/1000</f>
        <v>1.4488487167781421</v>
      </c>
      <c r="AB112" s="164">
        <f>(AB84*Emissions_factors!$E$20)/1000</f>
        <v>0.56263012822588554</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20121.798337502118</v>
      </c>
      <c r="M113" s="164">
        <f>(M85*Emissions_factors!$E$20)/1000</f>
        <v>17736.707801587403</v>
      </c>
      <c r="N113" s="164">
        <f>(N85*Emissions_factors!$E$20)/1000</f>
        <v>13870.918618252614</v>
      </c>
      <c r="O113" s="164">
        <f>(O85*Emissions_factors!$E$20)/1000</f>
        <v>9989.6433478323506</v>
      </c>
      <c r="P113" s="164">
        <f>(P85*Emissions_factors!$E$20)/1000</f>
        <v>6718.8709251642285</v>
      </c>
      <c r="Q113" s="164">
        <f>(Q85*Emissions_factors!$E$20)/1000</f>
        <v>4255.4491822524324</v>
      </c>
      <c r="R113" s="164">
        <f>(R85*Emissions_factors!$E$20)/1000</f>
        <v>2552.5055348020819</v>
      </c>
      <c r="S113" s="164">
        <f>(S85*Emissions_factors!$E$20)/1000</f>
        <v>1456.1157127371555</v>
      </c>
      <c r="T113" s="164">
        <f>(T85*Emissions_factors!$E$20)/1000</f>
        <v>792.62922498299997</v>
      </c>
      <c r="U113" s="164">
        <f>(U85*Emissions_factors!$E$20)/1000</f>
        <v>412.81516382610459</v>
      </c>
      <c r="V113" s="164">
        <f>(V85*Emissions_factors!$E$20)/1000</f>
        <v>206.16971006878191</v>
      </c>
      <c r="W113" s="164">
        <f>(W85*Emissions_factors!$E$20)/1000</f>
        <v>98.924784218839761</v>
      </c>
      <c r="X113" s="164">
        <f>(X85*Emissions_factors!$E$20)/1000</f>
        <v>45.678526289585804</v>
      </c>
      <c r="Y113" s="164">
        <f>(Y85*Emissions_factors!$E$20)/1000</f>
        <v>20.326994592183336</v>
      </c>
      <c r="Z113" s="164">
        <f>(Z85*Emissions_factors!$E$20)/1000</f>
        <v>8.7285981275629041</v>
      </c>
      <c r="AA113" s="164">
        <f>(AA85*Emissions_factors!$E$20)/1000</f>
        <v>3.6209593441628281</v>
      </c>
      <c r="AB113" s="164">
        <f>(AB85*Emissions_factors!$E$20)/1000</f>
        <v>1.4526447024874665</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17163.655172392322</v>
      </c>
      <c r="N114" s="164">
        <f>(N86*Emissions_factors!$E$20)/1000</f>
        <v>15129.201251985009</v>
      </c>
      <c r="O114" s="164">
        <f>(O86*Emissions_factors!$E$20)/1000</f>
        <v>11831.728958553847</v>
      </c>
      <c r="P114" s="164">
        <f>(P86*Emissions_factors!$E$20)/1000</f>
        <v>8521.0472166307281</v>
      </c>
      <c r="Q114" s="164">
        <f>(Q86*Emissions_factors!$E$20)/1000</f>
        <v>5731.1171582712059</v>
      </c>
      <c r="R114" s="164">
        <f>(R86*Emissions_factors!$E$20)/1000</f>
        <v>3629.8476479456945</v>
      </c>
      <c r="S114" s="164">
        <f>(S86*Emissions_factors!$E$20)/1000</f>
        <v>2177.2569275437991</v>
      </c>
      <c r="T114" s="164">
        <f>(T86*Emissions_factors!$E$20)/1000</f>
        <v>1242.0494214944661</v>
      </c>
      <c r="U114" s="164">
        <f>(U86*Emissions_factors!$E$20)/1000</f>
        <v>676.10332182951458</v>
      </c>
      <c r="V114" s="164">
        <f>(V86*Emissions_factors!$E$20)/1000</f>
        <v>352.12643537135631</v>
      </c>
      <c r="W114" s="164">
        <f>(W86*Emissions_factors!$E$20)/1000</f>
        <v>175.86031582562578</v>
      </c>
      <c r="X114" s="164">
        <f>(X86*Emissions_factors!$E$20)/1000</f>
        <v>84.381666879693967</v>
      </c>
      <c r="Y114" s="164">
        <f>(Y86*Emissions_factors!$E$20)/1000</f>
        <v>38.963240803199184</v>
      </c>
      <c r="Z114" s="164">
        <f>(Z86*Emissions_factors!$E$20)/1000</f>
        <v>17.33868514232552</v>
      </c>
      <c r="AA114" s="164">
        <f>(AA86*Emissions_factors!$E$20)/1000</f>
        <v>7.4453906100758926</v>
      </c>
      <c r="AB114" s="164">
        <f>(AB86*Emissions_factors!$E$20)/1000</f>
        <v>3.088635346306611</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18505.499614684435</v>
      </c>
      <c r="O115" s="164">
        <f>(O87*Emissions_factors!$E$20)/1000</f>
        <v>16311.993286221932</v>
      </c>
      <c r="P115" s="164">
        <f>(P87*Emissions_factors!$E$20)/1000</f>
        <v>12756.726552963644</v>
      </c>
      <c r="Q115" s="164">
        <f>(Q87*Emissions_factors!$E$20)/1000</f>
        <v>9187.2176643181265</v>
      </c>
      <c r="R115" s="164">
        <f>(R87*Emissions_factors!$E$20)/1000</f>
        <v>6179.1725188403798</v>
      </c>
      <c r="S115" s="164">
        <f>(S87*Emissions_factors!$E$20)/1000</f>
        <v>3913.6269970319854</v>
      </c>
      <c r="T115" s="164">
        <f>(T87*Emissions_factors!$E$20)/1000</f>
        <v>2347.4735905053076</v>
      </c>
      <c r="U115" s="164">
        <f>(U87*Emissions_factors!$E$20)/1000</f>
        <v>1339.1521129983869</v>
      </c>
      <c r="V115" s="164">
        <f>(V87*Emissions_factors!$E$20)/1000</f>
        <v>728.96068092348196</v>
      </c>
      <c r="W115" s="164">
        <f>(W87*Emissions_factors!$E$20)/1000</f>
        <v>379.65547248736652</v>
      </c>
      <c r="X115" s="164">
        <f>(X87*Emissions_factors!$E$20)/1000</f>
        <v>189.60897163583576</v>
      </c>
      <c r="Y115" s="164">
        <f>(Y87*Emissions_factors!$E$20)/1000</f>
        <v>90.978575847894831</v>
      </c>
      <c r="Z115" s="164">
        <f>(Z87*Emissions_factors!$E$20)/1000</f>
        <v>42.009363997841241</v>
      </c>
      <c r="AA115" s="164">
        <f>(AA87*Emissions_factors!$E$20)/1000</f>
        <v>18.694213324475516</v>
      </c>
      <c r="AB115" s="164">
        <f>(AB87*Emissions_factors!$E$20)/1000</f>
        <v>8.0274668584320121</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18618.61188621062</v>
      </c>
      <c r="P116" s="164">
        <f>(P88*Emissions_factors!$E$20)/1000</f>
        <v>16411.698057892088</v>
      </c>
      <c r="Q116" s="164">
        <f>(Q88*Emissions_factors!$E$20)/1000</f>
        <v>12834.700255251533</v>
      </c>
      <c r="R116" s="164">
        <f>(R88*Emissions_factors!$E$20)/1000</f>
        <v>9243.3732440459953</v>
      </c>
      <c r="S116" s="164">
        <f>(S88*Emissions_factors!$E$20)/1000</f>
        <v>6216.9418444090634</v>
      </c>
      <c r="T116" s="164">
        <f>(T88*Emissions_factors!$E$20)/1000</f>
        <v>3937.5484932767658</v>
      </c>
      <c r="U116" s="164">
        <f>(U88*Emissions_factors!$E$20)/1000</f>
        <v>2361.8221936610453</v>
      </c>
      <c r="V116" s="164">
        <f>(V88*Emissions_factors!$E$20)/1000</f>
        <v>1347.3374925111959</v>
      </c>
      <c r="W116" s="164">
        <f>(W88*Emissions_factors!$E$20)/1000</f>
        <v>733.41635086967983</v>
      </c>
      <c r="X116" s="164">
        <f>(X88*Emissions_factors!$E$20)/1000</f>
        <v>381.97606332709256</v>
      </c>
      <c r="Y116" s="164">
        <f>(Y88*Emissions_factors!$E$20)/1000</f>
        <v>190.76792988770882</v>
      </c>
      <c r="Z116" s="164">
        <f>(Z88*Emissions_factors!$E$20)/1000</f>
        <v>91.534669635614364</v>
      </c>
      <c r="AA116" s="164">
        <f>(AA88*Emissions_factors!$E$20)/1000</f>
        <v>42.266140344662773</v>
      </c>
      <c r="AB116" s="164">
        <f>(AB88*Emissions_factors!$E$20)/1000</f>
        <v>18.808479082091079</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19744.273644053537</v>
      </c>
      <c r="Q117" s="164">
        <f>(Q89*Emissions_factors!$E$20)/1000</f>
        <v>17403.932119053028</v>
      </c>
      <c r="R117" s="164">
        <f>(R89*Emissions_factors!$E$20)/1000</f>
        <v>13610.672778821539</v>
      </c>
      <c r="S117" s="164">
        <f>(S89*Emissions_factors!$E$20)/1000</f>
        <v>9802.2179010957025</v>
      </c>
      <c r="T117" s="164">
        <f>(T89*Emissions_factors!$E$20)/1000</f>
        <v>6592.8116314670178</v>
      </c>
      <c r="U117" s="164">
        <f>(U89*Emissions_factors!$E$20)/1000</f>
        <v>4175.6085476794451</v>
      </c>
      <c r="V117" s="164">
        <f>(V89*Emissions_factors!$E$20)/1000</f>
        <v>2504.6154877302961</v>
      </c>
      <c r="W117" s="164">
        <f>(W89*Emissions_factors!$E$20)/1000</f>
        <v>1428.796104973658</v>
      </c>
      <c r="X117" s="164">
        <f>(X89*Emissions_factors!$E$20)/1000</f>
        <v>777.75793464597336</v>
      </c>
      <c r="Y117" s="164">
        <f>(Y89*Emissions_factors!$E$20)/1000</f>
        <v>405.06993571277474</v>
      </c>
      <c r="Z117" s="164">
        <f>(Z89*Emissions_factors!$E$20)/1000</f>
        <v>202.30155895790253</v>
      </c>
      <c r="AA117" s="164">
        <f>(AA89*Emissions_factors!$E$20)/1000</f>
        <v>97.068759811365226</v>
      </c>
      <c r="AB117" s="164">
        <f>(AB89*Emissions_factors!$E$20)/1000</f>
        <v>44.821506884788434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19634.704649150161</v>
      </c>
      <c r="R118" s="164">
        <f>(R90*Emissions_factors!$E$20)/1000</f>
        <v>17307.350629957549</v>
      </c>
      <c r="S118" s="164">
        <f>(S90*Emissions_factors!$E$20)/1000</f>
        <v>13535.141626690076</v>
      </c>
      <c r="T118" s="164">
        <f>(T90*Emissions_factors!$E$20)/1000</f>
        <v>9747.8214121384899</v>
      </c>
      <c r="U118" s="164">
        <f>(U90*Emissions_factors!$E$20)/1000</f>
        <v>6556.2254416142105</v>
      </c>
      <c r="V118" s="164">
        <f>(V90*Emissions_factors!$E$20)/1000</f>
        <v>4152.4363996466918</v>
      </c>
      <c r="W118" s="164">
        <f>(W90*Emissions_factors!$E$20)/1000</f>
        <v>2490.7163589723887</v>
      </c>
      <c r="X118" s="164">
        <f>(X90*Emissions_factors!$E$20)/1000</f>
        <v>1420.8671349864044</v>
      </c>
      <c r="Y118" s="164">
        <f>(Y90*Emissions_factors!$E$20)/1000</f>
        <v>773.44183992840692</v>
      </c>
      <c r="Z118" s="164">
        <f>(Z90*Emissions_factors!$E$20)/1000</f>
        <v>402.82203809335579</v>
      </c>
      <c r="AA118" s="164">
        <f>(AA90*Emissions_factors!$E$20)/1000</f>
        <v>201.1789054289853</v>
      </c>
      <c r="AB118" s="164">
        <f>(AB90*Emissions_factors!$E$20)/1000</f>
        <v>96.530085832226362</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19634.704649150161</v>
      </c>
      <c r="S119" s="164">
        <f>(S91*Emissions_factors!$E$20)/1000</f>
        <v>17307.350629957549</v>
      </c>
      <c r="T119" s="164">
        <f>(T91*Emissions_factors!$E$20)/1000</f>
        <v>13535.141626690076</v>
      </c>
      <c r="U119" s="164">
        <f>(U91*Emissions_factors!$E$20)/1000</f>
        <v>9747.8214121384899</v>
      </c>
      <c r="V119" s="164">
        <f>(V91*Emissions_factors!$E$20)/1000</f>
        <v>6556.2254416142105</v>
      </c>
      <c r="W119" s="164">
        <f>(W91*Emissions_factors!$E$20)/1000</f>
        <v>4152.4363996466918</v>
      </c>
      <c r="X119" s="164">
        <f>(X91*Emissions_factors!$E$20)/1000</f>
        <v>2490.7163589723887</v>
      </c>
      <c r="Y119" s="164">
        <f>(Y91*Emissions_factors!$E$20)/1000</f>
        <v>1420.8671349864044</v>
      </c>
      <c r="Z119" s="164">
        <f>(Z91*Emissions_factors!$E$20)/1000</f>
        <v>773.44183992840692</v>
      </c>
      <c r="AA119" s="164">
        <f>(AA91*Emissions_factors!$E$20)/1000</f>
        <v>402.82203809335579</v>
      </c>
      <c r="AB119" s="164">
        <f>(AB91*Emissions_factors!$E$20)/1000</f>
        <v>201.1789054289853</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19634.704649150161</v>
      </c>
      <c r="T120" s="164">
        <f>(T92*Emissions_factors!$E$20)/1000</f>
        <v>17856.437977042977</v>
      </c>
      <c r="U120" s="164">
        <f>(U92*Emissions_factors!$E$20)/1000</f>
        <v>14840.805725634509</v>
      </c>
      <c r="V120" s="164">
        <f>(V92*Emissions_factors!$E$20)/1000</f>
        <v>11592.894555190329</v>
      </c>
      <c r="W120" s="164">
        <f>(W92*Emissions_factors!$E$20)/1000</f>
        <v>8601.6093892064728</v>
      </c>
      <c r="X120" s="164">
        <f>(X92*Emissions_factors!$E$20)/1000</f>
        <v>6100.0124890870075</v>
      </c>
      <c r="Y120" s="164">
        <f>(Y92*Emissions_factors!$E$20)/1000</f>
        <v>4152.4363996466736</v>
      </c>
      <c r="Z120" s="164">
        <f>(Z92*Emissions_factors!$E$20)/1000</f>
        <v>2721.9353924363827</v>
      </c>
      <c r="AA120" s="164">
        <f>(AA92*Emissions_factors!$E$20)/1000</f>
        <v>1722.4099579628671</v>
      </c>
      <c r="AB120" s="164">
        <f>(AB92*Emissions_factors!$E$20)/1000</f>
        <v>1054.2819455553265</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19085.617770373312</v>
      </c>
      <c r="U121" s="164">
        <f>(U93*Emissions_factors!$E$20)/1000</f>
        <v>17357.08053978653</v>
      </c>
      <c r="V121" s="164">
        <f>(V93*Emissions_factors!$E$20)/1000</f>
        <v>14425.780807254851</v>
      </c>
      <c r="W121" s="164">
        <f>(W93*Emissions_factors!$E$20)/1000</f>
        <v>11268.697863615746</v>
      </c>
      <c r="X121" s="164">
        <f>(X93*Emissions_factors!$E$20)/1000</f>
        <v>8361.0643473343298</v>
      </c>
      <c r="Y121" s="164">
        <f>(Y93*Emissions_factors!$E$20)/1000</f>
        <v>5929.4249056227663</v>
      </c>
      <c r="Z121" s="164">
        <f>(Z93*Emissions_factors!$E$20)/1000</f>
        <v>4036.3130159368998</v>
      </c>
      <c r="AA121" s="164">
        <f>(AA93*Emissions_factors!$E$20)/1000</f>
        <v>2645.8161415705531</v>
      </c>
      <c r="AB121" s="164">
        <f>(AB93*Emissions_factors!$E$20)/1000</f>
        <v>1674.242556176514</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18329.040834619133</v>
      </c>
      <c r="V122" s="164">
        <f>(V94*Emissions_factors!$E$20)/1000</f>
        <v>16669.024907193125</v>
      </c>
      <c r="W122" s="164">
        <f>(W94*Emissions_factors!$E$20)/1000</f>
        <v>13853.925435826606</v>
      </c>
      <c r="X122" s="164">
        <f>(X94*Emissions_factors!$E$20)/1000</f>
        <v>10821.993072491383</v>
      </c>
      <c r="Y122" s="164">
        <f>(Y94*Emissions_factors!$E$20)/1000</f>
        <v>8029.6216599842101</v>
      </c>
      <c r="Z122" s="164">
        <f>(Z94*Emissions_factors!$E$20)/1000</f>
        <v>5694.3753421318579</v>
      </c>
      <c r="AA122" s="164">
        <f>(AA94*Emissions_factors!$E$20)/1000</f>
        <v>3876.3086938298811</v>
      </c>
      <c r="AB122" s="164">
        <f>(AB94*Emissions_factors!$E$20)/1000</f>
        <v>2540.9327946942608</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17789.630893648355</v>
      </c>
      <c r="W123" s="164">
        <f>(W95*Emissions_factors!$E$20)/1000</f>
        <v>16178.467991402591</v>
      </c>
      <c r="X123" s="164">
        <f>(X95*Emissions_factors!$E$20)/1000</f>
        <v>13446.214788609421</v>
      </c>
      <c r="Y123" s="164">
        <f>(Y95*Emissions_factors!$E$20)/1000</f>
        <v>10503.509923422655</v>
      </c>
      <c r="Z123" s="164">
        <f>(Z95*Emissions_factors!$E$20)/1000</f>
        <v>7793.3159097428197</v>
      </c>
      <c r="AA123" s="164">
        <f>(AA95*Emissions_factors!$E$20)/1000</f>
        <v>5526.7941416271769</v>
      </c>
      <c r="AB123" s="164">
        <f>(AB95*Emissions_factors!$E$20)/1000</f>
        <v>3762.2318328206534</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17589.32011555331</v>
      </c>
      <c r="X124" s="164">
        <f>(X96*Emissions_factors!$E$20)/1000</f>
        <v>15996.298865403425</v>
      </c>
      <c r="Y124" s="164">
        <f>(Y96*Emissions_factors!$E$20)/1000</f>
        <v>13294.810762137959</v>
      </c>
      <c r="Z124" s="164">
        <f>(Z96*Emissions_factors!$E$20)/1000</f>
        <v>10385.240676687412</v>
      </c>
      <c r="AA124" s="164">
        <f>(AA96*Emissions_factors!$E$20)/1000</f>
        <v>7705.563376643413</v>
      </c>
      <c r="AB124" s="164">
        <f>(AB96*Emissions_factors!$E$20)/1000</f>
        <v>5464.5625842947684</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17687.128732527195</v>
      </c>
      <c r="Y125" s="164">
        <f>(Y97*Emissions_factors!$E$20)/1000</f>
        <v>16085.249197675939</v>
      </c>
      <c r="Z125" s="164">
        <f>(Z97*Emissions_factors!$E$20)/1000</f>
        <v>13368.73897795481</v>
      </c>
      <c r="AA125" s="164">
        <f>(AA97*Emissions_factors!$E$20)/1000</f>
        <v>10442.989698301362</v>
      </c>
      <c r="AB125" s="164">
        <f>(AB97*Emissions_factors!$E$20)/1000</f>
        <v>7748.4115647440849</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17972.984558073182</v>
      </c>
      <c r="Z126" s="164">
        <f>(Z98*Emissions_factors!$E$20)/1000</f>
        <v>16345.215767606456</v>
      </c>
      <c r="AA126" s="164">
        <f>(AA98*Emissions_factors!$E$20)/1000</f>
        <v>13584.801854798359</v>
      </c>
      <c r="AB126" s="164">
        <f>(AB98*Emissions_factors!$E$20)/1000</f>
        <v>10611.767202356401</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18333.636233520403</v>
      </c>
      <c r="AA127" s="164">
        <f>(AA99*Emissions_factors!$E$20)/1000</f>
        <v>16673.204112173622</v>
      </c>
      <c r="AB127" s="164">
        <f>(AB99*Emissions_factors!$E$20)/1000</f>
        <v>13857.398848008976</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18685.736431131987</v>
      </c>
      <c r="AB128" s="164">
        <f>(AB100*Emissions_factors!$E$20)/1000</f>
        <v>16993.415465117396</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18983.244940837998</v>
      </c>
    </row>
    <row r="131" spans="1:28">
      <c r="B131" s="307" t="s">
        <v>7803</v>
      </c>
      <c r="C131" s="298">
        <f t="shared" ref="C131:AB131" si="24">SUM(C104:C129)</f>
        <v>15501.446642957195</v>
      </c>
      <c r="D131" s="298">
        <f t="shared" si="24"/>
        <v>28339.53157043337</v>
      </c>
      <c r="E131" s="298">
        <f t="shared" si="24"/>
        <v>38617.713491913244</v>
      </c>
      <c r="F131" s="298">
        <f t="shared" si="24"/>
        <v>46476.621983559467</v>
      </c>
      <c r="G131" s="298">
        <f t="shared" si="24"/>
        <v>49492.632848966299</v>
      </c>
      <c r="H131" s="298">
        <f t="shared" si="24"/>
        <v>54272.888028631802</v>
      </c>
      <c r="I131" s="298">
        <f t="shared" si="24"/>
        <v>61155.560285495034</v>
      </c>
      <c r="J131" s="298">
        <f t="shared" si="24"/>
        <v>65944.609936629597</v>
      </c>
      <c r="K131" s="298">
        <f t="shared" si="24"/>
        <v>70137.822369953486</v>
      </c>
      <c r="L131" s="298">
        <f t="shared" si="24"/>
        <v>73166.400274069674</v>
      </c>
      <c r="M131" s="298">
        <f t="shared" si="24"/>
        <v>72246.836455178753</v>
      </c>
      <c r="N131" s="298">
        <f t="shared" si="24"/>
        <v>72283.853365941235</v>
      </c>
      <c r="O131" s="298">
        <f t="shared" si="24"/>
        <v>72333.822962568258</v>
      </c>
      <c r="P131" s="298">
        <f t="shared" si="24"/>
        <v>73477.17019822805</v>
      </c>
      <c r="Q131" s="298">
        <f t="shared" si="24"/>
        <v>74373.455593159859</v>
      </c>
      <c r="R131" s="298">
        <f t="shared" si="24"/>
        <v>75069.013032699353</v>
      </c>
      <c r="S131" s="298">
        <f t="shared" si="24"/>
        <v>75569.334530978173</v>
      </c>
      <c r="T131" s="298">
        <f t="shared" si="24"/>
        <v>75905.869123386452</v>
      </c>
      <c r="U131" s="298">
        <f t="shared" si="24"/>
        <v>76168.688024015224</v>
      </c>
      <c r="V131" s="298">
        <f t="shared" si="24"/>
        <v>76498.929367044519</v>
      </c>
      <c r="W131" s="298">
        <f t="shared" si="24"/>
        <v>77030.04597950475</v>
      </c>
      <c r="X131" s="298">
        <f t="shared" si="24"/>
        <v>77837.710012578755</v>
      </c>
      <c r="Y131" s="298">
        <f t="shared" si="24"/>
        <v>78922.749332893727</v>
      </c>
      <c r="Z131" s="298">
        <f t="shared" si="24"/>
        <v>80222.762726292684</v>
      </c>
      <c r="AA131" s="298">
        <f t="shared" si="24"/>
        <v>81639.011114908018</v>
      </c>
      <c r="AB131" s="298">
        <f t="shared" si="24"/>
        <v>83065.271773699147</v>
      </c>
    </row>
    <row r="132" spans="1:28">
      <c r="A132" s="1"/>
      <c r="B132" s="307" t="s">
        <v>7801</v>
      </c>
      <c r="C132" s="164">
        <f>(C148*Emissions_factors!$D$9)/1000</f>
        <v>56800.624828425658</v>
      </c>
      <c r="D132" s="164">
        <f>D148*(Emissions_factors!$D$9/1000)</f>
        <v>53774.226207889944</v>
      </c>
      <c r="E132" s="164">
        <f>E148*(Emissions_factors!$D$9/1000)</f>
        <v>54947.9712986866</v>
      </c>
      <c r="F132" s="164">
        <f>F148*(Emissions_factors!$D$9/1000)</f>
        <v>56597.152234926252</v>
      </c>
      <c r="G132" s="164">
        <f>G148*(Emissions_factors!$D$9/1000)</f>
        <v>47921.827067099781</v>
      </c>
      <c r="H132" s="164">
        <f>H148*(Emissions_factors!$D$9/1000)</f>
        <v>60363.238646866688</v>
      </c>
      <c r="I132" s="164">
        <f>I148*(Emissions_factors!$D$9/1000)</f>
        <v>72820.490003862826</v>
      </c>
      <c r="J132" s="164">
        <f>J148*(Emissions_factors!$D$9/1000)</f>
        <v>70593.03347615349</v>
      </c>
      <c r="K132" s="164">
        <f>K148*(Emissions_factors!$D$9/1000)</f>
        <v>73537.914842572325</v>
      </c>
      <c r="L132" s="164">
        <f>L148*(Emissions_factors!$D$9/1000)</f>
        <v>73730.584284594312</v>
      </c>
      <c r="M132" s="164">
        <f>M148*(Emissions_factors!$D$9/1000)</f>
        <v>62891.313345548653</v>
      </c>
      <c r="N132" s="164">
        <f>N148*(Emissions_factors!$D$9/1000)</f>
        <v>67808.119144404234</v>
      </c>
      <c r="O132" s="164">
        <f>O148*(Emissions_factors!$D$9/1000)</f>
        <v>68222.586764519452</v>
      </c>
      <c r="P132" s="164">
        <f>P148*(Emissions_factors!$D$9/1000)</f>
        <v>72347.252846571297</v>
      </c>
      <c r="Q132" s="164">
        <f>Q148*(Emissions_factors!$D$9/1000)</f>
        <v>71945.768551867615</v>
      </c>
      <c r="R132" s="164">
        <f>R148*(Emissions_factors!$D$9/1000)</f>
        <v>71945.768551867615</v>
      </c>
      <c r="S132" s="164">
        <f>S148*(Emissions_factors!$D$9/1000)</f>
        <v>71945.768551867615</v>
      </c>
      <c r="T132" s="164">
        <f>T148*(Emissions_factors!$D$9/1000)</f>
        <v>69933.796474810864</v>
      </c>
      <c r="U132" s="164">
        <f>U148*(Emissions_factors!$D$9/1000)</f>
        <v>67161.536332165546</v>
      </c>
      <c r="V132" s="164">
        <f>V148*(Emissions_factors!$D$9/1000)</f>
        <v>65185.02263047664</v>
      </c>
      <c r="W132" s="164">
        <f>W148*(Emissions_factors!$D$9/1000)</f>
        <v>64451.04098232925</v>
      </c>
      <c r="X132" s="164">
        <f>X148*(Emissions_factors!$D$9/1000)</f>
        <v>64809.432730253313</v>
      </c>
      <c r="Y132" s="164">
        <f>Y148*(Emissions_factors!$D$9/1000)</f>
        <v>65856.86977763586</v>
      </c>
      <c r="Z132" s="164">
        <f>Z148*(Emissions_factors!$D$9/1000)</f>
        <v>67178.374859235963</v>
      </c>
      <c r="AA132" s="164">
        <f>AA148*(Emissions_factors!$D$9/1000)</f>
        <v>68468.545492157937</v>
      </c>
      <c r="AB132" s="164">
        <f>AB148*(Emissions_factors!$D$9/1000)</f>
        <v>69558.680473253582</v>
      </c>
    </row>
    <row r="133" spans="1:28">
      <c r="B133" s="307" t="s">
        <v>7802</v>
      </c>
      <c r="C133" s="50">
        <f>(C182*Emissions_factors!$E$30)+(C183*Emissions_factors!$G$30)+(C184*Emissions_factors!$I$30)</f>
        <v>0</v>
      </c>
      <c r="D133" s="50">
        <f>(D182*Emissions_factors!$E$30)+(D183*Emissions_factors!$G$30)+(D184*Emissions_factors!$I$30)</f>
        <v>2863.7468946930694</v>
      </c>
      <c r="E133" s="50">
        <f>(E182*Emissions_factors!$E$30)+(E183*Emissions_factors!$G$30)+(E184*Emissions_factors!$I$30)</f>
        <v>7352.7671708889175</v>
      </c>
      <c r="F133" s="50">
        <f>(F182*Emissions_factors!$E$30)+(F183*Emissions_factors!$G$30)+(F184*Emissions_factors!$I$30)</f>
        <v>11824.831143168358</v>
      </c>
      <c r="G133" s="50">
        <f>(G182*Emissions_factors!$E$30)+(G183*Emissions_factors!$G$30)+(G184*Emissions_factors!$I$30)</f>
        <v>15682.76840929943</v>
      </c>
      <c r="H133" s="50">
        <f>(H182*Emissions_factors!$E$30)+(H183*Emissions_factors!$G$30)+(H184*Emissions_factors!$I$30)</f>
        <v>18225.001708949927</v>
      </c>
      <c r="I133" s="50">
        <f>(I182*Emissions_factors!$E$30)+(I183*Emissions_factors!$G$30)+(I184*Emissions_factors!$I$30)</f>
        <v>20246.907642209844</v>
      </c>
      <c r="J133" s="50">
        <f>(J182*Emissions_factors!$E$30)+(J183*Emissions_factors!$G$30)+(J184*Emissions_factors!$I$30)</f>
        <v>22562.508882180045</v>
      </c>
      <c r="K133" s="50">
        <f>(K182*Emissions_factors!$E$30)+(K183*Emissions_factors!$G$30)+(K184*Emissions_factors!$I$30)</f>
        <v>24743.754894541125</v>
      </c>
      <c r="L133" s="50">
        <f>(L182*Emissions_factors!$E$30)+(L183*Emissions_factors!$G$30)+(L184*Emissions_factors!$I$30)</f>
        <v>26640.862373792905</v>
      </c>
      <c r="M133" s="50">
        <f>(M182*Emissions_factors!$E$30)+(M183*Emissions_factors!$G$30)+(M184*Emissions_factors!$I$30)</f>
        <v>28183.838853891433</v>
      </c>
      <c r="N133" s="50">
        <f>(N182*Emissions_factors!$E$30)+(N183*Emissions_factors!$G$30)+(N184*Emissions_factors!$I$30)</f>
        <v>28784.295871307939</v>
      </c>
      <c r="O133" s="50">
        <f>(O182*Emissions_factors!$E$30)+(O183*Emissions_factors!$G$30)+(O184*Emissions_factors!$I$30)</f>
        <v>28940.400800273113</v>
      </c>
      <c r="P133" s="50">
        <f>(P182*Emissions_factors!$E$30)+(P183*Emissions_factors!$G$30)+(P184*Emissions_factors!$I$30)</f>
        <v>28990.717892334978</v>
      </c>
      <c r="Q133" s="50">
        <f>(Q182*Emissions_factors!$E$30)+(Q183*Emissions_factors!$G$30)+(Q184*Emissions_factors!$I$30)</f>
        <v>29205.009777037922</v>
      </c>
      <c r="R133" s="50">
        <f>(R182*Emissions_factors!$E$30)+(R183*Emissions_factors!$G$30)+(R184*Emissions_factors!$I$30)</f>
        <v>29517.855800151887</v>
      </c>
      <c r="S133" s="50">
        <f>(S182*Emissions_factors!$E$30)+(S183*Emissions_factors!$G$30)+(S184*Emissions_factors!$I$30)</f>
        <v>29822.144329357787</v>
      </c>
      <c r="T133" s="50">
        <f>(T182*Emissions_factors!$E$30)+(T183*Emissions_factors!$G$30)+(T184*Emissions_factors!$I$30)</f>
        <v>29221.630128553992</v>
      </c>
      <c r="U133" s="50">
        <f>(U182*Emissions_factors!$E$30)+(U183*Emissions_factors!$G$30)+(U184*Emissions_factors!$I$30)</f>
        <v>28157.347220144282</v>
      </c>
      <c r="V133" s="50">
        <f>(V182*Emissions_factors!$E$30)+(V183*Emissions_factors!$G$30)+(V184*Emissions_factors!$I$30)</f>
        <v>27211.561156463275</v>
      </c>
      <c r="W133" s="50">
        <f>(W182*Emissions_factors!$E$30)+(W183*Emissions_factors!$G$30)+(W184*Emissions_factors!$I$30)</f>
        <v>26586.286548962562</v>
      </c>
      <c r="X133" s="50">
        <f>(X182*Emissions_factors!$E$30)+(X183*Emissions_factors!$G$30)+(X184*Emissions_factors!$I$30)</f>
        <v>26307.710529851975</v>
      </c>
      <c r="Y133" s="50">
        <f>(Y182*Emissions_factors!$E$30)+(Y183*Emissions_factors!$G$30)+(Y184*Emissions_factors!$I$30)</f>
        <v>26320.928469824241</v>
      </c>
      <c r="Z133" s="50">
        <f>(Z182*Emissions_factors!$E$30)+(Z183*Emissions_factors!$G$30)+(Z184*Emissions_factors!$I$30)</f>
        <v>26547.976538647083</v>
      </c>
      <c r="AA133" s="50">
        <f>(AA182*Emissions_factors!$E$30)+(AA183*Emissions_factors!$G$30)+(AA184*Emissions_factors!$I$30)</f>
        <v>26915.587091769452</v>
      </c>
      <c r="AB133" s="50">
        <f>(AB182*Emissions_factors!$E$30)+(AB183*Emissions_factors!$G$30)+(AB184*Emissions_factors!$I$30)</f>
        <v>27363.667537072135</v>
      </c>
    </row>
    <row r="134" spans="1:28">
      <c r="B134" s="307" t="s">
        <v>7804</v>
      </c>
      <c r="C134" s="306">
        <f>SUM(C131:C133)</f>
        <v>72302.071471382849</v>
      </c>
      <c r="D134" s="306">
        <f t="shared" ref="D134:AB134" si="25">SUM(D131:D133)</f>
        <v>84977.504673016389</v>
      </c>
      <c r="E134" s="306">
        <f t="shared" si="25"/>
        <v>100918.45196148875</v>
      </c>
      <c r="F134" s="306">
        <f t="shared" si="25"/>
        <v>114898.60536165407</v>
      </c>
      <c r="G134" s="306">
        <f t="shared" si="25"/>
        <v>113097.22832536552</v>
      </c>
      <c r="H134" s="306">
        <f t="shared" si="25"/>
        <v>132861.12838444841</v>
      </c>
      <c r="I134" s="306">
        <f t="shared" si="25"/>
        <v>154222.95793156771</v>
      </c>
      <c r="J134" s="306">
        <f t="shared" si="25"/>
        <v>159100.15229496313</v>
      </c>
      <c r="K134" s="306">
        <f t="shared" si="25"/>
        <v>168419.49210706691</v>
      </c>
      <c r="L134" s="306">
        <f t="shared" si="25"/>
        <v>173537.84693245689</v>
      </c>
      <c r="M134" s="306">
        <f t="shared" si="25"/>
        <v>163321.98865461885</v>
      </c>
      <c r="N134" s="306">
        <f t="shared" si="25"/>
        <v>168876.26838165338</v>
      </c>
      <c r="O134" s="306">
        <f t="shared" si="25"/>
        <v>169496.81052736082</v>
      </c>
      <c r="P134" s="306">
        <f t="shared" si="25"/>
        <v>174815.14093713433</v>
      </c>
      <c r="Q134" s="306">
        <f t="shared" si="25"/>
        <v>175524.23392206538</v>
      </c>
      <c r="R134" s="306">
        <f t="shared" si="25"/>
        <v>176532.63738471887</v>
      </c>
      <c r="S134" s="306">
        <f t="shared" si="25"/>
        <v>177337.24741220358</v>
      </c>
      <c r="T134" s="306">
        <f t="shared" si="25"/>
        <v>175061.2957267513</v>
      </c>
      <c r="U134" s="306">
        <f t="shared" si="25"/>
        <v>171487.57157632505</v>
      </c>
      <c r="V134" s="306">
        <f t="shared" si="25"/>
        <v>168895.51315398444</v>
      </c>
      <c r="W134" s="306">
        <f t="shared" si="25"/>
        <v>168067.37351079655</v>
      </c>
      <c r="X134" s="306">
        <f t="shared" si="25"/>
        <v>168954.85327268403</v>
      </c>
      <c r="Y134" s="306">
        <f t="shared" si="25"/>
        <v>171100.54758035386</v>
      </c>
      <c r="Z134" s="306">
        <f t="shared" si="25"/>
        <v>173949.11412417574</v>
      </c>
      <c r="AA134" s="306">
        <f t="shared" si="25"/>
        <v>177023.1436988354</v>
      </c>
      <c r="AB134" s="306">
        <f t="shared" si="25"/>
        <v>179987.61978402489</v>
      </c>
    </row>
    <row r="137" spans="1:28" ht="21">
      <c r="A137" s="293" t="s">
        <v>7793</v>
      </c>
      <c r="B137" s="291" t="s">
        <v>7794</v>
      </c>
    </row>
    <row r="138" spans="1:28">
      <c r="B138" s="294" t="s">
        <v>437</v>
      </c>
      <c r="C138" s="302">
        <f>$C$38*(BOM_average!$B$35*BOM_average!B24)/1000000</f>
        <v>225.57612377849412</v>
      </c>
      <c r="D138" s="302">
        <f>D38*(BOM_average!C35*BOM_average!C24)/1000000</f>
        <v>213.55718434092327</v>
      </c>
      <c r="E138" s="302">
        <f>E38*(BOM_average!D35*BOM_average!D24)/1000000</f>
        <v>218.21855679387988</v>
      </c>
      <c r="F138" s="302">
        <f>F38*(BOM_average!E35*BOM_average!E24)/1000000</f>
        <v>224.76805944688866</v>
      </c>
      <c r="G138" s="302">
        <f>G38*(BOM_average!F35*BOM_average!F24)/1000000</f>
        <v>190.31515985665453</v>
      </c>
      <c r="H138" s="302">
        <f>H38*(BOM_average!G35*BOM_average!G24)/1000000</f>
        <v>239.72457052729547</v>
      </c>
      <c r="I138" s="302">
        <f>I38*(BOM_average!H35*BOM_average!H24)/1000000</f>
        <v>289.19688676560719</v>
      </c>
      <c r="J138" s="302">
        <f>J38*(BOM_average!I35*BOM_average!I24)/1000000</f>
        <v>280.35083954476181</v>
      </c>
      <c r="K138" s="302">
        <f>K38*(BOM_average!J35*BOM_average!J24)/1000000</f>
        <v>292.0460440540586</v>
      </c>
      <c r="L138" s="302">
        <f>L38*(BOM_average!K35*BOM_average!K24)/1000000</f>
        <v>292.81120510700771</v>
      </c>
      <c r="M138" s="302">
        <f>M38*(BOM_average!L35*BOM_average!L24)/1000000</f>
        <v>249.76448281477033</v>
      </c>
      <c r="N138" s="302">
        <f>N38*(BOM_average!M35*BOM_average!M24)/1000000</f>
        <v>269.2909228289023</v>
      </c>
      <c r="O138" s="302">
        <f>O38*(BOM_average!N35*BOM_average!N24)/1000000</f>
        <v>270.9369258343217</v>
      </c>
      <c r="P138" s="302">
        <f>P38*(BOM_average!O35*BOM_average!O24)/1000000</f>
        <v>287.31748836299749</v>
      </c>
      <c r="Q138" s="302">
        <f>Q38*(BOM_average!P35*BOM_average!P24)/1000000</f>
        <v>285.72304690692607</v>
      </c>
      <c r="R138" s="302">
        <f>R38*(BOM_average!Q35*BOM_average!Q24)/1000000</f>
        <v>285.72304690692607</v>
      </c>
      <c r="S138" s="302">
        <f>S38*(BOM_average!R35*BOM_average!R24)/1000000</f>
        <v>285.72304690692607</v>
      </c>
      <c r="T138" s="302">
        <f>T38*(BOM_average!S35*BOM_average!S24)/1000000</f>
        <v>277.73276751010684</v>
      </c>
      <c r="U138" s="302">
        <f>U38*(BOM_average!T35*BOM_average!T24)/1000000</f>
        <v>266.72310522254372</v>
      </c>
      <c r="V138" s="302">
        <f>V38*(BOM_average!U35*BOM_average!U24)/1000000</f>
        <v>258.87364404550851</v>
      </c>
      <c r="W138" s="302">
        <f>W38*(BOM_average!V35*BOM_average!V24)/1000000</f>
        <v>255.95873359137596</v>
      </c>
      <c r="X138" s="302">
        <f>X38*(BOM_average!W35*BOM_average!W24)/1000000</f>
        <v>257.38203873168231</v>
      </c>
      <c r="Y138" s="302">
        <f>Y38*(BOM_average!X35*BOM_average!X24)/1000000</f>
        <v>261.54179559640437</v>
      </c>
      <c r="Z138" s="302">
        <f>Z38*(BOM_average!Y35*BOM_average!Y24)/1000000</f>
        <v>266.78997719231791</v>
      </c>
      <c r="AA138" s="302">
        <f>AA38*(BOM_average!Z35*BOM_average!Z24)/1000000</f>
        <v>271.91371819457777</v>
      </c>
      <c r="AB138" s="302">
        <f>AB38*(BOM_average!AA35*BOM_average!AA24)/1000000</f>
        <v>276.24304422177727</v>
      </c>
    </row>
    <row r="139" spans="1:28">
      <c r="B139" s="294" t="s">
        <v>217</v>
      </c>
      <c r="C139" s="302">
        <f>C38*(BOM_average!B35*BOM_average!B25)/1000000</f>
        <v>27.187613839806104</v>
      </c>
      <c r="D139" s="302">
        <f>D38*(BOM_average!C35*BOM_average!C25)/1000000</f>
        <v>25.739028418976897</v>
      </c>
      <c r="E139" s="302">
        <f>E38*(BOM_average!D35*BOM_average!D25)/1000000</f>
        <v>26.300841398523161</v>
      </c>
      <c r="F139" s="302">
        <f>F38*(BOM_average!E35*BOM_average!E25)/1000000</f>
        <v>27.090221701678118</v>
      </c>
      <c r="G139" s="302">
        <f>G38*(BOM_average!F35*BOM_average!F25)/1000000</f>
        <v>22.937778109550923</v>
      </c>
      <c r="H139" s="302">
        <f>H38*(BOM_average!G35*BOM_average!G25)/1000000</f>
        <v>28.892858615699112</v>
      </c>
      <c r="I139" s="302">
        <f>I38*(BOM_average!H35*BOM_average!H25)/1000000</f>
        <v>34.855520829758397</v>
      </c>
      <c r="J139" s="302">
        <f>J38*(BOM_average!I35*BOM_average!I25)/1000000</f>
        <v>33.789348968036023</v>
      </c>
      <c r="K139" s="302">
        <f>K38*(BOM_average!J35*BOM_average!J25)/1000000</f>
        <v>35.198916162694218</v>
      </c>
      <c r="L139" s="302">
        <f>L38*(BOM_average!K35*BOM_average!K25)/1000000</f>
        <v>35.291137373363064</v>
      </c>
      <c r="M139" s="302">
        <f>M38*(BOM_average!L35*BOM_average!L25)/1000000</f>
        <v>30.10292133725482</v>
      </c>
      <c r="N139" s="302">
        <f>N38*(BOM_average!M35*BOM_average!M25)/1000000</f>
        <v>32.456349979781081</v>
      </c>
      <c r="O139" s="302">
        <f>O38*(BOM_average!N35*BOM_average!N25)/1000000</f>
        <v>32.654734867955</v>
      </c>
      <c r="P139" s="302">
        <f>P38*(BOM_average!O35*BOM_average!O25)/1000000</f>
        <v>34.629005908030798</v>
      </c>
      <c r="Q139" s="302">
        <f>Q38*(BOM_average!P35*BOM_average!P25)/1000000</f>
        <v>34.436835487368668</v>
      </c>
      <c r="R139" s="302">
        <f>R38*(BOM_average!Q35*BOM_average!Q25)/1000000</f>
        <v>34.436835487368668</v>
      </c>
      <c r="S139" s="302">
        <f>S38*(BOM_average!R35*BOM_average!R25)/1000000</f>
        <v>34.436835487368668</v>
      </c>
      <c r="T139" s="302">
        <f>T38*(BOM_average!S35*BOM_average!S25)/1000000</f>
        <v>33.473805238093718</v>
      </c>
      <c r="U139" s="302">
        <f>U38*(BOM_average!T35*BOM_average!T25)/1000000</f>
        <v>32.146863176287262</v>
      </c>
      <c r="V139" s="302">
        <f>V38*(BOM_average!U35*BOM_average!U25)/1000000</f>
        <v>31.200805075114548</v>
      </c>
      <c r="W139" s="302">
        <f>W38*(BOM_average!V35*BOM_average!V25)/1000000</f>
        <v>30.849484826867045</v>
      </c>
      <c r="X139" s="302">
        <f>X38*(BOM_average!W35*BOM_average!W25)/1000000</f>
        <v>31.0210290039842</v>
      </c>
      <c r="Y139" s="302">
        <f>Y38*(BOM_average!X35*BOM_average!X25)/1000000</f>
        <v>31.522384650189913</v>
      </c>
      <c r="Z139" s="302">
        <f>Z38*(BOM_average!Y35*BOM_average!Y25)/1000000</f>
        <v>32.154922935717799</v>
      </c>
      <c r="AA139" s="302">
        <f>AA38*(BOM_average!Z35*BOM_average!Z25)/1000000</f>
        <v>32.772462990273446</v>
      </c>
      <c r="AB139" s="302">
        <f>AB38*(BOM_average!AA35*BOM_average!AA25)/1000000</f>
        <v>33.294255998516199</v>
      </c>
    </row>
    <row r="140" spans="1:28">
      <c r="B140" s="294" t="s">
        <v>313</v>
      </c>
      <c r="C140" s="302">
        <f>C38*(BOM_average!B35*BOM_average!B26)/1000000</f>
        <v>143.90041231483798</v>
      </c>
      <c r="D140" s="302">
        <f>D38*(BOM_average!C35*BOM_average!C26)/1000000</f>
        <v>136.23324297225352</v>
      </c>
      <c r="E140" s="302">
        <f>E38*(BOM_average!D35*BOM_average!D26)/1000000</f>
        <v>139.20684410830353</v>
      </c>
      <c r="F140" s="302">
        <f>F38*(BOM_average!E35*BOM_average!E26)/1000000</f>
        <v>143.38492872310326</v>
      </c>
      <c r="G140" s="302">
        <f>G38*(BOM_average!F35*BOM_average!F26)/1000000</f>
        <v>121.40659886517582</v>
      </c>
      <c r="H140" s="302">
        <f>H38*(BOM_average!G35*BOM_average!G26)/1000000</f>
        <v>152.92604537681166</v>
      </c>
      <c r="I140" s="302">
        <f>I38*(BOM_average!H35*BOM_average!H26)/1000000</f>
        <v>184.4856208567669</v>
      </c>
      <c r="J140" s="302">
        <f>J38*(BOM_average!I35*BOM_average!I26)/1000000</f>
        <v>178.84251545574426</v>
      </c>
      <c r="K140" s="302">
        <f>K38*(BOM_average!J35*BOM_average!J26)/1000000</f>
        <v>186.3031665335451</v>
      </c>
      <c r="L140" s="302">
        <f>L38*(BOM_average!K35*BOM_average!K26)/1000000</f>
        <v>186.79128109621377</v>
      </c>
      <c r="M140" s="302">
        <f>M38*(BOM_average!L35*BOM_average!L26)/1000000</f>
        <v>159.33074589906695</v>
      </c>
      <c r="N140" s="302">
        <f>N38*(BOM_average!M35*BOM_average!M26)/1000000</f>
        <v>171.78712967766978</v>
      </c>
      <c r="O140" s="302">
        <f>O38*(BOM_average!N35*BOM_average!N26)/1000000</f>
        <v>172.83715441957864</v>
      </c>
      <c r="P140" s="302">
        <f>P38*(BOM_average!O35*BOM_average!O26)/1000000</f>
        <v>183.28670760074806</v>
      </c>
      <c r="Q140" s="302">
        <f>Q38*(BOM_average!P35*BOM_average!P26)/1000000</f>
        <v>182.26957520616077</v>
      </c>
      <c r="R140" s="302">
        <f>R38*(BOM_average!Q35*BOM_average!Q26)/1000000</f>
        <v>182.26957520616077</v>
      </c>
      <c r="S140" s="302">
        <f>S38*(BOM_average!R35*BOM_average!R26)/1000000</f>
        <v>182.26957520616077</v>
      </c>
      <c r="T140" s="302">
        <f>T38*(BOM_average!S35*BOM_average!S26)/1000000</f>
        <v>177.17238459727298</v>
      </c>
      <c r="U140" s="302">
        <f>U38*(BOM_average!T35*BOM_average!T26)/1000000</f>
        <v>170.14905732269332</v>
      </c>
      <c r="V140" s="302">
        <f>V38*(BOM_average!U35*BOM_average!U26)/1000000</f>
        <v>165.1416980290571</v>
      </c>
      <c r="W140" s="302">
        <f>W38*(BOM_average!V35*BOM_average!V26)/1000000</f>
        <v>163.28220683298352</v>
      </c>
      <c r="X140" s="302">
        <f>X38*(BOM_average!W35*BOM_average!W26)/1000000</f>
        <v>164.19016727271975</v>
      </c>
      <c r="Y140" s="302">
        <f>Y38*(BOM_average!X35*BOM_average!X26)/1000000</f>
        <v>166.8437758104335</v>
      </c>
      <c r="Z140" s="302">
        <f>Z38*(BOM_average!Y35*BOM_average!Y26)/1000000</f>
        <v>170.19171655391702</v>
      </c>
      <c r="AA140" s="302">
        <f>AA38*(BOM_average!Z35*BOM_average!Z26)/1000000</f>
        <v>173.46027366213136</v>
      </c>
      <c r="AB140" s="302">
        <f>AB38*(BOM_average!AA35*BOM_average!AA26)/1000000</f>
        <v>176.22205443007786</v>
      </c>
    </row>
    <row r="141" spans="1:28">
      <c r="B141" s="294" t="s">
        <v>6911</v>
      </c>
      <c r="C141" s="302">
        <f>C38*(BOM_average!B35*BOM_average!B27)/1000000</f>
        <v>542.82137516865805</v>
      </c>
      <c r="D141" s="302">
        <f>D38*(BOM_average!C35*BOM_average!C27)/1000000</f>
        <v>513.89926619591313</v>
      </c>
      <c r="E141" s="302">
        <f>E38*(BOM_average!D35*BOM_average!D27)/1000000</f>
        <v>525.11628935733518</v>
      </c>
      <c r="F141" s="302">
        <f>F38*(BOM_average!E35*BOM_average!E27)/1000000</f>
        <v>540.87686710477476</v>
      </c>
      <c r="G141" s="302">
        <f>G38*(BOM_average!F35*BOM_average!F27)/1000000</f>
        <v>457.97017458405873</v>
      </c>
      <c r="H141" s="302">
        <f>H38*(BOM_average!G35*BOM_average!G27)/1000000</f>
        <v>576.86788324779491</v>
      </c>
      <c r="I141" s="302">
        <f>I38*(BOM_average!H35*BOM_average!H27)/1000000</f>
        <v>695.91696647270726</v>
      </c>
      <c r="J141" s="302">
        <f>J38*(BOM_average!I35*BOM_average!I27)/1000000</f>
        <v>674.63003487377034</v>
      </c>
      <c r="K141" s="302">
        <f>K38*(BOM_average!J35*BOM_average!J27)/1000000</f>
        <v>702.77311530390045</v>
      </c>
      <c r="L141" s="302">
        <f>L38*(BOM_average!K35*BOM_average!K27)/1000000</f>
        <v>704.61438187072554</v>
      </c>
      <c r="M141" s="302">
        <f>M38*(BOM_average!L35*BOM_average!L27)/1000000</f>
        <v>601.02770523237405</v>
      </c>
      <c r="N141" s="302">
        <f>N38*(BOM_average!M35*BOM_average!M27)/1000000</f>
        <v>648.01569688271172</v>
      </c>
      <c r="O141" s="302">
        <f>O38*(BOM_average!N35*BOM_average!N27)/1000000</f>
        <v>651.9766019641861</v>
      </c>
      <c r="P141" s="302">
        <f>P38*(BOM_average!O35*BOM_average!O27)/1000000</f>
        <v>691.39442389015926</v>
      </c>
      <c r="Q141" s="302">
        <f>Q38*(BOM_average!P35*BOM_average!P27)/1000000</f>
        <v>687.55759537607207</v>
      </c>
      <c r="R141" s="302">
        <f>R38*(BOM_average!Q35*BOM_average!Q27)/1000000</f>
        <v>687.55759537607207</v>
      </c>
      <c r="S141" s="302">
        <f>S38*(BOM_average!R35*BOM_average!R27)/1000000</f>
        <v>687.55759537607207</v>
      </c>
      <c r="T141" s="302">
        <f>T38*(BOM_average!S35*BOM_average!S27)/1000000</f>
        <v>668.32996446588663</v>
      </c>
      <c r="U141" s="302">
        <f>U38*(BOM_average!T35*BOM_average!T27)/1000000</f>
        <v>641.83655761514206</v>
      </c>
      <c r="V141" s="302">
        <f>V38*(BOM_average!U35*BOM_average!U27)/1000000</f>
        <v>622.94778854206766</v>
      </c>
      <c r="W141" s="302">
        <f>W38*(BOM_average!V35*BOM_average!V27)/1000000</f>
        <v>615.9334127530791</v>
      </c>
      <c r="X141" s="302">
        <f>X38*(BOM_average!W35*BOM_average!W27)/1000000</f>
        <v>619.35842263712323</v>
      </c>
      <c r="Y141" s="302">
        <f>Y38*(BOM_average!X35*BOM_average!X27)/1000000</f>
        <v>629.3683691857791</v>
      </c>
      <c r="Z141" s="302">
        <f>Z38*(BOM_average!Y35*BOM_average!Y27)/1000000</f>
        <v>641.99747683826308</v>
      </c>
      <c r="AA141" s="302">
        <f>AA38*(BOM_average!Z35*BOM_average!Z27)/1000000</f>
        <v>654.32713340947805</v>
      </c>
      <c r="AB141" s="302">
        <f>AB38*(BOM_average!AA35*BOM_average!AA27)/1000000</f>
        <v>664.74512742530544</v>
      </c>
    </row>
    <row r="142" spans="1:28">
      <c r="B142" s="294" t="s">
        <v>441</v>
      </c>
      <c r="C142" s="302">
        <f>C38*(BOM_average!B35*BOM_average!B28)/1000000</f>
        <v>518.95793600551895</v>
      </c>
      <c r="D142" s="302">
        <f>D38*(BOM_average!C35*BOM_average!C28)/1000000</f>
        <v>491.30729683759938</v>
      </c>
      <c r="E142" s="302">
        <f>E38*(BOM_average!D35*BOM_average!D28)/1000000</f>
        <v>502.03119875868543</v>
      </c>
      <c r="F142" s="302">
        <f>F38*(BOM_average!E35*BOM_average!E28)/1000000</f>
        <v>517.09891213958247</v>
      </c>
      <c r="G142" s="302">
        <f>G38*(BOM_average!F35*BOM_average!F28)/1000000</f>
        <v>437.8369523130616</v>
      </c>
      <c r="H142" s="302">
        <f>H38*(BOM_average!G35*BOM_average!G28)/1000000</f>
        <v>551.50769614614387</v>
      </c>
      <c r="I142" s="302">
        <f>I38*(BOM_average!H35*BOM_average!H28)/1000000</f>
        <v>665.32315983261708</v>
      </c>
      <c r="J142" s="302">
        <f>J38*(BOM_average!I35*BOM_average!I28)/1000000</f>
        <v>644.97204141351904</v>
      </c>
      <c r="K142" s="302">
        <f>K38*(BOM_average!J35*BOM_average!J28)/1000000</f>
        <v>671.87789958522376</v>
      </c>
      <c r="L142" s="302">
        <f>L38*(BOM_average!K35*BOM_average!K28)/1000000</f>
        <v>673.63822064269618</v>
      </c>
      <c r="M142" s="302">
        <f>M38*(BOM_average!L35*BOM_average!L28)/1000000</f>
        <v>574.60540733609548</v>
      </c>
      <c r="N142" s="302">
        <f>N38*(BOM_average!M35*BOM_average!M28)/1000000</f>
        <v>619.52771931455675</v>
      </c>
      <c r="O142" s="302">
        <f>O38*(BOM_average!N35*BOM_average!N28)/1000000</f>
        <v>623.31449562777209</v>
      </c>
      <c r="P142" s="302">
        <f>P38*(BOM_average!O35*BOM_average!O28)/1000000</f>
        <v>660.9994366494484</v>
      </c>
      <c r="Q142" s="302">
        <f>Q38*(BOM_average!P35*BOM_average!P28)/1000000</f>
        <v>657.33128226650956</v>
      </c>
      <c r="R142" s="302">
        <f>R38*(BOM_average!Q35*BOM_average!Q28)/1000000</f>
        <v>657.33128226650956</v>
      </c>
      <c r="S142" s="302">
        <f>S38*(BOM_average!R35*BOM_average!R28)/1000000</f>
        <v>657.33128226650956</v>
      </c>
      <c r="T142" s="302">
        <f>T38*(BOM_average!S35*BOM_average!S28)/1000000</f>
        <v>638.94893384051875</v>
      </c>
      <c r="U142" s="302">
        <f>U38*(BOM_average!T35*BOM_average!T28)/1000000</f>
        <v>613.62022652359519</v>
      </c>
      <c r="V142" s="302">
        <f>V38*(BOM_average!U35*BOM_average!U28)/1000000</f>
        <v>595.56184293691001</v>
      </c>
      <c r="W142" s="302">
        <f>W38*(BOM_average!V35*BOM_average!V28)/1000000</f>
        <v>588.85583217841781</v>
      </c>
      <c r="X142" s="302">
        <f>X38*(BOM_average!W35*BOM_average!W28)/1000000</f>
        <v>592.13027224568634</v>
      </c>
      <c r="Y142" s="302">
        <f>Y38*(BOM_average!X35*BOM_average!X28)/1000000</f>
        <v>601.70016289120849</v>
      </c>
      <c r="Z142" s="302">
        <f>Z38*(BOM_average!Y35*BOM_average!Y28)/1000000</f>
        <v>613.77407143780579</v>
      </c>
      <c r="AA142" s="302">
        <f>AA38*(BOM_average!Z35*BOM_average!Z28)/1000000</f>
        <v>625.56169333067362</v>
      </c>
      <c r="AB142" s="302">
        <f>AB38*(BOM_average!AA35*BOM_average!AA28)/1000000</f>
        <v>635.52169291634164</v>
      </c>
    </row>
    <row r="143" spans="1:28">
      <c r="B143" s="294" t="s">
        <v>6912</v>
      </c>
      <c r="C143" s="302">
        <f>C38*(BOM_average!B35*BOM_average!B29)/1000000</f>
        <v>319.71199608722554</v>
      </c>
      <c r="D143" s="302">
        <f>D38*(BOM_average!C35*BOM_average!C29)/1000000</f>
        <v>302.67739573115904</v>
      </c>
      <c r="E143" s="302">
        <f>E38*(BOM_average!D35*BOM_average!D29)/1000000</f>
        <v>309.28401998942564</v>
      </c>
      <c r="F143" s="302">
        <f>F38*(BOM_average!E35*BOM_average!E29)/1000000</f>
        <v>318.56671592150127</v>
      </c>
      <c r="G143" s="302">
        <f>G38*(BOM_average!F35*BOM_average!F29)/1000000</f>
        <v>269.73616987575593</v>
      </c>
      <c r="H143" s="302">
        <f>H38*(BOM_average!G35*BOM_average!G29)/1000000</f>
        <v>339.76477505967966</v>
      </c>
      <c r="I143" s="302">
        <f>I38*(BOM_average!H35*BOM_average!H29)/1000000</f>
        <v>409.8825371289517</v>
      </c>
      <c r="J143" s="302">
        <f>J38*(BOM_average!I35*BOM_average!I29)/1000000</f>
        <v>397.34491848791379</v>
      </c>
      <c r="K143" s="302">
        <f>K38*(BOM_average!J35*BOM_average!J29)/1000000</f>
        <v>413.92068508804925</v>
      </c>
      <c r="L143" s="302">
        <f>L38*(BOM_average!K35*BOM_average!K29)/1000000</f>
        <v>415.00515787474711</v>
      </c>
      <c r="M143" s="302">
        <f>M38*(BOM_average!L35*BOM_average!L29)/1000000</f>
        <v>353.99447430356429</v>
      </c>
      <c r="N143" s="302">
        <f>N38*(BOM_average!M35*BOM_average!M29)/1000000</f>
        <v>381.66955360196465</v>
      </c>
      <c r="O143" s="302">
        <f>O38*(BOM_average!N35*BOM_average!N29)/1000000</f>
        <v>384.00245523008624</v>
      </c>
      <c r="P143" s="302">
        <f>P38*(BOM_average!O35*BOM_average!O29)/1000000</f>
        <v>407.21884114607576</v>
      </c>
      <c r="Q143" s="302">
        <f>Q38*(BOM_average!P35*BOM_average!P29)/1000000</f>
        <v>404.9590183774863</v>
      </c>
      <c r="R143" s="302">
        <f>R38*(BOM_average!Q35*BOM_average!Q29)/1000000</f>
        <v>404.9590183774863</v>
      </c>
      <c r="S143" s="302">
        <f>S38*(BOM_average!R35*BOM_average!R29)/1000000</f>
        <v>404.9590183774863</v>
      </c>
      <c r="T143" s="302">
        <f>T38*(BOM_average!S35*BOM_average!S29)/1000000</f>
        <v>393.63429068706722</v>
      </c>
      <c r="U143" s="302">
        <f>U38*(BOM_average!T35*BOM_average!T29)/1000000</f>
        <v>378.03015206085576</v>
      </c>
      <c r="V143" s="302">
        <f>V38*(BOM_average!U35*BOM_average!U29)/1000000</f>
        <v>366.90500787856018</v>
      </c>
      <c r="W143" s="302">
        <f>W38*(BOM_average!V35*BOM_average!V29)/1000000</f>
        <v>362.77366709614046</v>
      </c>
      <c r="X143" s="302">
        <f>X38*(BOM_average!W35*BOM_average!W29)/1000000</f>
        <v>364.79093612189689</v>
      </c>
      <c r="Y143" s="302">
        <f>Y38*(BOM_average!X35*BOM_average!X29)/1000000</f>
        <v>370.68661403399608</v>
      </c>
      <c r="Z143" s="302">
        <f>Z38*(BOM_average!Y35*BOM_average!Y29)/1000000</f>
        <v>378.12493057987928</v>
      </c>
      <c r="AA143" s="302">
        <f>AA38*(BOM_average!Z35*BOM_average!Z29)/1000000</f>
        <v>385.38687584175915</v>
      </c>
      <c r="AB143" s="302">
        <f>AB38*(BOM_average!AA35*BOM_average!AA29)/1000000</f>
        <v>391.52288634980158</v>
      </c>
    </row>
    <row r="144" spans="1:28">
      <c r="B144" s="294" t="s">
        <v>443</v>
      </c>
      <c r="C144" s="302">
        <f>C38*(BOM_average!B35*BOM_average!B30)/1000000</f>
        <v>153.17252471606278</v>
      </c>
      <c r="D144" s="302">
        <f>D38*(BOM_average!C35*BOM_average!C30)/1000000</f>
        <v>145.01132721330785</v>
      </c>
      <c r="E144" s="302">
        <f>E38*(BOM_average!D35*BOM_average!D30)/1000000</f>
        <v>148.17653005171809</v>
      </c>
      <c r="F144" s="302">
        <f>F38*(BOM_average!E35*BOM_average!E30)/1000000</f>
        <v>152.62382633552608</v>
      </c>
      <c r="G144" s="302">
        <f>G38*(BOM_average!F35*BOM_average!F30)/1000000</f>
        <v>129.22933969558724</v>
      </c>
      <c r="H144" s="302">
        <f>H38*(BOM_average!G35*BOM_average!G30)/1000000</f>
        <v>162.77971750324235</v>
      </c>
      <c r="I144" s="302">
        <f>I38*(BOM_average!H35*BOM_average!H30)/1000000</f>
        <v>196.3728099584294</v>
      </c>
      <c r="J144" s="302">
        <f>J38*(BOM_average!I35*BOM_average!I30)/1000000</f>
        <v>190.36609540070913</v>
      </c>
      <c r="K144" s="302">
        <f>K38*(BOM_average!J35*BOM_average!J30)/1000000</f>
        <v>198.30746779311147</v>
      </c>
      <c r="L144" s="302">
        <f>L38*(BOM_average!K35*BOM_average!K30)/1000000</f>
        <v>198.8270336422423</v>
      </c>
      <c r="M144" s="302">
        <f>M38*(BOM_average!L35*BOM_average!L30)/1000000</f>
        <v>169.59709997812891</v>
      </c>
      <c r="N144" s="302">
        <f>N38*(BOM_average!M35*BOM_average!M30)/1000000</f>
        <v>182.85610126595265</v>
      </c>
      <c r="O144" s="302">
        <f>O38*(BOM_average!N35*BOM_average!N30)/1000000</f>
        <v>183.97378354458729</v>
      </c>
      <c r="P144" s="302">
        <f>P38*(BOM_average!O35*BOM_average!O30)/1000000</f>
        <v>195.09664564878045</v>
      </c>
      <c r="Q144" s="302">
        <f>Q38*(BOM_average!P35*BOM_average!P30)/1000000</f>
        <v>194.01397511057127</v>
      </c>
      <c r="R144" s="302">
        <f>R38*(BOM_average!Q35*BOM_average!Q30)/1000000</f>
        <v>194.01397511057127</v>
      </c>
      <c r="S144" s="302">
        <f>S38*(BOM_average!R35*BOM_average!R30)/1000000</f>
        <v>194.01397511057127</v>
      </c>
      <c r="T144" s="302">
        <f>T38*(BOM_average!S35*BOM_average!S30)/1000000</f>
        <v>188.58835094478255</v>
      </c>
      <c r="U144" s="302">
        <f>U38*(BOM_average!T35*BOM_average!T30)/1000000</f>
        <v>181.11248097853905</v>
      </c>
      <c r="V144" s="302">
        <f>V38*(BOM_average!U35*BOM_average!U30)/1000000</f>
        <v>175.78247633971557</v>
      </c>
      <c r="W144" s="302">
        <f>W38*(BOM_average!V35*BOM_average!V30)/1000000</f>
        <v>173.80317025846043</v>
      </c>
      <c r="X144" s="302">
        <f>X38*(BOM_average!W35*BOM_average!W30)/1000000</f>
        <v>174.76963443086615</v>
      </c>
      <c r="Y144" s="302">
        <f>Y38*(BOM_average!X35*BOM_average!X30)/1000000</f>
        <v>177.59422619395593</v>
      </c>
      <c r="Z144" s="302">
        <f>Z38*(BOM_average!Y35*BOM_average!Y30)/1000000</f>
        <v>181.15788892451968</v>
      </c>
      <c r="AA144" s="302">
        <f>AA38*(BOM_average!Z35*BOM_average!Z30)/1000000</f>
        <v>184.63705299632545</v>
      </c>
      <c r="AB144" s="302">
        <f>AB38*(BOM_average!AA35*BOM_average!AA30)/1000000</f>
        <v>187.57678698411345</v>
      </c>
    </row>
    <row r="145" spans="2:28">
      <c r="B145" s="294" t="s">
        <v>445</v>
      </c>
      <c r="C145" s="302">
        <f>C38*(BOM_average!B35*BOM_average!B31)/1000000</f>
        <v>199.29388847133947</v>
      </c>
      <c r="D145" s="302">
        <f>D38*(BOM_average!C35*BOM_average!C31)/1000000</f>
        <v>188.67529490880841</v>
      </c>
      <c r="E145" s="302">
        <f>E38*(BOM_average!D35*BOM_average!D31)/1000000</f>
        <v>192.79356339486117</v>
      </c>
      <c r="F145" s="302">
        <f>F38*(BOM_average!E35*BOM_average!E31)/1000000</f>
        <v>198.57997300864278</v>
      </c>
      <c r="G145" s="302">
        <f>G38*(BOM_average!F35*BOM_average!F31)/1000000</f>
        <v>168.14123590545211</v>
      </c>
      <c r="H145" s="302">
        <f>H38*(BOM_average!G35*BOM_average!G31)/1000000</f>
        <v>211.79387703913275</v>
      </c>
      <c r="I145" s="302">
        <f>I38*(BOM_average!H35*BOM_average!H31)/1000000</f>
        <v>255.50209451208903</v>
      </c>
      <c r="J145" s="302">
        <f>J38*(BOM_average!I35*BOM_average!I31)/1000000</f>
        <v>247.68671441461692</v>
      </c>
      <c r="K145" s="302">
        <f>K38*(BOM_average!J35*BOM_average!J31)/1000000</f>
        <v>258.01929192363565</v>
      </c>
      <c r="L145" s="302">
        <f>L38*(BOM_average!K35*BOM_average!K31)/1000000</f>
        <v>258.69530283735628</v>
      </c>
      <c r="M145" s="302">
        <f>M38*(BOM_average!L35*BOM_average!L31)/1000000</f>
        <v>220.66402307305805</v>
      </c>
      <c r="N145" s="302">
        <f>N38*(BOM_average!M35*BOM_average!M31)/1000000</f>
        <v>237.91540630118726</v>
      </c>
      <c r="O145" s="302">
        <f>O38*(BOM_average!N35*BOM_average!N31)/1000000</f>
        <v>239.36963086135245</v>
      </c>
      <c r="P145" s="302">
        <f>P38*(BOM_average!O35*BOM_average!O31)/1000000</f>
        <v>253.84166782610387</v>
      </c>
      <c r="Q145" s="302">
        <f>Q38*(BOM_average!P35*BOM_average!P31)/1000000</f>
        <v>252.43299729662706</v>
      </c>
      <c r="R145" s="302">
        <f>R38*(BOM_average!Q35*BOM_average!Q31)/1000000</f>
        <v>252.43299729662706</v>
      </c>
      <c r="S145" s="302">
        <f>S38*(BOM_average!R35*BOM_average!R31)/1000000</f>
        <v>252.43299729662706</v>
      </c>
      <c r="T145" s="302">
        <f>T38*(BOM_average!S35*BOM_average!S31)/1000000</f>
        <v>245.37367814400164</v>
      </c>
      <c r="U145" s="302">
        <f>U38*(BOM_average!T35*BOM_average!T31)/1000000</f>
        <v>235.64676923497504</v>
      </c>
      <c r="V145" s="302">
        <f>V38*(BOM_average!U35*BOM_average!U31)/1000000</f>
        <v>228.71186134591014</v>
      </c>
      <c r="W145" s="302">
        <f>W38*(BOM_average!V35*BOM_average!V31)/1000000</f>
        <v>226.13657177528037</v>
      </c>
      <c r="X145" s="302">
        <f>X38*(BOM_average!W35*BOM_average!W31)/1000000</f>
        <v>227.39404535511474</v>
      </c>
      <c r="Y145" s="302">
        <f>Y38*(BOM_average!X35*BOM_average!X31)/1000000</f>
        <v>231.06914228815657</v>
      </c>
      <c r="Z145" s="302">
        <f>Z38*(BOM_average!Y35*BOM_average!Y31)/1000000</f>
        <v>235.70584984449525</v>
      </c>
      <c r="AA145" s="302">
        <f>AA38*(BOM_average!Z35*BOM_average!Z31)/1000000</f>
        <v>240.23261557996426</v>
      </c>
      <c r="AB145" s="302">
        <f>AB38*(BOM_average!AA35*BOM_average!AA31)/1000000</f>
        <v>244.05752490089932</v>
      </c>
    </row>
    <row r="146" spans="2:28">
      <c r="B146" s="294" t="s">
        <v>6915</v>
      </c>
      <c r="C146" s="302">
        <f>C38*(BOM_average!B35*BOM_average!B32)/1000000</f>
        <v>58.973834696251373</v>
      </c>
      <c r="D146" s="302">
        <f>D38*(BOM_average!C35*BOM_average!C32)/1000000</f>
        <v>55.831645107465043</v>
      </c>
      <c r="E146" s="302">
        <f>E38*(BOM_average!D35*BOM_average!D32)/1000000</f>
        <v>57.050298056605442</v>
      </c>
      <c r="F146" s="302">
        <f>F38*(BOM_average!E35*BOM_average!E32)/1000000</f>
        <v>58.762577176981146</v>
      </c>
      <c r="G146" s="302">
        <f>G38*(BOM_average!F35*BOM_average!F32)/1000000</f>
        <v>49.755331324861736</v>
      </c>
      <c r="H146" s="302">
        <f>H38*(BOM_average!G35*BOM_average!G32)/1000000</f>
        <v>62.672755245980547</v>
      </c>
      <c r="I146" s="302">
        <f>I38*(BOM_average!H35*BOM_average!H32)/1000000</f>
        <v>75.606624979214359</v>
      </c>
      <c r="J146" s="302">
        <f>J38*(BOM_average!I35*BOM_average!I32)/1000000</f>
        <v>73.293945260373007</v>
      </c>
      <c r="K146" s="302">
        <f>K38*(BOM_average!J35*BOM_average!J32)/1000000</f>
        <v>76.351498719121977</v>
      </c>
      <c r="L146" s="302">
        <f>L38*(BOM_average!K35*BOM_average!K32)/1000000</f>
        <v>76.551539754922999</v>
      </c>
      <c r="M146" s="302">
        <f>M38*(BOM_average!L35*BOM_average!L32)/1000000</f>
        <v>65.29755488207951</v>
      </c>
      <c r="N146" s="302">
        <f>N38*(BOM_average!M35*BOM_average!M32)/1000000</f>
        <v>70.402479225625981</v>
      </c>
      <c r="O146" s="302">
        <f>O38*(BOM_average!N35*BOM_average!N32)/1000000</f>
        <v>70.832804507952659</v>
      </c>
      <c r="P146" s="302">
        <f>P38*(BOM_average!O35*BOM_average!O32)/1000000</f>
        <v>75.115281618634498</v>
      </c>
      <c r="Q146" s="302">
        <f>Q38*(BOM_average!P35*BOM_average!P32)/1000000</f>
        <v>74.698436407855269</v>
      </c>
      <c r="R146" s="302">
        <f>R38*(BOM_average!Q35*BOM_average!Q32)/1000000</f>
        <v>74.698436407855269</v>
      </c>
      <c r="S146" s="302">
        <f>S38*(BOM_average!R35*BOM_average!R32)/1000000</f>
        <v>74.698436407855269</v>
      </c>
      <c r="T146" s="302">
        <f>T38*(BOM_average!S35*BOM_average!S32)/1000000</f>
        <v>72.609485642890476</v>
      </c>
      <c r="U146" s="302">
        <f>U38*(BOM_average!T35*BOM_average!T32)/1000000</f>
        <v>69.731157950524121</v>
      </c>
      <c r="V146" s="302">
        <f>V38*(BOM_average!U35*BOM_average!U32)/1000000</f>
        <v>67.679022209581632</v>
      </c>
      <c r="W146" s="302">
        <f>W38*(BOM_average!V35*BOM_average!V32)/1000000</f>
        <v>66.916958191471295</v>
      </c>
      <c r="X146" s="302">
        <f>X38*(BOM_average!W35*BOM_average!W32)/1000000</f>
        <v>67.289062121004093</v>
      </c>
      <c r="Y146" s="302">
        <f>Y38*(BOM_average!X35*BOM_average!X32)/1000000</f>
        <v>68.376574441047353</v>
      </c>
      <c r="Z146" s="302">
        <f>Z38*(BOM_average!Y35*BOM_average!Y32)/1000000</f>
        <v>69.748640724965043</v>
      </c>
      <c r="AA146" s="302">
        <f>AA38*(BOM_average!Z35*BOM_average!Z32)/1000000</f>
        <v>71.088173694289367</v>
      </c>
      <c r="AB146" s="302">
        <f>AB38*(BOM_average!AA35*BOM_average!AA32)/1000000</f>
        <v>72.220017584491814</v>
      </c>
    </row>
    <row r="147" spans="2:28" ht="17" thickBot="1">
      <c r="B147" s="297" t="s">
        <v>447</v>
      </c>
      <c r="C147" s="303">
        <f>C38*(BOM_average!B35*BOM_average!B33)/1000000</f>
        <v>94.721145415139233</v>
      </c>
      <c r="D147" s="303">
        <f>D38*(BOM_average!C35*BOM_average!C33)/1000000</f>
        <v>89.674300513593693</v>
      </c>
      <c r="E147" s="303">
        <f>E38*(BOM_average!D35*BOM_average!D33)/1000000</f>
        <v>91.631646577329533</v>
      </c>
      <c r="F147" s="303">
        <f>F38*(BOM_average!E35*BOM_average!E33)/1000000</f>
        <v>94.381833001322121</v>
      </c>
      <c r="G147" s="303">
        <f>G38*(BOM_average!F35*BOM_average!F33)/1000000</f>
        <v>79.914796076508679</v>
      </c>
      <c r="H147" s="303">
        <f>H38*(BOM_average!G35*BOM_average!G33)/1000000</f>
        <v>100.66218677822046</v>
      </c>
      <c r="I147" s="303">
        <f>I38*(BOM_average!H35*BOM_average!H33)/1000000</f>
        <v>121.43599201052596</v>
      </c>
      <c r="J147" s="303">
        <f>J38*(BOM_average!I35*BOM_average!I33)/1000000</f>
        <v>117.72146889912759</v>
      </c>
      <c r="K147" s="303">
        <f>K38*(BOM_average!J35*BOM_average!J33)/1000000</f>
        <v>122.63237501999296</v>
      </c>
      <c r="L147" s="303">
        <f>L38*(BOM_average!K35*BOM_average!K33)/1000000</f>
        <v>122.95367201786833</v>
      </c>
      <c r="M147" s="303">
        <f>M38*(BOM_average!L35*BOM_average!L33)/1000000</f>
        <v>104.87802299265503</v>
      </c>
      <c r="N147" s="303">
        <f>N38*(BOM_average!M35*BOM_average!M33)/1000000</f>
        <v>113.0773249978388</v>
      </c>
      <c r="O147" s="303">
        <f>O38*(BOM_average!N35*BOM_average!N33)/1000000</f>
        <v>113.76849429101802</v>
      </c>
      <c r="P147" s="303">
        <f>P38*(BOM_average!O35*BOM_average!O33)/1000000</f>
        <v>120.64681819902198</v>
      </c>
      <c r="Q147" s="303">
        <f>Q38*(BOM_average!P35*BOM_average!P33)/1000000</f>
        <v>119.97729999609032</v>
      </c>
      <c r="R147" s="303">
        <f>R38*(BOM_average!Q35*BOM_average!Q33)/1000000</f>
        <v>119.97729999609032</v>
      </c>
      <c r="S147" s="303">
        <f>S38*(BOM_average!R35*BOM_average!R33)/1000000</f>
        <v>119.97729999609032</v>
      </c>
      <c r="T147" s="303">
        <f>T38*(BOM_average!S35*BOM_average!S33)/1000000</f>
        <v>116.6221203610466</v>
      </c>
      <c r="U147" s="303">
        <f>U38*(BOM_average!T35*BOM_average!T33)/1000000</f>
        <v>111.99907867984513</v>
      </c>
      <c r="V147" s="303">
        <f>V38*(BOM_average!U35*BOM_average!U33)/1000000</f>
        <v>108.70302969590863</v>
      </c>
      <c r="W147" s="303">
        <f>W38*(BOM_average!V35*BOM_average!V33)/1000000</f>
        <v>107.47903642759125</v>
      </c>
      <c r="X147" s="303">
        <f>X38*(BOM_average!W35*BOM_average!W33)/1000000</f>
        <v>108.07669317825631</v>
      </c>
      <c r="Y147" s="303">
        <f>Y38*(BOM_average!X35*BOM_average!X33)/1000000</f>
        <v>109.82340700716256</v>
      </c>
      <c r="Z147" s="303">
        <f>Z38*(BOM_average!Y35*BOM_average!Y33)/1000000</f>
        <v>112.02715873311972</v>
      </c>
      <c r="AA147" s="303">
        <f>AA38*(BOM_average!Z35*BOM_average!Z33)/1000000</f>
        <v>114.1786568988615</v>
      </c>
      <c r="AB147" s="303">
        <f>AB38*(BOM_average!AA35*BOM_average!AA33)/1000000</f>
        <v>115.99657412034273</v>
      </c>
    </row>
    <row r="148" spans="2:28">
      <c r="B148" s="296" t="s">
        <v>7797</v>
      </c>
      <c r="C148" s="304">
        <f>C38*(BOM_average!B35)/1000000</f>
        <v>2284.3168504933333</v>
      </c>
      <c r="D148" s="304">
        <f>D38*(BOM_average!C35)/1000000</f>
        <v>2162.6059822400002</v>
      </c>
      <c r="E148" s="304">
        <f>E38*(BOM_average!D35)/1000000</f>
        <v>2209.809788486667</v>
      </c>
      <c r="F148" s="304">
        <f>F38*(BOM_average!E35)/1000000</f>
        <v>2276.1339145600004</v>
      </c>
      <c r="G148" s="304">
        <f>G38*(BOM_average!F35)/1000000</f>
        <v>1927.2435366066672</v>
      </c>
      <c r="H148" s="304">
        <f>H38*(BOM_average!G35)/1000000</f>
        <v>2427.5923655400011</v>
      </c>
      <c r="I148" s="304">
        <f>I38*(BOM_average!H35)/1000000</f>
        <v>2928.5782133466673</v>
      </c>
      <c r="J148" s="304">
        <f>J38*(BOM_average!I35)/1000000</f>
        <v>2838.9979227185718</v>
      </c>
      <c r="K148" s="304">
        <f>K38*(BOM_average!J35)/1000000</f>
        <v>2957.4304601833333</v>
      </c>
      <c r="L148" s="304">
        <f>L38*(BOM_average!K35)/1000000</f>
        <v>2965.178932217143</v>
      </c>
      <c r="M148" s="304">
        <f>M38*(BOM_average!L35)/1000000</f>
        <v>2529.2624378490477</v>
      </c>
      <c r="N148" s="304">
        <f>N38*(BOM_average!M35)/1000000</f>
        <v>2726.9986840761908</v>
      </c>
      <c r="O148" s="304">
        <f>O38*(BOM_average!N35)/1000000</f>
        <v>2743.6670811488098</v>
      </c>
      <c r="P148" s="304">
        <f>P38*(BOM_average!O35)/1000000</f>
        <v>2909.5463168500005</v>
      </c>
      <c r="Q148" s="304">
        <f>Q38*(BOM_average!P35)/1000000</f>
        <v>2893.4000624316673</v>
      </c>
      <c r="R148" s="304">
        <f>R38*(BOM_average!Q35)/1000000</f>
        <v>2893.4000624316673</v>
      </c>
      <c r="S148" s="304">
        <f>S38*(BOM_average!R35)/1000000</f>
        <v>2893.4000624316673</v>
      </c>
      <c r="T148" s="304">
        <f>T38*(BOM_average!S35)/1000000</f>
        <v>2812.4857814316674</v>
      </c>
      <c r="U148" s="304">
        <f>U38*(BOM_average!T35)/1000000</f>
        <v>2700.9954487650002</v>
      </c>
      <c r="V148" s="304">
        <f>V38*(BOM_average!U35)/1000000</f>
        <v>2621.5071760983337</v>
      </c>
      <c r="W148" s="304">
        <f>W38*(BOM_average!V35)/1000000</f>
        <v>2591.9890739316675</v>
      </c>
      <c r="X148" s="304">
        <f>X38*(BOM_average!W35)/1000000</f>
        <v>2606.4023010983337</v>
      </c>
      <c r="Y148" s="304">
        <f>Y38*(BOM_average!X35)/1000000</f>
        <v>2648.5264520983337</v>
      </c>
      <c r="Z148" s="304">
        <f>Z38*(BOM_average!Y35)/1000000</f>
        <v>2701.6726337650002</v>
      </c>
      <c r="AA148" s="304">
        <f>AA38*(BOM_average!Z35)/1000000</f>
        <v>2753.558656598334</v>
      </c>
      <c r="AB148" s="304">
        <f>AB38*(BOM_average!AA35)/1000000</f>
        <v>2797.3999649316675</v>
      </c>
    </row>
    <row r="149" spans="2:28">
      <c r="B149" s="295" t="s">
        <v>7798</v>
      </c>
      <c r="C149" s="302">
        <f>C38*(BOM_average!B36)/1000000</f>
        <v>3038.6202445279996</v>
      </c>
      <c r="D149" s="302">
        <f>D38*(BOM_average!C36)/1000000</f>
        <v>2876.7192769919998</v>
      </c>
      <c r="E149" s="302">
        <f>E38*(BOM_average!D36)/1000000</f>
        <v>2939.5102340559997</v>
      </c>
      <c r="F149" s="302">
        <f>F38*(BOM_average!E36)/1000000</f>
        <v>3027.7352244479998</v>
      </c>
      <c r="G149" s="302">
        <f>G38*(BOM_average!F36)/1000000</f>
        <v>2563.637888152</v>
      </c>
      <c r="H149" s="302">
        <f>H38*(BOM_average!G36)/1000000</f>
        <v>3229.2067126320003</v>
      </c>
      <c r="I149" s="302">
        <f>I38*(BOM_average!H36)/1000000</f>
        <v>3895.622905744</v>
      </c>
      <c r="J149" s="302">
        <f>J38*(BOM_average!I36)/1000000</f>
        <v>3776.4623415891429</v>
      </c>
      <c r="K149" s="302">
        <f>K38*(BOM_average!J36)/1000000</f>
        <v>3934.0024419799993</v>
      </c>
      <c r="L149" s="302">
        <f>L38*(BOM_average!K36)/1000000</f>
        <v>3944.3095340022855</v>
      </c>
      <c r="M149" s="302">
        <f>M38*(BOM_average!L36)/1000000</f>
        <v>3364.4492206554273</v>
      </c>
      <c r="N149" s="302">
        <f>N38*(BOM_average!M36)/1000000</f>
        <v>3627.4798771657138</v>
      </c>
      <c r="O149" s="302">
        <f>O38*(BOM_average!N36)/1000000</f>
        <v>3649.6523392642857</v>
      </c>
      <c r="P149" s="302">
        <f>P38*(BOM_average!O36)/1000000</f>
        <v>3870.3064939800001</v>
      </c>
      <c r="Q149" s="302">
        <f>Q38*(BOM_average!P36)/1000000</f>
        <v>3848.8285910619998</v>
      </c>
      <c r="R149" s="302">
        <f>R38*(BOM_average!Q36)/1000000</f>
        <v>3848.8285910619998</v>
      </c>
      <c r="S149" s="302">
        <f>S38*(BOM_average!R36)/1000000</f>
        <v>3848.8285910619998</v>
      </c>
      <c r="T149" s="302">
        <f>T38*(BOM_average!S36)/1000000</f>
        <v>3741.1956362619999</v>
      </c>
      <c r="U149" s="302">
        <f>U38*(BOM_average!T36)/1000000</f>
        <v>3592.8901234619998</v>
      </c>
      <c r="V149" s="302">
        <f>V38*(BOM_average!U36)/1000000</f>
        <v>3487.1540586619999</v>
      </c>
      <c r="W149" s="302">
        <f>W38*(BOM_average!V36)/1000000</f>
        <v>3447.8887952620003</v>
      </c>
      <c r="X149" s="302">
        <f>X38*(BOM_average!W36)/1000000</f>
        <v>3467.0614086619998</v>
      </c>
      <c r="Y149" s="302">
        <f>Y38*(BOM_average!X36)/1000000</f>
        <v>3523.095359462</v>
      </c>
      <c r="Z149" s="302">
        <f>Z38*(BOM_average!Y36)/1000000</f>
        <v>3593.7909214619999</v>
      </c>
      <c r="AA149" s="302">
        <f>AA38*(BOM_average!Z36)/1000000</f>
        <v>3662.8102080619997</v>
      </c>
      <c r="AB149" s="302">
        <f>AB38*(BOM_average!AA36)/1000000</f>
        <v>3721.1283380619998</v>
      </c>
    </row>
    <row r="150" spans="2:28">
      <c r="B150" s="295" t="s">
        <v>7799</v>
      </c>
      <c r="C150" s="302">
        <f>C38*(BOM_average!B37)/1000000</f>
        <v>1541.280124032</v>
      </c>
      <c r="D150" s="302">
        <f>D38*(BOM_average!C37)/1000000</f>
        <v>1459.1590548480001</v>
      </c>
      <c r="E150" s="302">
        <f>E38*(BOM_average!D37)/1000000</f>
        <v>1491.0085280640001</v>
      </c>
      <c r="F150" s="302">
        <f>F38*(BOM_average!E37)/1000000</f>
        <v>1535.7589125120001</v>
      </c>
      <c r="G150" s="302">
        <f>G38*(BOM_average!F37)/1000000</f>
        <v>1300.3547018880004</v>
      </c>
      <c r="H150" s="302">
        <f>H38*(BOM_average!G37)/1000000</f>
        <v>1637.9513470080003</v>
      </c>
      <c r="I150" s="302">
        <f>I38*(BOM_average!H37)/1000000</f>
        <v>1975.9778031360001</v>
      </c>
      <c r="J150" s="302">
        <f>J38*(BOM_average!I37)/1000000</f>
        <v>1915.5359596937144</v>
      </c>
      <c r="K150" s="302">
        <f>K38*(BOM_average!J37)/1000000</f>
        <v>1995.44506512</v>
      </c>
      <c r="L150" s="302">
        <f>L38*(BOM_average!K37)/1000000</f>
        <v>2000.6731340434287</v>
      </c>
      <c r="M150" s="302">
        <f>M38*(BOM_average!L37)/1000000</f>
        <v>1706.5504389531427</v>
      </c>
      <c r="N150" s="302">
        <f>N38*(BOM_average!M37)/1000000</f>
        <v>1839.9675461485715</v>
      </c>
      <c r="O150" s="302">
        <f>O38*(BOM_average!N37)/1000000</f>
        <v>1851.2140897714289</v>
      </c>
      <c r="P150" s="302">
        <f>P38*(BOM_average!O37)/1000000</f>
        <v>1963.1365531200001</v>
      </c>
      <c r="Q150" s="302">
        <f>Q38*(BOM_average!P37)/1000000</f>
        <v>1952.2423109280003</v>
      </c>
      <c r="R150" s="302">
        <f>R38*(BOM_average!Q37)/1000000</f>
        <v>1952.2423109280003</v>
      </c>
      <c r="S150" s="302">
        <f>S38*(BOM_average!R37)/1000000</f>
        <v>1952.2423109280003</v>
      </c>
      <c r="T150" s="302">
        <f>T38*(BOM_average!S37)/1000000</f>
        <v>1897.6476197280001</v>
      </c>
      <c r="U150" s="302">
        <f>U38*(BOM_average!T37)/1000000</f>
        <v>1822.422576528</v>
      </c>
      <c r="V150" s="302">
        <f>V38*(BOM_average!U37)/1000000</f>
        <v>1768.7900453280001</v>
      </c>
      <c r="W150" s="302">
        <f>W38*(BOM_average!V37)/1000000</f>
        <v>1748.8735157280003</v>
      </c>
      <c r="X150" s="302">
        <f>X38*(BOM_average!W37)/1000000</f>
        <v>1758.598445328</v>
      </c>
      <c r="Y150" s="302">
        <f>Y38*(BOM_average!X37)/1000000</f>
        <v>1787.020560528</v>
      </c>
      <c r="Z150" s="302">
        <f>Z38*(BOM_average!Y37)/1000000</f>
        <v>1822.8794885280001</v>
      </c>
      <c r="AA150" s="302">
        <f>AA38*(BOM_average!Z37)/1000000</f>
        <v>1857.8881589280002</v>
      </c>
      <c r="AB150" s="302">
        <f>AB38*(BOM_average!AA37)/1000000</f>
        <v>1887.4688789280003</v>
      </c>
    </row>
    <row r="152" spans="2:28">
      <c r="B152" s="291" t="s">
        <v>7795</v>
      </c>
    </row>
    <row r="153" spans="2:28">
      <c r="B153" s="294" t="s">
        <v>437</v>
      </c>
      <c r="C153" s="299">
        <f>C$5*(BOM_average!B$35*BOM_average!B24)/1000000</f>
        <v>225.57612377849412</v>
      </c>
      <c r="D153" s="299">
        <f>D5*(BOM_average!C35*BOM_average!C24)/1000000</f>
        <v>412.39517167317712</v>
      </c>
      <c r="E153" s="299">
        <f>E5*(BOM_average!D35*BOM_average!D24)/1000000</f>
        <v>561.96265729977222</v>
      </c>
      <c r="F153" s="299">
        <f>F5*(BOM_average!E35*BOM_average!E24)/1000000</f>
        <v>676.3250279109252</v>
      </c>
      <c r="G153" s="299">
        <f>G5*(BOM_average!F35*BOM_average!F24)/1000000</f>
        <v>720.21383900061642</v>
      </c>
      <c r="H153" s="299">
        <f>H5*(BOM_average!G35*BOM_average!G24)/1000000</f>
        <v>789.7758217203417</v>
      </c>
      <c r="I153" s="299">
        <f>I5*(BOM_average!H35*BOM_average!H24)/1000000</f>
        <v>889.9320568295268</v>
      </c>
      <c r="J153" s="299">
        <f>J5*(BOM_average!I35*BOM_average!I24)/1000000</f>
        <v>959.62201632961637</v>
      </c>
      <c r="K153" s="299">
        <f>K5*(BOM_average!J35*BOM_average!J24)/1000000</f>
        <v>1020.641395356605</v>
      </c>
      <c r="L153" s="299">
        <f>L5*(BOM_average!K35*BOM_average!K24)/1000000</f>
        <v>1064.7130856286851</v>
      </c>
      <c r="M153" s="299">
        <f>M5*(BOM_average!L35*BOM_average!L24)/1000000</f>
        <v>1051.3316422965966</v>
      </c>
      <c r="N153" s="299">
        <f>N5*(BOM_average!M35*BOM_average!M24)/1000000</f>
        <v>1051.8703119350255</v>
      </c>
      <c r="O153" s="299">
        <f>O5*(BOM_average!N35*BOM_average!N24)/1000000</f>
        <v>1052.5974692871641</v>
      </c>
      <c r="P153" s="299">
        <f>P5*(BOM_average!O35*BOM_average!O24)/1000000</f>
        <v>1069.235390221842</v>
      </c>
      <c r="Q153" s="299">
        <f>Q5*(BOM_average!P35*BOM_average!P24)/1000000</f>
        <v>1082.2780763820419</v>
      </c>
      <c r="R153" s="299">
        <f>R5*(BOM_average!Q35*BOM_average!Q24)/1000000</f>
        <v>1092.3997922329643</v>
      </c>
      <c r="S153" s="299">
        <f>S5*(BOM_average!R35*BOM_average!R24)/1000000</f>
        <v>1099.6804370981754</v>
      </c>
      <c r="T153" s="299">
        <f>T5*(BOM_average!S35*BOM_average!S24)/1000000</f>
        <v>1104.5776635181239</v>
      </c>
      <c r="U153" s="299">
        <f>U5*(BOM_average!T35*BOM_average!T24)/1000000</f>
        <v>1108.4021887957817</v>
      </c>
      <c r="V153" s="299">
        <f>V5*(BOM_average!U35*BOM_average!U24)/1000000</f>
        <v>1113.207836655926</v>
      </c>
      <c r="W153" s="299">
        <f>W5*(BOM_average!V35*BOM_average!V24)/1000000</f>
        <v>1120.9366171525139</v>
      </c>
      <c r="X153" s="299">
        <f>X5*(BOM_average!W35*BOM_average!W24)/1000000</f>
        <v>1132.6897020688605</v>
      </c>
      <c r="Y153" s="299">
        <f>Y5*(BOM_average!X35*BOM_average!X24)/1000000</f>
        <v>1148.4791310290641</v>
      </c>
      <c r="Z153" s="299">
        <f>Z5*(BOM_average!Y35*BOM_average!Y24)/1000000</f>
        <v>1167.3968467525444</v>
      </c>
      <c r="AA153" s="299">
        <f>AA5*(BOM_average!Z35*BOM_average!Z24)/1000000</f>
        <v>1188.0060095326571</v>
      </c>
      <c r="AB153" s="299">
        <f>AB5*(BOM_average!AA35*BOM_average!AA24)/1000000</f>
        <v>1208.760875790226</v>
      </c>
    </row>
    <row r="154" spans="2:28">
      <c r="B154" s="294" t="s">
        <v>217</v>
      </c>
      <c r="C154" s="299">
        <f>C5*(BOM_average!B35*BOM_average!B25)/1000000</f>
        <v>27.187613839806104</v>
      </c>
      <c r="D154" s="299">
        <f>D5*(BOM_average!C35*BOM_average!C25)/1000000</f>
        <v>49.704022256631283</v>
      </c>
      <c r="E154" s="299">
        <f>E5*(BOM_average!D35*BOM_average!D25)/1000000</f>
        <v>67.730677622868669</v>
      </c>
      <c r="F154" s="299">
        <f>F5*(BOM_average!E35*BOM_average!E25)/1000000</f>
        <v>81.514228461050251</v>
      </c>
      <c r="G154" s="299">
        <f>G5*(BOM_average!F35*BOM_average!F25)/1000000</f>
        <v>86.803937441804024</v>
      </c>
      <c r="H154" s="299">
        <f>H5*(BOM_average!G35*BOM_average!G25)/1000000</f>
        <v>95.187911296999161</v>
      </c>
      <c r="I154" s="299">
        <f>I5*(BOM_average!H35*BOM_average!H25)/1000000</f>
        <v>107.25926440913628</v>
      </c>
      <c r="J154" s="299">
        <f>J5*(BOM_average!I35*BOM_average!I25)/1000000</f>
        <v>115.65866269501463</v>
      </c>
      <c r="K154" s="299">
        <f>K5*(BOM_average!J35*BOM_average!J25)/1000000</f>
        <v>123.01303728901894</v>
      </c>
      <c r="L154" s="299">
        <f>L5*(BOM_average!K35*BOM_average!K25)/1000000</f>
        <v>128.32478782499959</v>
      </c>
      <c r="M154" s="299">
        <f>M5*(BOM_average!L35*BOM_average!L25)/1000000</f>
        <v>126.71198631108886</v>
      </c>
      <c r="N154" s="299">
        <f>N5*(BOM_average!M35*BOM_average!M25)/1000000</f>
        <v>126.77690959229221</v>
      </c>
      <c r="O154" s="299">
        <f>O5*(BOM_average!N35*BOM_average!N25)/1000000</f>
        <v>126.86455039824087</v>
      </c>
      <c r="P154" s="299">
        <f>P5*(BOM_average!O35*BOM_average!O25)/1000000</f>
        <v>128.86983961898051</v>
      </c>
      <c r="Q154" s="299">
        <f>Q5*(BOM_average!P35*BOM_average!P25)/1000000</f>
        <v>130.44181234737752</v>
      </c>
      <c r="R154" s="299">
        <f>R5*(BOM_average!Q35*BOM_average!Q25)/1000000</f>
        <v>131.66173446210158</v>
      </c>
      <c r="S154" s="299">
        <f>S5*(BOM_average!R35*BOM_average!R25)/1000000</f>
        <v>132.5392358473745</v>
      </c>
      <c r="T154" s="299">
        <f>T5*(BOM_average!S35*BOM_average!S25)/1000000</f>
        <v>133.12947518016134</v>
      </c>
      <c r="U154" s="299">
        <f>U5*(BOM_average!T35*BOM_average!T25)/1000000</f>
        <v>133.59042696276953</v>
      </c>
      <c r="V154" s="299">
        <f>V5*(BOM_average!U35*BOM_average!U25)/1000000</f>
        <v>134.16962876871946</v>
      </c>
      <c r="W154" s="299">
        <f>W5*(BOM_average!V35*BOM_average!V25)/1000000</f>
        <v>135.10114180331794</v>
      </c>
      <c r="X154" s="299">
        <f>X5*(BOM_average!W35*BOM_average!W25)/1000000</f>
        <v>136.51768504725561</v>
      </c>
      <c r="Y154" s="299">
        <f>Y5*(BOM_average!X35*BOM_average!X25)/1000000</f>
        <v>138.4207095789769</v>
      </c>
      <c r="Z154" s="299">
        <f>Z5*(BOM_average!Y35*BOM_average!Y25)/1000000</f>
        <v>140.7007715873402</v>
      </c>
      <c r="AA154" s="299">
        <f>AA5*(BOM_average!Z35*BOM_average!Z25)/1000000</f>
        <v>143.18469563852929</v>
      </c>
      <c r="AB154" s="299">
        <f>AB5*(BOM_average!AA35*BOM_average!AA25)/1000000</f>
        <v>145.68618063461736</v>
      </c>
    </row>
    <row r="155" spans="2:28">
      <c r="B155" s="294" t="s">
        <v>313</v>
      </c>
      <c r="C155" s="299">
        <f>C5*(BOM_average!B35*BOM_average!B26)/1000000</f>
        <v>143.90041231483798</v>
      </c>
      <c r="D155" s="299">
        <f>D5*(BOM_average!C35*BOM_average!C26)/1000000</f>
        <v>263.07675762126149</v>
      </c>
      <c r="E155" s="299">
        <f>E5*(BOM_average!D35*BOM_average!D26)/1000000</f>
        <v>358.4894391145171</v>
      </c>
      <c r="F155" s="299">
        <f>F5*(BOM_average!E35*BOM_average!E26)/1000000</f>
        <v>431.44393451318371</v>
      </c>
      <c r="G155" s="299">
        <f>G5*(BOM_average!F35*BOM_average!F26)/1000000</f>
        <v>459.44165832377757</v>
      </c>
      <c r="H155" s="299">
        <f>H5*(BOM_average!G35*BOM_average!G26)/1000000</f>
        <v>503.81691323610806</v>
      </c>
      <c r="I155" s="299">
        <f>I5*(BOM_average!H35*BOM_average!H26)/1000000</f>
        <v>567.70897453540613</v>
      </c>
      <c r="J155" s="299">
        <f>J5*(BOM_average!I35*BOM_average!I26)/1000000</f>
        <v>612.16586890120675</v>
      </c>
      <c r="K155" s="299">
        <f>K5*(BOM_average!J35*BOM_average!J26)/1000000</f>
        <v>651.09159230711703</v>
      </c>
      <c r="L155" s="299">
        <f>L5*(BOM_average!K35*BOM_average!K26)/1000000</f>
        <v>679.20597912844403</v>
      </c>
      <c r="M155" s="299">
        <f>M5*(BOM_average!L35*BOM_average!L26)/1000000</f>
        <v>670.66963591711192</v>
      </c>
      <c r="N155" s="299">
        <f>N5*(BOM_average!M35*BOM_average!M26)/1000000</f>
        <v>671.01326618157873</v>
      </c>
      <c r="O155" s="299">
        <f>O5*(BOM_average!N35*BOM_average!N26)/1000000</f>
        <v>671.47713727324299</v>
      </c>
      <c r="P155" s="299">
        <f>P5*(BOM_average!O35*BOM_average!O26)/1000000</f>
        <v>682.09086554580085</v>
      </c>
      <c r="Q155" s="299">
        <f>Q5*(BOM_average!P35*BOM_average!P26)/1000000</f>
        <v>690.41110744333776</v>
      </c>
      <c r="R155" s="299">
        <f>R5*(BOM_average!Q35*BOM_average!Q26)/1000000</f>
        <v>696.86799241805954</v>
      </c>
      <c r="S155" s="299">
        <f>S5*(BOM_average!R35*BOM_average!R26)/1000000</f>
        <v>701.51249016220277</v>
      </c>
      <c r="T155" s="299">
        <f>T5*(BOM_average!S35*BOM_average!S26)/1000000</f>
        <v>704.6365481929264</v>
      </c>
      <c r="U155" s="299">
        <f>U5*(BOM_average!T35*BOM_average!T26)/1000000</f>
        <v>707.07630447184863</v>
      </c>
      <c r="V155" s="299">
        <f>V5*(BOM_average!U35*BOM_average!U26)/1000000</f>
        <v>710.14194234580066</v>
      </c>
      <c r="W155" s="299">
        <f>W5*(BOM_average!V35*BOM_average!V26)/1000000</f>
        <v>715.07231654285897</v>
      </c>
      <c r="X155" s="299">
        <f>X5*(BOM_average!W35*BOM_average!W26)/1000000</f>
        <v>722.56989091865728</v>
      </c>
      <c r="Y155" s="299">
        <f>Y5*(BOM_average!X35*BOM_average!X26)/1000000</f>
        <v>732.64234583777932</v>
      </c>
      <c r="Z155" s="299">
        <f>Z5*(BOM_average!Y35*BOM_average!Y26)/1000000</f>
        <v>744.71040981132649</v>
      </c>
      <c r="AA155" s="299">
        <f>AA5*(BOM_average!Z35*BOM_average!Z26)/1000000</f>
        <v>757.85748837551887</v>
      </c>
      <c r="AB155" s="299">
        <f>AB5*(BOM_average!AA35*BOM_average!AA26)/1000000</f>
        <v>771.09751467784258</v>
      </c>
    </row>
    <row r="156" spans="2:28">
      <c r="B156" s="294" t="s">
        <v>6911</v>
      </c>
      <c r="C156" s="299">
        <f>C5*(BOM_average!B35*BOM_average!B27)/1000000</f>
        <v>542.82137516865805</v>
      </c>
      <c r="D156" s="299">
        <f>D5*(BOM_average!C35*BOM_average!C27)/1000000</f>
        <v>992.37858356129266</v>
      </c>
      <c r="E156" s="299">
        <f>E5*(BOM_average!D35*BOM_average!D27)/1000000</f>
        <v>1352.2944597116887</v>
      </c>
      <c r="F156" s="299">
        <f>F5*(BOM_average!E35*BOM_average!E27)/1000000</f>
        <v>1627.4935288456716</v>
      </c>
      <c r="G156" s="299">
        <f>G5*(BOM_average!F35*BOM_average!F27)/1000000</f>
        <v>1733.1065892669844</v>
      </c>
      <c r="H156" s="299">
        <f>H5*(BOM_average!G35*BOM_average!G27)/1000000</f>
        <v>1900.4989998062226</v>
      </c>
      <c r="I156" s="299">
        <f>I5*(BOM_average!H35*BOM_average!H27)/1000000</f>
        <v>2141.5127399264725</v>
      </c>
      <c r="J156" s="299">
        <f>J5*(BOM_average!I35*BOM_average!I27)/1000000</f>
        <v>2309.2131109481566</v>
      </c>
      <c r="K156" s="299">
        <f>K5*(BOM_average!J35*BOM_average!J27)/1000000</f>
        <v>2456.0487896563004</v>
      </c>
      <c r="L156" s="299">
        <f>L5*(BOM_average!K35*BOM_average!K27)/1000000</f>
        <v>2562.1019264811407</v>
      </c>
      <c r="M156" s="299">
        <f>M5*(BOM_average!L35*BOM_average!L27)/1000000</f>
        <v>2529.9011183920788</v>
      </c>
      <c r="N156" s="299">
        <f>N5*(BOM_average!M35*BOM_average!M27)/1000000</f>
        <v>2531.1973610484192</v>
      </c>
      <c r="O156" s="299">
        <f>O5*(BOM_average!N35*BOM_average!N27)/1000000</f>
        <v>2532.9471763535157</v>
      </c>
      <c r="P156" s="299">
        <f>P5*(BOM_average!O35*BOM_average!O27)/1000000</f>
        <v>2572.98429983285</v>
      </c>
      <c r="Q156" s="299">
        <f>Q5*(BOM_average!P35*BOM_average!P27)/1000000</f>
        <v>2604.3699301858442</v>
      </c>
      <c r="R156" s="299">
        <f>R5*(BOM_average!Q35*BOM_average!Q27)/1000000</f>
        <v>2628.7266024489913</v>
      </c>
      <c r="S156" s="299">
        <f>S5*(BOM_average!R35*BOM_average!R27)/1000000</f>
        <v>2646.2465845802972</v>
      </c>
      <c r="T156" s="299">
        <f>T5*(BOM_average!S35*BOM_average!S27)/1000000</f>
        <v>2658.0311614905695</v>
      </c>
      <c r="U156" s="299">
        <f>U5*(BOM_average!T35*BOM_average!T27)/1000000</f>
        <v>2667.2344141921908</v>
      </c>
      <c r="V156" s="299">
        <f>V5*(BOM_average!U35*BOM_average!U27)/1000000</f>
        <v>2678.7986184897218</v>
      </c>
      <c r="W156" s="299">
        <f>W5*(BOM_average!V35*BOM_average!V27)/1000000</f>
        <v>2697.396984253176</v>
      </c>
      <c r="X156" s="299">
        <f>X5*(BOM_average!W35*BOM_average!W27)/1000000</f>
        <v>2725.6793468095516</v>
      </c>
      <c r="Y156" s="299">
        <f>Y5*(BOM_average!X35*BOM_average!X27)/1000000</f>
        <v>2763.6746780429312</v>
      </c>
      <c r="Z156" s="299">
        <f>Z5*(BOM_average!Y35*BOM_average!Y27)/1000000</f>
        <v>2809.1978490774368</v>
      </c>
      <c r="AA156" s="299">
        <f>AA5*(BOM_average!Z35*BOM_average!Z27)/1000000</f>
        <v>2858.7912807491361</v>
      </c>
      <c r="AB156" s="299">
        <f>AB5*(BOM_average!AA35*BOM_average!AA27)/1000000</f>
        <v>2908.735330033528</v>
      </c>
    </row>
    <row r="157" spans="2:28">
      <c r="B157" s="294" t="s">
        <v>441</v>
      </c>
      <c r="C157" s="299">
        <f>C5*(BOM_average!B35*BOM_average!B28)/1000000</f>
        <v>518.95793600551895</v>
      </c>
      <c r="D157" s="299">
        <f>D5*(BOM_average!C35*BOM_average!C28)/1000000</f>
        <v>948.75177179792183</v>
      </c>
      <c r="E157" s="299">
        <f>E5*(BOM_average!D35*BOM_average!D28)/1000000</f>
        <v>1292.8450753539828</v>
      </c>
      <c r="F157" s="299">
        <f>F5*(BOM_average!E35*BOM_average!E28)/1000000</f>
        <v>1555.9458805940819</v>
      </c>
      <c r="G157" s="299">
        <f>G5*(BOM_average!F35*BOM_average!F28)/1000000</f>
        <v>1656.9159940765167</v>
      </c>
      <c r="H157" s="299">
        <f>H5*(BOM_average!G35*BOM_average!G28)/1000000</f>
        <v>1816.9495223240742</v>
      </c>
      <c r="I157" s="299">
        <f>I5*(BOM_average!H35*BOM_average!H28)/1000000</f>
        <v>2047.3678493159205</v>
      </c>
      <c r="J157" s="299">
        <f>J5*(BOM_average!I35*BOM_average!I28)/1000000</f>
        <v>2207.6957995292519</v>
      </c>
      <c r="K157" s="299">
        <f>K5*(BOM_average!J35*BOM_average!J28)/1000000</f>
        <v>2348.0763081830828</v>
      </c>
      <c r="L157" s="299">
        <f>L5*(BOM_average!K35*BOM_average!K28)/1000000</f>
        <v>2449.467151490293</v>
      </c>
      <c r="M157" s="299">
        <f>M5*(BOM_average!L35*BOM_average!L28)/1000000</f>
        <v>2418.6819509288425</v>
      </c>
      <c r="N157" s="299">
        <f>N5*(BOM_average!M35*BOM_average!M28)/1000000</f>
        <v>2419.9212083425505</v>
      </c>
      <c r="O157" s="299">
        <f>O5*(BOM_average!N35*BOM_average!N28)/1000000</f>
        <v>2421.5940985061725</v>
      </c>
      <c r="P157" s="299">
        <f>P5*(BOM_average!O35*BOM_average!O28)/1000000</f>
        <v>2459.871115430898</v>
      </c>
      <c r="Q157" s="299">
        <f>Q5*(BOM_average!P35*BOM_average!P28)/1000000</f>
        <v>2489.8769749885864</v>
      </c>
      <c r="R157" s="299">
        <f>R5*(BOM_average!Q35*BOM_average!Q28)/1000000</f>
        <v>2513.1628825520429</v>
      </c>
      <c r="S157" s="299">
        <f>S5*(BOM_average!R35*BOM_average!R28)/1000000</f>
        <v>2529.9126536215613</v>
      </c>
      <c r="T157" s="299">
        <f>T5*(BOM_average!S35*BOM_average!S28)/1000000</f>
        <v>2541.1791585711003</v>
      </c>
      <c r="U157" s="299">
        <f>U5*(BOM_average!T35*BOM_average!T28)/1000000</f>
        <v>2549.9778191343225</v>
      </c>
      <c r="V157" s="299">
        <f>V5*(BOM_average!U35*BOM_average!U28)/1000000</f>
        <v>2561.0336394618257</v>
      </c>
      <c r="W157" s="299">
        <f>W5*(BOM_average!V35*BOM_average!V28)/1000000</f>
        <v>2578.8143864095287</v>
      </c>
      <c r="X157" s="299">
        <f>X5*(BOM_average!W35*BOM_average!W28)/1000000</f>
        <v>2605.8534036056662</v>
      </c>
      <c r="Y157" s="299">
        <f>Y5*(BOM_average!X35*BOM_average!X28)/1000000</f>
        <v>2642.1783892763096</v>
      </c>
      <c r="Z157" s="299">
        <f>Z5*(BOM_average!Y35*BOM_average!Y28)/1000000</f>
        <v>2685.7002768828047</v>
      </c>
      <c r="AA157" s="299">
        <f>AA5*(BOM_average!Z35*BOM_average!Z28)/1000000</f>
        <v>2733.1134888842284</v>
      </c>
      <c r="AB157" s="299">
        <f>AB5*(BOM_average!AA35*BOM_average!AA28)/1000000</f>
        <v>2780.8619046947379</v>
      </c>
    </row>
    <row r="158" spans="2:28">
      <c r="B158" s="294" t="s">
        <v>6912</v>
      </c>
      <c r="C158" s="299">
        <f>C5*(BOM_average!B35*BOM_average!B29)/1000000</f>
        <v>319.71199608722554</v>
      </c>
      <c r="D158" s="299">
        <f>D5*(BOM_average!C35*BOM_average!C29)/1000000</f>
        <v>584.4930806676781</v>
      </c>
      <c r="E158" s="299">
        <f>E5*(BOM_average!D35*BOM_average!D29)/1000000</f>
        <v>796.47703791654851</v>
      </c>
      <c r="F158" s="299">
        <f>F5*(BOM_average!E35*BOM_average!E29)/1000000</f>
        <v>958.56432434080682</v>
      </c>
      <c r="G158" s="299">
        <f>G5*(BOM_average!F35*BOM_average!F29)/1000000</f>
        <v>1020.7685113990034</v>
      </c>
      <c r="H158" s="299">
        <f>H5*(BOM_average!G35*BOM_average!G29)/1000000</f>
        <v>1119.3596210190399</v>
      </c>
      <c r="I158" s="299">
        <f>I5*(BOM_average!H35*BOM_average!H29)/1000000</f>
        <v>1261.3123654450519</v>
      </c>
      <c r="J158" s="299">
        <f>J5*(BOM_average!I35*BOM_average!I29)/1000000</f>
        <v>1360.0848582328535</v>
      </c>
      <c r="K158" s="299">
        <f>K5*(BOM_average!J35*BOM_average!J29)/1000000</f>
        <v>1446.5684237004389</v>
      </c>
      <c r="L158" s="299">
        <f>L5*(BOM_average!K35*BOM_average!K29)/1000000</f>
        <v>1509.0318078202081</v>
      </c>
      <c r="M158" s="299">
        <f>M5*(BOM_average!L35*BOM_average!L29)/1000000</f>
        <v>1490.066112840756</v>
      </c>
      <c r="N158" s="299">
        <f>N5*(BOM_average!M35*BOM_average!M29)/1000000</f>
        <v>1490.8295763778049</v>
      </c>
      <c r="O158" s="299">
        <f>O5*(BOM_average!N35*BOM_average!N29)/1000000</f>
        <v>1491.8601860213591</v>
      </c>
      <c r="P158" s="299">
        <f>P5*(BOM_average!O35*BOM_average!O29)/1000000</f>
        <v>1515.4413293784933</v>
      </c>
      <c r="Q158" s="299">
        <f>Q5*(BOM_average!P35*BOM_average!P29)/1000000</f>
        <v>1533.9268993792944</v>
      </c>
      <c r="R158" s="299">
        <f>R5*(BOM_average!Q35*BOM_average!Q29)/1000000</f>
        <v>1548.272539885573</v>
      </c>
      <c r="S158" s="299">
        <f>S5*(BOM_average!R35*BOM_average!R29)/1000000</f>
        <v>1558.591493255587</v>
      </c>
      <c r="T158" s="299">
        <f>T5*(BOM_average!S35*BOM_average!S29)/1000000</f>
        <v>1565.532396431804</v>
      </c>
      <c r="U158" s="299">
        <f>U5*(BOM_average!T35*BOM_average!T29)/1000000</f>
        <v>1570.9529462228218</v>
      </c>
      <c r="V158" s="299">
        <f>V5*(BOM_average!U35*BOM_average!U29)/1000000</f>
        <v>1577.7640539062202</v>
      </c>
      <c r="W158" s="299">
        <f>W5*(BOM_average!V35*BOM_average!V29)/1000000</f>
        <v>1588.7181557787687</v>
      </c>
      <c r="X158" s="299">
        <f>X5*(BOM_average!W35*BOM_average!W29)/1000000</f>
        <v>1605.3759570382567</v>
      </c>
      <c r="Y158" s="299">
        <f>Y5*(BOM_average!X35*BOM_average!X29)/1000000</f>
        <v>1627.7545216016815</v>
      </c>
      <c r="Z158" s="299">
        <f>Z5*(BOM_average!Y35*BOM_average!Y29)/1000000</f>
        <v>1654.5668479864705</v>
      </c>
      <c r="AA158" s="299">
        <f>AA5*(BOM_average!Z35*BOM_average!Z29)/1000000</f>
        <v>1683.7764844486455</v>
      </c>
      <c r="AB158" s="299">
        <f>AB5*(BOM_average!AA35*BOM_average!AA29)/1000000</f>
        <v>1713.1926283586572</v>
      </c>
    </row>
    <row r="159" spans="2:28">
      <c r="B159" s="294" t="s">
        <v>443</v>
      </c>
      <c r="C159" s="299">
        <f>C5*(BOM_average!B35*BOM_average!B30)/1000000</f>
        <v>153.17252471606278</v>
      </c>
      <c r="D159" s="299">
        <f>D5*(BOM_average!C35*BOM_average!C30)/1000000</f>
        <v>280.02790618001086</v>
      </c>
      <c r="E159" s="299">
        <f>E5*(BOM_average!D35*BOM_average!D30)/1000000</f>
        <v>381.58843042838066</v>
      </c>
      <c r="F159" s="299">
        <f>F5*(BOM_average!E35*BOM_average!E30)/1000000</f>
        <v>459.24369263257319</v>
      </c>
      <c r="G159" s="299">
        <f>G5*(BOM_average!F35*BOM_average!F30)/1000000</f>
        <v>489.04542824531734</v>
      </c>
      <c r="H159" s="299">
        <f>H5*(BOM_average!G35*BOM_average!G30)/1000000</f>
        <v>536.27996858123595</v>
      </c>
      <c r="I159" s="299">
        <f>I5*(BOM_average!H35*BOM_average!H30)/1000000</f>
        <v>604.2888657143111</v>
      </c>
      <c r="J159" s="299">
        <f>J5*(BOM_average!I35*BOM_average!I30)/1000000</f>
        <v>651.61030587909954</v>
      </c>
      <c r="K159" s="299">
        <f>K5*(BOM_average!J35*BOM_average!J30)/1000000</f>
        <v>693.0441783369314</v>
      </c>
      <c r="L159" s="299">
        <f>L5*(BOM_average!K35*BOM_average!K30)/1000000</f>
        <v>722.97009405178608</v>
      </c>
      <c r="M159" s="299">
        <f>M5*(BOM_average!L35*BOM_average!L30)/1000000</f>
        <v>713.88371813048684</v>
      </c>
      <c r="N159" s="299">
        <f>N5*(BOM_average!M35*BOM_average!M30)/1000000</f>
        <v>714.24948994677663</v>
      </c>
      <c r="O159" s="299">
        <f>O5*(BOM_average!N35*BOM_average!N30)/1000000</f>
        <v>714.74325021549316</v>
      </c>
      <c r="P159" s="299">
        <f>P5*(BOM_average!O35*BOM_average!O30)/1000000</f>
        <v>726.04086590682994</v>
      </c>
      <c r="Q159" s="299">
        <f>Q5*(BOM_average!P35*BOM_average!P30)/1000000</f>
        <v>734.89721619237173</v>
      </c>
      <c r="R159" s="299">
        <f>R5*(BOM_average!Q35*BOM_average!Q30)/1000000</f>
        <v>741.77014558478709</v>
      </c>
      <c r="S159" s="299">
        <f>S5*(BOM_average!R35*BOM_average!R30)/1000000</f>
        <v>746.71390796923379</v>
      </c>
      <c r="T159" s="299">
        <f>T5*(BOM_average!S35*BOM_average!S30)/1000000</f>
        <v>750.03926227661748</v>
      </c>
      <c r="U159" s="299">
        <f>U5*(BOM_average!T35*BOM_average!T30)/1000000</f>
        <v>752.63622237508321</v>
      </c>
      <c r="V159" s="299">
        <f>V5*(BOM_average!U35*BOM_average!U30)/1000000</f>
        <v>755.89939226782155</v>
      </c>
      <c r="W159" s="299">
        <f>W5*(BOM_average!V35*BOM_average!V30)/1000000</f>
        <v>761.14745133457438</v>
      </c>
      <c r="X159" s="299">
        <f>X5*(BOM_average!W35*BOM_average!W30)/1000000</f>
        <v>769.12812614928487</v>
      </c>
      <c r="Y159" s="299">
        <f>Y5*(BOM_average!X35*BOM_average!X30)/1000000</f>
        <v>779.84959195492206</v>
      </c>
      <c r="Z159" s="299">
        <f>Z5*(BOM_average!Y35*BOM_average!Y30)/1000000</f>
        <v>792.69525234968808</v>
      </c>
      <c r="AA159" s="299">
        <f>AA5*(BOM_average!Z35*BOM_average!Z30)/1000000</f>
        <v>806.68945281043352</v>
      </c>
      <c r="AB159" s="299">
        <f>AB5*(BOM_average!AA35*BOM_average!AA30)/1000000</f>
        <v>820.78259002533559</v>
      </c>
    </row>
    <row r="160" spans="2:28">
      <c r="B160" s="294" t="s">
        <v>445</v>
      </c>
      <c r="C160" s="299">
        <f>C5*(BOM_average!B35*BOM_average!B31)/1000000</f>
        <v>199.29388847133947</v>
      </c>
      <c r="D160" s="299">
        <f>D5*(BOM_average!C35*BOM_average!C31)/1000000</f>
        <v>364.34635001644904</v>
      </c>
      <c r="E160" s="299">
        <f>E5*(BOM_average!D35*BOM_average!D31)/1000000</f>
        <v>496.48748844950131</v>
      </c>
      <c r="F160" s="299">
        <f>F5*(BOM_average!E35*BOM_average!E31)/1000000</f>
        <v>597.52531617757052</v>
      </c>
      <c r="G160" s="299">
        <f>G5*(BOM_average!F35*BOM_average!F31)/1000000</f>
        <v>636.30057162542789</v>
      </c>
      <c r="H160" s="299">
        <f>H5*(BOM_average!G35*BOM_average!G31)/1000000</f>
        <v>697.75777637642045</v>
      </c>
      <c r="I160" s="299">
        <f>I5*(BOM_average!H35*BOM_average!H31)/1000000</f>
        <v>786.24464819251546</v>
      </c>
      <c r="J160" s="299">
        <f>J5*(BOM_average!I35*BOM_average!I31)/1000000</f>
        <v>847.81491894431372</v>
      </c>
      <c r="K160" s="299">
        <f>K5*(BOM_average!J35*BOM_average!J31)/1000000</f>
        <v>901.72483243469901</v>
      </c>
      <c r="L160" s="299">
        <f>L5*(BOM_average!K35*BOM_average!K31)/1000000</f>
        <v>940.66165951863309</v>
      </c>
      <c r="M160" s="299">
        <f>M5*(BOM_average!L35*BOM_average!L31)/1000000</f>
        <v>928.8393095715727</v>
      </c>
      <c r="N160" s="299">
        <f>N5*(BOM_average!M35*BOM_average!M31)/1000000</f>
        <v>929.31521794806986</v>
      </c>
      <c r="O160" s="299">
        <f>O5*(BOM_average!N35*BOM_average!N31)/1000000</f>
        <v>929.95765303300163</v>
      </c>
      <c r="P160" s="299">
        <f>P5*(BOM_average!O35*BOM_average!O31)/1000000</f>
        <v>944.65706316386581</v>
      </c>
      <c r="Q160" s="299">
        <f>Q5*(BOM_average!P35*BOM_average!P31)/1000000</f>
        <v>956.18012507945218</v>
      </c>
      <c r="R160" s="299">
        <f>R5*(BOM_average!Q35*BOM_average!Q31)/1000000</f>
        <v>965.12254361268799</v>
      </c>
      <c r="S160" s="299">
        <f>S5*(BOM_average!R35*BOM_average!R31)/1000000</f>
        <v>971.55490888903955</v>
      </c>
      <c r="T160" s="299">
        <f>T5*(BOM_average!S35*BOM_average!S31)/1000000</f>
        <v>975.88155161881036</v>
      </c>
      <c r="U160" s="299">
        <f>U5*(BOM_average!T35*BOM_average!T31)/1000000</f>
        <v>979.26047533367068</v>
      </c>
      <c r="V160" s="299">
        <f>V5*(BOM_average!U35*BOM_average!U31)/1000000</f>
        <v>983.50620946824847</v>
      </c>
      <c r="W160" s="299">
        <f>W5*(BOM_average!V35*BOM_average!V31)/1000000</f>
        <v>990.33449737614342</v>
      </c>
      <c r="X160" s="299">
        <f>X5*(BOM_average!W35*BOM_average!W31)/1000000</f>
        <v>1000.7182115533254</v>
      </c>
      <c r="Y160" s="299">
        <f>Y5*(BOM_average!X35*BOM_average!X31)/1000000</f>
        <v>1014.6679888680156</v>
      </c>
      <c r="Z160" s="299">
        <f>Z5*(BOM_average!Y35*BOM_average!Y31)/1000000</f>
        <v>1031.381571247106</v>
      </c>
      <c r="AA160" s="299">
        <f>AA5*(BOM_average!Z35*BOM_average!Z31)/1000000</f>
        <v>1049.5895274784164</v>
      </c>
      <c r="AB160" s="299">
        <f>AB5*(BOM_average!AA35*BOM_average!AA31)/1000000</f>
        <v>1067.9262110417671</v>
      </c>
    </row>
    <row r="161" spans="2:28">
      <c r="B161" s="294" t="s">
        <v>6915</v>
      </c>
      <c r="C161" s="299">
        <f>C5*(BOM_average!B35*BOM_average!B32)/1000000</f>
        <v>58.973834696251373</v>
      </c>
      <c r="D161" s="299">
        <f>D5*(BOM_average!C35*BOM_average!C32)/1000000</f>
        <v>107.81515470878398</v>
      </c>
      <c r="E161" s="299">
        <f>E5*(BOM_average!D35*BOM_average!D32)/1000000</f>
        <v>146.91755626409304</v>
      </c>
      <c r="F161" s="299">
        <f>F5*(BOM_average!E35*BOM_average!E32)/1000000</f>
        <v>176.81605539122697</v>
      </c>
      <c r="G161" s="299">
        <f>G5*(BOM_average!F35*BOM_average!F32)/1000000</f>
        <v>188.29019302097029</v>
      </c>
      <c r="H161" s="299">
        <f>H5*(BOM_average!G35*BOM_average!G32)/1000000</f>
        <v>206.47623506008648</v>
      </c>
      <c r="I161" s="299">
        <f>I5*(BOM_average!H35*BOM_average!H32)/1000000</f>
        <v>232.6607316911572</v>
      </c>
      <c r="J161" s="299">
        <f>J5*(BOM_average!I35*BOM_average!I32)/1000000</f>
        <v>250.88023153318159</v>
      </c>
      <c r="K161" s="299">
        <f>K5*(BOM_average!J35*BOM_average!J32)/1000000</f>
        <v>266.83292507063749</v>
      </c>
      <c r="L161" s="299">
        <f>L5*(BOM_average!K35*BOM_average!K32)/1000000</f>
        <v>278.35487399570286</v>
      </c>
      <c r="M161" s="299">
        <f>M5*(BOM_average!L35*BOM_average!L32)/1000000</f>
        <v>274.85647614292856</v>
      </c>
      <c r="N161" s="299">
        <f>N5*(BOM_average!M35*BOM_average!M32)/1000000</f>
        <v>274.99730405361549</v>
      </c>
      <c r="O161" s="299">
        <f>O5*(BOM_average!N35*BOM_average!N32)/1000000</f>
        <v>275.18740953448327</v>
      </c>
      <c r="P161" s="299">
        <f>P5*(BOM_average!O35*BOM_average!O32)/1000000</f>
        <v>279.53716952882775</v>
      </c>
      <c r="Q161" s="299">
        <f>Q5*(BOM_average!P35*BOM_average!P32)/1000000</f>
        <v>282.94700388861139</v>
      </c>
      <c r="R161" s="299">
        <f>R5*(BOM_average!Q35*BOM_average!Q32)/1000000</f>
        <v>285.59318996290023</v>
      </c>
      <c r="S161" s="299">
        <f>S5*(BOM_average!R35*BOM_average!R32)/1000000</f>
        <v>287.49661635205422</v>
      </c>
      <c r="T161" s="299">
        <f>T5*(BOM_average!S35*BOM_average!S32)/1000000</f>
        <v>288.77693013935811</v>
      </c>
      <c r="U161" s="299">
        <f>U5*(BOM_average!T35*BOM_average!T32)/1000000</f>
        <v>289.77680068300538</v>
      </c>
      <c r="V161" s="299">
        <f>V5*(BOM_average!U35*BOM_average!U32)/1000000</f>
        <v>291.03317249117964</v>
      </c>
      <c r="W161" s="299">
        <f>W5*(BOM_average!V35*BOM_average!V32)/1000000</f>
        <v>293.05375789611804</v>
      </c>
      <c r="X161" s="299">
        <f>X5*(BOM_average!W35*BOM_average!W32)/1000000</f>
        <v>296.12644340652355</v>
      </c>
      <c r="Y161" s="299">
        <f>Y5*(BOM_average!X35*BOM_average!X32)/1000000</f>
        <v>300.25437661971068</v>
      </c>
      <c r="Z161" s="299">
        <f>Z5*(BOM_average!Y35*BOM_average!Y32)/1000000</f>
        <v>305.20015820873522</v>
      </c>
      <c r="AA161" s="299">
        <f>AA5*(BOM_average!Z35*BOM_average!Z32)/1000000</f>
        <v>310.58814581426736</v>
      </c>
      <c r="AB161" s="299">
        <f>AB5*(BOM_average!AA35*BOM_average!AA32)/1000000</f>
        <v>316.0142256285414</v>
      </c>
    </row>
    <row r="162" spans="2:28" ht="17" thickBot="1">
      <c r="B162" s="297" t="s">
        <v>447</v>
      </c>
      <c r="C162" s="300">
        <f>C5*(BOM_average!B35*BOM_average!B33)/1000000</f>
        <v>94.721145415139233</v>
      </c>
      <c r="D162" s="300">
        <f>D5*(BOM_average!C35*BOM_average!C33)/1000000</f>
        <v>173.16789725012748</v>
      </c>
      <c r="E162" s="300">
        <f>E5*(BOM_average!D35*BOM_average!D33)/1000000</f>
        <v>235.97243222531418</v>
      </c>
      <c r="F162" s="300">
        <f>F5*(BOM_average!E35*BOM_average!E33)/1000000</f>
        <v>283.99406924624344</v>
      </c>
      <c r="G162" s="300">
        <f>G5*(BOM_average!F35*BOM_average!F33)/1000000</f>
        <v>302.42331781958268</v>
      </c>
      <c r="H162" s="300">
        <f>H5*(BOM_average!G35*BOM_average!G33)/1000000</f>
        <v>331.632928172807</v>
      </c>
      <c r="I162" s="300">
        <f>I5*(BOM_average!H35*BOM_average!H33)/1000000</f>
        <v>373.68929988050479</v>
      </c>
      <c r="J162" s="300">
        <f>J5*(BOM_average!I35*BOM_average!I33)/1000000</f>
        <v>402.95264866588047</v>
      </c>
      <c r="K162" s="300">
        <f>K5*(BOM_average!J35*BOM_average!J33)/1000000</f>
        <v>428.57515417374361</v>
      </c>
      <c r="L162" s="300">
        <f>L5*(BOM_average!K35*BOM_average!K33)/1000000</f>
        <v>447.08119511915805</v>
      </c>
      <c r="M162" s="300">
        <f>M5*(BOM_average!L35*BOM_average!L33)/1000000</f>
        <v>441.46222437663459</v>
      </c>
      <c r="N162" s="300">
        <f>N5*(BOM_average!M35*BOM_average!M33)/1000000</f>
        <v>441.6884158914886</v>
      </c>
      <c r="O162" s="300">
        <f>O5*(BOM_average!N35*BOM_average!N33)/1000000</f>
        <v>441.99375484375838</v>
      </c>
      <c r="P162" s="300">
        <f>P5*(BOM_average!O35*BOM_average!O33)/1000000</f>
        <v>448.98014552137607</v>
      </c>
      <c r="Q162" s="300">
        <f>Q5*(BOM_average!P35*BOM_average!P33)/1000000</f>
        <v>454.456869527847</v>
      </c>
      <c r="R162" s="300">
        <f>R5*(BOM_average!Q35*BOM_average!Q33)/1000000</f>
        <v>458.70705568632252</v>
      </c>
      <c r="S162" s="300">
        <f>S5*(BOM_average!R35*BOM_average!R33)/1000000</f>
        <v>461.76425433590492</v>
      </c>
      <c r="T162" s="300">
        <f>T5*(BOM_average!S35*BOM_average!S33)/1000000</f>
        <v>463.82063729029198</v>
      </c>
      <c r="U162" s="300">
        <f>U5*(BOM_average!T35*BOM_average!T33)/1000000</f>
        <v>465.42658480326838</v>
      </c>
      <c r="V162" s="300">
        <f>V5*(BOM_average!U35*BOM_average!U33)/1000000</f>
        <v>467.44451321763211</v>
      </c>
      <c r="W162" s="300">
        <f>W5*(BOM_average!V35*BOM_average!V33)/1000000</f>
        <v>470.68988745776176</v>
      </c>
      <c r="X162" s="300">
        <f>X5*(BOM_average!W35*BOM_average!W33)/1000000</f>
        <v>475.62509800571371</v>
      </c>
      <c r="Y162" s="300">
        <f>Y5*(BOM_average!X35*BOM_average!X33)/1000000</f>
        <v>482.25520039203752</v>
      </c>
      <c r="Z162" s="300">
        <f>Z5*(BOM_average!Y35*BOM_average!Y33)/1000000</f>
        <v>490.19889439630902</v>
      </c>
      <c r="AA162" s="300">
        <f>AA5*(BOM_average!Z35*BOM_average!Z33)/1000000</f>
        <v>498.85283999959557</v>
      </c>
      <c r="AB162" s="300">
        <f>AB5*(BOM_average!AA35*BOM_average!AA33)/1000000</f>
        <v>507.56796761117477</v>
      </c>
    </row>
    <row r="163" spans="2:28">
      <c r="B163" s="296" t="s">
        <v>7756</v>
      </c>
      <c r="C163" s="301">
        <f>C5*(BOM_average!B35)/1000000</f>
        <v>2284.3168504933333</v>
      </c>
      <c r="D163" s="301">
        <f>D5*(BOM_average!C35)/1000000</f>
        <v>4176.1566957333334</v>
      </c>
      <c r="E163" s="301">
        <f>E5*(BOM_average!D35)/1000000</f>
        <v>5690.765254386667</v>
      </c>
      <c r="F163" s="301">
        <f>F5*(BOM_average!E35)/1000000</f>
        <v>6848.8660581133336</v>
      </c>
      <c r="G163" s="301">
        <f>G5*(BOM_average!F35)/1000000</f>
        <v>7293.3100402200007</v>
      </c>
      <c r="H163" s="301">
        <f>H5*(BOM_average!G35)/1000000</f>
        <v>7997.7356975933353</v>
      </c>
      <c r="I163" s="301">
        <f>I5*(BOM_average!H35)/1000000</f>
        <v>9011.9767959400033</v>
      </c>
      <c r="J163" s="301">
        <f>J5*(BOM_average!I35)/1000000</f>
        <v>9717.6984216585752</v>
      </c>
      <c r="K163" s="301">
        <f>K5*(BOM_average!J35)/1000000</f>
        <v>10335.616636508574</v>
      </c>
      <c r="L163" s="301">
        <f>L5*(BOM_average!K35)/1000000</f>
        <v>10781.912561059049</v>
      </c>
      <c r="M163" s="301">
        <f>M5*(BOM_average!L35)/1000000</f>
        <v>10646.404174908097</v>
      </c>
      <c r="N163" s="301">
        <f>N5*(BOM_average!M35)/1000000</f>
        <v>10651.859061317622</v>
      </c>
      <c r="O163" s="301">
        <f>O5*(BOM_average!N35)/1000000</f>
        <v>10659.222685466433</v>
      </c>
      <c r="P163" s="301">
        <f>P5*(BOM_average!O35)/1000000</f>
        <v>10827.708084149765</v>
      </c>
      <c r="Q163" s="301">
        <f>Q5*(BOM_average!P35)/1000000</f>
        <v>10959.786015414764</v>
      </c>
      <c r="R163" s="301">
        <f>R5*(BOM_average!Q35)/1000000</f>
        <v>11062.28447884643</v>
      </c>
      <c r="S163" s="301">
        <f>S5*(BOM_average!R35)/1000000</f>
        <v>11136.012582111429</v>
      </c>
      <c r="T163" s="301">
        <f>T5*(BOM_average!S35)/1000000</f>
        <v>11185.604784709763</v>
      </c>
      <c r="U163" s="301">
        <f>U5*(BOM_average!T35)/1000000</f>
        <v>11224.334182974762</v>
      </c>
      <c r="V163" s="301">
        <f>V5*(BOM_average!U35)/1000000</f>
        <v>11272.999007073095</v>
      </c>
      <c r="W163" s="301">
        <f>W5*(BOM_average!V35)/1000000</f>
        <v>11351.265196004762</v>
      </c>
      <c r="X163" s="301">
        <f>X5*(BOM_average!W35)/1000000</f>
        <v>11470.283864603096</v>
      </c>
      <c r="Y163" s="301">
        <f>Y5*(BOM_average!X35)/1000000</f>
        <v>11630.176933201428</v>
      </c>
      <c r="Z163" s="301">
        <f>Z5*(BOM_average!Y35)/1000000</f>
        <v>11821.748878299761</v>
      </c>
      <c r="AA163" s="301">
        <f>AA5*(BOM_average!Z35)/1000000</f>
        <v>12030.449413731429</v>
      </c>
      <c r="AB163" s="301">
        <f>AB5*(BOM_average!AA35)/1000000</f>
        <v>12240.625428496427</v>
      </c>
    </row>
    <row r="164" spans="2:28">
      <c r="B164" s="295" t="s">
        <v>7757</v>
      </c>
      <c r="C164" s="299">
        <f>C5*(BOM_average!B36)/1000000</f>
        <v>3038.6202445279996</v>
      </c>
      <c r="D164" s="299">
        <f>D5*(BOM_average!C36)/1000000</f>
        <v>5555.1638019199991</v>
      </c>
      <c r="E164" s="299">
        <f>E5*(BOM_average!D36)/1000000</f>
        <v>7569.9106737759994</v>
      </c>
      <c r="F164" s="299">
        <f>F5*(BOM_average!E36)/1000000</f>
        <v>9110.4275012239996</v>
      </c>
      <c r="G164" s="299">
        <f>G5*(BOM_average!F36)/1000000</f>
        <v>9701.6311607759999</v>
      </c>
      <c r="H164" s="299">
        <f>H5*(BOM_average!G36)/1000000</f>
        <v>10638.664945208</v>
      </c>
      <c r="I164" s="299">
        <f>I5*(BOM_average!H36)/1000000</f>
        <v>11987.818208952</v>
      </c>
      <c r="J164" s="299">
        <f>J5*(BOM_average!I36)/1000000</f>
        <v>12926.575902941146</v>
      </c>
      <c r="K164" s="299">
        <f>K5*(BOM_average!J36)/1000000</f>
        <v>13748.536655321144</v>
      </c>
      <c r="L164" s="299">
        <f>L5*(BOM_average!K36)/1000000</f>
        <v>14342.203786523429</v>
      </c>
      <c r="M164" s="299">
        <f>M5*(BOM_average!L36)/1000000</f>
        <v>14161.949227978857</v>
      </c>
      <c r="N164" s="299">
        <f>N5*(BOM_average!M36)/1000000</f>
        <v>14169.205370344571</v>
      </c>
      <c r="O164" s="299">
        <f>O5*(BOM_average!N36)/1000000</f>
        <v>14179.000534008857</v>
      </c>
      <c r="P164" s="299">
        <f>P5*(BOM_average!O36)/1000000</f>
        <v>14403.121431788857</v>
      </c>
      <c r="Q164" s="299">
        <f>Q5*(BOM_average!P36)/1000000</f>
        <v>14578.812766250856</v>
      </c>
      <c r="R164" s="299">
        <f>R5*(BOM_average!Q36)/1000000</f>
        <v>14715.157208112856</v>
      </c>
      <c r="S164" s="299">
        <f>S5*(BOM_average!R36)/1000000</f>
        <v>14813.231040174856</v>
      </c>
      <c r="T164" s="299">
        <f>T5*(BOM_average!S36)/1000000</f>
        <v>14879.199065036855</v>
      </c>
      <c r="U164" s="299">
        <f>U5*(BOM_average!T36)/1000000</f>
        <v>14930.717283098855</v>
      </c>
      <c r="V164" s="299">
        <f>V5*(BOM_average!U36)/1000000</f>
        <v>14995.451700160855</v>
      </c>
      <c r="W164" s="299">
        <f>W5*(BOM_average!V36)/1000000</f>
        <v>15099.562137422854</v>
      </c>
      <c r="X164" s="299">
        <f>X5*(BOM_average!W36)/1000000</f>
        <v>15257.881915084854</v>
      </c>
      <c r="Y164" s="299">
        <f>Y5*(BOM_average!X36)/1000000</f>
        <v>15470.573212746853</v>
      </c>
      <c r="Z164" s="299">
        <f>Z5*(BOM_average!Y36)/1000000</f>
        <v>15725.404056608852</v>
      </c>
      <c r="AA164" s="299">
        <f>AA5*(BOM_average!Z36)/1000000</f>
        <v>16003.019516070852</v>
      </c>
      <c r="AB164" s="299">
        <f>AB5*(BOM_average!AA36)/1000000</f>
        <v>16282.597672332851</v>
      </c>
    </row>
    <row r="165" spans="2:28">
      <c r="B165" s="295" t="s">
        <v>7758</v>
      </c>
      <c r="C165" s="299">
        <f>C5*(BOM_average!B37)/1000000</f>
        <v>1541.280124032</v>
      </c>
      <c r="D165" s="299">
        <f>D5*(BOM_average!C37)/1000000</f>
        <v>2817.7471564799998</v>
      </c>
      <c r="E165" s="299">
        <f>E5*(BOM_average!D37)/1000000</f>
        <v>3839.6877277439999</v>
      </c>
      <c r="F165" s="299">
        <f>F5*(BOM_average!E37)/1000000</f>
        <v>4621.0844722559996</v>
      </c>
      <c r="G165" s="299">
        <f>G5*(BOM_average!F37)/1000000</f>
        <v>4920.9608557439997</v>
      </c>
      <c r="H165" s="299">
        <f>H5*(BOM_average!G37)/1000000</f>
        <v>5396.2527419520002</v>
      </c>
      <c r="I165" s="299">
        <f>I5*(BOM_average!H37)/1000000</f>
        <v>6080.5840970880008</v>
      </c>
      <c r="J165" s="299">
        <f>J5*(BOM_average!I37)/1000000</f>
        <v>6556.7504023817155</v>
      </c>
      <c r="K165" s="299">
        <f>K5*(BOM_average!J37)/1000000</f>
        <v>6973.6737651017147</v>
      </c>
      <c r="L165" s="299">
        <f>L5*(BOM_average!K37)/1000000</f>
        <v>7274.7996959451439</v>
      </c>
      <c r="M165" s="299">
        <f>M5*(BOM_average!L37)/1000000</f>
        <v>7183.3691300982864</v>
      </c>
      <c r="N165" s="299">
        <f>N5*(BOM_average!M37)/1000000</f>
        <v>7187.0496650468576</v>
      </c>
      <c r="O165" s="299">
        <f>O5*(BOM_average!N37)/1000000</f>
        <v>7192.0180684182869</v>
      </c>
      <c r="P165" s="299">
        <f>P5*(BOM_average!O37)/1000000</f>
        <v>7305.6989687382866</v>
      </c>
      <c r="Q165" s="299">
        <f>Q5*(BOM_average!P37)/1000000</f>
        <v>7394.8149292662856</v>
      </c>
      <c r="R165" s="299">
        <f>R5*(BOM_average!Q37)/1000000</f>
        <v>7463.9729553942861</v>
      </c>
      <c r="S165" s="299">
        <f>S5*(BOM_average!R37)/1000000</f>
        <v>7513.7189703222857</v>
      </c>
      <c r="T165" s="299">
        <f>T5*(BOM_average!S37)/1000000</f>
        <v>7547.1799484502862</v>
      </c>
      <c r="U165" s="299">
        <f>U5*(BOM_average!T37)/1000000</f>
        <v>7573.3115473782855</v>
      </c>
      <c r="V165" s="299">
        <f>V5*(BOM_average!U37)/1000000</f>
        <v>7606.1468023062853</v>
      </c>
      <c r="W165" s="299">
        <f>W5*(BOM_average!V37)/1000000</f>
        <v>7658.9547660342841</v>
      </c>
      <c r="X165" s="299">
        <f>X5*(BOM_average!W37)/1000000</f>
        <v>7739.2593473622846</v>
      </c>
      <c r="Y165" s="299">
        <f>Y5*(BOM_average!X37)/1000000</f>
        <v>7847.1428086902852</v>
      </c>
      <c r="Z165" s="299">
        <f>Z5*(BOM_average!Y37)/1000000</f>
        <v>7976.4007228182836</v>
      </c>
      <c r="AA165" s="299">
        <f>AA5*(BOM_average!Z37)/1000000</f>
        <v>8117.2156833462841</v>
      </c>
      <c r="AB165" s="299">
        <f>AB5*(BOM_average!AA37)/1000000</f>
        <v>8259.0261830742838</v>
      </c>
    </row>
    <row r="167" spans="2:28">
      <c r="B167" s="291" t="s">
        <v>7796</v>
      </c>
    </row>
    <row r="168" spans="2:28">
      <c r="B168" s="294" t="s">
        <v>437</v>
      </c>
      <c r="C168" s="299">
        <f>C67*(BOM_average!B35*BOM_average!B24)/1000000</f>
        <v>0</v>
      </c>
      <c r="D168" s="299">
        <f>D67*(BOM_average!C35*BOM_average!C24)/1000000</f>
        <v>26.738136446240322</v>
      </c>
      <c r="E168" s="299">
        <f>E67*(BOM_average!D35*BOM_average!D24)/1000000</f>
        <v>68.651071167284655</v>
      </c>
      <c r="F168" s="299">
        <f>F67*(BOM_average!E35*BOM_average!E24)/1000000</f>
        <v>110.40568883573575</v>
      </c>
      <c r="G168" s="299">
        <f>G67*(BOM_average!F35*BOM_average!F24)/1000000</f>
        <v>146.42634876696329</v>
      </c>
      <c r="H168" s="299">
        <f>H67*(BOM_average!G35*BOM_average!G24)/1000000</f>
        <v>170.1625878075703</v>
      </c>
      <c r="I168" s="299">
        <f>I67*(BOM_average!H35*BOM_average!H24)/1000000</f>
        <v>189.04065165642206</v>
      </c>
      <c r="J168" s="299">
        <f>J67*(BOM_average!I35*BOM_average!I24)/1000000</f>
        <v>210.66088004467224</v>
      </c>
      <c r="K168" s="299">
        <f>K67*(BOM_average!J35*BOM_average!J24)/1000000</f>
        <v>231.02666502706995</v>
      </c>
      <c r="L168" s="299">
        <f>L67*(BOM_average!K35*BOM_average!K24)/1000000</f>
        <v>248.73951483492763</v>
      </c>
      <c r="M168" s="299">
        <f>M67*(BOM_average!L35*BOM_average!L24)/1000000</f>
        <v>263.14592614685881</v>
      </c>
      <c r="N168" s="299">
        <f>N67*(BOM_average!M35*BOM_average!M24)/1000000</f>
        <v>268.75225319047337</v>
      </c>
      <c r="O168" s="299">
        <f>O67*(BOM_average!N35*BOM_average!N24)/1000000</f>
        <v>270.20976848218316</v>
      </c>
      <c r="P168" s="299">
        <f>P67*(BOM_average!O35*BOM_average!O24)/1000000</f>
        <v>270.67956742831956</v>
      </c>
      <c r="Q168" s="299">
        <f>Q67*(BOM_average!P35*BOM_average!P24)/1000000</f>
        <v>272.68036074672602</v>
      </c>
      <c r="R168" s="299">
        <f>R67*(BOM_average!Q35*BOM_average!Q24)/1000000</f>
        <v>275.60133105600386</v>
      </c>
      <c r="S168" s="299">
        <f>S67*(BOM_average!R35*BOM_average!R24)/1000000</f>
        <v>278.44240204171507</v>
      </c>
      <c r="T168" s="299">
        <f>T67*(BOM_average!S35*BOM_average!S24)/1000000</f>
        <v>272.83554109015824</v>
      </c>
      <c r="U168" s="299">
        <f>U67*(BOM_average!T35*BOM_average!T24)/1000000</f>
        <v>262.89857994488551</v>
      </c>
      <c r="V168" s="299">
        <f>V67*(BOM_average!U35*BOM_average!U24)/1000000</f>
        <v>254.06799618536445</v>
      </c>
      <c r="W168" s="299">
        <f>W67*(BOM_average!V35*BOM_average!V24)/1000000</f>
        <v>248.22995309478776</v>
      </c>
      <c r="X168" s="299">
        <f>X67*(BOM_average!W35*BOM_average!W24)/1000000</f>
        <v>245.62895381533582</v>
      </c>
      <c r="Y168" s="299">
        <f>Y67*(BOM_average!X35*BOM_average!X24)/1000000</f>
        <v>245.75236663620058</v>
      </c>
      <c r="Z168" s="299">
        <f>Z67*(BOM_average!Y35*BOM_average!Y24)/1000000</f>
        <v>247.87226146883771</v>
      </c>
      <c r="AA168" s="299">
        <f>AA67*(BOM_average!Z35*BOM_average!Z24)/1000000</f>
        <v>251.30455541446497</v>
      </c>
      <c r="AB168" s="299">
        <f>AB67*(BOM_average!AA35*BOM_average!AA24)/1000000</f>
        <v>255.48817796420832</v>
      </c>
    </row>
    <row r="169" spans="2:28">
      <c r="B169" s="294" t="s">
        <v>217</v>
      </c>
      <c r="C169" s="299">
        <f>C67*(BOM_average!B35*BOM_average!B25)/1000000</f>
        <v>0</v>
      </c>
      <c r="D169" s="299">
        <f>D67*(BOM_average!C35*BOM_average!C24)/1000000</f>
        <v>26.738136446240322</v>
      </c>
      <c r="E169" s="299">
        <f>E67*(BOM_average!D35*BOM_average!D24)/1000000</f>
        <v>68.651071167284655</v>
      </c>
      <c r="F169" s="299">
        <f>F67*(BOM_average!E35*BOM_average!E24)/1000000</f>
        <v>110.40568883573575</v>
      </c>
      <c r="G169" s="299">
        <f>G67*(BOM_average!F35*BOM_average!F24)/1000000</f>
        <v>146.42634876696329</v>
      </c>
      <c r="H169" s="299">
        <f>H67*(BOM_average!G35*BOM_average!G24)/1000000</f>
        <v>170.1625878075703</v>
      </c>
      <c r="I169" s="299">
        <f>I67*(BOM_average!H35*BOM_average!H24)/1000000</f>
        <v>189.04065165642206</v>
      </c>
      <c r="J169" s="299">
        <f>J67*(BOM_average!I35*BOM_average!I24)/1000000</f>
        <v>210.66088004467224</v>
      </c>
      <c r="K169" s="299">
        <f>K67*(BOM_average!J35*BOM_average!J24)/1000000</f>
        <v>231.02666502706995</v>
      </c>
      <c r="L169" s="299">
        <f>L67*(BOM_average!K35*BOM_average!K24)/1000000</f>
        <v>248.73951483492763</v>
      </c>
      <c r="M169" s="299">
        <f>M67*(BOM_average!L35*BOM_average!L24)/1000000</f>
        <v>263.14592614685881</v>
      </c>
      <c r="N169" s="299">
        <f>N67*(BOM_average!M35*BOM_average!M24)/1000000</f>
        <v>268.75225319047337</v>
      </c>
      <c r="O169" s="299">
        <f>O67*(BOM_average!N35*BOM_average!N24)/1000000</f>
        <v>270.20976848218316</v>
      </c>
      <c r="P169" s="299">
        <f>P67*(BOM_average!O35*BOM_average!O24)/1000000</f>
        <v>270.67956742831956</v>
      </c>
      <c r="Q169" s="299">
        <f>Q67*(BOM_average!P35*BOM_average!P24)/1000000</f>
        <v>272.68036074672602</v>
      </c>
      <c r="R169" s="299">
        <f>R67*(BOM_average!Q35*BOM_average!Q24)/1000000</f>
        <v>275.60133105600386</v>
      </c>
      <c r="S169" s="299">
        <f>S67*(BOM_average!R35*BOM_average!R24)/1000000</f>
        <v>278.44240204171507</v>
      </c>
      <c r="T169" s="299">
        <f>T67*(BOM_average!S35*BOM_average!S24)/1000000</f>
        <v>272.83554109015824</v>
      </c>
      <c r="U169" s="299">
        <f>U67*(BOM_average!T35*BOM_average!T24)/1000000</f>
        <v>262.89857994488551</v>
      </c>
      <c r="V169" s="299">
        <f>V67*(BOM_average!U35*BOM_average!U24)/1000000</f>
        <v>254.06799618536445</v>
      </c>
      <c r="W169" s="299">
        <f>W67*(BOM_average!V35*BOM_average!V24)/1000000</f>
        <v>248.22995309478776</v>
      </c>
      <c r="X169" s="299">
        <f>X67*(BOM_average!W35*BOM_average!W24)/1000000</f>
        <v>245.62895381533582</v>
      </c>
      <c r="Y169" s="299">
        <f>Y67*(BOM_average!X35*BOM_average!X24)/1000000</f>
        <v>245.75236663620058</v>
      </c>
      <c r="Z169" s="299">
        <f>Z67*(BOM_average!Y35*BOM_average!Y24)/1000000</f>
        <v>247.87226146883771</v>
      </c>
      <c r="AA169" s="299">
        <f>AA67*(BOM_average!Z35*BOM_average!Z24)/1000000</f>
        <v>251.30455541446497</v>
      </c>
      <c r="AB169" s="299">
        <f>AB67*(BOM_average!AA35*BOM_average!AA24)/1000000</f>
        <v>255.48817796420832</v>
      </c>
    </row>
    <row r="170" spans="2:28">
      <c r="B170" s="294" t="s">
        <v>313</v>
      </c>
      <c r="C170" s="299">
        <f>C67*(BOM_average!B35*BOM_average!B26)/1000000</f>
        <v>0</v>
      </c>
      <c r="D170" s="299">
        <f>D67*(BOM_average!C35*BOM_average!C26)/1000000</f>
        <v>17.056897665830014</v>
      </c>
      <c r="E170" s="299">
        <f>E67*(BOM_average!D35*BOM_average!D26)/1000000</f>
        <v>43.79416261504791</v>
      </c>
      <c r="F170" s="299">
        <f>F67*(BOM_average!E35*BOM_average!E26)/1000000</f>
        <v>70.430433324436564</v>
      </c>
      <c r="G170" s="299">
        <f>G67*(BOM_average!F35*BOM_average!F26)/1000000</f>
        <v>93.408875054582026</v>
      </c>
      <c r="H170" s="299">
        <f>H67*(BOM_average!G35*BOM_average!G26)/1000000</f>
        <v>108.55079046448121</v>
      </c>
      <c r="I170" s="299">
        <f>I67*(BOM_average!H35*BOM_average!H26)/1000000</f>
        <v>120.59355955746885</v>
      </c>
      <c r="J170" s="299">
        <f>J67*(BOM_average!I35*BOM_average!I26)/1000000</f>
        <v>134.38562108994375</v>
      </c>
      <c r="K170" s="299">
        <f>K67*(BOM_average!J35*BOM_average!J26)/1000000</f>
        <v>147.37744312763482</v>
      </c>
      <c r="L170" s="299">
        <f>L67*(BOM_average!K35*BOM_average!K26)/1000000</f>
        <v>158.67689427488662</v>
      </c>
      <c r="M170" s="299">
        <f>M67*(BOM_average!L35*BOM_average!L26)/1000000</f>
        <v>167.86708911039909</v>
      </c>
      <c r="N170" s="299">
        <f>N67*(BOM_average!M35*BOM_average!M26)/1000000</f>
        <v>171.44349941320294</v>
      </c>
      <c r="O170" s="299">
        <f>O67*(BOM_average!N35*BOM_average!N26)/1000000</f>
        <v>172.37328332791446</v>
      </c>
      <c r="P170" s="299">
        <f>P67*(BOM_average!O35*BOM_average!O26)/1000000</f>
        <v>172.67297932819014</v>
      </c>
      <c r="Q170" s="299">
        <f>Q67*(BOM_average!P35*BOM_average!P26)/1000000</f>
        <v>173.94933330862375</v>
      </c>
      <c r="R170" s="299">
        <f>R67*(BOM_average!Q35*BOM_average!Q26)/1000000</f>
        <v>175.81269023143898</v>
      </c>
      <c r="S170" s="299">
        <f>S67*(BOM_average!R35*BOM_average!R26)/1000000</f>
        <v>177.6250774620176</v>
      </c>
      <c r="T170" s="299">
        <f>T67*(BOM_average!S35*BOM_average!S26)/1000000</f>
        <v>174.04832656654929</v>
      </c>
      <c r="U170" s="299">
        <f>U67*(BOM_average!T35*BOM_average!T26)/1000000</f>
        <v>167.70930104377103</v>
      </c>
      <c r="V170" s="299">
        <f>V67*(BOM_average!U35*BOM_average!U26)/1000000</f>
        <v>162.07606015510501</v>
      </c>
      <c r="W170" s="299">
        <f>W67*(BOM_average!V35*BOM_average!V26)/1000000</f>
        <v>158.35183263592521</v>
      </c>
      <c r="X170" s="299">
        <f>X67*(BOM_average!W35*BOM_average!W26)/1000000</f>
        <v>156.69259289692135</v>
      </c>
      <c r="Y170" s="299">
        <f>Y67*(BOM_average!X35*BOM_average!X26)/1000000</f>
        <v>156.77132089131149</v>
      </c>
      <c r="Z170" s="299">
        <f>Z67*(BOM_average!Y35*BOM_average!Y26)/1000000</f>
        <v>158.12365258036971</v>
      </c>
      <c r="AA170" s="299">
        <f>AA67*(BOM_average!Z35*BOM_average!Z26)/1000000</f>
        <v>160.31319509793897</v>
      </c>
      <c r="AB170" s="299">
        <f>AB67*(BOM_average!AA35*BOM_average!AA26)/1000000</f>
        <v>162.98202812775415</v>
      </c>
    </row>
    <row r="171" spans="2:28">
      <c r="B171" s="294" t="s">
        <v>6911</v>
      </c>
      <c r="C171" s="299">
        <f>C67*(BOM_average!B35*BOM_average!B27)/1000000</f>
        <v>0</v>
      </c>
      <c r="D171" s="299">
        <f>D67*(BOM_average!C35*BOM_average!C27)/1000000</f>
        <v>64.342057803278564</v>
      </c>
      <c r="E171" s="299">
        <f>E67*(BOM_average!D35*BOM_average!D27)/1000000</f>
        <v>165.20041320693906</v>
      </c>
      <c r="F171" s="299">
        <f>F67*(BOM_average!E35*BOM_average!E27)/1000000</f>
        <v>265.67779797079157</v>
      </c>
      <c r="G171" s="299">
        <f>G67*(BOM_average!F35*BOM_average!F27)/1000000</f>
        <v>352.35711416274592</v>
      </c>
      <c r="H171" s="299">
        <f>H67*(BOM_average!G35*BOM_average!G27)/1000000</f>
        <v>409.47547270855694</v>
      </c>
      <c r="I171" s="299">
        <f>I67*(BOM_average!H35*BOM_average!H27)/1000000</f>
        <v>454.90322635245747</v>
      </c>
      <c r="J171" s="299">
        <f>J67*(BOM_average!I35*BOM_average!I27)/1000000</f>
        <v>506.92966385208661</v>
      </c>
      <c r="K171" s="299">
        <f>K67*(BOM_average!J35*BOM_average!J27)/1000000</f>
        <v>555.93743659575614</v>
      </c>
      <c r="L171" s="299">
        <f>L67*(BOM_average!K35*BOM_average!K27)/1000000</f>
        <v>598.56124504588558</v>
      </c>
      <c r="M171" s="299">
        <f>M67*(BOM_average!L35*BOM_average!L27)/1000000</f>
        <v>633.2285133214358</v>
      </c>
      <c r="N171" s="299">
        <f>N67*(BOM_average!M35*BOM_average!M27)/1000000</f>
        <v>646.71945422637145</v>
      </c>
      <c r="O171" s="299">
        <f>O67*(BOM_average!N35*BOM_average!N27)/1000000</f>
        <v>650.22678665909007</v>
      </c>
      <c r="P171" s="299">
        <f>P67*(BOM_average!O35*BOM_average!O27)/1000000</f>
        <v>651.35730041082456</v>
      </c>
      <c r="Q171" s="299">
        <f>Q67*(BOM_average!P35*BOM_average!P27)/1000000</f>
        <v>656.1719650230782</v>
      </c>
      <c r="R171" s="299">
        <f>R67*(BOM_average!Q35*BOM_average!Q27)/1000000</f>
        <v>663.20092311292433</v>
      </c>
      <c r="S171" s="299">
        <f>S67*(BOM_average!R35*BOM_average!R27)/1000000</f>
        <v>670.03761324476613</v>
      </c>
      <c r="T171" s="299">
        <f>T67*(BOM_average!S35*BOM_average!S27)/1000000</f>
        <v>656.54538755561407</v>
      </c>
      <c r="U171" s="299">
        <f>U67*(BOM_average!T35*BOM_average!T27)/1000000</f>
        <v>632.63330491352065</v>
      </c>
      <c r="V171" s="299">
        <f>V67*(BOM_average!U35*BOM_average!U27)/1000000</f>
        <v>611.38358424453634</v>
      </c>
      <c r="W171" s="299">
        <f>W67*(BOM_average!V35*BOM_average!V27)/1000000</f>
        <v>597.33504698962463</v>
      </c>
      <c r="X171" s="299">
        <f>X67*(BOM_average!W35*BOM_average!W27)/1000000</f>
        <v>591.07606008074777</v>
      </c>
      <c r="Y171" s="299">
        <f>Y67*(BOM_average!X35*BOM_average!X27)/1000000</f>
        <v>591.37303795239984</v>
      </c>
      <c r="Z171" s="299">
        <f>Z67*(BOM_average!Y35*BOM_average!Y27)/1000000</f>
        <v>596.47430580375703</v>
      </c>
      <c r="AA171" s="299">
        <f>AA67*(BOM_average!Z35*BOM_average!Z27)/1000000</f>
        <v>604.73370173777869</v>
      </c>
      <c r="AB171" s="299">
        <f>AB67*(BOM_average!AA35*BOM_average!AA27)/1000000</f>
        <v>614.80107814091377</v>
      </c>
    </row>
    <row r="172" spans="2:28">
      <c r="B172" s="294" t="s">
        <v>441</v>
      </c>
      <c r="C172" s="299">
        <f>C67*(BOM_average!B35*BOM_average!B28)/1000000</f>
        <v>0</v>
      </c>
      <c r="D172" s="299">
        <f>D67*(BOM_average!C35*BOM_average!C28)/1000000</f>
        <v>61.513461045196479</v>
      </c>
      <c r="E172" s="299">
        <f>E67*(BOM_average!D35*BOM_average!D28)/1000000</f>
        <v>157.93789520262439</v>
      </c>
      <c r="F172" s="299">
        <f>F67*(BOM_average!E35*BOM_average!E28)/1000000</f>
        <v>253.9981068994831</v>
      </c>
      <c r="G172" s="299">
        <f>G67*(BOM_average!F35*BOM_average!F28)/1000000</f>
        <v>336.86683883062693</v>
      </c>
      <c r="H172" s="299">
        <f>H67*(BOM_average!G35*BOM_average!G28)/1000000</f>
        <v>391.47416789858659</v>
      </c>
      <c r="I172" s="299">
        <f>I67*(BOM_average!H35*BOM_average!H28)/1000000</f>
        <v>434.90483284077101</v>
      </c>
      <c r="J172" s="299">
        <f>J67*(BOM_average!I35*BOM_average!I28)/1000000</f>
        <v>484.64409120018763</v>
      </c>
      <c r="K172" s="299">
        <f>K67*(BOM_average!J35*BOM_average!J28)/1000000</f>
        <v>531.49739093139306</v>
      </c>
      <c r="L172" s="299">
        <f>L67*(BOM_average!K35*BOM_average!K28)/1000000</f>
        <v>572.24737733548579</v>
      </c>
      <c r="M172" s="299">
        <f>M67*(BOM_average!L35*BOM_average!L28)/1000000</f>
        <v>605.39060789754558</v>
      </c>
      <c r="N172" s="299">
        <f>N67*(BOM_average!M35*BOM_average!M28)/1000000</f>
        <v>618.28846190084914</v>
      </c>
      <c r="O172" s="299">
        <f>O67*(BOM_average!N35*BOM_average!N28)/1000000</f>
        <v>621.64160546414985</v>
      </c>
      <c r="P172" s="299">
        <f>P67*(BOM_average!O35*BOM_average!O28)/1000000</f>
        <v>622.72241972472261</v>
      </c>
      <c r="Q172" s="299">
        <f>Q67*(BOM_average!P35*BOM_average!P28)/1000000</f>
        <v>627.32542270882152</v>
      </c>
      <c r="R172" s="299">
        <f>R67*(BOM_average!Q35*BOM_average!Q28)/1000000</f>
        <v>634.04537470305252</v>
      </c>
      <c r="S172" s="299">
        <f>S67*(BOM_average!R35*BOM_average!R28)/1000000</f>
        <v>640.5815111969913</v>
      </c>
      <c r="T172" s="299">
        <f>T67*(BOM_average!S35*BOM_average!S28)/1000000</f>
        <v>627.68242889097951</v>
      </c>
      <c r="U172" s="299">
        <f>U67*(BOM_average!T35*BOM_average!T28)/1000000</f>
        <v>604.82156596037282</v>
      </c>
      <c r="V172" s="299">
        <f>V67*(BOM_average!U35*BOM_average!U28)/1000000</f>
        <v>584.50602260940661</v>
      </c>
      <c r="W172" s="299">
        <f>W67*(BOM_average!V35*BOM_average!V28)/1000000</f>
        <v>571.07508523071476</v>
      </c>
      <c r="X172" s="299">
        <f>X67*(BOM_average!W35*BOM_average!W28)/1000000</f>
        <v>565.09125504954875</v>
      </c>
      <c r="Y172" s="299">
        <f>Y67*(BOM_average!X35*BOM_average!X28)/1000000</f>
        <v>565.37517722056498</v>
      </c>
      <c r="Z172" s="299">
        <f>Z67*(BOM_average!Y35*BOM_average!Y28)/1000000</f>
        <v>570.25218383131062</v>
      </c>
      <c r="AA172" s="299">
        <f>AA67*(BOM_average!Z35*BOM_average!Z28)/1000000</f>
        <v>578.14848132924999</v>
      </c>
      <c r="AB172" s="299">
        <f>AB67*(BOM_average!AA35*BOM_average!AA28)/1000000</f>
        <v>587.77327710583177</v>
      </c>
    </row>
    <row r="173" spans="2:28">
      <c r="B173" s="294" t="s">
        <v>6912</v>
      </c>
      <c r="C173" s="299">
        <f>C67*(BOM_average!B35*BOM_average!B29)/1000000</f>
        <v>0</v>
      </c>
      <c r="D173" s="299">
        <f>D67*(BOM_average!C35*BOM_average!C29)/1000000</f>
        <v>37.896311150706467</v>
      </c>
      <c r="E173" s="299">
        <f>E67*(BOM_average!D35*BOM_average!D29)/1000000</f>
        <v>97.300062740555333</v>
      </c>
      <c r="F173" s="299">
        <f>F67*(BOM_average!E35*BOM_average!E29)/1000000</f>
        <v>156.47942949724282</v>
      </c>
      <c r="G173" s="299">
        <f>G67*(BOM_average!F35*BOM_average!F29)/1000000</f>
        <v>207.5319828175594</v>
      </c>
      <c r="H173" s="299">
        <f>H67*(BOM_average!G35*BOM_average!G29)/1000000</f>
        <v>241.17366543964323</v>
      </c>
      <c r="I173" s="299">
        <f>I67*(BOM_average!H35*BOM_average!H29)/1000000</f>
        <v>267.92979270293961</v>
      </c>
      <c r="J173" s="299">
        <f>J67*(BOM_average!I35*BOM_average!I29)/1000000</f>
        <v>298.57242570011221</v>
      </c>
      <c r="K173" s="299">
        <f>K67*(BOM_average!J35*BOM_average!J29)/1000000</f>
        <v>327.43711962046393</v>
      </c>
      <c r="L173" s="299">
        <f>L67*(BOM_average!K35*BOM_average!K29)/1000000</f>
        <v>352.5417737549779</v>
      </c>
      <c r="M173" s="299">
        <f>M67*(BOM_average!L35*BOM_average!L29)/1000000</f>
        <v>372.96016928301657</v>
      </c>
      <c r="N173" s="299">
        <f>N67*(BOM_average!M35*BOM_average!M29)/1000000</f>
        <v>380.90609006491576</v>
      </c>
      <c r="O173" s="299">
        <f>O67*(BOM_average!N35*BOM_average!N29)/1000000</f>
        <v>382.97184558653191</v>
      </c>
      <c r="P173" s="299">
        <f>P67*(BOM_average!O35*BOM_average!O29)/1000000</f>
        <v>383.63769778894164</v>
      </c>
      <c r="Q173" s="299">
        <f>Q67*(BOM_average!P35*BOM_average!P29)/1000000</f>
        <v>386.47344837668493</v>
      </c>
      <c r="R173" s="299">
        <f>R67*(BOM_average!Q35*BOM_average!Q29)/1000000</f>
        <v>390.61337787120777</v>
      </c>
      <c r="S173" s="299">
        <f>S67*(BOM_average!R35*BOM_average!R29)/1000000</f>
        <v>394.64006500747212</v>
      </c>
      <c r="T173" s="299">
        <f>T67*(BOM_average!S35*BOM_average!S29)/1000000</f>
        <v>386.69338751085019</v>
      </c>
      <c r="U173" s="299">
        <f>U67*(BOM_average!T35*BOM_average!T29)/1000000</f>
        <v>372.60960226983781</v>
      </c>
      <c r="V173" s="299">
        <f>V67*(BOM_average!U35*BOM_average!U29)/1000000</f>
        <v>360.09390019516161</v>
      </c>
      <c r="W173" s="299">
        <f>W67*(BOM_average!V35*BOM_average!V29)/1000000</f>
        <v>351.81956522359195</v>
      </c>
      <c r="X173" s="299">
        <f>X67*(BOM_average!W35*BOM_average!W29)/1000000</f>
        <v>348.13313486240901</v>
      </c>
      <c r="Y173" s="299">
        <f>Y67*(BOM_average!X35*BOM_average!X29)/1000000</f>
        <v>348.30804947057106</v>
      </c>
      <c r="Z173" s="299">
        <f>Z67*(BOM_average!Y35*BOM_average!Y29)/1000000</f>
        <v>351.31260419509022</v>
      </c>
      <c r="AA173" s="299">
        <f>AA67*(BOM_average!Z35*BOM_average!Z29)/1000000</f>
        <v>356.17723937958408</v>
      </c>
      <c r="AB173" s="299">
        <f>AB67*(BOM_average!AA35*BOM_average!AA29)/1000000</f>
        <v>362.10674243978997</v>
      </c>
    </row>
    <row r="174" spans="2:28">
      <c r="B174" s="294" t="s">
        <v>443</v>
      </c>
      <c r="C174" s="299">
        <f>C67*(BOM_average!B35*BOM_average!B30)/1000000</f>
        <v>0</v>
      </c>
      <c r="D174" s="299">
        <f>D67*(BOM_average!C35*BOM_average!C30)/1000000</f>
        <v>18.155945749359777</v>
      </c>
      <c r="E174" s="299">
        <f>E67*(BOM_average!D35*BOM_average!D30)/1000000</f>
        <v>46.61600580334828</v>
      </c>
      <c r="F174" s="299">
        <f>F67*(BOM_average!E35*BOM_average!E30)/1000000</f>
        <v>74.968564131333551</v>
      </c>
      <c r="G174" s="299">
        <f>G67*(BOM_average!F35*BOM_average!F30)/1000000</f>
        <v>99.427604082843047</v>
      </c>
      <c r="H174" s="299">
        <f>H67*(BOM_average!G35*BOM_average!G30)/1000000</f>
        <v>115.5451771673238</v>
      </c>
      <c r="I174" s="299">
        <f>I67*(BOM_average!H35*BOM_average!H30)/1000000</f>
        <v>128.36391282535416</v>
      </c>
      <c r="J174" s="299">
        <f>J67*(BOM_average!I35*BOM_average!I30)/1000000</f>
        <v>143.04465523592086</v>
      </c>
      <c r="K174" s="299">
        <f>K67*(BOM_average!J35*BOM_average!J30)/1000000</f>
        <v>156.87359533527959</v>
      </c>
      <c r="L174" s="299">
        <f>L67*(BOM_average!K35*BOM_average!K30)/1000000</f>
        <v>168.90111792738756</v>
      </c>
      <c r="M174" s="299">
        <f>M67*(BOM_average!L35*BOM_average!L30)/1000000</f>
        <v>178.68347589942809</v>
      </c>
      <c r="N174" s="299">
        <f>N67*(BOM_average!M35*BOM_average!M30)/1000000</f>
        <v>182.49032944966297</v>
      </c>
      <c r="O174" s="299">
        <f>O67*(BOM_average!N35*BOM_average!N30)/1000000</f>
        <v>183.48002327587074</v>
      </c>
      <c r="P174" s="299">
        <f>P67*(BOM_average!O35*BOM_average!O30)/1000000</f>
        <v>183.79902995744365</v>
      </c>
      <c r="Q174" s="299">
        <f>Q67*(BOM_average!P35*BOM_average!P30)/1000000</f>
        <v>185.15762482502942</v>
      </c>
      <c r="R174" s="299">
        <f>R67*(BOM_average!Q35*BOM_average!Q30)/1000000</f>
        <v>187.14104571815582</v>
      </c>
      <c r="S174" s="299">
        <f>S67*(BOM_average!R35*BOM_average!R30)/1000000</f>
        <v>189.07021272612457</v>
      </c>
      <c r="T174" s="299">
        <f>T67*(BOM_average!S35*BOM_average!S30)/1000000</f>
        <v>185.26299663739883</v>
      </c>
      <c r="U174" s="299">
        <f>U67*(BOM_average!T35*BOM_average!T30)/1000000</f>
        <v>178.51552088007338</v>
      </c>
      <c r="V174" s="299">
        <f>V67*(BOM_average!U35*BOM_average!U30)/1000000</f>
        <v>172.51930644697717</v>
      </c>
      <c r="W174" s="299">
        <f>W67*(BOM_average!V35*BOM_average!V30)/1000000</f>
        <v>168.55511119170762</v>
      </c>
      <c r="X174" s="299">
        <f>X67*(BOM_average!W35*BOM_average!W30)/1000000</f>
        <v>166.78895961615561</v>
      </c>
      <c r="Y174" s="299">
        <f>Y67*(BOM_average!X35*BOM_average!X30)/1000000</f>
        <v>166.87276038831862</v>
      </c>
      <c r="Z174" s="299">
        <f>Z67*(BOM_average!Y35*BOM_average!Y30)/1000000</f>
        <v>168.31222852975375</v>
      </c>
      <c r="AA174" s="299">
        <f>AA67*(BOM_average!Z35*BOM_average!Z30)/1000000</f>
        <v>170.64285253557998</v>
      </c>
      <c r="AB174" s="299">
        <f>AB67*(BOM_average!AA35*BOM_average!AA30)/1000000</f>
        <v>173.48364976921135</v>
      </c>
    </row>
    <row r="175" spans="2:28">
      <c r="B175" s="294" t="s">
        <v>445</v>
      </c>
      <c r="C175" s="299">
        <f>C67*(BOM_average!B35*BOM_average!B31)/1000000</f>
        <v>0</v>
      </c>
      <c r="D175" s="299">
        <f>D67*(BOM_average!C35*BOM_average!C31)/1000000</f>
        <v>23.622833363698867</v>
      </c>
      <c r="E175" s="299">
        <f>E67*(BOM_average!D35*BOM_average!D31)/1000000</f>
        <v>60.652424961808833</v>
      </c>
      <c r="F175" s="299">
        <f>F67*(BOM_average!E35*BOM_average!E31)/1000000</f>
        <v>97.542145280573607</v>
      </c>
      <c r="G175" s="299">
        <f>G67*(BOM_average!F35*BOM_average!F31)/1000000</f>
        <v>129.3659804575947</v>
      </c>
      <c r="H175" s="299">
        <f>H67*(BOM_average!G35*BOM_average!G31)/1000000</f>
        <v>150.33667228814022</v>
      </c>
      <c r="I175" s="299">
        <f>I67*(BOM_average!H35*BOM_average!H31)/1000000</f>
        <v>167.01522269599403</v>
      </c>
      <c r="J175" s="299">
        <f>J67*(BOM_average!I35*BOM_average!I31)/1000000</f>
        <v>186.11644366281877</v>
      </c>
      <c r="K175" s="299">
        <f>K67*(BOM_average!J35*BOM_average!J31)/1000000</f>
        <v>204.10937843325033</v>
      </c>
      <c r="L175" s="299">
        <f>L67*(BOM_average!K35*BOM_average!K31)/1000000</f>
        <v>219.75847575342215</v>
      </c>
      <c r="M175" s="299">
        <f>M67*(BOM_average!L35*BOM_average!L31)/1000000</f>
        <v>232.48637302011849</v>
      </c>
      <c r="N175" s="299">
        <f>N67*(BOM_average!M35*BOM_average!M31)/1000000</f>
        <v>237.43949792469007</v>
      </c>
      <c r="O175" s="299">
        <f>O67*(BOM_average!N35*BOM_average!N31)/1000000</f>
        <v>238.72719577642067</v>
      </c>
      <c r="P175" s="299">
        <f>P67*(BOM_average!O35*BOM_average!O31)/1000000</f>
        <v>239.14225769523969</v>
      </c>
      <c r="Q175" s="299">
        <f>Q67*(BOM_average!P35*BOM_average!P31)/1000000</f>
        <v>240.90993538104061</v>
      </c>
      <c r="R175" s="299">
        <f>R67*(BOM_average!Q35*BOM_average!Q31)/1000000</f>
        <v>243.49057876339134</v>
      </c>
      <c r="S175" s="299">
        <f>S67*(BOM_average!R35*BOM_average!R31)/1000000</f>
        <v>246.00063202027542</v>
      </c>
      <c r="T175" s="299">
        <f>T67*(BOM_average!S35*BOM_average!S31)/1000000</f>
        <v>241.04703541423063</v>
      </c>
      <c r="U175" s="299">
        <f>U67*(BOM_average!T35*BOM_average!T31)/1000000</f>
        <v>232.26784552011466</v>
      </c>
      <c r="V175" s="299">
        <f>V67*(BOM_average!U35*BOM_average!U31)/1000000</f>
        <v>224.46612721133241</v>
      </c>
      <c r="W175" s="299">
        <f>W67*(BOM_average!V35*BOM_average!V31)/1000000</f>
        <v>219.3082838673854</v>
      </c>
      <c r="X175" s="299">
        <f>X67*(BOM_average!W35*BOM_average!W31)/1000000</f>
        <v>217.01033117793261</v>
      </c>
      <c r="Y175" s="299">
        <f>Y67*(BOM_average!X35*BOM_average!X31)/1000000</f>
        <v>217.11936497346633</v>
      </c>
      <c r="Z175" s="299">
        <f>Z67*(BOM_average!Y35*BOM_average!Y31)/1000000</f>
        <v>218.99226746540478</v>
      </c>
      <c r="AA175" s="299">
        <f>AA67*(BOM_average!Z35*BOM_average!Z31)/1000000</f>
        <v>222.02465934865384</v>
      </c>
      <c r="AB175" s="299">
        <f>AB67*(BOM_average!AA35*BOM_average!AA31)/1000000</f>
        <v>225.72084133754842</v>
      </c>
    </row>
    <row r="176" spans="2:28">
      <c r="B176" s="294" t="s">
        <v>6915</v>
      </c>
      <c r="C176" s="299">
        <f>C67*(BOM_average!B35*BOM_average!B32)/1000000</f>
        <v>0</v>
      </c>
      <c r="D176" s="299">
        <f>D67*(BOM_average!C35*BOM_average!C32)/1000000</f>
        <v>6.9903250949324267</v>
      </c>
      <c r="E176" s="299">
        <f>E67*(BOM_average!D35*BOM_average!D32)/1000000</f>
        <v>17.947896501296373</v>
      </c>
      <c r="F176" s="299">
        <f>F67*(BOM_average!E35*BOM_average!E32)/1000000</f>
        <v>28.86407804984719</v>
      </c>
      <c r="G176" s="299">
        <f>G67*(BOM_average!F35*BOM_average!F32)/1000000</f>
        <v>38.281193695118425</v>
      </c>
      <c r="H176" s="299">
        <f>H67*(BOM_average!G35*BOM_average!G32)/1000000</f>
        <v>44.48671320686438</v>
      </c>
      <c r="I176" s="299">
        <f>I67*(BOM_average!H35*BOM_average!H32)/1000000</f>
        <v>49.42212834814363</v>
      </c>
      <c r="J176" s="299">
        <f>J67*(BOM_average!I35*BOM_average!I32)/1000000</f>
        <v>55.074445418348681</v>
      </c>
      <c r="K176" s="299">
        <f>K67*(BOM_average!J35*BOM_average!J32)/1000000</f>
        <v>60.398805181666077</v>
      </c>
      <c r="L176" s="299">
        <f>L67*(BOM_average!K35*BOM_average!K32)/1000000</f>
        <v>65.029590829857597</v>
      </c>
      <c r="M176" s="299">
        <f>M67*(BOM_average!L35*BOM_average!L32)/1000000</f>
        <v>68.795952734853856</v>
      </c>
      <c r="N176" s="299">
        <f>N67*(BOM_average!M35*BOM_average!M32)/1000000</f>
        <v>70.261651314938973</v>
      </c>
      <c r="O176" s="299">
        <f>O67*(BOM_average!N35*BOM_average!N32)/1000000</f>
        <v>70.642699027084959</v>
      </c>
      <c r="P176" s="299">
        <f>P67*(BOM_average!O35*BOM_average!O32)/1000000</f>
        <v>70.765521624290002</v>
      </c>
      <c r="Q176" s="299">
        <f>Q67*(BOM_average!P35*BOM_average!P32)/1000000</f>
        <v>71.28860204807161</v>
      </c>
      <c r="R176" s="299">
        <f>R67*(BOM_average!Q35*BOM_average!Q32)/1000000</f>
        <v>72.052250333566391</v>
      </c>
      <c r="S176" s="299">
        <f>S67*(BOM_average!R35*BOM_average!R32)/1000000</f>
        <v>72.79501001870122</v>
      </c>
      <c r="T176" s="299">
        <f>T67*(BOM_average!S35*BOM_average!S32)/1000000</f>
        <v>71.329171855586623</v>
      </c>
      <c r="U176" s="299">
        <f>U67*(BOM_average!T35*BOM_average!T32)/1000000</f>
        <v>68.731287406876831</v>
      </c>
      <c r="V176" s="299">
        <f>V67*(BOM_average!U35*BOM_average!U32)/1000000</f>
        <v>66.422650401407353</v>
      </c>
      <c r="W176" s="299">
        <f>W67*(BOM_average!V35*BOM_average!V32)/1000000</f>
        <v>64.896372786532893</v>
      </c>
      <c r="X176" s="299">
        <f>X67*(BOM_average!W35*BOM_average!W32)/1000000</f>
        <v>64.216376610598559</v>
      </c>
      <c r="Y176" s="299">
        <f>Y67*(BOM_average!X35*BOM_average!X32)/1000000</f>
        <v>64.24864122786019</v>
      </c>
      <c r="Z176" s="299">
        <f>Z67*(BOM_average!Y35*BOM_average!Y32)/1000000</f>
        <v>64.802859135940494</v>
      </c>
      <c r="AA176" s="299">
        <f>AA67*(BOM_average!Z35*BOM_average!Z32)/1000000</f>
        <v>65.700186088757235</v>
      </c>
      <c r="AB176" s="299">
        <f>AB67*(BOM_average!AA35*BOM_average!AA32)/1000000</f>
        <v>66.793937770217738</v>
      </c>
    </row>
    <row r="177" spans="1:28">
      <c r="B177" s="294" t="s">
        <v>447</v>
      </c>
      <c r="C177" s="299">
        <f>C67*(BOM_average!B35*BOM_average!B33)/1000000</f>
        <v>0</v>
      </c>
      <c r="D177" s="299">
        <f>D67*(BOM_average!C35*BOM_average!C33)/1000000</f>
        <v>11.227548678605416</v>
      </c>
      <c r="E177" s="299">
        <f>E67*(BOM_average!D35*BOM_average!D33)/1000000</f>
        <v>28.827111602142857</v>
      </c>
      <c r="F177" s="299">
        <f>F67*(BOM_average!E35*BOM_average!E33)/1000000</f>
        <v>46.360195980392838</v>
      </c>
      <c r="G177" s="299">
        <f>G67*(BOM_average!F35*BOM_average!F33)/1000000</f>
        <v>61.485547503169407</v>
      </c>
      <c r="H177" s="299">
        <f>H67*(BOM_average!G35*BOM_average!G33)/1000000</f>
        <v>71.452576424996238</v>
      </c>
      <c r="I177" s="299">
        <f>I67*(BOM_average!H35*BOM_average!H33)/1000000</f>
        <v>79.379620302828172</v>
      </c>
      <c r="J177" s="299">
        <f>J67*(BOM_average!I35*BOM_average!I33)/1000000</f>
        <v>88.458120113751917</v>
      </c>
      <c r="K177" s="299">
        <f>K67*(BOM_average!J35*BOM_average!J33)/1000000</f>
        <v>97.009869512129796</v>
      </c>
      <c r="L177" s="299">
        <f>L67*(BOM_average!K35*BOM_average!K33)/1000000</f>
        <v>104.44763107245394</v>
      </c>
      <c r="M177" s="299">
        <f>M67*(BOM_average!L35*BOM_average!L33)/1000000</f>
        <v>110.49699373517844</v>
      </c>
      <c r="N177" s="299">
        <f>N67*(BOM_average!M35*BOM_average!M33)/1000000</f>
        <v>112.85113348298481</v>
      </c>
      <c r="O177" s="299">
        <f>O67*(BOM_average!N35*BOM_average!N33)/1000000</f>
        <v>113.46315533874824</v>
      </c>
      <c r="P177" s="299">
        <f>P67*(BOM_average!O35*BOM_average!O33)/1000000</f>
        <v>113.66042752140423</v>
      </c>
      <c r="Q177" s="299">
        <f>Q67*(BOM_average!P35*BOM_average!P33)/1000000</f>
        <v>114.50057598961942</v>
      </c>
      <c r="R177" s="299">
        <f>R67*(BOM_average!Q35*BOM_average!Q33)/1000000</f>
        <v>115.72711383761477</v>
      </c>
      <c r="S177" s="299">
        <f>S67*(BOM_average!R35*BOM_average!R33)/1000000</f>
        <v>116.92010134650795</v>
      </c>
      <c r="T177" s="299">
        <f>T67*(BOM_average!S35*BOM_average!S33)/1000000</f>
        <v>114.56573740665947</v>
      </c>
      <c r="U177" s="299">
        <f>U67*(BOM_average!T35*BOM_average!T33)/1000000</f>
        <v>110.39313116686868</v>
      </c>
      <c r="V177" s="299">
        <f>V67*(BOM_average!U35*BOM_average!U33)/1000000</f>
        <v>106.68510128154486</v>
      </c>
      <c r="W177" s="299">
        <f>W67*(BOM_average!V35*BOM_average!V33)/1000000</f>
        <v>104.2336621874616</v>
      </c>
      <c r="X177" s="299">
        <f>X67*(BOM_average!W35*BOM_average!W33)/1000000</f>
        <v>103.14148263030438</v>
      </c>
      <c r="Y177" s="299">
        <f>Y67*(BOM_average!X35*BOM_average!X33)/1000000</f>
        <v>103.19330462083873</v>
      </c>
      <c r="Z177" s="299">
        <f>Z67*(BOM_average!Y35*BOM_average!Y33)/1000000</f>
        <v>104.0834647288482</v>
      </c>
      <c r="AA177" s="299">
        <f>AA67*(BOM_average!Z35*BOM_average!Z33)/1000000</f>
        <v>105.52471129557487</v>
      </c>
      <c r="AB177" s="299">
        <f>AB67*(BOM_average!AA35*BOM_average!AA33)/1000000</f>
        <v>107.28144650876355</v>
      </c>
    </row>
    <row r="178" spans="1:28">
      <c r="B178" s="294" t="s">
        <v>7756</v>
      </c>
      <c r="C178" s="299">
        <f>C67*(BOM_average!B35)/1000000</f>
        <v>0</v>
      </c>
      <c r="D178" s="299">
        <f>D67*(BOM_average!C35)/1000000</f>
        <v>270.76613700000007</v>
      </c>
      <c r="E178" s="299">
        <f>E67*(BOM_average!D35)/1000000</f>
        <v>695.2012298333334</v>
      </c>
      <c r="F178" s="299">
        <f>F67*(BOM_average!E35)/1000000</f>
        <v>1118.0331108333335</v>
      </c>
      <c r="G178" s="299">
        <f>G67*(BOM_average!F35)/1000000</f>
        <v>1482.7995545000003</v>
      </c>
      <c r="H178" s="299">
        <f>H67*(BOM_average!G35)/1000000</f>
        <v>1723.1667081666669</v>
      </c>
      <c r="I178" s="299">
        <f>I67*(BOM_average!H35)/1000000</f>
        <v>1914.3371150000003</v>
      </c>
      <c r="J178" s="299">
        <f>J67*(BOM_average!I35)/1000000</f>
        <v>2133.2762970000003</v>
      </c>
      <c r="K178" s="299">
        <f>K67*(BOM_average!J35)/1000000</f>
        <v>2339.5122453333333</v>
      </c>
      <c r="L178" s="299">
        <f>L67*(BOM_average!K35)/1000000</f>
        <v>2518.8830076666668</v>
      </c>
      <c r="M178" s="299">
        <f>M67*(BOM_average!L35)/1000000</f>
        <v>2664.7708240000006</v>
      </c>
      <c r="N178" s="299">
        <f>N67*(BOM_average!M35)/1000000</f>
        <v>2721.5437976666672</v>
      </c>
      <c r="O178" s="299">
        <f>O67*(BOM_average!N35)/1000000</f>
        <v>2736.3034570000004</v>
      </c>
      <c r="P178" s="299">
        <f>P67*(BOM_average!O35)/1000000</f>
        <v>2741.0609181666669</v>
      </c>
      <c r="Q178" s="299">
        <f>Q67*(BOM_average!P35)/1000000</f>
        <v>2761.3221311666671</v>
      </c>
      <c r="R178" s="299">
        <f>R67*(BOM_average!Q35)/1000000</f>
        <v>2790.9015990000003</v>
      </c>
      <c r="S178" s="299">
        <f>S67*(BOM_average!R35)/1000000</f>
        <v>2819.671959166667</v>
      </c>
      <c r="T178" s="299">
        <f>T67*(BOM_average!S35)/1000000</f>
        <v>2762.8935788333333</v>
      </c>
      <c r="U178" s="299">
        <f>U67*(BOM_average!T35)/1000000</f>
        <v>2662.2660505000003</v>
      </c>
      <c r="V178" s="299">
        <f>V67*(BOM_average!U35)/1000000</f>
        <v>2572.8423520000006</v>
      </c>
      <c r="W178" s="299">
        <f>W67*(BOM_average!V35)/1000000</f>
        <v>2513.7228850000006</v>
      </c>
      <c r="X178" s="299">
        <f>X67*(BOM_average!W35)/1000000</f>
        <v>2487.3836325000007</v>
      </c>
      <c r="Y178" s="299">
        <f>Y67*(BOM_average!X35)/1000000</f>
        <v>2488.6333835000005</v>
      </c>
      <c r="Z178" s="299">
        <f>Z67*(BOM_average!Y35)/1000000</f>
        <v>2510.1006886666669</v>
      </c>
      <c r="AA178" s="299">
        <f>AA67*(BOM_average!Z35)/1000000</f>
        <v>2544.8581211666669</v>
      </c>
      <c r="AB178" s="299">
        <f>AB67*(BOM_average!AA35)/1000000</f>
        <v>2587.2239501666668</v>
      </c>
    </row>
    <row r="179" spans="1:28">
      <c r="B179" s="295" t="s">
        <v>7757</v>
      </c>
      <c r="C179" s="299">
        <f>C67*(BOM_average!B36)/1000000</f>
        <v>0</v>
      </c>
      <c r="D179" s="299">
        <f>D67*(BOM_average!C36)/1000000</f>
        <v>360.17571959999998</v>
      </c>
      <c r="E179" s="299">
        <f>E67*(BOM_average!D36)/1000000</f>
        <v>924.76336219999996</v>
      </c>
      <c r="F179" s="299">
        <f>F67*(BOM_average!E36)/1000000</f>
        <v>1487.2183969999999</v>
      </c>
      <c r="G179" s="299">
        <f>G67*(BOM_average!F36)/1000000</f>
        <v>1972.4342285999999</v>
      </c>
      <c r="H179" s="299">
        <f>H67*(BOM_average!G36)/1000000</f>
        <v>2292.1729281999997</v>
      </c>
      <c r="I179" s="299">
        <f>I67*(BOM_average!H36)/1000000</f>
        <v>2546.4696419999996</v>
      </c>
      <c r="J179" s="299">
        <f>J67*(BOM_average!I36)/1000000</f>
        <v>2837.7046476</v>
      </c>
      <c r="K179" s="299">
        <f>K67*(BOM_average!J36)/1000000</f>
        <v>3112.0416895999997</v>
      </c>
      <c r="L179" s="299">
        <f>L67*(BOM_average!K36)/1000000</f>
        <v>3350.6424027999997</v>
      </c>
      <c r="M179" s="299">
        <f>M67*(BOM_average!L36)/1000000</f>
        <v>3544.7037791999996</v>
      </c>
      <c r="N179" s="299">
        <f>N67*(BOM_average!M36)/1000000</f>
        <v>3620.2237347999999</v>
      </c>
      <c r="O179" s="299">
        <f>O67*(BOM_average!N36)/1000000</f>
        <v>3639.8571755999992</v>
      </c>
      <c r="P179" s="299">
        <f>P67*(BOM_average!O36)/1000000</f>
        <v>3646.1855962</v>
      </c>
      <c r="Q179" s="299">
        <f>Q67*(BOM_average!P36)/1000000</f>
        <v>3673.1372565999995</v>
      </c>
      <c r="R179" s="299">
        <f>R67*(BOM_average!Q36)/1000000</f>
        <v>3712.4841491999996</v>
      </c>
      <c r="S179" s="299">
        <f>S67*(BOM_average!R36)/1000000</f>
        <v>3750.7547589999995</v>
      </c>
      <c r="T179" s="299">
        <f>T67*(BOM_average!S36)/1000000</f>
        <v>3675.2276113999997</v>
      </c>
      <c r="U179" s="299">
        <f>U67*(BOM_average!T36)/1000000</f>
        <v>3541.3719053999998</v>
      </c>
      <c r="V179" s="299">
        <f>V67*(BOM_average!U36)/1000000</f>
        <v>3422.4196416</v>
      </c>
      <c r="W179" s="299">
        <f>W67*(BOM_average!V36)/1000000</f>
        <v>3343.7783579999996</v>
      </c>
      <c r="X179" s="299">
        <f>X67*(BOM_average!W36)/1000000</f>
        <v>3308.7416309999994</v>
      </c>
      <c r="Y179" s="299">
        <f>Y67*(BOM_average!X36)/1000000</f>
        <v>3310.4040617999999</v>
      </c>
      <c r="Z179" s="299">
        <f>Z67*(BOM_average!Y36)/1000000</f>
        <v>3338.9600775999997</v>
      </c>
      <c r="AA179" s="299">
        <f>AA67*(BOM_average!Z36)/1000000</f>
        <v>3385.1947485999999</v>
      </c>
      <c r="AB179" s="299">
        <f>AB67*(BOM_average!AA36)/1000000</f>
        <v>3441.5501817999998</v>
      </c>
    </row>
    <row r="180" spans="1:28">
      <c r="B180" s="295" t="s">
        <v>7758</v>
      </c>
      <c r="C180" s="299">
        <f>C67*(BOM_average!B37)/1000000</f>
        <v>0</v>
      </c>
      <c r="D180" s="299">
        <f>D67*(BOM_average!C37)/1000000</f>
        <v>182.69202240000001</v>
      </c>
      <c r="E180" s="299">
        <f>E67*(BOM_average!D37)/1000000</f>
        <v>469.06795679999999</v>
      </c>
      <c r="F180" s="299">
        <f>F67*(BOM_average!E37)/1000000</f>
        <v>754.362168</v>
      </c>
      <c r="G180" s="299">
        <f>G67*(BOM_average!F37)/1000000</f>
        <v>1000.4783183999999</v>
      </c>
      <c r="H180" s="299">
        <f>H67*(BOM_average!G37)/1000000</f>
        <v>1162.6594608</v>
      </c>
      <c r="I180" s="299">
        <f>I67*(BOM_average!H37)/1000000</f>
        <v>1291.646448</v>
      </c>
      <c r="J180" s="299">
        <f>J67*(BOM_average!I37)/1000000</f>
        <v>1439.3696544000002</v>
      </c>
      <c r="K180" s="299">
        <f>K67*(BOM_average!J37)/1000000</f>
        <v>1578.5217024000001</v>
      </c>
      <c r="L180" s="299">
        <f>L67*(BOM_average!K37)/1000000</f>
        <v>1699.5472032</v>
      </c>
      <c r="M180" s="299">
        <f>M67*(BOM_average!L37)/1000000</f>
        <v>1797.9810047999999</v>
      </c>
      <c r="N180" s="299">
        <f>N67*(BOM_average!M37)/1000000</f>
        <v>1836.2870112000001</v>
      </c>
      <c r="O180" s="299">
        <f>O67*(BOM_average!N37)/1000000</f>
        <v>1846.2456864000001</v>
      </c>
      <c r="P180" s="299">
        <f>P67*(BOM_average!O37)/1000000</f>
        <v>1849.4556528000001</v>
      </c>
      <c r="Q180" s="299">
        <f>Q67*(BOM_average!P37)/1000000</f>
        <v>1863.1263504000001</v>
      </c>
      <c r="R180" s="299">
        <f>R67*(BOM_average!Q37)/1000000</f>
        <v>1883.0842848</v>
      </c>
      <c r="S180" s="299">
        <f>S67*(BOM_average!R37)/1000000</f>
        <v>1902.496296</v>
      </c>
      <c r="T180" s="299">
        <f>T67*(BOM_average!S37)/1000000</f>
        <v>1864.1866416</v>
      </c>
      <c r="U180" s="299">
        <f>U67*(BOM_average!T37)/1000000</f>
        <v>1796.2909776000001</v>
      </c>
      <c r="V180" s="299">
        <f>V67*(BOM_average!U37)/1000000</f>
        <v>1735.9547904000001</v>
      </c>
      <c r="W180" s="299">
        <f>W67*(BOM_average!V37)/1000000</f>
        <v>1696.065552</v>
      </c>
      <c r="X180" s="299">
        <f>X67*(BOM_average!W37)/1000000</f>
        <v>1678.293864</v>
      </c>
      <c r="Y180" s="299">
        <f>Y67*(BOM_average!X37)/1000000</f>
        <v>1679.1370992</v>
      </c>
      <c r="Z180" s="299">
        <f>Z67*(BOM_average!Y37)/1000000</f>
        <v>1693.6215744000001</v>
      </c>
      <c r="AA180" s="299">
        <f>AA67*(BOM_average!Z37)/1000000</f>
        <v>1717.0731984000001</v>
      </c>
      <c r="AB180" s="299">
        <f>AB67*(BOM_average!AA37)/1000000</f>
        <v>1745.6583792000001</v>
      </c>
    </row>
    <row r="182" spans="1:28">
      <c r="B182" s="7" t="s">
        <v>6905</v>
      </c>
      <c r="C182" s="91">
        <f>C178*Outflow_routing!B4</f>
        <v>0</v>
      </c>
      <c r="D182" s="91">
        <f>D178*Outflow_routing!C4</f>
        <v>102.71722064816554</v>
      </c>
      <c r="E182" s="91">
        <f>E178*Outflow_routing!D4</f>
        <v>263.72994389496546</v>
      </c>
      <c r="F182" s="91">
        <f>F178*Outflow_routing!E4</f>
        <v>424.13447637812402</v>
      </c>
      <c r="G182" s="91">
        <f>G178*Outflow_routing!F4</f>
        <v>562.5114377451788</v>
      </c>
      <c r="H182" s="91">
        <f>H178*Outflow_routing!G4</f>
        <v>653.6965698052876</v>
      </c>
      <c r="I182" s="91">
        <f>I178*Outflow_routing!H4</f>
        <v>726.21853683434426</v>
      </c>
      <c r="J182" s="91">
        <f>J178*Outflow_routing!I4</f>
        <v>809.27480271453032</v>
      </c>
      <c r="K182" s="91">
        <f>K178*Outflow_routing!J4</f>
        <v>887.511999009644</v>
      </c>
      <c r="L182" s="91">
        <f>L178*Outflow_routing!K4</f>
        <v>955.55767996723978</v>
      </c>
      <c r="M182" s="91">
        <f>M178*Outflow_routing!L4</f>
        <v>1010.9013473335548</v>
      </c>
      <c r="N182" s="91">
        <f>N178*Outflow_routing!M4</f>
        <v>1032.438612397729</v>
      </c>
      <c r="O182" s="91">
        <f>O178*Outflow_routing!N4</f>
        <v>1038.0378029066726</v>
      </c>
      <c r="P182" s="91">
        <f>P178*Outflow_routing!O4</f>
        <v>1039.8425824621809</v>
      </c>
      <c r="Q182" s="91">
        <f>Q178*Outflow_routing!P4</f>
        <v>1047.5288297506315</v>
      </c>
      <c r="R182" s="91">
        <f>R178*Outflow_routing!Q4</f>
        <v>1058.7500288184153</v>
      </c>
      <c r="S182" s="91">
        <f>S178*Outflow_routing!R4</f>
        <v>1069.6642866577058</v>
      </c>
      <c r="T182" s="91">
        <f>T178*Outflow_routing!S4</f>
        <v>1048.1249705328667</v>
      </c>
      <c r="U182" s="91">
        <f>U178*Outflow_routing!T4</f>
        <v>1009.9511422040514</v>
      </c>
      <c r="V182" s="91">
        <f>V178*Outflow_routing!U4</f>
        <v>976.02757306143189</v>
      </c>
      <c r="W182" s="91">
        <f>W178*Outflow_routing!V4</f>
        <v>953.60014766871768</v>
      </c>
      <c r="X182" s="91">
        <f>X178*Outflow_routing!W4</f>
        <v>943.60814925737191</v>
      </c>
      <c r="Y182" s="91">
        <f>Y178*Outflow_routing!X4</f>
        <v>944.08225193004932</v>
      </c>
      <c r="Z182" s="91">
        <f>Z178*Outflow_routing!Y4</f>
        <v>952.22603957630872</v>
      </c>
      <c r="AA182" s="91">
        <f>AA178*Outflow_routing!Z4</f>
        <v>965.4115394428087</v>
      </c>
      <c r="AB182" s="91">
        <f>AB178*Outflow_routing!AA4</f>
        <v>981.48334315338661</v>
      </c>
    </row>
    <row r="183" spans="1:28">
      <c r="B183" s="7" t="s">
        <v>6907</v>
      </c>
      <c r="C183" s="91">
        <f>C179*Outflow_routing!B5</f>
        <v>0</v>
      </c>
      <c r="D183" s="91">
        <f>D179*Outflow_routing!C5</f>
        <v>30.80140763316971</v>
      </c>
      <c r="E183" s="91">
        <f>E179*Outflow_routing!D5</f>
        <v>79.083657596287253</v>
      </c>
      <c r="F183" s="91">
        <f>F179*Outflow_routing!E5</f>
        <v>127.18353179503502</v>
      </c>
      <c r="G183" s="91">
        <f>G179*Outflow_routing!F5</f>
        <v>168.67808516408735</v>
      </c>
      <c r="H183" s="91">
        <f>H179*Outflow_routing!G5</f>
        <v>196.02141089802777</v>
      </c>
      <c r="I183" s="91">
        <f>I179*Outflow_routing!H5</f>
        <v>217.76828697903636</v>
      </c>
      <c r="J183" s="91">
        <f>J179*Outflow_routing!I5</f>
        <v>242.6740416881444</v>
      </c>
      <c r="K183" s="91">
        <f>K179*Outflow_routing!J5</f>
        <v>266.13472101684613</v>
      </c>
      <c r="L183" s="91">
        <f>L179*Outflow_routing!K5</f>
        <v>286.53931085704983</v>
      </c>
      <c r="M183" s="91">
        <f>M179*Outflow_routing!L5</f>
        <v>303.13499800383653</v>
      </c>
      <c r="N183" s="91">
        <f>N179*Outflow_routing!M5</f>
        <v>309.59329269248963</v>
      </c>
      <c r="O183" s="91">
        <f>O179*Outflow_routing!N5</f>
        <v>311.27229985597666</v>
      </c>
      <c r="P183" s="91">
        <f>P179*Outflow_routing!O5</f>
        <v>311.81349197961907</v>
      </c>
      <c r="Q183" s="91">
        <f>Q179*Outflow_routing!P5</f>
        <v>314.11833662404177</v>
      </c>
      <c r="R183" s="91">
        <f>R179*Outflow_routing!Q5</f>
        <v>317.48319330959816</v>
      </c>
      <c r="S183" s="91">
        <f>S179*Outflow_routing!R5</f>
        <v>320.75600874015777</v>
      </c>
      <c r="T183" s="91">
        <f>T179*Outflow_routing!S5</f>
        <v>314.29709900803664</v>
      </c>
      <c r="U183" s="91">
        <f>U179*Outflow_routing!T5</f>
        <v>302.85006374116597</v>
      </c>
      <c r="V183" s="91">
        <f>V179*Outflow_routing!U5</f>
        <v>292.67753692491874</v>
      </c>
      <c r="W183" s="91">
        <f>W179*Outflow_routing!V5</f>
        <v>285.95231337112284</v>
      </c>
      <c r="X183" s="91">
        <f>X179*Outflow_routing!W5</f>
        <v>282.95605223598136</v>
      </c>
      <c r="Y183" s="91">
        <f>Y179*Outflow_routing!X5</f>
        <v>283.09821953362604</v>
      </c>
      <c r="Z183" s="91">
        <f>Z179*Outflow_routing!Y5</f>
        <v>285.5402649996887</v>
      </c>
      <c r="AA183" s="91">
        <f>AA179*Outflow_routing!Z5</f>
        <v>289.49414881461672</v>
      </c>
      <c r="AB183" s="91">
        <f>AB179*Outflow_routing!AA5</f>
        <v>294.31353717390095</v>
      </c>
    </row>
    <row r="184" spans="1:28">
      <c r="B184" s="7" t="s">
        <v>6908</v>
      </c>
      <c r="C184" s="91">
        <f>C180*Outflow_routing!B6</f>
        <v>0</v>
      </c>
      <c r="D184" s="91">
        <f>D180*Outflow_routing!C6</f>
        <v>2.5266152929554493</v>
      </c>
      <c r="E184" s="91">
        <f>E180*Outflow_routing!D6</f>
        <v>6.487170361995215</v>
      </c>
      <c r="F184" s="91">
        <f>F180*Outflow_routing!E6</f>
        <v>10.432765290225545</v>
      </c>
      <c r="G184" s="91">
        <f>G180*Outflow_routing!F6</f>
        <v>13.836530935133986</v>
      </c>
      <c r="H184" s="91">
        <f>H180*Outflow_routing!G6</f>
        <v>16.079482484050803</v>
      </c>
      <c r="I184" s="91">
        <f>I180*Outflow_routing!H6</f>
        <v>17.863361660439889</v>
      </c>
      <c r="J184" s="91">
        <f>J180*Outflow_routing!I6</f>
        <v>19.906361171373405</v>
      </c>
      <c r="K184" s="91">
        <f>K180*Outflow_routing!J6</f>
        <v>21.83082228305285</v>
      </c>
      <c r="L184" s="91">
        <f>L180*Outflow_routing!K6</f>
        <v>23.504594772632952</v>
      </c>
      <c r="M184" s="91">
        <f>M180*Outflow_routing!L6</f>
        <v>24.865925963776977</v>
      </c>
      <c r="N184" s="91">
        <f>N180*Outflow_routing!M6</f>
        <v>25.395694808146008</v>
      </c>
      <c r="O184" s="91">
        <f>O180*Outflow_routing!N6</f>
        <v>25.533422447959449</v>
      </c>
      <c r="P184" s="91">
        <f>P180*Outflow_routing!O6</f>
        <v>25.577816013094743</v>
      </c>
      <c r="Q184" s="91">
        <f>Q180*Outflow_routing!P6</f>
        <v>25.766880610266391</v>
      </c>
      <c r="R184" s="91">
        <f>R180*Outflow_routing!Q6</f>
        <v>26.042897163197392</v>
      </c>
      <c r="S184" s="91">
        <f>S180*Outflow_routing!R6</f>
        <v>26.311363644221704</v>
      </c>
      <c r="T184" s="91">
        <f>T180*Outflow_routing!S6</f>
        <v>25.781544348319716</v>
      </c>
      <c r="U184" s="91">
        <f>U180*Outflow_routing!T6</f>
        <v>24.84255302984732</v>
      </c>
      <c r="V184" s="91">
        <f>V180*Outflow_routing!U6</f>
        <v>24.008108639252285</v>
      </c>
      <c r="W184" s="91">
        <f>W180*Outflow_routing!V6</f>
        <v>23.456443829580845</v>
      </c>
      <c r="X184" s="91">
        <f>X180*Outflow_routing!W6</f>
        <v>23.210662880349684</v>
      </c>
      <c r="Y184" s="91">
        <f>Y180*Outflow_routing!X6</f>
        <v>23.222324752192197</v>
      </c>
      <c r="Z184" s="91">
        <f>Z180*Outflow_routing!Y6</f>
        <v>23.422643825077746</v>
      </c>
      <c r="AA184" s="91">
        <f>AA180*Outflow_routing!Z6</f>
        <v>23.74697781111961</v>
      </c>
      <c r="AB184" s="91">
        <f>AB180*Outflow_routing!AA6</f>
        <v>24.142308455623855</v>
      </c>
    </row>
    <row r="187" spans="1:28" ht="21">
      <c r="A187" s="293" t="s">
        <v>7800</v>
      </c>
      <c r="B187" s="166" t="s">
        <v>7862</v>
      </c>
      <c r="C187" s="375"/>
      <c r="D187" s="375"/>
      <c r="E187" s="375"/>
      <c r="F187" s="375"/>
      <c r="G187" s="375"/>
      <c r="H187" s="375"/>
      <c r="I187" s="375"/>
      <c r="J187" s="375"/>
      <c r="K187" s="375"/>
      <c r="L187" s="375"/>
      <c r="M187" s="375"/>
      <c r="N187" s="375"/>
      <c r="O187" s="375"/>
      <c r="P187" s="375"/>
      <c r="Q187" s="375"/>
      <c r="R187" s="381">
        <v>0</v>
      </c>
      <c r="S187" s="381">
        <v>0</v>
      </c>
      <c r="T187" s="381">
        <v>598626</v>
      </c>
      <c r="U187" s="381">
        <v>1423462</v>
      </c>
      <c r="V187" s="381">
        <v>2011538</v>
      </c>
      <c r="W187" s="381">
        <v>2229921</v>
      </c>
      <c r="X187" s="381">
        <v>2123288</v>
      </c>
      <c r="Y187" s="381">
        <v>1811642</v>
      </c>
      <c r="Z187" s="381">
        <v>1418452</v>
      </c>
      <c r="AA187" s="381">
        <v>1034585</v>
      </c>
      <c r="AB187" s="381">
        <v>710235</v>
      </c>
    </row>
    <row r="188" spans="1:28" ht="19">
      <c r="B188" s="166" t="s">
        <v>7863</v>
      </c>
      <c r="C188" s="7"/>
      <c r="D188" s="7"/>
      <c r="E188" s="7"/>
      <c r="F188" s="7"/>
      <c r="G188" s="7"/>
      <c r="H188" s="7"/>
      <c r="I188" s="7"/>
      <c r="J188" s="7"/>
      <c r="K188" s="7"/>
      <c r="L188" s="7"/>
      <c r="M188" s="7"/>
      <c r="N188" s="7"/>
      <c r="O188" s="7"/>
      <c r="P188" s="7"/>
      <c r="Q188" s="7"/>
      <c r="R188" s="7"/>
      <c r="S188" s="7">
        <v>355</v>
      </c>
      <c r="T188" s="7">
        <v>355</v>
      </c>
      <c r="U188" s="7">
        <v>355</v>
      </c>
      <c r="V188" s="7">
        <v>355</v>
      </c>
      <c r="W188" s="7">
        <v>355</v>
      </c>
      <c r="X188" s="7">
        <v>355</v>
      </c>
      <c r="Y188" s="7">
        <v>355</v>
      </c>
      <c r="Z188" s="7">
        <v>355</v>
      </c>
      <c r="AA188" s="7">
        <v>355</v>
      </c>
      <c r="AB188" s="7">
        <v>355</v>
      </c>
    </row>
    <row r="189" spans="1:28">
      <c r="B189" s="7" t="s">
        <v>7861</v>
      </c>
      <c r="C189" s="8"/>
      <c r="D189" s="8"/>
      <c r="E189" s="8"/>
      <c r="F189" s="8"/>
      <c r="G189" s="8"/>
      <c r="H189" s="8"/>
      <c r="I189" s="8"/>
      <c r="J189" s="8"/>
      <c r="K189" s="8"/>
      <c r="L189" s="8"/>
      <c r="M189" s="8"/>
      <c r="N189" s="8"/>
      <c r="O189" s="8"/>
      <c r="P189" s="8"/>
      <c r="Q189" s="8"/>
      <c r="R189" s="379">
        <f>R187*R188</f>
        <v>0</v>
      </c>
      <c r="S189" s="379">
        <f t="shared" ref="S189:AB189" si="26">S187*S188</f>
        <v>0</v>
      </c>
      <c r="T189" s="379">
        <f t="shared" si="26"/>
        <v>212512230</v>
      </c>
      <c r="U189" s="379">
        <f t="shared" si="26"/>
        <v>505329010</v>
      </c>
      <c r="V189" s="379">
        <f t="shared" si="26"/>
        <v>714095990</v>
      </c>
      <c r="W189" s="379">
        <f t="shared" si="26"/>
        <v>791621955</v>
      </c>
      <c r="X189" s="379">
        <f t="shared" si="26"/>
        <v>753767240</v>
      </c>
      <c r="Y189" s="379">
        <f t="shared" si="26"/>
        <v>643132910</v>
      </c>
      <c r="Z189" s="379">
        <f t="shared" si="26"/>
        <v>503550460</v>
      </c>
      <c r="AA189" s="379">
        <f t="shared" si="26"/>
        <v>367277675</v>
      </c>
      <c r="AB189" s="379">
        <f t="shared" si="26"/>
        <v>252133425</v>
      </c>
    </row>
  </sheetData>
  <pageMargins left="0.7" right="0.7" top="0.75" bottom="0.75" header="0.3" footer="0.3"/>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FFD8D-4E51-6B45-8D1A-2C2C5CEA8FD2}">
  <dimension ref="A1:AF189"/>
  <sheetViews>
    <sheetView zoomScale="50" zoomScaleNormal="50" workbookViewId="0">
      <pane xSplit="2" ySplit="2" topLeftCell="C145" activePane="bottomRight" state="frozen"/>
      <selection pane="topRight" activeCell="C1" sqref="C1"/>
      <selection pane="bottomLeft" activeCell="A3" sqref="A3"/>
      <selection pane="bottomRight" activeCell="R187" sqref="R187"/>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2" t="s">
        <v>175</v>
      </c>
      <c r="C2" s="213">
        <v>2007</v>
      </c>
      <c r="D2" s="213">
        <v>2008</v>
      </c>
      <c r="E2" s="213">
        <v>2009</v>
      </c>
      <c r="F2" s="213">
        <v>2010</v>
      </c>
      <c r="G2" s="213">
        <v>2011</v>
      </c>
      <c r="H2" s="213">
        <v>2012</v>
      </c>
      <c r="I2" s="213">
        <v>2013</v>
      </c>
      <c r="J2" s="213">
        <v>2014</v>
      </c>
      <c r="K2" s="213">
        <v>2015</v>
      </c>
      <c r="L2" s="213">
        <v>2016</v>
      </c>
      <c r="M2" s="213">
        <v>2017</v>
      </c>
      <c r="N2" s="213">
        <v>2018</v>
      </c>
      <c r="O2" s="213">
        <v>2019</v>
      </c>
      <c r="P2" s="213">
        <v>2020</v>
      </c>
      <c r="Q2" s="213">
        <v>2021</v>
      </c>
      <c r="R2" s="213">
        <v>2022</v>
      </c>
      <c r="S2" s="213">
        <v>2023</v>
      </c>
      <c r="T2" s="213">
        <v>2024</v>
      </c>
      <c r="U2" s="213">
        <v>2025</v>
      </c>
      <c r="V2" s="213">
        <v>2026</v>
      </c>
      <c r="W2" s="213">
        <v>2027</v>
      </c>
      <c r="X2" s="213">
        <v>2028</v>
      </c>
      <c r="Y2" s="213">
        <v>2029</v>
      </c>
      <c r="Z2" s="213">
        <v>2030</v>
      </c>
      <c r="AA2" s="213">
        <v>2031</v>
      </c>
      <c r="AB2" s="213">
        <v>2032</v>
      </c>
    </row>
    <row r="3" spans="1:28" ht="17" thickTop="1"/>
    <row r="4" spans="1:28" ht="26">
      <c r="A4" s="292" t="s">
        <v>7791</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16900001.359999999</v>
      </c>
      <c r="D5" s="47">
        <f t="shared" ref="D5:AB5" si="0">C5+D38-D67</f>
        <v>30896350.399999999</v>
      </c>
      <c r="E5" s="47">
        <f t="shared" si="0"/>
        <v>42101839.119999997</v>
      </c>
      <c r="F5" s="47">
        <f t="shared" si="0"/>
        <v>50669785.879999995</v>
      </c>
      <c r="G5" s="47">
        <f t="shared" si="0"/>
        <v>53957904.119999997</v>
      </c>
      <c r="H5" s="47">
        <f t="shared" si="0"/>
        <v>59169437.960000008</v>
      </c>
      <c r="I5" s="47">
        <f t="shared" si="0"/>
        <v>66673071.24000001</v>
      </c>
      <c r="J5" s="47">
        <f t="shared" si="0"/>
        <v>71894193.008571446</v>
      </c>
      <c r="K5" s="47">
        <f t="shared" si="0"/>
        <v>76465721.10857144</v>
      </c>
      <c r="L5" s="47">
        <f t="shared" si="0"/>
        <v>79767540.525714293</v>
      </c>
      <c r="M5" s="47">
        <f t="shared" si="0"/>
        <v>78765012.391428575</v>
      </c>
      <c r="N5" s="47">
        <f t="shared" si="0"/>
        <v>78805369.134285718</v>
      </c>
      <c r="O5" s="47">
        <f t="shared" si="0"/>
        <v>78859847.241428584</v>
      </c>
      <c r="P5" s="47">
        <f t="shared" si="0"/>
        <v>80106348.341428578</v>
      </c>
      <c r="Q5" s="47">
        <f t="shared" si="0"/>
        <v>81097657.031428576</v>
      </c>
      <c r="R5" s="47">
        <f t="shared" si="0"/>
        <v>81855968.721428573</v>
      </c>
      <c r="S5" s="47">
        <f t="shared" si="0"/>
        <v>82401429.411428571</v>
      </c>
      <c r="T5" s="47">
        <f t="shared" si="0"/>
        <v>82952067.101428568</v>
      </c>
      <c r="U5" s="47">
        <f t="shared" si="0"/>
        <v>83777831.791428566</v>
      </c>
      <c r="V5" s="47">
        <f t="shared" si="0"/>
        <v>85076651.481428564</v>
      </c>
      <c r="W5" s="47">
        <f t="shared" si="0"/>
        <v>86938801.171428561</v>
      </c>
      <c r="X5" s="47">
        <f t="shared" si="0"/>
        <v>89343273.861428559</v>
      </c>
      <c r="Y5" s="47">
        <f t="shared" si="0"/>
        <v>92181361.551428556</v>
      </c>
      <c r="Z5" s="47">
        <f t="shared" si="0"/>
        <v>95292809.241428554</v>
      </c>
      <c r="AA5" s="47">
        <f t="shared" si="0"/>
        <v>98502089.931428552</v>
      </c>
      <c r="AB5" s="47">
        <f t="shared" si="0"/>
        <v>101647122.62142855</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7762</v>
      </c>
      <c r="B7" s="7">
        <v>2007</v>
      </c>
      <c r="C7" s="83">
        <f>$C$38*Product_lifespan!B24</f>
        <v>16900001.359999999</v>
      </c>
      <c r="D7" s="83">
        <f>$C$38*Product_lifespan!C24</f>
        <v>14896799.030635754</v>
      </c>
      <c r="E7" s="83">
        <f>$C$38*Product_lifespan!D24</f>
        <v>11649979.767266605</v>
      </c>
      <c r="F7" s="83">
        <f>$C$38*Product_lifespan!E24</f>
        <v>8390153.9679797478</v>
      </c>
      <c r="G7" s="83">
        <f>$C$38*Product_lifespan!F24</f>
        <v>5643080.4974977039</v>
      </c>
      <c r="H7" s="83">
        <f>$C$38*Product_lifespan!G24</f>
        <v>3574088.9438018613</v>
      </c>
      <c r="I7" s="83">
        <f>$C$38*Product_lifespan!H24</f>
        <v>2143811.7153358618</v>
      </c>
      <c r="J7" s="83">
        <f>$C$38*Product_lifespan!I24</f>
        <v>1222970.0900893798</v>
      </c>
      <c r="K7" s="83">
        <f>$C$38*Product_lifespan!J24</f>
        <v>665717.58425898873</v>
      </c>
      <c r="L7" s="83">
        <f>$C$38*Product_lifespan!K24</f>
        <v>346717.36159323069</v>
      </c>
      <c r="M7" s="83">
        <f>$C$38*Product_lifespan!L24</f>
        <v>173158.89574638041</v>
      </c>
      <c r="N7" s="83">
        <f>$C$38*Product_lifespan!M24</f>
        <v>83085.465811483533</v>
      </c>
      <c r="O7" s="83">
        <f>$C$38*Product_lifespan!N24</f>
        <v>38364.719865919615</v>
      </c>
      <c r="P7" s="83">
        <f>$C$38*Product_lifespan!O24</f>
        <v>17072.342664937754</v>
      </c>
      <c r="Q7" s="83">
        <f>$C$38*Product_lifespan!P24</f>
        <v>7331.0207046344212</v>
      </c>
      <c r="R7" s="83">
        <f>$C$38*Product_lifespan!Q24</f>
        <v>3041.1902959391773</v>
      </c>
      <c r="S7" s="83">
        <f>$C$38*Product_lifespan!R24</f>
        <v>1220.0548398241492</v>
      </c>
      <c r="T7" s="83">
        <f>$C$38*Product_lifespan!S24</f>
        <v>473.78280632317092</v>
      </c>
      <c r="U7" s="83">
        <f>$C$38*Product_lifespan!T24</f>
        <v>178.24437707020147</v>
      </c>
      <c r="V7" s="83">
        <f>$C$38*Product_lifespan!U24</f>
        <v>65.017620836787998</v>
      </c>
      <c r="W7" s="83">
        <f>$C$38*Product_lifespan!V24</f>
        <v>23.011278033301007</v>
      </c>
      <c r="X7" s="83">
        <f>$C$38*Product_lifespan!W24</f>
        <v>7.9074688135779434</v>
      </c>
      <c r="Y7" s="83">
        <f>$C$38*Product_lifespan!X24</f>
        <v>2.6399372482090095</v>
      </c>
      <c r="Z7" s="83">
        <f>$C$38*Product_lifespan!Y24</f>
        <v>0.85676812513696443</v>
      </c>
      <c r="AA7" s="83">
        <f>$C$38*Product_lifespan!Z24</f>
        <v>0.27044855340017476</v>
      </c>
      <c r="AB7" s="83">
        <f>$C$38*Product_lifespan!AA24</f>
        <v>8.3077095926761574E-2</v>
      </c>
    </row>
    <row r="8" spans="1:28">
      <c r="A8" s="1"/>
      <c r="B8" s="7">
        <v>2008</v>
      </c>
      <c r="C8" s="83"/>
      <c r="D8" s="83">
        <f>$D$38*Product_lifespan!B24</f>
        <v>15999551.039999999</v>
      </c>
      <c r="E8" s="83">
        <f>$D$38*Product_lifespan!C24</f>
        <v>14103081.493673872</v>
      </c>
      <c r="F8" s="83">
        <f>$D$38*Product_lifespan!D24</f>
        <v>11029256.266364548</v>
      </c>
      <c r="G8" s="83">
        <f>$D$38*Product_lifespan!E24</f>
        <v>7943117.5054148333</v>
      </c>
      <c r="H8" s="83">
        <f>$D$38*Product_lifespan!F24</f>
        <v>5342411.075554085</v>
      </c>
      <c r="I8" s="83">
        <f>$D$38*Product_lifespan!G24</f>
        <v>3383657.6258037398</v>
      </c>
      <c r="J8" s="83">
        <f>$D$38*Product_lifespan!H24</f>
        <v>2029587.1123921655</v>
      </c>
      <c r="K8" s="83">
        <f>$D$38*Product_lifespan!I24</f>
        <v>1157808.9232046327</v>
      </c>
      <c r="L8" s="83">
        <f>$D$38*Product_lifespan!J24</f>
        <v>630247.43257045455</v>
      </c>
      <c r="M8" s="83">
        <f>$D$38*Product_lifespan!K24</f>
        <v>328243.88620433991</v>
      </c>
      <c r="N8" s="83">
        <f>$D$38*Product_lifespan!L24</f>
        <v>163932.80281512666</v>
      </c>
      <c r="O8" s="83">
        <f>$D$38*Product_lifespan!M24</f>
        <v>78658.582482682454</v>
      </c>
      <c r="P8" s="83">
        <f>$D$38*Product_lifespan!N24</f>
        <v>36320.606167695769</v>
      </c>
      <c r="Q8" s="83">
        <f>$D$38*Product_lifespan!O24</f>
        <v>16162.709814127567</v>
      </c>
      <c r="R8" s="83">
        <f>$D$38*Product_lifespan!P24</f>
        <v>6940.4160059248179</v>
      </c>
      <c r="S8" s="83">
        <f>$D$38*Product_lifespan!Q24</f>
        <v>2879.1523932890127</v>
      </c>
      <c r="T8" s="83">
        <f>$D$38*Product_lifespan!R24</f>
        <v>1155.0490006212342</v>
      </c>
      <c r="U8" s="83">
        <f>$D$38*Product_lifespan!S24</f>
        <v>448.53914684193893</v>
      </c>
      <c r="V8" s="83">
        <f>$D$38*Product_lifespan!T24</f>
        <v>168.74732420303746</v>
      </c>
      <c r="W8" s="83">
        <f>$D$38*Product_lifespan!U24</f>
        <v>61.553411796740647</v>
      </c>
      <c r="X8" s="83">
        <f>$D$38*Product_lifespan!V24</f>
        <v>21.78521229358234</v>
      </c>
      <c r="Y8" s="83">
        <f>$D$38*Product_lifespan!W24</f>
        <v>7.4861503372120763</v>
      </c>
      <c r="Z8" s="83">
        <f>$D$38*Product_lifespan!X24</f>
        <v>2.4992785411892533</v>
      </c>
      <c r="AA8" s="83">
        <f>$D$38*Product_lifespan!Y24</f>
        <v>0.8111185943463125</v>
      </c>
      <c r="AB8" s="83">
        <f>$D$38*Product_lifespan!Z24</f>
        <v>0.25603876246198487</v>
      </c>
    </row>
    <row r="9" spans="1:28">
      <c r="A9" s="1"/>
      <c r="B9" s="7">
        <v>2009</v>
      </c>
      <c r="C9" s="83"/>
      <c r="D9" s="83"/>
      <c r="E9" s="83">
        <f>$E$38*Product_lifespan!B24</f>
        <v>16348777.720000001</v>
      </c>
      <c r="F9" s="83">
        <f>$E$38*Product_lifespan!C24</f>
        <v>14410913.401925042</v>
      </c>
      <c r="G9" s="83">
        <f>$E$38*Product_lifespan!D24</f>
        <v>11269994.930789704</v>
      </c>
      <c r="H9" s="83">
        <f>$E$38*Product_lifespan!E24</f>
        <v>8116494.1550677419</v>
      </c>
      <c r="I9" s="83">
        <f>$E$38*Product_lifespan!F24</f>
        <v>5459021.3778336039</v>
      </c>
      <c r="J9" s="83">
        <f>$E$38*Product_lifespan!G24</f>
        <v>3457513.6681365455</v>
      </c>
      <c r="K9" s="83">
        <f>$E$38*Product_lifespan!H24</f>
        <v>2073887.4785249082</v>
      </c>
      <c r="L9" s="83">
        <f>$E$38*Product_lifespan!I24</f>
        <v>1183080.7427272091</v>
      </c>
      <c r="M9" s="83">
        <f>$E$38*Product_lifespan!J24</f>
        <v>644004.01973373443</v>
      </c>
      <c r="N9" s="83">
        <f>$E$38*Product_lifespan!K24</f>
        <v>335408.55740810389</v>
      </c>
      <c r="O9" s="83">
        <f>$E$38*Product_lifespan!L24</f>
        <v>167511.00999900908</v>
      </c>
      <c r="P9" s="83">
        <f>$E$38*Product_lifespan!M24</f>
        <v>80375.48538484874</v>
      </c>
      <c r="Q9" s="83">
        <f>$E$38*Product_lifespan!N24</f>
        <v>37113.386207324431</v>
      </c>
      <c r="R9" s="83">
        <f>$E$38*Product_lifespan!O24</f>
        <v>16515.497806370578</v>
      </c>
      <c r="S9" s="83">
        <f>$E$38*Product_lifespan!P24</f>
        <v>7091.9064092185336</v>
      </c>
      <c r="T9" s="83">
        <f>$E$38*Product_lifespan!Q24</f>
        <v>2941.9964586636361</v>
      </c>
      <c r="U9" s="83">
        <f>$E$38*Product_lifespan!R24</f>
        <v>1180.2605785408778</v>
      </c>
      <c r="V9" s="83">
        <f>$E$38*Product_lifespan!S24</f>
        <v>458.32953637912209</v>
      </c>
      <c r="W9" s="83">
        <f>$E$38*Product_lifespan!T24</f>
        <v>172.43061929319211</v>
      </c>
      <c r="X9" s="83">
        <f>$E$38*Product_lifespan!U24</f>
        <v>62.896955349350776</v>
      </c>
      <c r="Y9" s="83">
        <f>$E$38*Product_lifespan!V24</f>
        <v>22.260724221595979</v>
      </c>
      <c r="Z9" s="83">
        <f>$E$38*Product_lifespan!W24</f>
        <v>7.6495526365459368</v>
      </c>
      <c r="AA9" s="83">
        <f>$E$38*Product_lifespan!X24</f>
        <v>2.5538309936394921</v>
      </c>
      <c r="AB9" s="83">
        <f>$E$38*Product_lifespan!Y24</f>
        <v>0.82882310699680195</v>
      </c>
    </row>
    <row r="10" spans="1:28">
      <c r="A10" s="1"/>
      <c r="B10" s="7">
        <v>2010</v>
      </c>
      <c r="C10" s="83"/>
      <c r="D10" s="83"/>
      <c r="E10" s="83"/>
      <c r="F10" s="83">
        <f>$F$38*Product_lifespan!B24</f>
        <v>16839461.760000002</v>
      </c>
      <c r="G10" s="83">
        <f>$F$38*Product_lifespan!C24</f>
        <v>14843435.351226261</v>
      </c>
      <c r="H10" s="83">
        <f>$F$38*Product_lifespan!D24</f>
        <v>11608246.923576564</v>
      </c>
      <c r="I10" s="83">
        <f>$F$38*Product_lifespan!E24</f>
        <v>8360098.5523416102</v>
      </c>
      <c r="J10" s="83">
        <f>$F$38*Product_lifespan!F24</f>
        <v>5622865.7159240823</v>
      </c>
      <c r="K10" s="83">
        <f>$F$38*Product_lifespan!G24</f>
        <v>3561285.7545941784</v>
      </c>
      <c r="L10" s="83">
        <f>$F$38*Product_lifespan!H24</f>
        <v>2136132.1003490295</v>
      </c>
      <c r="M10" s="83">
        <f>$F$38*Product_lifespan!I24</f>
        <v>1218589.1365918722</v>
      </c>
      <c r="N10" s="83">
        <f>$F$38*Product_lifespan!J24</f>
        <v>663332.83437610441</v>
      </c>
      <c r="O10" s="83">
        <f>$F$38*Product_lifespan!K24</f>
        <v>345475.34214383649</v>
      </c>
      <c r="P10" s="83">
        <f>$F$38*Product_lifespan!L24</f>
        <v>172538.60169659773</v>
      </c>
      <c r="Q10" s="83">
        <f>$F$38*Product_lifespan!M24</f>
        <v>82787.835014959099</v>
      </c>
      <c r="R10" s="83">
        <f>$F$38*Product_lifespan!N24</f>
        <v>38227.288824032723</v>
      </c>
      <c r="S10" s="83">
        <f>$F$38*Product_lifespan!O24</f>
        <v>17011.185699681853</v>
      </c>
      <c r="T10" s="83">
        <f>$F$38*Product_lifespan!P24</f>
        <v>7304.759342188574</v>
      </c>
      <c r="U10" s="83">
        <f>$F$38*Product_lifespan!Q24</f>
        <v>3030.2960693578821</v>
      </c>
      <c r="V10" s="83">
        <f>$F$38*Product_lifespan!R24</f>
        <v>1215.6843294077514</v>
      </c>
      <c r="W10" s="83">
        <f>$F$38*Product_lifespan!S24</f>
        <v>472.08560991645533</v>
      </c>
      <c r="X10" s="83">
        <f>$F$38*Product_lifespan!T24</f>
        <v>177.60586568430185</v>
      </c>
      <c r="Y10" s="83">
        <f>$F$38*Product_lifespan!U24</f>
        <v>64.784713118346801</v>
      </c>
      <c r="Z10" s="83">
        <f>$F$38*Product_lifespan!V24</f>
        <v>22.928846467885752</v>
      </c>
      <c r="AA10" s="83">
        <f>$F$38*Product_lifespan!W24</f>
        <v>7.8791424845564837</v>
      </c>
      <c r="AB10" s="83">
        <f>$F$38*Product_lifespan!X24</f>
        <v>2.6304804001515922</v>
      </c>
    </row>
    <row r="11" spans="1:28">
      <c r="A11" s="1"/>
      <c r="B11" s="7">
        <v>2011</v>
      </c>
      <c r="C11" s="83"/>
      <c r="D11" s="83"/>
      <c r="E11" s="83"/>
      <c r="F11" s="83"/>
      <c r="G11" s="83">
        <f>$G$38*Product_lifespan!B24</f>
        <v>14258275.240000002</v>
      </c>
      <c r="H11" s="83">
        <f>$G$38*Product_lifespan!C24</f>
        <v>12568203.76810726</v>
      </c>
      <c r="I11" s="83">
        <f>$G$38*Product_lifespan!D24</f>
        <v>9828911.5204022937</v>
      </c>
      <c r="J11" s="83">
        <f>$G$38*Product_lifespan!E24</f>
        <v>7078645.8552943813</v>
      </c>
      <c r="K11" s="83">
        <f>$G$38*Product_lifespan!F24</f>
        <v>4760981.5656723948</v>
      </c>
      <c r="L11" s="83">
        <f>$G$38*Product_lifespan!G24</f>
        <v>3015404.7214211491</v>
      </c>
      <c r="M11" s="83">
        <f>$G$38*Product_lifespan!H24</f>
        <v>1808701.4816663454</v>
      </c>
      <c r="N11" s="83">
        <f>$G$38*Product_lifespan!I24</f>
        <v>1031801.3462445056</v>
      </c>
      <c r="O11" s="83">
        <f>$G$38*Product_lifespan!J24</f>
        <v>561655.84524382278</v>
      </c>
      <c r="P11" s="83">
        <f>$G$38*Product_lifespan!K24</f>
        <v>292520.18782576529</v>
      </c>
      <c r="Q11" s="83">
        <f>$G$38*Product_lifespan!L24</f>
        <v>146091.53829123464</v>
      </c>
      <c r="R11" s="83">
        <f>$G$38*Product_lifespan!M24</f>
        <v>70097.949387605389</v>
      </c>
      <c r="S11" s="83">
        <f>$G$38*Product_lifespan!N24</f>
        <v>32367.73321500951</v>
      </c>
      <c r="T11" s="83">
        <f>$G$38*Product_lifespan!O24</f>
        <v>14403.676989306328</v>
      </c>
      <c r="U11" s="83">
        <f>$G$38*Product_lifespan!P24</f>
        <v>6185.0711588828144</v>
      </c>
      <c r="V11" s="83">
        <f>$G$38*Product_lifespan!Q24</f>
        <v>2565.8062016107347</v>
      </c>
      <c r="W11" s="83">
        <f>$G$38*Product_lifespan!R24</f>
        <v>1029.341793739763</v>
      </c>
      <c r="X11" s="83">
        <f>$G$38*Product_lifespan!S24</f>
        <v>399.72337946222416</v>
      </c>
      <c r="Y11" s="83">
        <f>$G$38*Product_lifespan!T24</f>
        <v>150.38208187749387</v>
      </c>
      <c r="Z11" s="83">
        <f>$G$38*Product_lifespan!U24</f>
        <v>54.854382173900753</v>
      </c>
      <c r="AA11" s="83">
        <f>$G$38*Product_lifespan!V24</f>
        <v>19.414266829560287</v>
      </c>
      <c r="AB11" s="83">
        <f>$G$38*Product_lifespan!W24</f>
        <v>6.6714116995615784</v>
      </c>
    </row>
    <row r="12" spans="1:28">
      <c r="A12" s="1"/>
      <c r="B12" s="7">
        <v>2012</v>
      </c>
      <c r="C12" s="83"/>
      <c r="D12" s="83"/>
      <c r="E12" s="83"/>
      <c r="F12" s="83"/>
      <c r="G12" s="83"/>
      <c r="H12" s="83">
        <f>$H$38*Product_lifespan!B24</f>
        <v>17959992.840000004</v>
      </c>
      <c r="I12" s="83">
        <f>$H$38*Product_lifespan!C24</f>
        <v>15831146.88750162</v>
      </c>
      <c r="J12" s="83">
        <f>$H$38*Product_lifespan!D24</f>
        <v>12380682.625356495</v>
      </c>
      <c r="K12" s="83">
        <f>$H$38*Product_lifespan!E24</f>
        <v>8916396.0393559337</v>
      </c>
      <c r="L12" s="83">
        <f>$H$38*Product_lifespan!F24</f>
        <v>5997022.3180267494</v>
      </c>
      <c r="M12" s="83">
        <f>$H$38*Product_lifespan!G24</f>
        <v>3798260.7499745553</v>
      </c>
      <c r="N12" s="83">
        <f>$H$38*Product_lifespan!H24</f>
        <v>2278274.5538039533</v>
      </c>
      <c r="O12" s="83">
        <f>$H$38*Product_lifespan!I24</f>
        <v>1299676.4670993742</v>
      </c>
      <c r="P12" s="83">
        <f>$H$38*Product_lifespan!J24</f>
        <v>707472.3126977036</v>
      </c>
      <c r="Q12" s="83">
        <f>$H$38*Product_lifespan!K24</f>
        <v>368463.95447379514</v>
      </c>
      <c r="R12" s="83">
        <f>$H$38*Product_lifespan!L24</f>
        <v>184019.6613917491</v>
      </c>
      <c r="S12" s="83">
        <f>$H$38*Product_lifespan!M24</f>
        <v>88296.70124253229</v>
      </c>
      <c r="T12" s="83">
        <f>$H$38*Product_lifespan!N24</f>
        <v>40771.008204257465</v>
      </c>
      <c r="U12" s="83">
        <f>$H$38*Product_lifespan!O24</f>
        <v>18143.143630155821</v>
      </c>
      <c r="V12" s="83">
        <f>$H$38*Product_lifespan!P24</f>
        <v>7790.8324715735998</v>
      </c>
      <c r="W12" s="83">
        <f>$H$38*Product_lifespan!Q24</f>
        <v>3231.9379612254133</v>
      </c>
      <c r="X12" s="83">
        <f>$H$38*Product_lifespan!R24</f>
        <v>1296.5783683019224</v>
      </c>
      <c r="Y12" s="83">
        <f>$H$38*Product_lifespan!S24</f>
        <v>503.49911979410979</v>
      </c>
      <c r="Z12" s="83">
        <f>$H$38*Product_lifespan!T24</f>
        <v>189.42411114404072</v>
      </c>
      <c r="AA12" s="83">
        <f>$H$38*Product_lifespan!U24</f>
        <v>69.09561601967512</v>
      </c>
      <c r="AB12" s="83">
        <f>$H$38*Product_lifespan!V24</f>
        <v>24.454577246101209</v>
      </c>
    </row>
    <row r="13" spans="1:28">
      <c r="A13" s="1"/>
      <c r="B13" s="7">
        <v>2013</v>
      </c>
      <c r="C13" s="83"/>
      <c r="D13" s="83"/>
      <c r="E13" s="83"/>
      <c r="F13" s="83"/>
      <c r="G13" s="83"/>
      <c r="H13" s="83"/>
      <c r="I13" s="83">
        <f>$I$38*Product_lifespan!B24</f>
        <v>21666423.280000001</v>
      </c>
      <c r="J13" s="83">
        <f>$I$38*Product_lifespan!C24</f>
        <v>19098244.221374899</v>
      </c>
      <c r="K13" s="83">
        <f>$I$38*Product_lifespan!D24</f>
        <v>14935702.516478034</v>
      </c>
      <c r="L13" s="83">
        <f>$I$38*Product_lifespan!E24</f>
        <v>10756485.954189343</v>
      </c>
      <c r="M13" s="83">
        <f>$I$38*Product_lifespan!F24</f>
        <v>7234636.7350764666</v>
      </c>
      <c r="N13" s="83">
        <f>$I$38*Product_lifespan!G24</f>
        <v>4582113.4713079846</v>
      </c>
      <c r="O13" s="83">
        <f>$I$38*Product_lifespan!H24</f>
        <v>2748445.4626747826</v>
      </c>
      <c r="P13" s="83">
        <f>$I$38*Product_lifespan!I24</f>
        <v>1567892.6330368198</v>
      </c>
      <c r="Q13" s="83">
        <f>$I$38*Product_lifespan!J24</f>
        <v>853474.42631769797</v>
      </c>
      <c r="R13" s="83">
        <f>$I$38*Product_lifespan!K24</f>
        <v>444504.40889217489</v>
      </c>
      <c r="S13" s="83">
        <f>$I$38*Product_lifespan!L24</f>
        <v>221996.07266413083</v>
      </c>
      <c r="T13" s="83">
        <f>$I$38*Product_lifespan!M24</f>
        <v>106518.62282971857</v>
      </c>
      <c r="U13" s="83">
        <f>$I$38*Product_lifespan!N24</f>
        <v>49184.981819057044</v>
      </c>
      <c r="V13" s="83">
        <f>$I$38*Product_lifespan!O24</f>
        <v>21887.371171178689</v>
      </c>
      <c r="W13" s="83">
        <f>$I$38*Product_lifespan!P24</f>
        <v>9398.6381585151103</v>
      </c>
      <c r="X13" s="83">
        <f>$I$38*Product_lifespan!Q24</f>
        <v>3898.9178061726902</v>
      </c>
      <c r="Y13" s="83">
        <f>$I$38*Product_lifespan!R24</f>
        <v>1564.1551749817504</v>
      </c>
      <c r="Z13" s="83">
        <f>$I$38*Product_lifespan!S24</f>
        <v>607.40698216038982</v>
      </c>
      <c r="AA13" s="83">
        <f>$I$38*Product_lifespan!T24</f>
        <v>228.51584675155976</v>
      </c>
      <c r="AB13" s="83">
        <f>$I$38*Product_lifespan!U24</f>
        <v>83.354981085539777</v>
      </c>
    </row>
    <row r="14" spans="1:28">
      <c r="A14" s="1"/>
      <c r="B14" s="7">
        <v>2014</v>
      </c>
      <c r="C14" s="83"/>
      <c r="D14" s="83"/>
      <c r="E14" s="83"/>
      <c r="F14" s="83"/>
      <c r="G14" s="83"/>
      <c r="H14" s="83"/>
      <c r="I14" s="83"/>
      <c r="J14" s="83">
        <f>$J$38*Product_lifespan!B24</f>
        <v>21003683.768571429</v>
      </c>
      <c r="K14" s="83">
        <f>$J$38*Product_lifespan!C24</f>
        <v>18514060.995521411</v>
      </c>
      <c r="L14" s="83">
        <f>$J$38*Product_lifespan!D24</f>
        <v>14478844.45270383</v>
      </c>
      <c r="M14" s="83">
        <f>$J$38*Product_lifespan!E24</f>
        <v>10427463.108385891</v>
      </c>
      <c r="N14" s="83">
        <f>$J$38*Product_lifespan!F24</f>
        <v>7013341.3438988328</v>
      </c>
      <c r="O14" s="83">
        <f>$J$38*Product_lifespan!G24</f>
        <v>4441954.313331591</v>
      </c>
      <c r="P14" s="83">
        <f>$J$38*Product_lifespan!H24</f>
        <v>2664375.1304569785</v>
      </c>
      <c r="Q14" s="83">
        <f>$J$38*Product_lifespan!I24</f>
        <v>1519933.4297958093</v>
      </c>
      <c r="R14" s="83">
        <f>$J$38*Product_lifespan!J24</f>
        <v>827368.07655222015</v>
      </c>
      <c r="S14" s="83">
        <f>$J$38*Product_lifespan!K24</f>
        <v>430907.76532207633</v>
      </c>
      <c r="T14" s="83">
        <f>$J$38*Product_lifespan!L24</f>
        <v>215205.58552026073</v>
      </c>
      <c r="U14" s="83">
        <f>$J$38*Product_lifespan!M24</f>
        <v>103260.39699613687</v>
      </c>
      <c r="V14" s="83">
        <f>$J$38*Product_lifespan!N24</f>
        <v>47680.495804031445</v>
      </c>
      <c r="W14" s="83">
        <f>$J$38*Product_lifespan!O24</f>
        <v>21217.873234718048</v>
      </c>
      <c r="X14" s="83">
        <f>$J$38*Product_lifespan!P24</f>
        <v>9111.1495970312208</v>
      </c>
      <c r="Y14" s="83">
        <f>$J$38*Product_lifespan!Q24</f>
        <v>3779.656456545672</v>
      </c>
      <c r="Z14" s="83">
        <f>$J$38*Product_lifespan!R24</f>
        <v>1516.3102943076626</v>
      </c>
      <c r="AA14" s="83">
        <f>$J$38*Product_lifespan!S24</f>
        <v>588.82742237827881</v>
      </c>
      <c r="AB14" s="83">
        <f>$J$38*Product_lifespan!T24</f>
        <v>221.52593066468935</v>
      </c>
    </row>
    <row r="15" spans="1:28">
      <c r="A15" s="1"/>
      <c r="B15" s="7">
        <v>2015</v>
      </c>
      <c r="C15" s="83"/>
      <c r="D15" s="83"/>
      <c r="E15" s="83"/>
      <c r="F15" s="83"/>
      <c r="G15" s="83"/>
      <c r="H15" s="83"/>
      <c r="I15" s="83"/>
      <c r="J15" s="83"/>
      <c r="K15" s="83">
        <f>$K$38*Product_lifespan!B24</f>
        <v>21879880.099999998</v>
      </c>
      <c r="L15" s="83">
        <f>$K$38*Product_lifespan!C24</f>
        <v>19286399.434000194</v>
      </c>
      <c r="M15" s="83">
        <f>$K$38*Product_lifespan!D24</f>
        <v>15082848.518493801</v>
      </c>
      <c r="N15" s="83">
        <f>$K$38*Product_lifespan!E24</f>
        <v>10862458.465502519</v>
      </c>
      <c r="O15" s="83">
        <f>$K$38*Product_lifespan!F24</f>
        <v>7305912.1150211608</v>
      </c>
      <c r="P15" s="83">
        <f>$K$38*Product_lifespan!G24</f>
        <v>4627256.2878137166</v>
      </c>
      <c r="Q15" s="83">
        <f>$K$38*Product_lifespan!H24</f>
        <v>2775523.0481545939</v>
      </c>
      <c r="R15" s="83">
        <f>$K$38*Product_lifespan!I24</f>
        <v>1583339.4546568145</v>
      </c>
      <c r="S15" s="83">
        <f>$K$38*Product_lifespan!J24</f>
        <v>861882.82555548381</v>
      </c>
      <c r="T15" s="83">
        <f>$K$38*Product_lifespan!K24</f>
        <v>448883.65028203954</v>
      </c>
      <c r="U15" s="83">
        <f>$K$38*Product_lifespan!L24</f>
        <v>224183.16995799361</v>
      </c>
      <c r="V15" s="83">
        <f>$K$38*Product_lifespan!M24</f>
        <v>107568.04045653099</v>
      </c>
      <c r="W15" s="83">
        <f>$K$38*Product_lifespan!N24</f>
        <v>49669.550484368083</v>
      </c>
      <c r="X15" s="83">
        <f>$K$38*Product_lifespan!O24</f>
        <v>22103.004761826392</v>
      </c>
      <c r="Y15" s="83">
        <f>$K$38*Product_lifespan!P24</f>
        <v>9491.2332023634026</v>
      </c>
      <c r="Z15" s="83">
        <f>$K$38*Product_lifespan!Q24</f>
        <v>3937.3298036487677</v>
      </c>
      <c r="AA15" s="83">
        <f>$K$38*Product_lifespan!R24</f>
        <v>1579.5651752999081</v>
      </c>
      <c r="AB15" s="83">
        <f>$K$38*Product_lifespan!S24</f>
        <v>613.39113382133485</v>
      </c>
    </row>
    <row r="16" spans="1:28">
      <c r="A16" s="1"/>
      <c r="B16" s="7">
        <v>2016</v>
      </c>
      <c r="C16" s="83"/>
      <c r="D16" s="83"/>
      <c r="E16" s="83"/>
      <c r="F16" s="83"/>
      <c r="G16" s="83"/>
      <c r="H16" s="83"/>
      <c r="I16" s="83"/>
      <c r="J16" s="83"/>
      <c r="K16" s="83"/>
      <c r="L16" s="83">
        <f>$L$38*Product_lifespan!B24</f>
        <v>21937205.417142857</v>
      </c>
      <c r="M16" s="83">
        <f>$L$38*Product_lifespan!C24</f>
        <v>19336929.828090329</v>
      </c>
      <c r="N16" s="83">
        <f>$L$38*Product_lifespan!D24</f>
        <v>15122365.603175648</v>
      </c>
      <c r="O16" s="83">
        <f>$L$38*Product_lifespan!E24</f>
        <v>10890918.122211793</v>
      </c>
      <c r="P16" s="83">
        <f>$L$38*Product_lifespan!F24</f>
        <v>7325053.6152075101</v>
      </c>
      <c r="Q16" s="83">
        <f>$L$38*Product_lifespan!G24</f>
        <v>4639379.705903206</v>
      </c>
      <c r="R16" s="83">
        <f>$L$38*Product_lifespan!H24</f>
        <v>2782794.9225088223</v>
      </c>
      <c r="S16" s="83">
        <f>$L$38*Product_lifespan!I24</f>
        <v>1587487.8062916575</v>
      </c>
      <c r="T16" s="83">
        <f>$L$38*Product_lifespan!J24</f>
        <v>864140.95979064133</v>
      </c>
      <c r="U16" s="83">
        <f>$L$38*Product_lifespan!K24</f>
        <v>450059.7260875309</v>
      </c>
      <c r="V16" s="83">
        <f>$L$38*Product_lifespan!L24</f>
        <v>224770.53018378999</v>
      </c>
      <c r="W16" s="83">
        <f>$L$38*Product_lifespan!M24</f>
        <v>107849.86887631316</v>
      </c>
      <c r="X16" s="83">
        <f>$L$38*Product_lifespan!N24</f>
        <v>49799.684777647853</v>
      </c>
      <c r="Y16" s="83">
        <f>$L$38*Product_lifespan!O24</f>
        <v>22160.91466590223</v>
      </c>
      <c r="Z16" s="83">
        <f>$L$38*Product_lifespan!P24</f>
        <v>9516.1002469228606</v>
      </c>
      <c r="AA16" s="83">
        <f>$L$38*Product_lifespan!Q24</f>
        <v>3947.6456133633828</v>
      </c>
      <c r="AB16" s="83">
        <f>$L$38*Product_lifespan!R24</f>
        <v>1583.7036383174402</v>
      </c>
    </row>
    <row r="17" spans="1:28">
      <c r="A17" s="86"/>
      <c r="B17" s="7">
        <v>2017</v>
      </c>
      <c r="C17" s="83"/>
      <c r="D17" s="83"/>
      <c r="E17" s="83"/>
      <c r="F17" s="83"/>
      <c r="G17" s="83"/>
      <c r="H17" s="83"/>
      <c r="I17" s="83"/>
      <c r="J17" s="83"/>
      <c r="K17" s="83"/>
      <c r="L17" s="83"/>
      <c r="M17" s="83">
        <f>$M$38*Product_lifespan!B24</f>
        <v>18712175.865714282</v>
      </c>
      <c r="N17" s="83">
        <f>$M$38*Product_lifespan!C24</f>
        <v>16494171.64883934</v>
      </c>
      <c r="O17" s="83">
        <f>$M$38*Product_lifespan!D24</f>
        <v>12899198.384271957</v>
      </c>
      <c r="P17" s="83">
        <f>$M$38*Product_lifespan!E24</f>
        <v>9289823.9026684631</v>
      </c>
      <c r="Q17" s="83">
        <f>$M$38*Product_lifespan!F24</f>
        <v>6248183.7985816281</v>
      </c>
      <c r="R17" s="83">
        <f>$M$38*Product_lifespan!G24</f>
        <v>3957335.8280561371</v>
      </c>
      <c r="S17" s="83">
        <f>$M$38*Product_lifespan!H24</f>
        <v>2373691.0421374813</v>
      </c>
      <c r="T17" s="83">
        <f>$M$38*Product_lifespan!I24</f>
        <v>1354108.2581463717</v>
      </c>
      <c r="U17" s="83">
        <f>$M$38*Product_lifespan!J24</f>
        <v>737101.98290496843</v>
      </c>
      <c r="V17" s="83">
        <f>$M$38*Product_lifespan!K24</f>
        <v>383895.60495449475</v>
      </c>
      <c r="W17" s="83">
        <f>$M$38*Product_lifespan!L24</f>
        <v>191726.59462550216</v>
      </c>
      <c r="X17" s="83">
        <f>$M$38*Product_lifespan!M24</f>
        <v>91994.658167842368</v>
      </c>
      <c r="Y17" s="83">
        <f>$M$38*Product_lifespan!N24</f>
        <v>42478.540082789106</v>
      </c>
      <c r="Z17" s="83">
        <f>$M$38*Product_lifespan!O24</f>
        <v>18902.997199880258</v>
      </c>
      <c r="AA17" s="83">
        <f>$M$38*Product_lifespan!P24</f>
        <v>8117.1205716584591</v>
      </c>
      <c r="AB17" s="83">
        <f>$M$38*Product_lifespan!Q24</f>
        <v>3367.2948567571921</v>
      </c>
    </row>
    <row r="18" spans="1:28">
      <c r="A18" s="1"/>
      <c r="B18" s="7">
        <v>2018</v>
      </c>
      <c r="C18" s="83"/>
      <c r="D18" s="83"/>
      <c r="E18" s="83"/>
      <c r="F18" s="83"/>
      <c r="G18" s="83"/>
      <c r="H18" s="83"/>
      <c r="I18" s="83"/>
      <c r="J18" s="83"/>
      <c r="K18" s="83"/>
      <c r="L18" s="83"/>
      <c r="M18" s="83"/>
      <c r="N18" s="83">
        <f>$N$38*Product_lifespan!B24</f>
        <v>20175082.742857143</v>
      </c>
      <c r="O18" s="83">
        <f>$N$38*Product_lifespan!C24</f>
        <v>17783676.263963949</v>
      </c>
      <c r="P18" s="83">
        <f>$N$38*Product_lifespan!D24</f>
        <v>13907650.109042086</v>
      </c>
      <c r="Q18" s="83">
        <f>$N$38*Product_lifespan!E24</f>
        <v>10016096.858426679</v>
      </c>
      <c r="R18" s="83">
        <f>$N$38*Product_lifespan!F24</f>
        <v>6736663.1242460227</v>
      </c>
      <c r="S18" s="83">
        <f>$N$38*Product_lifespan!G24</f>
        <v>4266718.0099879857</v>
      </c>
      <c r="T18" s="83">
        <f>$N$38*Product_lifespan!H24</f>
        <v>2559264.8083673003</v>
      </c>
      <c r="U18" s="83">
        <f>$N$38*Product_lifespan!I24</f>
        <v>1459971.6434338021</v>
      </c>
      <c r="V18" s="83">
        <f>$N$38*Product_lifespan!J24</f>
        <v>794728.18135915638</v>
      </c>
      <c r="W18" s="83">
        <f>$N$38*Product_lifespan!K24</f>
        <v>413908.3370185332</v>
      </c>
      <c r="X18" s="83">
        <f>$N$38*Product_lifespan!L24</f>
        <v>206715.66675808828</v>
      </c>
      <c r="Y18" s="83">
        <f>$N$38*Product_lifespan!M24</f>
        <v>99186.746306599627</v>
      </c>
      <c r="Z18" s="83">
        <f>$N$38*Product_lifespan!N24</f>
        <v>45799.487302613066</v>
      </c>
      <c r="AA18" s="83">
        <f>$N$38*Product_lifespan!O24</f>
        <v>20380.822376426688</v>
      </c>
      <c r="AB18" s="83">
        <f>$N$38*Product_lifespan!P24</f>
        <v>8751.7122723828197</v>
      </c>
    </row>
    <row r="19" spans="1:28">
      <c r="A19" s="1"/>
      <c r="B19" s="7">
        <v>2019</v>
      </c>
      <c r="C19" s="83"/>
      <c r="D19" s="83"/>
      <c r="E19" s="83"/>
      <c r="F19" s="83"/>
      <c r="G19" s="83"/>
      <c r="H19" s="83"/>
      <c r="I19" s="83"/>
      <c r="J19" s="83"/>
      <c r="K19" s="83"/>
      <c r="L19" s="83"/>
      <c r="M19" s="83"/>
      <c r="N19" s="83"/>
      <c r="O19" s="83">
        <f>$O$38*Product_lifespan!B24</f>
        <v>20298400.107142858</v>
      </c>
      <c r="P19" s="83">
        <f>$O$38*Product_lifespan!C24</f>
        <v>17892376.491473988</v>
      </c>
      <c r="Q19" s="83">
        <f>$O$38*Product_lifespan!D24</f>
        <v>13992658.670182297</v>
      </c>
      <c r="R19" s="83">
        <f>$O$38*Product_lifespan!E24</f>
        <v>10077318.846001867</v>
      </c>
      <c r="S19" s="83">
        <f>$O$38*Product_lifespan!F24</f>
        <v>6777840.0329680899</v>
      </c>
      <c r="T19" s="83">
        <f>$O$38*Product_lifespan!G24</f>
        <v>4292797.7255385146</v>
      </c>
      <c r="U19" s="83">
        <f>$O$38*Product_lifespan!H24</f>
        <v>2574907.9556445414</v>
      </c>
      <c r="V19" s="83">
        <f>$O$38*Product_lifespan!I24</f>
        <v>1468895.5153849039</v>
      </c>
      <c r="W19" s="83">
        <f>$O$38*Product_lifespan!J24</f>
        <v>799585.84592975094</v>
      </c>
      <c r="X19" s="83">
        <f>$O$38*Product_lifespan!K24</f>
        <v>416438.29368971859</v>
      </c>
      <c r="Y19" s="83">
        <f>$O$38*Product_lifespan!L24</f>
        <v>207979.18728516999</v>
      </c>
      <c r="Z19" s="83">
        <f>$O$38*Product_lifespan!M24</f>
        <v>99793.011385286169</v>
      </c>
      <c r="AA19" s="83">
        <f>$O$38*Product_lifespan!N24</f>
        <v>46079.430246678312</v>
      </c>
      <c r="AB19" s="83">
        <f>$O$38*Product_lifespan!O24</f>
        <v>20505.397295373481</v>
      </c>
    </row>
    <row r="20" spans="1:28">
      <c r="A20" s="1"/>
      <c r="B20" s="7">
        <v>2020</v>
      </c>
      <c r="C20" s="83"/>
      <c r="D20" s="83"/>
      <c r="E20" s="83"/>
      <c r="F20" s="83"/>
      <c r="G20" s="83"/>
      <c r="H20" s="83"/>
      <c r="I20" s="83"/>
      <c r="J20" s="83"/>
      <c r="K20" s="83"/>
      <c r="L20" s="83"/>
      <c r="M20" s="83"/>
      <c r="N20" s="83"/>
      <c r="O20" s="83"/>
      <c r="P20" s="83">
        <f>$Q$38*Product_lifespan!B24</f>
        <v>21406165.690000001</v>
      </c>
      <c r="Q20" s="83">
        <f>$Q$38*Product_lifespan!C24</f>
        <v>18868835.659100819</v>
      </c>
      <c r="R20" s="83">
        <f>$Q$38*Product_lifespan!D24</f>
        <v>14756294.503828172</v>
      </c>
      <c r="S20" s="83">
        <f>$Q$38*Product_lifespan!E24</f>
        <v>10627278.789945934</v>
      </c>
      <c r="T20" s="83">
        <f>$Q$38*Product_lifespan!F24</f>
        <v>7147734.1071316628</v>
      </c>
      <c r="U20" s="83">
        <f>$Q$38*Product_lifespan!G24</f>
        <v>4527073.0156805003</v>
      </c>
      <c r="V20" s="83">
        <f>$Q$38*Product_lifespan!H24</f>
        <v>2715431.0706305513</v>
      </c>
      <c r="W20" s="83">
        <f>$Q$38*Product_lifespan!I24</f>
        <v>1549059.0695649206</v>
      </c>
      <c r="X20" s="83">
        <f>$Q$38*Product_lifespan!J24</f>
        <v>843222.47127880994</v>
      </c>
      <c r="Y20" s="83">
        <f>$Q$38*Product_lifespan!K24</f>
        <v>439165.01139644522</v>
      </c>
      <c r="Z20" s="83">
        <f>$Q$38*Product_lifespan!L24</f>
        <v>219329.45057730193</v>
      </c>
      <c r="AA20" s="83">
        <f>$Q$38*Product_lifespan!M24</f>
        <v>105239.11860747015</v>
      </c>
      <c r="AB20" s="83">
        <f>$Q$38*Product_lifespan!N24</f>
        <v>48594.170651611712</v>
      </c>
    </row>
    <row r="21" spans="1:28">
      <c r="A21" s="1"/>
      <c r="B21" s="7">
        <v>2021</v>
      </c>
      <c r="C21" s="83"/>
      <c r="D21" s="83"/>
      <c r="E21" s="83"/>
      <c r="F21" s="83"/>
      <c r="G21" s="83"/>
      <c r="H21" s="83"/>
      <c r="I21" s="83"/>
      <c r="J21" s="83"/>
      <c r="K21" s="83"/>
      <c r="L21" s="83"/>
      <c r="M21" s="83"/>
      <c r="N21" s="83"/>
      <c r="O21" s="83"/>
      <c r="P21" s="83"/>
      <c r="Q21" s="83">
        <f>$Q$38*Product_lifespan!B38</f>
        <v>21406165.690000001</v>
      </c>
      <c r="R21" s="83">
        <f>$Q$38*Product_lifespan!C38</f>
        <v>20018418.959800027</v>
      </c>
      <c r="S21" s="83">
        <f>$Q$38*Product_lifespan!D38</f>
        <v>17567483.635392662</v>
      </c>
      <c r="T21" s="83">
        <f>$Q$38*Product_lifespan!E38</f>
        <v>14756294.496201562</v>
      </c>
      <c r="U21" s="83">
        <f>$Q$38*Product_lifespan!F38</f>
        <v>11952749.532349955</v>
      </c>
      <c r="V21" s="83">
        <f>$Q$38*Product_lifespan!G38</f>
        <v>9377654.4575041533</v>
      </c>
      <c r="W21" s="83">
        <f>$Q$38*Product_lifespan!H38</f>
        <v>7147734.0962391151</v>
      </c>
      <c r="X21" s="83">
        <f>$Q$38*Product_lifespan!I38</f>
        <v>5304757.5280422335</v>
      </c>
      <c r="Y21" s="83">
        <f>$Q$38*Product_lifespan!J38</f>
        <v>3840158.2782291528</v>
      </c>
      <c r="Z21" s="83">
        <f>$Q$38*Product_lifespan!K38</f>
        <v>2715431.0628411849</v>
      </c>
      <c r="AA21" s="83">
        <f>$Q$38*Product_lifespan!L38</f>
        <v>1877807.3559256252</v>
      </c>
      <c r="AB21" s="83">
        <f>$Q$38*Product_lifespan!M38</f>
        <v>1271233.7934436332</v>
      </c>
    </row>
    <row r="22" spans="1:28">
      <c r="A22" s="1"/>
      <c r="B22" s="7">
        <v>2022</v>
      </c>
      <c r="C22" s="83"/>
      <c r="D22" s="83"/>
      <c r="E22" s="83"/>
      <c r="F22" s="83"/>
      <c r="G22" s="83"/>
      <c r="H22" s="83"/>
      <c r="I22" s="83"/>
      <c r="J22" s="83"/>
      <c r="K22" s="83"/>
      <c r="L22" s="83"/>
      <c r="M22" s="83"/>
      <c r="N22" s="83"/>
      <c r="O22" s="83"/>
      <c r="P22" s="83"/>
      <c r="Q22" s="83"/>
      <c r="R22" s="83">
        <f>$Q$38*Product_lifespan!B38</f>
        <v>21406165.690000001</v>
      </c>
      <c r="S22" s="83">
        <f>$Q$38*Product_lifespan!C38</f>
        <v>20018418.959800027</v>
      </c>
      <c r="T22" s="83">
        <f>$Q$38*Product_lifespan!D38</f>
        <v>17567483.635392662</v>
      </c>
      <c r="U22" s="83">
        <f>$Q$38*Product_lifespan!E38</f>
        <v>14756294.496201562</v>
      </c>
      <c r="V22" s="83">
        <f>$Q$38*Product_lifespan!F38</f>
        <v>11952749.532349955</v>
      </c>
      <c r="W22" s="83">
        <f>$Q$38*Product_lifespan!G38</f>
        <v>9377654.4575041533</v>
      </c>
      <c r="X22" s="83">
        <f>$Q$38*Product_lifespan!H38</f>
        <v>7147734.0962391151</v>
      </c>
      <c r="Y22" s="83">
        <f>$Q$38*Product_lifespan!I38</f>
        <v>5304757.5280422335</v>
      </c>
      <c r="Z22" s="83">
        <f>$Q$38*Product_lifespan!J38</f>
        <v>3840158.2782291528</v>
      </c>
      <c r="AA22" s="83">
        <f>$Q$38*Product_lifespan!K38</f>
        <v>2715431.0628411849</v>
      </c>
      <c r="AB22" s="83">
        <f>$Q$38*Product_lifespan!L38</f>
        <v>1877807.3559256252</v>
      </c>
    </row>
    <row r="23" spans="1:28">
      <c r="A23" s="1"/>
      <c r="B23" s="7">
        <v>2023</v>
      </c>
      <c r="C23" s="83"/>
      <c r="D23" s="83"/>
      <c r="E23" s="83"/>
      <c r="F23" s="83"/>
      <c r="G23" s="83"/>
      <c r="H23" s="83"/>
      <c r="I23" s="83"/>
      <c r="J23" s="83"/>
      <c r="K23" s="83"/>
      <c r="L23" s="83"/>
      <c r="M23" s="83"/>
      <c r="N23" s="83"/>
      <c r="O23" s="83"/>
      <c r="P23" s="83"/>
      <c r="Q23" s="83"/>
      <c r="R23" s="83"/>
      <c r="S23" s="83">
        <f>$S$38*Product_lifespan!B38</f>
        <v>18571934.690000001</v>
      </c>
      <c r="T23" s="83">
        <f>$S$38*Product_lifespan!C38</f>
        <v>17367929.170619432</v>
      </c>
      <c r="U23" s="83">
        <f>$S$38*Product_lifespan!D38</f>
        <v>15241503.941855937</v>
      </c>
      <c r="V23" s="83">
        <f>$S$38*Product_lifespan!E38</f>
        <v>12802523.423327845</v>
      </c>
      <c r="W23" s="83">
        <f>$S$38*Product_lifespan!F38</f>
        <v>10370174.971804183</v>
      </c>
      <c r="X23" s="83">
        <f>$S$38*Product_lifespan!G38</f>
        <v>8136029.0606138213</v>
      </c>
      <c r="Y23" s="83">
        <f>$S$38*Product_lifespan!H38</f>
        <v>6201355.8494902514</v>
      </c>
      <c r="Z23" s="83">
        <f>$S$38*Product_lifespan!I38</f>
        <v>4602394.0851354878</v>
      </c>
      <c r="AA23" s="83">
        <f>$S$38*Product_lifespan!J38</f>
        <v>3331711.5159886759</v>
      </c>
      <c r="AB23" s="83">
        <f>$S$38*Product_lifespan!K38</f>
        <v>2355901.0560140987</v>
      </c>
    </row>
    <row r="24" spans="1:28">
      <c r="A24" s="1"/>
      <c r="B24" s="7">
        <v>2024</v>
      </c>
      <c r="C24" s="83"/>
      <c r="D24" s="83"/>
      <c r="E24" s="83"/>
      <c r="F24" s="83"/>
      <c r="G24" s="83"/>
      <c r="H24" s="83"/>
      <c r="I24" s="83"/>
      <c r="J24" s="83"/>
      <c r="K24" s="83"/>
      <c r="L24" s="83"/>
      <c r="M24" s="83"/>
      <c r="N24" s="83"/>
      <c r="O24" s="83"/>
      <c r="P24" s="83"/>
      <c r="Q24" s="83"/>
      <c r="R24" s="83"/>
      <c r="S24" s="83"/>
      <c r="T24" s="83">
        <f>$T$38*Product_lifespan!B38</f>
        <v>17257732.690000001</v>
      </c>
      <c r="U24" s="83">
        <f>$T$38*Product_lifespan!C38</f>
        <v>16138925.965898041</v>
      </c>
      <c r="V24" s="83">
        <f>$T$38*Product_lifespan!D38</f>
        <v>14162972.528853485</v>
      </c>
      <c r="W24" s="83">
        <f>$T$38*Product_lifespan!E38</f>
        <v>11896581.08781857</v>
      </c>
      <c r="X24" s="83">
        <f>$T$38*Product_lifespan!F38</f>
        <v>9636352.4101928063</v>
      </c>
      <c r="Y24" s="83">
        <f>$T$38*Product_lifespan!G38</f>
        <v>7560300.9072473291</v>
      </c>
      <c r="Z24" s="83">
        <f>$T$38*Product_lifespan!H38</f>
        <v>5762530.5792021733</v>
      </c>
      <c r="AA24" s="83">
        <f>$T$38*Product_lifespan!I38</f>
        <v>4276715.8177695135</v>
      </c>
      <c r="AB24" s="83">
        <f>$T$38*Product_lifespan!J38</f>
        <v>3095950.2982791946</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$U$38*Product_lifespan!B38</f>
        <v>16586526.690000001</v>
      </c>
      <c r="V25" s="83">
        <f>$U$38*Product_lifespan!C38</f>
        <v>15511233.780809121</v>
      </c>
      <c r="W25" s="83">
        <f>$U$38*Product_lifespan!D38</f>
        <v>13612131.215573089</v>
      </c>
      <c r="X25" s="83">
        <f>$U$38*Product_lifespan!E38</f>
        <v>11433886.668507203</v>
      </c>
      <c r="Y25" s="83">
        <f>$U$38*Product_lifespan!F38</f>
        <v>9261565.1961352061</v>
      </c>
      <c r="Z25" s="83">
        <f>$U$38*Product_lifespan!G38</f>
        <v>7266257.6848899517</v>
      </c>
      <c r="AA25" s="83">
        <f>$U$38*Product_lifespan!H38</f>
        <v>5538408.1426444901</v>
      </c>
      <c r="AB25" s="83">
        <f>$U$38*Product_lifespan!I38</f>
        <v>4110381.261038017</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$V$38*Product_lifespan!B38</f>
        <v>16545473.690000001</v>
      </c>
      <c r="W26" s="83">
        <f>$V$38*Product_lifespan!C38</f>
        <v>15472842.218048278</v>
      </c>
      <c r="X26" s="83">
        <f>$V$38*Product_lifespan!D38</f>
        <v>13578440.085824398</v>
      </c>
      <c r="Y26" s="83">
        <f>$V$38*Product_lifespan!E38</f>
        <v>11405586.870835565</v>
      </c>
      <c r="Z26" s="83">
        <f>$V$38*Product_lifespan!F38</f>
        <v>9238642.0704499371</v>
      </c>
      <c r="AA26" s="83">
        <f>$V$38*Product_lifespan!G38</f>
        <v>7248273.1072678249</v>
      </c>
      <c r="AB26" s="83">
        <f>$V$38*Product_lifespan!H38</f>
        <v>5524700.1329008304</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$W$38*Product_lifespan!B38</f>
        <v>16967353.690000001</v>
      </c>
      <c r="X27" s="83">
        <f>$W$38*Product_lifespan!C38</f>
        <v>15867372.033105522</v>
      </c>
      <c r="Y27" s="83">
        <f>$W$38*Product_lifespan!D38</f>
        <v>13924666.033218691</v>
      </c>
      <c r="Z27" s="83">
        <f>$W$38*Product_lifespan!E38</f>
        <v>11696408.945756052</v>
      </c>
      <c r="AA27" s="83">
        <f>$W$38*Product_lifespan!F38</f>
        <v>9474210.926906256</v>
      </c>
      <c r="AB27" s="83">
        <f>$W$38*Product_lifespan!G38</f>
        <v>7433091.1134360209</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$X$38*Product_lifespan!B38</f>
        <v>17646528.690000001</v>
      </c>
      <c r="Y28" s="83">
        <f>$X$38*Product_lifespan!C38</f>
        <v>16502516.593505409</v>
      </c>
      <c r="Z28" s="83">
        <f>$X$38*Product_lifespan!D38</f>
        <v>14482047.297610268</v>
      </c>
      <c r="AA28" s="83">
        <f>$X$38*Product_lifespan!E38</f>
        <v>12164596.778158916</v>
      </c>
      <c r="AB28" s="83">
        <f>$X$38*Product_lifespan!F38</f>
        <v>9853447.8617780693</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$Y$38*Product_lifespan!B38</f>
        <v>18406974.690000001</v>
      </c>
      <c r="Z29" s="83">
        <f>$Y$38*Product_lifespan!C38</f>
        <v>17213663.411892205</v>
      </c>
      <c r="AA29" s="83">
        <f>$Y$38*Product_lifespan!D38</f>
        <v>15106125.558708686</v>
      </c>
      <c r="AB29" s="83">
        <f>$Y$38*Product_lifespan!E38</f>
        <v>12688808.600442467</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$Z$38*Product_lifespan!B38</f>
        <v>19128672.690000001</v>
      </c>
      <c r="AA30" s="83">
        <f>$Z$38*Product_lifespan!C38</f>
        <v>17888574.235982429</v>
      </c>
      <c r="AB30" s="83">
        <f>$Z$38*Product_lifespan!D38</f>
        <v>15698404.343629912</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$AA$38*Product_lifespan!B38</f>
        <v>19747051.690000001</v>
      </c>
      <c r="AB31" s="83">
        <f>$AA$38*Product_lifespan!C38</f>
        <v>18466864.158484761</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AB38*Product_lifespan!B38</f>
        <v>20239854.690000001</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(VLOOKUP(C2,Inflows!$E$2:$H$15,4,FALSE ))</f>
        <v>#N/A</v>
      </c>
      <c r="D35" s="167">
        <f>(VLOOKUP(D2,Inflows!$E$2:$H$15,4,FALSE ))</f>
        <v>131539.76</v>
      </c>
      <c r="E35" s="167">
        <f>(VLOOKUP(E2,Inflows!$E$2:$H$15,4,FALSE ))</f>
        <v>123559.92</v>
      </c>
      <c r="F35" s="167">
        <f>(VLOOKUP(F2,Inflows!$E$2:$H$15,4,FALSE ))</f>
        <v>111440.12</v>
      </c>
      <c r="G35" s="167">
        <f>(VLOOKUP(G2,Inflows!$E$2:$H$15,4,FALSE ))</f>
        <v>120766.8</v>
      </c>
      <c r="H35" s="167">
        <f>(VLOOKUP(H2,Inflows!$E$2:$H$15,4,FALSE ))</f>
        <v>150991.56</v>
      </c>
      <c r="I35" s="167">
        <f>(VLOOKUP(I2,Inflows!$E$2:$H$15,4,FALSE ))</f>
        <v>156858.13999999998</v>
      </c>
      <c r="J35" s="167">
        <f>(VLOOKUP(J2,Inflows!$E$2:$H$15,4,FALSE ))</f>
        <v>240599.22857142857</v>
      </c>
      <c r="K35" s="167">
        <f>(VLOOKUP(K2,Inflows!$E$2:$H$15,4,FALSE ))</f>
        <v>333264.09999999992</v>
      </c>
      <c r="L35" s="167">
        <f>(VLOOKUP(L2,Inflows!$E$2:$H$15,4,FALSE ))</f>
        <v>423099.97714285704</v>
      </c>
      <c r="M35" s="167">
        <f>(VLOOKUP(M2,Inflows!$E$2:$H$15,4,FALSE ))</f>
        <v>517397.74571428559</v>
      </c>
      <c r="N35" s="167">
        <f>(VLOOKUP(N2,Inflows!$E$2:$H$15,4,FALSE ))</f>
        <v>648586.74285714282</v>
      </c>
      <c r="O35" s="167">
        <f>(VLOOKUP(O2,Inflows!$E$2:$H$15,4,FALSE ))</f>
        <v>783938.60714285693</v>
      </c>
      <c r="P35" s="167">
        <f>(VLOOKUP(P2,Inflows!$E$2:$H$15,4,FALSE ))</f>
        <v>920106.92</v>
      </c>
      <c r="Q35" s="167">
        <f>(VLOOKUP(Q2,Inflows!$E$2:$H$15,4,FALSE ))</f>
        <v>1190116.2</v>
      </c>
      <c r="R35" s="167" t="e">
        <f>(VLOOKUP(R2,Inflows!$E$2:$H$15,4,FALSE ))</f>
        <v>#N/A</v>
      </c>
      <c r="S35" s="167" t="e">
        <f>(VLOOKUP(S2,Inflows!$E$2:$H$15,4,FALSE ))</f>
        <v>#N/A</v>
      </c>
      <c r="T35" s="167" t="e">
        <f>(VLOOKUP(T2,Inflows!$E$2:$H$15,4,FALSE ))</f>
        <v>#N/A</v>
      </c>
      <c r="U35" s="167" t="e">
        <f>(VLOOKUP(U2,Inflows!$E$2:$H$15,4,FALSE ))</f>
        <v>#N/A</v>
      </c>
      <c r="V35" s="167" t="e">
        <f>(VLOOKUP(V2,Inflows!$E$2:$H$15,4,FALSE ))</f>
        <v>#N/A</v>
      </c>
      <c r="W35" s="167" t="e">
        <f>(VLOOKUP(W2,Inflows!$E$2:$H$15,4,FALSE ))</f>
        <v>#N/A</v>
      </c>
      <c r="X35" s="167" t="e">
        <f>(VLOOKUP(X2,Inflows!$E$2:$H$15,4,FALSE ))</f>
        <v>#N/A</v>
      </c>
      <c r="Y35" s="167" t="e">
        <f>(VLOOKUP(Y2,Inflows!$E$2:$H$15,4,FALSE ))</f>
        <v>#N/A</v>
      </c>
      <c r="Z35" s="167" t="e">
        <f>(VLOOKUP(Z2,Inflows!$E$2:$H$15,4,FALSE ))</f>
        <v>#N/A</v>
      </c>
      <c r="AA35" s="167" t="e">
        <f>(VLOOKUP(AA2,Inflows!$E$2:$H$15,4,FALSE ))</f>
        <v>#N/A</v>
      </c>
      <c r="AB35" s="167" t="e">
        <f>(VLOOKUP(AB2,Inflows!$E$2:$H$15,4,FALSE ))</f>
        <v>#N/A</v>
      </c>
    </row>
    <row r="36" spans="1:32" ht="19">
      <c r="B36" s="166" t="s">
        <v>214</v>
      </c>
      <c r="C36" s="7">
        <f>(VLOOKUP(C2,Inflows!$E$16:$H$30,4,FALSE ))</f>
        <v>19493713.800000001</v>
      </c>
      <c r="D36" s="7">
        <f>(VLOOKUP(D2,Inflows!$E$16:$H$30,4,FALSE ))</f>
        <v>19102516.399999999</v>
      </c>
      <c r="E36" s="7">
        <f>(VLOOKUP(E2,Inflows!$E$16:$H$30,4,FALSE ))</f>
        <v>20373363.559999999</v>
      </c>
      <c r="F36" s="7">
        <f>(VLOOKUP(F2,Inflows!$E$16:$H$30,4,FALSE ))</f>
        <v>21680436.800000001</v>
      </c>
      <c r="G36" s="7">
        <f>(VLOOKUP(G2,Inflows!$E$16:$H$30,4,FALSE ))</f>
        <v>19761832.640000001</v>
      </c>
      <c r="H36" s="7">
        <f>(VLOOKUP(H2,Inflows!$E$16:$H$30,4,FALSE ))</f>
        <v>23524308.360000003</v>
      </c>
      <c r="I36" s="7">
        <f>(VLOOKUP(I2,Inflows!$E$16:$H$30,4,FALSE ))</f>
        <v>27353621.280000001</v>
      </c>
      <c r="J36" s="7">
        <f>(VLOOKUP(J2,Inflows!$E$16:$H$30,4,FALSE ))</f>
        <v>27140838.120000001</v>
      </c>
      <c r="K36" s="7">
        <f>(VLOOKUP(K2,Inflows!$E$16:$H$30,4,FALSE ))</f>
        <v>27348712.299999997</v>
      </c>
      <c r="L36" s="7">
        <f>(VLOOKUP(L2,Inflows!$E$16:$H$30,4,FALSE ))</f>
        <v>26555055.84</v>
      </c>
      <c r="M36" s="7">
        <f>(VLOOKUP(M2,Inflows!$E$16:$H$30,4,FALSE ))</f>
        <v>23358322.739999998</v>
      </c>
      <c r="N36" s="7">
        <f>(VLOOKUP(N2,Inflows!$E$16:$H$30,4,FALSE ))</f>
        <v>23514952.800000001</v>
      </c>
      <c r="O36" s="7">
        <f>(VLOOKUP(O2,Inflows!$E$16:$H$30,4,FALSE ))</f>
        <v>24538051.599999998</v>
      </c>
      <c r="P36" s="7">
        <f>(VLOOKUP(P2,Inflows!$E$16:$H$30,4,FALSE ))</f>
        <v>26349760.080000002</v>
      </c>
      <c r="Q36" s="7">
        <f>(VLOOKUP(Q2,Inflows!$E$16:$H$30,4,FALSE ))</f>
        <v>23536843.330000002</v>
      </c>
      <c r="R36" s="7" t="e">
        <f>(VLOOKUP(R2,Inflows!$E$16:$H$30,4,FALSE ))</f>
        <v>#N/A</v>
      </c>
      <c r="S36" s="7" t="e">
        <f>(VLOOKUP(S2,Inflows!$E$16:$H$30,4,FALSE ))</f>
        <v>#N/A</v>
      </c>
      <c r="T36" s="7" t="e">
        <f>(VLOOKUP(T2,Inflows!$E$16:$H$30,4,FALSE ))</f>
        <v>#N/A</v>
      </c>
      <c r="U36" s="7" t="e">
        <f>(VLOOKUP(U2,Inflows!$E$16:$H$30,4,FALSE ))</f>
        <v>#N/A</v>
      </c>
      <c r="V36" s="7" t="e">
        <f>(VLOOKUP(V2,Inflows!$E$16:$H$30,4,FALSE ))</f>
        <v>#N/A</v>
      </c>
      <c r="W36" s="7" t="e">
        <f>(VLOOKUP(W2,Inflows!$E$16:$H$30,4,FALSE ))</f>
        <v>#N/A</v>
      </c>
      <c r="X36" s="7" t="e">
        <f>(VLOOKUP(X2,Inflows!$E$16:$H$30,4,FALSE ))</f>
        <v>#N/A</v>
      </c>
      <c r="Y36" s="7" t="e">
        <f>(VLOOKUP(Y2,Inflows!$E$16:$H$30,4,FALSE ))</f>
        <v>#N/A</v>
      </c>
      <c r="Z36" s="7" t="e">
        <f>(VLOOKUP(Z2,Inflows!$E$16:$H$30,4,FALSE ))</f>
        <v>#N/A</v>
      </c>
      <c r="AA36" s="7" t="e">
        <f>(VLOOKUP(AA2,Inflows!$E$16:$H$30,4,FALSE ))</f>
        <v>#N/A</v>
      </c>
      <c r="AB36" s="7" t="e">
        <f>(VLOOKUP(AB2,Inflows!$E$16:$H$30,4,FALSE ))</f>
        <v>#N/A</v>
      </c>
    </row>
    <row r="37" spans="1:32" ht="19">
      <c r="B37" s="166" t="s">
        <v>7856</v>
      </c>
      <c r="C37" s="7">
        <f>(VLOOKUP(C2,Inflows!$E$31:$H$45,4,FALSE ))</f>
        <v>2593712.44</v>
      </c>
      <c r="D37" s="7">
        <f>(VLOOKUP(D2,Inflows!$E$31:$H$45,4,FALSE ))</f>
        <v>3234505.12</v>
      </c>
      <c r="E37" s="7">
        <f>(VLOOKUP(E2,Inflows!$E$31:$H$45,4,FALSE ))</f>
        <v>4148145.7600000002</v>
      </c>
      <c r="F37" s="7">
        <f>(VLOOKUP(F2,Inflows!$E$31:$H$45,4,FALSE ))</f>
        <v>4952415.16</v>
      </c>
      <c r="G37" s="7">
        <f>(VLOOKUP(G2,Inflows!$E$31:$H$45,4,FALSE ))</f>
        <v>5624324.2000000002</v>
      </c>
      <c r="H37" s="7">
        <f>(VLOOKUP(H2,Inflows!$E$31:$H$45,4,FALSE ))</f>
        <v>5715307.0800000001</v>
      </c>
      <c r="I37" s="7">
        <f>(VLOOKUP(I2,Inflows!$E$31:$H$45,4,FALSE ))</f>
        <v>5844056.1399999997</v>
      </c>
      <c r="J37" s="7">
        <f>(VLOOKUP(J2,Inflows!$E$31:$H$45,4,FALSE ))</f>
        <v>6377753.5800000001</v>
      </c>
      <c r="K37" s="7">
        <f>(VLOOKUP(K2,Inflows!$E$31:$H$45,4,FALSE ))</f>
        <v>5802096.2999999998</v>
      </c>
      <c r="L37" s="7">
        <f>(VLOOKUP(L2,Inflows!$E$31:$H$45,4,FALSE ))</f>
        <v>5040950.3999999994</v>
      </c>
      <c r="M37" s="7">
        <f>(VLOOKUP(M2,Inflows!$E$31:$H$45,4,FALSE ))</f>
        <v>5163544.62</v>
      </c>
      <c r="N37" s="7">
        <f>(VLOOKUP(N2,Inflows!$E$31:$H$45,4,FALSE ))</f>
        <v>3988456.8000000003</v>
      </c>
      <c r="O37" s="7">
        <f>(VLOOKUP(O2,Inflows!$E$31:$H$45,4,FALSE ))</f>
        <v>5023590.0999999996</v>
      </c>
      <c r="P37" s="7">
        <f>(VLOOKUP(P2,Inflows!$E$31:$H$45,4,FALSE ))</f>
        <v>5744246.9000000004</v>
      </c>
      <c r="Q37" s="7">
        <f>(VLOOKUP(Q2,Inflows!$E$31:$H$45,4,FALSE ))</f>
        <v>3320793.8400000003</v>
      </c>
      <c r="R37" s="7" t="e">
        <f>(VLOOKUP(R2,Inflows!$E$31:$H$45,4,FALSE ))</f>
        <v>#N/A</v>
      </c>
      <c r="S37" s="7" t="e">
        <f>(VLOOKUP(S2,Inflows!$E$31:$H$45,4,FALSE ))</f>
        <v>#N/A</v>
      </c>
      <c r="T37" s="7" t="e">
        <f>(VLOOKUP(T2,Inflows!$E$31:$H$45,4,FALSE ))</f>
        <v>#N/A</v>
      </c>
      <c r="U37" s="7" t="e">
        <f>(VLOOKUP(U2,Inflows!$E$31:$H$45,4,FALSE ))</f>
        <v>#N/A</v>
      </c>
      <c r="V37" s="7" t="e">
        <f>(VLOOKUP(V2,Inflows!$E$31:$H$45,4,FALSE ))</f>
        <v>#N/A</v>
      </c>
      <c r="W37" s="7" t="e">
        <f>(VLOOKUP(W2,Inflows!$E$31:$H$45,4,FALSE ))</f>
        <v>#N/A</v>
      </c>
      <c r="X37" s="7" t="e">
        <f>(VLOOKUP(X2,Inflows!$E$31:$H$45,4,FALSE ))</f>
        <v>#N/A</v>
      </c>
      <c r="Y37" s="7" t="e">
        <f>(VLOOKUP(Y2,Inflows!$E$31:$H$45,4,FALSE ))</f>
        <v>#N/A</v>
      </c>
      <c r="Z37" s="7" t="e">
        <f>(VLOOKUP(Z2,Inflows!$E$31:$H$45,4,FALSE ))</f>
        <v>#N/A</v>
      </c>
      <c r="AA37" s="7" t="e">
        <f>(VLOOKUP(AA2,Inflows!$E$31:$H$45,4,FALSE ))</f>
        <v>#N/A</v>
      </c>
      <c r="AB37" s="7" t="e">
        <f>(VLOOKUP(AB2,Inflows!$E$31:$H$45,4,FALSE ))</f>
        <v>#N/A</v>
      </c>
    </row>
    <row r="38" spans="1:32">
      <c r="A38" s="1"/>
      <c r="B38" s="7" t="s">
        <v>7877</v>
      </c>
      <c r="C38" s="258">
        <f>C36-C37</f>
        <v>16900001.359999999</v>
      </c>
      <c r="D38" s="374">
        <f>D35+D36-D37</f>
        <v>15999551.039999999</v>
      </c>
      <c r="E38" s="374">
        <f t="shared" ref="E38:Q38" si="1">E35+E36-E37</f>
        <v>16348777.720000001</v>
      </c>
      <c r="F38" s="374">
        <f t="shared" si="1"/>
        <v>16839461.760000002</v>
      </c>
      <c r="G38" s="374">
        <f t="shared" si="1"/>
        <v>14258275.240000002</v>
      </c>
      <c r="H38" s="374">
        <f t="shared" si="1"/>
        <v>17959992.840000004</v>
      </c>
      <c r="I38" s="374">
        <f t="shared" si="1"/>
        <v>21666423.280000001</v>
      </c>
      <c r="J38" s="374">
        <f t="shared" si="1"/>
        <v>21003683.768571429</v>
      </c>
      <c r="K38" s="374">
        <f t="shared" si="1"/>
        <v>21879880.099999998</v>
      </c>
      <c r="L38" s="374">
        <f t="shared" si="1"/>
        <v>21937205.417142857</v>
      </c>
      <c r="M38" s="374">
        <f t="shared" si="1"/>
        <v>18712175.865714282</v>
      </c>
      <c r="N38" s="374">
        <f t="shared" si="1"/>
        <v>20175082.742857143</v>
      </c>
      <c r="O38" s="374">
        <f t="shared" si="1"/>
        <v>20298400.107142858</v>
      </c>
      <c r="P38" s="374">
        <f t="shared" si="1"/>
        <v>21525620.100000001</v>
      </c>
      <c r="Q38" s="374">
        <f t="shared" si="1"/>
        <v>21406165.690000001</v>
      </c>
      <c r="R38" s="379">
        <v>20233633.690000001</v>
      </c>
      <c r="S38" s="379">
        <v>18571934.690000001</v>
      </c>
      <c r="T38" s="379">
        <v>17257732.690000001</v>
      </c>
      <c r="U38" s="379">
        <v>16586526.690000001</v>
      </c>
      <c r="V38" s="379">
        <v>16545473.690000001</v>
      </c>
      <c r="W38" s="379">
        <v>16967353.690000001</v>
      </c>
      <c r="X38" s="379">
        <v>17646528.690000001</v>
      </c>
      <c r="Y38" s="379">
        <v>18406974.690000001</v>
      </c>
      <c r="Z38" s="379">
        <v>19128672.690000001</v>
      </c>
      <c r="AA38" s="379">
        <v>19747051.690000001</v>
      </c>
      <c r="AB38" s="379">
        <v>20239854.690000001</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c r="R40" s="201"/>
      <c r="S40" s="201"/>
      <c r="T40" s="201"/>
      <c r="U40" s="201"/>
      <c r="V40" s="201"/>
      <c r="W40" s="201"/>
      <c r="X40" s="201"/>
      <c r="Y40" s="201"/>
      <c r="Z40" s="201"/>
      <c r="AA40" s="201"/>
      <c r="AB40" s="201"/>
    </row>
    <row r="41" spans="1:32">
      <c r="A41" s="1" t="s">
        <v>7762</v>
      </c>
      <c r="B41" s="7">
        <v>2007</v>
      </c>
      <c r="C41" s="50"/>
      <c r="D41" s="50">
        <f t="shared" ref="D41:AB41" si="2">C7-D7</f>
        <v>2003202.3293642458</v>
      </c>
      <c r="E41" s="50">
        <f t="shared" si="2"/>
        <v>3246819.2633691486</v>
      </c>
      <c r="F41" s="50">
        <f t="shared" si="2"/>
        <v>3259825.7992868572</v>
      </c>
      <c r="G41" s="50">
        <f t="shared" si="2"/>
        <v>2747073.4704820439</v>
      </c>
      <c r="H41" s="50">
        <f t="shared" si="2"/>
        <v>2068991.5536958426</v>
      </c>
      <c r="I41" s="50">
        <f t="shared" si="2"/>
        <v>1430277.2284659995</v>
      </c>
      <c r="J41" s="50">
        <f t="shared" si="2"/>
        <v>920841.62524648197</v>
      </c>
      <c r="K41" s="50">
        <f t="shared" si="2"/>
        <v>557252.50583039108</v>
      </c>
      <c r="L41" s="50">
        <f t="shared" si="2"/>
        <v>319000.22266575805</v>
      </c>
      <c r="M41" s="50">
        <f t="shared" si="2"/>
        <v>173558.46584685027</v>
      </c>
      <c r="N41" s="50">
        <f t="shared" si="2"/>
        <v>90073.429934896878</v>
      </c>
      <c r="O41" s="50">
        <f t="shared" si="2"/>
        <v>44720.745945563918</v>
      </c>
      <c r="P41" s="50">
        <f t="shared" si="2"/>
        <v>21292.37720098186</v>
      </c>
      <c r="Q41" s="50">
        <f t="shared" si="2"/>
        <v>9741.3219603033322</v>
      </c>
      <c r="R41" s="50">
        <f t="shared" si="2"/>
        <v>4289.8304086952439</v>
      </c>
      <c r="S41" s="50">
        <f t="shared" si="2"/>
        <v>1821.1354561150281</v>
      </c>
      <c r="T41" s="50">
        <f t="shared" si="2"/>
        <v>746.2720335009783</v>
      </c>
      <c r="U41" s="50">
        <f t="shared" si="2"/>
        <v>295.53842925296942</v>
      </c>
      <c r="V41" s="50">
        <f t="shared" si="2"/>
        <v>113.22675623341347</v>
      </c>
      <c r="W41" s="50">
        <f t="shared" si="2"/>
        <v>42.006342803486987</v>
      </c>
      <c r="X41" s="50">
        <f t="shared" si="2"/>
        <v>15.103809219723065</v>
      </c>
      <c r="Y41" s="50">
        <f t="shared" si="2"/>
        <v>5.2675315653689339</v>
      </c>
      <c r="Z41" s="50">
        <f t="shared" si="2"/>
        <v>1.783169123072045</v>
      </c>
      <c r="AA41" s="50">
        <f t="shared" si="2"/>
        <v>0.58631957173678972</v>
      </c>
      <c r="AB41" s="50">
        <f t="shared" si="2"/>
        <v>0.18737145747341319</v>
      </c>
    </row>
    <row r="42" spans="1:32">
      <c r="B42" s="7">
        <v>2008</v>
      </c>
      <c r="C42" s="8"/>
      <c r="D42" s="50"/>
      <c r="E42" s="50">
        <f t="shared" ref="E42:AB42" si="3">D8-E8</f>
        <v>1896469.5463261269</v>
      </c>
      <c r="F42" s="50">
        <f t="shared" si="3"/>
        <v>3073825.2273093238</v>
      </c>
      <c r="G42" s="50">
        <f t="shared" si="3"/>
        <v>3086138.760949715</v>
      </c>
      <c r="H42" s="50">
        <f t="shared" si="3"/>
        <v>2600706.4298607484</v>
      </c>
      <c r="I42" s="50">
        <f t="shared" si="3"/>
        <v>1958753.4497503452</v>
      </c>
      <c r="J42" s="50">
        <f t="shared" si="3"/>
        <v>1354070.5134115743</v>
      </c>
      <c r="K42" s="50">
        <f t="shared" si="3"/>
        <v>871778.18918753276</v>
      </c>
      <c r="L42" s="50">
        <f t="shared" si="3"/>
        <v>527561.49063417816</v>
      </c>
      <c r="M42" s="50">
        <f t="shared" si="3"/>
        <v>302003.54636611464</v>
      </c>
      <c r="N42" s="50">
        <f t="shared" si="3"/>
        <v>164311.08338921325</v>
      </c>
      <c r="O42" s="50">
        <f t="shared" si="3"/>
        <v>85274.220332444209</v>
      </c>
      <c r="P42" s="50">
        <f t="shared" si="3"/>
        <v>42337.976314986685</v>
      </c>
      <c r="Q42" s="50">
        <f t="shared" si="3"/>
        <v>20157.896353568201</v>
      </c>
      <c r="R42" s="50">
        <f t="shared" si="3"/>
        <v>9222.2938082027504</v>
      </c>
      <c r="S42" s="50">
        <f t="shared" si="3"/>
        <v>4061.2636126358052</v>
      </c>
      <c r="T42" s="50">
        <f t="shared" si="3"/>
        <v>1724.1033926677785</v>
      </c>
      <c r="U42" s="50">
        <f t="shared" si="3"/>
        <v>706.50985377929533</v>
      </c>
      <c r="V42" s="50">
        <f t="shared" si="3"/>
        <v>279.79182263890146</v>
      </c>
      <c r="W42" s="50">
        <f t="shared" si="3"/>
        <v>107.19391240629682</v>
      </c>
      <c r="X42" s="50">
        <f t="shared" si="3"/>
        <v>39.768199503158307</v>
      </c>
      <c r="Y42" s="50">
        <f t="shared" si="3"/>
        <v>14.299061956370263</v>
      </c>
      <c r="Z42" s="50">
        <f t="shared" si="3"/>
        <v>4.9868717960228235</v>
      </c>
      <c r="AA42" s="50">
        <f t="shared" si="3"/>
        <v>1.6881599468429407</v>
      </c>
      <c r="AB42" s="50">
        <f t="shared" si="3"/>
        <v>0.55507983188432763</v>
      </c>
    </row>
    <row r="43" spans="1:32">
      <c r="B43" s="7">
        <v>2009</v>
      </c>
      <c r="C43" s="8"/>
      <c r="D43" s="8"/>
      <c r="E43" s="50"/>
      <c r="F43" s="50">
        <f t="shared" ref="F43:AB43" si="4">E9-F9</f>
        <v>1937864.3180749584</v>
      </c>
      <c r="G43" s="50">
        <f t="shared" si="4"/>
        <v>3140918.4711353388</v>
      </c>
      <c r="H43" s="50">
        <f t="shared" si="4"/>
        <v>3153500.7757219616</v>
      </c>
      <c r="I43" s="50">
        <f t="shared" si="4"/>
        <v>2657472.777234138</v>
      </c>
      <c r="J43" s="50">
        <f t="shared" si="4"/>
        <v>2001507.7096970584</v>
      </c>
      <c r="K43" s="50">
        <f t="shared" si="4"/>
        <v>1383626.1896116373</v>
      </c>
      <c r="L43" s="50">
        <f t="shared" si="4"/>
        <v>890806.73579769908</v>
      </c>
      <c r="M43" s="50">
        <f t="shared" si="4"/>
        <v>539076.72299347469</v>
      </c>
      <c r="N43" s="50">
        <f t="shared" si="4"/>
        <v>308595.46232563053</v>
      </c>
      <c r="O43" s="50">
        <f t="shared" si="4"/>
        <v>167897.54740909481</v>
      </c>
      <c r="P43" s="50">
        <f t="shared" si="4"/>
        <v>87135.524614160342</v>
      </c>
      <c r="Q43" s="50">
        <f t="shared" si="4"/>
        <v>43262.099177524309</v>
      </c>
      <c r="R43" s="50">
        <f t="shared" si="4"/>
        <v>20597.888400953852</v>
      </c>
      <c r="S43" s="50">
        <f t="shared" si="4"/>
        <v>9423.5913971520458</v>
      </c>
      <c r="T43" s="50">
        <f t="shared" si="4"/>
        <v>4149.9099505548975</v>
      </c>
      <c r="U43" s="50">
        <f t="shared" si="4"/>
        <v>1761.7358801227583</v>
      </c>
      <c r="V43" s="50">
        <f t="shared" si="4"/>
        <v>721.93104216175561</v>
      </c>
      <c r="W43" s="50">
        <f t="shared" si="4"/>
        <v>285.89891708592995</v>
      </c>
      <c r="X43" s="50">
        <f t="shared" si="4"/>
        <v>109.53366394384133</v>
      </c>
      <c r="Y43" s="50">
        <f t="shared" si="4"/>
        <v>40.636231127754797</v>
      </c>
      <c r="Z43" s="50">
        <f t="shared" si="4"/>
        <v>14.611171585050041</v>
      </c>
      <c r="AA43" s="50">
        <f t="shared" si="4"/>
        <v>5.0957216429064447</v>
      </c>
      <c r="AB43" s="50">
        <f t="shared" si="4"/>
        <v>1.7250078866426901</v>
      </c>
      <c r="AD43" s="1"/>
    </row>
    <row r="44" spans="1:32">
      <c r="B44" s="7">
        <v>2010</v>
      </c>
      <c r="C44" s="8"/>
      <c r="D44" s="8"/>
      <c r="E44" s="8"/>
      <c r="F44" s="50"/>
      <c r="G44" s="50">
        <f t="shared" ref="G44:AB44" si="5">F10-G10</f>
        <v>1996026.4087737408</v>
      </c>
      <c r="H44" s="50">
        <f t="shared" si="5"/>
        <v>3235188.4276496973</v>
      </c>
      <c r="I44" s="50">
        <f t="shared" si="5"/>
        <v>3248148.3712349534</v>
      </c>
      <c r="J44" s="50">
        <f t="shared" si="5"/>
        <v>2737232.8364175279</v>
      </c>
      <c r="K44" s="50">
        <f t="shared" si="5"/>
        <v>2061579.9613299039</v>
      </c>
      <c r="L44" s="50">
        <f t="shared" si="5"/>
        <v>1425153.6542451489</v>
      </c>
      <c r="M44" s="50">
        <f t="shared" si="5"/>
        <v>917542.96375715733</v>
      </c>
      <c r="N44" s="50">
        <f t="shared" si="5"/>
        <v>555256.30221576779</v>
      </c>
      <c r="O44" s="50">
        <f t="shared" si="5"/>
        <v>317857.49223226792</v>
      </c>
      <c r="P44" s="50">
        <f t="shared" si="5"/>
        <v>172936.74044723876</v>
      </c>
      <c r="Q44" s="50">
        <f t="shared" si="5"/>
        <v>89750.766681638634</v>
      </c>
      <c r="R44" s="50">
        <f t="shared" si="5"/>
        <v>44560.546190926376</v>
      </c>
      <c r="S44" s="50">
        <f t="shared" si="5"/>
        <v>21216.10312435087</v>
      </c>
      <c r="T44" s="50">
        <f t="shared" si="5"/>
        <v>9706.4263574932793</v>
      </c>
      <c r="U44" s="50">
        <f t="shared" si="5"/>
        <v>4274.4632728306915</v>
      </c>
      <c r="V44" s="50">
        <f t="shared" si="5"/>
        <v>1814.6117399501306</v>
      </c>
      <c r="W44" s="50">
        <f t="shared" si="5"/>
        <v>743.59871949129615</v>
      </c>
      <c r="X44" s="50">
        <f t="shared" si="5"/>
        <v>294.47974423215351</v>
      </c>
      <c r="Y44" s="50">
        <f t="shared" si="5"/>
        <v>112.82115256595505</v>
      </c>
      <c r="Z44" s="50">
        <f t="shared" si="5"/>
        <v>41.855866650461053</v>
      </c>
      <c r="AA44" s="50">
        <f t="shared" si="5"/>
        <v>15.049703983329268</v>
      </c>
      <c r="AB44" s="50">
        <f t="shared" si="5"/>
        <v>5.2486620844048915</v>
      </c>
    </row>
    <row r="45" spans="1:32">
      <c r="B45" s="7">
        <v>2011</v>
      </c>
      <c r="C45" s="8"/>
      <c r="D45" s="8"/>
      <c r="E45" s="8"/>
      <c r="F45" s="8"/>
      <c r="G45" s="50"/>
      <c r="H45" s="50">
        <f t="shared" ref="H45:AB45" si="6">G11-H11</f>
        <v>1690071.4718927424</v>
      </c>
      <c r="I45" s="50">
        <f t="shared" si="6"/>
        <v>2739292.247704966</v>
      </c>
      <c r="J45" s="50">
        <f t="shared" si="6"/>
        <v>2750265.6651079124</v>
      </c>
      <c r="K45" s="50">
        <f t="shared" si="6"/>
        <v>2317664.2896219864</v>
      </c>
      <c r="L45" s="50">
        <f t="shared" si="6"/>
        <v>1745576.8442512457</v>
      </c>
      <c r="M45" s="50">
        <f t="shared" si="6"/>
        <v>1206703.2397548037</v>
      </c>
      <c r="N45" s="50">
        <f t="shared" si="6"/>
        <v>776900.13542183978</v>
      </c>
      <c r="O45" s="50">
        <f t="shared" si="6"/>
        <v>470145.50100068282</v>
      </c>
      <c r="P45" s="50">
        <f t="shared" si="6"/>
        <v>269135.6574180575</v>
      </c>
      <c r="Q45" s="50">
        <f t="shared" si="6"/>
        <v>146428.64953453065</v>
      </c>
      <c r="R45" s="50">
        <f t="shared" si="6"/>
        <v>75993.58890362925</v>
      </c>
      <c r="S45" s="50">
        <f t="shared" si="6"/>
        <v>37730.216172595879</v>
      </c>
      <c r="T45" s="50">
        <f t="shared" si="6"/>
        <v>17964.056225703182</v>
      </c>
      <c r="U45" s="50">
        <f t="shared" si="6"/>
        <v>8218.6058304235139</v>
      </c>
      <c r="V45" s="50">
        <f t="shared" si="6"/>
        <v>3619.2649572720798</v>
      </c>
      <c r="W45" s="50">
        <f t="shared" si="6"/>
        <v>1536.4644078709716</v>
      </c>
      <c r="X45" s="50">
        <f t="shared" si="6"/>
        <v>629.61841427753893</v>
      </c>
      <c r="Y45" s="50">
        <f t="shared" si="6"/>
        <v>249.34129758473028</v>
      </c>
      <c r="Z45" s="50">
        <f t="shared" si="6"/>
        <v>95.527699703593129</v>
      </c>
      <c r="AA45" s="50">
        <f t="shared" si="6"/>
        <v>35.44011534434047</v>
      </c>
      <c r="AB45" s="50">
        <f t="shared" si="6"/>
        <v>12.742855129998709</v>
      </c>
      <c r="AD45" s="1"/>
      <c r="AE45" s="1"/>
      <c r="AF45" s="1"/>
    </row>
    <row r="46" spans="1:32">
      <c r="B46" s="7">
        <v>2012</v>
      </c>
      <c r="C46" s="8"/>
      <c r="D46" s="8"/>
      <c r="E46" s="8"/>
      <c r="F46" s="8"/>
      <c r="G46" s="8"/>
      <c r="H46" s="50"/>
      <c r="I46" s="50">
        <f t="shared" ref="I46:AB46" si="7">H12-I12</f>
        <v>2128845.9524983838</v>
      </c>
      <c r="J46" s="50">
        <f t="shared" si="7"/>
        <v>3450464.2621451244</v>
      </c>
      <c r="K46" s="50">
        <f t="shared" si="7"/>
        <v>3464286.5860005617</v>
      </c>
      <c r="L46" s="50">
        <f t="shared" si="7"/>
        <v>2919373.7213291842</v>
      </c>
      <c r="M46" s="50">
        <f t="shared" si="7"/>
        <v>2198761.5680521941</v>
      </c>
      <c r="N46" s="50">
        <f t="shared" si="7"/>
        <v>1519986.196170602</v>
      </c>
      <c r="O46" s="50">
        <f t="shared" si="7"/>
        <v>978598.08670457918</v>
      </c>
      <c r="P46" s="50">
        <f t="shared" si="7"/>
        <v>592204.15440167056</v>
      </c>
      <c r="Q46" s="50">
        <f t="shared" si="7"/>
        <v>339008.35822390846</v>
      </c>
      <c r="R46" s="50">
        <f t="shared" si="7"/>
        <v>184444.29308204603</v>
      </c>
      <c r="S46" s="50">
        <f t="shared" si="7"/>
        <v>95722.960149216815</v>
      </c>
      <c r="T46" s="50">
        <f t="shared" si="7"/>
        <v>47525.693038274825</v>
      </c>
      <c r="U46" s="50">
        <f t="shared" si="7"/>
        <v>22627.864574101644</v>
      </c>
      <c r="V46" s="50">
        <f t="shared" si="7"/>
        <v>10352.311158582221</v>
      </c>
      <c r="W46" s="50">
        <f t="shared" si="7"/>
        <v>4558.8945103481865</v>
      </c>
      <c r="X46" s="50">
        <f t="shared" si="7"/>
        <v>1935.3595929234909</v>
      </c>
      <c r="Y46" s="50">
        <f t="shared" si="7"/>
        <v>793.07924850781262</v>
      </c>
      <c r="Z46" s="50">
        <f t="shared" si="7"/>
        <v>314.07500865006909</v>
      </c>
      <c r="AA46" s="50">
        <f t="shared" si="7"/>
        <v>120.3284951243656</v>
      </c>
      <c r="AB46" s="50">
        <f t="shared" si="7"/>
        <v>44.641038773573911</v>
      </c>
    </row>
    <row r="47" spans="1:32">
      <c r="B47" s="7">
        <v>2013</v>
      </c>
      <c r="C47" s="8"/>
      <c r="D47" s="8"/>
      <c r="E47" s="8"/>
      <c r="F47" s="8"/>
      <c r="G47" s="8"/>
      <c r="H47" s="8"/>
      <c r="I47" s="50"/>
      <c r="J47" s="50">
        <f t="shared" ref="J47:AB47" si="8">I13-J13</f>
        <v>2568179.058625102</v>
      </c>
      <c r="K47" s="50">
        <f t="shared" si="8"/>
        <v>4162541.7048968654</v>
      </c>
      <c r="L47" s="50">
        <f t="shared" si="8"/>
        <v>4179216.5622886904</v>
      </c>
      <c r="M47" s="50">
        <f t="shared" si="8"/>
        <v>3521849.2191128768</v>
      </c>
      <c r="N47" s="50">
        <f t="shared" si="8"/>
        <v>2652523.263768482</v>
      </c>
      <c r="O47" s="50">
        <f t="shared" si="8"/>
        <v>1833668.0086332019</v>
      </c>
      <c r="P47" s="50">
        <f t="shared" si="8"/>
        <v>1180552.8296379629</v>
      </c>
      <c r="Q47" s="50">
        <f t="shared" si="8"/>
        <v>714418.20671912178</v>
      </c>
      <c r="R47" s="50">
        <f t="shared" si="8"/>
        <v>408970.01742552308</v>
      </c>
      <c r="S47" s="50">
        <f t="shared" si="8"/>
        <v>222508.33622804406</v>
      </c>
      <c r="T47" s="50">
        <f t="shared" si="8"/>
        <v>115477.44983441225</v>
      </c>
      <c r="U47" s="50">
        <f t="shared" si="8"/>
        <v>57333.641010661529</v>
      </c>
      <c r="V47" s="50">
        <f t="shared" si="8"/>
        <v>27297.610647878355</v>
      </c>
      <c r="W47" s="50">
        <f t="shared" si="8"/>
        <v>12488.733012663579</v>
      </c>
      <c r="X47" s="50">
        <f t="shared" si="8"/>
        <v>5499.7203523424196</v>
      </c>
      <c r="Y47" s="50">
        <f t="shared" si="8"/>
        <v>2334.7626311909398</v>
      </c>
      <c r="Z47" s="50">
        <f t="shared" si="8"/>
        <v>956.74819282136059</v>
      </c>
      <c r="AA47" s="50">
        <f t="shared" si="8"/>
        <v>378.89113540883005</v>
      </c>
      <c r="AB47" s="50">
        <f t="shared" si="8"/>
        <v>145.16086566601999</v>
      </c>
    </row>
    <row r="48" spans="1:32">
      <c r="B48" s="7">
        <v>2014</v>
      </c>
      <c r="C48" s="8"/>
      <c r="D48" s="8"/>
      <c r="E48" s="8"/>
      <c r="F48" s="8"/>
      <c r="G48" s="8"/>
      <c r="H48" s="8"/>
      <c r="I48" s="8"/>
      <c r="J48" s="50"/>
      <c r="K48" s="50">
        <f t="shared" ref="K48:AB48" si="9">J14-K14</f>
        <v>2489622.7730500177</v>
      </c>
      <c r="L48" s="50">
        <f t="shared" si="9"/>
        <v>4035216.5428175814</v>
      </c>
      <c r="M48" s="50">
        <f t="shared" si="9"/>
        <v>4051381.3443179391</v>
      </c>
      <c r="N48" s="50">
        <f t="shared" si="9"/>
        <v>3414121.7644870579</v>
      </c>
      <c r="O48" s="50">
        <f t="shared" si="9"/>
        <v>2571387.0305672418</v>
      </c>
      <c r="P48" s="50">
        <f t="shared" si="9"/>
        <v>1777579.1828746125</v>
      </c>
      <c r="Q48" s="50">
        <f t="shared" si="9"/>
        <v>1144441.7006611691</v>
      </c>
      <c r="R48" s="50">
        <f t="shared" si="9"/>
        <v>692565.35324358917</v>
      </c>
      <c r="S48" s="50">
        <f t="shared" si="9"/>
        <v>396460.31123014382</v>
      </c>
      <c r="T48" s="50">
        <f t="shared" si="9"/>
        <v>215702.1798018156</v>
      </c>
      <c r="U48" s="50">
        <f t="shared" si="9"/>
        <v>111945.18852412386</v>
      </c>
      <c r="V48" s="50">
        <f t="shared" si="9"/>
        <v>55579.901192105426</v>
      </c>
      <c r="W48" s="50">
        <f t="shared" si="9"/>
        <v>26462.622569313397</v>
      </c>
      <c r="X48" s="50">
        <f t="shared" si="9"/>
        <v>12106.723637686828</v>
      </c>
      <c r="Y48" s="50">
        <f t="shared" si="9"/>
        <v>5331.4931404855488</v>
      </c>
      <c r="Z48" s="50">
        <f t="shared" si="9"/>
        <v>2263.3461622380091</v>
      </c>
      <c r="AA48" s="50">
        <f t="shared" si="9"/>
        <v>927.4828719293838</v>
      </c>
      <c r="AB48" s="50">
        <f t="shared" si="9"/>
        <v>367.30149171358948</v>
      </c>
      <c r="AD48" s="1"/>
    </row>
    <row r="49" spans="2:32">
      <c r="B49" s="7">
        <v>2015</v>
      </c>
      <c r="C49" s="8"/>
      <c r="D49" s="8"/>
      <c r="E49" s="8"/>
      <c r="F49" s="8"/>
      <c r="G49" s="8"/>
      <c r="H49" s="8"/>
      <c r="I49" s="8"/>
      <c r="J49" s="8"/>
      <c r="K49" s="50"/>
      <c r="L49" s="50">
        <f t="shared" ref="L49:AB49" si="10">K15-L15</f>
        <v>2593480.6659998037</v>
      </c>
      <c r="M49" s="50">
        <f t="shared" si="10"/>
        <v>4203550.9155063927</v>
      </c>
      <c r="N49" s="50">
        <f t="shared" si="10"/>
        <v>4220390.0529912822</v>
      </c>
      <c r="O49" s="50">
        <f t="shared" si="10"/>
        <v>3556546.3504813584</v>
      </c>
      <c r="P49" s="50">
        <f t="shared" si="10"/>
        <v>2678655.8272074442</v>
      </c>
      <c r="Q49" s="50">
        <f t="shared" si="10"/>
        <v>1851733.2396591227</v>
      </c>
      <c r="R49" s="50">
        <f t="shared" si="10"/>
        <v>1192183.5934977795</v>
      </c>
      <c r="S49" s="50">
        <f t="shared" si="10"/>
        <v>721456.62910133065</v>
      </c>
      <c r="T49" s="50">
        <f t="shared" si="10"/>
        <v>412999.17527344427</v>
      </c>
      <c r="U49" s="50">
        <f t="shared" si="10"/>
        <v>224700.48032404593</v>
      </c>
      <c r="V49" s="50">
        <f t="shared" si="10"/>
        <v>116615.12950146262</v>
      </c>
      <c r="W49" s="50">
        <f t="shared" si="10"/>
        <v>57898.489972162904</v>
      </c>
      <c r="X49" s="50">
        <f t="shared" si="10"/>
        <v>27566.54572254169</v>
      </c>
      <c r="Y49" s="50">
        <f t="shared" si="10"/>
        <v>12611.77155946299</v>
      </c>
      <c r="Z49" s="50">
        <f t="shared" si="10"/>
        <v>5553.9033987146349</v>
      </c>
      <c r="AA49" s="50">
        <f t="shared" si="10"/>
        <v>2357.7646283488593</v>
      </c>
      <c r="AB49" s="50">
        <f t="shared" si="10"/>
        <v>966.17404147857326</v>
      </c>
    </row>
    <row r="50" spans="2:32">
      <c r="B50" s="7">
        <v>2016</v>
      </c>
      <c r="C50" s="8"/>
      <c r="D50" s="8"/>
      <c r="E50" s="8"/>
      <c r="F50" s="8"/>
      <c r="G50" s="8"/>
      <c r="H50" s="8"/>
      <c r="I50" s="8"/>
      <c r="J50" s="8"/>
      <c r="K50" s="8"/>
      <c r="L50" s="50"/>
      <c r="M50" s="50">
        <f t="shared" ref="M50:AB50" si="11">L16-M16</f>
        <v>2600275.5890525281</v>
      </c>
      <c r="N50" s="50">
        <f t="shared" si="11"/>
        <v>4214564.2249146812</v>
      </c>
      <c r="O50" s="50">
        <f t="shared" si="11"/>
        <v>4231447.4809638541</v>
      </c>
      <c r="P50" s="50">
        <f t="shared" si="11"/>
        <v>3565864.5070042834</v>
      </c>
      <c r="Q50" s="50">
        <f t="shared" si="11"/>
        <v>2685673.909304304</v>
      </c>
      <c r="R50" s="50">
        <f t="shared" si="11"/>
        <v>1856584.7833943837</v>
      </c>
      <c r="S50" s="50">
        <f t="shared" si="11"/>
        <v>1195307.1162171648</v>
      </c>
      <c r="T50" s="50">
        <f t="shared" si="11"/>
        <v>723346.84650101617</v>
      </c>
      <c r="U50" s="50">
        <f t="shared" si="11"/>
        <v>414081.23370311043</v>
      </c>
      <c r="V50" s="50">
        <f t="shared" si="11"/>
        <v>225289.19590374091</v>
      </c>
      <c r="W50" s="50">
        <f t="shared" si="11"/>
        <v>116920.66130747682</v>
      </c>
      <c r="X50" s="50">
        <f t="shared" si="11"/>
        <v>58050.184098665311</v>
      </c>
      <c r="Y50" s="50">
        <f t="shared" si="11"/>
        <v>27638.770111745624</v>
      </c>
      <c r="Z50" s="50">
        <f t="shared" si="11"/>
        <v>12644.814418979369</v>
      </c>
      <c r="AA50" s="50">
        <f t="shared" si="11"/>
        <v>5568.4546335594778</v>
      </c>
      <c r="AB50" s="50">
        <f t="shared" si="11"/>
        <v>2363.9419750459429</v>
      </c>
      <c r="AD50" s="1"/>
      <c r="AE50" s="1"/>
      <c r="AF50" s="1"/>
    </row>
    <row r="51" spans="2:32">
      <c r="B51" s="7">
        <v>2017</v>
      </c>
      <c r="C51" s="8"/>
      <c r="D51" s="8"/>
      <c r="E51" s="8"/>
      <c r="F51" s="8"/>
      <c r="G51" s="8"/>
      <c r="H51" s="8"/>
      <c r="I51" s="8"/>
      <c r="J51" s="8"/>
      <c r="K51" s="8"/>
      <c r="L51" s="8"/>
      <c r="M51" s="50"/>
      <c r="N51" s="50">
        <f t="shared" ref="N51:AB51" si="12">M17-N17</f>
        <v>2218004.2168749422</v>
      </c>
      <c r="O51" s="50">
        <f t="shared" si="12"/>
        <v>3594973.2645673826</v>
      </c>
      <c r="P51" s="50">
        <f t="shared" si="12"/>
        <v>3609374.4816034939</v>
      </c>
      <c r="Q51" s="50">
        <f t="shared" si="12"/>
        <v>3041640.1040868349</v>
      </c>
      <c r="R51" s="50">
        <f t="shared" si="12"/>
        <v>2290847.9705254911</v>
      </c>
      <c r="S51" s="50">
        <f t="shared" si="12"/>
        <v>1583644.7859186558</v>
      </c>
      <c r="T51" s="50">
        <f t="shared" si="12"/>
        <v>1019582.7839911096</v>
      </c>
      <c r="U51" s="50">
        <f t="shared" si="12"/>
        <v>617006.27524140326</v>
      </c>
      <c r="V51" s="50">
        <f t="shared" si="12"/>
        <v>353206.37795047369</v>
      </c>
      <c r="W51" s="50">
        <f t="shared" si="12"/>
        <v>192169.01032899259</v>
      </c>
      <c r="X51" s="50">
        <f t="shared" si="12"/>
        <v>99731.936457659787</v>
      </c>
      <c r="Y51" s="50">
        <f t="shared" si="12"/>
        <v>49516.118085053262</v>
      </c>
      <c r="Z51" s="50">
        <f t="shared" si="12"/>
        <v>23575.542882908849</v>
      </c>
      <c r="AA51" s="50">
        <f t="shared" si="12"/>
        <v>10785.876628221798</v>
      </c>
      <c r="AB51" s="50">
        <f t="shared" si="12"/>
        <v>4749.825714901267</v>
      </c>
      <c r="AD51" s="97"/>
      <c r="AE51" s="268"/>
      <c r="AF51" s="97"/>
    </row>
    <row r="52" spans="2:32">
      <c r="B52" s="7">
        <v>2018</v>
      </c>
      <c r="C52" s="8"/>
      <c r="D52" s="8"/>
      <c r="E52" s="8"/>
      <c r="F52" s="8"/>
      <c r="G52" s="8"/>
      <c r="H52" s="8"/>
      <c r="I52" s="8"/>
      <c r="J52" s="8"/>
      <c r="K52" s="8"/>
      <c r="L52" s="8"/>
      <c r="M52" s="8"/>
      <c r="N52" s="50"/>
      <c r="O52" s="50">
        <f t="shared" ref="O52:AB52" si="13">N18-O18</f>
        <v>2391406.4788931943</v>
      </c>
      <c r="P52" s="50">
        <f t="shared" si="13"/>
        <v>3876026.1549218632</v>
      </c>
      <c r="Q52" s="50">
        <f t="shared" si="13"/>
        <v>3891553.2506154068</v>
      </c>
      <c r="R52" s="50">
        <f t="shared" si="13"/>
        <v>3279433.7341806563</v>
      </c>
      <c r="S52" s="50">
        <f t="shared" si="13"/>
        <v>2469945.1142580369</v>
      </c>
      <c r="T52" s="50">
        <f t="shared" si="13"/>
        <v>1707453.2016206854</v>
      </c>
      <c r="U52" s="50">
        <f t="shared" si="13"/>
        <v>1099293.1649334983</v>
      </c>
      <c r="V52" s="50">
        <f t="shared" si="13"/>
        <v>665243.46207464568</v>
      </c>
      <c r="W52" s="50">
        <f t="shared" si="13"/>
        <v>380819.84434062318</v>
      </c>
      <c r="X52" s="50">
        <f t="shared" si="13"/>
        <v>207192.67026044492</v>
      </c>
      <c r="Y52" s="50">
        <f t="shared" si="13"/>
        <v>107528.92045148865</v>
      </c>
      <c r="Z52" s="50">
        <f t="shared" si="13"/>
        <v>53387.259003986561</v>
      </c>
      <c r="AA52" s="50">
        <f t="shared" si="13"/>
        <v>25418.664926186379</v>
      </c>
      <c r="AB52" s="50">
        <f t="shared" si="13"/>
        <v>11629.110104043868</v>
      </c>
    </row>
    <row r="53" spans="2:32">
      <c r="B53" s="7">
        <v>2019</v>
      </c>
      <c r="C53" s="8"/>
      <c r="D53" s="8"/>
      <c r="E53" s="8"/>
      <c r="F53" s="8"/>
      <c r="G53" s="8"/>
      <c r="H53" s="8"/>
      <c r="I53" s="8"/>
      <c r="J53" s="8"/>
      <c r="K53" s="8"/>
      <c r="L53" s="8"/>
      <c r="M53" s="8"/>
      <c r="N53" s="8"/>
      <c r="O53" s="50"/>
      <c r="P53" s="50">
        <f t="shared" ref="P53:AB53" si="14">O19-P19</f>
        <v>2406023.6156688705</v>
      </c>
      <c r="Q53" s="50">
        <f t="shared" si="14"/>
        <v>3899717.8212916907</v>
      </c>
      <c r="R53" s="50">
        <f t="shared" si="14"/>
        <v>3915339.8241804298</v>
      </c>
      <c r="S53" s="50">
        <f t="shared" si="14"/>
        <v>3299478.8130337773</v>
      </c>
      <c r="T53" s="50">
        <f t="shared" si="14"/>
        <v>2485042.3074295754</v>
      </c>
      <c r="U53" s="50">
        <f t="shared" si="14"/>
        <v>1717889.7698939731</v>
      </c>
      <c r="V53" s="50">
        <f t="shared" si="14"/>
        <v>1106012.4402596375</v>
      </c>
      <c r="W53" s="50">
        <f t="shared" si="14"/>
        <v>669309.66945515294</v>
      </c>
      <c r="X53" s="50">
        <f t="shared" si="14"/>
        <v>383147.55224003235</v>
      </c>
      <c r="Y53" s="50">
        <f t="shared" si="14"/>
        <v>208459.1064045486</v>
      </c>
      <c r="Z53" s="50">
        <f t="shared" si="14"/>
        <v>108186.17589988382</v>
      </c>
      <c r="AA53" s="50">
        <f t="shared" si="14"/>
        <v>53713.581138607857</v>
      </c>
      <c r="AB53" s="50">
        <f t="shared" si="14"/>
        <v>25574.032951304831</v>
      </c>
    </row>
    <row r="54" spans="2:32">
      <c r="B54" s="7">
        <v>2020</v>
      </c>
      <c r="C54" s="8"/>
      <c r="D54" s="8"/>
      <c r="E54" s="8"/>
      <c r="F54" s="8"/>
      <c r="G54" s="8"/>
      <c r="H54" s="8"/>
      <c r="I54" s="8"/>
      <c r="J54" s="8"/>
      <c r="K54" s="8"/>
      <c r="L54" s="8"/>
      <c r="M54" s="8"/>
      <c r="N54" s="8"/>
      <c r="O54" s="8"/>
      <c r="P54" s="50"/>
      <c r="Q54" s="50">
        <f t="shared" ref="Q54:AB54" si="15">P20-Q20</f>
        <v>2537330.030899182</v>
      </c>
      <c r="R54" s="50">
        <f t="shared" si="15"/>
        <v>4112541.1552726477</v>
      </c>
      <c r="S54" s="50">
        <f t="shared" si="15"/>
        <v>4129015.7138822377</v>
      </c>
      <c r="T54" s="50">
        <f t="shared" si="15"/>
        <v>3479544.6828142712</v>
      </c>
      <c r="U54" s="50">
        <f t="shared" si="15"/>
        <v>2620661.0914511625</v>
      </c>
      <c r="V54" s="50">
        <f t="shared" si="15"/>
        <v>1811641.945049949</v>
      </c>
      <c r="W54" s="50">
        <f t="shared" si="15"/>
        <v>1166372.0010656307</v>
      </c>
      <c r="X54" s="50">
        <f t="shared" si="15"/>
        <v>705836.59828611067</v>
      </c>
      <c r="Y54" s="50">
        <f t="shared" si="15"/>
        <v>404057.45988236472</v>
      </c>
      <c r="Z54" s="50">
        <f t="shared" si="15"/>
        <v>219835.56081914328</v>
      </c>
      <c r="AA54" s="50">
        <f t="shared" si="15"/>
        <v>114090.33196983178</v>
      </c>
      <c r="AB54" s="50">
        <f t="shared" si="15"/>
        <v>56644.947955858443</v>
      </c>
    </row>
    <row r="55" spans="2:32">
      <c r="B55" s="7">
        <v>2021</v>
      </c>
      <c r="C55" s="8"/>
      <c r="D55" s="8"/>
      <c r="E55" s="8"/>
      <c r="F55" s="8"/>
      <c r="G55" s="8"/>
      <c r="H55" s="8"/>
      <c r="I55" s="8"/>
      <c r="J55" s="8"/>
      <c r="K55" s="8"/>
      <c r="L55" s="8"/>
      <c r="M55" s="8"/>
      <c r="N55" s="8"/>
      <c r="O55" s="8"/>
      <c r="P55" s="8"/>
      <c r="Q55" s="50"/>
      <c r="R55" s="50">
        <f t="shared" ref="R55:AB55" si="16">Q21-R21</f>
        <v>1387746.730199974</v>
      </c>
      <c r="S55" s="50">
        <f t="shared" si="16"/>
        <v>2450935.3244073652</v>
      </c>
      <c r="T55" s="50">
        <f t="shared" si="16"/>
        <v>2811189.1391911004</v>
      </c>
      <c r="U55" s="50">
        <f t="shared" si="16"/>
        <v>2803544.9638516065</v>
      </c>
      <c r="V55" s="50">
        <f t="shared" si="16"/>
        <v>2575095.074845802</v>
      </c>
      <c r="W55" s="50">
        <f t="shared" si="16"/>
        <v>2229920.3612650381</v>
      </c>
      <c r="X55" s="50">
        <f t="shared" si="16"/>
        <v>1842976.5681968816</v>
      </c>
      <c r="Y55" s="50">
        <f t="shared" si="16"/>
        <v>1464599.2498130808</v>
      </c>
      <c r="Z55" s="50">
        <f t="shared" si="16"/>
        <v>1124727.2153879679</v>
      </c>
      <c r="AA55" s="50">
        <f t="shared" si="16"/>
        <v>837623.70691555971</v>
      </c>
      <c r="AB55" s="50">
        <f t="shared" si="16"/>
        <v>606573.56248199195</v>
      </c>
    </row>
    <row r="56" spans="2:32">
      <c r="B56" s="7">
        <v>2022</v>
      </c>
      <c r="C56" s="8"/>
      <c r="D56" s="8"/>
      <c r="E56" s="8"/>
      <c r="F56" s="8"/>
      <c r="G56" s="8"/>
      <c r="H56" s="8"/>
      <c r="I56" s="8"/>
      <c r="J56" s="8"/>
      <c r="K56" s="8"/>
      <c r="L56" s="8"/>
      <c r="M56" s="8"/>
      <c r="N56" s="8"/>
      <c r="O56" s="8"/>
      <c r="P56" s="8"/>
      <c r="Q56" s="51"/>
      <c r="R56" s="50"/>
      <c r="S56" s="50">
        <f t="shared" ref="S56:AB56" si="17">R22-S22</f>
        <v>1387746.730199974</v>
      </c>
      <c r="T56" s="50">
        <f t="shared" si="17"/>
        <v>2450935.3244073652</v>
      </c>
      <c r="U56" s="50">
        <f t="shared" si="17"/>
        <v>2811189.1391911004</v>
      </c>
      <c r="V56" s="50">
        <f t="shared" si="17"/>
        <v>2803544.9638516065</v>
      </c>
      <c r="W56" s="50">
        <f t="shared" si="17"/>
        <v>2575095.074845802</v>
      </c>
      <c r="X56" s="50">
        <f t="shared" si="17"/>
        <v>2229920.3612650381</v>
      </c>
      <c r="Y56" s="50">
        <f t="shared" si="17"/>
        <v>1842976.5681968816</v>
      </c>
      <c r="Z56" s="50">
        <f t="shared" si="17"/>
        <v>1464599.2498130808</v>
      </c>
      <c r="AA56" s="50">
        <f t="shared" si="17"/>
        <v>1124727.2153879679</v>
      </c>
      <c r="AB56" s="50">
        <f t="shared" si="17"/>
        <v>837623.70691555971</v>
      </c>
    </row>
    <row r="57" spans="2:32">
      <c r="B57" s="7">
        <v>2023</v>
      </c>
      <c r="C57" s="8"/>
      <c r="D57" s="8"/>
      <c r="E57" s="8"/>
      <c r="F57" s="8"/>
      <c r="G57" s="8"/>
      <c r="H57" s="8"/>
      <c r="I57" s="8"/>
      <c r="J57" s="8"/>
      <c r="K57" s="8"/>
      <c r="L57" s="8"/>
      <c r="M57" s="8"/>
      <c r="N57" s="8"/>
      <c r="O57" s="8"/>
      <c r="P57" s="8"/>
      <c r="Q57" s="51"/>
      <c r="R57" s="51"/>
      <c r="S57" s="50"/>
      <c r="T57" s="50">
        <f t="shared" ref="T57:AB57" si="18">S23-T23</f>
        <v>1204005.5193805695</v>
      </c>
      <c r="U57" s="50">
        <f t="shared" si="18"/>
        <v>2126425.2287634946</v>
      </c>
      <c r="V57" s="50">
        <f t="shared" si="18"/>
        <v>2438980.5185280927</v>
      </c>
      <c r="W57" s="50">
        <f t="shared" si="18"/>
        <v>2432348.4515236616</v>
      </c>
      <c r="X57" s="50">
        <f t="shared" si="18"/>
        <v>2234145.9111903617</v>
      </c>
      <c r="Y57" s="50">
        <f t="shared" si="18"/>
        <v>1934673.2111235699</v>
      </c>
      <c r="Z57" s="50">
        <f t="shared" si="18"/>
        <v>1598961.7643547636</v>
      </c>
      <c r="AA57" s="50">
        <f t="shared" si="18"/>
        <v>1270682.569146812</v>
      </c>
      <c r="AB57" s="50">
        <f t="shared" si="18"/>
        <v>975810.45997457718</v>
      </c>
    </row>
    <row r="58" spans="2:32">
      <c r="B58" s="7">
        <v>2024</v>
      </c>
      <c r="C58" s="8"/>
      <c r="D58" s="8"/>
      <c r="E58" s="8"/>
      <c r="F58" s="8"/>
      <c r="G58" s="8"/>
      <c r="H58" s="8"/>
      <c r="I58" s="8"/>
      <c r="J58" s="8"/>
      <c r="K58" s="8"/>
      <c r="L58" s="8"/>
      <c r="M58" s="8"/>
      <c r="N58" s="8"/>
      <c r="O58" s="8"/>
      <c r="P58" s="8"/>
      <c r="Q58" s="51"/>
      <c r="R58" s="51"/>
      <c r="S58" s="51"/>
      <c r="T58" s="50"/>
      <c r="U58" s="50">
        <f t="shared" ref="U58:AB58" si="19">T24-U24</f>
        <v>1118806.7241019607</v>
      </c>
      <c r="V58" s="50">
        <f t="shared" si="19"/>
        <v>1975953.4370445553</v>
      </c>
      <c r="W58" s="50">
        <f t="shared" si="19"/>
        <v>2266391.4410349149</v>
      </c>
      <c r="X58" s="50">
        <f t="shared" si="19"/>
        <v>2260228.6776257642</v>
      </c>
      <c r="Y58" s="50">
        <f t="shared" si="19"/>
        <v>2076051.5029454771</v>
      </c>
      <c r="Z58" s="50">
        <f t="shared" si="19"/>
        <v>1797770.3280451559</v>
      </c>
      <c r="AA58" s="50">
        <f t="shared" si="19"/>
        <v>1485814.7614326598</v>
      </c>
      <c r="AB58" s="50">
        <f t="shared" si="19"/>
        <v>1180765.5194903188</v>
      </c>
    </row>
    <row r="59" spans="2:32">
      <c r="B59" s="7">
        <v>2025</v>
      </c>
      <c r="C59" s="8"/>
      <c r="D59" s="8"/>
      <c r="E59" s="8"/>
      <c r="F59" s="8"/>
      <c r="G59" s="8"/>
      <c r="H59" s="8"/>
      <c r="I59" s="8"/>
      <c r="J59" s="8"/>
      <c r="K59" s="8"/>
      <c r="L59" s="8"/>
      <c r="M59" s="8"/>
      <c r="N59" s="8"/>
      <c r="O59" s="8"/>
      <c r="P59" s="8"/>
      <c r="Q59" s="51"/>
      <c r="R59" s="51"/>
      <c r="S59" s="51"/>
      <c r="T59" s="51"/>
      <c r="U59" s="50"/>
      <c r="V59" s="50">
        <f t="shared" ref="V59:AB59" si="20">U25-V25</f>
        <v>1075292.9091908801</v>
      </c>
      <c r="W59" s="50">
        <f t="shared" si="20"/>
        <v>1899102.565236032</v>
      </c>
      <c r="X59" s="50">
        <f t="shared" si="20"/>
        <v>2178244.5470658857</v>
      </c>
      <c r="Y59" s="50">
        <f t="shared" si="20"/>
        <v>2172321.4723719973</v>
      </c>
      <c r="Z59" s="50">
        <f t="shared" si="20"/>
        <v>1995307.5112452544</v>
      </c>
      <c r="AA59" s="50">
        <f t="shared" si="20"/>
        <v>1727849.5422454616</v>
      </c>
      <c r="AB59" s="50">
        <f t="shared" si="20"/>
        <v>1428026.8816064731</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1">V26-W26</f>
        <v>1072631.4719517231</v>
      </c>
      <c r="X60" s="50">
        <f t="shared" si="21"/>
        <v>1894402.1322238799</v>
      </c>
      <c r="Y60" s="50">
        <f t="shared" si="21"/>
        <v>2172853.2149888333</v>
      </c>
      <c r="Z60" s="50">
        <f t="shared" si="21"/>
        <v>2166944.8003856279</v>
      </c>
      <c r="AA60" s="50">
        <f t="shared" si="21"/>
        <v>1990368.9631821122</v>
      </c>
      <c r="AB60" s="50">
        <f t="shared" si="21"/>
        <v>1723572.9743669946</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1099981.6568944789</v>
      </c>
      <c r="Y61" s="50">
        <f>X27-Y27</f>
        <v>1942705.9998868313</v>
      </c>
      <c r="Z61" s="50">
        <f>Y27-Z27</f>
        <v>2228257.0874626394</v>
      </c>
      <c r="AA61" s="50">
        <f>Z27-AA27</f>
        <v>2222198.0188497957</v>
      </c>
      <c r="AB61" s="50">
        <f>AA27-AB27</f>
        <v>2041119.8134702351</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1144012.0964945927</v>
      </c>
      <c r="Z62" s="50">
        <f>Y28-Z28</f>
        <v>2020469.2958951406</v>
      </c>
      <c r="AA62" s="50">
        <f>Z28-AA28</f>
        <v>2317450.5194513518</v>
      </c>
      <c r="AB62" s="50">
        <f>AA28-AB28</f>
        <v>2311148.9163808469</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1193311.2781077959</v>
      </c>
      <c r="AA63" s="50">
        <f>Z29-AA29</f>
        <v>2107537.8531835191</v>
      </c>
      <c r="AB63" s="50">
        <f>AA29-AB29</f>
        <v>2417316.9582662191</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1240098.4540175721</v>
      </c>
      <c r="AB64" s="50">
        <f>AA30-AB30</f>
        <v>2190169.8923525177</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1280187.5315152407</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2">ROUND(SUM(C41:C66),0)</f>
        <v>0</v>
      </c>
      <c r="D67" s="90">
        <f t="shared" si="22"/>
        <v>2003202</v>
      </c>
      <c r="E67" s="90">
        <f t="shared" si="22"/>
        <v>5143289</v>
      </c>
      <c r="F67" s="90">
        <f t="shared" si="22"/>
        <v>8271515</v>
      </c>
      <c r="G67" s="90">
        <f t="shared" si="22"/>
        <v>10970157</v>
      </c>
      <c r="H67" s="90">
        <f t="shared" si="22"/>
        <v>12748459</v>
      </c>
      <c r="I67" s="90">
        <f t="shared" si="22"/>
        <v>14162790</v>
      </c>
      <c r="J67" s="90">
        <f t="shared" si="22"/>
        <v>15782562</v>
      </c>
      <c r="K67" s="90">
        <f t="shared" si="22"/>
        <v>17308352</v>
      </c>
      <c r="L67" s="90">
        <f t="shared" si="22"/>
        <v>18635386</v>
      </c>
      <c r="M67" s="90">
        <f t="shared" si="22"/>
        <v>19714704</v>
      </c>
      <c r="N67" s="90">
        <f t="shared" si="22"/>
        <v>20134726</v>
      </c>
      <c r="O67" s="90">
        <f t="shared" si="22"/>
        <v>20243922</v>
      </c>
      <c r="P67" s="90">
        <f t="shared" si="22"/>
        <v>20279119</v>
      </c>
      <c r="Q67" s="90">
        <f t="shared" si="22"/>
        <v>20414857</v>
      </c>
      <c r="R67" s="90">
        <f t="shared" si="22"/>
        <v>19475322</v>
      </c>
      <c r="S67" s="90">
        <f t="shared" si="22"/>
        <v>18026474</v>
      </c>
      <c r="T67" s="90">
        <f t="shared" si="22"/>
        <v>16707095</v>
      </c>
      <c r="U67" s="90">
        <f t="shared" si="22"/>
        <v>15760762</v>
      </c>
      <c r="V67" s="90">
        <f t="shared" si="22"/>
        <v>15246654</v>
      </c>
      <c r="W67" s="90">
        <f t="shared" si="22"/>
        <v>15105204</v>
      </c>
      <c r="X67" s="90">
        <f t="shared" si="22"/>
        <v>15242056</v>
      </c>
      <c r="Y67" s="90">
        <f t="shared" si="22"/>
        <v>15568887</v>
      </c>
      <c r="Z67" s="90">
        <f t="shared" si="22"/>
        <v>16017225</v>
      </c>
      <c r="AA67" s="90">
        <f t="shared" si="22"/>
        <v>16537771</v>
      </c>
      <c r="AB67" s="267">
        <f t="shared" si="22"/>
        <v>17094822</v>
      </c>
      <c r="AD67" s="1"/>
      <c r="AE67" s="1"/>
      <c r="AF67" s="1"/>
    </row>
    <row r="68" spans="1:32">
      <c r="R68" s="97"/>
      <c r="S68" s="97"/>
      <c r="T68" s="97"/>
      <c r="U68" s="97"/>
      <c r="V68" s="97"/>
      <c r="W68" s="97"/>
      <c r="X68" s="97"/>
      <c r="Y68" s="97"/>
      <c r="Z68" s="97"/>
      <c r="AA68" s="97"/>
      <c r="AB68" s="97"/>
      <c r="AD68" s="97"/>
      <c r="AE68" s="268"/>
      <c r="AF68" s="97"/>
    </row>
    <row r="69" spans="1:32" ht="21">
      <c r="B69" s="52" t="s">
        <v>7652</v>
      </c>
      <c r="Q69" s="46"/>
      <c r="R69" s="46"/>
      <c r="S69" s="46"/>
      <c r="T69" s="46"/>
      <c r="U69" s="46"/>
      <c r="V69" s="46"/>
      <c r="W69" s="46"/>
      <c r="X69" s="46"/>
      <c r="Y69" s="46"/>
      <c r="Z69" s="46"/>
      <c r="AA69" s="46"/>
      <c r="AB69" s="46"/>
    </row>
    <row r="70" spans="1:32">
      <c r="B70" s="7" t="s">
        <v>7761</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759930.1157694119</v>
      </c>
      <c r="E71" s="91">
        <f>E67*Outflow_routing!D4</f>
        <v>1951146.3173486961</v>
      </c>
      <c r="F71" s="91">
        <f>F67*Outflow_routing!E4</f>
        <v>3137862.9571747766</v>
      </c>
      <c r="G71" s="91">
        <f>G67*Outflow_routing!F4</f>
        <v>4161613.5961418892</v>
      </c>
      <c r="H71" s="91">
        <f>H67*Outflow_routing!G4</f>
        <v>4836226.1637875764</v>
      </c>
      <c r="I71" s="91">
        <f>I67*Outflow_routing!H4</f>
        <v>5372763.5277510053</v>
      </c>
      <c r="J71" s="91">
        <f>J67*Outflow_routing!I4</f>
        <v>5987236.5182332695</v>
      </c>
      <c r="K71" s="91">
        <f>K67*Outflow_routing!J4</f>
        <v>6566056.7127717184</v>
      </c>
      <c r="L71" s="91">
        <f>L67*Outflow_routing!K4</f>
        <v>7069477.2870572601</v>
      </c>
      <c r="M71" s="91">
        <f>M67*Outflow_routing!L4</f>
        <v>7478924.8877944853</v>
      </c>
      <c r="N71" s="91">
        <f>N67*Outflow_routing!M4</f>
        <v>7638263.4702667966</v>
      </c>
      <c r="O71" s="91">
        <f>O67*Outflow_routing!N4</f>
        <v>7679687.814352694</v>
      </c>
      <c r="P71" s="91">
        <f>P67*Outflow_routing!O4</f>
        <v>7693040.0675377129</v>
      </c>
      <c r="Q71" s="91">
        <f>Q67*Outflow_routing!P4</f>
        <v>7744533.3238614919</v>
      </c>
      <c r="R71" s="91">
        <f>R67*Outflow_routing!Q4</f>
        <v>7388113.4813696146</v>
      </c>
      <c r="S71" s="91">
        <f>S67*Outflow_routing!R4</f>
        <v>6838481.8274613814</v>
      </c>
      <c r="T71" s="91">
        <f>T67*Outflow_routing!S4</f>
        <v>6337965.2364167785</v>
      </c>
      <c r="U71" s="91">
        <f>U67*Outflow_routing!T4</f>
        <v>5978966.5202381723</v>
      </c>
      <c r="V71" s="91">
        <f>V67*Outflow_routing!U4</f>
        <v>5783935.6886206018</v>
      </c>
      <c r="W71" s="91">
        <f>W67*Outflow_routing!V4</f>
        <v>5730275.5410790248</v>
      </c>
      <c r="X71" s="91">
        <f>X67*Outflow_routing!W4</f>
        <v>5782191.4018875081</v>
      </c>
      <c r="Y71" s="91">
        <f>Y67*Outflow_routing!X4</f>
        <v>5906177.2603616072</v>
      </c>
      <c r="Z71" s="91">
        <f>Z67*Outflow_routing!Y4</f>
        <v>6076257.7356425952</v>
      </c>
      <c r="AA71" s="91">
        <f>AA67*Outflow_routing!Z4</f>
        <v>6273730.872172663</v>
      </c>
      <c r="AB71" s="91">
        <f>AB67*Outflow_routing!AA4</f>
        <v>6485052.4617674556</v>
      </c>
    </row>
    <row r="72" spans="1:32">
      <c r="B72" s="7" t="s">
        <v>6907</v>
      </c>
      <c r="C72" s="91">
        <f>C67*Outflow_routing!B5</f>
        <v>0</v>
      </c>
      <c r="D72" s="91">
        <f>D67*Outflow_routing!C5</f>
        <v>171309.27493420307</v>
      </c>
      <c r="E72" s="91">
        <f>E67*Outflow_routing!D5</f>
        <v>439842.36705387791</v>
      </c>
      <c r="F72" s="91">
        <f>F67*Outflow_routing!E5</f>
        <v>707361.13345403248</v>
      </c>
      <c r="G72" s="91">
        <f>G67*Outflow_routing!F5</f>
        <v>938142.85408279963</v>
      </c>
      <c r="H72" s="91">
        <f>H67*Outflow_routing!G5</f>
        <v>1090219.1929812448</v>
      </c>
      <c r="I72" s="91">
        <f>I67*Outflow_routing!H5</f>
        <v>1211169.5605063203</v>
      </c>
      <c r="J72" s="91">
        <f>J67*Outflow_routing!I5</f>
        <v>1349688.7746837842</v>
      </c>
      <c r="K72" s="91">
        <f>K67*Outflow_routing!J5</f>
        <v>1480170.8621626594</v>
      </c>
      <c r="L72" s="91">
        <f>L67*Outflow_routing!K5</f>
        <v>1593655.7889713561</v>
      </c>
      <c r="M72" s="91">
        <f>M67*Outflow_routing!L5</f>
        <v>1685956.6073628287</v>
      </c>
      <c r="N72" s="91">
        <f>N67*Outflow_routing!M5</f>
        <v>1721875.9326612328</v>
      </c>
      <c r="O72" s="91">
        <f>O67*Outflow_routing!N5</f>
        <v>1731214.1260065446</v>
      </c>
      <c r="P72" s="91">
        <f>P67*Outflow_routing!O5</f>
        <v>1734224.0933237991</v>
      </c>
      <c r="Q72" s="91">
        <f>Q67*Outflow_routing!P5</f>
        <v>1745832.0980886801</v>
      </c>
      <c r="R72" s="91">
        <f>R67*Outflow_routing!Q5</f>
        <v>1665485.2036540166</v>
      </c>
      <c r="S72" s="91">
        <f>S67*Outflow_routing!R5</f>
        <v>1541583.0208637288</v>
      </c>
      <c r="T72" s="91">
        <f>T67*Outflow_routing!S5</f>
        <v>1428752.7322291259</v>
      </c>
      <c r="U72" s="91">
        <f>U67*Outflow_routing!T5</f>
        <v>1347824.4883094865</v>
      </c>
      <c r="V72" s="91">
        <f>V67*Outflow_routing!U5</f>
        <v>1303859.1424692401</v>
      </c>
      <c r="W72" s="91">
        <f>W67*Outflow_routing!V5</f>
        <v>1291762.6604672039</v>
      </c>
      <c r="X72" s="91">
        <f>X67*Outflow_routing!W5</f>
        <v>1303465.9319761659</v>
      </c>
      <c r="Y72" s="91">
        <f>Y67*Outflow_routing!X5</f>
        <v>1331415.7750953424</v>
      </c>
      <c r="Z72" s="91">
        <f>Z67*Outflow_routing!Y5</f>
        <v>1369756.6202549671</v>
      </c>
      <c r="AA72" s="91">
        <f>AA67*Outflow_routing!Z5</f>
        <v>1414272.5291996964</v>
      </c>
      <c r="AB72" s="91">
        <f>AB67*Outflow_routing!AA5</f>
        <v>1461910.2626441382</v>
      </c>
    </row>
    <row r="73" spans="1:32">
      <c r="B73" s="7" t="s">
        <v>6908</v>
      </c>
      <c r="C73" s="91">
        <f>C67*Outflow_routing!B6</f>
        <v>0</v>
      </c>
      <c r="D73" s="91">
        <f>D67*Outflow_routing!C6</f>
        <v>27704.115054336067</v>
      </c>
      <c r="E73" s="91">
        <f>E67*Outflow_routing!D6</f>
        <v>71131.253969245779</v>
      </c>
      <c r="F73" s="91">
        <f>F67*Outflow_routing!E6</f>
        <v>114394.35625247308</v>
      </c>
      <c r="G73" s="91">
        <f>G67*Outflow_routing!F6</f>
        <v>151716.34797296039</v>
      </c>
      <c r="H73" s="91">
        <f>H67*Outflow_routing!G6</f>
        <v>176310.11495669739</v>
      </c>
      <c r="I73" s="91">
        <f>I67*Outflow_routing!H6</f>
        <v>195870.19364517424</v>
      </c>
      <c r="J73" s="91">
        <f>J67*Outflow_routing!I6</f>
        <v>218271.50407207679</v>
      </c>
      <c r="K73" s="91">
        <f>K67*Outflow_routing!J6</f>
        <v>239373.0513492637</v>
      </c>
      <c r="L73" s="91">
        <f>L67*Outflow_routing!K6</f>
        <v>257725.81987536134</v>
      </c>
      <c r="M73" s="91">
        <f>M67*Outflow_routing!L6</f>
        <v>272652.69697123877</v>
      </c>
      <c r="N73" s="91">
        <f>N67*Outflow_routing!M6</f>
        <v>278461.56587879395</v>
      </c>
      <c r="O73" s="91">
        <f>O67*Outflow_routing!N6</f>
        <v>279971.7373679764</v>
      </c>
      <c r="P73" s="91">
        <f>P67*Outflow_routing!O6</f>
        <v>280458.50891551253</v>
      </c>
      <c r="Q73" s="91">
        <f>Q67*Outflow_routing!P6</f>
        <v>282335.75403070584</v>
      </c>
      <c r="R73" s="91">
        <f>R67*Outflow_routing!Q6</f>
        <v>269342.06405956182</v>
      </c>
      <c r="S73" s="91">
        <f>S67*Outflow_routing!R6</f>
        <v>249304.61816631458</v>
      </c>
      <c r="T73" s="91">
        <f>T67*Outflow_routing!S6</f>
        <v>231057.71764591031</v>
      </c>
      <c r="U73" s="91">
        <f>U67*Outflow_routing!T6</f>
        <v>217970.0119069409</v>
      </c>
      <c r="V73" s="91">
        <f>V67*Outflow_routing!U6</f>
        <v>210859.94153842359</v>
      </c>
      <c r="W73" s="91">
        <f>W67*Outflow_routing!V6</f>
        <v>208903.69994399833</v>
      </c>
      <c r="X73" s="91">
        <f>X67*Outflow_routing!W6</f>
        <v>210796.35158542841</v>
      </c>
      <c r="Y73" s="91">
        <f>Y67*Outflow_routing!X6</f>
        <v>215316.39680669102</v>
      </c>
      <c r="Z73" s="91">
        <f>Z67*Outflow_routing!Y6</f>
        <v>221516.87361094289</v>
      </c>
      <c r="AA73" s="91">
        <f>AA67*Outflow_routing!Z6</f>
        <v>228715.98097758609</v>
      </c>
      <c r="AB73" s="91">
        <f>AB67*Outflow_routing!AA6</f>
        <v>236419.94942167358</v>
      </c>
    </row>
    <row r="75" spans="1:32" ht="21">
      <c r="A75" s="293" t="s">
        <v>7792</v>
      </c>
      <c r="B75" s="52" t="s">
        <v>7805</v>
      </c>
      <c r="C75" s="162"/>
      <c r="D75" s="162"/>
      <c r="E75" s="162"/>
      <c r="F75" s="162"/>
      <c r="G75" s="162"/>
      <c r="H75" s="162"/>
      <c r="I75" s="162"/>
      <c r="J75" s="162"/>
      <c r="K75" s="162"/>
      <c r="L75" s="162"/>
      <c r="M75" s="162"/>
      <c r="N75" s="162"/>
      <c r="O75" s="162"/>
    </row>
    <row r="76" spans="1:32">
      <c r="A76" s="1" t="s">
        <v>7762</v>
      </c>
      <c r="B76" s="163">
        <v>2007</v>
      </c>
      <c r="C76" s="164">
        <f>((VLOOKUP($B$76,Energy_demand!$A$34:$E$66,5,FALSE )))*C7</f>
        <v>73442207.054328874</v>
      </c>
      <c r="D76" s="164">
        <f>((VLOOKUP($B$76,Energy_demand!$A$34:$E$66,5,FALSE )))*D7</f>
        <v>64736905.96523577</v>
      </c>
      <c r="E76" s="164">
        <f>((VLOOKUP($B$76,Energy_demand!$A$34:$E$66,5,FALSE )))*E7</f>
        <v>50627228.248124592</v>
      </c>
      <c r="F76" s="164">
        <f>((VLOOKUP($B$76,Energy_demand!$A$34:$E$66,5,FALSE )))*F7</f>
        <v>36461028.12704552</v>
      </c>
      <c r="G76" s="164">
        <f>((VLOOKUP($B$76,Energy_demand!$A$34:$E$66,5,FALSE )))*G7</f>
        <v>24523091.891719915</v>
      </c>
      <c r="H76" s="164">
        <f>((VLOOKUP($B$76,Energy_demand!$A$34:$E$66,5,FALSE )))*H7</f>
        <v>15531891.0720658</v>
      </c>
      <c r="I76" s="164">
        <f>((VLOOKUP($B$76,Energy_demand!$A$34:$E$66,5,FALSE )))*I7</f>
        <v>9316346.2256190199</v>
      </c>
      <c r="J76" s="164">
        <f>((VLOOKUP($B$76,Energy_demand!$A$34:$E$66,5,FALSE )))*J7</f>
        <v>5314651.7958384035</v>
      </c>
      <c r="K76" s="164">
        <f>((VLOOKUP($B$76,Energy_demand!$A$34:$E$66,5,FALSE )))*K7</f>
        <v>2893003.830081128</v>
      </c>
      <c r="L76" s="164">
        <f>((VLOOKUP($B$76,Energy_demand!$A$34:$E$66,5,FALSE )))*L7</f>
        <v>1506726.9946930145</v>
      </c>
      <c r="M76" s="164">
        <f>((VLOOKUP($B$76,Energy_demand!$A$34:$E$66,5,FALSE )))*M7</f>
        <v>752495.29297698336</v>
      </c>
      <c r="N76" s="164">
        <f>((VLOOKUP($B$76,Energy_demand!$A$34:$E$66,5,FALSE )))*N7</f>
        <v>361063.87528316362</v>
      </c>
      <c r="O76" s="164">
        <f>((VLOOKUP($B$76,Energy_demand!$A$34:$E$66,5,FALSE )))*O7</f>
        <v>166721.2706055186</v>
      </c>
      <c r="P76" s="164">
        <f>((VLOOKUP($B$76,Energy_demand!$A$34:$E$66,5,FALSE )))*P7</f>
        <v>74191.149349162617</v>
      </c>
      <c r="Q76" s="164">
        <f>((VLOOKUP($B$76,Energy_demand!$A$34:$E$66,5,FALSE )))*Q7</f>
        <v>31858.360779997776</v>
      </c>
      <c r="R76" s="164">
        <f>((VLOOKUP($B$76,Energy_demand!$A$34:$E$66,5,FALSE )))*R7</f>
        <v>13216.077481190259</v>
      </c>
      <c r="S76" s="164">
        <f>((VLOOKUP($B$76,Energy_demand!$A$34:$E$66,5,FALSE )))*S7</f>
        <v>5301.983014988421</v>
      </c>
      <c r="T76" s="164">
        <f>((VLOOKUP($B$76,Energy_demand!$A$34:$E$66,5,FALSE )))*T7</f>
        <v>2058.914329032179</v>
      </c>
      <c r="U76" s="164">
        <f>((VLOOKUP($B$76,Energy_demand!$A$34:$E$66,5,FALSE )))*U7</f>
        <v>774.59523039112969</v>
      </c>
      <c r="V76" s="164">
        <f>((VLOOKUP($B$76,Energy_demand!$A$34:$E$66,5,FALSE )))*V7</f>
        <v>282.54657913679785</v>
      </c>
      <c r="W76" s="164">
        <f>((VLOOKUP($B$76,Energy_demand!$A$34:$E$66,5,FALSE )))*W7</f>
        <v>99.99993549742662</v>
      </c>
      <c r="X76" s="164">
        <f>((VLOOKUP($B$76,Energy_demand!$A$34:$E$66,5,FALSE )))*X7</f>
        <v>34.363426931844906</v>
      </c>
      <c r="Y76" s="164">
        <f>((VLOOKUP($B$76,Energy_demand!$A$34:$E$66,5,FALSE )))*Y7</f>
        <v>11.472355171064985</v>
      </c>
      <c r="Z76" s="164">
        <f>((VLOOKUP($B$76,Energy_demand!$A$34:$E$66,5,FALSE )))*Z7</f>
        <v>3.7232507088897706</v>
      </c>
      <c r="AA76" s="164">
        <f>((VLOOKUP($B$76,Energy_demand!$A$34:$E$66,5,FALSE )))*AA7</f>
        <v>1.1752862164479347</v>
      </c>
      <c r="AB76" s="164">
        <f>((VLOOKUP($B$76,Energy_demand!$A$34:$E$66,5,FALSE )))*AB7</f>
        <v>0.36102750233894448</v>
      </c>
    </row>
    <row r="77" spans="1:32">
      <c r="B77" s="163">
        <v>2008</v>
      </c>
      <c r="C77" s="164">
        <f>((VLOOKUP($B$76,Energy_demand!$A$34:$E$66,5,FALSE )))*C8</f>
        <v>0</v>
      </c>
      <c r="D77" s="164">
        <f>((VLOOKUP($B$76,Energy_demand!$A$34:$E$66,5,FALSE )))*D8</f>
        <v>69529126.964282259</v>
      </c>
      <c r="E77" s="164">
        <f>((VLOOKUP($B$76,Energy_demand!$A$34:$E$66,5,FALSE )))*E8</f>
        <v>61287653.71664267</v>
      </c>
      <c r="F77" s="164">
        <f>((VLOOKUP($B$76,Energy_demand!$A$34:$E$66,5,FALSE )))*F8</f>
        <v>47929754.863025606</v>
      </c>
      <c r="G77" s="164">
        <f>((VLOOKUP($B$76,Energy_demand!$A$34:$E$66,5,FALSE )))*G8</f>
        <v>34518345.18015331</v>
      </c>
      <c r="H77" s="164">
        <f>((VLOOKUP($B$76,Energy_demand!$A$34:$E$66,5,FALSE )))*H8</f>
        <v>23216475.077264898</v>
      </c>
      <c r="I77" s="164">
        <f>((VLOOKUP($B$76,Energy_demand!$A$34:$E$66,5,FALSE )))*I8</f>
        <v>14704335.14540481</v>
      </c>
      <c r="J77" s="164">
        <f>((VLOOKUP($B$76,Energy_demand!$A$34:$E$66,5,FALSE )))*J8</f>
        <v>8819961.2395239975</v>
      </c>
      <c r="K77" s="164">
        <f>((VLOOKUP($B$76,Energy_demand!$A$34:$E$66,5,FALSE )))*K8</f>
        <v>5031481.4097354719</v>
      </c>
      <c r="L77" s="164">
        <f>((VLOOKUP($B$76,Energy_demand!$A$34:$E$66,5,FALSE )))*L8</f>
        <v>2738861.4623341365</v>
      </c>
      <c r="M77" s="164">
        <f>((VLOOKUP($B$76,Energy_demand!$A$34:$E$66,5,FALSE )))*M8</f>
        <v>1426446.9535484519</v>
      </c>
      <c r="N77" s="164">
        <f>((VLOOKUP($B$76,Energy_demand!$A$34:$E$66,5,FALSE )))*N8</f>
        <v>712401.53127094184</v>
      </c>
      <c r="O77" s="164">
        <f>((VLOOKUP($B$76,Energy_demand!$A$34:$E$66,5,FALSE )))*O8</f>
        <v>341826.00215442647</v>
      </c>
      <c r="P77" s="164">
        <f>((VLOOKUP($B$76,Energy_demand!$A$34:$E$66,5,FALSE )))*P8</f>
        <v>157838.18129270535</v>
      </c>
      <c r="Q77" s="164">
        <f>((VLOOKUP($B$76,Energy_demand!$A$34:$E$66,5,FALSE )))*Q8</f>
        <v>70238.164804987333</v>
      </c>
      <c r="R77" s="164">
        <f>((VLOOKUP($B$76,Energy_demand!$A$34:$E$66,5,FALSE )))*R8</f>
        <v>30160.912919021721</v>
      </c>
      <c r="S77" s="164">
        <f>((VLOOKUP($B$76,Energy_demand!$A$34:$E$66,5,FALSE )))*S8</f>
        <v>12511.910603118329</v>
      </c>
      <c r="T77" s="164">
        <f>((VLOOKUP($B$76,Energy_demand!$A$34:$E$66,5,FALSE )))*T8</f>
        <v>5019.4876352081146</v>
      </c>
      <c r="U77" s="164">
        <f>((VLOOKUP($B$76,Energy_demand!$A$34:$E$66,5,FALSE )))*U8</f>
        <v>1949.2131504975039</v>
      </c>
      <c r="V77" s="164">
        <f>((VLOOKUP($B$76,Energy_demand!$A$34:$E$66,5,FALSE )))*V8</f>
        <v>733.32396015756524</v>
      </c>
      <c r="W77" s="164">
        <f>((VLOOKUP($B$76,Energy_demand!$A$34:$E$66,5,FALSE )))*W8</f>
        <v>267.49219232468721</v>
      </c>
      <c r="X77" s="164">
        <f>((VLOOKUP($B$76,Energy_demand!$A$34:$E$66,5,FALSE )))*X8</f>
        <v>94.671830960597333</v>
      </c>
      <c r="Y77" s="164">
        <f>((VLOOKUP($B$76,Energy_demand!$A$34:$E$66,5,FALSE )))*Y8</f>
        <v>32.53250644148843</v>
      </c>
      <c r="Z77" s="164">
        <f>((VLOOKUP($B$76,Energy_demand!$A$34:$E$66,5,FALSE )))*Z8</f>
        <v>10.861095700436213</v>
      </c>
      <c r="AA77" s="164">
        <f>((VLOOKUP($B$76,Energy_demand!$A$34:$E$66,5,FALSE )))*AA8</f>
        <v>3.5248718909924435</v>
      </c>
      <c r="AB77" s="164">
        <f>((VLOOKUP($B$76,Energy_demand!$A$34:$E$66,5,FALSE )))*AB8</f>
        <v>1.112665697836797</v>
      </c>
    </row>
    <row r="78" spans="1:32">
      <c r="B78" s="163">
        <v>2009</v>
      </c>
      <c r="C78" s="164">
        <f>((VLOOKUP($B$76,Energy_demand!$A$34:$E$66,5,FALSE )))*C9</f>
        <v>0</v>
      </c>
      <c r="D78" s="164">
        <f>((VLOOKUP($B$76,Energy_demand!$A$34:$E$66,5,FALSE )))*D9</f>
        <v>0</v>
      </c>
      <c r="E78" s="164">
        <f>((VLOOKUP($B$76,Energy_demand!$A$34:$E$66,5,FALSE )))*E9</f>
        <v>71046758.684843019</v>
      </c>
      <c r="F78" s="164">
        <f>((VLOOKUP($B$76,Energy_demand!$A$34:$E$66,5,FALSE )))*F9</f>
        <v>62625396.493233286</v>
      </c>
      <c r="G78" s="164">
        <f>((VLOOKUP($B$76,Energy_demand!$A$34:$E$66,5,FALSE )))*G9</f>
        <v>48975931.041480944</v>
      </c>
      <c r="H78" s="164">
        <f>((VLOOKUP($B$76,Energy_demand!$A$34:$E$66,5,FALSE )))*H9</f>
        <v>35271786.764621608</v>
      </c>
      <c r="I78" s="164">
        <f>((VLOOKUP($B$76,Energy_demand!$A$34:$E$66,5,FALSE )))*I9</f>
        <v>23723227.578773592</v>
      </c>
      <c r="J78" s="164">
        <f>((VLOOKUP($B$76,Energy_demand!$A$34:$E$66,5,FALSE )))*J9</f>
        <v>15025290.785447385</v>
      </c>
      <c r="K78" s="164">
        <f>((VLOOKUP($B$76,Energy_demand!$A$34:$E$66,5,FALSE )))*K9</f>
        <v>9012477.0028542951</v>
      </c>
      <c r="L78" s="164">
        <f>((VLOOKUP($B$76,Energy_demand!$A$34:$E$66,5,FALSE )))*L9</f>
        <v>5141304.9631471084</v>
      </c>
      <c r="M78" s="164">
        <f>((VLOOKUP($B$76,Energy_demand!$A$34:$E$66,5,FALSE )))*M9</f>
        <v>2798643.358281068</v>
      </c>
      <c r="N78" s="164">
        <f>((VLOOKUP($B$76,Energy_demand!$A$34:$E$66,5,FALSE )))*N9</f>
        <v>1457582.4105708662</v>
      </c>
      <c r="O78" s="164">
        <f>((VLOOKUP($B$76,Energy_demand!$A$34:$E$66,5,FALSE )))*O9</f>
        <v>727951.31894752569</v>
      </c>
      <c r="P78" s="164">
        <f>((VLOOKUP($B$76,Energy_demand!$A$34:$E$66,5,FALSE )))*P9</f>
        <v>349287.13400566526</v>
      </c>
      <c r="Q78" s="164">
        <f>((VLOOKUP($B$76,Energy_demand!$A$34:$E$66,5,FALSE )))*Q9</f>
        <v>161283.3594662855</v>
      </c>
      <c r="R78" s="164">
        <f>((VLOOKUP($B$76,Energy_demand!$A$34:$E$66,5,FALSE )))*R9</f>
        <v>71771.272893008936</v>
      </c>
      <c r="S78" s="164">
        <f>((VLOOKUP($B$76,Energy_demand!$A$34:$E$66,5,FALSE )))*S9</f>
        <v>30819.243609560839</v>
      </c>
      <c r="T78" s="164">
        <f>((VLOOKUP($B$76,Energy_demand!$A$34:$E$66,5,FALSE )))*T9</f>
        <v>12785.011578855698</v>
      </c>
      <c r="U78" s="164">
        <f>((VLOOKUP($B$76,Energy_demand!$A$34:$E$66,5,FALSE )))*U9</f>
        <v>5129.0493971452042</v>
      </c>
      <c r="V78" s="164">
        <f>((VLOOKUP($B$76,Energy_demand!$A$34:$E$66,5,FALSE )))*V9</f>
        <v>1991.7591716613945</v>
      </c>
      <c r="W78" s="164">
        <f>((VLOOKUP($B$76,Energy_demand!$A$34:$E$66,5,FALSE )))*W9</f>
        <v>749.33042754718269</v>
      </c>
      <c r="X78" s="164">
        <f>((VLOOKUP($B$76,Energy_demand!$A$34:$E$66,5,FALSE )))*X9</f>
        <v>273.33081929727712</v>
      </c>
      <c r="Y78" s="164">
        <f>((VLOOKUP($B$76,Energy_demand!$A$34:$E$66,5,FALSE )))*Y9</f>
        <v>96.738259520575909</v>
      </c>
      <c r="Z78" s="164">
        <f>((VLOOKUP($B$76,Energy_demand!$A$34:$E$66,5,FALSE )))*Z9</f>
        <v>33.242602567825713</v>
      </c>
      <c r="AA78" s="164">
        <f>((VLOOKUP($B$76,Energy_demand!$A$34:$E$66,5,FALSE )))*AA9</f>
        <v>11.098163877108352</v>
      </c>
      <c r="AB78" s="164">
        <f>((VLOOKUP($B$76,Energy_demand!$A$34:$E$66,5,FALSE )))*AB9</f>
        <v>3.6018102566277723</v>
      </c>
    </row>
    <row r="79" spans="1:32">
      <c r="B79" s="163">
        <v>2010</v>
      </c>
      <c r="C79" s="164">
        <f>((VLOOKUP($B$76,Energy_demand!$A$34:$E$66,5,FALSE )))*C10</f>
        <v>0</v>
      </c>
      <c r="D79" s="164">
        <f>((VLOOKUP($B$76,Energy_demand!$A$34:$E$66,5,FALSE )))*D10</f>
        <v>0</v>
      </c>
      <c r="E79" s="164">
        <f>((VLOOKUP($B$76,Energy_demand!$A$34:$E$66,5,FALSE )))*E10</f>
        <v>0</v>
      </c>
      <c r="F79" s="164">
        <f>((VLOOKUP($B$76,Energy_demand!$A$34:$E$66,5,FALSE )))*F10</f>
        <v>73179120.576199368</v>
      </c>
      <c r="G79" s="164">
        <f>((VLOOKUP($B$76,Energy_demand!$A$34:$E$66,5,FALSE )))*G10</f>
        <v>64505003.830502875</v>
      </c>
      <c r="H79" s="164">
        <f>((VLOOKUP($B$76,Energy_demand!$A$34:$E$66,5,FALSE )))*H10</f>
        <v>50445870.147497199</v>
      </c>
      <c r="I79" s="164">
        <f>((VLOOKUP($B$76,Energy_demand!$A$34:$E$66,5,FALSE )))*I10</f>
        <v>36330416.536467522</v>
      </c>
      <c r="J79" s="164">
        <f>((VLOOKUP($B$76,Energy_demand!$A$34:$E$66,5,FALSE )))*J10</f>
        <v>24435244.669565137</v>
      </c>
      <c r="K79" s="164">
        <f>((VLOOKUP($B$76,Energy_demand!$A$34:$E$66,5,FALSE )))*K10</f>
        <v>15476252.350345224</v>
      </c>
      <c r="L79" s="164">
        <f>((VLOOKUP($B$76,Energy_demand!$A$34:$E$66,5,FALSE )))*L10</f>
        <v>9282972.9813247677</v>
      </c>
      <c r="M79" s="164">
        <f>((VLOOKUP($B$76,Energy_demand!$A$34:$E$66,5,FALSE )))*M10</f>
        <v>5295613.5196273215</v>
      </c>
      <c r="N79" s="164">
        <f>((VLOOKUP($B$76,Energy_demand!$A$34:$E$66,5,FALSE )))*N10</f>
        <v>2882640.4406978521</v>
      </c>
      <c r="O79" s="164">
        <f>((VLOOKUP($B$76,Energy_demand!$A$34:$E$66,5,FALSE )))*O10</f>
        <v>1501329.5602416892</v>
      </c>
      <c r="P79" s="164">
        <f>((VLOOKUP($B$76,Energy_demand!$A$34:$E$66,5,FALSE )))*P10</f>
        <v>749799.68585433939</v>
      </c>
      <c r="Q79" s="164">
        <f>((VLOOKUP($B$76,Energy_demand!$A$34:$E$66,5,FALSE )))*Q10</f>
        <v>359770.46340002446</v>
      </c>
      <c r="R79" s="164">
        <f>((VLOOKUP($B$76,Energy_demand!$A$34:$E$66,5,FALSE )))*R10</f>
        <v>166124.03757464804</v>
      </c>
      <c r="S79" s="164">
        <f>((VLOOKUP($B$76,Energy_demand!$A$34:$E$66,5,FALSE )))*S10</f>
        <v>73925.379991547699</v>
      </c>
      <c r="T79" s="164">
        <f>((VLOOKUP($B$76,Energy_demand!$A$34:$E$66,5,FALSE )))*T10</f>
        <v>31744.236977449356</v>
      </c>
      <c r="U79" s="164">
        <f>((VLOOKUP($B$76,Energy_demand!$A$34:$E$66,5,FALSE )))*U10</f>
        <v>13168.734523800091</v>
      </c>
      <c r="V79" s="164">
        <f>((VLOOKUP($B$76,Energy_demand!$A$34:$E$66,5,FALSE )))*V10</f>
        <v>5282.9901211952938</v>
      </c>
      <c r="W79" s="164">
        <f>((VLOOKUP($B$76,Energy_demand!$A$34:$E$66,5,FALSE )))*W10</f>
        <v>2051.5388355479658</v>
      </c>
      <c r="X79" s="164">
        <f>((VLOOKUP($B$76,Energy_demand!$A$34:$E$66,5,FALSE )))*X10</f>
        <v>771.82045632982238</v>
      </c>
      <c r="Y79" s="164">
        <f>((VLOOKUP($B$76,Energy_demand!$A$34:$E$66,5,FALSE )))*Y10</f>
        <v>281.5344338405971</v>
      </c>
      <c r="Z79" s="164">
        <f>((VLOOKUP($B$76,Energy_demand!$A$34:$E$66,5,FALSE )))*Z10</f>
        <v>99.641713272109612</v>
      </c>
      <c r="AA79" s="164">
        <f>((VLOOKUP($B$76,Energy_demand!$A$34:$E$66,5,FALSE )))*AA10</f>
        <v>34.240329419793397</v>
      </c>
      <c r="AB79" s="164">
        <f>((VLOOKUP($B$76,Energy_demand!$A$34:$E$66,5,FALSE )))*AB10</f>
        <v>11.43125861856659</v>
      </c>
    </row>
    <row r="80" spans="1:32">
      <c r="B80" s="163">
        <v>2011</v>
      </c>
      <c r="C80" s="164">
        <f>((VLOOKUP($B$76,Energy_demand!$A$34:$E$66,5,FALSE )))*C11</f>
        <v>0</v>
      </c>
      <c r="D80" s="164">
        <f>((VLOOKUP($B$76,Energy_demand!$A$34:$E$66,5,FALSE )))*D11</f>
        <v>0</v>
      </c>
      <c r="E80" s="164">
        <f>((VLOOKUP($B$76,Energy_demand!$A$34:$E$66,5,FALSE )))*E11</f>
        <v>0</v>
      </c>
      <c r="F80" s="164">
        <f>((VLOOKUP($B$76,Energy_demand!$A$34:$E$66,5,FALSE )))*F11</f>
        <v>0</v>
      </c>
      <c r="G80" s="164">
        <f>((VLOOKUP($B$76,Energy_demand!$A$34:$E$66,5,FALSE )))*G11</f>
        <v>61962077.996761225</v>
      </c>
      <c r="H80" s="164">
        <f>((VLOOKUP($B$76,Energy_demand!$A$34:$E$66,5,FALSE )))*H11</f>
        <v>54617547.287483156</v>
      </c>
      <c r="I80" s="164">
        <f>((VLOOKUP($B$76,Energy_demand!$A$34:$E$66,5,FALSE )))*I11</f>
        <v>42713425.852651149</v>
      </c>
      <c r="J80" s="164">
        <f>((VLOOKUP($B$76,Energy_demand!$A$34:$E$66,5,FALSE )))*J11</f>
        <v>30761617.321479127</v>
      </c>
      <c r="K80" s="164">
        <f>((VLOOKUP($B$76,Energy_demand!$A$34:$E$66,5,FALSE )))*K11</f>
        <v>20689761.289341982</v>
      </c>
      <c r="L80" s="164">
        <f>((VLOOKUP($B$76,Energy_demand!$A$34:$E$66,5,FALSE )))*L11</f>
        <v>13104021.306612067</v>
      </c>
      <c r="M80" s="164">
        <f>((VLOOKUP($B$76,Energy_demand!$A$34:$E$66,5,FALSE )))*M11</f>
        <v>7860060.2382443333</v>
      </c>
      <c r="N80" s="164">
        <f>((VLOOKUP($B$76,Energy_demand!$A$34:$E$66,5,FALSE )))*N11</f>
        <v>4483891.2432977613</v>
      </c>
      <c r="O80" s="164">
        <f>((VLOOKUP($B$76,Energy_demand!$A$34:$E$66,5,FALSE )))*O11</f>
        <v>2440783.5242725047</v>
      </c>
      <c r="P80" s="164">
        <f>((VLOOKUP($B$76,Energy_demand!$A$34:$E$66,5,FALSE )))*P11</f>
        <v>1271202.7498837446</v>
      </c>
      <c r="Q80" s="164">
        <f>((VLOOKUP($B$76,Energy_demand!$A$34:$E$66,5,FALSE )))*Q11</f>
        <v>634868.88406204653</v>
      </c>
      <c r="R80" s="164">
        <f>((VLOOKUP($B$76,Energy_demand!$A$34:$E$66,5,FALSE )))*R11</f>
        <v>304624.12418459007</v>
      </c>
      <c r="S80" s="164">
        <f>((VLOOKUP($B$76,Energy_demand!$A$34:$E$66,5,FALSE )))*S11</f>
        <v>140660.21144130881</v>
      </c>
      <c r="T80" s="164">
        <f>((VLOOKUP($B$76,Energy_demand!$A$34:$E$66,5,FALSE )))*T11</f>
        <v>62593.949270090925</v>
      </c>
      <c r="U80" s="164">
        <f>((VLOOKUP($B$76,Energy_demand!$A$34:$E$66,5,FALSE )))*U11</f>
        <v>26878.416576436859</v>
      </c>
      <c r="V80" s="164">
        <f>((VLOOKUP($B$76,Energy_demand!$A$34:$E$66,5,FALSE )))*V11</f>
        <v>11150.204447082759</v>
      </c>
      <c r="W80" s="164">
        <f>((VLOOKUP($B$76,Energy_demand!$A$34:$E$66,5,FALSE )))*W11</f>
        <v>4473.2027847310155</v>
      </c>
      <c r="X80" s="164">
        <f>((VLOOKUP($B$76,Energy_demand!$A$34:$E$66,5,FALSE )))*X11</f>
        <v>1737.0748423963876</v>
      </c>
      <c r="Y80" s="164">
        <f>((VLOOKUP($B$76,Energy_demand!$A$34:$E$66,5,FALSE )))*Y11</f>
        <v>653.51426661115624</v>
      </c>
      <c r="Z80" s="164">
        <f>((VLOOKUP($B$76,Energy_demand!$A$34:$E$66,5,FALSE )))*Z11</f>
        <v>238.38027037016201</v>
      </c>
      <c r="AA80" s="164">
        <f>((VLOOKUP($B$76,Energy_demand!$A$34:$E$66,5,FALSE )))*AA11</f>
        <v>84.368431335117677</v>
      </c>
      <c r="AB80" s="164">
        <f>((VLOOKUP($B$76,Energy_demand!$A$34:$E$66,5,FALSE )))*AB11</f>
        <v>28.991902955910383</v>
      </c>
    </row>
    <row r="81" spans="1:28">
      <c r="B81" s="163">
        <v>2012</v>
      </c>
      <c r="C81" s="164">
        <f>((VLOOKUP($B$76,Energy_demand!$A$34:$E$66,5,FALSE )))*C12</f>
        <v>0</v>
      </c>
      <c r="D81" s="164">
        <f>((VLOOKUP($B$76,Energy_demand!$A$34:$E$66,5,FALSE )))*D12</f>
        <v>0</v>
      </c>
      <c r="E81" s="164">
        <f>((VLOOKUP($B$76,Energy_demand!$A$34:$E$66,5,FALSE )))*E12</f>
        <v>0</v>
      </c>
      <c r="F81" s="164">
        <f>((VLOOKUP($B$76,Energy_demand!$A$34:$E$66,5,FALSE )))*F12</f>
        <v>0</v>
      </c>
      <c r="G81" s="164">
        <f>((VLOOKUP($B$76,Energy_demand!$A$34:$E$66,5,FALSE )))*G12</f>
        <v>0</v>
      </c>
      <c r="H81" s="164">
        <f>((VLOOKUP($B$76,Energy_demand!$A$34:$E$66,5,FALSE )))*H12</f>
        <v>78048603.946949288</v>
      </c>
      <c r="I81" s="164">
        <f>((VLOOKUP($B$76,Energy_demand!$A$34:$E$66,5,FALSE )))*I12</f>
        <v>68797294.322785065</v>
      </c>
      <c r="J81" s="164">
        <f>((VLOOKUP($B$76,Energy_demand!$A$34:$E$66,5,FALSE )))*J12</f>
        <v>53802638.087205671</v>
      </c>
      <c r="K81" s="164">
        <f>((VLOOKUP($B$76,Energy_demand!$A$34:$E$66,5,FALSE )))*K12</f>
        <v>38747914.284237452</v>
      </c>
      <c r="L81" s="164">
        <f>((VLOOKUP($B$76,Energy_demand!$A$34:$E$66,5,FALSE )))*L12</f>
        <v>26061214.16252666</v>
      </c>
      <c r="M81" s="164">
        <f>((VLOOKUP($B$76,Energy_demand!$A$34:$E$66,5,FALSE )))*M12</f>
        <v>16506072.780929158</v>
      </c>
      <c r="N81" s="164">
        <f>((VLOOKUP($B$76,Energy_demand!$A$34:$E$66,5,FALSE )))*N12</f>
        <v>9900680.3575238679</v>
      </c>
      <c r="O81" s="164">
        <f>((VLOOKUP($B$76,Energy_demand!$A$34:$E$66,5,FALSE )))*O12</f>
        <v>5647994.1135549638</v>
      </c>
      <c r="P81" s="164">
        <f>((VLOOKUP($B$76,Energy_demand!$A$34:$E$66,5,FALSE )))*P12</f>
        <v>3074457.0350939692</v>
      </c>
      <c r="Q81" s="164">
        <f>((VLOOKUP($B$76,Energy_demand!$A$34:$E$66,5,FALSE )))*Q12</f>
        <v>1601230.9975649179</v>
      </c>
      <c r="R81" s="164">
        <f>((VLOOKUP($B$76,Energy_demand!$A$34:$E$66,5,FALSE )))*R12</f>
        <v>799692.83943302161</v>
      </c>
      <c r="S81" s="164">
        <f>((VLOOKUP($B$76,Energy_demand!$A$34:$E$66,5,FALSE )))*S12</f>
        <v>383710.30136226414</v>
      </c>
      <c r="T81" s="164">
        <f>((VLOOKUP($B$76,Energy_demand!$A$34:$E$66,5,FALSE )))*T12</f>
        <v>177178.25949043699</v>
      </c>
      <c r="U81" s="164">
        <f>((VLOOKUP($B$76,Energy_demand!$A$34:$E$66,5,FALSE )))*U12</f>
        <v>78844.520939277121</v>
      </c>
      <c r="V81" s="164">
        <f>((VLOOKUP($B$76,Energy_demand!$A$34:$E$66,5,FALSE )))*V12</f>
        <v>33856.561269702586</v>
      </c>
      <c r="W81" s="164">
        <f>((VLOOKUP($B$76,Energy_demand!$A$34:$E$66,5,FALSE )))*W12</f>
        <v>14045.008155849186</v>
      </c>
      <c r="X81" s="164">
        <f>((VLOOKUP($B$76,Energy_demand!$A$34:$E$66,5,FALSE )))*X12</f>
        <v>5634.5307292326552</v>
      </c>
      <c r="Y81" s="164">
        <f>((VLOOKUP($B$76,Energy_demand!$A$34:$E$66,5,FALSE )))*Y12</f>
        <v>2188.0522859077064</v>
      </c>
      <c r="Z81" s="164">
        <f>((VLOOKUP($B$76,Energy_demand!$A$34:$E$66,5,FALSE )))*Z12</f>
        <v>823.17891551476441</v>
      </c>
      <c r="AA81" s="164">
        <f>((VLOOKUP($B$76,Energy_demand!$A$34:$E$66,5,FALSE )))*AA12</f>
        <v>300.26829170997081</v>
      </c>
      <c r="AB81" s="164">
        <f>((VLOOKUP($B$76,Energy_demand!$A$34:$E$66,5,FALSE )))*AB12</f>
        <v>106.27206988190707</v>
      </c>
    </row>
    <row r="82" spans="1:28">
      <c r="B82" s="163">
        <v>2013</v>
      </c>
      <c r="C82" s="164">
        <f>((VLOOKUP($B$76,Energy_demand!$A$34:$E$66,5,FALSE )))*C13</f>
        <v>0</v>
      </c>
      <c r="D82" s="164">
        <f>((VLOOKUP($B$76,Energy_demand!$A$34:$E$66,5,FALSE )))*D13</f>
        <v>0</v>
      </c>
      <c r="E82" s="164">
        <f>((VLOOKUP($B$76,Energy_demand!$A$34:$E$66,5,FALSE )))*E13</f>
        <v>0</v>
      </c>
      <c r="F82" s="164">
        <f>((VLOOKUP($B$76,Energy_demand!$A$34:$E$66,5,FALSE )))*F13</f>
        <v>0</v>
      </c>
      <c r="G82" s="164">
        <f>((VLOOKUP($B$76,Energy_demand!$A$34:$E$66,5,FALSE )))*G13</f>
        <v>0</v>
      </c>
      <c r="H82" s="164">
        <f>((VLOOKUP($B$76,Energy_demand!$A$34:$E$66,5,FALSE )))*H13</f>
        <v>0</v>
      </c>
      <c r="I82" s="164">
        <f>((VLOOKUP($B$76,Energy_demand!$A$34:$E$66,5,FALSE )))*I13</f>
        <v>94155610.449991778</v>
      </c>
      <c r="J82" s="164">
        <f>((VLOOKUP($B$76,Energy_demand!$A$34:$E$66,5,FALSE )))*J13</f>
        <v>82995094.296273783</v>
      </c>
      <c r="K82" s="164">
        <f>((VLOOKUP($B$76,Energy_demand!$A$34:$E$66,5,FALSE )))*K13</f>
        <v>64905968.547036879</v>
      </c>
      <c r="L82" s="164">
        <f>((VLOOKUP($B$76,Energy_demand!$A$34:$E$66,5,FALSE )))*L13</f>
        <v>46744378.997171514</v>
      </c>
      <c r="M82" s="164">
        <f>((VLOOKUP($B$76,Energy_demand!$A$34:$E$66,5,FALSE )))*M13</f>
        <v>31439505.698379401</v>
      </c>
      <c r="N82" s="164">
        <f>((VLOOKUP($B$76,Energy_demand!$A$34:$E$66,5,FALSE )))*N13</f>
        <v>19912455.575461008</v>
      </c>
      <c r="O82" s="164">
        <f>((VLOOKUP($B$76,Energy_demand!$A$34:$E$66,5,FALSE )))*O13</f>
        <v>11943898.491336696</v>
      </c>
      <c r="P82" s="164">
        <f>((VLOOKUP($B$76,Energy_demand!$A$34:$E$66,5,FALSE )))*P13</f>
        <v>6813579.0608271873</v>
      </c>
      <c r="Q82" s="164">
        <f>((VLOOKUP($B$76,Energy_demand!$A$34:$E$66,5,FALSE )))*Q13</f>
        <v>3708937.3070440348</v>
      </c>
      <c r="R82" s="164">
        <f>((VLOOKUP($B$76,Energy_demand!$A$34:$E$66,5,FALSE )))*R13</f>
        <v>1931679.4205524947</v>
      </c>
      <c r="S82" s="164">
        <f>((VLOOKUP($B$76,Energy_demand!$A$34:$E$66,5,FALSE )))*S13</f>
        <v>964726.64034430194</v>
      </c>
      <c r="T82" s="164">
        <f>((VLOOKUP($B$76,Energy_demand!$A$34:$E$66,5,FALSE )))*T13</f>
        <v>462897.16706875776</v>
      </c>
      <c r="U82" s="164">
        <f>((VLOOKUP($B$76,Energy_demand!$A$34:$E$66,5,FALSE )))*U13</f>
        <v>213742.80047505206</v>
      </c>
      <c r="V82" s="164">
        <f>((VLOOKUP($B$76,Energy_demand!$A$34:$E$66,5,FALSE )))*V13</f>
        <v>95115.782016046767</v>
      </c>
      <c r="W82" s="164">
        <f>((VLOOKUP($B$76,Energy_demand!$A$34:$E$66,5,FALSE )))*W13</f>
        <v>40843.590184562148</v>
      </c>
      <c r="X82" s="164">
        <f>((VLOOKUP($B$76,Energy_demand!$A$34:$E$66,5,FALSE )))*X13</f>
        <v>16943.497382579168</v>
      </c>
      <c r="Y82" s="164">
        <f>((VLOOKUP($B$76,Energy_demand!$A$34:$E$66,5,FALSE )))*Y13</f>
        <v>6797.3372178539112</v>
      </c>
      <c r="Z82" s="164">
        <f>((VLOOKUP($B$76,Energy_demand!$A$34:$E$66,5,FALSE )))*Z13</f>
        <v>2639.6038911365149</v>
      </c>
      <c r="AA82" s="164">
        <f>((VLOOKUP($B$76,Energy_demand!$A$34:$E$66,5,FALSE )))*AA13</f>
        <v>993.05957288534432</v>
      </c>
      <c r="AB82" s="164">
        <f>((VLOOKUP($B$76,Energy_demand!$A$34:$E$66,5,FALSE )))*AB13</f>
        <v>362.23510575468254</v>
      </c>
    </row>
    <row r="83" spans="1:28">
      <c r="B83" s="163">
        <v>2014</v>
      </c>
      <c r="C83" s="164">
        <f>((VLOOKUP($B$76,Energy_demand!$A$34:$E$66,5,FALSE )))*C14</f>
        <v>0</v>
      </c>
      <c r="D83" s="164">
        <f>((VLOOKUP($B$76,Energy_demand!$A$34:$E$66,5,FALSE )))*D14</f>
        <v>0</v>
      </c>
      <c r="E83" s="164">
        <f>((VLOOKUP($B$76,Energy_demand!$A$34:$E$66,5,FALSE )))*E14</f>
        <v>0</v>
      </c>
      <c r="F83" s="164">
        <f>((VLOOKUP($B$76,Energy_demand!$A$34:$E$66,5,FALSE )))*F14</f>
        <v>0</v>
      </c>
      <c r="G83" s="164">
        <f>((VLOOKUP($B$76,Energy_demand!$A$34:$E$66,5,FALSE )))*G14</f>
        <v>0</v>
      </c>
      <c r="H83" s="164">
        <f>((VLOOKUP($B$76,Energy_demand!$A$34:$E$66,5,FALSE )))*H14</f>
        <v>0</v>
      </c>
      <c r="I83" s="164">
        <f>((VLOOKUP($B$76,Energy_demand!$A$34:$E$66,5,FALSE )))*I14</f>
        <v>0</v>
      </c>
      <c r="J83" s="164">
        <f>((VLOOKUP($B$76,Energy_demand!$A$34:$E$66,5,FALSE )))*J14</f>
        <v>91275548.408303171</v>
      </c>
      <c r="K83" s="164">
        <f>((VLOOKUP($B$76,Energy_demand!$A$34:$E$66,5,FALSE )))*K14</f>
        <v>80456413.705848217</v>
      </c>
      <c r="L83" s="164">
        <f>((VLOOKUP($B$76,Energy_demand!$A$34:$E$66,5,FALSE )))*L14</f>
        <v>62920603.94265528</v>
      </c>
      <c r="M83" s="164">
        <f>((VLOOKUP($B$76,Energy_demand!$A$34:$E$66,5,FALSE )))*M14</f>
        <v>45314546.924832456</v>
      </c>
      <c r="N83" s="164">
        <f>((VLOOKUP($B$76,Energy_demand!$A$34:$E$66,5,FALSE )))*N14</f>
        <v>30477824.004228551</v>
      </c>
      <c r="O83" s="164">
        <f>((VLOOKUP($B$76,Energy_demand!$A$34:$E$66,5,FALSE )))*O14</f>
        <v>19303366.991301112</v>
      </c>
      <c r="P83" s="164">
        <f>((VLOOKUP($B$76,Energy_demand!$A$34:$E$66,5,FALSE )))*P14</f>
        <v>11578554.6896208</v>
      </c>
      <c r="Q83" s="164">
        <f>((VLOOKUP($B$76,Energy_demand!$A$34:$E$66,5,FALSE )))*Q14</f>
        <v>6605163.1169726755</v>
      </c>
      <c r="R83" s="164">
        <f>((VLOOKUP($B$76,Energy_demand!$A$34:$E$66,5,FALSE )))*R14</f>
        <v>3595487.1419187845</v>
      </c>
      <c r="S83" s="164">
        <f>((VLOOKUP($B$76,Energy_demand!$A$34:$E$66,5,FALSE )))*S14</f>
        <v>1872592.5902589443</v>
      </c>
      <c r="T83" s="164">
        <f>((VLOOKUP($B$76,Energy_demand!$A$34:$E$66,5,FALSE )))*T14</f>
        <v>935217.27213796321</v>
      </c>
      <c r="U83" s="164">
        <f>((VLOOKUP($B$76,Energy_demand!$A$34:$E$66,5,FALSE )))*U14</f>
        <v>448737.9199064445</v>
      </c>
      <c r="V83" s="164">
        <f>((VLOOKUP($B$76,Energy_demand!$A$34:$E$66,5,FALSE )))*V14</f>
        <v>207204.76707066587</v>
      </c>
      <c r="W83" s="164">
        <f>((VLOOKUP($B$76,Energy_demand!$A$34:$E$66,5,FALSE )))*W14</f>
        <v>92206.349938226602</v>
      </c>
      <c r="X83" s="164">
        <f>((VLOOKUP($B$76,Energy_demand!$A$34:$E$66,5,FALSE )))*X14</f>
        <v>39594.253334908135</v>
      </c>
      <c r="Y83" s="164">
        <f>((VLOOKUP($B$76,Energy_demand!$A$34:$E$66,5,FALSE )))*Y14</f>
        <v>16425.224244825637</v>
      </c>
      <c r="Z83" s="164">
        <f>((VLOOKUP($B$76,Energy_demand!$A$34:$E$66,5,FALSE )))*Z14</f>
        <v>6589.418084706811</v>
      </c>
      <c r="AA83" s="164">
        <f>((VLOOKUP($B$76,Energy_demand!$A$34:$E$66,5,FALSE )))*AA14</f>
        <v>2558.8628398531864</v>
      </c>
      <c r="AB83" s="164">
        <f>((VLOOKUP($B$76,Energy_demand!$A$34:$E$66,5,FALSE )))*AB14</f>
        <v>962.68354784197584</v>
      </c>
    </row>
    <row r="84" spans="1:28">
      <c r="B84" s="163">
        <v>2015</v>
      </c>
      <c r="C84" s="164">
        <f>((VLOOKUP($B$76,Energy_demand!$A$34:$E$66,5,FALSE )))*C15</f>
        <v>0</v>
      </c>
      <c r="D84" s="164">
        <f>((VLOOKUP($B$76,Energy_demand!$A$34:$E$66,5,FALSE )))*D15</f>
        <v>0</v>
      </c>
      <c r="E84" s="164">
        <f>((VLOOKUP($B$76,Energy_demand!$A$34:$E$66,5,FALSE )))*E15</f>
        <v>0</v>
      </c>
      <c r="F84" s="164">
        <f>((VLOOKUP($B$76,Energy_demand!$A$34:$E$66,5,FALSE )))*F15</f>
        <v>0</v>
      </c>
      <c r="G84" s="164">
        <f>((VLOOKUP($B$76,Energy_demand!$A$34:$E$66,5,FALSE )))*G15</f>
        <v>0</v>
      </c>
      <c r="H84" s="164">
        <f>((VLOOKUP($B$76,Energy_demand!$A$34:$E$66,5,FALSE )))*H15</f>
        <v>0</v>
      </c>
      <c r="I84" s="164">
        <f>((VLOOKUP($B$76,Energy_demand!$A$34:$E$66,5,FALSE )))*I15</f>
        <v>0</v>
      </c>
      <c r="J84" s="164">
        <f>((VLOOKUP($B$76,Energy_demand!$A$34:$E$66,5,FALSE )))*J15</f>
        <v>0</v>
      </c>
      <c r="K84" s="164">
        <f>((VLOOKUP($B$76,Energy_demand!$A$34:$E$66,5,FALSE )))*K15</f>
        <v>95083228.125141978</v>
      </c>
      <c r="L84" s="164">
        <f>((VLOOKUP($B$76,Energy_demand!$A$34:$E$66,5,FALSE )))*L15</f>
        <v>83812758.969170481</v>
      </c>
      <c r="M84" s="164">
        <f>((VLOOKUP($B$76,Energy_demand!$A$34:$E$66,5,FALSE )))*M15</f>
        <v>65545419.806066759</v>
      </c>
      <c r="N84" s="164">
        <f>((VLOOKUP($B$76,Energy_demand!$A$34:$E$66,5,FALSE )))*N15</f>
        <v>47204902.931586713</v>
      </c>
      <c r="O84" s="164">
        <f>((VLOOKUP($B$76,Energy_demand!$A$34:$E$66,5,FALSE )))*O15</f>
        <v>31749246.573558491</v>
      </c>
      <c r="P84" s="164">
        <f>((VLOOKUP($B$76,Energy_demand!$A$34:$E$66,5,FALSE )))*P15</f>
        <v>20108632.368953854</v>
      </c>
      <c r="Q84" s="164">
        <f>((VLOOKUP($B$76,Energy_demand!$A$34:$E$66,5,FALSE )))*Q15</f>
        <v>12061569.348100437</v>
      </c>
      <c r="R84" s="164">
        <f>((VLOOKUP($B$76,Energy_demand!$A$34:$E$66,5,FALSE )))*R15</f>
        <v>6880706.195765296</v>
      </c>
      <c r="S84" s="164">
        <f>((VLOOKUP($B$76,Energy_demand!$A$34:$E$66,5,FALSE )))*S15</f>
        <v>3745477.6235009637</v>
      </c>
      <c r="T84" s="164">
        <f>((VLOOKUP($B$76,Energy_demand!$A$34:$E$66,5,FALSE )))*T15</f>
        <v>1950710.2564704467</v>
      </c>
      <c r="U84" s="164">
        <f>((VLOOKUP($B$76,Energy_demand!$A$34:$E$66,5,FALSE )))*U15</f>
        <v>974231.09237849002</v>
      </c>
      <c r="V84" s="164">
        <f>((VLOOKUP($B$76,Energy_demand!$A$34:$E$66,5,FALSE )))*V15</f>
        <v>467457.61324820231</v>
      </c>
      <c r="W84" s="164">
        <f>((VLOOKUP($B$76,Energy_demand!$A$34:$E$66,5,FALSE )))*W15</f>
        <v>215848.58682924992</v>
      </c>
      <c r="X84" s="164">
        <f>((VLOOKUP($B$76,Energy_demand!$A$34:$E$66,5,FALSE )))*X15</f>
        <v>96052.859266803687</v>
      </c>
      <c r="Y84" s="164">
        <f>((VLOOKUP($B$76,Energy_demand!$A$34:$E$66,5,FALSE )))*Y15</f>
        <v>41245.979760613103</v>
      </c>
      <c r="Z84" s="164">
        <f>((VLOOKUP($B$76,Energy_demand!$A$34:$E$66,5,FALSE )))*Z15</f>
        <v>17110.424107134677</v>
      </c>
      <c r="AA84" s="164">
        <f>((VLOOKUP($B$76,Energy_demand!$A$34:$E$66,5,FALSE )))*AA15</f>
        <v>6864.3043387413745</v>
      </c>
      <c r="AB84" s="164">
        <f>((VLOOKUP($B$76,Energy_demand!$A$34:$E$66,5,FALSE )))*AB15</f>
        <v>2665.6091733826952</v>
      </c>
    </row>
    <row r="85" spans="1:28">
      <c r="A85" s="21"/>
      <c r="B85" s="163">
        <v>2016</v>
      </c>
      <c r="C85" s="164">
        <f>((VLOOKUP($B$76,Energy_demand!$A$34:$E$66,5,FALSE )))*C16</f>
        <v>0</v>
      </c>
      <c r="D85" s="164">
        <f>((VLOOKUP($B$76,Energy_demand!$A$34:$E$66,5,FALSE )))*D16</f>
        <v>0</v>
      </c>
      <c r="E85" s="164">
        <f>((VLOOKUP($B$76,Energy_demand!$A$34:$E$66,5,FALSE )))*E16</f>
        <v>0</v>
      </c>
      <c r="F85" s="164">
        <f>((VLOOKUP($B$76,Energy_demand!$A$34:$E$66,5,FALSE )))*F16</f>
        <v>0</v>
      </c>
      <c r="G85" s="164">
        <f>((VLOOKUP($B$76,Energy_demand!$A$34:$E$66,5,FALSE )))*G16</f>
        <v>0</v>
      </c>
      <c r="H85" s="164">
        <f>((VLOOKUP($B$76,Energy_demand!$A$34:$E$66,5,FALSE )))*H16</f>
        <v>0</v>
      </c>
      <c r="I85" s="164">
        <f>((VLOOKUP($B$76,Energy_demand!$A$34:$E$66,5,FALSE )))*I16</f>
        <v>0</v>
      </c>
      <c r="J85" s="164">
        <f>((VLOOKUP($B$76,Energy_demand!$A$34:$E$66,5,FALSE )))*J16</f>
        <v>0</v>
      </c>
      <c r="K85" s="164">
        <f>((VLOOKUP($B$76,Energy_demand!$A$34:$E$66,5,FALSE )))*K16</f>
        <v>0</v>
      </c>
      <c r="L85" s="164">
        <f>((VLOOKUP($B$76,Energy_demand!$A$34:$E$66,5,FALSE )))*L16</f>
        <v>95332346.318766847</v>
      </c>
      <c r="M85" s="164">
        <f>((VLOOKUP($B$76,Energy_demand!$A$34:$E$66,5,FALSE )))*M16</f>
        <v>84032348.517493725</v>
      </c>
      <c r="N85" s="164">
        <f>((VLOOKUP($B$76,Energy_demand!$A$34:$E$66,5,FALSE )))*N16</f>
        <v>65717148.899666525</v>
      </c>
      <c r="O85" s="164">
        <f>((VLOOKUP($B$76,Energy_demand!$A$34:$E$66,5,FALSE )))*O16</f>
        <v>47328579.844754584</v>
      </c>
      <c r="P85" s="164">
        <f>((VLOOKUP($B$76,Energy_demand!$A$34:$E$66,5,FALSE )))*P16</f>
        <v>31832429.644971944</v>
      </c>
      <c r="Q85" s="164">
        <f>((VLOOKUP($B$76,Energy_demand!$A$34:$E$66,5,FALSE )))*Q16</f>
        <v>20161317.014509082</v>
      </c>
      <c r="R85" s="164">
        <f>((VLOOKUP($B$76,Energy_demand!$A$34:$E$66,5,FALSE )))*R16</f>
        <v>12093170.677036442</v>
      </c>
      <c r="S85" s="164">
        <f>((VLOOKUP($B$76,Energy_demand!$A$34:$E$66,5,FALSE )))*S16</f>
        <v>6898733.6558352932</v>
      </c>
      <c r="T85" s="164">
        <f>((VLOOKUP($B$76,Energy_demand!$A$34:$E$66,5,FALSE )))*T16</f>
        <v>3755290.7802293077</v>
      </c>
      <c r="U85" s="164">
        <f>((VLOOKUP($B$76,Energy_demand!$A$34:$E$66,5,FALSE )))*U16</f>
        <v>1955821.1201312579</v>
      </c>
      <c r="V85" s="164">
        <f>((VLOOKUP($B$76,Energy_demand!$A$34:$E$66,5,FALSE )))*V16</f>
        <v>976783.57923334395</v>
      </c>
      <c r="W85" s="164">
        <f>((VLOOKUP($B$76,Energy_demand!$A$34:$E$66,5,FALSE )))*W16</f>
        <v>468682.35286321957</v>
      </c>
      <c r="X85" s="164">
        <f>((VLOOKUP($B$76,Energy_demand!$A$34:$E$66,5,FALSE )))*X16</f>
        <v>216414.11043533331</v>
      </c>
      <c r="Y85" s="164">
        <f>((VLOOKUP($B$76,Energy_demand!$A$34:$E$66,5,FALSE )))*Y16</f>
        <v>96304.517895405952</v>
      </c>
      <c r="Z85" s="164">
        <f>((VLOOKUP($B$76,Energy_demand!$A$34:$E$66,5,FALSE )))*Z16</f>
        <v>41354.044286553763</v>
      </c>
      <c r="AA85" s="164">
        <f>((VLOOKUP($B$76,Energy_demand!$A$34:$E$66,5,FALSE )))*AA16</f>
        <v>17155.253442757512</v>
      </c>
      <c r="AB85" s="164">
        <f>((VLOOKUP($B$76,Energy_demand!$A$34:$E$66,5,FALSE )))*AB16</f>
        <v>6882.288825922521</v>
      </c>
    </row>
    <row r="86" spans="1:28">
      <c r="B86" s="163">
        <v>2017</v>
      </c>
      <c r="C86" s="164">
        <f>((VLOOKUP($B$76,Energy_demand!$A$34:$E$66,5,FALSE )))*C17</f>
        <v>0</v>
      </c>
      <c r="D86" s="164">
        <f>((VLOOKUP($B$76,Energy_demand!$A$34:$E$66,5,FALSE )))*D17</f>
        <v>0</v>
      </c>
      <c r="E86" s="164">
        <f>((VLOOKUP($B$76,Energy_demand!$A$34:$E$66,5,FALSE )))*E17</f>
        <v>0</v>
      </c>
      <c r="F86" s="164">
        <f>((VLOOKUP($B$76,Energy_demand!$A$34:$E$66,5,FALSE )))*F17</f>
        <v>0</v>
      </c>
      <c r="G86" s="164">
        <f>((VLOOKUP($B$76,Energy_demand!$A$34:$E$66,5,FALSE )))*G17</f>
        <v>0</v>
      </c>
      <c r="H86" s="164">
        <f>((VLOOKUP($B$76,Energy_demand!$A$34:$E$66,5,FALSE )))*H17</f>
        <v>0</v>
      </c>
      <c r="I86" s="164">
        <f>((VLOOKUP($B$76,Energy_demand!$A$34:$E$66,5,FALSE )))*I17</f>
        <v>0</v>
      </c>
      <c r="J86" s="164">
        <f>((VLOOKUP($B$76,Energy_demand!$A$34:$E$66,5,FALSE )))*J17</f>
        <v>0</v>
      </c>
      <c r="K86" s="164">
        <f>((VLOOKUP($B$76,Energy_demand!$A$34:$E$66,5,FALSE )))*K17</f>
        <v>0</v>
      </c>
      <c r="L86" s="164">
        <f>((VLOOKUP($B$76,Energy_demand!$A$34:$E$66,5,FALSE )))*L17</f>
        <v>0</v>
      </c>
      <c r="M86" s="164">
        <f>((VLOOKUP($B$76,Energy_demand!$A$34:$E$66,5,FALSE )))*M17</f>
        <v>81317359.986697882</v>
      </c>
      <c r="N86" s="164">
        <f>((VLOOKUP($B$76,Energy_demand!$A$34:$E$66,5,FALSE )))*N17</f>
        <v>71678595.972828954</v>
      </c>
      <c r="O86" s="164">
        <f>((VLOOKUP($B$76,Energy_demand!$A$34:$E$66,5,FALSE )))*O17</f>
        <v>56055948.067247108</v>
      </c>
      <c r="P86" s="164">
        <f>((VLOOKUP($B$76,Energy_demand!$A$34:$E$66,5,FALSE )))*P17</f>
        <v>40370716.902595013</v>
      </c>
      <c r="Q86" s="164">
        <f>((VLOOKUP($B$76,Energy_demand!$A$34:$E$66,5,FALSE )))*Q17</f>
        <v>27152684.69356709</v>
      </c>
      <c r="R86" s="164">
        <f>((VLOOKUP($B$76,Energy_demand!$A$34:$E$66,5,FALSE )))*R17</f>
        <v>17197364.134863764</v>
      </c>
      <c r="S86" s="164">
        <f>((VLOOKUP($B$76,Energy_demand!$A$34:$E$66,5,FALSE )))*S17</f>
        <v>10315331.063361913</v>
      </c>
      <c r="T86" s="164">
        <f>((VLOOKUP($B$76,Energy_demand!$A$34:$E$66,5,FALSE )))*T17</f>
        <v>5884537.9328870326</v>
      </c>
      <c r="U86" s="164">
        <f>((VLOOKUP($B$76,Energy_demand!$A$34:$E$66,5,FALSE )))*U17</f>
        <v>3203218.466999169</v>
      </c>
      <c r="V86" s="164">
        <f>((VLOOKUP($B$76,Energy_demand!$A$34:$E$66,5,FALSE )))*V17</f>
        <v>1668292.2033986654</v>
      </c>
      <c r="W86" s="164">
        <f>((VLOOKUP($B$76,Energy_demand!$A$34:$E$66,5,FALSE )))*W17</f>
        <v>833184.80042462586</v>
      </c>
      <c r="X86" s="164">
        <f>((VLOOKUP($B$76,Energy_demand!$A$34:$E$66,5,FALSE )))*X17</f>
        <v>399780.48457712587</v>
      </c>
      <c r="Y86" s="164">
        <f>((VLOOKUP($B$76,Energy_demand!$A$34:$E$66,5,FALSE )))*Y17</f>
        <v>184598.667755717</v>
      </c>
      <c r="Z86" s="164">
        <f>((VLOOKUP($B$76,Energy_demand!$A$34:$E$66,5,FALSE )))*Z17</f>
        <v>82146.610803645803</v>
      </c>
      <c r="AA86" s="164">
        <f>((VLOOKUP($B$76,Energy_demand!$A$34:$E$66,5,FALSE )))*AA17</f>
        <v>35274.508978423706</v>
      </c>
      <c r="AB86" s="164">
        <f>((VLOOKUP($B$76,Energy_demand!$A$34:$E$66,5,FALSE )))*AB17</f>
        <v>14633.227584718867</v>
      </c>
    </row>
    <row r="87" spans="1:28">
      <c r="B87" s="163">
        <v>2018</v>
      </c>
      <c r="C87" s="164">
        <f>((VLOOKUP($B$76,Energy_demand!$A$34:$E$66,5,FALSE )))*C18</f>
        <v>0</v>
      </c>
      <c r="D87" s="164">
        <f>((VLOOKUP($B$76,Energy_demand!$A$34:$E$66,5,FALSE )))*D18</f>
        <v>0</v>
      </c>
      <c r="E87" s="164">
        <f>((VLOOKUP($B$76,Energy_demand!$A$34:$E$66,5,FALSE )))*E18</f>
        <v>0</v>
      </c>
      <c r="F87" s="164">
        <f>((VLOOKUP($B$76,Energy_demand!$A$34:$E$66,5,FALSE )))*F18</f>
        <v>0</v>
      </c>
      <c r="G87" s="164">
        <f>((VLOOKUP($B$76,Energy_demand!$A$34:$E$66,5,FALSE )))*G18</f>
        <v>0</v>
      </c>
      <c r="H87" s="164">
        <f>((VLOOKUP($B$76,Energy_demand!$A$34:$E$66,5,FALSE )))*H18</f>
        <v>0</v>
      </c>
      <c r="I87" s="164">
        <f>((VLOOKUP($B$76,Energy_demand!$A$34:$E$66,5,FALSE )))*I18</f>
        <v>0</v>
      </c>
      <c r="J87" s="164">
        <f>((VLOOKUP($B$76,Energy_demand!$A$34:$E$66,5,FALSE )))*J18</f>
        <v>0</v>
      </c>
      <c r="K87" s="164">
        <f>((VLOOKUP($B$76,Energy_demand!$A$34:$E$66,5,FALSE )))*K18</f>
        <v>0</v>
      </c>
      <c r="L87" s="164">
        <f>((VLOOKUP($B$76,Energy_demand!$A$34:$E$66,5,FALSE )))*L18</f>
        <v>0</v>
      </c>
      <c r="M87" s="164">
        <f>((VLOOKUP($B$76,Energy_demand!$A$34:$E$66,5,FALSE )))*M18</f>
        <v>0</v>
      </c>
      <c r="N87" s="164">
        <f>((VLOOKUP($B$76,Energy_demand!$A$34:$E$66,5,FALSE )))*N18</f>
        <v>87674703.24861154</v>
      </c>
      <c r="O87" s="164">
        <f>((VLOOKUP($B$76,Energy_demand!$A$34:$E$66,5,FALSE )))*O18</f>
        <v>77282386.34681353</v>
      </c>
      <c r="P87" s="164">
        <f>((VLOOKUP($B$76,Energy_demand!$A$34:$E$66,5,FALSE )))*P18</f>
        <v>60438369.038535289</v>
      </c>
      <c r="Q87" s="164">
        <f>((VLOOKUP($B$76,Energy_demand!$A$34:$E$66,5,FALSE )))*Q18</f>
        <v>43526875.748889588</v>
      </c>
      <c r="R87" s="164">
        <f>((VLOOKUP($B$76,Energy_demand!$A$34:$E$66,5,FALSE )))*R18</f>
        <v>29275465.574645281</v>
      </c>
      <c r="S87" s="164">
        <f>((VLOOKUP($B$76,Energy_demand!$A$34:$E$66,5,FALSE )))*S18</f>
        <v>18541843.923968282</v>
      </c>
      <c r="T87" s="164">
        <f>((VLOOKUP($B$76,Energy_demand!$A$34:$E$66,5,FALSE )))*T18</f>
        <v>11121777.564340301</v>
      </c>
      <c r="U87" s="164">
        <f>((VLOOKUP($B$76,Energy_demand!$A$34:$E$66,5,FALSE )))*U18</f>
        <v>6344587.6391641954</v>
      </c>
      <c r="V87" s="164">
        <f>((VLOOKUP($B$76,Energy_demand!$A$34:$E$66,5,FALSE )))*V18</f>
        <v>3453644.1982445726</v>
      </c>
      <c r="W87" s="164">
        <f>((VLOOKUP($B$76,Energy_demand!$A$34:$E$66,5,FALSE )))*W18</f>
        <v>1798718.3042941513</v>
      </c>
      <c r="X87" s="164">
        <f>((VLOOKUP($B$76,Energy_demand!$A$34:$E$66,5,FALSE )))*X18</f>
        <v>898322.69690546149</v>
      </c>
      <c r="Y87" s="164">
        <f>((VLOOKUP($B$76,Energy_demand!$A$34:$E$66,5,FALSE )))*Y18</f>
        <v>431035.08716489706</v>
      </c>
      <c r="Z87" s="164">
        <f>((VLOOKUP($B$76,Energy_demand!$A$34:$E$66,5,FALSE )))*Z18</f>
        <v>199030.48276799754</v>
      </c>
      <c r="AA87" s="164">
        <f>((VLOOKUP($B$76,Energy_demand!$A$34:$E$66,5,FALSE )))*AA18</f>
        <v>88568.78440553142</v>
      </c>
      <c r="AB87" s="164">
        <f>((VLOOKUP($B$76,Energy_demand!$A$34:$E$66,5,FALSE )))*AB18</f>
        <v>38032.249293750945</v>
      </c>
    </row>
    <row r="88" spans="1:28">
      <c r="B88" s="163">
        <v>2019</v>
      </c>
      <c r="C88" s="164">
        <f>((VLOOKUP($B$76,Energy_demand!$A$34:$E$66,5,FALSE )))*C19</f>
        <v>0</v>
      </c>
      <c r="D88" s="164">
        <f>((VLOOKUP($B$76,Energy_demand!$A$34:$E$66,5,FALSE )))*D19</f>
        <v>0</v>
      </c>
      <c r="E88" s="164">
        <f>((VLOOKUP($B$76,Energy_demand!$A$34:$E$66,5,FALSE )))*E19</f>
        <v>0</v>
      </c>
      <c r="F88" s="164">
        <f>((VLOOKUP($B$76,Energy_demand!$A$34:$E$66,5,FALSE )))*F19</f>
        <v>0</v>
      </c>
      <c r="G88" s="164">
        <f>((VLOOKUP($B$76,Energy_demand!$A$34:$E$66,5,FALSE )))*G19</f>
        <v>0</v>
      </c>
      <c r="H88" s="164">
        <f>((VLOOKUP($B$76,Energy_demand!$A$34:$E$66,5,FALSE )))*H19</f>
        <v>0</v>
      </c>
      <c r="I88" s="164">
        <f>((VLOOKUP($B$76,Energy_demand!$A$34:$E$66,5,FALSE )))*I19</f>
        <v>0</v>
      </c>
      <c r="J88" s="164">
        <f>((VLOOKUP($B$76,Energy_demand!$A$34:$E$66,5,FALSE )))*J19</f>
        <v>0</v>
      </c>
      <c r="K88" s="164">
        <f>((VLOOKUP($B$76,Energy_demand!$A$34:$E$66,5,FALSE )))*K19</f>
        <v>0</v>
      </c>
      <c r="L88" s="164">
        <f>((VLOOKUP($B$76,Energy_demand!$A$34:$E$66,5,FALSE )))*L19</f>
        <v>0</v>
      </c>
      <c r="M88" s="164">
        <f>((VLOOKUP($B$76,Energy_demand!$A$34:$E$66,5,FALSE )))*M19</f>
        <v>0</v>
      </c>
      <c r="N88" s="164">
        <f>((VLOOKUP($B$76,Energy_demand!$A$34:$E$66,5,FALSE )))*N19</f>
        <v>0</v>
      </c>
      <c r="O88" s="164">
        <f>((VLOOKUP($B$76,Energy_demand!$A$34:$E$66,5,FALSE )))*O19</f>
        <v>88210602.578341872</v>
      </c>
      <c r="P88" s="164">
        <f>((VLOOKUP($B$76,Energy_demand!$A$34:$E$66,5,FALSE )))*P19</f>
        <v>77754764.096707672</v>
      </c>
      <c r="Q88" s="164">
        <f>((VLOOKUP($B$76,Energy_demand!$A$34:$E$66,5,FALSE )))*Q19</f>
        <v>60807790.094525665</v>
      </c>
      <c r="R88" s="164">
        <f>((VLOOKUP($B$76,Energy_demand!$A$34:$E$66,5,FALSE )))*R19</f>
        <v>43792927.673501655</v>
      </c>
      <c r="S88" s="164">
        <f>((VLOOKUP($B$76,Energy_demand!$A$34:$E$66,5,FALSE )))*S19</f>
        <v>29454407.752921131</v>
      </c>
      <c r="T88" s="164">
        <f>((VLOOKUP($B$76,Energy_demand!$A$34:$E$66,5,FALSE )))*T19</f>
        <v>18655178.344988704</v>
      </c>
      <c r="U88" s="164">
        <f>((VLOOKUP($B$76,Energy_demand!$A$34:$E$66,5,FALSE )))*U19</f>
        <v>11189757.870190199</v>
      </c>
      <c r="V88" s="164">
        <f>((VLOOKUP($B$76,Energy_demand!$A$34:$E$66,5,FALSE )))*V19</f>
        <v>6383368.0414611064</v>
      </c>
      <c r="W88" s="164">
        <f>((VLOOKUP($B$76,Energy_demand!$A$34:$E$66,5,FALSE )))*W19</f>
        <v>3474754.1141312351</v>
      </c>
      <c r="X88" s="164">
        <f>((VLOOKUP($B$76,Energy_demand!$A$34:$E$66,5,FALSE )))*X19</f>
        <v>1809712.717710203</v>
      </c>
      <c r="Y88" s="164">
        <f>((VLOOKUP($B$76,Energy_demand!$A$34:$E$66,5,FALSE )))*Y19</f>
        <v>903813.56842615642</v>
      </c>
      <c r="Z88" s="164">
        <f>((VLOOKUP($B$76,Energy_demand!$A$34:$E$66,5,FALSE )))*Z19</f>
        <v>433669.72869481385</v>
      </c>
      <c r="AA88" s="164">
        <f>((VLOOKUP($B$76,Energy_demand!$A$34:$E$66,5,FALSE )))*AA19</f>
        <v>200247.0286855677</v>
      </c>
      <c r="AB88" s="164">
        <f>((VLOOKUP($B$76,Energy_demand!$A$34:$E$66,5,FALSE )))*AB19</f>
        <v>89110.148680964034</v>
      </c>
    </row>
    <row r="89" spans="1:28">
      <c r="B89" s="163">
        <v>2020</v>
      </c>
      <c r="C89" s="164">
        <f>((VLOOKUP($B$76,Energy_demand!$A$34:$E$66,5,FALSE )))*C20</f>
        <v>0</v>
      </c>
      <c r="D89" s="164">
        <f>((VLOOKUP($B$76,Energy_demand!$A$34:$E$66,5,FALSE )))*D20</f>
        <v>0</v>
      </c>
      <c r="E89" s="164">
        <f>((VLOOKUP($B$76,Energy_demand!$A$34:$E$66,5,FALSE )))*E20</f>
        <v>0</v>
      </c>
      <c r="F89" s="164">
        <f>((VLOOKUP($B$76,Energy_demand!$A$34:$E$66,5,FALSE )))*F20</f>
        <v>0</v>
      </c>
      <c r="G89" s="164">
        <f>((VLOOKUP($B$76,Energy_demand!$A$34:$E$66,5,FALSE )))*G20</f>
        <v>0</v>
      </c>
      <c r="H89" s="164">
        <f>((VLOOKUP($B$76,Energy_demand!$A$34:$E$66,5,FALSE )))*H20</f>
        <v>0</v>
      </c>
      <c r="I89" s="164">
        <f>((VLOOKUP($B$76,Energy_demand!$A$34:$E$66,5,FALSE )))*I20</f>
        <v>0</v>
      </c>
      <c r="J89" s="164">
        <f>((VLOOKUP($B$76,Energy_demand!$A$34:$E$66,5,FALSE )))*J20</f>
        <v>0</v>
      </c>
      <c r="K89" s="164">
        <f>((VLOOKUP($B$76,Energy_demand!$A$34:$E$66,5,FALSE )))*K20</f>
        <v>0</v>
      </c>
      <c r="L89" s="164">
        <f>((VLOOKUP($B$76,Energy_demand!$A$34:$E$66,5,FALSE )))*L20</f>
        <v>0</v>
      </c>
      <c r="M89" s="164">
        <f>((VLOOKUP($B$76,Energy_demand!$A$34:$E$66,5,FALSE )))*M20</f>
        <v>0</v>
      </c>
      <c r="N89" s="164">
        <f>((VLOOKUP($B$76,Energy_demand!$A$34:$E$66,5,FALSE )))*N20</f>
        <v>0</v>
      </c>
      <c r="O89" s="164">
        <f>((VLOOKUP($B$76,Energy_demand!$A$34:$E$66,5,FALSE )))*O20</f>
        <v>0</v>
      </c>
      <c r="P89" s="164">
        <f>((VLOOKUP($B$76,Energy_demand!$A$34:$E$66,5,FALSE )))*P20</f>
        <v>93024611.025489926</v>
      </c>
      <c r="Q89" s="164">
        <f>((VLOOKUP($B$76,Energy_demand!$A$34:$E$66,5,FALSE )))*Q20</f>
        <v>81998155.256348833</v>
      </c>
      <c r="R89" s="164">
        <f>((VLOOKUP($B$76,Energy_demand!$A$34:$E$66,5,FALSE )))*R20</f>
        <v>64126316.514379479</v>
      </c>
      <c r="S89" s="164">
        <f>((VLOOKUP($B$76,Energy_demand!$A$34:$E$66,5,FALSE )))*S20</f>
        <v>46182884.40867243</v>
      </c>
      <c r="T89" s="164">
        <f>((VLOOKUP($B$76,Energy_demand!$A$34:$E$66,5,FALSE )))*T20</f>
        <v>31061853.610717822</v>
      </c>
      <c r="U89" s="164">
        <f>((VLOOKUP($B$76,Energy_demand!$A$34:$E$66,5,FALSE )))*U20</f>
        <v>19673266.687102344</v>
      </c>
      <c r="V89" s="164">
        <f>((VLOOKUP($B$76,Energy_demand!$A$34:$E$66,5,FALSE )))*V20</f>
        <v>11800428.099551754</v>
      </c>
      <c r="W89" s="164">
        <f>((VLOOKUP($B$76,Energy_demand!$A$34:$E$66,5,FALSE )))*W20</f>
        <v>6731734.1876458246</v>
      </c>
      <c r="X89" s="164">
        <f>((VLOOKUP($B$76,Energy_demand!$A$34:$E$66,5,FALSE )))*X20</f>
        <v>3664385.4641986396</v>
      </c>
      <c r="Y89" s="164">
        <f>((VLOOKUP($B$76,Energy_demand!$A$34:$E$66,5,FALSE )))*Y20</f>
        <v>1908476.0415660953</v>
      </c>
      <c r="Z89" s="164">
        <f>((VLOOKUP($B$76,Energy_demand!$A$34:$E$66,5,FALSE )))*Z20</f>
        <v>953138.32107350789</v>
      </c>
      <c r="AA89" s="164">
        <f>((VLOOKUP($B$76,Energy_demand!$A$34:$E$66,5,FALSE )))*AA20</f>
        <v>457336.83532584622</v>
      </c>
      <c r="AB89" s="164">
        <f>((VLOOKUP($B$76,Energy_demand!$A$34:$E$66,5,FALSE )))*AB20</f>
        <v>211175.31688938625</v>
      </c>
    </row>
    <row r="90" spans="1:28">
      <c r="B90" s="163">
        <v>2021</v>
      </c>
      <c r="C90" s="164">
        <f>((VLOOKUP($B$76,Energy_demand!$A$34:$E$66,5,FALSE )))*C21</f>
        <v>0</v>
      </c>
      <c r="D90" s="164">
        <f>((VLOOKUP($B$76,Energy_demand!$A$34:$E$66,5,FALSE )))*D21</f>
        <v>0</v>
      </c>
      <c r="E90" s="164">
        <f>((VLOOKUP($B$76,Energy_demand!$A$34:$E$66,5,FALSE )))*E21</f>
        <v>0</v>
      </c>
      <c r="F90" s="164">
        <f>((VLOOKUP($B$76,Energy_demand!$A$34:$E$66,5,FALSE )))*F21</f>
        <v>0</v>
      </c>
      <c r="G90" s="164">
        <f>((VLOOKUP($B$76,Energy_demand!$A$34:$E$66,5,FALSE )))*G21</f>
        <v>0</v>
      </c>
      <c r="H90" s="164">
        <f>((VLOOKUP($B$76,Energy_demand!$A$34:$E$66,5,FALSE )))*H21</f>
        <v>0</v>
      </c>
      <c r="I90" s="164">
        <f>((VLOOKUP($B$76,Energy_demand!$A$34:$E$66,5,FALSE )))*I21</f>
        <v>0</v>
      </c>
      <c r="J90" s="164">
        <f>((VLOOKUP($B$76,Energy_demand!$A$34:$E$66,5,FALSE )))*J21</f>
        <v>0</v>
      </c>
      <c r="K90" s="164">
        <f>((VLOOKUP($B$76,Energy_demand!$A$34:$E$66,5,FALSE )))*K21</f>
        <v>0</v>
      </c>
      <c r="L90" s="164">
        <f>((VLOOKUP($B$76,Energy_demand!$A$34:$E$66,5,FALSE )))*L21</f>
        <v>0</v>
      </c>
      <c r="M90" s="164">
        <f>((VLOOKUP($B$76,Energy_demand!$A$34:$E$66,5,FALSE )))*M21</f>
        <v>0</v>
      </c>
      <c r="N90" s="164">
        <f>((VLOOKUP($B$76,Energy_demand!$A$34:$E$66,5,FALSE )))*N21</f>
        <v>0</v>
      </c>
      <c r="O90" s="164">
        <f>((VLOOKUP($B$76,Energy_demand!$A$34:$E$66,5,FALSE )))*O21</f>
        <v>0</v>
      </c>
      <c r="P90" s="164">
        <f>((VLOOKUP($B$76,Energy_demand!$A$34:$E$66,5,FALSE )))*P21</f>
        <v>0</v>
      </c>
      <c r="Q90" s="164">
        <f>((VLOOKUP($B$76,Energy_demand!$A$34:$E$66,5,FALSE )))*Q21</f>
        <v>93024611.025489926</v>
      </c>
      <c r="R90" s="164">
        <f>((VLOOKUP($B$76,Energy_demand!$A$34:$E$66,5,FALSE )))*R21</f>
        <v>86993890.64107959</v>
      </c>
      <c r="S90" s="164">
        <f>((VLOOKUP($B$76,Energy_demand!$A$34:$E$66,5,FALSE )))*S21</f>
        <v>76342879.689214528</v>
      </c>
      <c r="T90" s="164">
        <f>((VLOOKUP($B$76,Energy_demand!$A$34:$E$66,5,FALSE )))*T21</f>
        <v>64126316.481236577</v>
      </c>
      <c r="U90" s="164">
        <f>((VLOOKUP($B$76,Energy_demand!$A$34:$E$66,5,FALSE )))*U21</f>
        <v>51942972.507747658</v>
      </c>
      <c r="V90" s="164">
        <f>((VLOOKUP($B$76,Energy_demand!$A$34:$E$66,5,FALSE )))*V21</f>
        <v>40752401.475071251</v>
      </c>
      <c r="W90" s="164">
        <f>((VLOOKUP($B$76,Energy_demand!$A$34:$E$66,5,FALSE )))*W21</f>
        <v>31061853.56338216</v>
      </c>
      <c r="X90" s="164">
        <f>((VLOOKUP($B$76,Energy_demand!$A$34:$E$66,5,FALSE )))*X21</f>
        <v>23052844.342936046</v>
      </c>
      <c r="Y90" s="164">
        <f>((VLOOKUP($B$76,Energy_demand!$A$34:$E$66,5,FALSE )))*Y21</f>
        <v>16688146.550013088</v>
      </c>
      <c r="Z90" s="164">
        <f>((VLOOKUP($B$76,Energy_demand!$A$34:$E$66,5,FALSE )))*Z21</f>
        <v>11800428.065701565</v>
      </c>
      <c r="AA90" s="164">
        <f>((VLOOKUP($B$76,Energy_demand!$A$34:$E$66,5,FALSE )))*AA21</f>
        <v>8160373.1091079386</v>
      </c>
      <c r="AB90" s="164">
        <f>((VLOOKUP($B$76,Energy_demand!$A$34:$E$66,5,FALSE )))*AB21</f>
        <v>5524391.0035133427</v>
      </c>
    </row>
    <row r="91" spans="1:28">
      <c r="B91" s="163">
        <v>2022</v>
      </c>
      <c r="C91" s="164">
        <f>((VLOOKUP($B$76,Energy_demand!$A$34:$E$66,5,FALSE )))*C22</f>
        <v>0</v>
      </c>
      <c r="D91" s="164">
        <f>((VLOOKUP($B$76,Energy_demand!$A$34:$E$66,5,FALSE )))*D22</f>
        <v>0</v>
      </c>
      <c r="E91" s="164">
        <f>((VLOOKUP($B$76,Energy_demand!$A$34:$E$66,5,FALSE )))*E22</f>
        <v>0</v>
      </c>
      <c r="F91" s="164">
        <f>((VLOOKUP($B$76,Energy_demand!$A$34:$E$66,5,FALSE )))*F22</f>
        <v>0</v>
      </c>
      <c r="G91" s="164">
        <f>((VLOOKUP($B$76,Energy_demand!$A$34:$E$66,5,FALSE )))*G22</f>
        <v>0</v>
      </c>
      <c r="H91" s="164">
        <f>((VLOOKUP($B$76,Energy_demand!$A$34:$E$66,5,FALSE )))*H22</f>
        <v>0</v>
      </c>
      <c r="I91" s="164">
        <f>((VLOOKUP($B$76,Energy_demand!$A$34:$E$66,5,FALSE )))*I22</f>
        <v>0</v>
      </c>
      <c r="J91" s="164">
        <f>((VLOOKUP($B$76,Energy_demand!$A$34:$E$66,5,FALSE )))*J22</f>
        <v>0</v>
      </c>
      <c r="K91" s="164">
        <f>((VLOOKUP($B$76,Energy_demand!$A$34:$E$66,5,FALSE )))*K22</f>
        <v>0</v>
      </c>
      <c r="L91" s="164">
        <f>((VLOOKUP($B$76,Energy_demand!$A$34:$E$66,5,FALSE )))*L22</f>
        <v>0</v>
      </c>
      <c r="M91" s="164">
        <f>((VLOOKUP($B$76,Energy_demand!$A$34:$E$66,5,FALSE )))*M22</f>
        <v>0</v>
      </c>
      <c r="N91" s="164">
        <f>((VLOOKUP($B$76,Energy_demand!$A$34:$E$66,5,FALSE )))*N22</f>
        <v>0</v>
      </c>
      <c r="O91" s="164">
        <f>((VLOOKUP($B$76,Energy_demand!$A$34:$E$66,5,FALSE )))*O22</f>
        <v>0</v>
      </c>
      <c r="P91" s="164">
        <f>((VLOOKUP($B$76,Energy_demand!$A$34:$E$66,5,FALSE )))*P22</f>
        <v>0</v>
      </c>
      <c r="Q91" s="164">
        <f>((VLOOKUP($B$76,Energy_demand!$A$34:$E$66,5,FALSE )))*Q22</f>
        <v>0</v>
      </c>
      <c r="R91" s="164">
        <f>((VLOOKUP($B$76,Energy_demand!$A$34:$E$66,5,FALSE )))*R22</f>
        <v>93024611.025489926</v>
      </c>
      <c r="S91" s="164">
        <f>((VLOOKUP($B$76,Energy_demand!$A$34:$E$66,5,FALSE )))*S22</f>
        <v>86993890.64107959</v>
      </c>
      <c r="T91" s="164">
        <f>((VLOOKUP($B$76,Energy_demand!$A$34:$E$66,5,FALSE )))*T22</f>
        <v>76342879.689214528</v>
      </c>
      <c r="U91" s="164">
        <f>((VLOOKUP($B$76,Energy_demand!$A$34:$E$66,5,FALSE )))*U22</f>
        <v>64126316.481236577</v>
      </c>
      <c r="V91" s="164">
        <f>((VLOOKUP($B$76,Energy_demand!$A$34:$E$66,5,FALSE )))*V22</f>
        <v>51942972.507747658</v>
      </c>
      <c r="W91" s="164">
        <f>((VLOOKUP($B$76,Energy_demand!$A$34:$E$66,5,FALSE )))*W22</f>
        <v>40752401.475071251</v>
      </c>
      <c r="X91" s="164">
        <f>((VLOOKUP($B$76,Energy_demand!$A$34:$E$66,5,FALSE )))*X22</f>
        <v>31061853.56338216</v>
      </c>
      <c r="Y91" s="164">
        <f>((VLOOKUP($B$76,Energy_demand!$A$34:$E$66,5,FALSE )))*Y22</f>
        <v>23052844.342936046</v>
      </c>
      <c r="Z91" s="164">
        <f>((VLOOKUP($B$76,Energy_demand!$A$34:$E$66,5,FALSE )))*Z22</f>
        <v>16688146.550013088</v>
      </c>
      <c r="AA91" s="164">
        <f>((VLOOKUP($B$76,Energy_demand!$A$34:$E$66,5,FALSE )))*AA22</f>
        <v>11800428.065701565</v>
      </c>
      <c r="AB91" s="164">
        <f>((VLOOKUP($B$76,Energy_demand!$A$34:$E$66,5,FALSE )))*AB22</f>
        <v>8160373.1091079386</v>
      </c>
    </row>
    <row r="92" spans="1:28">
      <c r="B92" s="163">
        <v>2023</v>
      </c>
      <c r="C92" s="164">
        <f>((VLOOKUP($B$76,Energy_demand!$A$34:$E$66,5,FALSE )))*C23</f>
        <v>0</v>
      </c>
      <c r="D92" s="164">
        <f>((VLOOKUP($B$76,Energy_demand!$A$34:$E$66,5,FALSE )))*D23</f>
        <v>0</v>
      </c>
      <c r="E92" s="164">
        <f>((VLOOKUP($B$76,Energy_demand!$A$34:$E$66,5,FALSE )))*E23</f>
        <v>0</v>
      </c>
      <c r="F92" s="164">
        <f>((VLOOKUP($B$76,Energy_demand!$A$34:$E$66,5,FALSE )))*F23</f>
        <v>0</v>
      </c>
      <c r="G92" s="164">
        <f>((VLOOKUP($B$76,Energy_demand!$A$34:$E$66,5,FALSE )))*G23</f>
        <v>0</v>
      </c>
      <c r="H92" s="164">
        <f>((VLOOKUP($B$76,Energy_demand!$A$34:$E$66,5,FALSE )))*H23</f>
        <v>0</v>
      </c>
      <c r="I92" s="164">
        <f>((VLOOKUP($B$76,Energy_demand!$A$34:$E$66,5,FALSE )))*I23</f>
        <v>0</v>
      </c>
      <c r="J92" s="164">
        <f>((VLOOKUP($B$76,Energy_demand!$A$34:$E$66,5,FALSE )))*J23</f>
        <v>0</v>
      </c>
      <c r="K92" s="164">
        <f>((VLOOKUP($B$76,Energy_demand!$A$34:$E$66,5,FALSE )))*K23</f>
        <v>0</v>
      </c>
      <c r="L92" s="164">
        <f>((VLOOKUP($B$76,Energy_demand!$A$34:$E$66,5,FALSE )))*L23</f>
        <v>0</v>
      </c>
      <c r="M92" s="164">
        <f>((VLOOKUP($B$76,Energy_demand!$A$34:$E$66,5,FALSE )))*M23</f>
        <v>0</v>
      </c>
      <c r="N92" s="164">
        <f>((VLOOKUP($B$76,Energy_demand!$A$34:$E$66,5,FALSE )))*N23</f>
        <v>0</v>
      </c>
      <c r="O92" s="164">
        <f>((VLOOKUP($B$76,Energy_demand!$A$34:$E$66,5,FALSE )))*O23</f>
        <v>0</v>
      </c>
      <c r="P92" s="164">
        <f>((VLOOKUP($B$76,Energy_demand!$A$34:$E$66,5,FALSE )))*P23</f>
        <v>0</v>
      </c>
      <c r="Q92" s="164">
        <f>((VLOOKUP($B$76,Energy_demand!$A$34:$E$66,5,FALSE )))*Q23</f>
        <v>0</v>
      </c>
      <c r="R92" s="164">
        <f>((VLOOKUP($B$76,Energy_demand!$A$34:$E$66,5,FALSE )))*R23</f>
        <v>0</v>
      </c>
      <c r="S92" s="164">
        <f>((VLOOKUP($B$76,Energy_demand!$A$34:$E$66,5,FALSE )))*S23</f>
        <v>80707914.978679806</v>
      </c>
      <c r="T92" s="164">
        <f>((VLOOKUP($B$76,Energy_demand!$A$34:$E$66,5,FALSE )))*T23</f>
        <v>75475677.373173341</v>
      </c>
      <c r="U92" s="164">
        <f>((VLOOKUP($B$76,Energy_demand!$A$34:$E$66,5,FALSE )))*U23</f>
        <v>66234887.469686769</v>
      </c>
      <c r="V92" s="164">
        <f>((VLOOKUP($B$76,Energy_demand!$A$34:$E$66,5,FALSE )))*V23</f>
        <v>55635828.4265806</v>
      </c>
      <c r="W92" s="164">
        <f>((VLOOKUP($B$76,Energy_demand!$A$34:$E$66,5,FALSE )))*W23</f>
        <v>45065590.3064887</v>
      </c>
      <c r="X92" s="164">
        <f>((VLOOKUP($B$76,Energy_demand!$A$34:$E$66,5,FALSE )))*X23</f>
        <v>35356679.45470728</v>
      </c>
      <c r="Y92" s="164">
        <f>((VLOOKUP($B$76,Energy_demand!$A$34:$E$66,5,FALSE )))*Y23</f>
        <v>26949184.832245275</v>
      </c>
      <c r="Z92" s="164">
        <f>((VLOOKUP($B$76,Energy_demand!$A$34:$E$66,5,FALSE )))*Z23</f>
        <v>20000588.884339534</v>
      </c>
      <c r="AA92" s="164">
        <f>((VLOOKUP($B$76,Energy_demand!$A$34:$E$66,5,FALSE )))*AA23</f>
        <v>14478593.33205002</v>
      </c>
      <c r="AB92" s="164">
        <f>((VLOOKUP($B$76,Energy_demand!$A$34:$E$66,5,FALSE )))*AB23</f>
        <v>10238021.256307134</v>
      </c>
    </row>
    <row r="93" spans="1:28">
      <c r="B93" s="163">
        <v>2024</v>
      </c>
      <c r="C93" s="164">
        <f>((VLOOKUP($B$76,Energy_demand!$A$34:$E$66,5,FALSE )))*C24</f>
        <v>0</v>
      </c>
      <c r="D93" s="164">
        <f>((VLOOKUP($B$76,Energy_demand!$A$34:$E$66,5,FALSE )))*D24</f>
        <v>0</v>
      </c>
      <c r="E93" s="164">
        <f>((VLOOKUP($B$76,Energy_demand!$A$34:$E$66,5,FALSE )))*E24</f>
        <v>0</v>
      </c>
      <c r="F93" s="164">
        <f>((VLOOKUP($B$76,Energy_demand!$A$34:$E$66,5,FALSE )))*F24</f>
        <v>0</v>
      </c>
      <c r="G93" s="164">
        <f>((VLOOKUP($B$76,Energy_demand!$A$34:$E$66,5,FALSE )))*G24</f>
        <v>0</v>
      </c>
      <c r="H93" s="164">
        <f>((VLOOKUP($B$76,Energy_demand!$A$34:$E$66,5,FALSE )))*H24</f>
        <v>0</v>
      </c>
      <c r="I93" s="164">
        <f>((VLOOKUP($B$76,Energy_demand!$A$34:$E$66,5,FALSE )))*I24</f>
        <v>0</v>
      </c>
      <c r="J93" s="164">
        <f>((VLOOKUP($B$76,Energy_demand!$A$34:$E$66,5,FALSE )))*J24</f>
        <v>0</v>
      </c>
      <c r="K93" s="164">
        <f>((VLOOKUP($B$76,Energy_demand!$A$34:$E$66,5,FALSE )))*K24</f>
        <v>0</v>
      </c>
      <c r="L93" s="164">
        <f>((VLOOKUP($B$76,Energy_demand!$A$34:$E$66,5,FALSE )))*L24</f>
        <v>0</v>
      </c>
      <c r="M93" s="164">
        <f>((VLOOKUP($B$76,Energy_demand!$A$34:$E$66,5,FALSE )))*M24</f>
        <v>0</v>
      </c>
      <c r="N93" s="164">
        <f>((VLOOKUP($B$76,Energy_demand!$A$34:$E$66,5,FALSE )))*N24</f>
        <v>0</v>
      </c>
      <c r="O93" s="164">
        <f>((VLOOKUP($B$76,Energy_demand!$A$34:$E$66,5,FALSE )))*O24</f>
        <v>0</v>
      </c>
      <c r="P93" s="164">
        <f>((VLOOKUP($B$76,Energy_demand!$A$34:$E$66,5,FALSE )))*P24</f>
        <v>0</v>
      </c>
      <c r="Q93" s="164">
        <f>((VLOOKUP($B$76,Energy_demand!$A$34:$E$66,5,FALSE )))*Q24</f>
        <v>0</v>
      </c>
      <c r="R93" s="164">
        <f>((VLOOKUP($B$76,Energy_demand!$A$34:$E$66,5,FALSE )))*R24</f>
        <v>0</v>
      </c>
      <c r="S93" s="164">
        <f>((VLOOKUP($B$76,Energy_demand!$A$34:$E$66,5,FALSE )))*S24</f>
        <v>0</v>
      </c>
      <c r="T93" s="164">
        <f>((VLOOKUP($B$76,Energy_demand!$A$34:$E$66,5,FALSE )))*T24</f>
        <v>74996797.36755003</v>
      </c>
      <c r="U93" s="164">
        <f>((VLOOKUP($B$76,Energy_demand!$A$34:$E$66,5,FALSE )))*U24</f>
        <v>70134807.517078713</v>
      </c>
      <c r="V93" s="164">
        <f>((VLOOKUP($B$76,Energy_demand!$A$34:$E$66,5,FALSE )))*V24</f>
        <v>61547921.73157727</v>
      </c>
      <c r="W93" s="164">
        <f>((VLOOKUP($B$76,Energy_demand!$A$34:$E$66,5,FALSE )))*W24</f>
        <v>51698881.726609781</v>
      </c>
      <c r="X93" s="164">
        <f>((VLOOKUP($B$76,Energy_demand!$A$34:$E$66,5,FALSE )))*X24</f>
        <v>41876623.1956008</v>
      </c>
      <c r="Y93" s="164">
        <f>((VLOOKUP($B$76,Energy_demand!$A$34:$E$66,5,FALSE )))*Y24</f>
        <v>32854742.00832187</v>
      </c>
      <c r="Z93" s="164">
        <f>((VLOOKUP($B$76,Energy_demand!$A$34:$E$66,5,FALSE )))*Z24</f>
        <v>25042185.201023422</v>
      </c>
      <c r="AA93" s="164">
        <f>((VLOOKUP($B$76,Energy_demand!$A$34:$E$66,5,FALSE )))*AA24</f>
        <v>18585291.321015138</v>
      </c>
      <c r="AB93" s="164">
        <f>((VLOOKUP($B$76,Energy_demand!$A$34:$E$66,5,FALSE )))*AB24</f>
        <v>13454047.605835922</v>
      </c>
    </row>
    <row r="94" spans="1:28">
      <c r="B94" s="163">
        <v>2025</v>
      </c>
      <c r="C94" s="164">
        <f>((VLOOKUP($B$76,Energy_demand!$A$34:$E$66,5,FALSE )))*C25</f>
        <v>0</v>
      </c>
      <c r="D94" s="164">
        <f>((VLOOKUP($B$76,Energy_demand!$A$34:$E$66,5,FALSE )))*D25</f>
        <v>0</v>
      </c>
      <c r="E94" s="164">
        <f>((VLOOKUP($B$76,Energy_demand!$A$34:$E$66,5,FALSE )))*E25</f>
        <v>0</v>
      </c>
      <c r="F94" s="164">
        <f>((VLOOKUP($B$76,Energy_demand!$A$34:$E$66,5,FALSE )))*F25</f>
        <v>0</v>
      </c>
      <c r="G94" s="164">
        <f>((VLOOKUP($B$76,Energy_demand!$A$34:$E$66,5,FALSE )))*G25</f>
        <v>0</v>
      </c>
      <c r="H94" s="164">
        <f>((VLOOKUP($B$76,Energy_demand!$A$34:$E$66,5,FALSE )))*H25</f>
        <v>0</v>
      </c>
      <c r="I94" s="164">
        <f>((VLOOKUP($B$76,Energy_demand!$A$34:$E$66,5,FALSE )))*I25</f>
        <v>0</v>
      </c>
      <c r="J94" s="164">
        <f>((VLOOKUP($B$76,Energy_demand!$A$34:$E$66,5,FALSE )))*J25</f>
        <v>0</v>
      </c>
      <c r="K94" s="164">
        <f>((VLOOKUP($B$76,Energy_demand!$A$34:$E$66,5,FALSE )))*K25</f>
        <v>0</v>
      </c>
      <c r="L94" s="164">
        <f>((VLOOKUP($B$76,Energy_demand!$A$34:$E$66,5,FALSE )))*L25</f>
        <v>0</v>
      </c>
      <c r="M94" s="164">
        <f>((VLOOKUP($B$76,Energy_demand!$A$34:$E$66,5,FALSE )))*M25</f>
        <v>0</v>
      </c>
      <c r="N94" s="164">
        <f>((VLOOKUP($B$76,Energy_demand!$A$34:$E$66,5,FALSE )))*N25</f>
        <v>0</v>
      </c>
      <c r="O94" s="164">
        <f>((VLOOKUP($B$76,Energy_demand!$A$34:$E$66,5,FALSE )))*O25</f>
        <v>0</v>
      </c>
      <c r="P94" s="164">
        <f>((VLOOKUP($B$76,Energy_demand!$A$34:$E$66,5,FALSE )))*P25</f>
        <v>0</v>
      </c>
      <c r="Q94" s="164">
        <f>((VLOOKUP($B$76,Energy_demand!$A$34:$E$66,5,FALSE )))*Q25</f>
        <v>0</v>
      </c>
      <c r="R94" s="164">
        <f>((VLOOKUP($B$76,Energy_demand!$A$34:$E$66,5,FALSE )))*R25</f>
        <v>0</v>
      </c>
      <c r="S94" s="164">
        <f>((VLOOKUP($B$76,Energy_demand!$A$34:$E$66,5,FALSE )))*S25</f>
        <v>0</v>
      </c>
      <c r="T94" s="164">
        <f>((VLOOKUP($B$76,Energy_demand!$A$34:$E$66,5,FALSE )))*T25</f>
        <v>0</v>
      </c>
      <c r="U94" s="164">
        <f>((VLOOKUP($B$76,Energy_demand!$A$34:$E$66,5,FALSE )))*U25</f>
        <v>72079942.5710302</v>
      </c>
      <c r="V94" s="164">
        <f>((VLOOKUP($B$76,Energy_demand!$A$34:$E$66,5,FALSE )))*V25</f>
        <v>67407050.374242336</v>
      </c>
      <c r="W94" s="164">
        <f>((VLOOKUP($B$76,Energy_demand!$A$34:$E$66,5,FALSE )))*W25</f>
        <v>59154134.836401701</v>
      </c>
      <c r="X94" s="164">
        <f>((VLOOKUP($B$76,Energy_demand!$A$34:$E$66,5,FALSE )))*X25</f>
        <v>49688154.116470233</v>
      </c>
      <c r="Y94" s="164">
        <f>((VLOOKUP($B$76,Energy_demand!$A$34:$E$66,5,FALSE )))*Y25</f>
        <v>40247913.2570749</v>
      </c>
      <c r="Z94" s="164">
        <f>((VLOOKUP($B$76,Energy_demand!$A$34:$E$66,5,FALSE )))*Z25</f>
        <v>31576920.618886635</v>
      </c>
      <c r="AA94" s="164">
        <f>((VLOOKUP($B$76,Energy_demand!$A$34:$E$66,5,FALSE )))*AA25</f>
        <v>24068218.037319593</v>
      </c>
      <c r="AB94" s="164">
        <f>((VLOOKUP($B$76,Energy_demand!$A$34:$E$66,5,FALSE )))*AB25</f>
        <v>17862452.506062251</v>
      </c>
    </row>
    <row r="95" spans="1:28">
      <c r="B95" s="163">
        <v>2026</v>
      </c>
      <c r="C95" s="164">
        <f>((VLOOKUP($B$76,Energy_demand!$A$34:$E$66,5,FALSE )))*C26</f>
        <v>0</v>
      </c>
      <c r="D95" s="164">
        <f>((VLOOKUP($B$76,Energy_demand!$A$34:$E$66,5,FALSE )))*D26</f>
        <v>0</v>
      </c>
      <c r="E95" s="164">
        <f>((VLOOKUP($B$76,Energy_demand!$A$34:$E$66,5,FALSE )))*E26</f>
        <v>0</v>
      </c>
      <c r="F95" s="164">
        <f>((VLOOKUP($B$76,Energy_demand!$A$34:$E$66,5,FALSE )))*F26</f>
        <v>0</v>
      </c>
      <c r="G95" s="164">
        <f>((VLOOKUP($B$76,Energy_demand!$A$34:$E$66,5,FALSE )))*G26</f>
        <v>0</v>
      </c>
      <c r="H95" s="164">
        <f>((VLOOKUP($B$76,Energy_demand!$A$34:$E$66,5,FALSE )))*H26</f>
        <v>0</v>
      </c>
      <c r="I95" s="164">
        <f>((VLOOKUP($B$76,Energy_demand!$A$34:$E$66,5,FALSE )))*I26</f>
        <v>0</v>
      </c>
      <c r="J95" s="164">
        <f>((VLOOKUP($B$76,Energy_demand!$A$34:$E$66,5,FALSE )))*J26</f>
        <v>0</v>
      </c>
      <c r="K95" s="164">
        <f>((VLOOKUP($B$76,Energy_demand!$A$34:$E$66,5,FALSE )))*K26</f>
        <v>0</v>
      </c>
      <c r="L95" s="164">
        <f>((VLOOKUP($B$76,Energy_demand!$A$34:$E$66,5,FALSE )))*L26</f>
        <v>0</v>
      </c>
      <c r="M95" s="164">
        <f>((VLOOKUP($B$76,Energy_demand!$A$34:$E$66,5,FALSE )))*M26</f>
        <v>0</v>
      </c>
      <c r="N95" s="164">
        <f>((VLOOKUP($B$76,Energy_demand!$A$34:$E$66,5,FALSE )))*N26</f>
        <v>0</v>
      </c>
      <c r="O95" s="164">
        <f>((VLOOKUP($B$76,Energy_demand!$A$34:$E$66,5,FALSE )))*O26</f>
        <v>0</v>
      </c>
      <c r="P95" s="164">
        <f>((VLOOKUP($B$76,Energy_demand!$A$34:$E$66,5,FALSE )))*P26</f>
        <v>0</v>
      </c>
      <c r="Q95" s="164">
        <f>((VLOOKUP($B$76,Energy_demand!$A$34:$E$66,5,FALSE )))*Q26</f>
        <v>0</v>
      </c>
      <c r="R95" s="164">
        <f>((VLOOKUP($B$76,Energy_demand!$A$34:$E$66,5,FALSE )))*R26</f>
        <v>0</v>
      </c>
      <c r="S95" s="164">
        <f>((VLOOKUP($B$76,Energy_demand!$A$34:$E$66,5,FALSE )))*S26</f>
        <v>0</v>
      </c>
      <c r="T95" s="164">
        <f>((VLOOKUP($B$76,Energy_demand!$A$34:$E$66,5,FALSE )))*T26</f>
        <v>0</v>
      </c>
      <c r="U95" s="164">
        <f>((VLOOKUP($B$76,Energy_demand!$A$34:$E$66,5,FALSE )))*U26</f>
        <v>0</v>
      </c>
      <c r="V95" s="164">
        <f>((VLOOKUP($B$76,Energy_demand!$A$34:$E$66,5,FALSE )))*V26</f>
        <v>71901538.861943081</v>
      </c>
      <c r="W95" s="164">
        <f>((VLOOKUP($B$76,Energy_demand!$A$34:$E$66,5,FALSE )))*W26</f>
        <v>67240212.452673018</v>
      </c>
      <c r="X95" s="164">
        <f>((VLOOKUP($B$76,Energy_demand!$A$34:$E$66,5,FALSE )))*X26</f>
        <v>59007723.550734349</v>
      </c>
      <c r="Y95" s="164">
        <f>((VLOOKUP($B$76,Energy_demand!$A$34:$E$66,5,FALSE )))*Y26</f>
        <v>49565171.901503354</v>
      </c>
      <c r="Z95" s="164">
        <f>((VLOOKUP($B$76,Energy_demand!$A$34:$E$66,5,FALSE )))*Z26</f>
        <v>40148296.404564187</v>
      </c>
      <c r="AA95" s="164">
        <f>((VLOOKUP($B$76,Energy_demand!$A$34:$E$66,5,FALSE )))*AA26</f>
        <v>31498765.177039448</v>
      </c>
      <c r="AB95" s="164">
        <f>((VLOOKUP($B$76,Energy_demand!$A$34:$E$66,5,FALSE )))*AB26</f>
        <v>24008647.243894719</v>
      </c>
    </row>
    <row r="96" spans="1:28">
      <c r="B96" s="163">
        <v>2027</v>
      </c>
      <c r="C96" s="164">
        <f>((VLOOKUP($B$76,Energy_demand!$A$34:$E$66,5,FALSE )))*C27</f>
        <v>0</v>
      </c>
      <c r="D96" s="164">
        <f>((VLOOKUP($B$76,Energy_demand!$A$34:$E$66,5,FALSE )))*D27</f>
        <v>0</v>
      </c>
      <c r="E96" s="164">
        <f>((VLOOKUP($B$76,Energy_demand!$A$34:$E$66,5,FALSE )))*E27</f>
        <v>0</v>
      </c>
      <c r="F96" s="164">
        <f>((VLOOKUP($B$76,Energy_demand!$A$34:$E$66,5,FALSE )))*F27</f>
        <v>0</v>
      </c>
      <c r="G96" s="164">
        <f>((VLOOKUP($B$76,Energy_demand!$A$34:$E$66,5,FALSE )))*G27</f>
        <v>0</v>
      </c>
      <c r="H96" s="164">
        <f>((VLOOKUP($B$76,Energy_demand!$A$34:$E$66,5,FALSE )))*H27</f>
        <v>0</v>
      </c>
      <c r="I96" s="164">
        <f>((VLOOKUP($B$76,Energy_demand!$A$34:$E$66,5,FALSE )))*I27</f>
        <v>0</v>
      </c>
      <c r="J96" s="164">
        <f>((VLOOKUP($B$76,Energy_demand!$A$34:$E$66,5,FALSE )))*J27</f>
        <v>0</v>
      </c>
      <c r="K96" s="164">
        <f>((VLOOKUP($B$76,Energy_demand!$A$34:$E$66,5,FALSE )))*K27</f>
        <v>0</v>
      </c>
      <c r="L96" s="164">
        <f>((VLOOKUP($B$76,Energy_demand!$A$34:$E$66,5,FALSE )))*L27</f>
        <v>0</v>
      </c>
      <c r="M96" s="164">
        <f>((VLOOKUP($B$76,Energy_demand!$A$34:$E$66,5,FALSE )))*M27</f>
        <v>0</v>
      </c>
      <c r="N96" s="164">
        <f>((VLOOKUP($B$76,Energy_demand!$A$34:$E$66,5,FALSE )))*N27</f>
        <v>0</v>
      </c>
      <c r="O96" s="164">
        <f>((VLOOKUP($B$76,Energy_demand!$A$34:$E$66,5,FALSE )))*O27</f>
        <v>0</v>
      </c>
      <c r="P96" s="164">
        <f>((VLOOKUP($B$76,Energy_demand!$A$34:$E$66,5,FALSE )))*P27</f>
        <v>0</v>
      </c>
      <c r="Q96" s="164">
        <f>((VLOOKUP($B$76,Energy_demand!$A$34:$E$66,5,FALSE )))*Q27</f>
        <v>0</v>
      </c>
      <c r="R96" s="164">
        <f>((VLOOKUP($B$76,Energy_demand!$A$34:$E$66,5,FALSE )))*R27</f>
        <v>0</v>
      </c>
      <c r="S96" s="164">
        <f>((VLOOKUP($B$76,Energy_demand!$A$34:$E$66,5,FALSE )))*S27</f>
        <v>0</v>
      </c>
      <c r="T96" s="164">
        <f>((VLOOKUP($B$76,Energy_demand!$A$34:$E$66,5,FALSE )))*T27</f>
        <v>0</v>
      </c>
      <c r="U96" s="164">
        <f>((VLOOKUP($B$76,Energy_demand!$A$34:$E$66,5,FALSE )))*U27</f>
        <v>0</v>
      </c>
      <c r="V96" s="164">
        <f>((VLOOKUP($B$76,Energy_demand!$A$34:$E$66,5,FALSE )))*V27</f>
        <v>0</v>
      </c>
      <c r="W96" s="164">
        <f>((VLOOKUP($B$76,Energy_demand!$A$34:$E$66,5,FALSE )))*W27</f>
        <v>73734899.561275005</v>
      </c>
      <c r="X96" s="164">
        <f>((VLOOKUP($B$76,Energy_demand!$A$34:$E$66,5,FALSE )))*X27</f>
        <v>68954717.661833555</v>
      </c>
      <c r="Y96" s="164">
        <f>((VLOOKUP($B$76,Energy_demand!$A$34:$E$66,5,FALSE )))*Y27</f>
        <v>60512315.010489881</v>
      </c>
      <c r="Z96" s="164">
        <f>((VLOOKUP($B$76,Energy_demand!$A$34:$E$66,5,FALSE )))*Z27</f>
        <v>50828995.175082065</v>
      </c>
      <c r="AA96" s="164">
        <f>((VLOOKUP($B$76,Energy_demand!$A$34:$E$66,5,FALSE )))*AA27</f>
        <v>41172006.187947094</v>
      </c>
      <c r="AB96" s="164">
        <f>((VLOOKUP($B$76,Energy_demand!$A$34:$E$66,5,FALSE )))*AB27</f>
        <v>32301927.37728041</v>
      </c>
    </row>
    <row r="97" spans="1:28">
      <c r="B97" s="163">
        <v>2028</v>
      </c>
      <c r="C97" s="164">
        <f>((VLOOKUP($B$76,Energy_demand!$A$34:$E$66,5,FALSE )))*C28</f>
        <v>0</v>
      </c>
      <c r="D97" s="164">
        <f>((VLOOKUP($B$76,Energy_demand!$A$34:$E$66,5,FALSE )))*D28</f>
        <v>0</v>
      </c>
      <c r="E97" s="164">
        <f>((VLOOKUP($B$76,Energy_demand!$A$34:$E$66,5,FALSE )))*E28</f>
        <v>0</v>
      </c>
      <c r="F97" s="164">
        <f>((VLOOKUP($B$76,Energy_demand!$A$34:$E$66,5,FALSE )))*F28</f>
        <v>0</v>
      </c>
      <c r="G97" s="164">
        <f>((VLOOKUP($B$76,Energy_demand!$A$34:$E$66,5,FALSE )))*G28</f>
        <v>0</v>
      </c>
      <c r="H97" s="164">
        <f>((VLOOKUP($B$76,Energy_demand!$A$34:$E$66,5,FALSE )))*H28</f>
        <v>0</v>
      </c>
      <c r="I97" s="164">
        <f>((VLOOKUP($B$76,Energy_demand!$A$34:$E$66,5,FALSE )))*I28</f>
        <v>0</v>
      </c>
      <c r="J97" s="164">
        <f>((VLOOKUP($B$76,Energy_demand!$A$34:$E$66,5,FALSE )))*J28</f>
        <v>0</v>
      </c>
      <c r="K97" s="164">
        <f>((VLOOKUP($B$76,Energy_demand!$A$34:$E$66,5,FALSE )))*K28</f>
        <v>0</v>
      </c>
      <c r="L97" s="164">
        <f>((VLOOKUP($B$76,Energy_demand!$A$34:$E$66,5,FALSE )))*L28</f>
        <v>0</v>
      </c>
      <c r="M97" s="164">
        <f>((VLOOKUP($B$76,Energy_demand!$A$34:$E$66,5,FALSE )))*M28</f>
        <v>0</v>
      </c>
      <c r="N97" s="164">
        <f>((VLOOKUP($B$76,Energy_demand!$A$34:$E$66,5,FALSE )))*N28</f>
        <v>0</v>
      </c>
      <c r="O97" s="164">
        <f>((VLOOKUP($B$76,Energy_demand!$A$34:$E$66,5,FALSE )))*O28</f>
        <v>0</v>
      </c>
      <c r="P97" s="164">
        <f>((VLOOKUP($B$76,Energy_demand!$A$34:$E$66,5,FALSE )))*P28</f>
        <v>0</v>
      </c>
      <c r="Q97" s="164">
        <f>((VLOOKUP($B$76,Energy_demand!$A$34:$E$66,5,FALSE )))*Q28</f>
        <v>0</v>
      </c>
      <c r="R97" s="164">
        <f>((VLOOKUP($B$76,Energy_demand!$A$34:$E$66,5,FALSE )))*R28</f>
        <v>0</v>
      </c>
      <c r="S97" s="164">
        <f>((VLOOKUP($B$76,Energy_demand!$A$34:$E$66,5,FALSE )))*S28</f>
        <v>0</v>
      </c>
      <c r="T97" s="164">
        <f>((VLOOKUP($B$76,Energy_demand!$A$34:$E$66,5,FALSE )))*T28</f>
        <v>0</v>
      </c>
      <c r="U97" s="164">
        <f>((VLOOKUP($B$76,Energy_demand!$A$34:$E$66,5,FALSE )))*U28</f>
        <v>0</v>
      </c>
      <c r="V97" s="164">
        <f>((VLOOKUP($B$76,Energy_demand!$A$34:$E$66,5,FALSE )))*V28</f>
        <v>0</v>
      </c>
      <c r="W97" s="164">
        <f>((VLOOKUP($B$76,Energy_demand!$A$34:$E$66,5,FALSE )))*W28</f>
        <v>0</v>
      </c>
      <c r="X97" s="164">
        <f>((VLOOKUP($B$76,Energy_demand!$A$34:$E$66,5,FALSE )))*X28</f>
        <v>76686385.180334374</v>
      </c>
      <c r="Y97" s="164">
        <f>((VLOOKUP($B$76,Energy_demand!$A$34:$E$66,5,FALSE )))*Y28</f>
        <v>71714860.535237387</v>
      </c>
      <c r="Z97" s="164">
        <f>((VLOOKUP($B$76,Energy_demand!$A$34:$E$66,5,FALSE )))*Z28</f>
        <v>62934522.521344766</v>
      </c>
      <c r="AA97" s="164">
        <f>((VLOOKUP($B$76,Energy_demand!$A$34:$E$66,5,FALSE )))*AA28</f>
        <v>52863595.468608238</v>
      </c>
      <c r="AB97" s="164">
        <f>((VLOOKUP($B$76,Energy_demand!$A$34:$E$66,5,FALSE )))*AB28</f>
        <v>42820053.244287968</v>
      </c>
    </row>
    <row r="98" spans="1:28">
      <c r="B98" s="163">
        <v>2029</v>
      </c>
      <c r="C98" s="164">
        <f>((VLOOKUP($B$76,Energy_demand!$A$34:$E$66,5,FALSE )))*C29</f>
        <v>0</v>
      </c>
      <c r="D98" s="164">
        <f>((VLOOKUP($B$76,Energy_demand!$A$34:$E$66,5,FALSE )))*D29</f>
        <v>0</v>
      </c>
      <c r="E98" s="164">
        <f>((VLOOKUP($B$76,Energy_demand!$A$34:$E$66,5,FALSE )))*E29</f>
        <v>0</v>
      </c>
      <c r="F98" s="164">
        <f>((VLOOKUP($B$76,Energy_demand!$A$34:$E$66,5,FALSE )))*F29</f>
        <v>0</v>
      </c>
      <c r="G98" s="164">
        <f>((VLOOKUP($B$76,Energy_demand!$A$34:$E$66,5,FALSE )))*G29</f>
        <v>0</v>
      </c>
      <c r="H98" s="164">
        <f>((VLOOKUP($B$76,Energy_demand!$A$34:$E$66,5,FALSE )))*H29</f>
        <v>0</v>
      </c>
      <c r="I98" s="164">
        <f>((VLOOKUP($B$76,Energy_demand!$A$34:$E$66,5,FALSE )))*I29</f>
        <v>0</v>
      </c>
      <c r="J98" s="164">
        <f>((VLOOKUP($B$76,Energy_demand!$A$34:$E$66,5,FALSE )))*J29</f>
        <v>0</v>
      </c>
      <c r="K98" s="164">
        <f>((VLOOKUP($B$76,Energy_demand!$A$34:$E$66,5,FALSE )))*K29</f>
        <v>0</v>
      </c>
      <c r="L98" s="164">
        <f>((VLOOKUP($B$76,Energy_demand!$A$34:$E$66,5,FALSE )))*L29</f>
        <v>0</v>
      </c>
      <c r="M98" s="164">
        <f>((VLOOKUP($B$76,Energy_demand!$A$34:$E$66,5,FALSE )))*M29</f>
        <v>0</v>
      </c>
      <c r="N98" s="164">
        <f>((VLOOKUP($B$76,Energy_demand!$A$34:$E$66,5,FALSE )))*N29</f>
        <v>0</v>
      </c>
      <c r="O98" s="164">
        <f>((VLOOKUP($B$76,Energy_demand!$A$34:$E$66,5,FALSE )))*O29</f>
        <v>0</v>
      </c>
      <c r="P98" s="164">
        <f>((VLOOKUP($B$76,Energy_demand!$A$34:$E$66,5,FALSE )))*P29</f>
        <v>0</v>
      </c>
      <c r="Q98" s="164">
        <f>((VLOOKUP($B$76,Energy_demand!$A$34:$E$66,5,FALSE )))*Q29</f>
        <v>0</v>
      </c>
      <c r="R98" s="164">
        <f>((VLOOKUP($B$76,Energy_demand!$A$34:$E$66,5,FALSE )))*R29</f>
        <v>0</v>
      </c>
      <c r="S98" s="164">
        <f>((VLOOKUP($B$76,Energy_demand!$A$34:$E$66,5,FALSE )))*S29</f>
        <v>0</v>
      </c>
      <c r="T98" s="164">
        <f>((VLOOKUP($B$76,Energy_demand!$A$34:$E$66,5,FALSE )))*T29</f>
        <v>0</v>
      </c>
      <c r="U98" s="164">
        <f>((VLOOKUP($B$76,Energy_demand!$A$34:$E$66,5,FALSE )))*U29</f>
        <v>0</v>
      </c>
      <c r="V98" s="164">
        <f>((VLOOKUP($B$76,Energy_demand!$A$34:$E$66,5,FALSE )))*V29</f>
        <v>0</v>
      </c>
      <c r="W98" s="164">
        <f>((VLOOKUP($B$76,Energy_demand!$A$34:$E$66,5,FALSE )))*W29</f>
        <v>0</v>
      </c>
      <c r="X98" s="164">
        <f>((VLOOKUP($B$76,Energy_demand!$A$34:$E$66,5,FALSE )))*X29</f>
        <v>0</v>
      </c>
      <c r="Y98" s="164">
        <f>((VLOOKUP($B$76,Energy_demand!$A$34:$E$66,5,FALSE )))*Y29</f>
        <v>79991049.564434528</v>
      </c>
      <c r="Z98" s="164">
        <f>((VLOOKUP($B$76,Energy_demand!$A$34:$E$66,5,FALSE )))*Z29</f>
        <v>74805285.841687799</v>
      </c>
      <c r="AA98" s="164">
        <f>((VLOOKUP($B$76,Energy_demand!$A$34:$E$66,5,FALSE )))*AA29</f>
        <v>65646574.66225037</v>
      </c>
      <c r="AB98" s="164">
        <f>((VLOOKUP($B$76,Energy_demand!$A$34:$E$66,5,FALSE )))*AB29</f>
        <v>55141658.787798144</v>
      </c>
    </row>
    <row r="99" spans="1:28">
      <c r="B99" s="163">
        <v>2030</v>
      </c>
      <c r="C99" s="164">
        <f>((VLOOKUP($B$76,Energy_demand!$A$34:$E$66,5,FALSE )))*C30</f>
        <v>0</v>
      </c>
      <c r="D99" s="164">
        <f>((VLOOKUP($B$76,Energy_demand!$A$34:$E$66,5,FALSE )))*D30</f>
        <v>0</v>
      </c>
      <c r="E99" s="164">
        <f>((VLOOKUP($B$76,Energy_demand!$A$34:$E$66,5,FALSE )))*E30</f>
        <v>0</v>
      </c>
      <c r="F99" s="164">
        <f>((VLOOKUP($B$76,Energy_demand!$A$34:$E$66,5,FALSE )))*F30</f>
        <v>0</v>
      </c>
      <c r="G99" s="164">
        <f>((VLOOKUP($B$76,Energy_demand!$A$34:$E$66,5,FALSE )))*G30</f>
        <v>0</v>
      </c>
      <c r="H99" s="164">
        <f>((VLOOKUP($B$76,Energy_demand!$A$34:$E$66,5,FALSE )))*H30</f>
        <v>0</v>
      </c>
      <c r="I99" s="164">
        <f>((VLOOKUP($B$76,Energy_demand!$A$34:$E$66,5,FALSE )))*I30</f>
        <v>0</v>
      </c>
      <c r="J99" s="164">
        <f>((VLOOKUP($B$76,Energy_demand!$A$34:$E$66,5,FALSE )))*J30</f>
        <v>0</v>
      </c>
      <c r="K99" s="164">
        <f>((VLOOKUP($B$76,Energy_demand!$A$34:$E$66,5,FALSE )))*K30</f>
        <v>0</v>
      </c>
      <c r="L99" s="164">
        <f>((VLOOKUP($B$76,Energy_demand!$A$34:$E$66,5,FALSE )))*L30</f>
        <v>0</v>
      </c>
      <c r="M99" s="164">
        <f>((VLOOKUP($B$76,Energy_demand!$A$34:$E$66,5,FALSE )))*M30</f>
        <v>0</v>
      </c>
      <c r="N99" s="164">
        <f>((VLOOKUP($B$76,Energy_demand!$A$34:$E$66,5,FALSE )))*N30</f>
        <v>0</v>
      </c>
      <c r="O99" s="164">
        <f>((VLOOKUP($B$76,Energy_demand!$A$34:$E$66,5,FALSE )))*O30</f>
        <v>0</v>
      </c>
      <c r="P99" s="164">
        <f>((VLOOKUP($B$76,Energy_demand!$A$34:$E$66,5,FALSE )))*P30</f>
        <v>0</v>
      </c>
      <c r="Q99" s="164">
        <f>((VLOOKUP($B$76,Energy_demand!$A$34:$E$66,5,FALSE )))*Q30</f>
        <v>0</v>
      </c>
      <c r="R99" s="164">
        <f>((VLOOKUP($B$76,Energy_demand!$A$34:$E$66,5,FALSE )))*R30</f>
        <v>0</v>
      </c>
      <c r="S99" s="164">
        <f>((VLOOKUP($B$76,Energy_demand!$A$34:$E$66,5,FALSE )))*S30</f>
        <v>0</v>
      </c>
      <c r="T99" s="164">
        <f>((VLOOKUP($B$76,Energy_demand!$A$34:$E$66,5,FALSE )))*T30</f>
        <v>0</v>
      </c>
      <c r="U99" s="164">
        <f>((VLOOKUP($B$76,Energy_demand!$A$34:$E$66,5,FALSE )))*U30</f>
        <v>0</v>
      </c>
      <c r="V99" s="164">
        <f>((VLOOKUP($B$76,Energy_demand!$A$34:$E$66,5,FALSE )))*V30</f>
        <v>0</v>
      </c>
      <c r="W99" s="164">
        <f>((VLOOKUP($B$76,Energy_demand!$A$34:$E$66,5,FALSE )))*W30</f>
        <v>0</v>
      </c>
      <c r="X99" s="164">
        <f>((VLOOKUP($B$76,Energy_demand!$A$34:$E$66,5,FALSE )))*X30</f>
        <v>0</v>
      </c>
      <c r="Y99" s="164">
        <f>((VLOOKUP($B$76,Energy_demand!$A$34:$E$66,5,FALSE )))*Y30</f>
        <v>0</v>
      </c>
      <c r="Z99" s="164">
        <f>((VLOOKUP($B$76,Energy_demand!$A$34:$E$66,5,FALSE )))*Z30</f>
        <v>83127327.060372859</v>
      </c>
      <c r="AA99" s="164">
        <f>((VLOOKUP($B$76,Energy_demand!$A$34:$E$66,5,FALSE )))*AA30</f>
        <v>77738240.664008707</v>
      </c>
      <c r="AB99" s="164">
        <f>((VLOOKUP($B$76,Energy_demand!$A$34:$E$66,5,FALSE )))*AB30</f>
        <v>68220436.061991155</v>
      </c>
    </row>
    <row r="100" spans="1:28">
      <c r="B100" s="163">
        <v>2031</v>
      </c>
      <c r="C100" s="164">
        <f>((VLOOKUP($B$76,Energy_demand!$A$34:$E$66,5,FALSE )))*C31</f>
        <v>0</v>
      </c>
      <c r="D100" s="164">
        <f>((VLOOKUP($B$76,Energy_demand!$A$34:$E$66,5,FALSE )))*D31</f>
        <v>0</v>
      </c>
      <c r="E100" s="164">
        <f>((VLOOKUP($B$76,Energy_demand!$A$34:$E$66,5,FALSE )))*E31</f>
        <v>0</v>
      </c>
      <c r="F100" s="164">
        <f>((VLOOKUP($B$76,Energy_demand!$A$34:$E$66,5,FALSE )))*F31</f>
        <v>0</v>
      </c>
      <c r="G100" s="164">
        <f>((VLOOKUP($B$76,Energy_demand!$A$34:$E$66,5,FALSE )))*G31</f>
        <v>0</v>
      </c>
      <c r="H100" s="164">
        <f>((VLOOKUP($B$76,Energy_demand!$A$34:$E$66,5,FALSE )))*H31</f>
        <v>0</v>
      </c>
      <c r="I100" s="164">
        <f>((VLOOKUP($B$76,Energy_demand!$A$34:$E$66,5,FALSE )))*I31</f>
        <v>0</v>
      </c>
      <c r="J100" s="164">
        <f>((VLOOKUP($B$76,Energy_demand!$A$34:$E$66,5,FALSE )))*J31</f>
        <v>0</v>
      </c>
      <c r="K100" s="164">
        <f>((VLOOKUP($B$76,Energy_demand!$A$34:$E$66,5,FALSE )))*K31</f>
        <v>0</v>
      </c>
      <c r="L100" s="164">
        <f>((VLOOKUP($B$76,Energy_demand!$A$34:$E$66,5,FALSE )))*L31</f>
        <v>0</v>
      </c>
      <c r="M100" s="164">
        <f>((VLOOKUP($B$76,Energy_demand!$A$34:$E$66,5,FALSE )))*M31</f>
        <v>0</v>
      </c>
      <c r="N100" s="164">
        <f>((VLOOKUP($B$76,Energy_demand!$A$34:$E$66,5,FALSE )))*N31</f>
        <v>0</v>
      </c>
      <c r="O100" s="164">
        <f>((VLOOKUP($B$76,Energy_demand!$A$34:$E$66,5,FALSE )))*O31</f>
        <v>0</v>
      </c>
      <c r="P100" s="164">
        <f>((VLOOKUP($B$76,Energy_demand!$A$34:$E$66,5,FALSE )))*P31</f>
        <v>0</v>
      </c>
      <c r="Q100" s="164">
        <f>((VLOOKUP($B$76,Energy_demand!$A$34:$E$66,5,FALSE )))*Q31</f>
        <v>0</v>
      </c>
      <c r="R100" s="164">
        <f>((VLOOKUP($B$76,Energy_demand!$A$34:$E$66,5,FALSE )))*R31</f>
        <v>0</v>
      </c>
      <c r="S100" s="164">
        <f>((VLOOKUP($B$76,Energy_demand!$A$34:$E$66,5,FALSE )))*S31</f>
        <v>0</v>
      </c>
      <c r="T100" s="164">
        <f>((VLOOKUP($B$76,Energy_demand!$A$34:$E$66,5,FALSE )))*T31</f>
        <v>0</v>
      </c>
      <c r="U100" s="164">
        <f>((VLOOKUP($B$76,Energy_demand!$A$34:$E$66,5,FALSE )))*U31</f>
        <v>0</v>
      </c>
      <c r="V100" s="164">
        <f>((VLOOKUP($B$76,Energy_demand!$A$34:$E$66,5,FALSE )))*V31</f>
        <v>0</v>
      </c>
      <c r="W100" s="164">
        <f>((VLOOKUP($B$76,Energy_demand!$A$34:$E$66,5,FALSE )))*W31</f>
        <v>0</v>
      </c>
      <c r="X100" s="164">
        <f>((VLOOKUP($B$76,Energy_demand!$A$34:$E$66,5,FALSE )))*X31</f>
        <v>0</v>
      </c>
      <c r="Y100" s="164">
        <f>((VLOOKUP($B$76,Energy_demand!$A$34:$E$66,5,FALSE )))*Y31</f>
        <v>0</v>
      </c>
      <c r="Z100" s="164">
        <f>((VLOOKUP($B$76,Energy_demand!$A$34:$E$66,5,FALSE )))*Z31</f>
        <v>0</v>
      </c>
      <c r="AA100" s="164">
        <f>((VLOOKUP($B$76,Energy_demand!$A$34:$E$66,5,FALSE )))*AA31</f>
        <v>85814611.965777665</v>
      </c>
      <c r="AB100" s="164">
        <f>((VLOOKUP($B$76,Energy_demand!$A$34:$E$66,5,FALSE )))*AB31</f>
        <v>80251310.770995259</v>
      </c>
    </row>
    <row r="101" spans="1:28">
      <c r="B101" s="163">
        <v>2032</v>
      </c>
      <c r="C101" s="164">
        <f>((VLOOKUP($B$76,Energy_demand!$A$34:$E$66,5,FALSE )))*C32</f>
        <v>0</v>
      </c>
      <c r="D101" s="164">
        <f>((VLOOKUP($B$76,Energy_demand!$A$34:$E$66,5,FALSE )))*D32</f>
        <v>0</v>
      </c>
      <c r="E101" s="164">
        <f>((VLOOKUP($B$76,Energy_demand!$A$34:$E$66,5,FALSE )))*E32</f>
        <v>0</v>
      </c>
      <c r="F101" s="164">
        <f>((VLOOKUP($B$76,Energy_demand!$A$34:$E$66,5,FALSE )))*F32</f>
        <v>0</v>
      </c>
      <c r="G101" s="164">
        <f>((VLOOKUP($B$76,Energy_demand!$A$34:$E$66,5,FALSE )))*G32</f>
        <v>0</v>
      </c>
      <c r="H101" s="164">
        <f>((VLOOKUP($B$76,Energy_demand!$A$34:$E$66,5,FALSE )))*H32</f>
        <v>0</v>
      </c>
      <c r="I101" s="164">
        <f>((VLOOKUP($B$76,Energy_demand!$A$34:$E$66,5,FALSE )))*I32</f>
        <v>0</v>
      </c>
      <c r="J101" s="164">
        <f>((VLOOKUP($B$76,Energy_demand!$A$34:$E$66,5,FALSE )))*J32</f>
        <v>0</v>
      </c>
      <c r="K101" s="164">
        <f>((VLOOKUP($B$76,Energy_demand!$A$34:$E$66,5,FALSE )))*K32</f>
        <v>0</v>
      </c>
      <c r="L101" s="164">
        <f>((VLOOKUP($B$76,Energy_demand!$A$34:$E$66,5,FALSE )))*L32</f>
        <v>0</v>
      </c>
      <c r="M101" s="164">
        <f>((VLOOKUP($B$76,Energy_demand!$A$34:$E$66,5,FALSE )))*M32</f>
        <v>0</v>
      </c>
      <c r="N101" s="164">
        <f>((VLOOKUP($B$76,Energy_demand!$A$34:$E$66,5,FALSE )))*N32</f>
        <v>0</v>
      </c>
      <c r="O101" s="164">
        <f>((VLOOKUP($B$76,Energy_demand!$A$34:$E$66,5,FALSE )))*O32</f>
        <v>0</v>
      </c>
      <c r="P101" s="164">
        <f>((VLOOKUP($B$76,Energy_demand!$A$34:$E$66,5,FALSE )))*P32</f>
        <v>0</v>
      </c>
      <c r="Q101" s="164">
        <f>((VLOOKUP($B$76,Energy_demand!$A$34:$E$66,5,FALSE )))*Q32</f>
        <v>0</v>
      </c>
      <c r="R101" s="164">
        <f>((VLOOKUP($B$76,Energy_demand!$A$34:$E$66,5,FALSE )))*R32</f>
        <v>0</v>
      </c>
      <c r="S101" s="164">
        <f>((VLOOKUP($B$76,Energy_demand!$A$34:$E$66,5,FALSE )))*S32</f>
        <v>0</v>
      </c>
      <c r="T101" s="164">
        <f>((VLOOKUP($B$76,Energy_demand!$A$34:$E$66,5,FALSE )))*T32</f>
        <v>0</v>
      </c>
      <c r="U101" s="164">
        <f>((VLOOKUP($B$76,Energy_demand!$A$34:$E$66,5,FALSE )))*U32</f>
        <v>0</v>
      </c>
      <c r="V101" s="164">
        <f>((VLOOKUP($B$76,Energy_demand!$A$34:$E$66,5,FALSE )))*V32</f>
        <v>0</v>
      </c>
      <c r="W101" s="164">
        <f>((VLOOKUP($B$76,Energy_demand!$A$34:$E$66,5,FALSE )))*W32</f>
        <v>0</v>
      </c>
      <c r="X101" s="164">
        <f>((VLOOKUP($B$76,Energy_demand!$A$34:$E$66,5,FALSE )))*X32</f>
        <v>0</v>
      </c>
      <c r="Y101" s="164">
        <f>((VLOOKUP($B$76,Energy_demand!$A$34:$E$66,5,FALSE )))*Y32</f>
        <v>0</v>
      </c>
      <c r="Z101" s="164">
        <f>((VLOOKUP($B$76,Energy_demand!$A$34:$E$66,5,FALSE )))*Z32</f>
        <v>0</v>
      </c>
      <c r="AA101" s="164">
        <f>((VLOOKUP($B$76,Energy_demand!$A$34:$E$66,5,FALSE )))*AA32</f>
        <v>0</v>
      </c>
      <c r="AB101" s="164">
        <f>((VLOOKUP($B$76,Energy_demand!$A$34:$E$66,5,FALSE )))*AB32</f>
        <v>87956182.20544979</v>
      </c>
    </row>
    <row r="103" spans="1:28" ht="21">
      <c r="B103" s="52" t="s">
        <v>7763</v>
      </c>
    </row>
    <row r="104" spans="1:28">
      <c r="A104" s="1" t="s">
        <v>7762</v>
      </c>
      <c r="B104" s="163">
        <v>2007</v>
      </c>
      <c r="C104" s="164">
        <f>(C76*Emissions_factors!$E$20)/1000</f>
        <v>15501.446642957195</v>
      </c>
      <c r="D104" s="164">
        <f>(D76*Emissions_factors!$E$20)/1000</f>
        <v>13664.018742082315</v>
      </c>
      <c r="E104" s="164">
        <f>(E76*Emissions_factors!$E$20)/1000</f>
        <v>10685.889066331658</v>
      </c>
      <c r="F104" s="164">
        <f>(F76*Emissions_factors!$E$20)/1000</f>
        <v>7695.8292067754974</v>
      </c>
      <c r="G104" s="164">
        <f>(G76*Emissions_factors!$E$20)/1000</f>
        <v>5176.0890055853233</v>
      </c>
      <c r="H104" s="164">
        <f>(H76*Emissions_factors!$E$20)/1000</f>
        <v>3278.3162485809285</v>
      </c>
      <c r="I104" s="164">
        <f>(I76*Emissions_factors!$E$20)/1000</f>
        <v>1966.4011978414067</v>
      </c>
      <c r="J104" s="164">
        <f>(J76*Emissions_factors!$E$20)/1000</f>
        <v>1121.7635545476119</v>
      </c>
      <c r="K104" s="164">
        <f>(K76*Emissions_factors!$E$20)/1000</f>
        <v>610.62631841522375</v>
      </c>
      <c r="L104" s="164">
        <f>(L76*Emissions_factors!$E$20)/1000</f>
        <v>318.02486676985455</v>
      </c>
      <c r="M104" s="164">
        <f>(M76*Emissions_factors!$E$20)/1000</f>
        <v>158.82918148865187</v>
      </c>
      <c r="N104" s="164">
        <f>(N76*Emissions_factors!$E$20)/1000</f>
        <v>76.209752156017345</v>
      </c>
      <c r="O104" s="164">
        <f>(O76*Emissions_factors!$E$20)/1000</f>
        <v>35.189858586706812</v>
      </c>
      <c r="P104" s="164">
        <f>(P76*Emissions_factors!$E$20)/1000</f>
        <v>15.659525893127755</v>
      </c>
      <c r="Q104" s="164">
        <f>(Q76*Emissions_factors!$E$20)/1000</f>
        <v>6.7243442098341308</v>
      </c>
      <c r="R104" s="164">
        <f>(R76*Emissions_factors!$E$20)/1000</f>
        <v>2.7895174739548283</v>
      </c>
      <c r="S104" s="164">
        <f>(S76*Emissions_factors!$E$20)/1000</f>
        <v>1.119089554973606</v>
      </c>
      <c r="T104" s="164">
        <f>(T76*Emissions_factors!$E$20)/1000</f>
        <v>0.43457504742882203</v>
      </c>
      <c r="U104" s="164">
        <f>(U76*Emissions_factors!$E$20)/1000</f>
        <v>0.16349381527865575</v>
      </c>
      <c r="V104" s="164">
        <f>(V76*Emissions_factors!$E$20)/1000</f>
        <v>5.9637106458403921E-2</v>
      </c>
      <c r="W104" s="164">
        <f>(W76*Emissions_factors!$E$20)/1000</f>
        <v>2.1106986385441836E-2</v>
      </c>
      <c r="X104" s="164">
        <f>(X76*Emissions_factors!$E$20)/1000</f>
        <v>7.2530885225045045E-3</v>
      </c>
      <c r="Y104" s="164">
        <f>(Y76*Emissions_factors!$E$20)/1000</f>
        <v>2.4214700059566863E-3</v>
      </c>
      <c r="Z104" s="164">
        <f>(Z76*Emissions_factors!$E$20)/1000</f>
        <v>7.8586652712536384E-4</v>
      </c>
      <c r="AA104" s="164">
        <f>(AA76*Emissions_factors!$E$20)/1000</f>
        <v>2.4806766170566561E-4</v>
      </c>
      <c r="AB104" s="164">
        <f>(AB76*Emissions_factors!$E$20)/1000</f>
        <v>7.6202074918681014E-5</v>
      </c>
    </row>
    <row r="105" spans="1:28">
      <c r="B105" s="163">
        <v>2008</v>
      </c>
      <c r="C105" s="164">
        <f>(C77*Emissions_factors!$E$20)/1000</f>
        <v>0</v>
      </c>
      <c r="D105" s="164">
        <f>(D77*Emissions_factors!$E$20)/1000</f>
        <v>14675.512828351057</v>
      </c>
      <c r="E105" s="164">
        <f>(E77*Emissions_factors!$E$20)/1000</f>
        <v>12935.985069971768</v>
      </c>
      <c r="F105" s="164">
        <f>(F77*Emissions_factors!$E$20)/1000</f>
        <v>10116.533358938816</v>
      </c>
      <c r="G105" s="164">
        <f>(G77*Emissions_factors!$E$20)/1000</f>
        <v>7285.7871171749593</v>
      </c>
      <c r="H105" s="164">
        <f>(H77*Emissions_factors!$E$20)/1000</f>
        <v>4900.3013945583025</v>
      </c>
      <c r="I105" s="164">
        <f>(I77*Emissions_factors!$E$20)/1000</f>
        <v>3103.6440191405932</v>
      </c>
      <c r="J105" s="164">
        <f>(J77*Emissions_factors!$E$20)/1000</f>
        <v>1861.6292188263303</v>
      </c>
      <c r="K105" s="164">
        <f>(K77*Emissions_factors!$E$20)/1000</f>
        <v>1061.9947811528662</v>
      </c>
      <c r="L105" s="164">
        <f>(L77*Emissions_factors!$E$20)/1000</f>
        <v>578.09148885486627</v>
      </c>
      <c r="M105" s="164">
        <f>(M77*Emissions_factors!$E$20)/1000</f>
        <v>301.08015848547171</v>
      </c>
      <c r="N105" s="164">
        <f>(N77*Emissions_factors!$E$20)/1000</f>
        <v>150.36659120535768</v>
      </c>
      <c r="O105" s="164">
        <f>(O77*Emissions_factors!$E$20)/1000</f>
        <v>72.149214274734803</v>
      </c>
      <c r="P105" s="164">
        <f>(P77*Emissions_factors!$E$20)/1000</f>
        <v>33.314904925451323</v>
      </c>
      <c r="Q105" s="164">
        <f>(Q77*Emissions_factors!$E$20)/1000</f>
        <v>14.825169445388678</v>
      </c>
      <c r="R105" s="164">
        <f>(R77*Emissions_factors!$E$20)/1000</f>
        <v>6.3660638898179149</v>
      </c>
      <c r="S105" s="164">
        <f>(S77*Emissions_factors!$E$20)/1000</f>
        <v>2.6408889710001859</v>
      </c>
      <c r="T105" s="164">
        <f>(T77*Emissions_factors!$E$20)/1000</f>
        <v>1.0594632551633767</v>
      </c>
      <c r="U105" s="164">
        <f>(U77*Emissions_factors!$E$20)/1000</f>
        <v>0.41142041967550819</v>
      </c>
      <c r="V105" s="164">
        <f>(V77*Emissions_factors!$E$20)/1000</f>
        <v>0.1547826882704573</v>
      </c>
      <c r="W105" s="164">
        <f>(W77*Emissions_factors!$E$20)/1000</f>
        <v>5.6459577033971732E-2</v>
      </c>
      <c r="X105" s="164">
        <f>(X77*Emissions_factors!$E$20)/1000</f>
        <v>1.9982383360853281E-2</v>
      </c>
      <c r="Y105" s="164">
        <f>(Y77*Emissions_factors!$E$20)/1000</f>
        <v>6.8666361346049632E-3</v>
      </c>
      <c r="Z105" s="164">
        <f>(Z77*Emissions_factors!$E$20)/1000</f>
        <v>2.2924514694910715E-3</v>
      </c>
      <c r="AA105" s="164">
        <f>(AA77*Emissions_factors!$E$20)/1000</f>
        <v>7.4399471003177512E-4</v>
      </c>
      <c r="AB105" s="164">
        <f>(AB77*Emissions_factors!$E$20)/1000</f>
        <v>2.3485034884241276E-4</v>
      </c>
    </row>
    <row r="106" spans="1:28">
      <c r="B106" s="163">
        <v>2009</v>
      </c>
      <c r="C106" s="164">
        <f>(C78*Emissions_factors!$E$20)/1000</f>
        <v>0</v>
      </c>
      <c r="D106" s="164">
        <f>(D78*Emissions_factors!$E$20)/1000</f>
        <v>0</v>
      </c>
      <c r="E106" s="164">
        <f>(E78*Emissions_factors!$E$20)/1000</f>
        <v>14995.839355609816</v>
      </c>
      <c r="F106" s="164">
        <f>(F78*Emissions_factors!$E$20)/1000</f>
        <v>13218.34243782675</v>
      </c>
      <c r="G106" s="164">
        <f>(G78*Emissions_factors!$E$20)/1000</f>
        <v>10337.349764925382</v>
      </c>
      <c r="H106" s="164">
        <f>(H78*Emissions_factors!$E$20)/1000</f>
        <v>7444.816032408683</v>
      </c>
      <c r="I106" s="164">
        <f>(I78*Emissions_factors!$E$20)/1000</f>
        <v>5007.2616450517417</v>
      </c>
      <c r="J106" s="164">
        <f>(J78*Emissions_factors!$E$20)/1000</f>
        <v>3171.38812608438</v>
      </c>
      <c r="K106" s="164">
        <f>(K78*Emissions_factors!$E$20)/1000</f>
        <v>1902.2635209924563</v>
      </c>
      <c r="L106" s="164">
        <f>(L78*Emissions_factors!$E$20)/1000</f>
        <v>1085.1752385714601</v>
      </c>
      <c r="M106" s="164">
        <f>(M78*Emissions_factors!$E$20)/1000</f>
        <v>590.70965363238508</v>
      </c>
      <c r="N106" s="164">
        <f>(N78*Emissions_factors!$E$20)/1000</f>
        <v>307.65191939919271</v>
      </c>
      <c r="O106" s="164">
        <f>(O78*Emissions_factors!$E$20)/1000</f>
        <v>153.64868489025426</v>
      </c>
      <c r="P106" s="164">
        <f>(P78*Emissions_factors!$E$20)/1000</f>
        <v>73.724035374575777</v>
      </c>
      <c r="Q106" s="164">
        <f>(Q78*Emissions_factors!$E$20)/1000</f>
        <v>34.042078682548883</v>
      </c>
      <c r="R106" s="164">
        <f>(R78*Emissions_factors!$E$20)/1000</f>
        <v>15.148762569527396</v>
      </c>
      <c r="S106" s="164">
        <f>(S78*Emissions_factors!$E$20)/1000</f>
        <v>6.5050177486700065</v>
      </c>
      <c r="T106" s="164">
        <f>(T78*Emissions_factors!$E$20)/1000</f>
        <v>2.6985323939490722</v>
      </c>
      <c r="U106" s="164">
        <f>(U78*Emissions_factors!$E$20)/1000</f>
        <v>1.0825884562554384</v>
      </c>
      <c r="V106" s="164">
        <f>(V78*Emissions_factors!$E$20)/1000</f>
        <v>0.42040060836257054</v>
      </c>
      <c r="W106" s="164">
        <f>(W78*Emissions_factors!$E$20)/1000</f>
        <v>0.15816117334238386</v>
      </c>
      <c r="X106" s="164">
        <f>(X78*Emissions_factors!$E$20)/1000</f>
        <v>5.7691936029076282E-2</v>
      </c>
      <c r="Y106" s="164">
        <f>(Y78*Emissions_factors!$E$20)/1000</f>
        <v>2.0418544437007958E-2</v>
      </c>
      <c r="Z106" s="164">
        <f>(Z78*Emissions_factors!$E$20)/1000</f>
        <v>7.0165161239909733E-3</v>
      </c>
      <c r="AA106" s="164">
        <f>(AA78*Emissions_factors!$E$20)/1000</f>
        <v>2.3424894495412598E-3</v>
      </c>
      <c r="AB106" s="164">
        <f>(AB78*Emissions_factors!$E$20)/1000</f>
        <v>7.6023409086642391E-4</v>
      </c>
    </row>
    <row r="107" spans="1:28">
      <c r="B107" s="163">
        <v>2010</v>
      </c>
      <c r="C107" s="164">
        <f>(C79*Emissions_factors!$E$20)/1000</f>
        <v>0</v>
      </c>
      <c r="D107" s="164">
        <f>(D79*Emissions_factors!$E$20)/1000</f>
        <v>0</v>
      </c>
      <c r="E107" s="164">
        <f>(E79*Emissions_factors!$E$20)/1000</f>
        <v>0</v>
      </c>
      <c r="F107" s="164">
        <f>(F79*Emissions_factors!$E$20)/1000</f>
        <v>15445.916980018401</v>
      </c>
      <c r="G107" s="164">
        <f>(G79*Emissions_factors!$E$20)/1000</f>
        <v>13615.071158504243</v>
      </c>
      <c r="H107" s="164">
        <f>(H79*Emissions_factors!$E$20)/1000</f>
        <v>10647.609812032233</v>
      </c>
      <c r="I107" s="164">
        <f>(I79*Emissions_factors!$E$20)/1000</f>
        <v>7668.2610183522002</v>
      </c>
      <c r="J107" s="164">
        <f>(J79*Emissions_factors!$E$20)/1000</f>
        <v>5157.5470924051133</v>
      </c>
      <c r="K107" s="164">
        <f>(K79*Emissions_factors!$E$20)/1000</f>
        <v>3266.5725835873668</v>
      </c>
      <c r="L107" s="164">
        <f>(L79*Emissions_factors!$E$20)/1000</f>
        <v>1959.3571071682188</v>
      </c>
      <c r="M107" s="164">
        <f>(M79*Emissions_factors!$E$20)/1000</f>
        <v>1117.7451455877388</v>
      </c>
      <c r="N107" s="164">
        <f>(N79*Emissions_factors!$E$20)/1000</f>
        <v>608.43891781809566</v>
      </c>
      <c r="O107" s="164">
        <f>(O79*Emissions_factors!$E$20)/1000</f>
        <v>316.88563028021338</v>
      </c>
      <c r="P107" s="164">
        <f>(P79*Emissions_factors!$E$20)/1000</f>
        <v>158.26021969327542</v>
      </c>
      <c r="Q107" s="164">
        <f>(Q79*Emissions_factors!$E$20)/1000</f>
        <v>75.936751709843165</v>
      </c>
      <c r="R107" s="164">
        <f>(R79*Emissions_factors!$E$20)/1000</f>
        <v>35.063800610880961</v>
      </c>
      <c r="S107" s="164">
        <f>(S79*Emissions_factors!$E$20)/1000</f>
        <v>15.603429954815974</v>
      </c>
      <c r="T107" s="164">
        <f>(T79*Emissions_factors!$E$20)/1000</f>
        <v>6.700256098830236</v>
      </c>
      <c r="U107" s="164">
        <f>(U79*Emissions_factors!$E$20)/1000</f>
        <v>2.7795247959384852</v>
      </c>
      <c r="V107" s="164">
        <f>(V79*Emissions_factors!$E$20)/1000</f>
        <v>1.1150807248806907</v>
      </c>
      <c r="W107" s="164">
        <f>(W79*Emissions_factors!$E$20)/1000</f>
        <v>0.43301830201910918</v>
      </c>
      <c r="X107" s="164">
        <f>(X79*Emissions_factors!$E$20)/1000</f>
        <v>0.16290814371753562</v>
      </c>
      <c r="Y107" s="164">
        <f>(Y79*Emissions_factors!$E$20)/1000</f>
        <v>5.9423472950734836E-2</v>
      </c>
      <c r="Z107" s="164">
        <f>(Z79*Emissions_factors!$E$20)/1000</f>
        <v>2.1031376420344177E-2</v>
      </c>
      <c r="AA107" s="164">
        <f>(AA79*Emissions_factors!$E$20)/1000</f>
        <v>7.2271063306357927E-3</v>
      </c>
      <c r="AB107" s="164">
        <f>(AB79*Emissions_factors!$E$20)/1000</f>
        <v>2.4127957566208499E-3</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13078.335802776393</v>
      </c>
      <c r="H108" s="164">
        <f>(H80*Emissions_factors!$E$20)/1000</f>
        <v>11528.125705969071</v>
      </c>
      <c r="I108" s="164">
        <f>(I80*Emissions_factors!$E$20)/1000</f>
        <v>9015.5227947190779</v>
      </c>
      <c r="J108" s="164">
        <f>(J80*Emissions_factors!$E$20)/1000</f>
        <v>6492.8545680445995</v>
      </c>
      <c r="K108" s="164">
        <f>(K80*Emissions_factors!$E$20)/1000</f>
        <v>4366.9879153414131</v>
      </c>
      <c r="L108" s="164">
        <f>(L80*Emissions_factors!$E$20)/1000</f>
        <v>2765.8657771866087</v>
      </c>
      <c r="M108" s="164">
        <f>(M80*Emissions_factors!$E$20)/1000</f>
        <v>1659.0229144862315</v>
      </c>
      <c r="N108" s="164">
        <f>(N80*Emissions_factors!$E$20)/1000</f>
        <v>946.41492472285847</v>
      </c>
      <c r="O108" s="164">
        <f>(O80*Emissions_factors!$E$20)/1000</f>
        <v>515.17617846819758</v>
      </c>
      <c r="P108" s="164">
        <f>(P80*Emissions_factors!$E$20)/1000</f>
        <v>268.312764417962</v>
      </c>
      <c r="Q108" s="164">
        <f>(Q80*Emissions_factors!$E$20)/1000</f>
        <v>134.00177535897615</v>
      </c>
      <c r="R108" s="164">
        <f>(R80*Emissions_factors!$E$20)/1000</f>
        <v>64.297013891641427</v>
      </c>
      <c r="S108" s="164">
        <f>(S80*Emissions_factors!$E$20)/1000</f>
        <v>29.689150828917054</v>
      </c>
      <c r="T108" s="164">
        <f>(T80*Emissions_factors!$E$20)/1000</f>
        <v>13.211704872438091</v>
      </c>
      <c r="U108" s="164">
        <f>(U80*Emissions_factors!$E$20)/1000</f>
        <v>5.6732273867885281</v>
      </c>
      <c r="V108" s="164">
        <f>(V80*Emissions_factors!$E$20)/1000</f>
        <v>2.3534736526457576</v>
      </c>
      <c r="W108" s="164">
        <f>(W80*Emissions_factors!$E$20)/1000</f>
        <v>0.94415891177317557</v>
      </c>
      <c r="X108" s="164">
        <f>(X80*Emissions_factors!$E$20)/1000</f>
        <v>0.36664438698460555</v>
      </c>
      <c r="Y108" s="164">
        <f>(Y80*Emissions_factors!$E$20)/1000</f>
        <v>0.13793725625361677</v>
      </c>
      <c r="Z108" s="164">
        <f>(Z80*Emissions_factors!$E$20)/1000</f>
        <v>5.0314923667030095E-2</v>
      </c>
      <c r="AA108" s="164">
        <f>(AA80*Emissions_factors!$E$20)/1000</f>
        <v>1.7807644801903291E-2</v>
      </c>
      <c r="AB108" s="164">
        <f>(AB80*Emissions_factors!$E$20)/1000</f>
        <v>6.119320956904005E-3</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16473.718835082585</v>
      </c>
      <c r="I109" s="164">
        <f>(I81*Emissions_factors!$E$20)/1000</f>
        <v>14521.044912710244</v>
      </c>
      <c r="J109" s="164">
        <f>(J81*Emissions_factors!$E$20)/1000</f>
        <v>11356.122821066501</v>
      </c>
      <c r="K109" s="164">
        <f>(K81*Emissions_factors!$E$20)/1000</f>
        <v>8178.5222679739991</v>
      </c>
      <c r="L109" s="164">
        <f>(L81*Emissions_factors!$E$20)/1000</f>
        <v>5500.7404732845025</v>
      </c>
      <c r="M109" s="164">
        <f>(M81*Emissions_factors!$E$20)/1000</f>
        <v>3483.9367818707174</v>
      </c>
      <c r="N109" s="164">
        <f>(N81*Emissions_factors!$E$20)/1000</f>
        <v>2089.7366030625631</v>
      </c>
      <c r="O109" s="164">
        <f>(O81*Emissions_factors!$E$20)/1000</f>
        <v>1192.1221175480462</v>
      </c>
      <c r="P109" s="164">
        <f>(P81*Emissions_factors!$E$20)/1000</f>
        <v>648.92564639728414</v>
      </c>
      <c r="Q109" s="164">
        <f>(Q81*Emissions_factors!$E$20)/1000</f>
        <v>337.97182665602725</v>
      </c>
      <c r="R109" s="164">
        <f>(R81*Emissions_factors!$E$20)/1000</f>
        <v>168.79116761912786</v>
      </c>
      <c r="S109" s="164">
        <f>(S81*Emissions_factors!$E$20)/1000</f>
        <v>80.98973330853309</v>
      </c>
      <c r="T109" s="164">
        <f>(T81*Emissions_factors!$E$20)/1000</f>
        <v>37.397015230646538</v>
      </c>
      <c r="U109" s="164">
        <f>(U81*Emissions_factors!$E$20)/1000</f>
        <v>16.641713034653222</v>
      </c>
      <c r="V109" s="164">
        <f>(V81*Emissions_factors!$E$20)/1000</f>
        <v>7.1461043871961252</v>
      </c>
      <c r="W109" s="164">
        <f>(W81*Emissions_factors!$E$20)/1000</f>
        <v>2.9644798714550875</v>
      </c>
      <c r="X109" s="164">
        <f>(X81*Emissions_factors!$E$20)/1000</f>
        <v>1.1892804010191367</v>
      </c>
      <c r="Y109" s="164">
        <f>(Y81*Emissions_factors!$E$20)/1000</f>
        <v>0.46183219598653963</v>
      </c>
      <c r="Z109" s="164">
        <f>(Z81*Emissions_factors!$E$20)/1000</f>
        <v>0.17374837369770135</v>
      </c>
      <c r="AA109" s="164">
        <f>(AA81*Emissions_factors!$E$20)/1000</f>
        <v>6.337762833122354E-2</v>
      </c>
      <c r="AB109" s="164">
        <f>(AB81*Emissions_factors!$E$20)/1000</f>
        <v>2.2430845789974126E-2</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19873.424697679766</v>
      </c>
      <c r="J110" s="164">
        <f>(J82*Emissions_factors!$E$20)/1000</f>
        <v>17517.774553114508</v>
      </c>
      <c r="K110" s="164">
        <f>(K82*Emissions_factors!$E$20)/1000</f>
        <v>13699.702781223074</v>
      </c>
      <c r="L110" s="164">
        <f>(L82*Emissions_factors!$E$20)/1000</f>
        <v>9866.3360749329931</v>
      </c>
      <c r="M110" s="164">
        <f>(M82*Emissions_factors!$E$20)/1000</f>
        <v>6635.9364677569401</v>
      </c>
      <c r="N110" s="164">
        <f>(N82*Emissions_factors!$E$20)/1000</f>
        <v>4202.9219983125549</v>
      </c>
      <c r="O110" s="164">
        <f>(O82*Emissions_factors!$E$20)/1000</f>
        <v>2520.9986545664365</v>
      </c>
      <c r="P110" s="164">
        <f>(P82*Emissions_factors!$E$20)/1000</f>
        <v>1438.1421323687944</v>
      </c>
      <c r="Q110" s="164">
        <f>(Q82*Emissions_factors!$E$20)/1000</f>
        <v>782.8453973977845</v>
      </c>
      <c r="R110" s="164">
        <f>(R82*Emissions_factors!$E$20)/1000</f>
        <v>407.71957529601508</v>
      </c>
      <c r="S110" s="164">
        <f>(S82*Emissions_factors!$E$20)/1000</f>
        <v>203.62485197747182</v>
      </c>
      <c r="T110" s="164">
        <f>(T82*Emissions_factors!$E$20)/1000</f>
        <v>97.703705053202711</v>
      </c>
      <c r="U110" s="164">
        <f>(U82*Emissions_factors!$E$20)/1000</f>
        <v>45.11469289626924</v>
      </c>
      <c r="V110" s="164">
        <f>(V82*Emissions_factors!$E$20)/1000</f>
        <v>20.076088110126992</v>
      </c>
      <c r="W110" s="164">
        <f>(W82*Emissions_factors!$E$20)/1000</f>
        <v>8.6208565802555324</v>
      </c>
      <c r="X110" s="164">
        <f>(X82*Emissions_factors!$E$20)/1000</f>
        <v>3.5762639925409849</v>
      </c>
      <c r="Y110" s="164">
        <f>(Y82*Emissions_factors!$E$20)/1000</f>
        <v>1.4347139665724251</v>
      </c>
      <c r="Z110" s="164">
        <f>(Z82*Emissions_factors!$E$20)/1000</f>
        <v>0.55714119330218426</v>
      </c>
      <c r="AA110" s="164">
        <f>(AA82*Emissions_factors!$E$20)/1000</f>
        <v>0.20960508404890965</v>
      </c>
      <c r="AB110" s="164">
        <f>(AB82*Emissions_factors!$E$20)/1000</f>
        <v>7.6456963771640837E-2</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19265.530002540552</v>
      </c>
      <c r="K111" s="164">
        <f>(K83*Emissions_factors!$E$20)/1000</f>
        <v>16981.935240893381</v>
      </c>
      <c r="L111" s="164">
        <f>(L83*Emissions_factors!$E$20)/1000</f>
        <v>13280.65187417625</v>
      </c>
      <c r="M111" s="164">
        <f>(M83*Emissions_factors!$E$20)/1000</f>
        <v>9564.5414194243858</v>
      </c>
      <c r="N111" s="164">
        <f>(N83*Emissions_factors!$E$20)/1000</f>
        <v>6432.9543125725204</v>
      </c>
      <c r="O111" s="164">
        <f>(O83*Emissions_factors!$E$20)/1000</f>
        <v>4074.3616708539257</v>
      </c>
      <c r="P111" s="164">
        <f>(P83*Emissions_factors!$E$20)/1000</f>
        <v>2443.8855383382624</v>
      </c>
      <c r="Q111" s="164">
        <f>(Q83*Emissions_factors!$E$20)/1000</f>
        <v>1394.1517790994228</v>
      </c>
      <c r="R111" s="164">
        <f>(R83*Emissions_factors!$E$20)/1000</f>
        <v>758.89947104479791</v>
      </c>
      <c r="S111" s="164">
        <f>(S83*Emissions_factors!$E$20)/1000</f>
        <v>395.24811802595542</v>
      </c>
      <c r="T111" s="164">
        <f>(T83*Emissions_factors!$E$20)/1000</f>
        <v>197.39630963015989</v>
      </c>
      <c r="U111" s="164">
        <f>(U83*Emissions_factors!$E$20)/1000</f>
        <v>94.715112754653234</v>
      </c>
      <c r="V111" s="164">
        <f>(V83*Emissions_factors!$E$20)/1000</f>
        <v>43.734710185605444</v>
      </c>
      <c r="W111" s="164">
        <f>(W83*Emissions_factors!$E$20)/1000</f>
        <v>19.461994281461489</v>
      </c>
      <c r="X111" s="164">
        <f>(X83*Emissions_factors!$E$20)/1000</f>
        <v>8.3571590513990603</v>
      </c>
      <c r="Y111" s="164">
        <f>(Y83*Emissions_factors!$E$20)/1000</f>
        <v>3.4668720813553473</v>
      </c>
      <c r="Z111" s="164">
        <f>(Z83*Emissions_factors!$E$20)/1000</f>
        <v>1.3908284751390665</v>
      </c>
      <c r="AA111" s="164">
        <f>(AA83*Emissions_factors!$E$20)/1000</f>
        <v>0.54009917960781206</v>
      </c>
      <c r="AB111" s="164">
        <f>(AB83*Emissions_factors!$E$20)/1000</f>
        <v>0.20319361644300585</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20069.216960373717</v>
      </c>
      <c r="L112" s="164">
        <f>(L84*Emissions_factors!$E$20)/1000</f>
        <v>17690.359035622812</v>
      </c>
      <c r="M112" s="164">
        <f>(M84*Emissions_factors!$E$20)/1000</f>
        <v>13834.671758466511</v>
      </c>
      <c r="N112" s="164">
        <f>(N84*Emissions_factors!$E$20)/1000</f>
        <v>9963.5388617700082</v>
      </c>
      <c r="O112" s="164">
        <f>(O84*Emissions_factors!$E$20)/1000</f>
        <v>6701.3134742809907</v>
      </c>
      <c r="P112" s="164">
        <f>(P84*Emissions_factors!$E$20)/1000</f>
        <v>4244.3290341150896</v>
      </c>
      <c r="Q112" s="164">
        <f>(Q84*Emissions_factors!$E$20)/1000</f>
        <v>2545.8354423035594</v>
      </c>
      <c r="R112" s="164">
        <f>(R84*Emissions_factors!$E$20)/1000</f>
        <v>1452.3106567401812</v>
      </c>
      <c r="S112" s="164">
        <f>(S84*Emissions_factors!$E$20)/1000</f>
        <v>790.5579619923484</v>
      </c>
      <c r="T112" s="164">
        <f>(T84*Emissions_factors!$E$20)/1000</f>
        <v>411.73641383321723</v>
      </c>
      <c r="U112" s="164">
        <f>(U84*Emissions_factors!$E$20)/1000</f>
        <v>205.63095666832788</v>
      </c>
      <c r="V112" s="164">
        <f>(V84*Emissions_factors!$E$20)/1000</f>
        <v>98.666278428298071</v>
      </c>
      <c r="W112" s="164">
        <f>(W84*Emissions_factors!$E$20)/1000</f>
        <v>45.559161222049788</v>
      </c>
      <c r="X112" s="164">
        <f>(X84*Emissions_factors!$E$20)/1000</f>
        <v>20.273877005444255</v>
      </c>
      <c r="Y112" s="164">
        <f>(Y84*Emissions_factors!$E$20)/1000</f>
        <v>8.7057889480726072</v>
      </c>
      <c r="Z112" s="164">
        <f>(Z84*Emissions_factors!$E$20)/1000</f>
        <v>3.611497216292916</v>
      </c>
      <c r="AA112" s="164">
        <f>(AA84*Emissions_factors!$E$20)/1000</f>
        <v>1.4488487167781421</v>
      </c>
      <c r="AB112" s="164">
        <f>(AB84*Emissions_factors!$E$20)/1000</f>
        <v>0.56263012822588554</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20121.798337502118</v>
      </c>
      <c r="M113" s="164">
        <f>(M85*Emissions_factors!$E$20)/1000</f>
        <v>17736.707801587403</v>
      </c>
      <c r="N113" s="164">
        <f>(N85*Emissions_factors!$E$20)/1000</f>
        <v>13870.918618252614</v>
      </c>
      <c r="O113" s="164">
        <f>(O85*Emissions_factors!$E$20)/1000</f>
        <v>9989.6433478323506</v>
      </c>
      <c r="P113" s="164">
        <f>(P85*Emissions_factors!$E$20)/1000</f>
        <v>6718.8709251642285</v>
      </c>
      <c r="Q113" s="164">
        <f>(Q85*Emissions_factors!$E$20)/1000</f>
        <v>4255.4491822524324</v>
      </c>
      <c r="R113" s="164">
        <f>(R85*Emissions_factors!$E$20)/1000</f>
        <v>2552.5055348020819</v>
      </c>
      <c r="S113" s="164">
        <f>(S85*Emissions_factors!$E$20)/1000</f>
        <v>1456.1157127371555</v>
      </c>
      <c r="T113" s="164">
        <f>(T85*Emissions_factors!$E$20)/1000</f>
        <v>792.62922498299997</v>
      </c>
      <c r="U113" s="164">
        <f>(U85*Emissions_factors!$E$20)/1000</f>
        <v>412.81516382610459</v>
      </c>
      <c r="V113" s="164">
        <f>(V85*Emissions_factors!$E$20)/1000</f>
        <v>206.16971006878191</v>
      </c>
      <c r="W113" s="164">
        <f>(W85*Emissions_factors!$E$20)/1000</f>
        <v>98.924784218839761</v>
      </c>
      <c r="X113" s="164">
        <f>(X85*Emissions_factors!$E$20)/1000</f>
        <v>45.678526289585804</v>
      </c>
      <c r="Y113" s="164">
        <f>(Y85*Emissions_factors!$E$20)/1000</f>
        <v>20.326994592183336</v>
      </c>
      <c r="Z113" s="164">
        <f>(Z85*Emissions_factors!$E$20)/1000</f>
        <v>8.7285981275629041</v>
      </c>
      <c r="AA113" s="164">
        <f>(AA85*Emissions_factors!$E$20)/1000</f>
        <v>3.6209593441628281</v>
      </c>
      <c r="AB113" s="164">
        <f>(AB85*Emissions_factors!$E$20)/1000</f>
        <v>1.4526447024874665</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17163.655172392322</v>
      </c>
      <c r="N114" s="164">
        <f>(N86*Emissions_factors!$E$20)/1000</f>
        <v>15129.201251985009</v>
      </c>
      <c r="O114" s="164">
        <f>(O86*Emissions_factors!$E$20)/1000</f>
        <v>11831.728958553847</v>
      </c>
      <c r="P114" s="164">
        <f>(P86*Emissions_factors!$E$20)/1000</f>
        <v>8521.0472166307281</v>
      </c>
      <c r="Q114" s="164">
        <f>(Q86*Emissions_factors!$E$20)/1000</f>
        <v>5731.1171582712059</v>
      </c>
      <c r="R114" s="164">
        <f>(R86*Emissions_factors!$E$20)/1000</f>
        <v>3629.8476479456945</v>
      </c>
      <c r="S114" s="164">
        <f>(S86*Emissions_factors!$E$20)/1000</f>
        <v>2177.2569275437991</v>
      </c>
      <c r="T114" s="164">
        <f>(T86*Emissions_factors!$E$20)/1000</f>
        <v>1242.0494214944661</v>
      </c>
      <c r="U114" s="164">
        <f>(U86*Emissions_factors!$E$20)/1000</f>
        <v>676.10332182951458</v>
      </c>
      <c r="V114" s="164">
        <f>(V86*Emissions_factors!$E$20)/1000</f>
        <v>352.12643537135631</v>
      </c>
      <c r="W114" s="164">
        <f>(W86*Emissions_factors!$E$20)/1000</f>
        <v>175.86031582562578</v>
      </c>
      <c r="X114" s="164">
        <f>(X86*Emissions_factors!$E$20)/1000</f>
        <v>84.381666879693967</v>
      </c>
      <c r="Y114" s="164">
        <f>(Y86*Emissions_factors!$E$20)/1000</f>
        <v>38.963240803199184</v>
      </c>
      <c r="Z114" s="164">
        <f>(Z86*Emissions_factors!$E$20)/1000</f>
        <v>17.33868514232552</v>
      </c>
      <c r="AA114" s="164">
        <f>(AA86*Emissions_factors!$E$20)/1000</f>
        <v>7.4453906100758926</v>
      </c>
      <c r="AB114" s="164">
        <f>(AB86*Emissions_factors!$E$20)/1000</f>
        <v>3.088635346306611</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18505.499614684435</v>
      </c>
      <c r="O115" s="164">
        <f>(O87*Emissions_factors!$E$20)/1000</f>
        <v>16311.993286221932</v>
      </c>
      <c r="P115" s="164">
        <f>(P87*Emissions_factors!$E$20)/1000</f>
        <v>12756.726552963644</v>
      </c>
      <c r="Q115" s="164">
        <f>(Q87*Emissions_factors!$E$20)/1000</f>
        <v>9187.2176643181265</v>
      </c>
      <c r="R115" s="164">
        <f>(R87*Emissions_factors!$E$20)/1000</f>
        <v>6179.1725188403798</v>
      </c>
      <c r="S115" s="164">
        <f>(S87*Emissions_factors!$E$20)/1000</f>
        <v>3913.6269970319854</v>
      </c>
      <c r="T115" s="164">
        <f>(T87*Emissions_factors!$E$20)/1000</f>
        <v>2347.4735905053076</v>
      </c>
      <c r="U115" s="164">
        <f>(U87*Emissions_factors!$E$20)/1000</f>
        <v>1339.1521129983869</v>
      </c>
      <c r="V115" s="164">
        <f>(V87*Emissions_factors!$E$20)/1000</f>
        <v>728.96068092348196</v>
      </c>
      <c r="W115" s="164">
        <f>(W87*Emissions_factors!$E$20)/1000</f>
        <v>379.65547248736652</v>
      </c>
      <c r="X115" s="164">
        <f>(X87*Emissions_factors!$E$20)/1000</f>
        <v>189.60897163583576</v>
      </c>
      <c r="Y115" s="164">
        <f>(Y87*Emissions_factors!$E$20)/1000</f>
        <v>90.978575847894831</v>
      </c>
      <c r="Z115" s="164">
        <f>(Z87*Emissions_factors!$E$20)/1000</f>
        <v>42.009363997841241</v>
      </c>
      <c r="AA115" s="164">
        <f>(AA87*Emissions_factors!$E$20)/1000</f>
        <v>18.694213324475516</v>
      </c>
      <c r="AB115" s="164">
        <f>(AB87*Emissions_factors!$E$20)/1000</f>
        <v>8.0274668584320121</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18618.61188621062</v>
      </c>
      <c r="P116" s="164">
        <f>(P88*Emissions_factors!$E$20)/1000</f>
        <v>16411.698057892088</v>
      </c>
      <c r="Q116" s="164">
        <f>(Q88*Emissions_factors!$E$20)/1000</f>
        <v>12834.700255251533</v>
      </c>
      <c r="R116" s="164">
        <f>(R88*Emissions_factors!$E$20)/1000</f>
        <v>9243.3732440459953</v>
      </c>
      <c r="S116" s="164">
        <f>(S88*Emissions_factors!$E$20)/1000</f>
        <v>6216.9418444090634</v>
      </c>
      <c r="T116" s="164">
        <f>(T88*Emissions_factors!$E$20)/1000</f>
        <v>3937.5484932767658</v>
      </c>
      <c r="U116" s="164">
        <f>(U88*Emissions_factors!$E$20)/1000</f>
        <v>2361.8221936610453</v>
      </c>
      <c r="V116" s="164">
        <f>(V88*Emissions_factors!$E$20)/1000</f>
        <v>1347.3374925111959</v>
      </c>
      <c r="W116" s="164">
        <f>(W88*Emissions_factors!$E$20)/1000</f>
        <v>733.41635086967983</v>
      </c>
      <c r="X116" s="164">
        <f>(X88*Emissions_factors!$E$20)/1000</f>
        <v>381.97606332709256</v>
      </c>
      <c r="Y116" s="164">
        <f>(Y88*Emissions_factors!$E$20)/1000</f>
        <v>190.76792988770882</v>
      </c>
      <c r="Z116" s="164">
        <f>(Z88*Emissions_factors!$E$20)/1000</f>
        <v>91.534669635614364</v>
      </c>
      <c r="AA116" s="164">
        <f>(AA88*Emissions_factors!$E$20)/1000</f>
        <v>42.266140344662773</v>
      </c>
      <c r="AB116" s="164">
        <f>(AB88*Emissions_factors!$E$20)/1000</f>
        <v>18.808479082091079</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19634.704649150161</v>
      </c>
      <c r="Q117" s="164">
        <f>(Q89*Emissions_factors!$E$20)/1000</f>
        <v>17307.350629957549</v>
      </c>
      <c r="R117" s="164">
        <f>(R89*Emissions_factors!$E$20)/1000</f>
        <v>13535.141626690076</v>
      </c>
      <c r="S117" s="164">
        <f>(S89*Emissions_factors!$E$20)/1000</f>
        <v>9747.8214121384899</v>
      </c>
      <c r="T117" s="164">
        <f>(T89*Emissions_factors!$E$20)/1000</f>
        <v>6556.2254416142105</v>
      </c>
      <c r="U117" s="164">
        <f>(U89*Emissions_factors!$E$20)/1000</f>
        <v>4152.4363996466918</v>
      </c>
      <c r="V117" s="164">
        <f>(V89*Emissions_factors!$E$20)/1000</f>
        <v>2490.7163589723887</v>
      </c>
      <c r="W117" s="164">
        <f>(W89*Emissions_factors!$E$20)/1000</f>
        <v>1420.8671349864044</v>
      </c>
      <c r="X117" s="164">
        <f>(X89*Emissions_factors!$E$20)/1000</f>
        <v>773.44183992840692</v>
      </c>
      <c r="Y117" s="164">
        <f>(Y89*Emissions_factors!$E$20)/1000</f>
        <v>402.82203809335579</v>
      </c>
      <c r="Z117" s="164">
        <f>(Z89*Emissions_factors!$E$20)/1000</f>
        <v>201.1789054289853</v>
      </c>
      <c r="AA117" s="164">
        <f>(AA89*Emissions_factors!$E$20)/1000</f>
        <v>96.530085832226362</v>
      </c>
      <c r="AB117" s="164">
        <f>(AB89*Emissions_factors!$E$20)/1000</f>
        <v>44.572774135842756</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19634.704649150161</v>
      </c>
      <c r="R118" s="164">
        <f>(R90*Emissions_factors!$E$20)/1000</f>
        <v>18361.800497612669</v>
      </c>
      <c r="S118" s="164">
        <f>(S90*Emissions_factors!$E$20)/1000</f>
        <v>16113.691616002512</v>
      </c>
      <c r="T118" s="164">
        <f>(T90*Emissions_factors!$E$20)/1000</f>
        <v>13535.141619694605</v>
      </c>
      <c r="U118" s="164">
        <f>(U90*Emissions_factors!$E$20)/1000</f>
        <v>10963.603207210299</v>
      </c>
      <c r="V118" s="164">
        <f>(V90*Emissions_factors!$E$20)/1000</f>
        <v>8601.6093793432901</v>
      </c>
      <c r="W118" s="164">
        <f>(W90*Emissions_factors!$E$20)/1000</f>
        <v>6556.2254316230719</v>
      </c>
      <c r="X118" s="164">
        <f>(X90*Emissions_factors!$E$20)/1000</f>
        <v>4865.7638554635114</v>
      </c>
      <c r="Y118" s="164">
        <f>(Y90*Emissions_factors!$E$20)/1000</f>
        <v>3522.3670923112627</v>
      </c>
      <c r="Z118" s="164">
        <f>(Z90*Emissions_factors!$E$20)/1000</f>
        <v>2490.7163518276293</v>
      </c>
      <c r="AA118" s="164">
        <f>(AA90*Emissions_factors!$E$20)/1000</f>
        <v>1722.4099521394128</v>
      </c>
      <c r="AB118" s="164">
        <f>(AB90*Emissions_factors!$E$20)/1000</f>
        <v>1166.0332091115613</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19634.704649150161</v>
      </c>
      <c r="S119" s="164">
        <f>(S91*Emissions_factors!$E$20)/1000</f>
        <v>18361.800497612669</v>
      </c>
      <c r="T119" s="164">
        <f>(T91*Emissions_factors!$E$20)/1000</f>
        <v>16113.691616002512</v>
      </c>
      <c r="U119" s="164">
        <f>(U91*Emissions_factors!$E$20)/1000</f>
        <v>13535.141619694605</v>
      </c>
      <c r="V119" s="164">
        <f>(V91*Emissions_factors!$E$20)/1000</f>
        <v>10963.603207210299</v>
      </c>
      <c r="W119" s="164">
        <f>(W91*Emissions_factors!$E$20)/1000</f>
        <v>8601.6093793432901</v>
      </c>
      <c r="X119" s="164">
        <f>(X91*Emissions_factors!$E$20)/1000</f>
        <v>6556.2254316230719</v>
      </c>
      <c r="Y119" s="164">
        <f>(Y91*Emissions_factors!$E$20)/1000</f>
        <v>4865.7638554635114</v>
      </c>
      <c r="Z119" s="164">
        <f>(Z91*Emissions_factors!$E$20)/1000</f>
        <v>3522.3670923112627</v>
      </c>
      <c r="AA119" s="164">
        <f>(AA91*Emissions_factors!$E$20)/1000</f>
        <v>2490.7163518276293</v>
      </c>
      <c r="AB119" s="164">
        <f>(AB91*Emissions_factors!$E$20)/1000</f>
        <v>1722.4099521394128</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17035.019614549947</v>
      </c>
      <c r="T120" s="164">
        <f>(T92*Emissions_factors!$E$20)/1000</f>
        <v>15930.651223155697</v>
      </c>
      <c r="U120" s="164">
        <f>(U92*Emissions_factors!$E$20)/1000</f>
        <v>13980.197698226788</v>
      </c>
      <c r="V120" s="164">
        <f>(V92*Emissions_factors!$E$20)/1000</f>
        <v>11743.054305998368</v>
      </c>
      <c r="W120" s="164">
        <f>(W92*Emissions_factors!$E$20)/1000</f>
        <v>9511.9941459905713</v>
      </c>
      <c r="X120" s="164">
        <f>(X92*Emissions_factors!$E$20)/1000</f>
        <v>7462.734332505066</v>
      </c>
      <c r="Y120" s="164">
        <f>(Y92*Emissions_factors!$E$20)/1000</f>
        <v>5688.1644425420109</v>
      </c>
      <c r="Z120" s="164">
        <f>(Z92*Emissions_factors!$E$20)/1000</f>
        <v>4221.5242958175459</v>
      </c>
      <c r="AA120" s="164">
        <f>(AA92*Emissions_factors!$E$20)/1000</f>
        <v>3055.9966945957981</v>
      </c>
      <c r="AB120" s="164">
        <f>(AB92*Emissions_factors!$E$20)/1000</f>
        <v>2160.9391465687468</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15829.574020368786</v>
      </c>
      <c r="U121" s="164">
        <f>(U93*Emissions_factors!$E$20)/1000</f>
        <v>14803.353822629804</v>
      </c>
      <c r="V121" s="164">
        <f>(V93*Emissions_factors!$E$20)/1000</f>
        <v>12990.919839884014</v>
      </c>
      <c r="W121" s="164">
        <f>(W93*Emissions_factors!$E$20)/1000</f>
        <v>10912.082966035527</v>
      </c>
      <c r="X121" s="164">
        <f>(X93*Emissions_factors!$E$20)/1000</f>
        <v>8838.8988578954613</v>
      </c>
      <c r="Y121" s="164">
        <f>(Y93*Emissions_factors!$E$20)/1000</f>
        <v>6934.6503956964971</v>
      </c>
      <c r="Z121" s="164">
        <f>(Z93*Emissions_factors!$E$20)/1000</f>
        <v>5285.6540303800148</v>
      </c>
      <c r="AA121" s="164">
        <f>(AA93*Emissions_factors!$E$20)/1000</f>
        <v>3922.7974391266653</v>
      </c>
      <c r="AB121" s="164">
        <f>(AB93*Emissions_factors!$E$20)/1000</f>
        <v>2839.7458281637882</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15213.913478467346</v>
      </c>
      <c r="V122" s="164">
        <f>(V94*Emissions_factors!$E$20)/1000</f>
        <v>14227.60612249133</v>
      </c>
      <c r="W122" s="164">
        <f>(W94*Emissions_factors!$E$20)/1000</f>
        <v>12485.663239919306</v>
      </c>
      <c r="X122" s="164">
        <f>(X94*Emissions_factors!$E$20)/1000</f>
        <v>10487.678689363371</v>
      </c>
      <c r="Y122" s="164">
        <f>(Y94*Emissions_factors!$E$20)/1000</f>
        <v>8495.1270511708008</v>
      </c>
      <c r="Z122" s="164">
        <f>(Z94*Emissions_factors!$E$20)/1000</f>
        <v>6664.9406350284025</v>
      </c>
      <c r="AA122" s="164">
        <f>(AA94*Emissions_factors!$E$20)/1000</f>
        <v>5080.0787811370465</v>
      </c>
      <c r="AB122" s="164">
        <f>(AB94*Emissions_factors!$E$20)/1000</f>
        <v>3770.2278504545598</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15176.257807590326</v>
      </c>
      <c r="W123" s="164">
        <f>(W95*Emissions_factors!$E$20)/1000</f>
        <v>14192.391642385695</v>
      </c>
      <c r="X123" s="164">
        <f>(X95*Emissions_factors!$E$20)/1000</f>
        <v>12454.760209853501</v>
      </c>
      <c r="Y123" s="164">
        <f>(Y95*Emissions_factors!$E$20)/1000</f>
        <v>10461.720833250314</v>
      </c>
      <c r="Z123" s="164">
        <f>(Z95*Emissions_factors!$E$20)/1000</f>
        <v>8474.1009221113636</v>
      </c>
      <c r="AA123" s="164">
        <f>(AA95*Emissions_factors!$E$20)/1000</f>
        <v>6648.4443659177159</v>
      </c>
      <c r="AB123" s="164">
        <f>(AB95*Emissions_factors!$E$20)/1000</f>
        <v>5067.5051737688582</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15563.225250398316</v>
      </c>
      <c r="X124" s="164">
        <f>(X96*Emissions_factors!$E$20)/1000</f>
        <v>14554.272256883209</v>
      </c>
      <c r="Y124" s="164">
        <f>(Y96*Emissions_factors!$E$20)/1000</f>
        <v>12772.334329264098</v>
      </c>
      <c r="Z124" s="164">
        <f>(Z96*Emissions_factors!$E$20)/1000</f>
        <v>10728.476011604571</v>
      </c>
      <c r="AA124" s="164">
        <f>(AA96*Emissions_factors!$E$20)/1000</f>
        <v>8690.1753460899927</v>
      </c>
      <c r="AB124" s="164">
        <f>(AB96*Emissions_factors!$E$20)/1000</f>
        <v>6817.9678115225761</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16186.195320013177</v>
      </c>
      <c r="Y125" s="164">
        <f>(Y97*Emissions_factors!$E$20)/1000</f>
        <v>15136.855613172555</v>
      </c>
      <c r="Z125" s="164">
        <f>(Z97*Emissions_factors!$E$20)/1000</f>
        <v>13283.58966858024</v>
      </c>
      <c r="AA125" s="164">
        <f>(AA97*Emissions_factors!$E$20)/1000</f>
        <v>11157.91909555914</v>
      </c>
      <c r="AB125" s="164">
        <f>(AB97*Emissions_factors!$E$20)/1000</f>
        <v>9038.0286382718605</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16883.710831565197</v>
      </c>
      <c r="Z126" s="164">
        <f>(Z98*Emissions_factors!$E$20)/1000</f>
        <v>15789.151682605045</v>
      </c>
      <c r="AA126" s="164">
        <f>(AA98*Emissions_factors!$E$20)/1000</f>
        <v>13856.022513961187</v>
      </c>
      <c r="AB126" s="164">
        <f>(AB98*Emissions_factors!$E$20)/1000</f>
        <v>11638.749920340555</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17545.6849226329</v>
      </c>
      <c r="AA127" s="164">
        <f>(AA99*Emissions_factors!$E$20)/1000</f>
        <v>16408.210456952318</v>
      </c>
      <c r="AB127" s="164">
        <f>(AB99*Emissions_factors!$E$20)/1000</f>
        <v>14399.287439604474</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18112.89014761669</v>
      </c>
      <c r="AB128" s="164">
        <f>(AB100*Emissions_factors!$E$20)/1000</f>
        <v>16938.644164433972</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18564.911378104287</v>
      </c>
    </row>
    <row r="131" spans="1:28">
      <c r="B131" s="307" t="s">
        <v>7803</v>
      </c>
      <c r="C131" s="298">
        <f t="shared" ref="C131:AB131" si="23">SUM(C104:C129)</f>
        <v>15501.446642957195</v>
      </c>
      <c r="D131" s="298">
        <f t="shared" si="23"/>
        <v>28339.53157043337</v>
      </c>
      <c r="E131" s="298">
        <f t="shared" si="23"/>
        <v>38617.713491913244</v>
      </c>
      <c r="F131" s="298">
        <f t="shared" si="23"/>
        <v>46476.621983559467</v>
      </c>
      <c r="G131" s="298">
        <f t="shared" si="23"/>
        <v>49492.632848966299</v>
      </c>
      <c r="H131" s="298">
        <f t="shared" si="23"/>
        <v>54272.888028631802</v>
      </c>
      <c r="I131" s="298">
        <f t="shared" si="23"/>
        <v>61155.560285495034</v>
      </c>
      <c r="J131" s="298">
        <f t="shared" si="23"/>
        <v>65944.609936629597</v>
      </c>
      <c r="K131" s="298">
        <f t="shared" si="23"/>
        <v>70137.822369953486</v>
      </c>
      <c r="L131" s="298">
        <f t="shared" si="23"/>
        <v>73166.400274069674</v>
      </c>
      <c r="M131" s="298">
        <f t="shared" si="23"/>
        <v>72246.836455178753</v>
      </c>
      <c r="N131" s="298">
        <f t="shared" si="23"/>
        <v>72283.853365941235</v>
      </c>
      <c r="O131" s="298">
        <f t="shared" si="23"/>
        <v>72333.822962568258</v>
      </c>
      <c r="P131" s="298">
        <f t="shared" si="23"/>
        <v>73367.601203324681</v>
      </c>
      <c r="Q131" s="298">
        <f t="shared" si="23"/>
        <v>74276.874104064394</v>
      </c>
      <c r="R131" s="298">
        <f t="shared" si="23"/>
        <v>76047.931748222996</v>
      </c>
      <c r="S131" s="298">
        <f t="shared" si="23"/>
        <v>76548.252864388312</v>
      </c>
      <c r="T131" s="298">
        <f t="shared" si="23"/>
        <v>77053.322626510388</v>
      </c>
      <c r="U131" s="298">
        <f t="shared" si="23"/>
        <v>77810.751748418435</v>
      </c>
      <c r="V131" s="298">
        <f t="shared" si="23"/>
        <v>79002.087896256679</v>
      </c>
      <c r="W131" s="298">
        <f t="shared" si="23"/>
        <v>80710.135510989465</v>
      </c>
      <c r="X131" s="298">
        <f t="shared" si="23"/>
        <v>82915.627082050007</v>
      </c>
      <c r="Y131" s="298">
        <f t="shared" si="23"/>
        <v>85518.849498232361</v>
      </c>
      <c r="Z131" s="298">
        <f t="shared" si="23"/>
        <v>88372.810491623939</v>
      </c>
      <c r="AA131" s="298">
        <f t="shared" si="23"/>
        <v>91316.50823429093</v>
      </c>
      <c r="AB131" s="298">
        <f t="shared" si="23"/>
        <v>94201.274827567264</v>
      </c>
    </row>
    <row r="132" spans="1:28">
      <c r="A132" s="1"/>
      <c r="B132" s="307" t="s">
        <v>7801</v>
      </c>
      <c r="C132" s="164">
        <f>(C148*Emissions_factors!$D$9)/1000</f>
        <v>56800.624828425658</v>
      </c>
      <c r="D132" s="164">
        <f>D148*(Emissions_factors!$D$9/1000)</f>
        <v>53774.226207889944</v>
      </c>
      <c r="E132" s="164">
        <f>E148*(Emissions_factors!$D$9/1000)</f>
        <v>54947.9712986866</v>
      </c>
      <c r="F132" s="164">
        <f>F148*(Emissions_factors!$D$9/1000)</f>
        <v>56597.152234926252</v>
      </c>
      <c r="G132" s="164">
        <f>G148*(Emissions_factors!$D$9/1000)</f>
        <v>47921.827067099781</v>
      </c>
      <c r="H132" s="164">
        <f>H148*(Emissions_factors!$D$9/1000)</f>
        <v>60363.238646866688</v>
      </c>
      <c r="I132" s="164">
        <f>I148*(Emissions_factors!$D$9/1000)</f>
        <v>72820.490003862826</v>
      </c>
      <c r="J132" s="164">
        <f>J148*(Emissions_factors!$D$9/1000)</f>
        <v>70593.03347615349</v>
      </c>
      <c r="K132" s="164">
        <f>K148*(Emissions_factors!$D$9/1000)</f>
        <v>73537.914842572325</v>
      </c>
      <c r="L132" s="164">
        <f>L148*(Emissions_factors!$D$9/1000)</f>
        <v>73730.584284594312</v>
      </c>
      <c r="M132" s="164">
        <f>M148*(Emissions_factors!$D$9/1000)</f>
        <v>62891.313345548653</v>
      </c>
      <c r="N132" s="164">
        <f>N148*(Emissions_factors!$D$9/1000)</f>
        <v>67808.119144404234</v>
      </c>
      <c r="O132" s="164">
        <f>O148*(Emissions_factors!$D$9/1000)</f>
        <v>68222.586764519452</v>
      </c>
      <c r="P132" s="164">
        <f>P148*(Emissions_factors!$D$9/1000)</f>
        <v>72347.252846571297</v>
      </c>
      <c r="Q132" s="164">
        <f>Q148*(Emissions_factors!$D$9/1000)</f>
        <v>71945.768551867615</v>
      </c>
      <c r="R132" s="164">
        <f>R148*(Emissions_factors!$D$9/1000)</f>
        <v>68004.90790856861</v>
      </c>
      <c r="S132" s="164">
        <f>S148*(Emissions_factors!$D$9/1000)</f>
        <v>62419.965075358676</v>
      </c>
      <c r="T132" s="164">
        <f>T148*(Emissions_factors!$D$9/1000)</f>
        <v>58002.953907096453</v>
      </c>
      <c r="U132" s="164">
        <f>U148*(Emissions_factors!$D$9/1000)</f>
        <v>55747.041651442742</v>
      </c>
      <c r="V132" s="164">
        <f>V148*(Emissions_factors!$D$9/1000)</f>
        <v>55609.063197985321</v>
      </c>
      <c r="W132" s="164">
        <f>W148*(Emissions_factors!$D$9/1000)</f>
        <v>57026.994894685267</v>
      </c>
      <c r="X132" s="164">
        <f>X148*(Emissions_factors!$D$9/1000)</f>
        <v>59309.690827429607</v>
      </c>
      <c r="Y132" s="164">
        <f>Y148*(Emissions_factors!$D$9/1000)</f>
        <v>61865.537245910426</v>
      </c>
      <c r="Z132" s="164">
        <f>Z148*(Emissions_factors!$D$9/1000)</f>
        <v>64291.152277779584</v>
      </c>
      <c r="AA132" s="164">
        <f>AA148*(Emissions_factors!$D$9/1000)</f>
        <v>66369.513860868668</v>
      </c>
      <c r="AB132" s="164">
        <f>AB148*(Emissions_factors!$D$9/1000)</f>
        <v>68025.816586593559</v>
      </c>
    </row>
    <row r="133" spans="1:28">
      <c r="B133" s="307" t="s">
        <v>7802</v>
      </c>
      <c r="C133" s="50">
        <f>(C182*Emissions_factors!$E$30)+(C183*Emissions_factors!$G$30)+(C184*Emissions_factors!$I$30)</f>
        <v>0</v>
      </c>
      <c r="D133" s="50">
        <f>(D182*Emissions_factors!$E$30)+(D183*Emissions_factors!$G$30)+(D184*Emissions_factors!$I$30)</f>
        <v>2863.7468946930694</v>
      </c>
      <c r="E133" s="50">
        <f>(E182*Emissions_factors!$E$30)+(E183*Emissions_factors!$G$30)+(E184*Emissions_factors!$I$30)</f>
        <v>7352.7671708889175</v>
      </c>
      <c r="F133" s="50">
        <f>(F182*Emissions_factors!$E$30)+(F183*Emissions_factors!$G$30)+(F184*Emissions_factors!$I$30)</f>
        <v>11824.831143168358</v>
      </c>
      <c r="G133" s="50">
        <f>(G182*Emissions_factors!$E$30)+(G183*Emissions_factors!$G$30)+(G184*Emissions_factors!$I$30)</f>
        <v>15682.76840929943</v>
      </c>
      <c r="H133" s="50">
        <f>(H182*Emissions_factors!$E$30)+(H183*Emissions_factors!$G$30)+(H184*Emissions_factors!$I$30)</f>
        <v>18225.001708949927</v>
      </c>
      <c r="I133" s="50">
        <f>(I182*Emissions_factors!$E$30)+(I183*Emissions_factors!$G$30)+(I184*Emissions_factors!$I$30)</f>
        <v>20246.907642209844</v>
      </c>
      <c r="J133" s="50">
        <f>(J182*Emissions_factors!$E$30)+(J183*Emissions_factors!$G$30)+(J184*Emissions_factors!$I$30)</f>
        <v>22562.508882180045</v>
      </c>
      <c r="K133" s="50">
        <f>(K182*Emissions_factors!$E$30)+(K183*Emissions_factors!$G$30)+(K184*Emissions_factors!$I$30)</f>
        <v>24743.754894541125</v>
      </c>
      <c r="L133" s="50">
        <f>(L182*Emissions_factors!$E$30)+(L183*Emissions_factors!$G$30)+(L184*Emissions_factors!$I$30)</f>
        <v>26640.862373792905</v>
      </c>
      <c r="M133" s="50">
        <f>(M182*Emissions_factors!$E$30)+(M183*Emissions_factors!$G$30)+(M184*Emissions_factors!$I$30)</f>
        <v>28183.838853891433</v>
      </c>
      <c r="N133" s="50">
        <f>(N182*Emissions_factors!$E$30)+(N183*Emissions_factors!$G$30)+(N184*Emissions_factors!$I$30)</f>
        <v>28784.295871307939</v>
      </c>
      <c r="O133" s="50">
        <f>(O182*Emissions_factors!$E$30)+(O183*Emissions_factors!$G$30)+(O184*Emissions_factors!$I$30)</f>
        <v>28940.400800273113</v>
      </c>
      <c r="P133" s="50">
        <f>(P182*Emissions_factors!$E$30)+(P183*Emissions_factors!$G$30)+(P184*Emissions_factors!$I$30)</f>
        <v>28990.717892334978</v>
      </c>
      <c r="Q133" s="50">
        <f>(Q182*Emissions_factors!$E$30)+(Q183*Emissions_factors!$G$30)+(Q184*Emissions_factors!$I$30)</f>
        <v>29184.766857936967</v>
      </c>
      <c r="R133" s="50">
        <f>(R182*Emissions_factors!$E$30)+(R183*Emissions_factors!$G$30)+(R184*Emissions_factors!$I$30)</f>
        <v>27841.622013480224</v>
      </c>
      <c r="S133" s="50">
        <f>(S182*Emissions_factors!$E$30)+(S183*Emissions_factors!$G$30)+(S184*Emissions_factors!$I$30)</f>
        <v>25770.371105742382</v>
      </c>
      <c r="T133" s="50">
        <f>(T182*Emissions_factors!$E$30)+(T183*Emissions_factors!$G$30)+(T184*Emissions_factors!$I$30)</f>
        <v>23884.207097233379</v>
      </c>
      <c r="U133" s="50">
        <f>(U182*Emissions_factors!$E$30)+(U183*Emissions_factors!$G$30)+(U184*Emissions_factors!$I$30)</f>
        <v>22531.343936106558</v>
      </c>
      <c r="V133" s="50">
        <f>(V182*Emissions_factors!$E$30)+(V183*Emissions_factors!$G$30)+(V184*Emissions_factors!$I$30)</f>
        <v>21796.383014273979</v>
      </c>
      <c r="W133" s="50">
        <f>(W182*Emissions_factors!$E$30)+(W183*Emissions_factors!$G$30)+(W184*Emissions_factors!$I$30)</f>
        <v>21594.168260966853</v>
      </c>
      <c r="X133" s="50">
        <f>(X182*Emissions_factors!$E$30)+(X183*Emissions_factors!$G$30)+(X184*Emissions_factors!$I$30)</f>
        <v>21789.809783904897</v>
      </c>
      <c r="Y133" s="50">
        <f>(Y182*Emissions_factors!$E$30)+(Y183*Emissions_factors!$G$30)+(Y184*Emissions_factors!$I$30)</f>
        <v>22257.042375195957</v>
      </c>
      <c r="Z133" s="50">
        <f>(Z182*Emissions_factors!$E$30)+(Z183*Emissions_factors!$G$30)+(Z184*Emissions_factors!$I$30)</f>
        <v>22897.97951247562</v>
      </c>
      <c r="AA133" s="50">
        <f>(AA182*Emissions_factors!$E$30)+(AA183*Emissions_factors!$G$30)+(AA184*Emissions_factors!$I$30)</f>
        <v>23642.144100492656</v>
      </c>
      <c r="AB133" s="50">
        <f>(AB182*Emissions_factors!$E$30)+(AB183*Emissions_factors!$G$30)+(AB184*Emissions_factors!$I$30)</f>
        <v>24438.495677335966</v>
      </c>
    </row>
    <row r="134" spans="1:28">
      <c r="B134" s="307" t="s">
        <v>7804</v>
      </c>
      <c r="C134" s="306">
        <f>SUM(C131:C133)</f>
        <v>72302.071471382849</v>
      </c>
      <c r="D134" s="306">
        <f t="shared" ref="D134:AB134" si="24">SUM(D131:D133)</f>
        <v>84977.504673016389</v>
      </c>
      <c r="E134" s="306">
        <f t="shared" si="24"/>
        <v>100918.45196148875</v>
      </c>
      <c r="F134" s="306">
        <f t="shared" si="24"/>
        <v>114898.60536165407</v>
      </c>
      <c r="G134" s="306">
        <f t="shared" si="24"/>
        <v>113097.22832536552</v>
      </c>
      <c r="H134" s="306">
        <f t="shared" si="24"/>
        <v>132861.12838444841</v>
      </c>
      <c r="I134" s="306">
        <f t="shared" si="24"/>
        <v>154222.95793156771</v>
      </c>
      <c r="J134" s="306">
        <f t="shared" si="24"/>
        <v>159100.15229496313</v>
      </c>
      <c r="K134" s="306">
        <f t="shared" si="24"/>
        <v>168419.49210706691</v>
      </c>
      <c r="L134" s="306">
        <f t="shared" si="24"/>
        <v>173537.84693245689</v>
      </c>
      <c r="M134" s="306">
        <f t="shared" si="24"/>
        <v>163321.98865461885</v>
      </c>
      <c r="N134" s="306">
        <f t="shared" si="24"/>
        <v>168876.26838165338</v>
      </c>
      <c r="O134" s="306">
        <f t="shared" si="24"/>
        <v>169496.81052736082</v>
      </c>
      <c r="P134" s="306">
        <f t="shared" si="24"/>
        <v>174705.57194223095</v>
      </c>
      <c r="Q134" s="306">
        <f t="shared" si="24"/>
        <v>175407.40951386897</v>
      </c>
      <c r="R134" s="306">
        <f t="shared" si="24"/>
        <v>171894.46167027182</v>
      </c>
      <c r="S134" s="306">
        <f t="shared" si="24"/>
        <v>164738.58904548935</v>
      </c>
      <c r="T134" s="306">
        <f t="shared" si="24"/>
        <v>158940.48363084023</v>
      </c>
      <c r="U134" s="306">
        <f t="shared" si="24"/>
        <v>156089.13733596774</v>
      </c>
      <c r="V134" s="306">
        <f t="shared" si="24"/>
        <v>156407.53410851597</v>
      </c>
      <c r="W134" s="306">
        <f t="shared" si="24"/>
        <v>159331.29866664161</v>
      </c>
      <c r="X134" s="306">
        <f t="shared" si="24"/>
        <v>164015.12769338451</v>
      </c>
      <c r="Y134" s="306">
        <f t="shared" si="24"/>
        <v>169641.42911933875</v>
      </c>
      <c r="Z134" s="306">
        <f t="shared" si="24"/>
        <v>175561.94228187914</v>
      </c>
      <c r="AA134" s="306">
        <f t="shared" si="24"/>
        <v>181328.16619565224</v>
      </c>
      <c r="AB134" s="306">
        <f t="shared" si="24"/>
        <v>186665.5870914968</v>
      </c>
    </row>
    <row r="137" spans="1:28" ht="21">
      <c r="A137" s="293" t="s">
        <v>7793</v>
      </c>
      <c r="B137" s="291" t="s">
        <v>7794</v>
      </c>
    </row>
    <row r="138" spans="1:28">
      <c r="B138" s="294" t="s">
        <v>437</v>
      </c>
      <c r="C138" s="302">
        <f>$C$38*(BOM_average!$B$35*BOM_average!B24)/1000000</f>
        <v>225.57612377849412</v>
      </c>
      <c r="D138" s="302">
        <f>D38*(BOM_average!C35*BOM_average!C24)/1000000</f>
        <v>213.55718434092327</v>
      </c>
      <c r="E138" s="302">
        <f>E38*(BOM_average!D35*BOM_average!D24)/1000000</f>
        <v>218.21855679387988</v>
      </c>
      <c r="F138" s="302">
        <f>F38*(BOM_average!E35*BOM_average!E24)/1000000</f>
        <v>224.76805944688866</v>
      </c>
      <c r="G138" s="302">
        <f>G38*(BOM_average!F35*BOM_average!F24)/1000000</f>
        <v>190.31515985665453</v>
      </c>
      <c r="H138" s="302">
        <f>H38*(BOM_average!G35*BOM_average!G24)/1000000</f>
        <v>239.72457052729547</v>
      </c>
      <c r="I138" s="302">
        <f>I38*(BOM_average!H35*BOM_average!H24)/1000000</f>
        <v>289.19688676560719</v>
      </c>
      <c r="J138" s="302">
        <f>J38*(BOM_average!I35*BOM_average!I24)/1000000</f>
        <v>280.35083954476181</v>
      </c>
      <c r="K138" s="302">
        <f>K38*(BOM_average!J35*BOM_average!J24)/1000000</f>
        <v>292.0460440540586</v>
      </c>
      <c r="L138" s="302">
        <f>L38*(BOM_average!K35*BOM_average!K24)/1000000</f>
        <v>292.81120510700771</v>
      </c>
      <c r="M138" s="302">
        <f>M38*(BOM_average!L35*BOM_average!L24)/1000000</f>
        <v>249.76448281477033</v>
      </c>
      <c r="N138" s="302">
        <f>N38*(BOM_average!M35*BOM_average!M24)/1000000</f>
        <v>269.2909228289023</v>
      </c>
      <c r="O138" s="302">
        <f>O38*(BOM_average!N35*BOM_average!N24)/1000000</f>
        <v>270.9369258343217</v>
      </c>
      <c r="P138" s="302">
        <f>P38*(BOM_average!O35*BOM_average!O24)/1000000</f>
        <v>287.31748836299749</v>
      </c>
      <c r="Q138" s="302">
        <f>Q38*(BOM_average!P35*BOM_average!P24)/1000000</f>
        <v>285.72304690692607</v>
      </c>
      <c r="R138" s="302">
        <f>R38*(BOM_average!Q35*BOM_average!Q24)/1000000</f>
        <v>270.07244322163467</v>
      </c>
      <c r="S138" s="302">
        <f>S38*(BOM_average!R35*BOM_average!R24)/1000000</f>
        <v>247.89258587595461</v>
      </c>
      <c r="T138" s="302">
        <f>T38*(BOM_average!S35*BOM_average!S24)/1000000</f>
        <v>230.35101373598971</v>
      </c>
      <c r="U138" s="302">
        <f>U38*(BOM_average!T35*BOM_average!T24)/1000000</f>
        <v>221.3919583778505</v>
      </c>
      <c r="V138" s="302">
        <f>V38*(BOM_average!U35*BOM_average!U24)/1000000</f>
        <v>220.84399530896005</v>
      </c>
      <c r="W138" s="302">
        <f>W38*(BOM_average!V35*BOM_average!V24)/1000000</f>
        <v>226.47512237649485</v>
      </c>
      <c r="X138" s="302">
        <f>X38*(BOM_average!W35*BOM_average!W24)/1000000</f>
        <v>235.54054554444059</v>
      </c>
      <c r="Y138" s="302">
        <f>Y38*(BOM_average!X35*BOM_average!X24)/1000000</f>
        <v>245.69074952187157</v>
      </c>
      <c r="Z138" s="302">
        <f>Z38*(BOM_average!Y35*BOM_average!Y24)/1000000</f>
        <v>255.32375687558763</v>
      </c>
      <c r="AA138" s="302">
        <f>AA38*(BOM_average!Z35*BOM_average!Z24)/1000000</f>
        <v>263.57769336201767</v>
      </c>
      <c r="AB138" s="302">
        <f>AB38*(BOM_average!AA35*BOM_average!AA24)/1000000</f>
        <v>270.15547925436232</v>
      </c>
    </row>
    <row r="139" spans="1:28">
      <c r="B139" s="294" t="s">
        <v>217</v>
      </c>
      <c r="C139" s="302">
        <f>C38*(BOM_average!B35*BOM_average!B25)/1000000</f>
        <v>27.187613839806104</v>
      </c>
      <c r="D139" s="302">
        <f>D38*(BOM_average!C35*BOM_average!C25)/1000000</f>
        <v>25.739028418976897</v>
      </c>
      <c r="E139" s="302">
        <f>E38*(BOM_average!D35*BOM_average!D25)/1000000</f>
        <v>26.300841398523161</v>
      </c>
      <c r="F139" s="302">
        <f>F38*(BOM_average!E35*BOM_average!E25)/1000000</f>
        <v>27.090221701678118</v>
      </c>
      <c r="G139" s="302">
        <f>G38*(BOM_average!F35*BOM_average!F25)/1000000</f>
        <v>22.937778109550923</v>
      </c>
      <c r="H139" s="302">
        <f>H38*(BOM_average!G35*BOM_average!G25)/1000000</f>
        <v>28.892858615699112</v>
      </c>
      <c r="I139" s="302">
        <f>I38*(BOM_average!H35*BOM_average!H25)/1000000</f>
        <v>34.855520829758397</v>
      </c>
      <c r="J139" s="302">
        <f>J38*(BOM_average!I35*BOM_average!I25)/1000000</f>
        <v>33.789348968036023</v>
      </c>
      <c r="K139" s="302">
        <f>K38*(BOM_average!J35*BOM_average!J25)/1000000</f>
        <v>35.198916162694218</v>
      </c>
      <c r="L139" s="302">
        <f>L38*(BOM_average!K35*BOM_average!K25)/1000000</f>
        <v>35.291137373363064</v>
      </c>
      <c r="M139" s="302">
        <f>M38*(BOM_average!L35*BOM_average!L25)/1000000</f>
        <v>30.10292133725482</v>
      </c>
      <c r="N139" s="302">
        <f>N38*(BOM_average!M35*BOM_average!M25)/1000000</f>
        <v>32.456349979781081</v>
      </c>
      <c r="O139" s="302">
        <f>O38*(BOM_average!N35*BOM_average!N25)/1000000</f>
        <v>32.654734867955</v>
      </c>
      <c r="P139" s="302">
        <f>P38*(BOM_average!O35*BOM_average!O25)/1000000</f>
        <v>34.629005908030798</v>
      </c>
      <c r="Q139" s="302">
        <f>Q38*(BOM_average!P35*BOM_average!P25)/1000000</f>
        <v>34.436835487368668</v>
      </c>
      <c r="R139" s="302">
        <f>R38*(BOM_average!Q35*BOM_average!Q25)/1000000</f>
        <v>32.550542903613774</v>
      </c>
      <c r="S139" s="302">
        <f>S38*(BOM_average!R35*BOM_average!R25)/1000000</f>
        <v>29.877310531164312</v>
      </c>
      <c r="T139" s="302">
        <f>T38*(BOM_average!S35*BOM_average!S25)/1000000</f>
        <v>27.763108542514242</v>
      </c>
      <c r="U139" s="302">
        <f>U38*(BOM_average!T35*BOM_average!T25)/1000000</f>
        <v>26.683316349233561</v>
      </c>
      <c r="V139" s="302">
        <f>V38*(BOM_average!U35*BOM_average!U25)/1000000</f>
        <v>26.617272975201221</v>
      </c>
      <c r="W139" s="302">
        <f>W38*(BOM_average!V35*BOM_average!V25)/1000000</f>
        <v>27.295965851160695</v>
      </c>
      <c r="X139" s="302">
        <f>X38*(BOM_average!W35*BOM_average!W25)/1000000</f>
        <v>28.388578049012626</v>
      </c>
      <c r="Y139" s="302">
        <f>Y38*(BOM_average!X35*BOM_average!X25)/1000000</f>
        <v>29.611933701690823</v>
      </c>
      <c r="Z139" s="302">
        <f>Z38*(BOM_average!Y35*BOM_average!Y25)/1000000</f>
        <v>30.772954113168495</v>
      </c>
      <c r="AA139" s="302">
        <f>AA38*(BOM_average!Z35*BOM_average!Z25)/1000000</f>
        <v>31.767761693387854</v>
      </c>
      <c r="AB139" s="302">
        <f>AB38*(BOM_average!AA35*BOM_average!AA25)/1000000</f>
        <v>32.560550840423637</v>
      </c>
    </row>
    <row r="140" spans="1:28">
      <c r="B140" s="294" t="s">
        <v>313</v>
      </c>
      <c r="C140" s="302">
        <f>C38*(BOM_average!B35*BOM_average!B26)/1000000</f>
        <v>143.90041231483798</v>
      </c>
      <c r="D140" s="302">
        <f>D38*(BOM_average!C35*BOM_average!C26)/1000000</f>
        <v>136.23324297225352</v>
      </c>
      <c r="E140" s="302">
        <f>E38*(BOM_average!D35*BOM_average!D26)/1000000</f>
        <v>139.20684410830353</v>
      </c>
      <c r="F140" s="302">
        <f>F38*(BOM_average!E35*BOM_average!E26)/1000000</f>
        <v>143.38492872310326</v>
      </c>
      <c r="G140" s="302">
        <f>G38*(BOM_average!F35*BOM_average!F26)/1000000</f>
        <v>121.40659886517582</v>
      </c>
      <c r="H140" s="302">
        <f>H38*(BOM_average!G35*BOM_average!G26)/1000000</f>
        <v>152.92604537681166</v>
      </c>
      <c r="I140" s="302">
        <f>I38*(BOM_average!H35*BOM_average!H26)/1000000</f>
        <v>184.4856208567669</v>
      </c>
      <c r="J140" s="302">
        <f>J38*(BOM_average!I35*BOM_average!I26)/1000000</f>
        <v>178.84251545574426</v>
      </c>
      <c r="K140" s="302">
        <f>K38*(BOM_average!J35*BOM_average!J26)/1000000</f>
        <v>186.3031665335451</v>
      </c>
      <c r="L140" s="302">
        <f>L38*(BOM_average!K35*BOM_average!K26)/1000000</f>
        <v>186.79128109621377</v>
      </c>
      <c r="M140" s="302">
        <f>M38*(BOM_average!L35*BOM_average!L26)/1000000</f>
        <v>159.33074589906695</v>
      </c>
      <c r="N140" s="302">
        <f>N38*(BOM_average!M35*BOM_average!M26)/1000000</f>
        <v>171.78712967766978</v>
      </c>
      <c r="O140" s="302">
        <f>O38*(BOM_average!N35*BOM_average!N26)/1000000</f>
        <v>172.83715441957864</v>
      </c>
      <c r="P140" s="302">
        <f>P38*(BOM_average!O35*BOM_average!O26)/1000000</f>
        <v>183.28670760074806</v>
      </c>
      <c r="Q140" s="302">
        <f>Q38*(BOM_average!P35*BOM_average!P26)/1000000</f>
        <v>182.26957520616077</v>
      </c>
      <c r="R140" s="302">
        <f>R38*(BOM_average!Q35*BOM_average!Q26)/1000000</f>
        <v>172.28568025502202</v>
      </c>
      <c r="S140" s="302">
        <f>S38*(BOM_average!R35*BOM_average!R26)/1000000</f>
        <v>158.13661800647589</v>
      </c>
      <c r="T140" s="302">
        <f>T38*(BOM_average!S35*BOM_average!S26)/1000000</f>
        <v>146.94642898598315</v>
      </c>
      <c r="U140" s="302">
        <f>U38*(BOM_average!T35*BOM_average!T26)/1000000</f>
        <v>141.2312329874313</v>
      </c>
      <c r="V140" s="302">
        <f>V38*(BOM_average!U35*BOM_average!U26)/1000000</f>
        <v>140.88167422107855</v>
      </c>
      <c r="W140" s="302">
        <f>W38*(BOM_average!V35*BOM_average!V26)/1000000</f>
        <v>144.47390505314661</v>
      </c>
      <c r="X140" s="302">
        <f>X38*(BOM_average!W35*BOM_average!W26)/1000000</f>
        <v>150.25695562527568</v>
      </c>
      <c r="Y140" s="302">
        <f>Y38*(BOM_average!X35*BOM_average!X26)/1000000</f>
        <v>156.73201385823955</v>
      </c>
      <c r="Z140" s="302">
        <f>Z38*(BOM_average!Y35*BOM_average!Y26)/1000000</f>
        <v>162.8771399771403</v>
      </c>
      <c r="AA140" s="302">
        <f>AA38*(BOM_average!Z35*BOM_average!Z26)/1000000</f>
        <v>168.1425237585554</v>
      </c>
      <c r="AB140" s="302">
        <f>AB38*(BOM_average!AA35*BOM_average!AA26)/1000000</f>
        <v>172.3386509291623</v>
      </c>
    </row>
    <row r="141" spans="1:28">
      <c r="B141" s="294" t="s">
        <v>6911</v>
      </c>
      <c r="C141" s="302">
        <f>C38*(BOM_average!B35*BOM_average!B27)/1000000</f>
        <v>542.82137516865805</v>
      </c>
      <c r="D141" s="302">
        <f>D38*(BOM_average!C35*BOM_average!C27)/1000000</f>
        <v>513.89926619591313</v>
      </c>
      <c r="E141" s="302">
        <f>E38*(BOM_average!D35*BOM_average!D27)/1000000</f>
        <v>525.11628935733518</v>
      </c>
      <c r="F141" s="302">
        <f>F38*(BOM_average!E35*BOM_average!E27)/1000000</f>
        <v>540.87686710477476</v>
      </c>
      <c r="G141" s="302">
        <f>G38*(BOM_average!F35*BOM_average!F27)/1000000</f>
        <v>457.97017458405873</v>
      </c>
      <c r="H141" s="302">
        <f>H38*(BOM_average!G35*BOM_average!G27)/1000000</f>
        <v>576.86788324779491</v>
      </c>
      <c r="I141" s="302">
        <f>I38*(BOM_average!H35*BOM_average!H27)/1000000</f>
        <v>695.91696647270726</v>
      </c>
      <c r="J141" s="302">
        <f>J38*(BOM_average!I35*BOM_average!I27)/1000000</f>
        <v>674.63003487377034</v>
      </c>
      <c r="K141" s="302">
        <f>K38*(BOM_average!J35*BOM_average!J27)/1000000</f>
        <v>702.77311530390045</v>
      </c>
      <c r="L141" s="302">
        <f>L38*(BOM_average!K35*BOM_average!K27)/1000000</f>
        <v>704.61438187072554</v>
      </c>
      <c r="M141" s="302">
        <f>M38*(BOM_average!L35*BOM_average!L27)/1000000</f>
        <v>601.02770523237405</v>
      </c>
      <c r="N141" s="302">
        <f>N38*(BOM_average!M35*BOM_average!M27)/1000000</f>
        <v>648.01569688271172</v>
      </c>
      <c r="O141" s="302">
        <f>O38*(BOM_average!N35*BOM_average!N27)/1000000</f>
        <v>651.9766019641861</v>
      </c>
      <c r="P141" s="302">
        <f>P38*(BOM_average!O35*BOM_average!O27)/1000000</f>
        <v>691.39442389015926</v>
      </c>
      <c r="Q141" s="302">
        <f>Q38*(BOM_average!P35*BOM_average!P27)/1000000</f>
        <v>687.55759537607207</v>
      </c>
      <c r="R141" s="302">
        <f>R38*(BOM_average!Q35*BOM_average!Q27)/1000000</f>
        <v>649.89633020151962</v>
      </c>
      <c r="S141" s="302">
        <f>S38*(BOM_average!R35*BOM_average!R27)/1000000</f>
        <v>596.52321400572396</v>
      </c>
      <c r="T141" s="302">
        <f>T38*(BOM_average!S35*BOM_average!S27)/1000000</f>
        <v>554.31156433225908</v>
      </c>
      <c r="U141" s="302">
        <f>U38*(BOM_average!T35*BOM_average!T27)/1000000</f>
        <v>532.75269246117102</v>
      </c>
      <c r="V141" s="302">
        <f>V38*(BOM_average!U35*BOM_average!U27)/1000000</f>
        <v>531.43408630013585</v>
      </c>
      <c r="W141" s="302">
        <f>W38*(BOM_average!V35*BOM_average!V27)/1000000</f>
        <v>544.98470543192934</v>
      </c>
      <c r="X141" s="302">
        <f>X38*(BOM_average!W35*BOM_average!W27)/1000000</f>
        <v>566.79953843855662</v>
      </c>
      <c r="Y141" s="302">
        <f>Y38*(BOM_average!X35*BOM_average!X27)/1000000</f>
        <v>591.22476389673409</v>
      </c>
      <c r="Z141" s="302">
        <f>Z38*(BOM_average!Y35*BOM_average!Y27)/1000000</f>
        <v>614.40541888435416</v>
      </c>
      <c r="AA141" s="302">
        <f>AA38*(BOM_average!Z35*BOM_average!Z27)/1000000</f>
        <v>634.26750836026997</v>
      </c>
      <c r="AB141" s="302">
        <f>AB38*(BOM_average!AA35*BOM_average!AA27)/1000000</f>
        <v>650.09614626679627</v>
      </c>
    </row>
    <row r="142" spans="1:28">
      <c r="B142" s="294" t="s">
        <v>441</v>
      </c>
      <c r="C142" s="302">
        <f>C38*(BOM_average!B35*BOM_average!B28)/1000000</f>
        <v>518.95793600551895</v>
      </c>
      <c r="D142" s="302">
        <f>D38*(BOM_average!C35*BOM_average!C28)/1000000</f>
        <v>491.30729683759938</v>
      </c>
      <c r="E142" s="302">
        <f>E38*(BOM_average!D35*BOM_average!D28)/1000000</f>
        <v>502.03119875868543</v>
      </c>
      <c r="F142" s="302">
        <f>F38*(BOM_average!E35*BOM_average!E28)/1000000</f>
        <v>517.09891213958247</v>
      </c>
      <c r="G142" s="302">
        <f>G38*(BOM_average!F35*BOM_average!F28)/1000000</f>
        <v>437.8369523130616</v>
      </c>
      <c r="H142" s="302">
        <f>H38*(BOM_average!G35*BOM_average!G28)/1000000</f>
        <v>551.50769614614387</v>
      </c>
      <c r="I142" s="302">
        <f>I38*(BOM_average!H35*BOM_average!H28)/1000000</f>
        <v>665.32315983261708</v>
      </c>
      <c r="J142" s="302">
        <f>J38*(BOM_average!I35*BOM_average!I28)/1000000</f>
        <v>644.97204141351904</v>
      </c>
      <c r="K142" s="302">
        <f>K38*(BOM_average!J35*BOM_average!J28)/1000000</f>
        <v>671.87789958522376</v>
      </c>
      <c r="L142" s="302">
        <f>L38*(BOM_average!K35*BOM_average!K28)/1000000</f>
        <v>673.63822064269618</v>
      </c>
      <c r="M142" s="302">
        <f>M38*(BOM_average!L35*BOM_average!L28)/1000000</f>
        <v>574.60540733609548</v>
      </c>
      <c r="N142" s="302">
        <f>N38*(BOM_average!M35*BOM_average!M28)/1000000</f>
        <v>619.52771931455675</v>
      </c>
      <c r="O142" s="302">
        <f>O38*(BOM_average!N35*BOM_average!N28)/1000000</f>
        <v>623.31449562777209</v>
      </c>
      <c r="P142" s="302">
        <f>P38*(BOM_average!O35*BOM_average!O28)/1000000</f>
        <v>660.9994366494484</v>
      </c>
      <c r="Q142" s="302">
        <f>Q38*(BOM_average!P35*BOM_average!P28)/1000000</f>
        <v>657.33128226650956</v>
      </c>
      <c r="R142" s="302">
        <f>R38*(BOM_average!Q35*BOM_average!Q28)/1000000</f>
        <v>621.32567648823738</v>
      </c>
      <c r="S142" s="302">
        <f>S38*(BOM_average!R35*BOM_average!R28)/1000000</f>
        <v>570.29894193758207</v>
      </c>
      <c r="T142" s="302">
        <f>T38*(BOM_average!S35*BOM_average!S28)/1000000</f>
        <v>529.94299504230173</v>
      </c>
      <c r="U142" s="302">
        <f>U38*(BOM_average!T35*BOM_average!T28)/1000000</f>
        <v>509.33189135215855</v>
      </c>
      <c r="V142" s="302">
        <f>V38*(BOM_average!U35*BOM_average!U28)/1000000</f>
        <v>508.0712535750954</v>
      </c>
      <c r="W142" s="302">
        <f>W38*(BOM_average!V35*BOM_average!V28)/1000000</f>
        <v>521.02616223919802</v>
      </c>
      <c r="X142" s="302">
        <f>X38*(BOM_average!W35*BOM_average!W28)/1000000</f>
        <v>541.88197453639577</v>
      </c>
      <c r="Y142" s="302">
        <f>Y38*(BOM_average!X35*BOM_average!X28)/1000000</f>
        <v>565.23342156868478</v>
      </c>
      <c r="Z142" s="302">
        <f>Z38*(BOM_average!Y35*BOM_average!Y28)/1000000</f>
        <v>587.39501176747467</v>
      </c>
      <c r="AA142" s="302">
        <f>AA38*(BOM_average!Z35*BOM_average!Z28)/1000000</f>
        <v>606.38392677837601</v>
      </c>
      <c r="AB142" s="302">
        <f>AB38*(BOM_average!AA35*BOM_average!AA28)/1000000</f>
        <v>621.51670826694078</v>
      </c>
    </row>
    <row r="143" spans="1:28">
      <c r="B143" s="294" t="s">
        <v>6912</v>
      </c>
      <c r="C143" s="302">
        <f>C38*(BOM_average!B35*BOM_average!B29)/1000000</f>
        <v>319.71199608722554</v>
      </c>
      <c r="D143" s="302">
        <f>D38*(BOM_average!C35*BOM_average!C29)/1000000</f>
        <v>302.67739573115904</v>
      </c>
      <c r="E143" s="302">
        <f>E38*(BOM_average!D35*BOM_average!D29)/1000000</f>
        <v>309.28401998942564</v>
      </c>
      <c r="F143" s="302">
        <f>F38*(BOM_average!E35*BOM_average!E29)/1000000</f>
        <v>318.56671592150127</v>
      </c>
      <c r="G143" s="302">
        <f>G38*(BOM_average!F35*BOM_average!F29)/1000000</f>
        <v>269.73616987575593</v>
      </c>
      <c r="H143" s="302">
        <f>H38*(BOM_average!G35*BOM_average!G29)/1000000</f>
        <v>339.76477505967966</v>
      </c>
      <c r="I143" s="302">
        <f>I38*(BOM_average!H35*BOM_average!H29)/1000000</f>
        <v>409.8825371289517</v>
      </c>
      <c r="J143" s="302">
        <f>J38*(BOM_average!I35*BOM_average!I29)/1000000</f>
        <v>397.34491848791379</v>
      </c>
      <c r="K143" s="302">
        <f>K38*(BOM_average!J35*BOM_average!J29)/1000000</f>
        <v>413.92068508804925</v>
      </c>
      <c r="L143" s="302">
        <f>L38*(BOM_average!K35*BOM_average!K29)/1000000</f>
        <v>415.00515787474711</v>
      </c>
      <c r="M143" s="302">
        <f>M38*(BOM_average!L35*BOM_average!L29)/1000000</f>
        <v>353.99447430356429</v>
      </c>
      <c r="N143" s="302">
        <f>N38*(BOM_average!M35*BOM_average!M29)/1000000</f>
        <v>381.66955360196465</v>
      </c>
      <c r="O143" s="302">
        <f>O38*(BOM_average!N35*BOM_average!N29)/1000000</f>
        <v>384.00245523008624</v>
      </c>
      <c r="P143" s="302">
        <f>P38*(BOM_average!O35*BOM_average!O29)/1000000</f>
        <v>407.21884114607576</v>
      </c>
      <c r="Q143" s="302">
        <f>Q38*(BOM_average!P35*BOM_average!P29)/1000000</f>
        <v>404.9590183774863</v>
      </c>
      <c r="R143" s="302">
        <f>R38*(BOM_average!Q35*BOM_average!Q29)/1000000</f>
        <v>382.77721269530338</v>
      </c>
      <c r="S143" s="302">
        <f>S38*(BOM_average!R35*BOM_average!R29)/1000000</f>
        <v>351.34141024361963</v>
      </c>
      <c r="T143" s="302">
        <f>T38*(BOM_average!S35*BOM_average!S29)/1000000</f>
        <v>326.47951019216163</v>
      </c>
      <c r="U143" s="302">
        <f>U38*(BOM_average!T35*BOM_average!T29)/1000000</f>
        <v>313.7817236373254</v>
      </c>
      <c r="V143" s="302">
        <f>V38*(BOM_average!U35*BOM_average!U29)/1000000</f>
        <v>313.00508839950618</v>
      </c>
      <c r="W143" s="302">
        <f>W38*(BOM_average!V35*BOM_average!V29)/1000000</f>
        <v>320.98615858027676</v>
      </c>
      <c r="X143" s="302">
        <f>X38*(BOM_average!W35*BOM_average!W29)/1000000</f>
        <v>333.83470162575151</v>
      </c>
      <c r="Y143" s="302">
        <f>Y38*(BOM_average!X35*BOM_average!X29)/1000000</f>
        <v>348.22071872702742</v>
      </c>
      <c r="Z143" s="302">
        <f>Z38*(BOM_average!Y35*BOM_average!Y29)/1000000</f>
        <v>361.87370627638217</v>
      </c>
      <c r="AA143" s="302">
        <f>AA38*(BOM_average!Z35*BOM_average!Z29)/1000000</f>
        <v>373.5721186147598</v>
      </c>
      <c r="AB143" s="302">
        <f>AB38*(BOM_average!AA35*BOM_average!AA29)/1000000</f>
        <v>382.89490075255799</v>
      </c>
    </row>
    <row r="144" spans="1:28">
      <c r="B144" s="294" t="s">
        <v>443</v>
      </c>
      <c r="C144" s="302">
        <f>C38*(BOM_average!B35*BOM_average!B30)/1000000</f>
        <v>153.17252471606278</v>
      </c>
      <c r="D144" s="302">
        <f>D38*(BOM_average!C35*BOM_average!C30)/1000000</f>
        <v>145.01132721330785</v>
      </c>
      <c r="E144" s="302">
        <f>E38*(BOM_average!D35*BOM_average!D30)/1000000</f>
        <v>148.17653005171809</v>
      </c>
      <c r="F144" s="302">
        <f>F38*(BOM_average!E35*BOM_average!E30)/1000000</f>
        <v>152.62382633552608</v>
      </c>
      <c r="G144" s="302">
        <f>G38*(BOM_average!F35*BOM_average!F30)/1000000</f>
        <v>129.22933969558724</v>
      </c>
      <c r="H144" s="302">
        <f>H38*(BOM_average!G35*BOM_average!G30)/1000000</f>
        <v>162.77971750324235</v>
      </c>
      <c r="I144" s="302">
        <f>I38*(BOM_average!H35*BOM_average!H30)/1000000</f>
        <v>196.3728099584294</v>
      </c>
      <c r="J144" s="302">
        <f>J38*(BOM_average!I35*BOM_average!I30)/1000000</f>
        <v>190.36609540070913</v>
      </c>
      <c r="K144" s="302">
        <f>K38*(BOM_average!J35*BOM_average!J30)/1000000</f>
        <v>198.30746779311147</v>
      </c>
      <c r="L144" s="302">
        <f>L38*(BOM_average!K35*BOM_average!K30)/1000000</f>
        <v>198.8270336422423</v>
      </c>
      <c r="M144" s="302">
        <f>M38*(BOM_average!L35*BOM_average!L30)/1000000</f>
        <v>169.59709997812891</v>
      </c>
      <c r="N144" s="302">
        <f>N38*(BOM_average!M35*BOM_average!M30)/1000000</f>
        <v>182.85610126595265</v>
      </c>
      <c r="O144" s="302">
        <f>O38*(BOM_average!N35*BOM_average!N30)/1000000</f>
        <v>183.97378354458729</v>
      </c>
      <c r="P144" s="302">
        <f>P38*(BOM_average!O35*BOM_average!O30)/1000000</f>
        <v>195.09664564878045</v>
      </c>
      <c r="Q144" s="302">
        <f>Q38*(BOM_average!P35*BOM_average!P30)/1000000</f>
        <v>194.01397511057127</v>
      </c>
      <c r="R144" s="302">
        <f>R38*(BOM_average!Q35*BOM_average!Q30)/1000000</f>
        <v>183.38677556634738</v>
      </c>
      <c r="S144" s="302">
        <f>S38*(BOM_average!R35*BOM_average!R30)/1000000</f>
        <v>168.32602937312006</v>
      </c>
      <c r="T144" s="302">
        <f>T38*(BOM_average!S35*BOM_average!S30)/1000000</f>
        <v>156.41480912888105</v>
      </c>
      <c r="U144" s="302">
        <f>U38*(BOM_average!T35*BOM_average!T30)/1000000</f>
        <v>150.33135887142083</v>
      </c>
      <c r="V144" s="302">
        <f>V38*(BOM_average!U35*BOM_average!U30)/1000000</f>
        <v>149.95927655478556</v>
      </c>
      <c r="W144" s="302">
        <f>W38*(BOM_average!V35*BOM_average!V30)/1000000</f>
        <v>153.782970017921</v>
      </c>
      <c r="X144" s="302">
        <f>X38*(BOM_average!W35*BOM_average!W30)/1000000</f>
        <v>159.93864700622345</v>
      </c>
      <c r="Y144" s="302">
        <f>Y38*(BOM_average!X35*BOM_average!X30)/1000000</f>
        <v>166.83092063679973</v>
      </c>
      <c r="Z144" s="302">
        <f>Z38*(BOM_average!Y35*BOM_average!Y30)/1000000</f>
        <v>173.37200323127669</v>
      </c>
      <c r="AA144" s="302">
        <f>AA38*(BOM_average!Z35*BOM_average!Z30)/1000000</f>
        <v>178.97665796731596</v>
      </c>
      <c r="AB144" s="302">
        <f>AB38*(BOM_average!AA35*BOM_average!AA30)/1000000</f>
        <v>183.44315936513891</v>
      </c>
    </row>
    <row r="145" spans="2:28">
      <c r="B145" s="294" t="s">
        <v>445</v>
      </c>
      <c r="C145" s="302">
        <f>C38*(BOM_average!B35*BOM_average!B31)/1000000</f>
        <v>199.29388847133947</v>
      </c>
      <c r="D145" s="302">
        <f>D38*(BOM_average!C35*BOM_average!C31)/1000000</f>
        <v>188.67529490880841</v>
      </c>
      <c r="E145" s="302">
        <f>E38*(BOM_average!D35*BOM_average!D31)/1000000</f>
        <v>192.79356339486117</v>
      </c>
      <c r="F145" s="302">
        <f>F38*(BOM_average!E35*BOM_average!E31)/1000000</f>
        <v>198.57997300864278</v>
      </c>
      <c r="G145" s="302">
        <f>G38*(BOM_average!F35*BOM_average!F31)/1000000</f>
        <v>168.14123590545211</v>
      </c>
      <c r="H145" s="302">
        <f>H38*(BOM_average!G35*BOM_average!G31)/1000000</f>
        <v>211.79387703913275</v>
      </c>
      <c r="I145" s="302">
        <f>I38*(BOM_average!H35*BOM_average!H31)/1000000</f>
        <v>255.50209451208903</v>
      </c>
      <c r="J145" s="302">
        <f>J38*(BOM_average!I35*BOM_average!I31)/1000000</f>
        <v>247.68671441461692</v>
      </c>
      <c r="K145" s="302">
        <f>K38*(BOM_average!J35*BOM_average!J31)/1000000</f>
        <v>258.01929192363565</v>
      </c>
      <c r="L145" s="302">
        <f>L38*(BOM_average!K35*BOM_average!K31)/1000000</f>
        <v>258.69530283735628</v>
      </c>
      <c r="M145" s="302">
        <f>M38*(BOM_average!L35*BOM_average!L31)/1000000</f>
        <v>220.66402307305805</v>
      </c>
      <c r="N145" s="302">
        <f>N38*(BOM_average!M35*BOM_average!M31)/1000000</f>
        <v>237.91540630118726</v>
      </c>
      <c r="O145" s="302">
        <f>O38*(BOM_average!N35*BOM_average!N31)/1000000</f>
        <v>239.36963086135245</v>
      </c>
      <c r="P145" s="302">
        <f>P38*(BOM_average!O35*BOM_average!O31)/1000000</f>
        <v>253.84166782610387</v>
      </c>
      <c r="Q145" s="302">
        <f>Q38*(BOM_average!P35*BOM_average!P31)/1000000</f>
        <v>252.43299729662706</v>
      </c>
      <c r="R145" s="302">
        <f>R38*(BOM_average!Q35*BOM_average!Q31)/1000000</f>
        <v>238.60587050182329</v>
      </c>
      <c r="S145" s="302">
        <f>S38*(BOM_average!R35*BOM_average!R31)/1000000</f>
        <v>219.01022384331105</v>
      </c>
      <c r="T145" s="302">
        <f>T38*(BOM_average!S35*BOM_average!S31)/1000000</f>
        <v>203.51244835574676</v>
      </c>
      <c r="U145" s="302">
        <f>U38*(BOM_average!T35*BOM_average!T31)/1000000</f>
        <v>195.59722687997203</v>
      </c>
      <c r="V145" s="302">
        <f>V38*(BOM_average!U35*BOM_average!U31)/1000000</f>
        <v>195.11310786547429</v>
      </c>
      <c r="W145" s="302">
        <f>W38*(BOM_average!V35*BOM_average!V31)/1000000</f>
        <v>200.08814330347667</v>
      </c>
      <c r="X145" s="302">
        <f>X38*(BOM_average!W35*BOM_average!W31)/1000000</f>
        <v>208.09733950525271</v>
      </c>
      <c r="Y145" s="302">
        <f>Y38*(BOM_average!X35*BOM_average!X31)/1000000</f>
        <v>217.0649269677709</v>
      </c>
      <c r="Z145" s="302">
        <f>Z38*(BOM_average!Y35*BOM_average!Y31)/1000000</f>
        <v>225.57557721318537</v>
      </c>
      <c r="AA145" s="302">
        <f>AA38*(BOM_average!Z35*BOM_average!Z31)/1000000</f>
        <v>232.86783434582139</v>
      </c>
      <c r="AB145" s="302">
        <f>AB38*(BOM_average!AA35*BOM_average!AA31)/1000000</f>
        <v>238.6792318734451</v>
      </c>
    </row>
    <row r="146" spans="2:28">
      <c r="B146" s="294" t="s">
        <v>6915</v>
      </c>
      <c r="C146" s="302">
        <f>C38*(BOM_average!B35*BOM_average!B32)/1000000</f>
        <v>58.973834696251373</v>
      </c>
      <c r="D146" s="302">
        <f>D38*(BOM_average!C35*BOM_average!C32)/1000000</f>
        <v>55.831645107465043</v>
      </c>
      <c r="E146" s="302">
        <f>E38*(BOM_average!D35*BOM_average!D32)/1000000</f>
        <v>57.050298056605442</v>
      </c>
      <c r="F146" s="302">
        <f>F38*(BOM_average!E35*BOM_average!E32)/1000000</f>
        <v>58.762577176981146</v>
      </c>
      <c r="G146" s="302">
        <f>G38*(BOM_average!F35*BOM_average!F32)/1000000</f>
        <v>49.755331324861736</v>
      </c>
      <c r="H146" s="302">
        <f>H38*(BOM_average!G35*BOM_average!G32)/1000000</f>
        <v>62.672755245980547</v>
      </c>
      <c r="I146" s="302">
        <f>I38*(BOM_average!H35*BOM_average!H32)/1000000</f>
        <v>75.606624979214359</v>
      </c>
      <c r="J146" s="302">
        <f>J38*(BOM_average!I35*BOM_average!I32)/1000000</f>
        <v>73.293945260373007</v>
      </c>
      <c r="K146" s="302">
        <f>K38*(BOM_average!J35*BOM_average!J32)/1000000</f>
        <v>76.351498719121977</v>
      </c>
      <c r="L146" s="302">
        <f>L38*(BOM_average!K35*BOM_average!K32)/1000000</f>
        <v>76.551539754922999</v>
      </c>
      <c r="M146" s="302">
        <f>M38*(BOM_average!L35*BOM_average!L32)/1000000</f>
        <v>65.29755488207951</v>
      </c>
      <c r="N146" s="302">
        <f>N38*(BOM_average!M35*BOM_average!M32)/1000000</f>
        <v>70.402479225625981</v>
      </c>
      <c r="O146" s="302">
        <f>O38*(BOM_average!N35*BOM_average!N32)/1000000</f>
        <v>70.832804507952659</v>
      </c>
      <c r="P146" s="302">
        <f>P38*(BOM_average!O35*BOM_average!O32)/1000000</f>
        <v>75.115281618634498</v>
      </c>
      <c r="Q146" s="302">
        <f>Q38*(BOM_average!P35*BOM_average!P32)/1000000</f>
        <v>74.698436407855269</v>
      </c>
      <c r="R146" s="302">
        <f>R38*(BOM_average!Q35*BOM_average!Q32)/1000000</f>
        <v>70.606797190137186</v>
      </c>
      <c r="S146" s="302">
        <f>S38*(BOM_average!R35*BOM_average!R32)/1000000</f>
        <v>64.808172678019034</v>
      </c>
      <c r="T146" s="302">
        <f>T38*(BOM_average!S35*BOM_average!S32)/1000000</f>
        <v>60.222165265680992</v>
      </c>
      <c r="U146" s="302">
        <f>U38*(BOM_average!T35*BOM_average!T32)/1000000</f>
        <v>57.879941093745657</v>
      </c>
      <c r="V146" s="302">
        <f>V38*(BOM_average!U35*BOM_average!U32)/1000000</f>
        <v>57.73668354102643</v>
      </c>
      <c r="W146" s="302">
        <f>W38*(BOM_average!V35*BOM_average!V32)/1000000</f>
        <v>59.208865752830377</v>
      </c>
      <c r="X146" s="302">
        <f>X38*(BOM_average!W35*BOM_average!W32)/1000000</f>
        <v>61.578898353811567</v>
      </c>
      <c r="Y146" s="302">
        <f>Y38*(BOM_average!X35*BOM_average!X32)/1000000</f>
        <v>64.23253226449107</v>
      </c>
      <c r="Z146" s="302">
        <f>Z38*(BOM_average!Y35*BOM_average!Y32)/1000000</f>
        <v>66.75095209452445</v>
      </c>
      <c r="AA146" s="302">
        <f>AA38*(BOM_average!Z35*BOM_average!Z32)/1000000</f>
        <v>68.908832449016529</v>
      </c>
      <c r="AB146" s="302">
        <f>AB38*(BOM_average!AA35*BOM_average!AA32)/1000000</f>
        <v>70.628505840795285</v>
      </c>
    </row>
    <row r="147" spans="2:28" ht="17" thickBot="1">
      <c r="B147" s="297" t="s">
        <v>447</v>
      </c>
      <c r="C147" s="303">
        <f>C38*(BOM_average!B35*BOM_average!B33)/1000000</f>
        <v>94.721145415139233</v>
      </c>
      <c r="D147" s="303">
        <f>D38*(BOM_average!C35*BOM_average!C33)/1000000</f>
        <v>89.674300513593693</v>
      </c>
      <c r="E147" s="303">
        <f>E38*(BOM_average!D35*BOM_average!D33)/1000000</f>
        <v>91.631646577329533</v>
      </c>
      <c r="F147" s="303">
        <f>F38*(BOM_average!E35*BOM_average!E33)/1000000</f>
        <v>94.381833001322121</v>
      </c>
      <c r="G147" s="303">
        <f>G38*(BOM_average!F35*BOM_average!F33)/1000000</f>
        <v>79.914796076508679</v>
      </c>
      <c r="H147" s="303">
        <f>H38*(BOM_average!G35*BOM_average!G33)/1000000</f>
        <v>100.66218677822046</v>
      </c>
      <c r="I147" s="303">
        <f>I38*(BOM_average!H35*BOM_average!H33)/1000000</f>
        <v>121.43599201052596</v>
      </c>
      <c r="J147" s="303">
        <f>J38*(BOM_average!I35*BOM_average!I33)/1000000</f>
        <v>117.72146889912759</v>
      </c>
      <c r="K147" s="303">
        <f>K38*(BOM_average!J35*BOM_average!J33)/1000000</f>
        <v>122.63237501999296</v>
      </c>
      <c r="L147" s="303">
        <f>L38*(BOM_average!K35*BOM_average!K33)/1000000</f>
        <v>122.95367201786833</v>
      </c>
      <c r="M147" s="303">
        <f>M38*(BOM_average!L35*BOM_average!L33)/1000000</f>
        <v>104.87802299265503</v>
      </c>
      <c r="N147" s="303">
        <f>N38*(BOM_average!M35*BOM_average!M33)/1000000</f>
        <v>113.0773249978388</v>
      </c>
      <c r="O147" s="303">
        <f>O38*(BOM_average!N35*BOM_average!N33)/1000000</f>
        <v>113.76849429101802</v>
      </c>
      <c r="P147" s="303">
        <f>P38*(BOM_average!O35*BOM_average!O33)/1000000</f>
        <v>120.64681819902198</v>
      </c>
      <c r="Q147" s="303">
        <f>Q38*(BOM_average!P35*BOM_average!P33)/1000000</f>
        <v>119.97729999609032</v>
      </c>
      <c r="R147" s="303">
        <f>R38*(BOM_average!Q35*BOM_average!Q33)/1000000</f>
        <v>113.40549140802852</v>
      </c>
      <c r="S147" s="303">
        <f>S38*(BOM_average!R35*BOM_average!R33)/1000000</f>
        <v>104.09199910336332</v>
      </c>
      <c r="T147" s="303">
        <f>T38*(BOM_average!S35*BOM_average!S33)/1000000</f>
        <v>96.726158350148921</v>
      </c>
      <c r="U147" s="303">
        <f>U38*(BOM_average!T35*BOM_average!T33)/1000000</f>
        <v>92.964182254691735</v>
      </c>
      <c r="V147" s="303">
        <f>V38*(BOM_average!U35*BOM_average!U33)/1000000</f>
        <v>92.734088357070434</v>
      </c>
      <c r="W147" s="303">
        <f>W38*(BOM_average!V35*BOM_average!V33)/1000000</f>
        <v>95.098641825232932</v>
      </c>
      <c r="X147" s="303">
        <f>X38*(BOM_average!W35*BOM_average!W33)/1000000</f>
        <v>98.905282580280016</v>
      </c>
      <c r="Y147" s="303">
        <f>Y38*(BOM_average!X35*BOM_average!X33)/1000000</f>
        <v>103.1674311216906</v>
      </c>
      <c r="Z147" s="303">
        <f>Z38*(BOM_average!Y35*BOM_average!Y33)/1000000</f>
        <v>107.21240483190662</v>
      </c>
      <c r="AA147" s="303">
        <f>AA38*(BOM_average!Z35*BOM_average!Z33)/1000000</f>
        <v>110.67829610214666</v>
      </c>
      <c r="AB147" s="303">
        <f>AB38*(BOM_average!AA35*BOM_average!AA33)/1000000</f>
        <v>113.4403588753781</v>
      </c>
    </row>
    <row r="148" spans="2:28">
      <c r="B148" s="296" t="s">
        <v>7797</v>
      </c>
      <c r="C148" s="304">
        <f>C38*(BOM_average!B35)/1000000</f>
        <v>2284.3168504933333</v>
      </c>
      <c r="D148" s="304">
        <f>D38*(BOM_average!C35)/1000000</f>
        <v>2162.6059822400002</v>
      </c>
      <c r="E148" s="304">
        <f>E38*(BOM_average!D35)/1000000</f>
        <v>2209.809788486667</v>
      </c>
      <c r="F148" s="304">
        <f>F38*(BOM_average!E35)/1000000</f>
        <v>2276.1339145600004</v>
      </c>
      <c r="G148" s="304">
        <f>G38*(BOM_average!F35)/1000000</f>
        <v>1927.2435366066672</v>
      </c>
      <c r="H148" s="304">
        <f>H38*(BOM_average!G35)/1000000</f>
        <v>2427.5923655400011</v>
      </c>
      <c r="I148" s="304">
        <f>I38*(BOM_average!H35)/1000000</f>
        <v>2928.5782133466673</v>
      </c>
      <c r="J148" s="304">
        <f>J38*(BOM_average!I35)/1000000</f>
        <v>2838.9979227185718</v>
      </c>
      <c r="K148" s="304">
        <f>K38*(BOM_average!J35)/1000000</f>
        <v>2957.4304601833333</v>
      </c>
      <c r="L148" s="304">
        <f>L38*(BOM_average!K35)/1000000</f>
        <v>2965.178932217143</v>
      </c>
      <c r="M148" s="304">
        <f>M38*(BOM_average!L35)/1000000</f>
        <v>2529.2624378490477</v>
      </c>
      <c r="N148" s="304">
        <f>N38*(BOM_average!M35)/1000000</f>
        <v>2726.9986840761908</v>
      </c>
      <c r="O148" s="304">
        <f>O38*(BOM_average!N35)/1000000</f>
        <v>2743.6670811488098</v>
      </c>
      <c r="P148" s="304">
        <f>P38*(BOM_average!O35)/1000000</f>
        <v>2909.5463168500005</v>
      </c>
      <c r="Q148" s="304">
        <f>Q38*(BOM_average!P35)/1000000</f>
        <v>2893.4000624316673</v>
      </c>
      <c r="R148" s="304">
        <f>R38*(BOM_average!Q35)/1000000</f>
        <v>2734.9128204316671</v>
      </c>
      <c r="S148" s="304">
        <f>S38*(BOM_average!R35)/1000000</f>
        <v>2510.3065055983338</v>
      </c>
      <c r="T148" s="304">
        <f>T38*(BOM_average!S35)/1000000</f>
        <v>2332.6702019316672</v>
      </c>
      <c r="U148" s="304">
        <f>U38*(BOM_average!T35)/1000000</f>
        <v>2241.9455242650001</v>
      </c>
      <c r="V148" s="304">
        <f>V38*(BOM_average!U35)/1000000</f>
        <v>2236.396527098334</v>
      </c>
      <c r="W148" s="304">
        <f>W38*(BOM_average!V35)/1000000</f>
        <v>2293.4206404316674</v>
      </c>
      <c r="X148" s="304">
        <f>X38*(BOM_average!W35)/1000000</f>
        <v>2385.2224612650002</v>
      </c>
      <c r="Y148" s="304">
        <f>Y38*(BOM_average!X35)/1000000</f>
        <v>2488.0094122650003</v>
      </c>
      <c r="Z148" s="304">
        <f>Z38*(BOM_average!Y35)/1000000</f>
        <v>2585.5589252650002</v>
      </c>
      <c r="AA148" s="304">
        <f>AA38*(BOM_average!Z35)/1000000</f>
        <v>2669.1431534316675</v>
      </c>
      <c r="AB148" s="304">
        <f>AB38*(BOM_average!AA35)/1000000</f>
        <v>2735.7536922650002</v>
      </c>
    </row>
    <row r="149" spans="2:28">
      <c r="B149" s="295" t="s">
        <v>7798</v>
      </c>
      <c r="C149" s="302">
        <f>C38*(BOM_average!B36)/1000000</f>
        <v>3038.6202445279996</v>
      </c>
      <c r="D149" s="302">
        <f>D38*(BOM_average!C36)/1000000</f>
        <v>2876.7192769919998</v>
      </c>
      <c r="E149" s="302">
        <f>E38*(BOM_average!D36)/1000000</f>
        <v>2939.5102340559997</v>
      </c>
      <c r="F149" s="302">
        <f>F38*(BOM_average!E36)/1000000</f>
        <v>3027.7352244479998</v>
      </c>
      <c r="G149" s="302">
        <f>G38*(BOM_average!F36)/1000000</f>
        <v>2563.637888152</v>
      </c>
      <c r="H149" s="302">
        <f>H38*(BOM_average!G36)/1000000</f>
        <v>3229.2067126320003</v>
      </c>
      <c r="I149" s="302">
        <f>I38*(BOM_average!H36)/1000000</f>
        <v>3895.622905744</v>
      </c>
      <c r="J149" s="302">
        <f>J38*(BOM_average!I36)/1000000</f>
        <v>3776.4623415891429</v>
      </c>
      <c r="K149" s="302">
        <f>K38*(BOM_average!J36)/1000000</f>
        <v>3934.0024419799993</v>
      </c>
      <c r="L149" s="302">
        <f>L38*(BOM_average!K36)/1000000</f>
        <v>3944.3095340022855</v>
      </c>
      <c r="M149" s="302">
        <f>M38*(BOM_average!L36)/1000000</f>
        <v>3364.4492206554273</v>
      </c>
      <c r="N149" s="302">
        <f>N38*(BOM_average!M36)/1000000</f>
        <v>3627.4798771657138</v>
      </c>
      <c r="O149" s="302">
        <f>O38*(BOM_average!N36)/1000000</f>
        <v>3649.6523392642857</v>
      </c>
      <c r="P149" s="302">
        <f>P38*(BOM_average!O36)/1000000</f>
        <v>3870.3064939800001</v>
      </c>
      <c r="Q149" s="302">
        <f>Q38*(BOM_average!P36)/1000000</f>
        <v>3848.8285910619998</v>
      </c>
      <c r="R149" s="302">
        <f>R38*(BOM_average!Q36)/1000000</f>
        <v>3638.0073374619997</v>
      </c>
      <c r="S149" s="302">
        <f>S38*(BOM_average!R36)/1000000</f>
        <v>3339.2338572620001</v>
      </c>
      <c r="T149" s="302">
        <f>T38*(BOM_average!S36)/1000000</f>
        <v>3102.9403376620003</v>
      </c>
      <c r="U149" s="302">
        <f>U38*(BOM_average!T36)/1000000</f>
        <v>2982.2574988619999</v>
      </c>
      <c r="V149" s="302">
        <f>V38*(BOM_average!U36)/1000000</f>
        <v>2974.8761694619998</v>
      </c>
      <c r="W149" s="302">
        <f>W38*(BOM_average!V36)/1000000</f>
        <v>3050.730193462</v>
      </c>
      <c r="X149" s="302">
        <f>X38*(BOM_average!W36)/1000000</f>
        <v>3172.8458584619998</v>
      </c>
      <c r="Y149" s="302">
        <f>Y38*(BOM_average!X36)/1000000</f>
        <v>3309.5740492620002</v>
      </c>
      <c r="Z149" s="302">
        <f>Z38*(BOM_average!Y36)/1000000</f>
        <v>3439.3353496619998</v>
      </c>
      <c r="AA149" s="302">
        <f>AA38*(BOM_average!Z36)/1000000</f>
        <v>3550.5198938620001</v>
      </c>
      <c r="AB149" s="302">
        <f>AB38*(BOM_average!AA36)/1000000</f>
        <v>3639.1258732619999</v>
      </c>
    </row>
    <row r="150" spans="2:28">
      <c r="B150" s="295" t="s">
        <v>7799</v>
      </c>
      <c r="C150" s="302">
        <f>C38*(BOM_average!B37)/1000000</f>
        <v>1541.280124032</v>
      </c>
      <c r="D150" s="302">
        <f>D38*(BOM_average!C37)/1000000</f>
        <v>1459.1590548480001</v>
      </c>
      <c r="E150" s="302">
        <f>E38*(BOM_average!D37)/1000000</f>
        <v>1491.0085280640001</v>
      </c>
      <c r="F150" s="302">
        <f>F38*(BOM_average!E37)/1000000</f>
        <v>1535.7589125120001</v>
      </c>
      <c r="G150" s="302">
        <f>G38*(BOM_average!F37)/1000000</f>
        <v>1300.3547018880004</v>
      </c>
      <c r="H150" s="302">
        <f>H38*(BOM_average!G37)/1000000</f>
        <v>1637.9513470080003</v>
      </c>
      <c r="I150" s="302">
        <f>I38*(BOM_average!H37)/1000000</f>
        <v>1975.9778031360001</v>
      </c>
      <c r="J150" s="302">
        <f>J38*(BOM_average!I37)/1000000</f>
        <v>1915.5359596937144</v>
      </c>
      <c r="K150" s="302">
        <f>K38*(BOM_average!J37)/1000000</f>
        <v>1995.44506512</v>
      </c>
      <c r="L150" s="302">
        <f>L38*(BOM_average!K37)/1000000</f>
        <v>2000.6731340434287</v>
      </c>
      <c r="M150" s="302">
        <f>M38*(BOM_average!L37)/1000000</f>
        <v>1706.5504389531427</v>
      </c>
      <c r="N150" s="302">
        <f>N38*(BOM_average!M37)/1000000</f>
        <v>1839.9675461485715</v>
      </c>
      <c r="O150" s="302">
        <f>O38*(BOM_average!N37)/1000000</f>
        <v>1851.2140897714289</v>
      </c>
      <c r="P150" s="302">
        <f>P38*(BOM_average!O37)/1000000</f>
        <v>1963.1365531200001</v>
      </c>
      <c r="Q150" s="302">
        <f>Q38*(BOM_average!P37)/1000000</f>
        <v>1952.2423109280003</v>
      </c>
      <c r="R150" s="302">
        <f>R38*(BOM_average!Q37)/1000000</f>
        <v>1845.307392528</v>
      </c>
      <c r="S150" s="302">
        <f>S38*(BOM_average!R37)/1000000</f>
        <v>1693.7604437280002</v>
      </c>
      <c r="T150" s="302">
        <f>T38*(BOM_average!S37)/1000000</f>
        <v>1573.9052213280002</v>
      </c>
      <c r="U150" s="302">
        <f>U38*(BOM_average!T37)/1000000</f>
        <v>1512.6912341280004</v>
      </c>
      <c r="V150" s="302">
        <f>V38*(BOM_average!U37)/1000000</f>
        <v>1508.9472005280002</v>
      </c>
      <c r="W150" s="302">
        <f>W38*(BOM_average!V37)/1000000</f>
        <v>1547.4226565280001</v>
      </c>
      <c r="X150" s="302">
        <f>X38*(BOM_average!W37)/1000000</f>
        <v>1609.363416528</v>
      </c>
      <c r="Y150" s="302">
        <f>Y38*(BOM_average!X37)/1000000</f>
        <v>1678.7160917280003</v>
      </c>
      <c r="Z150" s="302">
        <f>Z38*(BOM_average!Y37)/1000000</f>
        <v>1744.534949328</v>
      </c>
      <c r="AA150" s="302">
        <f>AA38*(BOM_average!Z37)/1000000</f>
        <v>1800.9311141280002</v>
      </c>
      <c r="AB150" s="302">
        <f>AB38*(BOM_average!AA37)/1000000</f>
        <v>1845.8747477280001</v>
      </c>
    </row>
    <row r="152" spans="2:28">
      <c r="B152" s="291" t="s">
        <v>7795</v>
      </c>
    </row>
    <row r="153" spans="2:28">
      <c r="B153" s="294" t="s">
        <v>437</v>
      </c>
      <c r="C153" s="299">
        <f>C$5*(BOM_average!B$35*BOM_average!B24)/1000000</f>
        <v>225.57612377849412</v>
      </c>
      <c r="D153" s="299">
        <f>D5*(BOM_average!C35*BOM_average!C24)/1000000</f>
        <v>412.39517167317712</v>
      </c>
      <c r="E153" s="299">
        <f>E5*(BOM_average!D35*BOM_average!D24)/1000000</f>
        <v>561.96265729977222</v>
      </c>
      <c r="F153" s="299">
        <f>F5*(BOM_average!E35*BOM_average!E24)/1000000</f>
        <v>676.3250279109252</v>
      </c>
      <c r="G153" s="299">
        <f>G5*(BOM_average!F35*BOM_average!F24)/1000000</f>
        <v>720.21383900061642</v>
      </c>
      <c r="H153" s="299">
        <f>H5*(BOM_average!G35*BOM_average!G24)/1000000</f>
        <v>789.7758217203417</v>
      </c>
      <c r="I153" s="299">
        <f>I5*(BOM_average!H35*BOM_average!H24)/1000000</f>
        <v>889.9320568295268</v>
      </c>
      <c r="J153" s="299">
        <f>J5*(BOM_average!I35*BOM_average!I24)/1000000</f>
        <v>959.62201632961637</v>
      </c>
      <c r="K153" s="299">
        <f>K5*(BOM_average!J35*BOM_average!J24)/1000000</f>
        <v>1020.641395356605</v>
      </c>
      <c r="L153" s="299">
        <f>L5*(BOM_average!K35*BOM_average!K24)/1000000</f>
        <v>1064.7130856286851</v>
      </c>
      <c r="M153" s="299">
        <f>M5*(BOM_average!L35*BOM_average!L24)/1000000</f>
        <v>1051.3316422965966</v>
      </c>
      <c r="N153" s="299">
        <f>N5*(BOM_average!M35*BOM_average!M24)/1000000</f>
        <v>1051.8703119350255</v>
      </c>
      <c r="O153" s="299">
        <f>O5*(BOM_average!N35*BOM_average!N24)/1000000</f>
        <v>1052.5974692871641</v>
      </c>
      <c r="P153" s="299">
        <f>P5*(BOM_average!O35*BOM_average!O24)/1000000</f>
        <v>1069.235390221842</v>
      </c>
      <c r="Q153" s="299">
        <f>Q5*(BOM_average!P35*BOM_average!P24)/1000000</f>
        <v>1082.4670797936194</v>
      </c>
      <c r="R153" s="299">
        <f>R5*(BOM_average!Q35*BOM_average!Q24)/1000000</f>
        <v>1092.5887956445417</v>
      </c>
      <c r="S153" s="299">
        <f>S5*(BOM_average!R35*BOM_average!R24)/1000000</f>
        <v>1099.8694405097526</v>
      </c>
      <c r="T153" s="299">
        <f>T5*(BOM_average!S35*BOM_average!S24)/1000000</f>
        <v>1107.219186410397</v>
      </c>
      <c r="U153" s="299">
        <f>U5*(BOM_average!T35*BOM_average!T24)/1000000</f>
        <v>1118.2412445721336</v>
      </c>
      <c r="V153" s="299">
        <f>V5*(BOM_average!U35*BOM_average!U24)/1000000</f>
        <v>1135.5774982750968</v>
      </c>
      <c r="W153" s="299">
        <f>W5*(BOM_average!V35*BOM_average!V24)/1000000</f>
        <v>1160.4329110065858</v>
      </c>
      <c r="X153" s="299">
        <f>X5*(BOM_average!W35*BOM_average!W24)/1000000</f>
        <v>1192.5270876629982</v>
      </c>
      <c r="Y153" s="299">
        <f>Y5*(BOM_average!X35*BOM_average!X24)/1000000</f>
        <v>1230.4090266295202</v>
      </c>
      <c r="Z153" s="299">
        <f>Z5*(BOM_average!Y35*BOM_average!Y24)/1000000</f>
        <v>1271.9396924737832</v>
      </c>
      <c r="AA153" s="299">
        <f>AA5*(BOM_average!Z35*BOM_average!Z24)/1000000</f>
        <v>1314.7762037110442</v>
      </c>
      <c r="AB153" s="299">
        <f>AB5*(BOM_average!AA35*BOM_average!AA24)/1000000</f>
        <v>1356.7551520113689</v>
      </c>
    </row>
    <row r="154" spans="2:28">
      <c r="B154" s="294" t="s">
        <v>217</v>
      </c>
      <c r="C154" s="299">
        <f>C5*(BOM_average!B35*BOM_average!B25)/1000000</f>
        <v>27.187613839806104</v>
      </c>
      <c r="D154" s="299">
        <f>D5*(BOM_average!C35*BOM_average!C25)/1000000</f>
        <v>49.704022256631283</v>
      </c>
      <c r="E154" s="299">
        <f>E5*(BOM_average!D35*BOM_average!D25)/1000000</f>
        <v>67.730677622868669</v>
      </c>
      <c r="F154" s="299">
        <f>F5*(BOM_average!E35*BOM_average!E25)/1000000</f>
        <v>81.514228461050251</v>
      </c>
      <c r="G154" s="299">
        <f>G5*(BOM_average!F35*BOM_average!F25)/1000000</f>
        <v>86.803937441804024</v>
      </c>
      <c r="H154" s="299">
        <f>H5*(BOM_average!G35*BOM_average!G25)/1000000</f>
        <v>95.187911296999161</v>
      </c>
      <c r="I154" s="299">
        <f>I5*(BOM_average!H35*BOM_average!H25)/1000000</f>
        <v>107.25926440913628</v>
      </c>
      <c r="J154" s="299">
        <f>J5*(BOM_average!I35*BOM_average!I25)/1000000</f>
        <v>115.65866269501463</v>
      </c>
      <c r="K154" s="299">
        <f>K5*(BOM_average!J35*BOM_average!J25)/1000000</f>
        <v>123.01303728901894</v>
      </c>
      <c r="L154" s="299">
        <f>L5*(BOM_average!K35*BOM_average!K25)/1000000</f>
        <v>128.32478782499959</v>
      </c>
      <c r="M154" s="299">
        <f>M5*(BOM_average!L35*BOM_average!L25)/1000000</f>
        <v>126.71198631108886</v>
      </c>
      <c r="N154" s="299">
        <f>N5*(BOM_average!M35*BOM_average!M25)/1000000</f>
        <v>126.77690959229221</v>
      </c>
      <c r="O154" s="299">
        <f>O5*(BOM_average!N35*BOM_average!N25)/1000000</f>
        <v>126.86455039824087</v>
      </c>
      <c r="P154" s="299">
        <f>P5*(BOM_average!O35*BOM_average!O25)/1000000</f>
        <v>128.86983961898051</v>
      </c>
      <c r="Q154" s="299">
        <f>Q5*(BOM_average!P35*BOM_average!P25)/1000000</f>
        <v>130.46459202672614</v>
      </c>
      <c r="R154" s="299">
        <f>R5*(BOM_average!Q35*BOM_average!Q25)/1000000</f>
        <v>131.68451414145019</v>
      </c>
      <c r="S154" s="299">
        <f>S5*(BOM_average!R35*BOM_average!R25)/1000000</f>
        <v>132.56201552672312</v>
      </c>
      <c r="T154" s="299">
        <f>T5*(BOM_average!S35*BOM_average!S25)/1000000</f>
        <v>133.44784533007424</v>
      </c>
      <c r="U154" s="299">
        <f>U5*(BOM_average!T35*BOM_average!T25)/1000000</f>
        <v>134.77628140744665</v>
      </c>
      <c r="V154" s="299">
        <f>V5*(BOM_average!U35*BOM_average!U25)/1000000</f>
        <v>136.86573734458256</v>
      </c>
      <c r="W154" s="299">
        <f>W5*(BOM_average!V35*BOM_average!V25)/1000000</f>
        <v>139.86144164100128</v>
      </c>
      <c r="X154" s="299">
        <f>X5*(BOM_average!W35*BOM_average!W25)/1000000</f>
        <v>143.72959961279923</v>
      </c>
      <c r="Y154" s="299">
        <f>Y5*(BOM_average!X35*BOM_average!X25)/1000000</f>
        <v>148.29532895894334</v>
      </c>
      <c r="Z154" s="299">
        <f>Z5*(BOM_average!Y35*BOM_average!Y25)/1000000</f>
        <v>153.30082194539341</v>
      </c>
      <c r="AA154" s="299">
        <f>AA5*(BOM_average!Z35*BOM_average!Z25)/1000000</f>
        <v>158.46370224608862</v>
      </c>
      <c r="AB154" s="299">
        <f>AB5*(BOM_average!AA35*BOM_average!AA25)/1000000</f>
        <v>163.52322457794281</v>
      </c>
    </row>
    <row r="155" spans="2:28">
      <c r="B155" s="294" t="s">
        <v>313</v>
      </c>
      <c r="C155" s="299">
        <f>C5*(BOM_average!B35*BOM_average!B26)/1000000</f>
        <v>143.90041231483798</v>
      </c>
      <c r="D155" s="299">
        <f>D5*(BOM_average!C35*BOM_average!C26)/1000000</f>
        <v>263.07675762126149</v>
      </c>
      <c r="E155" s="299">
        <f>E5*(BOM_average!D35*BOM_average!D26)/1000000</f>
        <v>358.4894391145171</v>
      </c>
      <c r="F155" s="299">
        <f>F5*(BOM_average!E35*BOM_average!E26)/1000000</f>
        <v>431.44393451318371</v>
      </c>
      <c r="G155" s="299">
        <f>G5*(BOM_average!F35*BOM_average!F26)/1000000</f>
        <v>459.44165832377757</v>
      </c>
      <c r="H155" s="299">
        <f>H5*(BOM_average!G35*BOM_average!G26)/1000000</f>
        <v>503.81691323610806</v>
      </c>
      <c r="I155" s="299">
        <f>I5*(BOM_average!H35*BOM_average!H26)/1000000</f>
        <v>567.70897453540613</v>
      </c>
      <c r="J155" s="299">
        <f>J5*(BOM_average!I35*BOM_average!I26)/1000000</f>
        <v>612.16586890120675</v>
      </c>
      <c r="K155" s="299">
        <f>K5*(BOM_average!J35*BOM_average!J26)/1000000</f>
        <v>651.09159230711703</v>
      </c>
      <c r="L155" s="299">
        <f>L5*(BOM_average!K35*BOM_average!K26)/1000000</f>
        <v>679.20597912844403</v>
      </c>
      <c r="M155" s="299">
        <f>M5*(BOM_average!L35*BOM_average!L26)/1000000</f>
        <v>670.66963591711192</v>
      </c>
      <c r="N155" s="299">
        <f>N5*(BOM_average!M35*BOM_average!M26)/1000000</f>
        <v>671.01326618157873</v>
      </c>
      <c r="O155" s="299">
        <f>O5*(BOM_average!N35*BOM_average!N26)/1000000</f>
        <v>671.47713727324299</v>
      </c>
      <c r="P155" s="299">
        <f>P5*(BOM_average!O35*BOM_average!O26)/1000000</f>
        <v>682.09086554580085</v>
      </c>
      <c r="Q155" s="299">
        <f>Q5*(BOM_average!P35*BOM_average!P26)/1000000</f>
        <v>690.53167724655691</v>
      </c>
      <c r="R155" s="299">
        <f>R5*(BOM_average!Q35*BOM_average!Q26)/1000000</f>
        <v>696.9885622212787</v>
      </c>
      <c r="S155" s="299">
        <f>S5*(BOM_average!R35*BOM_average!R26)/1000000</f>
        <v>701.63305996542181</v>
      </c>
      <c r="T155" s="299">
        <f>T5*(BOM_average!S35*BOM_average!S26)/1000000</f>
        <v>706.32163891516279</v>
      </c>
      <c r="U155" s="299">
        <f>U5*(BOM_average!T35*BOM_average!T26)/1000000</f>
        <v>713.35287381478145</v>
      </c>
      <c r="V155" s="299">
        <f>V5*(BOM_average!U35*BOM_average!U26)/1000000</f>
        <v>724.41208528656261</v>
      </c>
      <c r="W155" s="299">
        <f>W5*(BOM_average!V35*BOM_average!V26)/1000000</f>
        <v>740.26794840011132</v>
      </c>
      <c r="X155" s="299">
        <f>X5*(BOM_average!W35*BOM_average!W26)/1000000</f>
        <v>760.74159240286929</v>
      </c>
      <c r="Y155" s="299">
        <f>Y5*(BOM_average!X35*BOM_average!X26)/1000000</f>
        <v>784.90738861063176</v>
      </c>
      <c r="Z155" s="299">
        <f>Z5*(BOM_average!Y35*BOM_average!Y26)/1000000</f>
        <v>811.40079508731912</v>
      </c>
      <c r="AA155" s="299">
        <f>AA5*(BOM_average!Z35*BOM_average!Z26)/1000000</f>
        <v>838.7272316175613</v>
      </c>
      <c r="AB155" s="299">
        <f>AB5*(BOM_average!AA35*BOM_average!AA26)/1000000</f>
        <v>865.50660821014662</v>
      </c>
    </row>
    <row r="156" spans="2:28">
      <c r="B156" s="294" t="s">
        <v>6911</v>
      </c>
      <c r="C156" s="299">
        <f>C5*(BOM_average!B35*BOM_average!B27)/1000000</f>
        <v>542.82137516865805</v>
      </c>
      <c r="D156" s="299">
        <f>D5*(BOM_average!C35*BOM_average!C27)/1000000</f>
        <v>992.37858356129266</v>
      </c>
      <c r="E156" s="299">
        <f>E5*(BOM_average!D35*BOM_average!D27)/1000000</f>
        <v>1352.2944597116887</v>
      </c>
      <c r="F156" s="299">
        <f>F5*(BOM_average!E35*BOM_average!E27)/1000000</f>
        <v>1627.4935288456716</v>
      </c>
      <c r="G156" s="299">
        <f>G5*(BOM_average!F35*BOM_average!F27)/1000000</f>
        <v>1733.1065892669844</v>
      </c>
      <c r="H156" s="299">
        <f>H5*(BOM_average!G35*BOM_average!G27)/1000000</f>
        <v>1900.4989998062226</v>
      </c>
      <c r="I156" s="299">
        <f>I5*(BOM_average!H35*BOM_average!H27)/1000000</f>
        <v>2141.5127399264725</v>
      </c>
      <c r="J156" s="299">
        <f>J5*(BOM_average!I35*BOM_average!I27)/1000000</f>
        <v>2309.2131109481566</v>
      </c>
      <c r="K156" s="299">
        <f>K5*(BOM_average!J35*BOM_average!J27)/1000000</f>
        <v>2456.0487896563004</v>
      </c>
      <c r="L156" s="299">
        <f>L5*(BOM_average!K35*BOM_average!K27)/1000000</f>
        <v>2562.1019264811407</v>
      </c>
      <c r="M156" s="299">
        <f>M5*(BOM_average!L35*BOM_average!L27)/1000000</f>
        <v>2529.9011183920788</v>
      </c>
      <c r="N156" s="299">
        <f>N5*(BOM_average!M35*BOM_average!M27)/1000000</f>
        <v>2531.1973610484192</v>
      </c>
      <c r="O156" s="299">
        <f>O5*(BOM_average!N35*BOM_average!N27)/1000000</f>
        <v>2532.9471763535157</v>
      </c>
      <c r="P156" s="299">
        <f>P5*(BOM_average!O35*BOM_average!O27)/1000000</f>
        <v>2572.98429983285</v>
      </c>
      <c r="Q156" s="299">
        <f>Q5*(BOM_average!P35*BOM_average!P27)/1000000</f>
        <v>2604.8247437984974</v>
      </c>
      <c r="R156" s="299">
        <f>R5*(BOM_average!Q35*BOM_average!Q27)/1000000</f>
        <v>2629.1814160616445</v>
      </c>
      <c r="S156" s="299">
        <f>S5*(BOM_average!R35*BOM_average!R27)/1000000</f>
        <v>2646.7013981929504</v>
      </c>
      <c r="T156" s="299">
        <f>T5*(BOM_average!S35*BOM_average!S27)/1000000</f>
        <v>2664.3876635214815</v>
      </c>
      <c r="U156" s="299">
        <f>U5*(BOM_average!T35*BOM_average!T27)/1000000</f>
        <v>2690.9108995285769</v>
      </c>
      <c r="V156" s="299">
        <f>V5*(BOM_average!U35*BOM_average!U27)/1000000</f>
        <v>2732.6284754744961</v>
      </c>
      <c r="W156" s="299">
        <f>W5*(BOM_average!V35*BOM_average!V27)/1000000</f>
        <v>2792.4399887379295</v>
      </c>
      <c r="X156" s="299">
        <f>X5*(BOM_average!W35*BOM_average!W27)/1000000</f>
        <v>2869.6707027679595</v>
      </c>
      <c r="Y156" s="299">
        <f>Y5*(BOM_average!X35*BOM_average!X27)/1000000</f>
        <v>2960.8289594993093</v>
      </c>
      <c r="Z156" s="299">
        <f>Z5*(BOM_average!Y35*BOM_average!Y27)/1000000</f>
        <v>3060.7674315664585</v>
      </c>
      <c r="AA156" s="299">
        <f>AA5*(BOM_average!Z35*BOM_average!Z27)/1000000</f>
        <v>3163.8482609900143</v>
      </c>
      <c r="AB156" s="299">
        <f>AB5*(BOM_average!AA35*BOM_average!AA27)/1000000</f>
        <v>3264.8654700049715</v>
      </c>
    </row>
    <row r="157" spans="2:28">
      <c r="B157" s="294" t="s">
        <v>441</v>
      </c>
      <c r="C157" s="299">
        <f>C5*(BOM_average!B35*BOM_average!B28)/1000000</f>
        <v>518.95793600551895</v>
      </c>
      <c r="D157" s="299">
        <f>D5*(BOM_average!C35*BOM_average!C28)/1000000</f>
        <v>948.75177179792183</v>
      </c>
      <c r="E157" s="299">
        <f>E5*(BOM_average!D35*BOM_average!D28)/1000000</f>
        <v>1292.8450753539828</v>
      </c>
      <c r="F157" s="299">
        <f>F5*(BOM_average!E35*BOM_average!E28)/1000000</f>
        <v>1555.9458805940819</v>
      </c>
      <c r="G157" s="299">
        <f>G5*(BOM_average!F35*BOM_average!F28)/1000000</f>
        <v>1656.9159940765167</v>
      </c>
      <c r="H157" s="299">
        <f>H5*(BOM_average!G35*BOM_average!G28)/1000000</f>
        <v>1816.9495223240742</v>
      </c>
      <c r="I157" s="299">
        <f>I5*(BOM_average!H35*BOM_average!H28)/1000000</f>
        <v>2047.3678493159205</v>
      </c>
      <c r="J157" s="299">
        <f>J5*(BOM_average!I35*BOM_average!I28)/1000000</f>
        <v>2207.6957995292519</v>
      </c>
      <c r="K157" s="299">
        <f>K5*(BOM_average!J35*BOM_average!J28)/1000000</f>
        <v>2348.0763081830828</v>
      </c>
      <c r="L157" s="299">
        <f>L5*(BOM_average!K35*BOM_average!K28)/1000000</f>
        <v>2449.467151490293</v>
      </c>
      <c r="M157" s="299">
        <f>M5*(BOM_average!L35*BOM_average!L28)/1000000</f>
        <v>2418.6819509288425</v>
      </c>
      <c r="N157" s="299">
        <f>N5*(BOM_average!M35*BOM_average!M28)/1000000</f>
        <v>2419.9212083425505</v>
      </c>
      <c r="O157" s="299">
        <f>O5*(BOM_average!N35*BOM_average!N28)/1000000</f>
        <v>2421.5940985061725</v>
      </c>
      <c r="P157" s="299">
        <f>P5*(BOM_average!O35*BOM_average!O28)/1000000</f>
        <v>2459.871115430898</v>
      </c>
      <c r="Q157" s="299">
        <f>Q5*(BOM_average!P35*BOM_average!P28)/1000000</f>
        <v>2490.3117941473133</v>
      </c>
      <c r="R157" s="299">
        <f>R5*(BOM_average!Q35*BOM_average!Q28)/1000000</f>
        <v>2513.5977017107703</v>
      </c>
      <c r="S157" s="299">
        <f>S5*(BOM_average!R35*BOM_average!R28)/1000000</f>
        <v>2530.3474727802882</v>
      </c>
      <c r="T157" s="299">
        <f>T5*(BOM_average!S35*BOM_average!S28)/1000000</f>
        <v>2547.256216927824</v>
      </c>
      <c r="U157" s="299">
        <f>U5*(BOM_average!T35*BOM_average!T28)/1000000</f>
        <v>2572.613442055801</v>
      </c>
      <c r="V157" s="299">
        <f>V5*(BOM_average!U35*BOM_average!U28)/1000000</f>
        <v>2612.4970356252702</v>
      </c>
      <c r="W157" s="299">
        <f>W5*(BOM_average!V35*BOM_average!V28)/1000000</f>
        <v>2669.6791233109557</v>
      </c>
      <c r="X157" s="299">
        <f>X5*(BOM_average!W35*BOM_average!W28)/1000000</f>
        <v>2743.5146312380411</v>
      </c>
      <c r="Y157" s="299">
        <f>Y5*(BOM_average!X35*BOM_average!X28)/1000000</f>
        <v>2830.6654011362671</v>
      </c>
      <c r="Z157" s="299">
        <f>Z5*(BOM_average!Y35*BOM_average!Y28)/1000000</f>
        <v>2926.2103917427967</v>
      </c>
      <c r="AA157" s="299">
        <f>AA5*(BOM_average!Z35*BOM_average!Z28)/1000000</f>
        <v>3024.7595958207762</v>
      </c>
      <c r="AB157" s="299">
        <f>AB5*(BOM_average!AA35*BOM_average!AA28)/1000000</f>
        <v>3121.3359000887349</v>
      </c>
    </row>
    <row r="158" spans="2:28">
      <c r="B158" s="294" t="s">
        <v>6912</v>
      </c>
      <c r="C158" s="299">
        <f>C5*(BOM_average!B35*BOM_average!B29)/1000000</f>
        <v>319.71199608722554</v>
      </c>
      <c r="D158" s="299">
        <f>D5*(BOM_average!C35*BOM_average!C29)/1000000</f>
        <v>584.4930806676781</v>
      </c>
      <c r="E158" s="299">
        <f>E5*(BOM_average!D35*BOM_average!D29)/1000000</f>
        <v>796.47703791654851</v>
      </c>
      <c r="F158" s="299">
        <f>F5*(BOM_average!E35*BOM_average!E29)/1000000</f>
        <v>958.56432434080682</v>
      </c>
      <c r="G158" s="299">
        <f>G5*(BOM_average!F35*BOM_average!F29)/1000000</f>
        <v>1020.7685113990034</v>
      </c>
      <c r="H158" s="299">
        <f>H5*(BOM_average!G35*BOM_average!G29)/1000000</f>
        <v>1119.3596210190399</v>
      </c>
      <c r="I158" s="299">
        <f>I5*(BOM_average!H35*BOM_average!H29)/1000000</f>
        <v>1261.3123654450519</v>
      </c>
      <c r="J158" s="299">
        <f>J5*(BOM_average!I35*BOM_average!I29)/1000000</f>
        <v>1360.0848582328535</v>
      </c>
      <c r="K158" s="299">
        <f>K5*(BOM_average!J35*BOM_average!J29)/1000000</f>
        <v>1446.5684237004389</v>
      </c>
      <c r="L158" s="299">
        <f>L5*(BOM_average!K35*BOM_average!K29)/1000000</f>
        <v>1509.0318078202081</v>
      </c>
      <c r="M158" s="299">
        <f>M5*(BOM_average!L35*BOM_average!L29)/1000000</f>
        <v>1490.066112840756</v>
      </c>
      <c r="N158" s="299">
        <f>N5*(BOM_average!M35*BOM_average!M29)/1000000</f>
        <v>1490.8295763778049</v>
      </c>
      <c r="O158" s="299">
        <f>O5*(BOM_average!N35*BOM_average!N29)/1000000</f>
        <v>1491.8601860213591</v>
      </c>
      <c r="P158" s="299">
        <f>P5*(BOM_average!O35*BOM_average!O29)/1000000</f>
        <v>1515.4413293784933</v>
      </c>
      <c r="Q158" s="299">
        <f>Q5*(BOM_average!P35*BOM_average!P29)/1000000</f>
        <v>1534.1947763911455</v>
      </c>
      <c r="R158" s="299">
        <f>R5*(BOM_average!Q35*BOM_average!Q29)/1000000</f>
        <v>1548.5404168974239</v>
      </c>
      <c r="S158" s="299">
        <f>S5*(BOM_average!R35*BOM_average!R29)/1000000</f>
        <v>1558.859370267438</v>
      </c>
      <c r="T158" s="299">
        <f>T5*(BOM_average!S35*BOM_average!S29)/1000000</f>
        <v>1569.276261440443</v>
      </c>
      <c r="U158" s="299">
        <f>U5*(BOM_average!T35*BOM_average!T29)/1000000</f>
        <v>1584.8979689015512</v>
      </c>
      <c r="V158" s="299">
        <f>V5*(BOM_average!U35*BOM_average!U29)/1000000</f>
        <v>1609.4688684418393</v>
      </c>
      <c r="W158" s="299">
        <f>W5*(BOM_average!V35*BOM_average!V29)/1000000</f>
        <v>1644.6967706011976</v>
      </c>
      <c r="X158" s="299">
        <f>X5*(BOM_average!W35*BOM_average!W29)/1000000</f>
        <v>1690.1842677251104</v>
      </c>
      <c r="Y158" s="299">
        <f>Y5*(BOM_average!X35*BOM_average!X29)/1000000</f>
        <v>1743.8748362115784</v>
      </c>
      <c r="Z158" s="299">
        <f>Z5*(BOM_average!Y35*BOM_average!Y29)/1000000</f>
        <v>1802.7367931132721</v>
      </c>
      <c r="AA158" s="299">
        <f>AA5*(BOM_average!Z35*BOM_average!Z29)/1000000</f>
        <v>1863.4495418017189</v>
      </c>
      <c r="AB158" s="299">
        <f>AB5*(BOM_average!AA35*BOM_average!AA29)/1000000</f>
        <v>1922.946855302496</v>
      </c>
    </row>
    <row r="159" spans="2:28">
      <c r="B159" s="294" t="s">
        <v>443</v>
      </c>
      <c r="C159" s="299">
        <f>C5*(BOM_average!B35*BOM_average!B30)/1000000</f>
        <v>153.17252471606278</v>
      </c>
      <c r="D159" s="299">
        <f>D5*(BOM_average!C35*BOM_average!C30)/1000000</f>
        <v>280.02790618001086</v>
      </c>
      <c r="E159" s="299">
        <f>E5*(BOM_average!D35*BOM_average!D30)/1000000</f>
        <v>381.58843042838066</v>
      </c>
      <c r="F159" s="299">
        <f>F5*(BOM_average!E35*BOM_average!E30)/1000000</f>
        <v>459.24369263257319</v>
      </c>
      <c r="G159" s="299">
        <f>G5*(BOM_average!F35*BOM_average!F30)/1000000</f>
        <v>489.04542824531734</v>
      </c>
      <c r="H159" s="299">
        <f>H5*(BOM_average!G35*BOM_average!G30)/1000000</f>
        <v>536.27996858123595</v>
      </c>
      <c r="I159" s="299">
        <f>I5*(BOM_average!H35*BOM_average!H30)/1000000</f>
        <v>604.2888657143111</v>
      </c>
      <c r="J159" s="299">
        <f>J5*(BOM_average!I35*BOM_average!I30)/1000000</f>
        <v>651.61030587909954</v>
      </c>
      <c r="K159" s="299">
        <f>K5*(BOM_average!J35*BOM_average!J30)/1000000</f>
        <v>693.0441783369314</v>
      </c>
      <c r="L159" s="299">
        <f>L5*(BOM_average!K35*BOM_average!K30)/1000000</f>
        <v>722.97009405178608</v>
      </c>
      <c r="M159" s="299">
        <f>M5*(BOM_average!L35*BOM_average!L30)/1000000</f>
        <v>713.88371813048684</v>
      </c>
      <c r="N159" s="299">
        <f>N5*(BOM_average!M35*BOM_average!M30)/1000000</f>
        <v>714.24948994677663</v>
      </c>
      <c r="O159" s="299">
        <f>O5*(BOM_average!N35*BOM_average!N30)/1000000</f>
        <v>714.74325021549316</v>
      </c>
      <c r="P159" s="299">
        <f>P5*(BOM_average!O35*BOM_average!O30)/1000000</f>
        <v>726.04086590682994</v>
      </c>
      <c r="Q159" s="299">
        <f>Q5*(BOM_average!P35*BOM_average!P30)/1000000</f>
        <v>735.02555481813738</v>
      </c>
      <c r="R159" s="299">
        <f>R5*(BOM_average!Q35*BOM_average!Q30)/1000000</f>
        <v>741.89848421055285</v>
      </c>
      <c r="S159" s="299">
        <f>S5*(BOM_average!R35*BOM_average!R30)/1000000</f>
        <v>746.84224659499944</v>
      </c>
      <c r="T159" s="299">
        <f>T5*(BOM_average!S35*BOM_average!S30)/1000000</f>
        <v>751.83293052362603</v>
      </c>
      <c r="U159" s="299">
        <f>U5*(BOM_average!T35*BOM_average!T30)/1000000</f>
        <v>759.31721763664655</v>
      </c>
      <c r="V159" s="299">
        <f>V5*(BOM_average!U35*BOM_average!U30)/1000000</f>
        <v>771.0890208945508</v>
      </c>
      <c r="W159" s="299">
        <f>W5*(BOM_average!V35*BOM_average!V30)/1000000</f>
        <v>787.96654435390587</v>
      </c>
      <c r="X159" s="299">
        <f>X5*(BOM_average!W35*BOM_average!W30)/1000000</f>
        <v>809.75939186277276</v>
      </c>
      <c r="Y159" s="299">
        <f>Y5*(BOM_average!X35*BOM_average!X30)/1000000</f>
        <v>835.48229256453203</v>
      </c>
      <c r="Z159" s="299">
        <f>Z5*(BOM_average!Y35*BOM_average!Y30)/1000000</f>
        <v>863.68278131285138</v>
      </c>
      <c r="AA159" s="299">
        <f>AA5*(BOM_average!Z35*BOM_average!Z30)/1000000</f>
        <v>892.76997576558654</v>
      </c>
      <c r="AB159" s="299">
        <f>AB5*(BOM_average!AA35*BOM_average!AA30)/1000000</f>
        <v>921.27486089429692</v>
      </c>
    </row>
    <row r="160" spans="2:28">
      <c r="B160" s="294" t="s">
        <v>445</v>
      </c>
      <c r="C160" s="299">
        <f>C5*(BOM_average!B35*BOM_average!B31)/1000000</f>
        <v>199.29388847133947</v>
      </c>
      <c r="D160" s="299">
        <f>D5*(BOM_average!C35*BOM_average!C31)/1000000</f>
        <v>364.34635001644904</v>
      </c>
      <c r="E160" s="299">
        <f>E5*(BOM_average!D35*BOM_average!D31)/1000000</f>
        <v>496.48748844950131</v>
      </c>
      <c r="F160" s="299">
        <f>F5*(BOM_average!E35*BOM_average!E31)/1000000</f>
        <v>597.52531617757052</v>
      </c>
      <c r="G160" s="299">
        <f>G5*(BOM_average!F35*BOM_average!F31)/1000000</f>
        <v>636.30057162542789</v>
      </c>
      <c r="H160" s="299">
        <f>H5*(BOM_average!G35*BOM_average!G31)/1000000</f>
        <v>697.75777637642045</v>
      </c>
      <c r="I160" s="299">
        <f>I5*(BOM_average!H35*BOM_average!H31)/1000000</f>
        <v>786.24464819251546</v>
      </c>
      <c r="J160" s="299">
        <f>J5*(BOM_average!I35*BOM_average!I31)/1000000</f>
        <v>847.81491894431372</v>
      </c>
      <c r="K160" s="299">
        <f>K5*(BOM_average!J35*BOM_average!J31)/1000000</f>
        <v>901.72483243469901</v>
      </c>
      <c r="L160" s="299">
        <f>L5*(BOM_average!K35*BOM_average!K31)/1000000</f>
        <v>940.66165951863309</v>
      </c>
      <c r="M160" s="299">
        <f>M5*(BOM_average!L35*BOM_average!L31)/1000000</f>
        <v>928.8393095715727</v>
      </c>
      <c r="N160" s="299">
        <f>N5*(BOM_average!M35*BOM_average!M31)/1000000</f>
        <v>929.31521794806986</v>
      </c>
      <c r="O160" s="299">
        <f>O5*(BOM_average!N35*BOM_average!N31)/1000000</f>
        <v>929.95765303300163</v>
      </c>
      <c r="P160" s="299">
        <f>P5*(BOM_average!O35*BOM_average!O31)/1000000</f>
        <v>944.65706316386581</v>
      </c>
      <c r="Q160" s="299">
        <f>Q5*(BOM_average!P35*BOM_average!P31)/1000000</f>
        <v>956.34710740097046</v>
      </c>
      <c r="R160" s="299">
        <f>R5*(BOM_average!Q35*BOM_average!Q31)/1000000</f>
        <v>965.28952593420615</v>
      </c>
      <c r="S160" s="299">
        <f>S5*(BOM_average!R35*BOM_average!R31)/1000000</f>
        <v>971.72189121055783</v>
      </c>
      <c r="T160" s="299">
        <f>T5*(BOM_average!S35*BOM_average!S31)/1000000</f>
        <v>978.21530645008022</v>
      </c>
      <c r="U160" s="299">
        <f>U5*(BOM_average!T35*BOM_average!T31)/1000000</f>
        <v>987.95316697013595</v>
      </c>
      <c r="V160" s="299">
        <f>V5*(BOM_average!U35*BOM_average!U31)/1000000</f>
        <v>1003.2695460004887</v>
      </c>
      <c r="W160" s="299">
        <f>W5*(BOM_average!V35*BOM_average!V31)/1000000</f>
        <v>1025.2290148035017</v>
      </c>
      <c r="X160" s="299">
        <f>X5*(BOM_average!W35*BOM_average!W31)/1000000</f>
        <v>1053.5838475579794</v>
      </c>
      <c r="Y160" s="299">
        <f>Y5*(BOM_average!X35*BOM_average!X31)/1000000</f>
        <v>1087.0521011701637</v>
      </c>
      <c r="Z160" s="299">
        <f>Z5*(BOM_average!Y35*BOM_average!Y31)/1000000</f>
        <v>1123.7439626503019</v>
      </c>
      <c r="AA160" s="299">
        <f>AA5*(BOM_average!Z35*BOM_average!Z31)/1000000</f>
        <v>1161.589523386167</v>
      </c>
      <c r="AB160" s="299">
        <f>AB5*(BOM_average!AA35*BOM_average!AA31)/1000000</f>
        <v>1198.6774372157536</v>
      </c>
    </row>
    <row r="161" spans="2:28">
      <c r="B161" s="294" t="s">
        <v>6915</v>
      </c>
      <c r="C161" s="299">
        <f>C5*(BOM_average!B35*BOM_average!B32)/1000000</f>
        <v>58.973834696251373</v>
      </c>
      <c r="D161" s="299">
        <f>D5*(BOM_average!C35*BOM_average!C32)/1000000</f>
        <v>107.81515470878398</v>
      </c>
      <c r="E161" s="299">
        <f>E5*(BOM_average!D35*BOM_average!D32)/1000000</f>
        <v>146.91755626409304</v>
      </c>
      <c r="F161" s="299">
        <f>F5*(BOM_average!E35*BOM_average!E32)/1000000</f>
        <v>176.81605539122697</v>
      </c>
      <c r="G161" s="299">
        <f>G5*(BOM_average!F35*BOM_average!F32)/1000000</f>
        <v>188.29019302097029</v>
      </c>
      <c r="H161" s="299">
        <f>H5*(BOM_average!G35*BOM_average!G32)/1000000</f>
        <v>206.47623506008648</v>
      </c>
      <c r="I161" s="299">
        <f>I5*(BOM_average!H35*BOM_average!H32)/1000000</f>
        <v>232.6607316911572</v>
      </c>
      <c r="J161" s="299">
        <f>J5*(BOM_average!I35*BOM_average!I32)/1000000</f>
        <v>250.88023153318159</v>
      </c>
      <c r="K161" s="299">
        <f>K5*(BOM_average!J35*BOM_average!J32)/1000000</f>
        <v>266.83292507063749</v>
      </c>
      <c r="L161" s="299">
        <f>L5*(BOM_average!K35*BOM_average!K32)/1000000</f>
        <v>278.35487399570286</v>
      </c>
      <c r="M161" s="299">
        <f>M5*(BOM_average!L35*BOM_average!L32)/1000000</f>
        <v>274.85647614292856</v>
      </c>
      <c r="N161" s="299">
        <f>N5*(BOM_average!M35*BOM_average!M32)/1000000</f>
        <v>274.99730405361549</v>
      </c>
      <c r="O161" s="299">
        <f>O5*(BOM_average!N35*BOM_average!N32)/1000000</f>
        <v>275.18740953448327</v>
      </c>
      <c r="P161" s="299">
        <f>P5*(BOM_average!O35*BOM_average!O32)/1000000</f>
        <v>279.53716952882775</v>
      </c>
      <c r="Q161" s="299">
        <f>Q5*(BOM_average!P35*BOM_average!P32)/1000000</f>
        <v>282.99641628104325</v>
      </c>
      <c r="R161" s="299">
        <f>R5*(BOM_average!Q35*BOM_average!Q32)/1000000</f>
        <v>285.64260235533209</v>
      </c>
      <c r="S161" s="299">
        <f>S5*(BOM_average!R35*BOM_average!R32)/1000000</f>
        <v>287.54602874448608</v>
      </c>
      <c r="T161" s="299">
        <f>T5*(BOM_average!S35*BOM_average!S32)/1000000</f>
        <v>289.46752066722911</v>
      </c>
      <c r="U161" s="299">
        <f>U5*(BOM_average!T35*BOM_average!T32)/1000000</f>
        <v>292.34908909368642</v>
      </c>
      <c r="V161" s="299">
        <f>V5*(BOM_average!U35*BOM_average!U32)/1000000</f>
        <v>296.8814187702738</v>
      </c>
      <c r="W161" s="299">
        <f>W5*(BOM_average!V35*BOM_average!V32)/1000000</f>
        <v>303.37953114662315</v>
      </c>
      <c r="X161" s="299">
        <f>X5*(BOM_average!W35*BOM_average!W32)/1000000</f>
        <v>311.77012070523307</v>
      </c>
      <c r="Y161" s="299">
        <f>Y5*(BOM_average!X35*BOM_average!X32)/1000000</f>
        <v>321.67384264691736</v>
      </c>
      <c r="Z161" s="299">
        <f>Z5*(BOM_average!Y35*BOM_average!Y32)/1000000</f>
        <v>332.53147501198913</v>
      </c>
      <c r="AA161" s="299">
        <f>AA5*(BOM_average!Z35*BOM_average!Z32)/1000000</f>
        <v>343.73050304011065</v>
      </c>
      <c r="AB161" s="299">
        <f>AB5*(BOM_average!AA35*BOM_average!AA32)/1000000</f>
        <v>354.70533280629985</v>
      </c>
    </row>
    <row r="162" spans="2:28" ht="17" thickBot="1">
      <c r="B162" s="297" t="s">
        <v>447</v>
      </c>
      <c r="C162" s="300">
        <f>C5*(BOM_average!B35*BOM_average!B33)/1000000</f>
        <v>94.721145415139233</v>
      </c>
      <c r="D162" s="300">
        <f>D5*(BOM_average!C35*BOM_average!C33)/1000000</f>
        <v>173.16789725012748</v>
      </c>
      <c r="E162" s="300">
        <f>E5*(BOM_average!D35*BOM_average!D33)/1000000</f>
        <v>235.97243222531418</v>
      </c>
      <c r="F162" s="300">
        <f>F5*(BOM_average!E35*BOM_average!E33)/1000000</f>
        <v>283.99406924624344</v>
      </c>
      <c r="G162" s="300">
        <f>G5*(BOM_average!F35*BOM_average!F33)/1000000</f>
        <v>302.42331781958268</v>
      </c>
      <c r="H162" s="300">
        <f>H5*(BOM_average!G35*BOM_average!G33)/1000000</f>
        <v>331.632928172807</v>
      </c>
      <c r="I162" s="300">
        <f>I5*(BOM_average!H35*BOM_average!H33)/1000000</f>
        <v>373.68929988050479</v>
      </c>
      <c r="J162" s="300">
        <f>J5*(BOM_average!I35*BOM_average!I33)/1000000</f>
        <v>402.95264866588047</v>
      </c>
      <c r="K162" s="300">
        <f>K5*(BOM_average!J35*BOM_average!J33)/1000000</f>
        <v>428.57515417374361</v>
      </c>
      <c r="L162" s="300">
        <f>L5*(BOM_average!K35*BOM_average!K33)/1000000</f>
        <v>447.08119511915805</v>
      </c>
      <c r="M162" s="300">
        <f>M5*(BOM_average!L35*BOM_average!L33)/1000000</f>
        <v>441.46222437663459</v>
      </c>
      <c r="N162" s="300">
        <f>N5*(BOM_average!M35*BOM_average!M33)/1000000</f>
        <v>441.6884158914886</v>
      </c>
      <c r="O162" s="300">
        <f>O5*(BOM_average!N35*BOM_average!N33)/1000000</f>
        <v>441.99375484375838</v>
      </c>
      <c r="P162" s="300">
        <f>P5*(BOM_average!O35*BOM_average!O33)/1000000</f>
        <v>448.98014552137607</v>
      </c>
      <c r="Q162" s="300">
        <f>Q5*(BOM_average!P35*BOM_average!P33)/1000000</f>
        <v>454.53623351075487</v>
      </c>
      <c r="R162" s="300">
        <f>R5*(BOM_average!Q35*BOM_average!Q33)/1000000</f>
        <v>458.78641966923038</v>
      </c>
      <c r="S162" s="300">
        <f>S5*(BOM_average!R35*BOM_average!R33)/1000000</f>
        <v>461.84361831881279</v>
      </c>
      <c r="T162" s="300">
        <f>T5*(BOM_average!S35*BOM_average!S33)/1000000</f>
        <v>464.92983302344555</v>
      </c>
      <c r="U162" s="300">
        <f>U5*(BOM_average!T35*BOM_average!T33)/1000000</f>
        <v>469.55807982733677</v>
      </c>
      <c r="V162" s="300">
        <f>V5*(BOM_average!U35*BOM_average!U33)/1000000</f>
        <v>476.83770579326836</v>
      </c>
      <c r="W162" s="300">
        <f>W5*(BOM_average!V35*BOM_average!V33)/1000000</f>
        <v>487.27468433628349</v>
      </c>
      <c r="X162" s="300">
        <f>X5*(BOM_average!W35*BOM_average!W33)/1000000</f>
        <v>500.75127540066558</v>
      </c>
      <c r="Y162" s="300">
        <f>Y5*(BOM_average!X35*BOM_average!X33)/1000000</f>
        <v>516.65819227356496</v>
      </c>
      <c r="Z162" s="300">
        <f>Z5*(BOM_average!Y35*BOM_average!Y33)/1000000</f>
        <v>534.09723756226242</v>
      </c>
      <c r="AA162" s="300">
        <f>AA5*(BOM_average!Z35*BOM_average!Z33)/1000000</f>
        <v>552.08461735236017</v>
      </c>
      <c r="AB162" s="300">
        <f>AB5*(BOM_average!AA35*BOM_average!AA33)/1000000</f>
        <v>569.71189988441643</v>
      </c>
    </row>
    <row r="163" spans="2:28">
      <c r="B163" s="296" t="s">
        <v>7756</v>
      </c>
      <c r="C163" s="301">
        <f>C5*(BOM_average!B35)/1000000</f>
        <v>2284.3168504933333</v>
      </c>
      <c r="D163" s="301">
        <f>D5*(BOM_average!C35)/1000000</f>
        <v>4176.1566957333334</v>
      </c>
      <c r="E163" s="301">
        <f>E5*(BOM_average!D35)/1000000</f>
        <v>5690.765254386667</v>
      </c>
      <c r="F163" s="301">
        <f>F5*(BOM_average!E35)/1000000</f>
        <v>6848.8660581133336</v>
      </c>
      <c r="G163" s="301">
        <f>G5*(BOM_average!F35)/1000000</f>
        <v>7293.3100402200007</v>
      </c>
      <c r="H163" s="301">
        <f>H5*(BOM_average!G35)/1000000</f>
        <v>7997.7356975933353</v>
      </c>
      <c r="I163" s="301">
        <f>I5*(BOM_average!H35)/1000000</f>
        <v>9011.9767959400033</v>
      </c>
      <c r="J163" s="301">
        <f>J5*(BOM_average!I35)/1000000</f>
        <v>9717.6984216585752</v>
      </c>
      <c r="K163" s="301">
        <f>K5*(BOM_average!J35)/1000000</f>
        <v>10335.616636508574</v>
      </c>
      <c r="L163" s="301">
        <f>L5*(BOM_average!K35)/1000000</f>
        <v>10781.912561059049</v>
      </c>
      <c r="M163" s="301">
        <f>M5*(BOM_average!L35)/1000000</f>
        <v>10646.404174908097</v>
      </c>
      <c r="N163" s="301">
        <f>N5*(BOM_average!M35)/1000000</f>
        <v>10651.859061317622</v>
      </c>
      <c r="O163" s="301">
        <f>O5*(BOM_average!N35)/1000000</f>
        <v>10659.222685466433</v>
      </c>
      <c r="P163" s="301">
        <f>P5*(BOM_average!O35)/1000000</f>
        <v>10827.708084149765</v>
      </c>
      <c r="Q163" s="301">
        <f>Q5*(BOM_average!P35)/1000000</f>
        <v>10961.699975414764</v>
      </c>
      <c r="R163" s="301">
        <f>R5*(BOM_average!Q35)/1000000</f>
        <v>11064.19843884643</v>
      </c>
      <c r="S163" s="301">
        <f>S5*(BOM_average!R35)/1000000</f>
        <v>11137.926542111429</v>
      </c>
      <c r="T163" s="301">
        <f>T5*(BOM_average!S35)/1000000</f>
        <v>11212.354403209763</v>
      </c>
      <c r="U163" s="301">
        <f>U5*(BOM_average!T35)/1000000</f>
        <v>11323.970263808096</v>
      </c>
      <c r="V163" s="301">
        <f>V5*(BOM_average!U35)/1000000</f>
        <v>11499.527391906429</v>
      </c>
      <c r="W163" s="301">
        <f>W5*(BOM_average!V35)/1000000</f>
        <v>11751.227958338095</v>
      </c>
      <c r="X163" s="301">
        <f>X5*(BOM_average!W35)/1000000</f>
        <v>12076.232516936429</v>
      </c>
      <c r="Y163" s="301">
        <f>Y5*(BOM_average!X35)/1000000</f>
        <v>12459.847369701427</v>
      </c>
      <c r="Z163" s="301">
        <f>Z5*(BOM_average!Y35)/1000000</f>
        <v>12880.411382466429</v>
      </c>
      <c r="AA163" s="301">
        <f>AA5*(BOM_average!Z35)/1000000</f>
        <v>13314.199155731429</v>
      </c>
      <c r="AB163" s="301">
        <f>AB5*(BOM_average!AA35)/1000000</f>
        <v>13739.302740996427</v>
      </c>
    </row>
    <row r="164" spans="2:28">
      <c r="B164" s="295" t="s">
        <v>7757</v>
      </c>
      <c r="C164" s="299">
        <f>C5*(BOM_average!B36)/1000000</f>
        <v>3038.6202445279996</v>
      </c>
      <c r="D164" s="299">
        <f>D5*(BOM_average!C36)/1000000</f>
        <v>5555.1638019199991</v>
      </c>
      <c r="E164" s="299">
        <f>E5*(BOM_average!D36)/1000000</f>
        <v>7569.9106737759994</v>
      </c>
      <c r="F164" s="299">
        <f>F5*(BOM_average!E36)/1000000</f>
        <v>9110.4275012239996</v>
      </c>
      <c r="G164" s="299">
        <f>G5*(BOM_average!F36)/1000000</f>
        <v>9701.6311607759999</v>
      </c>
      <c r="H164" s="299">
        <f>H5*(BOM_average!G36)/1000000</f>
        <v>10638.664945208</v>
      </c>
      <c r="I164" s="299">
        <f>I5*(BOM_average!H36)/1000000</f>
        <v>11987.818208952</v>
      </c>
      <c r="J164" s="299">
        <f>J5*(BOM_average!I36)/1000000</f>
        <v>12926.575902941146</v>
      </c>
      <c r="K164" s="299">
        <f>K5*(BOM_average!J36)/1000000</f>
        <v>13748.536655321144</v>
      </c>
      <c r="L164" s="299">
        <f>L5*(BOM_average!K36)/1000000</f>
        <v>14342.203786523429</v>
      </c>
      <c r="M164" s="299">
        <f>M5*(BOM_average!L36)/1000000</f>
        <v>14161.949227978857</v>
      </c>
      <c r="N164" s="299">
        <f>N5*(BOM_average!M36)/1000000</f>
        <v>14169.205370344571</v>
      </c>
      <c r="O164" s="299">
        <f>O5*(BOM_average!N36)/1000000</f>
        <v>14179.000534008857</v>
      </c>
      <c r="P164" s="299">
        <f>P5*(BOM_average!O36)/1000000</f>
        <v>14403.121431788857</v>
      </c>
      <c r="Q164" s="299">
        <f>Q5*(BOM_average!P36)/1000000</f>
        <v>14581.358734250856</v>
      </c>
      <c r="R164" s="299">
        <f>R5*(BOM_average!Q36)/1000000</f>
        <v>14717.703176112856</v>
      </c>
      <c r="S164" s="299">
        <f>S5*(BOM_average!R36)/1000000</f>
        <v>14815.777008174857</v>
      </c>
      <c r="T164" s="299">
        <f>T5*(BOM_average!S36)/1000000</f>
        <v>14914.781664836855</v>
      </c>
      <c r="U164" s="299">
        <f>U5*(BOM_average!T36)/1000000</f>
        <v>15063.254156098854</v>
      </c>
      <c r="V164" s="299">
        <f>V5*(BOM_average!U36)/1000000</f>
        <v>15296.781936360856</v>
      </c>
      <c r="W164" s="299">
        <f>W5*(BOM_average!V36)/1000000</f>
        <v>15631.596450622854</v>
      </c>
      <c r="X164" s="299">
        <f>X5*(BOM_average!W36)/1000000</f>
        <v>16063.920640284852</v>
      </c>
      <c r="Y164" s="299">
        <f>Y5*(BOM_average!X36)/1000000</f>
        <v>16574.208806946852</v>
      </c>
      <c r="Z164" s="299">
        <f>Z5*(BOM_average!Y36)/1000000</f>
        <v>17133.647101608851</v>
      </c>
      <c r="AA164" s="299">
        <f>AA5*(BOM_average!Z36)/1000000</f>
        <v>17710.675769670852</v>
      </c>
      <c r="AB164" s="299">
        <f>AB5*(BOM_average!AA36)/1000000</f>
        <v>18276.152647332852</v>
      </c>
    </row>
    <row r="165" spans="2:28">
      <c r="B165" s="295" t="s">
        <v>7758</v>
      </c>
      <c r="C165" s="299">
        <f>C5*(BOM_average!B37)/1000000</f>
        <v>1541.280124032</v>
      </c>
      <c r="D165" s="299">
        <f>D5*(BOM_average!C37)/1000000</f>
        <v>2817.7471564799998</v>
      </c>
      <c r="E165" s="299">
        <f>E5*(BOM_average!D37)/1000000</f>
        <v>3839.6877277439999</v>
      </c>
      <c r="F165" s="299">
        <f>F5*(BOM_average!E37)/1000000</f>
        <v>4621.0844722559996</v>
      </c>
      <c r="G165" s="299">
        <f>G5*(BOM_average!F37)/1000000</f>
        <v>4920.9608557439997</v>
      </c>
      <c r="H165" s="299">
        <f>H5*(BOM_average!G37)/1000000</f>
        <v>5396.2527419520002</v>
      </c>
      <c r="I165" s="299">
        <f>I5*(BOM_average!H37)/1000000</f>
        <v>6080.5840970880008</v>
      </c>
      <c r="J165" s="299">
        <f>J5*(BOM_average!I37)/1000000</f>
        <v>6556.7504023817155</v>
      </c>
      <c r="K165" s="299">
        <f>K5*(BOM_average!J37)/1000000</f>
        <v>6973.6737651017147</v>
      </c>
      <c r="L165" s="299">
        <f>L5*(BOM_average!K37)/1000000</f>
        <v>7274.7996959451439</v>
      </c>
      <c r="M165" s="299">
        <f>M5*(BOM_average!L37)/1000000</f>
        <v>7183.3691300982864</v>
      </c>
      <c r="N165" s="299">
        <f>N5*(BOM_average!M37)/1000000</f>
        <v>7187.0496650468576</v>
      </c>
      <c r="O165" s="299">
        <f>O5*(BOM_average!N37)/1000000</f>
        <v>7192.0180684182869</v>
      </c>
      <c r="P165" s="299">
        <f>P5*(BOM_average!O37)/1000000</f>
        <v>7305.6989687382866</v>
      </c>
      <c r="Q165" s="299">
        <f>Q5*(BOM_average!P37)/1000000</f>
        <v>7396.1063212662857</v>
      </c>
      <c r="R165" s="299">
        <f>R5*(BOM_average!Q37)/1000000</f>
        <v>7465.2643473942862</v>
      </c>
      <c r="S165" s="299">
        <f>S5*(BOM_average!R37)/1000000</f>
        <v>7515.0103623222858</v>
      </c>
      <c r="T165" s="299">
        <f>T5*(BOM_average!S37)/1000000</f>
        <v>7565.2285196502853</v>
      </c>
      <c r="U165" s="299">
        <f>U5*(BOM_average!T37)/1000000</f>
        <v>7640.5382593782851</v>
      </c>
      <c r="V165" s="299">
        <f>V5*(BOM_average!U37)/1000000</f>
        <v>7758.9906151062851</v>
      </c>
      <c r="W165" s="299">
        <f>W5*(BOM_average!V37)/1000000</f>
        <v>7928.8186668342851</v>
      </c>
      <c r="X165" s="299">
        <f>X5*(BOM_average!W37)/1000000</f>
        <v>8148.1065761622849</v>
      </c>
      <c r="Y165" s="299">
        <f>Y5*(BOM_average!X37)/1000000</f>
        <v>8406.9401734902858</v>
      </c>
      <c r="Z165" s="299">
        <f>Z5*(BOM_average!Y37)/1000000</f>
        <v>8690.7042028182841</v>
      </c>
      <c r="AA165" s="299">
        <f>AA5*(BOM_average!Z37)/1000000</f>
        <v>8983.390601746285</v>
      </c>
      <c r="AB165" s="299">
        <f>AB5*(BOM_average!AA37)/1000000</f>
        <v>9270.2175830742835</v>
      </c>
    </row>
    <row r="167" spans="2:28">
      <c r="B167" s="291" t="s">
        <v>7796</v>
      </c>
    </row>
    <row r="168" spans="2:28">
      <c r="B168" s="294" t="s">
        <v>437</v>
      </c>
      <c r="C168" s="299">
        <f>C67*(BOM_average!B35*BOM_average!B24)/1000000</f>
        <v>0</v>
      </c>
      <c r="D168" s="299">
        <f>D67*(BOM_average!C35*BOM_average!C24)/1000000</f>
        <v>26.738136446240322</v>
      </c>
      <c r="E168" s="299">
        <f>E67*(BOM_average!D35*BOM_average!D24)/1000000</f>
        <v>68.651071167284655</v>
      </c>
      <c r="F168" s="299">
        <f>F67*(BOM_average!E35*BOM_average!E24)/1000000</f>
        <v>110.40568883573575</v>
      </c>
      <c r="G168" s="299">
        <f>G67*(BOM_average!F35*BOM_average!F24)/1000000</f>
        <v>146.42634876696329</v>
      </c>
      <c r="H168" s="299">
        <f>H67*(BOM_average!G35*BOM_average!G24)/1000000</f>
        <v>170.1625878075703</v>
      </c>
      <c r="I168" s="299">
        <f>I67*(BOM_average!H35*BOM_average!H24)/1000000</f>
        <v>189.04065165642206</v>
      </c>
      <c r="J168" s="299">
        <f>J67*(BOM_average!I35*BOM_average!I24)/1000000</f>
        <v>210.66088004467224</v>
      </c>
      <c r="K168" s="299">
        <f>K67*(BOM_average!J35*BOM_average!J24)/1000000</f>
        <v>231.02666502706995</v>
      </c>
      <c r="L168" s="299">
        <f>L67*(BOM_average!K35*BOM_average!K24)/1000000</f>
        <v>248.73951483492763</v>
      </c>
      <c r="M168" s="299">
        <f>M67*(BOM_average!L35*BOM_average!L24)/1000000</f>
        <v>263.14592614685881</v>
      </c>
      <c r="N168" s="299">
        <f>N67*(BOM_average!M35*BOM_average!M24)/1000000</f>
        <v>268.75225319047337</v>
      </c>
      <c r="O168" s="299">
        <f>O67*(BOM_average!N35*BOM_average!N24)/1000000</f>
        <v>270.20976848218316</v>
      </c>
      <c r="P168" s="299">
        <f>P67*(BOM_average!O35*BOM_average!O24)/1000000</f>
        <v>270.67956742831956</v>
      </c>
      <c r="Q168" s="299">
        <f>Q67*(BOM_average!P35*BOM_average!P24)/1000000</f>
        <v>272.49135733514862</v>
      </c>
      <c r="R168" s="299">
        <f>R67*(BOM_average!Q35*BOM_average!Q24)/1000000</f>
        <v>259.95072737071246</v>
      </c>
      <c r="S168" s="299">
        <f>S67*(BOM_average!R35*BOM_average!R24)/1000000</f>
        <v>240.61194101074358</v>
      </c>
      <c r="T168" s="299">
        <f>T67*(BOM_average!S35*BOM_average!S24)/1000000</f>
        <v>223.00126783534532</v>
      </c>
      <c r="U168" s="299">
        <f>U67*(BOM_average!T35*BOM_average!T24)/1000000</f>
        <v>210.36990021611373</v>
      </c>
      <c r="V168" s="299">
        <f>V67*(BOM_average!U35*BOM_average!U24)/1000000</f>
        <v>203.5077416059967</v>
      </c>
      <c r="W168" s="299">
        <f>W67*(BOM_average!V35*BOM_average!V24)/1000000</f>
        <v>201.61970964500588</v>
      </c>
      <c r="X168" s="299">
        <f>X67*(BOM_average!W35*BOM_average!W24)/1000000</f>
        <v>203.44636888802827</v>
      </c>
      <c r="Y168" s="299">
        <f>Y67*(BOM_average!X35*BOM_average!X24)/1000000</f>
        <v>207.80881055534948</v>
      </c>
      <c r="Z168" s="299">
        <f>Z67*(BOM_average!Y35*BOM_average!Y24)/1000000</f>
        <v>213.79309103132465</v>
      </c>
      <c r="AA168" s="299">
        <f>AA67*(BOM_average!Z35*BOM_average!Z24)/1000000</f>
        <v>220.74118212475639</v>
      </c>
      <c r="AB168" s="299">
        <f>AB67*(BOM_average!AA35*BOM_average!AA24)/1000000</f>
        <v>228.17653095403801</v>
      </c>
    </row>
    <row r="169" spans="2:28">
      <c r="B169" s="294" t="s">
        <v>217</v>
      </c>
      <c r="C169" s="299">
        <f>C67*(BOM_average!B35*BOM_average!B25)/1000000</f>
        <v>0</v>
      </c>
      <c r="D169" s="299">
        <f>D67*(BOM_average!C35*BOM_average!C24)/1000000</f>
        <v>26.738136446240322</v>
      </c>
      <c r="E169" s="299">
        <f>E67*(BOM_average!D35*BOM_average!D24)/1000000</f>
        <v>68.651071167284655</v>
      </c>
      <c r="F169" s="299">
        <f>F67*(BOM_average!E35*BOM_average!E24)/1000000</f>
        <v>110.40568883573575</v>
      </c>
      <c r="G169" s="299">
        <f>G67*(BOM_average!F35*BOM_average!F24)/1000000</f>
        <v>146.42634876696329</v>
      </c>
      <c r="H169" s="299">
        <f>H67*(BOM_average!G35*BOM_average!G24)/1000000</f>
        <v>170.1625878075703</v>
      </c>
      <c r="I169" s="299">
        <f>I67*(BOM_average!H35*BOM_average!H24)/1000000</f>
        <v>189.04065165642206</v>
      </c>
      <c r="J169" s="299">
        <f>J67*(BOM_average!I35*BOM_average!I24)/1000000</f>
        <v>210.66088004467224</v>
      </c>
      <c r="K169" s="299">
        <f>K67*(BOM_average!J35*BOM_average!J24)/1000000</f>
        <v>231.02666502706995</v>
      </c>
      <c r="L169" s="299">
        <f>L67*(BOM_average!K35*BOM_average!K24)/1000000</f>
        <v>248.73951483492763</v>
      </c>
      <c r="M169" s="299">
        <f>M67*(BOM_average!L35*BOM_average!L24)/1000000</f>
        <v>263.14592614685881</v>
      </c>
      <c r="N169" s="299">
        <f>N67*(BOM_average!M35*BOM_average!M24)/1000000</f>
        <v>268.75225319047337</v>
      </c>
      <c r="O169" s="299">
        <f>O67*(BOM_average!N35*BOM_average!N24)/1000000</f>
        <v>270.20976848218316</v>
      </c>
      <c r="P169" s="299">
        <f>P67*(BOM_average!O35*BOM_average!O24)/1000000</f>
        <v>270.67956742831956</v>
      </c>
      <c r="Q169" s="299">
        <f>Q67*(BOM_average!P35*BOM_average!P24)/1000000</f>
        <v>272.49135733514862</v>
      </c>
      <c r="R169" s="299">
        <f>R67*(BOM_average!Q35*BOM_average!Q24)/1000000</f>
        <v>259.95072737071246</v>
      </c>
      <c r="S169" s="299">
        <f>S67*(BOM_average!R35*BOM_average!R24)/1000000</f>
        <v>240.61194101074358</v>
      </c>
      <c r="T169" s="299">
        <f>T67*(BOM_average!S35*BOM_average!S24)/1000000</f>
        <v>223.00126783534532</v>
      </c>
      <c r="U169" s="299">
        <f>U67*(BOM_average!T35*BOM_average!T24)/1000000</f>
        <v>210.36990021611373</v>
      </c>
      <c r="V169" s="299">
        <f>V67*(BOM_average!U35*BOM_average!U24)/1000000</f>
        <v>203.5077416059967</v>
      </c>
      <c r="W169" s="299">
        <f>W67*(BOM_average!V35*BOM_average!V24)/1000000</f>
        <v>201.61970964500588</v>
      </c>
      <c r="X169" s="299">
        <f>X67*(BOM_average!W35*BOM_average!W24)/1000000</f>
        <v>203.44636888802827</v>
      </c>
      <c r="Y169" s="299">
        <f>Y67*(BOM_average!X35*BOM_average!X24)/1000000</f>
        <v>207.80881055534948</v>
      </c>
      <c r="Z169" s="299">
        <f>Z67*(BOM_average!Y35*BOM_average!Y24)/1000000</f>
        <v>213.79309103132465</v>
      </c>
      <c r="AA169" s="299">
        <f>AA67*(BOM_average!Z35*BOM_average!Z24)/1000000</f>
        <v>220.74118212475639</v>
      </c>
      <c r="AB169" s="299">
        <f>AB67*(BOM_average!AA35*BOM_average!AA24)/1000000</f>
        <v>228.17653095403801</v>
      </c>
    </row>
    <row r="170" spans="2:28">
      <c r="B170" s="294" t="s">
        <v>313</v>
      </c>
      <c r="C170" s="299">
        <f>C67*(BOM_average!B35*BOM_average!B26)/1000000</f>
        <v>0</v>
      </c>
      <c r="D170" s="299">
        <f>D67*(BOM_average!C35*BOM_average!C26)/1000000</f>
        <v>17.056897665830014</v>
      </c>
      <c r="E170" s="299">
        <f>E67*(BOM_average!D35*BOM_average!D26)/1000000</f>
        <v>43.79416261504791</v>
      </c>
      <c r="F170" s="299">
        <f>F67*(BOM_average!E35*BOM_average!E26)/1000000</f>
        <v>70.430433324436564</v>
      </c>
      <c r="G170" s="299">
        <f>G67*(BOM_average!F35*BOM_average!F26)/1000000</f>
        <v>93.408875054582026</v>
      </c>
      <c r="H170" s="299">
        <f>H67*(BOM_average!G35*BOM_average!G26)/1000000</f>
        <v>108.55079046448121</v>
      </c>
      <c r="I170" s="299">
        <f>I67*(BOM_average!H35*BOM_average!H26)/1000000</f>
        <v>120.59355955746885</v>
      </c>
      <c r="J170" s="299">
        <f>J67*(BOM_average!I35*BOM_average!I26)/1000000</f>
        <v>134.38562108994375</v>
      </c>
      <c r="K170" s="299">
        <f>K67*(BOM_average!J35*BOM_average!J26)/1000000</f>
        <v>147.37744312763482</v>
      </c>
      <c r="L170" s="299">
        <f>L67*(BOM_average!K35*BOM_average!K26)/1000000</f>
        <v>158.67689427488662</v>
      </c>
      <c r="M170" s="299">
        <f>M67*(BOM_average!L35*BOM_average!L26)/1000000</f>
        <v>167.86708911039909</v>
      </c>
      <c r="N170" s="299">
        <f>N67*(BOM_average!M35*BOM_average!M26)/1000000</f>
        <v>171.44349941320294</v>
      </c>
      <c r="O170" s="299">
        <f>O67*(BOM_average!N35*BOM_average!N26)/1000000</f>
        <v>172.37328332791446</v>
      </c>
      <c r="P170" s="299">
        <f>P67*(BOM_average!O35*BOM_average!O26)/1000000</f>
        <v>172.67297932819014</v>
      </c>
      <c r="Q170" s="299">
        <f>Q67*(BOM_average!P35*BOM_average!P26)/1000000</f>
        <v>173.82876350540465</v>
      </c>
      <c r="R170" s="299">
        <f>R67*(BOM_average!Q35*BOM_average!Q26)/1000000</f>
        <v>165.82879528030023</v>
      </c>
      <c r="S170" s="299">
        <f>S67*(BOM_average!R35*BOM_average!R26)/1000000</f>
        <v>153.49212026233275</v>
      </c>
      <c r="T170" s="299">
        <f>T67*(BOM_average!S35*BOM_average!S26)/1000000</f>
        <v>142.25785003624216</v>
      </c>
      <c r="U170" s="299">
        <f>U67*(BOM_average!T35*BOM_average!T26)/1000000</f>
        <v>134.19999808781265</v>
      </c>
      <c r="V170" s="299">
        <f>V67*(BOM_average!U35*BOM_average!U26)/1000000</f>
        <v>129.82246274929733</v>
      </c>
      <c r="W170" s="299">
        <f>W67*(BOM_average!V35*BOM_average!V26)/1000000</f>
        <v>128.61804193959782</v>
      </c>
      <c r="X170" s="299">
        <f>X67*(BOM_average!W35*BOM_average!W26)/1000000</f>
        <v>129.78331162251754</v>
      </c>
      <c r="Y170" s="299">
        <f>Y67*(BOM_average!X35*BOM_average!X26)/1000000</f>
        <v>132.56621765047723</v>
      </c>
      <c r="Z170" s="299">
        <f>Z67*(BOM_average!Y35*BOM_average!Y26)/1000000</f>
        <v>136.38373350045288</v>
      </c>
      <c r="AA170" s="299">
        <f>AA67*(BOM_average!Z35*BOM_average!Z26)/1000000</f>
        <v>140.81608722831314</v>
      </c>
      <c r="AB170" s="299">
        <f>AB67*(BOM_average!AA35*BOM_average!AA26)/1000000</f>
        <v>145.55927433657695</v>
      </c>
    </row>
    <row r="171" spans="2:28">
      <c r="B171" s="294" t="s">
        <v>6911</v>
      </c>
      <c r="C171" s="299">
        <f>C67*(BOM_average!B35*BOM_average!B27)/1000000</f>
        <v>0</v>
      </c>
      <c r="D171" s="299">
        <f>D67*(BOM_average!C35*BOM_average!C27)/1000000</f>
        <v>64.342057803278564</v>
      </c>
      <c r="E171" s="299">
        <f>E67*(BOM_average!D35*BOM_average!D27)/1000000</f>
        <v>165.20041320693906</v>
      </c>
      <c r="F171" s="299">
        <f>F67*(BOM_average!E35*BOM_average!E27)/1000000</f>
        <v>265.67779797079157</v>
      </c>
      <c r="G171" s="299">
        <f>G67*(BOM_average!F35*BOM_average!F27)/1000000</f>
        <v>352.35711416274592</v>
      </c>
      <c r="H171" s="299">
        <f>H67*(BOM_average!G35*BOM_average!G27)/1000000</f>
        <v>409.47547270855694</v>
      </c>
      <c r="I171" s="299">
        <f>I67*(BOM_average!H35*BOM_average!H27)/1000000</f>
        <v>454.90322635245747</v>
      </c>
      <c r="J171" s="299">
        <f>J67*(BOM_average!I35*BOM_average!I27)/1000000</f>
        <v>506.92966385208661</v>
      </c>
      <c r="K171" s="299">
        <f>K67*(BOM_average!J35*BOM_average!J27)/1000000</f>
        <v>555.93743659575614</v>
      </c>
      <c r="L171" s="299">
        <f>L67*(BOM_average!K35*BOM_average!K27)/1000000</f>
        <v>598.56124504588558</v>
      </c>
      <c r="M171" s="299">
        <f>M67*(BOM_average!L35*BOM_average!L27)/1000000</f>
        <v>633.2285133214358</v>
      </c>
      <c r="N171" s="299">
        <f>N67*(BOM_average!M35*BOM_average!M27)/1000000</f>
        <v>646.71945422637145</v>
      </c>
      <c r="O171" s="299">
        <f>O67*(BOM_average!N35*BOM_average!N27)/1000000</f>
        <v>650.22678665909007</v>
      </c>
      <c r="P171" s="299">
        <f>P67*(BOM_average!O35*BOM_average!O27)/1000000</f>
        <v>651.35730041082456</v>
      </c>
      <c r="Q171" s="299">
        <f>Q67*(BOM_average!P35*BOM_average!P27)/1000000</f>
        <v>655.71715141042478</v>
      </c>
      <c r="R171" s="299">
        <f>R67*(BOM_average!Q35*BOM_average!Q27)/1000000</f>
        <v>625.53965793837187</v>
      </c>
      <c r="S171" s="299">
        <f>S67*(BOM_average!R35*BOM_average!R27)/1000000</f>
        <v>579.00323187441802</v>
      </c>
      <c r="T171" s="299">
        <f>T67*(BOM_average!S35*BOM_average!S27)/1000000</f>
        <v>536.62529900372806</v>
      </c>
      <c r="U171" s="299">
        <f>U67*(BOM_average!T35*BOM_average!T27)/1000000</f>
        <v>506.22945645407509</v>
      </c>
      <c r="V171" s="299">
        <f>V67*(BOM_average!U35*BOM_average!U27)/1000000</f>
        <v>489.71651035421701</v>
      </c>
      <c r="W171" s="299">
        <f>W67*(BOM_average!V35*BOM_average!V27)/1000000</f>
        <v>485.17319216849546</v>
      </c>
      <c r="X171" s="299">
        <f>X67*(BOM_average!W35*BOM_average!W27)/1000000</f>
        <v>489.56882440852632</v>
      </c>
      <c r="Y171" s="299">
        <f>Y67*(BOM_average!X35*BOM_average!X27)/1000000</f>
        <v>500.06650716538422</v>
      </c>
      <c r="Z171" s="299">
        <f>Z67*(BOM_average!Y35*BOM_average!Y27)/1000000</f>
        <v>514.46694681720487</v>
      </c>
      <c r="AA171" s="299">
        <f>AA67*(BOM_average!Z35*BOM_average!Z27)/1000000</f>
        <v>531.1866789367142</v>
      </c>
      <c r="AB171" s="299">
        <f>AB67*(BOM_average!AA35*BOM_average!AA27)/1000000</f>
        <v>549.07893725183885</v>
      </c>
    </row>
    <row r="172" spans="2:28">
      <c r="B172" s="294" t="s">
        <v>441</v>
      </c>
      <c r="C172" s="299">
        <f>C67*(BOM_average!B35*BOM_average!B28)/1000000</f>
        <v>0</v>
      </c>
      <c r="D172" s="299">
        <f>D67*(BOM_average!C35*BOM_average!C28)/1000000</f>
        <v>61.513461045196479</v>
      </c>
      <c r="E172" s="299">
        <f>E67*(BOM_average!D35*BOM_average!D28)/1000000</f>
        <v>157.93789520262439</v>
      </c>
      <c r="F172" s="299">
        <f>F67*(BOM_average!E35*BOM_average!E28)/1000000</f>
        <v>253.9981068994831</v>
      </c>
      <c r="G172" s="299">
        <f>G67*(BOM_average!F35*BOM_average!F28)/1000000</f>
        <v>336.86683883062693</v>
      </c>
      <c r="H172" s="299">
        <f>H67*(BOM_average!G35*BOM_average!G28)/1000000</f>
        <v>391.47416789858659</v>
      </c>
      <c r="I172" s="299">
        <f>I67*(BOM_average!H35*BOM_average!H28)/1000000</f>
        <v>434.90483284077101</v>
      </c>
      <c r="J172" s="299">
        <f>J67*(BOM_average!I35*BOM_average!I28)/1000000</f>
        <v>484.64409120018763</v>
      </c>
      <c r="K172" s="299">
        <f>K67*(BOM_average!J35*BOM_average!J28)/1000000</f>
        <v>531.49739093139306</v>
      </c>
      <c r="L172" s="299">
        <f>L67*(BOM_average!K35*BOM_average!K28)/1000000</f>
        <v>572.24737733548579</v>
      </c>
      <c r="M172" s="299">
        <f>M67*(BOM_average!L35*BOM_average!L28)/1000000</f>
        <v>605.39060789754558</v>
      </c>
      <c r="N172" s="299">
        <f>N67*(BOM_average!M35*BOM_average!M28)/1000000</f>
        <v>618.28846190084914</v>
      </c>
      <c r="O172" s="299">
        <f>O67*(BOM_average!N35*BOM_average!N28)/1000000</f>
        <v>621.64160546414985</v>
      </c>
      <c r="P172" s="299">
        <f>P67*(BOM_average!O35*BOM_average!O28)/1000000</f>
        <v>622.72241972472261</v>
      </c>
      <c r="Q172" s="299">
        <f>Q67*(BOM_average!P35*BOM_average!P28)/1000000</f>
        <v>626.89060355009462</v>
      </c>
      <c r="R172" s="299">
        <f>R67*(BOM_average!Q35*BOM_average!Q28)/1000000</f>
        <v>598.03976892478033</v>
      </c>
      <c r="S172" s="299">
        <f>S67*(BOM_average!R35*BOM_average!R28)/1000000</f>
        <v>553.54917086806381</v>
      </c>
      <c r="T172" s="299">
        <f>T67*(BOM_average!S35*BOM_average!S28)/1000000</f>
        <v>513.03425089476593</v>
      </c>
      <c r="U172" s="299">
        <f>U67*(BOM_average!T35*BOM_average!T28)/1000000</f>
        <v>483.97466622418153</v>
      </c>
      <c r="V172" s="299">
        <f>V67*(BOM_average!U35*BOM_average!U28)/1000000</f>
        <v>468.18766000562556</v>
      </c>
      <c r="W172" s="299">
        <f>W67*(BOM_average!V35*BOM_average!V28)/1000000</f>
        <v>463.84407455351283</v>
      </c>
      <c r="X172" s="299">
        <f>X67*(BOM_average!W35*BOM_average!W28)/1000000</f>
        <v>468.04646660931007</v>
      </c>
      <c r="Y172" s="299">
        <f>Y67*(BOM_average!X35*BOM_average!X28)/1000000</f>
        <v>478.08265167045852</v>
      </c>
      <c r="Z172" s="299">
        <f>Z67*(BOM_average!Y35*BOM_average!Y28)/1000000</f>
        <v>491.85002116094489</v>
      </c>
      <c r="AA172" s="299">
        <f>AA67*(BOM_average!Z35*BOM_average!Z28)/1000000</f>
        <v>507.83472270039664</v>
      </c>
      <c r="AB172" s="299">
        <f>AB67*(BOM_average!AA35*BOM_average!AA28)/1000000</f>
        <v>524.94040399898142</v>
      </c>
    </row>
    <row r="173" spans="2:28">
      <c r="B173" s="294" t="s">
        <v>6912</v>
      </c>
      <c r="C173" s="299">
        <f>C67*(BOM_average!B35*BOM_average!B29)/1000000</f>
        <v>0</v>
      </c>
      <c r="D173" s="299">
        <f>D67*(BOM_average!C35*BOM_average!C29)/1000000</f>
        <v>37.896311150706467</v>
      </c>
      <c r="E173" s="299">
        <f>E67*(BOM_average!D35*BOM_average!D29)/1000000</f>
        <v>97.300062740555333</v>
      </c>
      <c r="F173" s="299">
        <f>F67*(BOM_average!E35*BOM_average!E29)/1000000</f>
        <v>156.47942949724282</v>
      </c>
      <c r="G173" s="299">
        <f>G67*(BOM_average!F35*BOM_average!F29)/1000000</f>
        <v>207.5319828175594</v>
      </c>
      <c r="H173" s="299">
        <f>H67*(BOM_average!G35*BOM_average!G29)/1000000</f>
        <v>241.17366543964323</v>
      </c>
      <c r="I173" s="299">
        <f>I67*(BOM_average!H35*BOM_average!H29)/1000000</f>
        <v>267.92979270293961</v>
      </c>
      <c r="J173" s="299">
        <f>J67*(BOM_average!I35*BOM_average!I29)/1000000</f>
        <v>298.57242570011221</v>
      </c>
      <c r="K173" s="299">
        <f>K67*(BOM_average!J35*BOM_average!J29)/1000000</f>
        <v>327.43711962046393</v>
      </c>
      <c r="L173" s="299">
        <f>L67*(BOM_average!K35*BOM_average!K29)/1000000</f>
        <v>352.5417737549779</v>
      </c>
      <c r="M173" s="299">
        <f>M67*(BOM_average!L35*BOM_average!L29)/1000000</f>
        <v>372.96016928301657</v>
      </c>
      <c r="N173" s="299">
        <f>N67*(BOM_average!M35*BOM_average!M29)/1000000</f>
        <v>380.90609006491576</v>
      </c>
      <c r="O173" s="299">
        <f>O67*(BOM_average!N35*BOM_average!N29)/1000000</f>
        <v>382.97184558653191</v>
      </c>
      <c r="P173" s="299">
        <f>P67*(BOM_average!O35*BOM_average!O29)/1000000</f>
        <v>383.63769778894164</v>
      </c>
      <c r="Q173" s="299">
        <f>Q67*(BOM_average!P35*BOM_average!P29)/1000000</f>
        <v>386.20557136483387</v>
      </c>
      <c r="R173" s="299">
        <f>R67*(BOM_average!Q35*BOM_average!Q29)/1000000</f>
        <v>368.43157218902485</v>
      </c>
      <c r="S173" s="299">
        <f>S67*(BOM_average!R35*BOM_average!R29)/1000000</f>
        <v>341.02245687360551</v>
      </c>
      <c r="T173" s="299">
        <f>T67*(BOM_average!S35*BOM_average!S29)/1000000</f>
        <v>316.06261901915644</v>
      </c>
      <c r="U173" s="299">
        <f>U67*(BOM_average!T35*BOM_average!T29)/1000000</f>
        <v>298.16001617621725</v>
      </c>
      <c r="V173" s="299">
        <f>V67*(BOM_average!U35*BOM_average!U29)/1000000</f>
        <v>288.43418885921807</v>
      </c>
      <c r="W173" s="299">
        <f>W67*(BOM_average!V35*BOM_average!V29)/1000000</f>
        <v>285.75825642091803</v>
      </c>
      <c r="X173" s="299">
        <f>X67*(BOM_average!W35*BOM_average!W29)/1000000</f>
        <v>288.34720450183875</v>
      </c>
      <c r="Y173" s="299">
        <f>Y67*(BOM_average!X35*BOM_average!X29)/1000000</f>
        <v>294.53015024055935</v>
      </c>
      <c r="Z173" s="299">
        <f>Z67*(BOM_average!Y35*BOM_average!Y29)/1000000</f>
        <v>303.01174937468835</v>
      </c>
      <c r="AA173" s="299">
        <f>AA67*(BOM_average!Z35*BOM_average!Z29)/1000000</f>
        <v>312.85936992631298</v>
      </c>
      <c r="AB173" s="299">
        <f>AB67*(BOM_average!AA35*BOM_average!AA29)/1000000</f>
        <v>323.39758725178098</v>
      </c>
    </row>
    <row r="174" spans="2:28">
      <c r="B174" s="294" t="s">
        <v>443</v>
      </c>
      <c r="C174" s="299">
        <f>C67*(BOM_average!B35*BOM_average!B30)/1000000</f>
        <v>0</v>
      </c>
      <c r="D174" s="299">
        <f>D67*(BOM_average!C35*BOM_average!C30)/1000000</f>
        <v>18.155945749359777</v>
      </c>
      <c r="E174" s="299">
        <f>E67*(BOM_average!D35*BOM_average!D30)/1000000</f>
        <v>46.61600580334828</v>
      </c>
      <c r="F174" s="299">
        <f>F67*(BOM_average!E35*BOM_average!E30)/1000000</f>
        <v>74.968564131333551</v>
      </c>
      <c r="G174" s="299">
        <f>G67*(BOM_average!F35*BOM_average!F30)/1000000</f>
        <v>99.427604082843047</v>
      </c>
      <c r="H174" s="299">
        <f>H67*(BOM_average!G35*BOM_average!G30)/1000000</f>
        <v>115.5451771673238</v>
      </c>
      <c r="I174" s="299">
        <f>I67*(BOM_average!H35*BOM_average!H30)/1000000</f>
        <v>128.36391282535416</v>
      </c>
      <c r="J174" s="299">
        <f>J67*(BOM_average!I35*BOM_average!I30)/1000000</f>
        <v>143.04465523592086</v>
      </c>
      <c r="K174" s="299">
        <f>K67*(BOM_average!J35*BOM_average!J30)/1000000</f>
        <v>156.87359533527959</v>
      </c>
      <c r="L174" s="299">
        <f>L67*(BOM_average!K35*BOM_average!K30)/1000000</f>
        <v>168.90111792738756</v>
      </c>
      <c r="M174" s="299">
        <f>M67*(BOM_average!L35*BOM_average!L30)/1000000</f>
        <v>178.68347589942809</v>
      </c>
      <c r="N174" s="299">
        <f>N67*(BOM_average!M35*BOM_average!M30)/1000000</f>
        <v>182.49032944966297</v>
      </c>
      <c r="O174" s="299">
        <f>O67*(BOM_average!N35*BOM_average!N30)/1000000</f>
        <v>183.48002327587074</v>
      </c>
      <c r="P174" s="299">
        <f>P67*(BOM_average!O35*BOM_average!O30)/1000000</f>
        <v>183.79902995744365</v>
      </c>
      <c r="Q174" s="299">
        <f>Q67*(BOM_average!P35*BOM_average!P30)/1000000</f>
        <v>185.02928619926379</v>
      </c>
      <c r="R174" s="299">
        <f>R67*(BOM_average!Q35*BOM_average!Q30)/1000000</f>
        <v>176.513846173932</v>
      </c>
      <c r="S174" s="299">
        <f>S67*(BOM_average!R35*BOM_average!R30)/1000000</f>
        <v>163.38226698867339</v>
      </c>
      <c r="T174" s="299">
        <f>T67*(BOM_average!S35*BOM_average!S30)/1000000</f>
        <v>151.42412520025434</v>
      </c>
      <c r="U174" s="299">
        <f>U67*(BOM_average!T35*BOM_average!T30)/1000000</f>
        <v>142.84707175840032</v>
      </c>
      <c r="V174" s="299">
        <f>V67*(BOM_average!U35*BOM_average!U30)/1000000</f>
        <v>138.18747329688128</v>
      </c>
      <c r="W174" s="299">
        <f>W67*(BOM_average!V35*BOM_average!V30)/1000000</f>
        <v>136.90544655856584</v>
      </c>
      <c r="X174" s="299">
        <f>X67*(BOM_average!W35*BOM_average!W30)/1000000</f>
        <v>138.14579949735656</v>
      </c>
      <c r="Y174" s="299">
        <f>Y67*(BOM_average!X35*BOM_average!X30)/1000000</f>
        <v>141.10801993504032</v>
      </c>
      <c r="Z174" s="299">
        <f>Z67*(BOM_average!Y35*BOM_average!Y30)/1000000</f>
        <v>145.17151448295732</v>
      </c>
      <c r="AA174" s="299">
        <f>AA67*(BOM_average!Z35*BOM_average!Z30)/1000000</f>
        <v>149.88946351458083</v>
      </c>
      <c r="AB174" s="299">
        <f>AB67*(BOM_average!AA35*BOM_average!AA30)/1000000</f>
        <v>154.93827423642847</v>
      </c>
    </row>
    <row r="175" spans="2:28">
      <c r="B175" s="294" t="s">
        <v>445</v>
      </c>
      <c r="C175" s="299">
        <f>C67*(BOM_average!B35*BOM_average!B31)/1000000</f>
        <v>0</v>
      </c>
      <c r="D175" s="299">
        <f>D67*(BOM_average!C35*BOM_average!C31)/1000000</f>
        <v>23.622833363698867</v>
      </c>
      <c r="E175" s="299">
        <f>E67*(BOM_average!D35*BOM_average!D31)/1000000</f>
        <v>60.652424961808833</v>
      </c>
      <c r="F175" s="299">
        <f>F67*(BOM_average!E35*BOM_average!E31)/1000000</f>
        <v>97.542145280573607</v>
      </c>
      <c r="G175" s="299">
        <f>G67*(BOM_average!F35*BOM_average!F31)/1000000</f>
        <v>129.3659804575947</v>
      </c>
      <c r="H175" s="299">
        <f>H67*(BOM_average!G35*BOM_average!G31)/1000000</f>
        <v>150.33667228814022</v>
      </c>
      <c r="I175" s="299">
        <f>I67*(BOM_average!H35*BOM_average!H31)/1000000</f>
        <v>167.01522269599403</v>
      </c>
      <c r="J175" s="299">
        <f>J67*(BOM_average!I35*BOM_average!I31)/1000000</f>
        <v>186.11644366281877</v>
      </c>
      <c r="K175" s="299">
        <f>K67*(BOM_average!J35*BOM_average!J31)/1000000</f>
        <v>204.10937843325033</v>
      </c>
      <c r="L175" s="299">
        <f>L67*(BOM_average!K35*BOM_average!K31)/1000000</f>
        <v>219.75847575342215</v>
      </c>
      <c r="M175" s="299">
        <f>M67*(BOM_average!L35*BOM_average!L31)/1000000</f>
        <v>232.48637302011849</v>
      </c>
      <c r="N175" s="299">
        <f>N67*(BOM_average!M35*BOM_average!M31)/1000000</f>
        <v>237.43949792469007</v>
      </c>
      <c r="O175" s="299">
        <f>O67*(BOM_average!N35*BOM_average!N31)/1000000</f>
        <v>238.72719577642067</v>
      </c>
      <c r="P175" s="299">
        <f>P67*(BOM_average!O35*BOM_average!O31)/1000000</f>
        <v>239.14225769523969</v>
      </c>
      <c r="Q175" s="299">
        <f>Q67*(BOM_average!P35*BOM_average!P31)/1000000</f>
        <v>240.74295305952236</v>
      </c>
      <c r="R175" s="299">
        <f>R67*(BOM_average!Q35*BOM_average!Q31)/1000000</f>
        <v>229.66345196858754</v>
      </c>
      <c r="S175" s="299">
        <f>S67*(BOM_average!R35*BOM_average!R31)/1000000</f>
        <v>212.57785856695935</v>
      </c>
      <c r="T175" s="299">
        <f>T67*(BOM_average!S35*BOM_average!S31)/1000000</f>
        <v>197.01903311622416</v>
      </c>
      <c r="U175" s="299">
        <f>U67*(BOM_average!T35*BOM_average!T31)/1000000</f>
        <v>185.85936635991638</v>
      </c>
      <c r="V175" s="299">
        <f>V67*(BOM_average!U35*BOM_average!U31)/1000000</f>
        <v>179.79672883512134</v>
      </c>
      <c r="W175" s="299">
        <f>W67*(BOM_average!V35*BOM_average!V31)/1000000</f>
        <v>178.12867450046352</v>
      </c>
      <c r="X175" s="299">
        <f>X67*(BOM_average!W35*BOM_average!W31)/1000000</f>
        <v>179.74250675077525</v>
      </c>
      <c r="Y175" s="299">
        <f>Y67*(BOM_average!X35*BOM_average!X31)/1000000</f>
        <v>183.59667335558646</v>
      </c>
      <c r="Z175" s="299">
        <f>Z67*(BOM_average!Y35*BOM_average!Y31)/1000000</f>
        <v>188.88371573304715</v>
      </c>
      <c r="AA175" s="299">
        <f>AA67*(BOM_average!Z35*BOM_average!Z31)/1000000</f>
        <v>195.02227360995624</v>
      </c>
      <c r="AB175" s="299">
        <f>AB67*(BOM_average!AA35*BOM_average!AA31)/1000000</f>
        <v>201.59131804385848</v>
      </c>
    </row>
    <row r="176" spans="2:28">
      <c r="B176" s="294" t="s">
        <v>6915</v>
      </c>
      <c r="C176" s="299">
        <f>C67*(BOM_average!B35*BOM_average!B32)/1000000</f>
        <v>0</v>
      </c>
      <c r="D176" s="299">
        <f>D67*(BOM_average!C35*BOM_average!C32)/1000000</f>
        <v>6.9903250949324267</v>
      </c>
      <c r="E176" s="299">
        <f>E67*(BOM_average!D35*BOM_average!D32)/1000000</f>
        <v>17.947896501296373</v>
      </c>
      <c r="F176" s="299">
        <f>F67*(BOM_average!E35*BOM_average!E32)/1000000</f>
        <v>28.86407804984719</v>
      </c>
      <c r="G176" s="299">
        <f>G67*(BOM_average!F35*BOM_average!F32)/1000000</f>
        <v>38.281193695118425</v>
      </c>
      <c r="H176" s="299">
        <f>H67*(BOM_average!G35*BOM_average!G32)/1000000</f>
        <v>44.48671320686438</v>
      </c>
      <c r="I176" s="299">
        <f>I67*(BOM_average!H35*BOM_average!H32)/1000000</f>
        <v>49.42212834814363</v>
      </c>
      <c r="J176" s="299">
        <f>J67*(BOM_average!I35*BOM_average!I32)/1000000</f>
        <v>55.074445418348681</v>
      </c>
      <c r="K176" s="299">
        <f>K67*(BOM_average!J35*BOM_average!J32)/1000000</f>
        <v>60.398805181666077</v>
      </c>
      <c r="L176" s="299">
        <f>L67*(BOM_average!K35*BOM_average!K32)/1000000</f>
        <v>65.029590829857597</v>
      </c>
      <c r="M176" s="299">
        <f>M67*(BOM_average!L35*BOM_average!L32)/1000000</f>
        <v>68.795952734853856</v>
      </c>
      <c r="N176" s="299">
        <f>N67*(BOM_average!M35*BOM_average!M32)/1000000</f>
        <v>70.261651314938973</v>
      </c>
      <c r="O176" s="299">
        <f>O67*(BOM_average!N35*BOM_average!N32)/1000000</f>
        <v>70.642699027084959</v>
      </c>
      <c r="P176" s="299">
        <f>P67*(BOM_average!O35*BOM_average!O32)/1000000</f>
        <v>70.765521624290002</v>
      </c>
      <c r="Q176" s="299">
        <f>Q67*(BOM_average!P35*BOM_average!P32)/1000000</f>
        <v>71.239189655639777</v>
      </c>
      <c r="R176" s="299">
        <f>R67*(BOM_average!Q35*BOM_average!Q32)/1000000</f>
        <v>67.960611115848323</v>
      </c>
      <c r="S176" s="299">
        <f>S67*(BOM_average!R35*BOM_average!R32)/1000000</f>
        <v>62.904746288864985</v>
      </c>
      <c r="T176" s="299">
        <f>T67*(BOM_average!S35*BOM_average!S32)/1000000</f>
        <v>58.300673342937991</v>
      </c>
      <c r="U176" s="299">
        <f>U67*(BOM_average!T35*BOM_average!T32)/1000000</f>
        <v>54.998372667288365</v>
      </c>
      <c r="V176" s="299">
        <f>V67*(BOM_average!U35*BOM_average!U32)/1000000</f>
        <v>53.204353864438964</v>
      </c>
      <c r="W176" s="299">
        <f>W67*(BOM_average!V35*BOM_average!V32)/1000000</f>
        <v>52.710753376481087</v>
      </c>
      <c r="X176" s="299">
        <f>X67*(BOM_average!W35*BOM_average!W32)/1000000</f>
        <v>53.188308795201564</v>
      </c>
      <c r="Y176" s="299">
        <f>Y67*(BOM_average!X35*BOM_average!X32)/1000000</f>
        <v>54.328810322806795</v>
      </c>
      <c r="Z176" s="299">
        <f>Z67*(BOM_average!Y35*BOM_average!Y32)/1000000</f>
        <v>55.893319729452664</v>
      </c>
      <c r="AA176" s="299">
        <f>AA67*(BOM_average!Z35*BOM_average!Z32)/1000000</f>
        <v>57.709804420895011</v>
      </c>
      <c r="AB176" s="299">
        <f>AB67*(BOM_average!AA35*BOM_average!AA32)/1000000</f>
        <v>59.653676074606025</v>
      </c>
    </row>
    <row r="177" spans="1:28">
      <c r="B177" s="294" t="s">
        <v>447</v>
      </c>
      <c r="C177" s="299">
        <f>C67*(BOM_average!B35*BOM_average!B33)/1000000</f>
        <v>0</v>
      </c>
      <c r="D177" s="299">
        <f>D67*(BOM_average!C35*BOM_average!C33)/1000000</f>
        <v>11.227548678605416</v>
      </c>
      <c r="E177" s="299">
        <f>E67*(BOM_average!D35*BOM_average!D33)/1000000</f>
        <v>28.827111602142857</v>
      </c>
      <c r="F177" s="299">
        <f>F67*(BOM_average!E35*BOM_average!E33)/1000000</f>
        <v>46.360195980392838</v>
      </c>
      <c r="G177" s="299">
        <f>G67*(BOM_average!F35*BOM_average!F33)/1000000</f>
        <v>61.485547503169407</v>
      </c>
      <c r="H177" s="299">
        <f>H67*(BOM_average!G35*BOM_average!G33)/1000000</f>
        <v>71.452576424996238</v>
      </c>
      <c r="I177" s="299">
        <f>I67*(BOM_average!H35*BOM_average!H33)/1000000</f>
        <v>79.379620302828172</v>
      </c>
      <c r="J177" s="299">
        <f>J67*(BOM_average!I35*BOM_average!I33)/1000000</f>
        <v>88.458120113751917</v>
      </c>
      <c r="K177" s="299">
        <f>K67*(BOM_average!J35*BOM_average!J33)/1000000</f>
        <v>97.009869512129796</v>
      </c>
      <c r="L177" s="299">
        <f>L67*(BOM_average!K35*BOM_average!K33)/1000000</f>
        <v>104.44763107245394</v>
      </c>
      <c r="M177" s="299">
        <f>M67*(BOM_average!L35*BOM_average!L33)/1000000</f>
        <v>110.49699373517844</v>
      </c>
      <c r="N177" s="299">
        <f>N67*(BOM_average!M35*BOM_average!M33)/1000000</f>
        <v>112.85113348298481</v>
      </c>
      <c r="O177" s="299">
        <f>O67*(BOM_average!N35*BOM_average!N33)/1000000</f>
        <v>113.46315533874824</v>
      </c>
      <c r="P177" s="299">
        <f>P67*(BOM_average!O35*BOM_average!O33)/1000000</f>
        <v>113.66042752140423</v>
      </c>
      <c r="Q177" s="299">
        <f>Q67*(BOM_average!P35*BOM_average!P33)/1000000</f>
        <v>114.42121200671153</v>
      </c>
      <c r="R177" s="299">
        <f>R67*(BOM_average!Q35*BOM_average!Q33)/1000000</f>
        <v>109.15530524955297</v>
      </c>
      <c r="S177" s="299">
        <f>S67*(BOM_average!R35*BOM_average!R33)/1000000</f>
        <v>101.03480045378095</v>
      </c>
      <c r="T177" s="299">
        <f>T67*(BOM_average!S35*BOM_average!S33)/1000000</f>
        <v>93.639943645516112</v>
      </c>
      <c r="U177" s="299">
        <f>U67*(BOM_average!T35*BOM_average!T33)/1000000</f>
        <v>88.335935450800505</v>
      </c>
      <c r="V177" s="299">
        <f>V67*(BOM_average!U35*BOM_average!U33)/1000000</f>
        <v>85.454462391138776</v>
      </c>
      <c r="W177" s="299">
        <f>W67*(BOM_average!V35*BOM_average!V33)/1000000</f>
        <v>84.661663282217802</v>
      </c>
      <c r="X177" s="299">
        <f>X67*(BOM_average!W35*BOM_average!W33)/1000000</f>
        <v>85.428691515897924</v>
      </c>
      <c r="Y177" s="299">
        <f>Y67*(BOM_average!X35*BOM_average!X33)/1000000</f>
        <v>87.260514248791225</v>
      </c>
      <c r="Z177" s="299">
        <f>Z67*(BOM_average!Y35*BOM_average!Y33)/1000000</f>
        <v>89.773359543209153</v>
      </c>
      <c r="AA177" s="299">
        <f>AA67*(BOM_average!Z35*BOM_average!Z33)/1000000</f>
        <v>92.690916312048898</v>
      </c>
      <c r="AB177" s="299">
        <f>AB67*(BOM_average!AA35*BOM_average!AA33)/1000000</f>
        <v>95.81307634332174</v>
      </c>
    </row>
    <row r="178" spans="1:28">
      <c r="B178" s="294" t="s">
        <v>7756</v>
      </c>
      <c r="C178" s="299">
        <f>C67*(BOM_average!B35)/1000000</f>
        <v>0</v>
      </c>
      <c r="D178" s="299">
        <f>D67*(BOM_average!C35)/1000000</f>
        <v>270.76613700000007</v>
      </c>
      <c r="E178" s="299">
        <f>E67*(BOM_average!D35)/1000000</f>
        <v>695.2012298333334</v>
      </c>
      <c r="F178" s="299">
        <f>F67*(BOM_average!E35)/1000000</f>
        <v>1118.0331108333335</v>
      </c>
      <c r="G178" s="299">
        <f>G67*(BOM_average!F35)/1000000</f>
        <v>1482.7995545000003</v>
      </c>
      <c r="H178" s="299">
        <f>H67*(BOM_average!G35)/1000000</f>
        <v>1723.1667081666669</v>
      </c>
      <c r="I178" s="299">
        <f>I67*(BOM_average!H35)/1000000</f>
        <v>1914.3371150000003</v>
      </c>
      <c r="J178" s="299">
        <f>J67*(BOM_average!I35)/1000000</f>
        <v>2133.2762970000003</v>
      </c>
      <c r="K178" s="299">
        <f>K67*(BOM_average!J35)/1000000</f>
        <v>2339.5122453333333</v>
      </c>
      <c r="L178" s="299">
        <f>L67*(BOM_average!K35)/1000000</f>
        <v>2518.8830076666668</v>
      </c>
      <c r="M178" s="299">
        <f>M67*(BOM_average!L35)/1000000</f>
        <v>2664.7708240000006</v>
      </c>
      <c r="N178" s="299">
        <f>N67*(BOM_average!M35)/1000000</f>
        <v>2721.5437976666672</v>
      </c>
      <c r="O178" s="299">
        <f>O67*(BOM_average!N35)/1000000</f>
        <v>2736.3034570000004</v>
      </c>
      <c r="P178" s="299">
        <f>P67*(BOM_average!O35)/1000000</f>
        <v>2741.0609181666669</v>
      </c>
      <c r="Q178" s="299">
        <f>Q67*(BOM_average!P35)/1000000</f>
        <v>2759.4081711666668</v>
      </c>
      <c r="R178" s="299">
        <f>R67*(BOM_average!Q35)/1000000</f>
        <v>2632.4143570000006</v>
      </c>
      <c r="S178" s="299">
        <f>S67*(BOM_average!R35)/1000000</f>
        <v>2436.5784023333335</v>
      </c>
      <c r="T178" s="299">
        <f>T67*(BOM_average!S35)/1000000</f>
        <v>2258.2423408333334</v>
      </c>
      <c r="U178" s="299">
        <f>U67*(BOM_average!T35)/1000000</f>
        <v>2130.3296636666669</v>
      </c>
      <c r="V178" s="299">
        <f>V67*(BOM_average!U35)/1000000</f>
        <v>2060.8393990000004</v>
      </c>
      <c r="W178" s="299">
        <f>W67*(BOM_average!V35)/1000000</f>
        <v>2041.7200740000003</v>
      </c>
      <c r="X178" s="299">
        <f>X67*(BOM_average!W35)/1000000</f>
        <v>2060.2179026666668</v>
      </c>
      <c r="Y178" s="299">
        <f>Y67*(BOM_average!X35)/1000000</f>
        <v>2104.3945595</v>
      </c>
      <c r="Z178" s="299">
        <f>Z67*(BOM_average!Y35)/1000000</f>
        <v>2164.9949125000003</v>
      </c>
      <c r="AA178" s="299">
        <f>AA67*(BOM_average!Z35)/1000000</f>
        <v>2235.3553801666671</v>
      </c>
      <c r="AB178" s="299">
        <f>AB67*(BOM_average!AA35)/1000000</f>
        <v>2310.6501070000004</v>
      </c>
    </row>
    <row r="179" spans="1:28">
      <c r="B179" s="295" t="s">
        <v>7757</v>
      </c>
      <c r="C179" s="299">
        <f>C67*(BOM_average!B36)/1000000</f>
        <v>0</v>
      </c>
      <c r="D179" s="299">
        <f>D67*(BOM_average!C36)/1000000</f>
        <v>360.17571959999998</v>
      </c>
      <c r="E179" s="299">
        <f>E67*(BOM_average!D36)/1000000</f>
        <v>924.76336219999996</v>
      </c>
      <c r="F179" s="299">
        <f>F67*(BOM_average!E36)/1000000</f>
        <v>1487.2183969999999</v>
      </c>
      <c r="G179" s="299">
        <f>G67*(BOM_average!F36)/1000000</f>
        <v>1972.4342285999999</v>
      </c>
      <c r="H179" s="299">
        <f>H67*(BOM_average!G36)/1000000</f>
        <v>2292.1729281999997</v>
      </c>
      <c r="I179" s="299">
        <f>I67*(BOM_average!H36)/1000000</f>
        <v>2546.4696419999996</v>
      </c>
      <c r="J179" s="299">
        <f>J67*(BOM_average!I36)/1000000</f>
        <v>2837.7046476</v>
      </c>
      <c r="K179" s="299">
        <f>K67*(BOM_average!J36)/1000000</f>
        <v>3112.0416895999997</v>
      </c>
      <c r="L179" s="299">
        <f>L67*(BOM_average!K36)/1000000</f>
        <v>3350.6424027999997</v>
      </c>
      <c r="M179" s="299">
        <f>M67*(BOM_average!L36)/1000000</f>
        <v>3544.7037791999996</v>
      </c>
      <c r="N179" s="299">
        <f>N67*(BOM_average!M36)/1000000</f>
        <v>3620.2237347999999</v>
      </c>
      <c r="O179" s="299">
        <f>O67*(BOM_average!N36)/1000000</f>
        <v>3639.8571755999992</v>
      </c>
      <c r="P179" s="299">
        <f>P67*(BOM_average!O36)/1000000</f>
        <v>3646.1855962</v>
      </c>
      <c r="Q179" s="299">
        <f>Q67*(BOM_average!P36)/1000000</f>
        <v>3670.5912885999996</v>
      </c>
      <c r="R179" s="299">
        <f>R67*(BOM_average!Q36)/1000000</f>
        <v>3501.6628956</v>
      </c>
      <c r="S179" s="299">
        <f>S67*(BOM_average!R36)/1000000</f>
        <v>3241.1600251999998</v>
      </c>
      <c r="T179" s="299">
        <f>T67*(BOM_average!S36)/1000000</f>
        <v>3003.9356809999995</v>
      </c>
      <c r="U179" s="299">
        <f>U67*(BOM_average!T36)/1000000</f>
        <v>2833.7850076</v>
      </c>
      <c r="V179" s="299">
        <f>V67*(BOM_average!U36)/1000000</f>
        <v>2741.3483891999999</v>
      </c>
      <c r="W179" s="299">
        <f>W67*(BOM_average!V36)/1000000</f>
        <v>2715.9156791999999</v>
      </c>
      <c r="X179" s="299">
        <f>X67*(BOM_average!W36)/1000000</f>
        <v>2740.5216687999996</v>
      </c>
      <c r="Y179" s="299">
        <f>Y67*(BOM_average!X36)/1000000</f>
        <v>2799.2858825999997</v>
      </c>
      <c r="Z179" s="299">
        <f>Z67*(BOM_average!Y36)/1000000</f>
        <v>2879.8970549999995</v>
      </c>
      <c r="AA179" s="299">
        <f>AA67*(BOM_average!Z36)/1000000</f>
        <v>2973.4912257999999</v>
      </c>
      <c r="AB179" s="299">
        <f>AB67*(BOM_average!AA36)/1000000</f>
        <v>3073.6489956</v>
      </c>
    </row>
    <row r="180" spans="1:28">
      <c r="B180" s="295" t="s">
        <v>7758</v>
      </c>
      <c r="C180" s="299">
        <f>C67*(BOM_average!B37)/1000000</f>
        <v>0</v>
      </c>
      <c r="D180" s="299">
        <f>D67*(BOM_average!C37)/1000000</f>
        <v>182.69202240000001</v>
      </c>
      <c r="E180" s="299">
        <f>E67*(BOM_average!D37)/1000000</f>
        <v>469.06795679999999</v>
      </c>
      <c r="F180" s="299">
        <f>F67*(BOM_average!E37)/1000000</f>
        <v>754.362168</v>
      </c>
      <c r="G180" s="299">
        <f>G67*(BOM_average!F37)/1000000</f>
        <v>1000.4783183999999</v>
      </c>
      <c r="H180" s="299">
        <f>H67*(BOM_average!G37)/1000000</f>
        <v>1162.6594608</v>
      </c>
      <c r="I180" s="299">
        <f>I67*(BOM_average!H37)/1000000</f>
        <v>1291.646448</v>
      </c>
      <c r="J180" s="299">
        <f>J67*(BOM_average!I37)/1000000</f>
        <v>1439.3696544000002</v>
      </c>
      <c r="K180" s="299">
        <f>K67*(BOM_average!J37)/1000000</f>
        <v>1578.5217024000001</v>
      </c>
      <c r="L180" s="299">
        <f>L67*(BOM_average!K37)/1000000</f>
        <v>1699.5472032</v>
      </c>
      <c r="M180" s="299">
        <f>M67*(BOM_average!L37)/1000000</f>
        <v>1797.9810047999999</v>
      </c>
      <c r="N180" s="299">
        <f>N67*(BOM_average!M37)/1000000</f>
        <v>1836.2870112000001</v>
      </c>
      <c r="O180" s="299">
        <f>O67*(BOM_average!N37)/1000000</f>
        <v>1846.2456864000001</v>
      </c>
      <c r="P180" s="299">
        <f>P67*(BOM_average!O37)/1000000</f>
        <v>1849.4556528000001</v>
      </c>
      <c r="Q180" s="299">
        <f>Q67*(BOM_average!P37)/1000000</f>
        <v>1861.8349584</v>
      </c>
      <c r="R180" s="299">
        <f>R67*(BOM_average!Q37)/1000000</f>
        <v>1776.1493664000002</v>
      </c>
      <c r="S180" s="299">
        <f>S67*(BOM_average!R37)/1000000</f>
        <v>1644.0144287999999</v>
      </c>
      <c r="T180" s="299">
        <f>T67*(BOM_average!S37)/1000000</f>
        <v>1523.687064</v>
      </c>
      <c r="U180" s="299">
        <f>U67*(BOM_average!T37)/1000000</f>
        <v>1437.3814944000001</v>
      </c>
      <c r="V180" s="299">
        <f>V67*(BOM_average!U37)/1000000</f>
        <v>1390.4948448</v>
      </c>
      <c r="W180" s="299">
        <f>W67*(BOM_average!V37)/1000000</f>
        <v>1377.5946047999998</v>
      </c>
      <c r="X180" s="299">
        <f>X67*(BOM_average!W37)/1000000</f>
        <v>1390.0755071999999</v>
      </c>
      <c r="Y180" s="299">
        <f>Y67*(BOM_average!X37)/1000000</f>
        <v>1419.8824944</v>
      </c>
      <c r="Z180" s="299">
        <f>Z67*(BOM_average!Y37)/1000000</f>
        <v>1460.7709199999999</v>
      </c>
      <c r="AA180" s="299">
        <f>AA67*(BOM_average!Z37)/1000000</f>
        <v>1508.2447152</v>
      </c>
      <c r="AB180" s="299">
        <f>AB67*(BOM_average!AA37)/1000000</f>
        <v>1559.0477664</v>
      </c>
    </row>
    <row r="182" spans="1:28">
      <c r="B182" s="7" t="s">
        <v>6905</v>
      </c>
      <c r="C182" s="91">
        <f>C178*Outflow_routing!B4</f>
        <v>0</v>
      </c>
      <c r="D182" s="91">
        <f>D178*Outflow_routing!C4</f>
        <v>102.71722064816554</v>
      </c>
      <c r="E182" s="91">
        <f>E178*Outflow_routing!D4</f>
        <v>263.72994389496546</v>
      </c>
      <c r="F182" s="91">
        <f>F178*Outflow_routing!E4</f>
        <v>424.13447637812402</v>
      </c>
      <c r="G182" s="91">
        <f>G178*Outflow_routing!F4</f>
        <v>562.5114377451788</v>
      </c>
      <c r="H182" s="91">
        <f>H178*Outflow_routing!G4</f>
        <v>653.6965698052876</v>
      </c>
      <c r="I182" s="91">
        <f>I178*Outflow_routing!H4</f>
        <v>726.21853683434426</v>
      </c>
      <c r="J182" s="91">
        <f>J178*Outflow_routing!I4</f>
        <v>809.27480271453032</v>
      </c>
      <c r="K182" s="91">
        <f>K178*Outflow_routing!J4</f>
        <v>887.511999009644</v>
      </c>
      <c r="L182" s="91">
        <f>L178*Outflow_routing!K4</f>
        <v>955.55767996723978</v>
      </c>
      <c r="M182" s="91">
        <f>M178*Outflow_routing!L4</f>
        <v>1010.9013473335548</v>
      </c>
      <c r="N182" s="91">
        <f>N178*Outflow_routing!M4</f>
        <v>1032.438612397729</v>
      </c>
      <c r="O182" s="91">
        <f>O178*Outflow_routing!N4</f>
        <v>1038.0378029066726</v>
      </c>
      <c r="P182" s="91">
        <f>P178*Outflow_routing!O4</f>
        <v>1039.8425824621809</v>
      </c>
      <c r="Q182" s="91">
        <f>Q178*Outflow_routing!P4</f>
        <v>1046.8027542752784</v>
      </c>
      <c r="R182" s="91">
        <f>R178*Outflow_routing!Q4</f>
        <v>998.62667223179312</v>
      </c>
      <c r="S182" s="91">
        <f>S178*Outflow_routing!R4</f>
        <v>924.3347936785301</v>
      </c>
      <c r="T182" s="91">
        <f>T178*Outflow_routing!S4</f>
        <v>856.6816344556679</v>
      </c>
      <c r="U182" s="91">
        <f>U178*Outflow_routing!T4</f>
        <v>808.15697465219307</v>
      </c>
      <c r="V182" s="91">
        <f>V178*Outflow_routing!U4</f>
        <v>781.79530724521817</v>
      </c>
      <c r="W182" s="91">
        <f>W178*Outflow_routing!V4</f>
        <v>774.54224396918153</v>
      </c>
      <c r="X182" s="91">
        <f>X178*Outflow_routing!W4</f>
        <v>781.55953782179483</v>
      </c>
      <c r="Y182" s="91">
        <f>Y178*Outflow_routing!X4</f>
        <v>798.31829302554388</v>
      </c>
      <c r="Z182" s="91">
        <f>Z178*Outflow_routing!Y4</f>
        <v>821.30750393435756</v>
      </c>
      <c r="AA182" s="91">
        <f>AA178*Outflow_routing!Z4</f>
        <v>847.99928955533846</v>
      </c>
      <c r="AB182" s="91">
        <f>AB178*Outflow_routing!AA4</f>
        <v>876.56292441556786</v>
      </c>
    </row>
    <row r="183" spans="1:28">
      <c r="B183" s="7" t="s">
        <v>6907</v>
      </c>
      <c r="C183" s="91">
        <f>C179*Outflow_routing!B5</f>
        <v>0</v>
      </c>
      <c r="D183" s="91">
        <f>D179*Outflow_routing!C5</f>
        <v>30.80140763316971</v>
      </c>
      <c r="E183" s="91">
        <f>E179*Outflow_routing!D5</f>
        <v>79.083657596287253</v>
      </c>
      <c r="F183" s="91">
        <f>F179*Outflow_routing!E5</f>
        <v>127.18353179503502</v>
      </c>
      <c r="G183" s="91">
        <f>G179*Outflow_routing!F5</f>
        <v>168.67808516408735</v>
      </c>
      <c r="H183" s="91">
        <f>H179*Outflow_routing!G5</f>
        <v>196.02141089802777</v>
      </c>
      <c r="I183" s="91">
        <f>I179*Outflow_routing!H5</f>
        <v>217.76828697903636</v>
      </c>
      <c r="J183" s="91">
        <f>J179*Outflow_routing!I5</f>
        <v>242.6740416881444</v>
      </c>
      <c r="K183" s="91">
        <f>K179*Outflow_routing!J5</f>
        <v>266.13472101684613</v>
      </c>
      <c r="L183" s="91">
        <f>L179*Outflow_routing!K5</f>
        <v>286.53931085704983</v>
      </c>
      <c r="M183" s="91">
        <f>M179*Outflow_routing!L5</f>
        <v>303.13499800383653</v>
      </c>
      <c r="N183" s="91">
        <f>N179*Outflow_routing!M5</f>
        <v>309.59329269248963</v>
      </c>
      <c r="O183" s="91">
        <f>O179*Outflow_routing!N5</f>
        <v>311.27229985597666</v>
      </c>
      <c r="P183" s="91">
        <f>P179*Outflow_routing!O5</f>
        <v>311.81349197961907</v>
      </c>
      <c r="Q183" s="91">
        <f>Q179*Outflow_routing!P5</f>
        <v>313.90061123634462</v>
      </c>
      <c r="R183" s="91">
        <f>R179*Outflow_routing!Q5</f>
        <v>299.4542396169922</v>
      </c>
      <c r="S183" s="91">
        <f>S179*Outflow_routing!R5</f>
        <v>277.17662715129842</v>
      </c>
      <c r="T183" s="91">
        <f>T179*Outflow_routing!S5</f>
        <v>256.88974125479677</v>
      </c>
      <c r="U183" s="91">
        <f>U179*Outflow_routing!T5</f>
        <v>242.33884299804569</v>
      </c>
      <c r="V183" s="91">
        <f>V179*Outflow_routing!U5</f>
        <v>234.43387381596938</v>
      </c>
      <c r="W183" s="91">
        <f>W179*Outflow_routing!V5</f>
        <v>232.25892635200327</v>
      </c>
      <c r="X183" s="91">
        <f>X179*Outflow_routing!W5</f>
        <v>234.36317456931459</v>
      </c>
      <c r="Y183" s="91">
        <f>Y179*Outflow_routing!X5</f>
        <v>239.38855636214254</v>
      </c>
      <c r="Z183" s="91">
        <f>Z179*Outflow_routing!Y5</f>
        <v>246.28224032184303</v>
      </c>
      <c r="AA183" s="91">
        <f>AA179*Outflow_routing!Z5</f>
        <v>254.28620075010542</v>
      </c>
      <c r="AB183" s="91">
        <f>AB179*Outflow_routing!AA5</f>
        <v>262.85146522341608</v>
      </c>
    </row>
    <row r="184" spans="1:28">
      <c r="B184" s="7" t="s">
        <v>6908</v>
      </c>
      <c r="C184" s="91">
        <f>C180*Outflow_routing!B6</f>
        <v>0</v>
      </c>
      <c r="D184" s="91">
        <f>D180*Outflow_routing!C6</f>
        <v>2.5266152929554493</v>
      </c>
      <c r="E184" s="91">
        <f>E180*Outflow_routing!D6</f>
        <v>6.487170361995215</v>
      </c>
      <c r="F184" s="91">
        <f>F180*Outflow_routing!E6</f>
        <v>10.432765290225545</v>
      </c>
      <c r="G184" s="91">
        <f>G180*Outflow_routing!F6</f>
        <v>13.836530935133986</v>
      </c>
      <c r="H184" s="91">
        <f>H180*Outflow_routing!G6</f>
        <v>16.079482484050803</v>
      </c>
      <c r="I184" s="91">
        <f>I180*Outflow_routing!H6</f>
        <v>17.863361660439889</v>
      </c>
      <c r="J184" s="91">
        <f>J180*Outflow_routing!I6</f>
        <v>19.906361171373405</v>
      </c>
      <c r="K184" s="91">
        <f>K180*Outflow_routing!J6</f>
        <v>21.83082228305285</v>
      </c>
      <c r="L184" s="91">
        <f>L180*Outflow_routing!K6</f>
        <v>23.504594772632952</v>
      </c>
      <c r="M184" s="91">
        <f>M180*Outflow_routing!L6</f>
        <v>24.865925963776977</v>
      </c>
      <c r="N184" s="91">
        <f>N180*Outflow_routing!M6</f>
        <v>25.395694808146008</v>
      </c>
      <c r="O184" s="91">
        <f>O180*Outflow_routing!N6</f>
        <v>25.533422447959449</v>
      </c>
      <c r="P184" s="91">
        <f>P180*Outflow_routing!O6</f>
        <v>25.577816013094743</v>
      </c>
      <c r="Q184" s="91">
        <f>Q180*Outflow_routing!P6</f>
        <v>25.749020767600374</v>
      </c>
      <c r="R184" s="91">
        <f>R180*Outflow_routing!Q6</f>
        <v>24.563996242232044</v>
      </c>
      <c r="S184" s="91">
        <f>S180*Outflow_routing!R6</f>
        <v>22.736581176767888</v>
      </c>
      <c r="T184" s="91">
        <f>T180*Outflow_routing!S6</f>
        <v>21.07246384930702</v>
      </c>
      <c r="U184" s="91">
        <f>U180*Outflow_routing!T6</f>
        <v>19.878865085913009</v>
      </c>
      <c r="V184" s="91">
        <f>V180*Outflow_routing!U6</f>
        <v>19.230426668304229</v>
      </c>
      <c r="W184" s="91">
        <f>W180*Outflow_routing!V6</f>
        <v>19.052017434892647</v>
      </c>
      <c r="X184" s="91">
        <f>X180*Outflow_routing!W6</f>
        <v>19.224627264591071</v>
      </c>
      <c r="Y184" s="91">
        <f>Y180*Outflow_routing!X6</f>
        <v>19.636855388770222</v>
      </c>
      <c r="Z184" s="91">
        <f>Z180*Outflow_routing!Y6</f>
        <v>20.202338873317991</v>
      </c>
      <c r="AA184" s="91">
        <f>AA180*Outflow_routing!Z6</f>
        <v>20.858897465155852</v>
      </c>
      <c r="AB184" s="91">
        <f>AB180*Outflow_routing!AA6</f>
        <v>21.561499387256632</v>
      </c>
    </row>
    <row r="187" spans="1:28" ht="21">
      <c r="A187" s="293" t="s">
        <v>7800</v>
      </c>
      <c r="B187" s="166" t="s">
        <v>7862</v>
      </c>
      <c r="C187" s="375"/>
      <c r="D187" s="375"/>
      <c r="E187" s="375"/>
      <c r="F187" s="375"/>
      <c r="G187" s="375"/>
      <c r="H187" s="375"/>
      <c r="I187" s="375"/>
      <c r="J187" s="375"/>
      <c r="K187" s="375"/>
      <c r="L187" s="375"/>
      <c r="M187" s="375"/>
      <c r="N187" s="375"/>
      <c r="O187" s="375"/>
      <c r="P187" s="375"/>
      <c r="Q187" s="375">
        <f>Smartphone_0!P67-Smartphone_2!P67</f>
        <v>0</v>
      </c>
      <c r="R187" s="375">
        <f>Smartphone_0!S38-Smartphone_2!S38</f>
        <v>2834231</v>
      </c>
      <c r="S187" s="375">
        <v>2834231</v>
      </c>
      <c r="T187" s="375">
        <v>4148433</v>
      </c>
      <c r="U187" s="375">
        <v>4819639</v>
      </c>
      <c r="V187" s="375">
        <v>4860692</v>
      </c>
      <c r="W187" s="375">
        <v>4438812</v>
      </c>
      <c r="X187" s="375">
        <v>3759637</v>
      </c>
      <c r="Y187" s="375">
        <v>2999191</v>
      </c>
      <c r="Z187" s="375">
        <v>2277493</v>
      </c>
      <c r="AA187" s="375">
        <v>1659114</v>
      </c>
      <c r="AB187" s="375">
        <v>1166311</v>
      </c>
    </row>
    <row r="188" spans="1:28" ht="19">
      <c r="B188" s="166" t="s">
        <v>7863</v>
      </c>
      <c r="C188" s="7"/>
      <c r="D188" s="7"/>
      <c r="E188" s="7"/>
      <c r="F188" s="7"/>
      <c r="G188" s="7"/>
      <c r="H188" s="7"/>
      <c r="I188" s="7"/>
      <c r="J188" s="7"/>
      <c r="K188" s="7"/>
      <c r="L188" s="7"/>
      <c r="M188" s="7"/>
      <c r="N188" s="7"/>
      <c r="O188" s="7"/>
      <c r="P188" s="7"/>
      <c r="Q188" s="7"/>
      <c r="R188" s="7"/>
      <c r="S188" s="7">
        <v>355</v>
      </c>
      <c r="T188" s="7">
        <v>355</v>
      </c>
      <c r="U188" s="7">
        <v>355</v>
      </c>
      <c r="V188" s="7">
        <v>355</v>
      </c>
      <c r="W188" s="7">
        <v>355</v>
      </c>
      <c r="X188" s="7">
        <v>355</v>
      </c>
      <c r="Y188" s="7">
        <v>355</v>
      </c>
      <c r="Z188" s="7">
        <v>355</v>
      </c>
      <c r="AA188" s="7">
        <v>355</v>
      </c>
      <c r="AB188" s="7">
        <v>355</v>
      </c>
    </row>
    <row r="189" spans="1:28">
      <c r="B189" s="7" t="s">
        <v>7861</v>
      </c>
      <c r="C189" s="8"/>
      <c r="D189" s="8"/>
      <c r="E189" s="8"/>
      <c r="F189" s="8"/>
      <c r="G189" s="8"/>
      <c r="H189" s="8"/>
      <c r="I189" s="8"/>
      <c r="J189" s="8"/>
      <c r="K189" s="8"/>
      <c r="L189" s="8"/>
      <c r="M189" s="8"/>
      <c r="N189" s="8"/>
      <c r="O189" s="8"/>
      <c r="P189" s="8"/>
      <c r="Q189" s="8"/>
      <c r="R189" s="8"/>
      <c r="S189" s="50">
        <f>S187*S188</f>
        <v>1006152005</v>
      </c>
      <c r="T189" s="50">
        <f t="shared" ref="T189:AB189" si="25">T187*T188</f>
        <v>1472693715</v>
      </c>
      <c r="U189" s="50">
        <f t="shared" si="25"/>
        <v>1710971845</v>
      </c>
      <c r="V189" s="50">
        <f t="shared" si="25"/>
        <v>1725545660</v>
      </c>
      <c r="W189" s="50">
        <f t="shared" si="25"/>
        <v>1575778260</v>
      </c>
      <c r="X189" s="50">
        <f t="shared" si="25"/>
        <v>1334671135</v>
      </c>
      <c r="Y189" s="50">
        <f t="shared" si="25"/>
        <v>1064712805</v>
      </c>
      <c r="Z189" s="50">
        <f t="shared" si="25"/>
        <v>808510015</v>
      </c>
      <c r="AA189" s="50">
        <f t="shared" si="25"/>
        <v>588985470</v>
      </c>
      <c r="AB189" s="50">
        <f t="shared" si="25"/>
        <v>414040405</v>
      </c>
    </row>
  </sheetData>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3CDC8-02DD-0340-AFA3-0FA8934B9AEE}">
  <dimension ref="A1:AF189"/>
  <sheetViews>
    <sheetView zoomScale="50" zoomScaleNormal="50" workbookViewId="0">
      <pane xSplit="2" ySplit="2" topLeftCell="C22" activePane="bottomRight" state="frozen"/>
      <selection pane="topRight" activeCell="C1" sqref="C1"/>
      <selection pane="bottomLeft" activeCell="A3" sqref="A3"/>
      <selection pane="bottomRight" activeCell="S38" sqref="S38:AB3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9" ht="21">
      <c r="A1" s="52"/>
      <c r="B1" s="52"/>
      <c r="U1" s="1"/>
      <c r="V1" s="81"/>
    </row>
    <row r="2" spans="1:29" ht="22" thickBot="1">
      <c r="A2" s="52"/>
      <c r="B2" s="212" t="s">
        <v>175</v>
      </c>
      <c r="C2" s="213">
        <v>2007</v>
      </c>
      <c r="D2" s="213">
        <v>2008</v>
      </c>
      <c r="E2" s="213">
        <v>2009</v>
      </c>
      <c r="F2" s="213">
        <v>2010</v>
      </c>
      <c r="G2" s="213">
        <v>2011</v>
      </c>
      <c r="H2" s="213">
        <v>2012</v>
      </c>
      <c r="I2" s="213">
        <v>2013</v>
      </c>
      <c r="J2" s="213">
        <v>2014</v>
      </c>
      <c r="K2" s="213">
        <v>2015</v>
      </c>
      <c r="L2" s="213">
        <v>2016</v>
      </c>
      <c r="M2" s="213">
        <v>2017</v>
      </c>
      <c r="N2" s="213">
        <v>2018</v>
      </c>
      <c r="O2" s="213">
        <v>2019</v>
      </c>
      <c r="P2" s="213">
        <v>2020</v>
      </c>
      <c r="Q2" s="213">
        <v>2021</v>
      </c>
      <c r="R2" s="213">
        <v>2022</v>
      </c>
      <c r="S2" s="213">
        <v>2023</v>
      </c>
      <c r="T2" s="213">
        <v>2024</v>
      </c>
      <c r="U2" s="213">
        <v>2025</v>
      </c>
      <c r="V2" s="213">
        <v>2026</v>
      </c>
      <c r="W2" s="213">
        <v>2027</v>
      </c>
      <c r="X2" s="213">
        <v>2028</v>
      </c>
      <c r="Y2" s="213">
        <v>2029</v>
      </c>
      <c r="Z2" s="213">
        <v>2030</v>
      </c>
      <c r="AA2" s="213">
        <v>2031</v>
      </c>
      <c r="AB2" s="213">
        <v>2032</v>
      </c>
    </row>
    <row r="3" spans="1:29" ht="17" thickTop="1"/>
    <row r="4" spans="1:29" ht="26">
      <c r="A4" s="292" t="s">
        <v>7791</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9">
      <c r="A5" s="1"/>
      <c r="B5" s="82"/>
      <c r="C5" s="47">
        <f>B5+C38-C67</f>
        <v>6296239.7586206896</v>
      </c>
      <c r="D5" s="47">
        <f t="shared" ref="D5:AB5" si="0">C5+D38-D67</f>
        <v>15741453.077067763</v>
      </c>
      <c r="E5" s="47">
        <f t="shared" si="0"/>
        <v>23926437.36678322</v>
      </c>
      <c r="F5" s="47">
        <f t="shared" si="0"/>
        <v>26897940.414263327</v>
      </c>
      <c r="G5" s="47">
        <f t="shared" si="0"/>
        <v>28607256.464263327</v>
      </c>
      <c r="H5" s="47">
        <f t="shared" si="0"/>
        <v>30576756.47719305</v>
      </c>
      <c r="I5" s="47">
        <f t="shared" si="0"/>
        <v>31824690.726521745</v>
      </c>
      <c r="J5" s="47">
        <f t="shared" si="0"/>
        <v>32377488.409027457</v>
      </c>
      <c r="K5" s="47">
        <f t="shared" si="0"/>
        <v>32423831.265239067</v>
      </c>
      <c r="L5" s="47">
        <f t="shared" si="0"/>
        <v>32657973.504002661</v>
      </c>
      <c r="M5" s="47">
        <f t="shared" si="0"/>
        <v>32296382.315552652</v>
      </c>
      <c r="N5" s="47">
        <f t="shared" si="0"/>
        <v>32490056.083327718</v>
      </c>
      <c r="O5" s="47">
        <f t="shared" si="0"/>
        <v>34374389.838731639</v>
      </c>
      <c r="P5" s="47">
        <f t="shared" si="0"/>
        <v>38290180.850886896</v>
      </c>
      <c r="Q5" s="47">
        <f t="shared" si="0"/>
        <v>41723596.522652984</v>
      </c>
      <c r="R5" s="47">
        <f t="shared" si="0"/>
        <v>43998533.029590286</v>
      </c>
      <c r="S5" s="47">
        <f t="shared" si="0"/>
        <v>45838436.536527589</v>
      </c>
      <c r="T5" s="47">
        <f t="shared" si="0"/>
        <v>47284531.043464892</v>
      </c>
      <c r="U5" s="47">
        <f t="shared" si="0"/>
        <v>48388769.550402194</v>
      </c>
      <c r="V5" s="47">
        <f t="shared" si="0"/>
        <v>49208980.057339497</v>
      </c>
      <c r="W5" s="47">
        <f t="shared" si="0"/>
        <v>49802303.5642768</v>
      </c>
      <c r="X5" s="47">
        <f t="shared" si="0"/>
        <v>50220707.071214102</v>
      </c>
      <c r="Y5" s="47">
        <f t="shared" si="0"/>
        <v>50508578.578151405</v>
      </c>
      <c r="Z5" s="47">
        <f t="shared" si="0"/>
        <v>50701951.085088708</v>
      </c>
      <c r="AA5" s="47">
        <f t="shared" si="0"/>
        <v>50828837.59202601</v>
      </c>
      <c r="AB5" s="47">
        <f t="shared" si="0"/>
        <v>50910202.098963313</v>
      </c>
    </row>
    <row r="6" spans="1:29">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9">
      <c r="A7" s="1" t="s">
        <v>7762</v>
      </c>
      <c r="B7" s="7">
        <v>2007</v>
      </c>
      <c r="C7" s="83">
        <f>$C$38*Product_lifespan!B25</f>
        <v>6296239.7586206896</v>
      </c>
      <c r="D7" s="83">
        <f>$C$38*Product_lifespan!C25</f>
        <v>5953133.5529929036</v>
      </c>
      <c r="E7" s="83">
        <f>$C$38*Product_lifespan!D25</f>
        <v>5312628.1227337867</v>
      </c>
      <c r="F7" s="83">
        <f>$C$38*Product_lifespan!E25</f>
        <v>4549311.1156588271</v>
      </c>
      <c r="G7" s="83">
        <f>$C$38*Product_lifespan!F25</f>
        <v>3762243.1119793053</v>
      </c>
      <c r="H7" s="83">
        <f>$C$38*Product_lifespan!G25</f>
        <v>3016408.7345313723</v>
      </c>
      <c r="I7" s="83">
        <f>$C$38*Product_lifespan!H25</f>
        <v>2350921.1590401442</v>
      </c>
      <c r="J7" s="83">
        <f>$C$38*Product_lifespan!I25</f>
        <v>1784686.2815747173</v>
      </c>
      <c r="K7" s="83">
        <f>$C$38*Product_lifespan!J25</f>
        <v>1321747.5755234691</v>
      </c>
      <c r="L7" s="83">
        <f>$C$38*Product_lifespan!K25</f>
        <v>956221.97917558963</v>
      </c>
      <c r="M7" s="83">
        <f>$C$38*Product_lifespan!L25</f>
        <v>676491.44003402896</v>
      </c>
      <c r="N7" s="83">
        <f>$C$38*Product_lifespan!M25</f>
        <v>468447.44573115907</v>
      </c>
      <c r="O7" s="83">
        <f>$C$38*Product_lifespan!N25</f>
        <v>317762.92716612213</v>
      </c>
      <c r="P7" s="83">
        <f>$C$38*Product_lifespan!O25</f>
        <v>211298.42119974451</v>
      </c>
      <c r="Q7" s="83">
        <f>$C$38*Product_lifespan!P25</f>
        <v>137820.20510192582</v>
      </c>
      <c r="R7" s="83">
        <f>$C$38*Product_lifespan!Q25</f>
        <v>88226.310033755712</v>
      </c>
      <c r="S7" s="83">
        <f>$C$38*Product_lifespan!R25</f>
        <v>55459.187490908189</v>
      </c>
      <c r="T7" s="83">
        <f>$C$38*Product_lifespan!S25</f>
        <v>34248.442737314057</v>
      </c>
      <c r="U7" s="83">
        <f>$C$38*Product_lifespan!T25</f>
        <v>20786.67008066069</v>
      </c>
      <c r="V7" s="83">
        <f>$C$38*Product_lifespan!U25</f>
        <v>12404.405880600823</v>
      </c>
      <c r="W7" s="83">
        <f>$C$38*Product_lifespan!V25</f>
        <v>7280.6706728968684</v>
      </c>
      <c r="X7" s="83">
        <f>$C$38*Product_lifespan!W25</f>
        <v>4204.5294545930774</v>
      </c>
      <c r="Y7" s="83">
        <f>$C$38*Product_lifespan!X25</f>
        <v>2389.7381836686386</v>
      </c>
      <c r="Z7" s="83">
        <f>$C$38*Product_lifespan!Y25</f>
        <v>1337.2040123827519</v>
      </c>
      <c r="AA7" s="83">
        <f>$C$38*Product_lifespan!Z25</f>
        <v>736.84999439833393</v>
      </c>
      <c r="AB7" s="83">
        <f>$C$38*Product_lifespan!AA25</f>
        <v>399.95131582986107</v>
      </c>
    </row>
    <row r="8" spans="1:29">
      <c r="A8" s="1"/>
      <c r="B8" s="7">
        <v>2008</v>
      </c>
      <c r="C8" s="83"/>
      <c r="D8" s="83">
        <f>$D$38*Product_lifespan!B25</f>
        <v>9788319.3184470721</v>
      </c>
      <c r="E8" s="83">
        <f>$D$38*Product_lifespan!C25</f>
        <v>9254916.3303815015</v>
      </c>
      <c r="F8" s="83">
        <f>$D$38*Product_lifespan!D25</f>
        <v>8259167.7698233472</v>
      </c>
      <c r="G8" s="83">
        <f>$D$38*Product_lifespan!E25</f>
        <v>7072492.7236227831</v>
      </c>
      <c r="H8" s="83">
        <f>$D$38*Product_lifespan!F25</f>
        <v>5848893.6802732088</v>
      </c>
      <c r="I8" s="83">
        <f>$D$38*Product_lifespan!G25</f>
        <v>4689397.6437476156</v>
      </c>
      <c r="J8" s="83">
        <f>$D$38*Product_lifespan!H25</f>
        <v>3654811.1062117084</v>
      </c>
      <c r="K8" s="83">
        <f>$D$38*Product_lifespan!I25</f>
        <v>2774525.7291682628</v>
      </c>
      <c r="L8" s="83">
        <f>$D$38*Product_lifespan!J25</f>
        <v>2054827.6151480607</v>
      </c>
      <c r="M8" s="83">
        <f>$D$38*Product_lifespan!K25</f>
        <v>1486570.7835653578</v>
      </c>
      <c r="N8" s="83">
        <f>$D$38*Product_lifespan!L25</f>
        <v>1051693.4686584705</v>
      </c>
      <c r="O8" s="83">
        <f>$D$38*Product_lifespan!M25</f>
        <v>728262.16257876274</v>
      </c>
      <c r="P8" s="83">
        <f>$D$38*Product_lifespan!N25</f>
        <v>494003.58275870793</v>
      </c>
      <c r="Q8" s="83">
        <f>$D$38*Product_lifespan!O25</f>
        <v>328490.73375184112</v>
      </c>
      <c r="R8" s="83">
        <f>$D$38*Product_lifespan!P25</f>
        <v>214259.34014416378</v>
      </c>
      <c r="S8" s="83">
        <f>$D$38*Product_lifespan!Q25</f>
        <v>137159.21375394016</v>
      </c>
      <c r="T8" s="83">
        <f>$D$38*Product_lifespan!R25</f>
        <v>86218.482318652503</v>
      </c>
      <c r="U8" s="83">
        <f>$D$38*Product_lifespan!S25</f>
        <v>53243.63533224455</v>
      </c>
      <c r="V8" s="83">
        <f>$D$38*Product_lifespan!T25</f>
        <v>32315.56804013607</v>
      </c>
      <c r="W8" s="83">
        <f>$D$38*Product_lifespan!U25</f>
        <v>19284.25383558495</v>
      </c>
      <c r="X8" s="83">
        <f>$D$38*Product_lifespan!V25</f>
        <v>11318.744541325968</v>
      </c>
      <c r="Y8" s="83">
        <f>$D$38*Product_lifespan!W25</f>
        <v>6536.485023306831</v>
      </c>
      <c r="Z8" s="83">
        <f>$D$38*Product_lifespan!X25</f>
        <v>3715.157193181396</v>
      </c>
      <c r="AA8" s="83">
        <f>$D$38*Product_lifespan!Y25</f>
        <v>2078.8566460147663</v>
      </c>
      <c r="AB8" s="83">
        <f>$D$38*Product_lifespan!Z25</f>
        <v>1145.5286506667064</v>
      </c>
    </row>
    <row r="9" spans="1:29">
      <c r="A9" s="1"/>
      <c r="B9" s="7">
        <v>2009</v>
      </c>
      <c r="C9" s="83"/>
      <c r="D9" s="83"/>
      <c r="E9" s="83">
        <f>$E$38*Product_lifespan!B25</f>
        <v>9358892.2897154577</v>
      </c>
      <c r="F9" s="83">
        <f>$E$38*Product_lifespan!C25</f>
        <v>8848890.4242358524</v>
      </c>
      <c r="G9" s="83">
        <f>$E$38*Product_lifespan!D25</f>
        <v>7896826.7223151177</v>
      </c>
      <c r="H9" s="83">
        <f>$E$38*Product_lifespan!E25</f>
        <v>6762212.7422262281</v>
      </c>
      <c r="I9" s="83">
        <f>$E$38*Product_lifespan!F25</f>
        <v>5592294.6715186276</v>
      </c>
      <c r="J9" s="83">
        <f>$E$38*Product_lifespan!G25</f>
        <v>4483667.3205755418</v>
      </c>
      <c r="K9" s="83">
        <f>$E$38*Product_lifespan!H25</f>
        <v>3494469.5171344127</v>
      </c>
      <c r="L9" s="83">
        <f>$E$38*Product_lifespan!I25</f>
        <v>2652803.4700904735</v>
      </c>
      <c r="M9" s="83">
        <f>$E$38*Product_lifespan!J25</f>
        <v>1964679.502012261</v>
      </c>
      <c r="N9" s="83">
        <f>$E$38*Product_lifespan!K25</f>
        <v>1421352.8790592572</v>
      </c>
      <c r="O9" s="83">
        <f>$E$38*Product_lifespan!L25</f>
        <v>1005554.2299710569</v>
      </c>
      <c r="P9" s="83">
        <f>$E$38*Product_lifespan!M25</f>
        <v>696312.30004981183</v>
      </c>
      <c r="Q9" s="83">
        <f>$E$38*Product_lifespan!N25</f>
        <v>472330.96626293752</v>
      </c>
      <c r="R9" s="83">
        <f>$E$38*Product_lifespan!O25</f>
        <v>314079.39354402077</v>
      </c>
      <c r="S9" s="83">
        <f>$E$38*Product_lifespan!P25</f>
        <v>204859.48825715957</v>
      </c>
      <c r="T9" s="83">
        <f>$E$38*Product_lifespan!Q25</f>
        <v>131141.85043452779</v>
      </c>
      <c r="U9" s="83">
        <f>$E$38*Product_lifespan!R25</f>
        <v>82435.958937537245</v>
      </c>
      <c r="V9" s="83">
        <f>$E$38*Product_lifespan!S25</f>
        <v>50907.763833191042</v>
      </c>
      <c r="W9" s="83">
        <f>$E$38*Product_lifespan!T25</f>
        <v>30897.839632042862</v>
      </c>
      <c r="X9" s="83">
        <f>$E$38*Product_lifespan!U25</f>
        <v>18438.227101422861</v>
      </c>
      <c r="Y9" s="83">
        <f>$E$38*Product_lifespan!V25</f>
        <v>10822.175653529925</v>
      </c>
      <c r="Z9" s="83">
        <f>$E$38*Product_lifespan!W25</f>
        <v>6249.7204368044904</v>
      </c>
      <c r="AA9" s="83">
        <f>$E$38*Product_lifespan!X25</f>
        <v>3552.1681382849033</v>
      </c>
      <c r="AB9" s="83">
        <f>$E$38*Product_lifespan!Y25</f>
        <v>1987.6543462517545</v>
      </c>
    </row>
    <row r="10" spans="1:29">
      <c r="A10" s="1"/>
      <c r="B10" s="7">
        <v>2010</v>
      </c>
      <c r="C10" s="83"/>
      <c r="D10" s="83"/>
      <c r="E10" s="83"/>
      <c r="F10" s="83">
        <f>$F$38*Product_lifespan!B25</f>
        <v>5240570.0474801064</v>
      </c>
      <c r="G10" s="83">
        <f>$F$38*Product_lifespan!C25</f>
        <v>4954991.325377658</v>
      </c>
      <c r="H10" s="83">
        <f>$F$38*Product_lifespan!D25</f>
        <v>4421877.3237279467</v>
      </c>
      <c r="I10" s="83">
        <f>$F$38*Product_lifespan!E25</f>
        <v>3786543.1564526018</v>
      </c>
      <c r="J10" s="83">
        <f>$F$38*Product_lifespan!F25</f>
        <v>3131440.2436759048</v>
      </c>
      <c r="K10" s="83">
        <f>$F$38*Product_lifespan!G25</f>
        <v>2510657.4512984329</v>
      </c>
      <c r="L10" s="83">
        <f>$F$38*Product_lifespan!H25</f>
        <v>1956749.9781412326</v>
      </c>
      <c r="M10" s="83">
        <f>$F$38*Product_lifespan!I25</f>
        <v>1485453.8311638266</v>
      </c>
      <c r="N10" s="83">
        <f>$F$38*Product_lifespan!J25</f>
        <v>1100134.5279353163</v>
      </c>
      <c r="O10" s="83">
        <f>$F$38*Product_lifespan!K25</f>
        <v>795895.40025831666</v>
      </c>
      <c r="P10" s="83">
        <f>$F$38*Product_lifespan!L25</f>
        <v>563066.35610008286</v>
      </c>
      <c r="Q10" s="83">
        <f>$F$38*Product_lifespan!M25</f>
        <v>389904.41073277581</v>
      </c>
      <c r="R10" s="83">
        <f>$F$38*Product_lifespan!N25</f>
        <v>264484.66738045384</v>
      </c>
      <c r="S10" s="83">
        <f>$F$38*Product_lifespan!O25</f>
        <v>175870.71326232291</v>
      </c>
      <c r="T10" s="83">
        <f>$F$38*Product_lifespan!P25</f>
        <v>114712.34681077984</v>
      </c>
      <c r="U10" s="83">
        <f>$F$38*Product_lifespan!Q25</f>
        <v>73433.696219961232</v>
      </c>
      <c r="V10" s="83">
        <f>$F$38*Product_lifespan!R25</f>
        <v>46160.528817934748</v>
      </c>
      <c r="W10" s="83">
        <f>$F$38*Product_lifespan!S25</f>
        <v>28506.119535277099</v>
      </c>
      <c r="X10" s="83">
        <f>$F$38*Product_lifespan!T25</f>
        <v>17301.437808560415</v>
      </c>
      <c r="Y10" s="83">
        <f>$F$38*Product_lifespan!U25</f>
        <v>10324.600143388376</v>
      </c>
      <c r="Z10" s="83">
        <f>$F$38*Product_lifespan!V25</f>
        <v>6059.9446839217417</v>
      </c>
      <c r="AA10" s="83">
        <f>$F$38*Product_lifespan!W25</f>
        <v>3499.5698969880627</v>
      </c>
      <c r="AB10" s="83">
        <f>$F$38*Product_lifespan!X25</f>
        <v>1989.0586805412424</v>
      </c>
    </row>
    <row r="11" spans="1:29">
      <c r="A11" s="1"/>
      <c r="B11" s="7">
        <v>2011</v>
      </c>
      <c r="C11" s="83"/>
      <c r="D11" s="83"/>
      <c r="E11" s="83"/>
      <c r="F11" s="83"/>
      <c r="G11" s="83">
        <f>$G$38*Product_lifespan!B25</f>
        <v>4920701.05</v>
      </c>
      <c r="H11" s="83">
        <f>$G$38*Product_lifespan!C25</f>
        <v>4652553.2139868392</v>
      </c>
      <c r="I11" s="83">
        <f>$G$38*Product_lifespan!D25</f>
        <v>4151978.9245641022</v>
      </c>
      <c r="J11" s="83">
        <f>$G$38*Product_lifespan!E25</f>
        <v>3555423.688074911</v>
      </c>
      <c r="K11" s="83">
        <f>$G$38*Product_lifespan!F25</f>
        <v>2940306.332223827</v>
      </c>
      <c r="L11" s="83">
        <f>$G$38*Product_lifespan!G25</f>
        <v>2357414.2974646348</v>
      </c>
      <c r="M11" s="83">
        <f>$G$38*Product_lifespan!H25</f>
        <v>1837315.7089383588</v>
      </c>
      <c r="N11" s="83">
        <f>$G$38*Product_lifespan!I25</f>
        <v>1394786.0939763752</v>
      </c>
      <c r="O11" s="83">
        <f>$G$38*Product_lifespan!J25</f>
        <v>1032985.5488441718</v>
      </c>
      <c r="P11" s="83">
        <f>$G$38*Product_lifespan!K25</f>
        <v>747316.28358339122</v>
      </c>
      <c r="Q11" s="83">
        <f>$G$38*Product_lifespan!L25</f>
        <v>528698.4401656104</v>
      </c>
      <c r="R11" s="83">
        <f>$G$38*Product_lifespan!M25</f>
        <v>366105.79114669957</v>
      </c>
      <c r="S11" s="83">
        <f>$G$38*Product_lifespan!N25</f>
        <v>248341.30041133476</v>
      </c>
      <c r="T11" s="83">
        <f>$G$38*Product_lifespan!O25</f>
        <v>165136.08168071078</v>
      </c>
      <c r="U11" s="83">
        <f>$G$38*Product_lifespan!P25</f>
        <v>107710.64221747936</v>
      </c>
      <c r="V11" s="83">
        <f>$G$38*Product_lifespan!Q25</f>
        <v>68951.519170838059</v>
      </c>
      <c r="W11" s="83">
        <f>$G$38*Product_lifespan!R25</f>
        <v>43343.025771058354</v>
      </c>
      <c r="X11" s="83">
        <f>$G$38*Product_lifespan!S25</f>
        <v>26766.18975756492</v>
      </c>
      <c r="Y11" s="83">
        <f>$G$38*Product_lifespan!T25</f>
        <v>16245.408881049045</v>
      </c>
      <c r="Z11" s="83">
        <f>$G$38*Product_lifespan!U25</f>
        <v>9694.416887115216</v>
      </c>
      <c r="AA11" s="83">
        <f>$G$38*Product_lifespan!V25</f>
        <v>5690.0634661784525</v>
      </c>
      <c r="AB11" s="83">
        <f>$G$38*Product_lifespan!W25</f>
        <v>3285.9664331627123</v>
      </c>
    </row>
    <row r="12" spans="1:29">
      <c r="A12" s="1"/>
      <c r="B12" s="7">
        <v>2012</v>
      </c>
      <c r="C12" s="83"/>
      <c r="D12" s="83"/>
      <c r="E12" s="83"/>
      <c r="F12" s="83"/>
      <c r="G12" s="83"/>
      <c r="H12" s="83">
        <f>$H$38*Product_lifespan!B25</f>
        <v>5874809.0129297227</v>
      </c>
      <c r="I12" s="83">
        <f>$H$38*Product_lifespan!C25</f>
        <v>5554668.1818162948</v>
      </c>
      <c r="J12" s="83">
        <f>$H$38*Product_lifespan!D25</f>
        <v>4957034.1623422634</v>
      </c>
      <c r="K12" s="83">
        <f>$H$38*Product_lifespan!E25</f>
        <v>4244808.8016820941</v>
      </c>
      <c r="L12" s="83">
        <f>$H$38*Product_lifespan!F25</f>
        <v>3510422.1869611195</v>
      </c>
      <c r="M12" s="83">
        <f>$H$38*Product_lifespan!G25</f>
        <v>2814509.2785010026</v>
      </c>
      <c r="N12" s="83">
        <f>$H$38*Product_lifespan!H25</f>
        <v>2193565.2616954721</v>
      </c>
      <c r="O12" s="83">
        <f>$H$38*Product_lifespan!I25</f>
        <v>1665230.5906698909</v>
      </c>
      <c r="P12" s="83">
        <f>$H$38*Product_lifespan!J25</f>
        <v>1233278.0940991929</v>
      </c>
      <c r="Q12" s="83">
        <f>$H$38*Product_lifespan!K25</f>
        <v>892218.48547471734</v>
      </c>
      <c r="R12" s="83">
        <f>$H$38*Product_lifespan!L25</f>
        <v>631211.35176598746</v>
      </c>
      <c r="S12" s="83">
        <f>$H$38*Product_lifespan!M25</f>
        <v>437092.51581426541</v>
      </c>
      <c r="T12" s="83">
        <f>$H$38*Product_lifespan!N25</f>
        <v>296493.87254265271</v>
      </c>
      <c r="U12" s="83">
        <f>$H$38*Product_lifespan!O25</f>
        <v>197155.43195166034</v>
      </c>
      <c r="V12" s="83">
        <f>$H$38*Product_lifespan!P25</f>
        <v>128595.38615695754</v>
      </c>
      <c r="W12" s="83">
        <f>$H$38*Product_lifespan!Q25</f>
        <v>82320.994948481166</v>
      </c>
      <c r="X12" s="83">
        <f>$H$38*Product_lifespan!R25</f>
        <v>51747.097793607863</v>
      </c>
      <c r="Y12" s="83">
        <f>$H$38*Product_lifespan!S25</f>
        <v>31956.067079004857</v>
      </c>
      <c r="Z12" s="83">
        <f>$H$38*Product_lifespan!T25</f>
        <v>19395.340936860102</v>
      </c>
      <c r="AA12" s="83">
        <f>$H$38*Product_lifespan!U25</f>
        <v>11574.132857252642</v>
      </c>
      <c r="AB12" s="83">
        <f>$H$38*Product_lifespan!V25</f>
        <v>6793.3483045565863</v>
      </c>
      <c r="AC12" s="83"/>
    </row>
    <row r="13" spans="1:29">
      <c r="A13" s="1"/>
      <c r="B13" s="7">
        <v>2013</v>
      </c>
      <c r="C13" s="83"/>
      <c r="D13" s="83"/>
      <c r="E13" s="83"/>
      <c r="F13" s="83"/>
      <c r="G13" s="83"/>
      <c r="H13" s="83"/>
      <c r="I13" s="83">
        <f>$I$38*Product_lifespan!B25</f>
        <v>5698885.2493286971</v>
      </c>
      <c r="J13" s="83">
        <f>$I$38*Product_lifespan!C25</f>
        <v>5388331.1775069982</v>
      </c>
      <c r="K13" s="83">
        <f>$I$38*Product_lifespan!D25</f>
        <v>4808593.5740237646</v>
      </c>
      <c r="L13" s="83">
        <f>$I$38*Product_lifespan!E25</f>
        <v>4117696.1179309897</v>
      </c>
      <c r="M13" s="83">
        <f>$I$38*Product_lifespan!F25</f>
        <v>3405301.0363671929</v>
      </c>
      <c r="N13" s="83">
        <f>$I$38*Product_lifespan!G25</f>
        <v>2730227.5488525727</v>
      </c>
      <c r="O13" s="83">
        <f>$I$38*Product_lifespan!H25</f>
        <v>2127877.9762547677</v>
      </c>
      <c r="P13" s="83">
        <f>$I$38*Product_lifespan!I25</f>
        <v>1615364.5214701174</v>
      </c>
      <c r="Q13" s="83">
        <f>$I$38*Product_lifespan!J25</f>
        <v>1196347.0341442018</v>
      </c>
      <c r="R13" s="83">
        <f>$I$38*Product_lifespan!K25</f>
        <v>865500.6068894451</v>
      </c>
      <c r="S13" s="83">
        <f>$I$38*Product_lifespan!L25</f>
        <v>612309.44765540841</v>
      </c>
      <c r="T13" s="83">
        <f>$I$38*Product_lifespan!M25</f>
        <v>424003.58641168394</v>
      </c>
      <c r="U13" s="83">
        <f>$I$38*Product_lifespan!N25</f>
        <v>287615.23192173248</v>
      </c>
      <c r="V13" s="83">
        <f>$I$38*Product_lifespan!O25</f>
        <v>191251.52502856104</v>
      </c>
      <c r="W13" s="83">
        <f>$I$38*Product_lifespan!P25</f>
        <v>124744.54023759763</v>
      </c>
      <c r="X13" s="83">
        <f>$I$38*Product_lifespan!Q25</f>
        <v>79855.856214125</v>
      </c>
      <c r="Y13" s="83">
        <f>$I$38*Product_lifespan!R25</f>
        <v>50197.507980688657</v>
      </c>
      <c r="Z13" s="83">
        <f>$I$38*Product_lifespan!S25</f>
        <v>30999.128465672504</v>
      </c>
      <c r="AA13" s="83">
        <f>$I$38*Product_lifespan!T25</f>
        <v>18814.538843306447</v>
      </c>
      <c r="AB13" s="83">
        <f>$I$38*Product_lifespan!U25</f>
        <v>11227.540311318837</v>
      </c>
    </row>
    <row r="14" spans="1:29">
      <c r="A14" s="1"/>
      <c r="B14" s="7">
        <v>2014</v>
      </c>
      <c r="C14" s="83"/>
      <c r="D14" s="83"/>
      <c r="E14" s="83"/>
      <c r="F14" s="83"/>
      <c r="G14" s="83"/>
      <c r="H14" s="83"/>
      <c r="I14" s="83"/>
      <c r="J14" s="83">
        <f>$J$38*Product_lifespan!B25</f>
        <v>5422092.6825057119</v>
      </c>
      <c r="K14" s="83">
        <f>$J$38*Product_lifespan!C25</f>
        <v>5126622.0971758636</v>
      </c>
      <c r="L14" s="83">
        <f>$J$38*Product_lifespan!D25</f>
        <v>4575042.1161628906</v>
      </c>
      <c r="M14" s="83">
        <f>$J$38*Product_lifespan!E25</f>
        <v>3917701.2719190582</v>
      </c>
      <c r="N14" s="83">
        <f>$J$38*Product_lifespan!F25</f>
        <v>3239906.9332358693</v>
      </c>
      <c r="O14" s="83">
        <f>$J$38*Product_lifespan!G25</f>
        <v>2597621.4937742134</v>
      </c>
      <c r="P14" s="83">
        <f>$J$38*Product_lifespan!H25</f>
        <v>2024527.7979013722</v>
      </c>
      <c r="Q14" s="83">
        <f>$J$38*Product_lifespan!I25</f>
        <v>1536906.9156944675</v>
      </c>
      <c r="R14" s="83">
        <f>$J$38*Product_lifespan!J25</f>
        <v>1138240.9393722732</v>
      </c>
      <c r="S14" s="83">
        <f>$J$38*Product_lifespan!K25</f>
        <v>823463.59015955031</v>
      </c>
      <c r="T14" s="83">
        <f>$J$38*Product_lifespan!L25</f>
        <v>582569.82380064332</v>
      </c>
      <c r="U14" s="83">
        <f>$J$38*Product_lifespan!M25</f>
        <v>403409.9025787157</v>
      </c>
      <c r="V14" s="83">
        <f>$J$38*Product_lifespan!N25</f>
        <v>273645.87566729967</v>
      </c>
      <c r="W14" s="83">
        <f>$J$38*Product_lifespan!O25</f>
        <v>181962.51530026348</v>
      </c>
      <c r="X14" s="83">
        <f>$J$38*Product_lifespan!P25</f>
        <v>118685.74803896807</v>
      </c>
      <c r="Y14" s="83">
        <f>$J$38*Product_lifespan!Q25</f>
        <v>75977.289362834461</v>
      </c>
      <c r="Z14" s="83">
        <f>$J$38*Product_lifespan!R25</f>
        <v>47759.435186763076</v>
      </c>
      <c r="AA14" s="83">
        <f>$J$38*Product_lifespan!S25</f>
        <v>29493.51325113565</v>
      </c>
      <c r="AB14" s="83">
        <f>$J$38*Product_lifespan!T25</f>
        <v>17900.724251120544</v>
      </c>
    </row>
    <row r="15" spans="1:29">
      <c r="A15" s="1"/>
      <c r="B15" s="7">
        <v>2015</v>
      </c>
      <c r="C15" s="83"/>
      <c r="D15" s="83"/>
      <c r="E15" s="83"/>
      <c r="F15" s="83"/>
      <c r="G15" s="83"/>
      <c r="H15" s="83"/>
      <c r="I15" s="83"/>
      <c r="J15" s="83"/>
      <c r="K15" s="83">
        <f>$K$38*Product_lifespan!B25</f>
        <v>5202098.8562116073</v>
      </c>
      <c r="L15" s="83">
        <f>$K$38*Product_lifespan!C25</f>
        <v>4918616.576584057</v>
      </c>
      <c r="M15" s="83">
        <f>$K$38*Product_lifespan!D25</f>
        <v>4389416.1817632914</v>
      </c>
      <c r="N15" s="83">
        <f>$K$38*Product_lifespan!E25</f>
        <v>3758746.022801395</v>
      </c>
      <c r="O15" s="83">
        <f>$K$38*Product_lifespan!F25</f>
        <v>3108452.2413271414</v>
      </c>
      <c r="P15" s="83">
        <f>$K$38*Product_lifespan!G25</f>
        <v>2492226.6351575386</v>
      </c>
      <c r="Q15" s="83">
        <f>$K$38*Product_lifespan!H25</f>
        <v>1942385.4143644543</v>
      </c>
      <c r="R15" s="83">
        <f>$K$38*Product_lifespan!I25</f>
        <v>1474549.0673802174</v>
      </c>
      <c r="S15" s="83">
        <f>$K$38*Product_lifespan!J25</f>
        <v>1092058.4054024955</v>
      </c>
      <c r="T15" s="83">
        <f>$K$38*Product_lifespan!K25</f>
        <v>790052.70683076116</v>
      </c>
      <c r="U15" s="83">
        <f>$K$38*Product_lifespan!L25</f>
        <v>558932.86808520567</v>
      </c>
      <c r="V15" s="83">
        <f>$K$38*Product_lifespan!M25</f>
        <v>387042.11006207974</v>
      </c>
      <c r="W15" s="83">
        <f>$K$38*Product_lifespan!N25</f>
        <v>262543.07703165745</v>
      </c>
      <c r="X15" s="83">
        <f>$K$38*Product_lifespan!O25</f>
        <v>174579.64076693749</v>
      </c>
      <c r="Y15" s="83">
        <f>$K$38*Product_lifespan!P25</f>
        <v>113870.23982718214</v>
      </c>
      <c r="Z15" s="83">
        <f>$K$38*Product_lifespan!Q25</f>
        <v>72894.617122222728</v>
      </c>
      <c r="AA15" s="83">
        <f>$K$38*Product_lifespan!R25</f>
        <v>45821.662908859886</v>
      </c>
      <c r="AB15" s="83">
        <f>$K$38*Product_lifespan!S25</f>
        <v>28296.85520581896</v>
      </c>
    </row>
    <row r="16" spans="1:29">
      <c r="A16" s="1"/>
      <c r="B16" s="7">
        <v>2016</v>
      </c>
      <c r="C16" s="83"/>
      <c r="D16" s="83"/>
      <c r="E16" s="83"/>
      <c r="F16" s="83"/>
      <c r="G16" s="83"/>
      <c r="H16" s="83"/>
      <c r="I16" s="83"/>
      <c r="J16" s="83"/>
      <c r="K16" s="83"/>
      <c r="L16" s="83">
        <f>$L$38*Product_lifespan!B25</f>
        <v>5558178.2387635969</v>
      </c>
      <c r="M16" s="83">
        <f>$L$38*Product_lifespan!C25</f>
        <v>5255291.8305555843</v>
      </c>
      <c r="N16" s="83">
        <f>$L$38*Product_lifespan!D25</f>
        <v>4689868.1045289831</v>
      </c>
      <c r="O16" s="83">
        <f>$L$38*Product_lifespan!E25</f>
        <v>4016029.0925705764</v>
      </c>
      <c r="P16" s="83">
        <f>$L$38*Product_lifespan!F25</f>
        <v>3321223.237299751</v>
      </c>
      <c r="Q16" s="83">
        <f>$L$38*Product_lifespan!G25</f>
        <v>2662817.4958765493</v>
      </c>
      <c r="R16" s="83">
        <f>$L$38*Product_lifespan!H25</f>
        <v>2075340.096338447</v>
      </c>
      <c r="S16" s="83">
        <f>$L$38*Product_lifespan!I25</f>
        <v>1575480.7366868111</v>
      </c>
      <c r="T16" s="83">
        <f>$L$38*Product_lifespan!J25</f>
        <v>1166808.9038944861</v>
      </c>
      <c r="U16" s="83">
        <f>$L$38*Product_lifespan!K25</f>
        <v>844131.16397040419</v>
      </c>
      <c r="V16" s="83">
        <f>$L$38*Product_lifespan!L25</f>
        <v>597191.36260000058</v>
      </c>
      <c r="W16" s="83">
        <f>$L$38*Product_lifespan!M25</f>
        <v>413534.82374974107</v>
      </c>
      <c r="X16" s="83">
        <f>$L$38*Product_lifespan!N25</f>
        <v>280513.9344387796</v>
      </c>
      <c r="Y16" s="83">
        <f>$L$38*Product_lifespan!O25</f>
        <v>186529.47340347257</v>
      </c>
      <c r="Z16" s="83">
        <f>$L$38*Product_lifespan!P25</f>
        <v>121664.56396623512</v>
      </c>
      <c r="AA16" s="83">
        <f>$L$38*Product_lifespan!Q25</f>
        <v>77884.193632336814</v>
      </c>
      <c r="AB16" s="83">
        <f>$L$38*Product_lifespan!R25</f>
        <v>48958.117998829926</v>
      </c>
    </row>
    <row r="17" spans="1:28">
      <c r="A17" s="86"/>
      <c r="B17" s="7">
        <v>2017</v>
      </c>
      <c r="C17" s="83"/>
      <c r="D17" s="83"/>
      <c r="E17" s="83"/>
      <c r="F17" s="83"/>
      <c r="G17" s="83"/>
      <c r="H17" s="83"/>
      <c r="I17" s="83"/>
      <c r="J17" s="83"/>
      <c r="K17" s="83"/>
      <c r="L17" s="83"/>
      <c r="M17" s="83">
        <f>$M$38*Product_lifespan!B25</f>
        <v>5063650.8115499886</v>
      </c>
      <c r="N17" s="83">
        <f>$M$38*Product_lifespan!C25</f>
        <v>4787713.0958370185</v>
      </c>
      <c r="O17" s="83">
        <f>$M$38*Product_lifespan!D25</f>
        <v>4272596.7778325947</v>
      </c>
      <c r="P17" s="83">
        <f>$M$38*Product_lifespan!E25</f>
        <v>3658711.2000076855</v>
      </c>
      <c r="Q17" s="83">
        <f>$M$38*Product_lifespan!F25</f>
        <v>3025724.260442677</v>
      </c>
      <c r="R17" s="83">
        <f>$M$38*Product_lifespan!G25</f>
        <v>2425898.8097877526</v>
      </c>
      <c r="S17" s="83">
        <f>$M$38*Product_lifespan!H25</f>
        <v>1890690.9983160354</v>
      </c>
      <c r="T17" s="83">
        <f>$M$38*Product_lifespan!I25</f>
        <v>1435305.5926252846</v>
      </c>
      <c r="U17" s="83">
        <f>$M$38*Product_lifespan!J25</f>
        <v>1062994.491958458</v>
      </c>
      <c r="V17" s="83">
        <f>$M$38*Product_lifespan!K25</f>
        <v>769026.33738571871</v>
      </c>
      <c r="W17" s="83">
        <f>$M$38*Product_lifespan!L25</f>
        <v>544057.49473640684</v>
      </c>
      <c r="X17" s="83">
        <f>$M$38*Product_lifespan!M25</f>
        <v>376741.417049332</v>
      </c>
      <c r="Y17" s="83">
        <f>$M$38*Product_lifespan!N25</f>
        <v>255555.78658232751</v>
      </c>
      <c r="Z17" s="83">
        <f>$M$38*Product_lifespan!O25</f>
        <v>169933.3988230633</v>
      </c>
      <c r="AA17" s="83">
        <f>$M$38*Product_lifespan!P25</f>
        <v>110839.71071095852</v>
      </c>
      <c r="AB17" s="83">
        <f>$M$38*Product_lifespan!Q25</f>
        <v>70954.608390001405</v>
      </c>
    </row>
    <row r="18" spans="1:28">
      <c r="A18" s="1"/>
      <c r="B18" s="7">
        <v>2018</v>
      </c>
      <c r="C18" s="83"/>
      <c r="D18" s="83"/>
      <c r="E18" s="83"/>
      <c r="F18" s="83"/>
      <c r="G18" s="83"/>
      <c r="H18" s="83"/>
      <c r="I18" s="83"/>
      <c r="J18" s="83"/>
      <c r="K18" s="83"/>
      <c r="L18" s="83"/>
      <c r="M18" s="83"/>
      <c r="N18" s="83">
        <f>$N$38*Product_lifespan!B25</f>
        <v>5653613.767775069</v>
      </c>
      <c r="O18" s="83">
        <f>$N$38*Product_lifespan!C25</f>
        <v>5345526.7122765249</v>
      </c>
      <c r="P18" s="83">
        <f>$N$38*Product_lifespan!D25</f>
        <v>4770394.49722871</v>
      </c>
      <c r="Q18" s="83">
        <f>$N$38*Product_lifespan!E25</f>
        <v>4084985.474412011</v>
      </c>
      <c r="R18" s="83">
        <f>$N$38*Product_lifespan!F25</f>
        <v>3378249.6015149807</v>
      </c>
      <c r="S18" s="83">
        <f>$N$38*Product_lifespan!G25</f>
        <v>2708538.8429552838</v>
      </c>
      <c r="T18" s="83">
        <f>$N$38*Product_lifespan!H25</f>
        <v>2110974.2864389857</v>
      </c>
      <c r="U18" s="83">
        <f>$N$38*Product_lifespan!I25</f>
        <v>1602532.1969124796</v>
      </c>
      <c r="V18" s="83">
        <f>$N$38*Product_lifespan!J25</f>
        <v>1186843.3504730177</v>
      </c>
      <c r="W18" s="83">
        <f>$N$38*Product_lifespan!K25</f>
        <v>858625.14036481816</v>
      </c>
      <c r="X18" s="83">
        <f>$N$38*Product_lifespan!L25</f>
        <v>607445.3111353917</v>
      </c>
      <c r="Y18" s="83">
        <f>$N$38*Product_lifespan!M25</f>
        <v>420635.33635906712</v>
      </c>
      <c r="Z18" s="83">
        <f>$N$38*Product_lifespan!N25</f>
        <v>285330.43987963599</v>
      </c>
      <c r="AA18" s="83">
        <f>$N$38*Product_lifespan!O25</f>
        <v>189732.23844730313</v>
      </c>
      <c r="AB18" s="83">
        <f>$N$38*Product_lifespan!P25</f>
        <v>123753.57974178006</v>
      </c>
    </row>
    <row r="19" spans="1:28">
      <c r="A19" s="1"/>
      <c r="B19" s="7">
        <v>2019</v>
      </c>
      <c r="C19" s="83"/>
      <c r="D19" s="83"/>
      <c r="E19" s="83"/>
      <c r="F19" s="83"/>
      <c r="G19" s="83"/>
      <c r="H19" s="83"/>
      <c r="I19" s="83"/>
      <c r="J19" s="83"/>
      <c r="K19" s="83"/>
      <c r="L19" s="83"/>
      <c r="M19" s="83"/>
      <c r="N19" s="83"/>
      <c r="O19" s="83">
        <f>$O$38*Product_lifespan!B25</f>
        <v>7360593.7554039191</v>
      </c>
      <c r="P19" s="83">
        <f>$O$38*Product_lifespan!C25</f>
        <v>6959486.8262838209</v>
      </c>
      <c r="Q19" s="83">
        <f>$O$38*Product_lifespan!D25</f>
        <v>6210706.5302646691</v>
      </c>
      <c r="R19" s="83">
        <f>$O$38*Product_lifespan!E25</f>
        <v>5318353.8545304155</v>
      </c>
      <c r="S19" s="83">
        <f>$O$38*Product_lifespan!F25</f>
        <v>4398235.1717833588</v>
      </c>
      <c r="T19" s="83">
        <f>$O$38*Product_lifespan!G25</f>
        <v>3526320.4938690816</v>
      </c>
      <c r="U19" s="83">
        <f>$O$38*Product_lifespan!H25</f>
        <v>2748334.9214879065</v>
      </c>
      <c r="V19" s="83">
        <f>$O$38*Product_lifespan!I25</f>
        <v>2086380.3163670613</v>
      </c>
      <c r="W19" s="83">
        <f>$O$38*Product_lifespan!J25</f>
        <v>1545183.6848013559</v>
      </c>
      <c r="X19" s="83">
        <f>$O$38*Product_lifespan!K25</f>
        <v>1117867.4571696594</v>
      </c>
      <c r="Y19" s="83">
        <f>$O$38*Product_lifespan!L25</f>
        <v>790849.59594828158</v>
      </c>
      <c r="Z19" s="83">
        <f>$O$38*Product_lifespan!M25</f>
        <v>547636.60152278678</v>
      </c>
      <c r="AA19" s="83">
        <f>$O$38*Product_lifespan!N25</f>
        <v>371479.47140917234</v>
      </c>
      <c r="AB19" s="83">
        <f>$O$38*Product_lifespan!O25</f>
        <v>247017.56909432882</v>
      </c>
    </row>
    <row r="20" spans="1:28">
      <c r="A20" s="1"/>
      <c r="B20" s="7">
        <v>2020</v>
      </c>
      <c r="C20" s="83"/>
      <c r="D20" s="83"/>
      <c r="E20" s="83"/>
      <c r="F20" s="83"/>
      <c r="G20" s="83"/>
      <c r="H20" s="83"/>
      <c r="I20" s="83"/>
      <c r="J20" s="83"/>
      <c r="K20" s="83"/>
      <c r="L20" s="83"/>
      <c r="M20" s="83"/>
      <c r="N20" s="83"/>
      <c r="O20" s="83"/>
      <c r="P20" s="83">
        <f>$P$38*Product_lifespan!B25</f>
        <v>9502970.0121552534</v>
      </c>
      <c r="Q20" s="83">
        <f>$P$38*Product_lifespan!C25</f>
        <v>8985116.8000692669</v>
      </c>
      <c r="R20" s="83">
        <f>$P$38*Product_lifespan!D25</f>
        <v>8018396.3240833916</v>
      </c>
      <c r="S20" s="83">
        <f>$P$38*Product_lifespan!E25</f>
        <v>6866315.25568543</v>
      </c>
      <c r="T20" s="83">
        <f>$P$38*Product_lifespan!F25</f>
        <v>5678386.5993389767</v>
      </c>
      <c r="U20" s="83">
        <f>$P$38*Product_lifespan!G25</f>
        <v>4552692.2175108502</v>
      </c>
      <c r="V20" s="83">
        <f>$P$38*Product_lifespan!H25</f>
        <v>3548265.9701310233</v>
      </c>
      <c r="W20" s="83">
        <f>$P$38*Product_lifespan!I25</f>
        <v>2693642.6923209755</v>
      </c>
      <c r="X20" s="83">
        <f>$P$38*Product_lifespan!J25</f>
        <v>1994925.2340082519</v>
      </c>
      <c r="Y20" s="83">
        <f>$P$38*Product_lifespan!K25</f>
        <v>1443234.2384401259</v>
      </c>
      <c r="Z20" s="83">
        <f>$P$38*Product_lifespan!L25</f>
        <v>1021034.4768591571</v>
      </c>
      <c r="AA20" s="83">
        <f>$P$38*Product_lifespan!M25</f>
        <v>707031.84753389156</v>
      </c>
      <c r="AB20" s="83">
        <f>$P$38*Product_lifespan!N25</f>
        <v>479602.37913428078</v>
      </c>
    </row>
    <row r="21" spans="1:28">
      <c r="A21" s="1"/>
      <c r="B21" s="7">
        <v>2021</v>
      </c>
      <c r="C21" s="83"/>
      <c r="D21" s="83"/>
      <c r="E21" s="83"/>
      <c r="F21" s="83"/>
      <c r="G21" s="83"/>
      <c r="H21" s="83"/>
      <c r="I21" s="83"/>
      <c r="J21" s="83"/>
      <c r="K21" s="83"/>
      <c r="L21" s="83"/>
      <c r="M21" s="83"/>
      <c r="N21" s="83"/>
      <c r="O21" s="83"/>
      <c r="P21" s="83"/>
      <c r="Q21" s="83">
        <f>$Q$38*Product_lifespan!B25</f>
        <v>9329142.6717660911</v>
      </c>
      <c r="R21" s="83">
        <f>$Q$38*Product_lifespan!C25</f>
        <v>8820761.9768461846</v>
      </c>
      <c r="S21" s="83">
        <f>$Q$38*Product_lifespan!D25</f>
        <v>7871724.6513938196</v>
      </c>
      <c r="T21" s="83">
        <f>$Q$38*Product_lifespan!E25</f>
        <v>6740717.3302323716</v>
      </c>
      <c r="U21" s="83">
        <f>$Q$38*Product_lifespan!F25</f>
        <v>5574518.1414776975</v>
      </c>
      <c r="V21" s="83">
        <f>$Q$38*Product_lifespan!G25</f>
        <v>4469414.8443561317</v>
      </c>
      <c r="W21" s="83">
        <f>$Q$38*Product_lifespan!H25</f>
        <v>3483361.4575636555</v>
      </c>
      <c r="X21" s="83">
        <f>$Q$38*Product_lifespan!I25</f>
        <v>2644370.8599816179</v>
      </c>
      <c r="Y21" s="83">
        <f>$Q$38*Product_lifespan!J25</f>
        <v>1958434.2688405912</v>
      </c>
      <c r="Z21" s="83">
        <f>$Q$38*Product_lifespan!K25</f>
        <v>1416834.7476592718</v>
      </c>
      <c r="AA21" s="83">
        <f>$Q$38*Product_lifespan!L25</f>
        <v>1002357.8202632668</v>
      </c>
      <c r="AB21" s="83">
        <f>$Q$38*Product_lifespan!M25</f>
        <v>694098.89441817638</v>
      </c>
    </row>
    <row r="22" spans="1:28">
      <c r="A22" s="1"/>
      <c r="B22" s="7">
        <v>2022</v>
      </c>
      <c r="C22" s="83"/>
      <c r="D22" s="83"/>
      <c r="E22" s="83"/>
      <c r="F22" s="83"/>
      <c r="G22" s="83"/>
      <c r="H22" s="83"/>
      <c r="I22" s="83"/>
      <c r="J22" s="83"/>
      <c r="K22" s="83"/>
      <c r="L22" s="83"/>
      <c r="M22" s="83"/>
      <c r="N22" s="83"/>
      <c r="O22" s="83"/>
      <c r="P22" s="83"/>
      <c r="Q22" s="83"/>
      <c r="R22" s="83">
        <f>$R$38*Product_lifespan!B25</f>
        <v>8604874.5069373045</v>
      </c>
      <c r="S22" s="83">
        <f>$R$38*Product_lifespan!C25</f>
        <v>8135961.956722524</v>
      </c>
      <c r="T22" s="83">
        <f>$R$38*Product_lifespan!D25</f>
        <v>7260603.1616821373</v>
      </c>
      <c r="U22" s="83">
        <f>$R$38*Product_lifespan!E25</f>
        <v>6217401.6149338745</v>
      </c>
      <c r="V22" s="83">
        <f>$R$38*Product_lifespan!F25</f>
        <v>5141740.3218874959</v>
      </c>
      <c r="W22" s="83">
        <f>$R$38*Product_lifespan!G25</f>
        <v>4122431.7397910105</v>
      </c>
      <c r="X22" s="83">
        <f>$R$38*Product_lifespan!H25</f>
        <v>3212930.6260210881</v>
      </c>
      <c r="Y22" s="83">
        <f>$R$38*Product_lifespan!I25</f>
        <v>2439075.0790861333</v>
      </c>
      <c r="Z22" s="83">
        <f>$R$38*Product_lifespan!J25</f>
        <v>1806391.1879555972</v>
      </c>
      <c r="AA22" s="83">
        <f>$R$38*Product_lifespan!K25</f>
        <v>1306838.7556740218</v>
      </c>
      <c r="AB22" s="83">
        <f>$R$38*Product_lifespan!L25</f>
        <v>924539.75224497321</v>
      </c>
    </row>
    <row r="23" spans="1:28">
      <c r="A23" s="1"/>
      <c r="B23" s="7">
        <v>2023</v>
      </c>
      <c r="C23" s="83"/>
      <c r="D23" s="83"/>
      <c r="E23" s="83"/>
      <c r="F23" s="83"/>
      <c r="G23" s="83"/>
      <c r="H23" s="83"/>
      <c r="I23" s="83"/>
      <c r="J23" s="83"/>
      <c r="K23" s="83"/>
      <c r="L23" s="83"/>
      <c r="M23" s="83"/>
      <c r="N23" s="83"/>
      <c r="O23" s="83"/>
      <c r="P23" s="83"/>
      <c r="Q23" s="83"/>
      <c r="R23" s="83"/>
      <c r="S23" s="83">
        <f>$S$38*Product_lifespan!B25</f>
        <v>8604874.5069373045</v>
      </c>
      <c r="T23" s="83">
        <f>$S$38*Product_lifespan!C25</f>
        <v>8135961.956722524</v>
      </c>
      <c r="U23" s="83">
        <f>$S$38*Product_lifespan!D25</f>
        <v>7260603.1616821373</v>
      </c>
      <c r="V23" s="83">
        <f>$S$38*Product_lifespan!E25</f>
        <v>6217401.6149338745</v>
      </c>
      <c r="W23" s="83">
        <f>$S$38*Product_lifespan!F25</f>
        <v>5141740.3218874959</v>
      </c>
      <c r="X23" s="83">
        <f>$S$38*Product_lifespan!G25</f>
        <v>4122431.7397910105</v>
      </c>
      <c r="Y23" s="83">
        <f>$S$38*Product_lifespan!H25</f>
        <v>3212930.6260210881</v>
      </c>
      <c r="Z23" s="83">
        <f>$S$38*Product_lifespan!I25</f>
        <v>2439075.0790861333</v>
      </c>
      <c r="AA23" s="83">
        <f>$S$38*Product_lifespan!J25</f>
        <v>1806391.1879555972</v>
      </c>
      <c r="AB23" s="83">
        <f>$S$38*Product_lifespan!K25</f>
        <v>1306838.7556740218</v>
      </c>
    </row>
    <row r="24" spans="1:28">
      <c r="A24" s="1"/>
      <c r="B24" s="7">
        <v>2024</v>
      </c>
      <c r="C24" s="83"/>
      <c r="D24" s="83"/>
      <c r="E24" s="83"/>
      <c r="F24" s="83"/>
      <c r="G24" s="83"/>
      <c r="H24" s="83"/>
      <c r="I24" s="83"/>
      <c r="J24" s="83"/>
      <c r="K24" s="83"/>
      <c r="L24" s="83"/>
      <c r="M24" s="83"/>
      <c r="N24" s="83"/>
      <c r="O24" s="83"/>
      <c r="P24" s="83"/>
      <c r="Q24" s="83"/>
      <c r="R24" s="83"/>
      <c r="S24" s="83"/>
      <c r="T24" s="83">
        <f>$T$38*Product_lifespan!B25</f>
        <v>8604874.5069373045</v>
      </c>
      <c r="U24" s="83">
        <f>$T$38*Product_lifespan!C25</f>
        <v>8135961.956722524</v>
      </c>
      <c r="V24" s="83">
        <f>$T$38*Product_lifespan!D25</f>
        <v>7260603.1616821373</v>
      </c>
      <c r="W24" s="83">
        <f>$T$38*Product_lifespan!E25</f>
        <v>6217401.6149338745</v>
      </c>
      <c r="X24" s="83">
        <f>$T$38*Product_lifespan!F25</f>
        <v>5141740.3218874959</v>
      </c>
      <c r="Y24" s="83">
        <f>$T$38*Product_lifespan!G25</f>
        <v>4122431.7397910105</v>
      </c>
      <c r="Z24" s="83">
        <f>$T$38*Product_lifespan!H25</f>
        <v>3212930.6260210881</v>
      </c>
      <c r="AA24" s="83">
        <f>$T$38*Product_lifespan!I25</f>
        <v>2439075.0790861333</v>
      </c>
      <c r="AB24" s="83">
        <f>$T$38*Product_lifespan!J25</f>
        <v>1806391.1879555972</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$U$38*Product_lifespan!B25</f>
        <v>8604874.5069373045</v>
      </c>
      <c r="V25" s="83">
        <f>$U$38*Product_lifespan!C25</f>
        <v>8135961.956722524</v>
      </c>
      <c r="W25" s="83">
        <f>$U$38*Product_lifespan!D25</f>
        <v>7260603.1616821373</v>
      </c>
      <c r="X25" s="83">
        <f>$U$38*Product_lifespan!E25</f>
        <v>6217401.6149338745</v>
      </c>
      <c r="Y25" s="83">
        <f>$U$38*Product_lifespan!F25</f>
        <v>5141740.3218874959</v>
      </c>
      <c r="Z25" s="83">
        <f>$U$38*Product_lifespan!G25</f>
        <v>4122431.7397910105</v>
      </c>
      <c r="AA25" s="83">
        <f>$U$38*Product_lifespan!H25</f>
        <v>3212930.6260210881</v>
      </c>
      <c r="AB25" s="83">
        <f>$U$38*Product_lifespan!I25</f>
        <v>2439075.0790861333</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$V$38*Product_lifespan!B25</f>
        <v>8604874.5069373045</v>
      </c>
      <c r="W26" s="83">
        <f>$V$38*Product_lifespan!C25</f>
        <v>8135961.956722524</v>
      </c>
      <c r="X26" s="83">
        <f>$V$38*Product_lifespan!D25</f>
        <v>7260603.1616821373</v>
      </c>
      <c r="Y26" s="83">
        <f>$V$38*Product_lifespan!E25</f>
        <v>6217401.6149338745</v>
      </c>
      <c r="Z26" s="83">
        <f>$V$38*Product_lifespan!F25</f>
        <v>5141740.3218874959</v>
      </c>
      <c r="AA26" s="83">
        <f>$V$38*Product_lifespan!G25</f>
        <v>4122431.7397910105</v>
      </c>
      <c r="AB26" s="83">
        <f>$V$38*Product_lifespan!H25</f>
        <v>3212930.6260210881</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$W$38*Product_lifespan!B25</f>
        <v>8604874.5069373045</v>
      </c>
      <c r="X27" s="83">
        <f>$W$38*Product_lifespan!C25</f>
        <v>8135961.956722524</v>
      </c>
      <c r="Y27" s="83">
        <f>$W$38*Product_lifespan!D25</f>
        <v>7260603.1616821373</v>
      </c>
      <c r="Z27" s="83">
        <f>$W$38*Product_lifespan!E25</f>
        <v>6217401.6149338745</v>
      </c>
      <c r="AA27" s="83">
        <f>$W$38*Product_lifespan!F25</f>
        <v>5141740.3218874959</v>
      </c>
      <c r="AB27" s="83">
        <f>$W$38*Product_lifespan!G25</f>
        <v>4122431.7397910105</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$X$38*Product_lifespan!B25</f>
        <v>8604874.5069373045</v>
      </c>
      <c r="Y28" s="83">
        <f>$X$38*Product_lifespan!C25</f>
        <v>8135961.956722524</v>
      </c>
      <c r="Z28" s="83">
        <f>$X$38*Product_lifespan!D25</f>
        <v>7260603.1616821373</v>
      </c>
      <c r="AA28" s="83">
        <f>$X$38*Product_lifespan!E25</f>
        <v>6217401.6149338745</v>
      </c>
      <c r="AB28" s="83">
        <f>$X$38*Product_lifespan!F25</f>
        <v>5141740.3218874959</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$Y$38*Product_lifespan!B25</f>
        <v>8604874.5069373045</v>
      </c>
      <c r="Z29" s="83">
        <f>$Y$38*Product_lifespan!C25</f>
        <v>8135961.956722524</v>
      </c>
      <c r="AA29" s="83">
        <f>$Y$38*Product_lifespan!D25</f>
        <v>7260603.1616821373</v>
      </c>
      <c r="AB29" s="83">
        <f>$Y$38*Product_lifespan!E25</f>
        <v>6217401.6149338745</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$Z$38*Product_lifespan!B25</f>
        <v>8604874.5069373045</v>
      </c>
      <c r="AA30" s="83">
        <f>$Z$38*Product_lifespan!C25</f>
        <v>8135961.956722524</v>
      </c>
      <c r="AB30" s="83">
        <f>$Z$38*Product_lifespan!D25</f>
        <v>7260603.1616821373</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$AA$38*Product_lifespan!B25</f>
        <v>8604874.5069373045</v>
      </c>
      <c r="AB31" s="83">
        <f>$AA$38*Product_lifespan!C25</f>
        <v>8135961.956722524</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$AB$38*Product_lifespan!B25</f>
        <v>8604874.5069373045</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(VLOOKUP(C2,Inflows!$E$90:$H$103,4,FALSE ))</f>
        <v>#N/A</v>
      </c>
      <c r="D35" s="167">
        <f>(VLOOKUP(D2,Inflows!$E$90:$H$103,4,FALSE ))</f>
        <v>77801.618181818179</v>
      </c>
      <c r="E35" s="167">
        <f>(VLOOKUP(E2,Inflows!$E$90:$H$103,4,FALSE ))</f>
        <v>70292.440909090918</v>
      </c>
      <c r="F35" s="167">
        <f>(VLOOKUP(F2,Inflows!$E$90:$H$103,4,FALSE ))</f>
        <v>72500.7</v>
      </c>
      <c r="G35" s="167">
        <f>(VLOOKUP(G2,Inflows!$E$90:$H$103,4,FALSE ))</f>
        <v>58814.799999999996</v>
      </c>
      <c r="H35" s="167">
        <f>(VLOOKUP(H2,Inflows!$E$90:$H$103,4,FALSE ))</f>
        <v>56546.644508670513</v>
      </c>
      <c r="I35" s="167">
        <f>(VLOOKUP(I2,Inflows!$E$90:$H$103,4,FALSE ))</f>
        <v>46933.800898203597</v>
      </c>
      <c r="J35" s="167">
        <f>(VLOOKUP(J2,Inflows!$E$90:$H$103,4,FALSE ))</f>
        <v>40588.044116919729</v>
      </c>
      <c r="K35" s="167">
        <f>(VLOOKUP(K2,Inflows!$E$90:$H$103,4,FALSE ))</f>
        <v>45336.174346537315</v>
      </c>
      <c r="L35" s="167">
        <f>(VLOOKUP(L2,Inflows!$E$90:$H$103,4,FALSE ))</f>
        <v>48264.807958999096</v>
      </c>
      <c r="M35" s="167">
        <f>(VLOOKUP(M2,Inflows!$E$90:$H$103,4,FALSE ))</f>
        <v>67302.699047033515</v>
      </c>
      <c r="N35" s="167">
        <f>(VLOOKUP(N2,Inflows!$E$90:$H$103,4,FALSE ))</f>
        <v>78858.797504798466</v>
      </c>
      <c r="O35" s="167">
        <f>(VLOOKUP(O2,Inflows!$E$90:$H$103,4,FALSE ))</f>
        <v>87648.981132075467</v>
      </c>
      <c r="P35" s="167">
        <f>(VLOOKUP(P2,Inflows!$E$90:$H$103,4,FALSE ))</f>
        <v>151895.44689119174</v>
      </c>
      <c r="Q35" s="167">
        <f>(VLOOKUP(Q2,Inflows!$E$90:$H$103,4,FALSE ))</f>
        <v>139420.15677286271</v>
      </c>
      <c r="R35" s="387">
        <v>139420.15677286271</v>
      </c>
      <c r="S35" s="167" t="e">
        <f>(VLOOKUP(S2,Inflows!$E$90:$H$103,4,FALSE ))</f>
        <v>#N/A</v>
      </c>
      <c r="T35" s="167" t="e">
        <f>(VLOOKUP(T2,Inflows!$E$90:$H$103,4,FALSE ))</f>
        <v>#N/A</v>
      </c>
      <c r="U35" s="167" t="e">
        <f>(VLOOKUP(U2,Inflows!$E$90:$H$103,4,FALSE ))</f>
        <v>#N/A</v>
      </c>
      <c r="V35" s="167" t="e">
        <f>(VLOOKUP(V2,Inflows!$E$90:$H$103,4,FALSE ))</f>
        <v>#N/A</v>
      </c>
      <c r="W35" s="167" t="e">
        <f>(VLOOKUP(W2,Inflows!$E$90:$H$103,4,FALSE ))</f>
        <v>#N/A</v>
      </c>
      <c r="X35" s="167" t="e">
        <f>(VLOOKUP(X2,Inflows!$E$90:$H$103,4,FALSE ))</f>
        <v>#N/A</v>
      </c>
      <c r="Y35" s="167" t="e">
        <f>(VLOOKUP(Y2,Inflows!$E$90:$H$103,4,FALSE ))</f>
        <v>#N/A</v>
      </c>
      <c r="Z35" s="167" t="e">
        <f>(VLOOKUP(Z2,Inflows!$E$90:$H$103,4,FALSE ))</f>
        <v>#N/A</v>
      </c>
      <c r="AA35" s="167" t="e">
        <f>(VLOOKUP(AA2,Inflows!$E$90:$H$103,4,FALSE ))</f>
        <v>#N/A</v>
      </c>
      <c r="AB35" s="167" t="e">
        <f>(VLOOKUP(AB2,Inflows!$E$90:$H$103,4,FALSE ))</f>
        <v>#N/A</v>
      </c>
    </row>
    <row r="36" spans="1:32" ht="19">
      <c r="B36" s="166" t="s">
        <v>214</v>
      </c>
      <c r="C36" s="167">
        <f>(VLOOKUP(C2,Inflows!$E$104:$H$127,4,FALSE ))</f>
        <v>7096698</v>
      </c>
      <c r="D36" s="167">
        <f>(VLOOKUP(D2,Inflows!$E$104:$H$127,4,FALSE ))</f>
        <v>10746372</v>
      </c>
      <c r="E36" s="167">
        <f>(VLOOKUP(E2,Inflows!$E$104:$H$127,4,FALSE ))</f>
        <v>10327917</v>
      </c>
      <c r="F36" s="167">
        <f>(VLOOKUP(F2,Inflows!$E$104:$H$127,4,FALSE ))</f>
        <v>6552411.7957559684</v>
      </c>
      <c r="G36" s="167">
        <f>(VLOOKUP(G2,Inflows!$E$104:$H$127,4,FALSE ))</f>
        <v>6018292.75</v>
      </c>
      <c r="H36" s="167">
        <f>(VLOOKUP(H2,Inflows!$E$104:$H$127,4,FALSE ))</f>
        <v>7290569.8724696357</v>
      </c>
      <c r="I36" s="167">
        <f>(VLOOKUP(I2,Inflows!$E$104:$H$127,4,FALSE ))</f>
        <v>6770359.6143497759</v>
      </c>
      <c r="J36" s="167">
        <f>(VLOOKUP(J2,Inflows!$E$104:$H$127,4,FALSE ))</f>
        <v>6331163.0708061606</v>
      </c>
      <c r="K36" s="167">
        <f>(VLOOKUP(K2,Inflows!$E$104:$H$127,4,FALSE ))</f>
        <v>6183549.3604291305</v>
      </c>
      <c r="L36" s="167">
        <f>(VLOOKUP(L2,Inflows!$E$104:$H$127,4,FALSE ))</f>
        <v>6661428.4800000004</v>
      </c>
      <c r="M36" s="167">
        <f>(VLOOKUP(M2,Inflows!$E$104:$H$127,4,FALSE ))</f>
        <v>6596494.8125738604</v>
      </c>
      <c r="N36" s="167">
        <f>(VLOOKUP(N2,Inflows!$E$104:$H$127,4,FALSE ))</f>
        <v>6989015.237837838</v>
      </c>
      <c r="O36" s="167">
        <f>(VLOOKUP(O2,Inflows!$E$104:$H$127,4,FALSE ))</f>
        <v>8746427.764563106</v>
      </c>
      <c r="P36" s="167">
        <f>(VLOOKUP(P2,Inflows!$E$104:$H$127,4,FALSE ))</f>
        <v>11045676.218334049</v>
      </c>
      <c r="Q36" s="167">
        <f>(VLOOKUP(Q2,Inflows!$E$104:$H$127,4,FALSE ))</f>
        <v>11431861.420003869</v>
      </c>
      <c r="R36" s="167">
        <f>(VLOOKUP(R2,Inflows!$E$104:$H$127,4,FALSE ))</f>
        <v>10697092.098278197</v>
      </c>
      <c r="S36" s="167">
        <f>(VLOOKUP(S2,Inflows!$E$104:$H$127,4,FALSE ))</f>
        <v>969150.55702917767</v>
      </c>
      <c r="T36" s="167" t="e">
        <f>(VLOOKUP(T2,Inflows!$E$104:$H$127,4,FALSE ))</f>
        <v>#N/A</v>
      </c>
      <c r="U36" s="167" t="e">
        <f>(VLOOKUP(U2,Inflows!$E$104:$H$127,4,FALSE ))</f>
        <v>#N/A</v>
      </c>
      <c r="V36" s="167" t="e">
        <f>(VLOOKUP(V2,Inflows!$E$104:$H$127,4,FALSE ))</f>
        <v>#N/A</v>
      </c>
      <c r="W36" s="167" t="e">
        <f>(VLOOKUP(W2,Inflows!$E$104:$H$127,4,FALSE ))</f>
        <v>#N/A</v>
      </c>
      <c r="X36" s="167" t="e">
        <f>(VLOOKUP(X2,Inflows!$E$104:$H$127,4,FALSE ))</f>
        <v>#N/A</v>
      </c>
      <c r="Y36" s="167" t="e">
        <f>(VLOOKUP(Y2,Inflows!$E$104:$H$127,4,FALSE ))</f>
        <v>#N/A</v>
      </c>
      <c r="Z36" s="167" t="e">
        <f>(VLOOKUP(Z2,Inflows!$E$104:$H$127,4,FALSE ))</f>
        <v>#N/A</v>
      </c>
      <c r="AA36" s="167" t="e">
        <f>(VLOOKUP(AA2,Inflows!$E$104:$H$127,4,FALSE ))</f>
        <v>#N/A</v>
      </c>
      <c r="AB36" s="167" t="e">
        <f>(VLOOKUP(AB2,Inflows!$E$104:$H$127,4,FALSE ))</f>
        <v>#N/A</v>
      </c>
    </row>
    <row r="37" spans="1:32" ht="19">
      <c r="B37" s="166" t="s">
        <v>7856</v>
      </c>
      <c r="C37" s="386">
        <f>(VLOOKUP(C2,Inflows!$E$128:$H$151,4,FALSE ))</f>
        <v>800458.24137931038</v>
      </c>
      <c r="D37" s="386">
        <f>(VLOOKUP(D2,Inflows!$E$128:$H$151,4,FALSE ))</f>
        <v>1035854.299734748</v>
      </c>
      <c r="E37" s="386">
        <f>(VLOOKUP(E2,Inflows!$E$128:$H$151,4,FALSE ))</f>
        <v>1039317.1511936339</v>
      </c>
      <c r="F37" s="386">
        <f>(VLOOKUP(F2,Inflows!$E$128:$H$151,4,FALSE ))</f>
        <v>1384342.448275862</v>
      </c>
      <c r="G37" s="386">
        <f>(VLOOKUP(G2,Inflows!$E$128:$H$151,4,FALSE ))</f>
        <v>1156406.5</v>
      </c>
      <c r="H37" s="386">
        <f>(VLOOKUP(H2,Inflows!$E$128:$H$151,4,FALSE ))</f>
        <v>1472307.5040485831</v>
      </c>
      <c r="I37" s="386">
        <f>(VLOOKUP(I2,Inflows!$E$128:$H$151,4,FALSE ))</f>
        <v>1118408.1659192825</v>
      </c>
      <c r="J37" s="386">
        <f>(VLOOKUP(J2,Inflows!$E$128:$H$151,4,FALSE ))</f>
        <v>949658.43241736805</v>
      </c>
      <c r="K37" s="386">
        <f>(VLOOKUP(K2,Inflows!$E$128:$H$151,4,FALSE ))</f>
        <v>1026786.6785640601</v>
      </c>
      <c r="L37" s="386">
        <f>(VLOOKUP(L2,Inflows!$E$128:$H$151,4,FALSE ))</f>
        <v>1151515.0491954025</v>
      </c>
      <c r="M37" s="386">
        <f>(VLOOKUP(M2,Inflows!$E$128:$H$151,4,FALSE ))</f>
        <v>1600146.7000709055</v>
      </c>
      <c r="N37" s="386">
        <f>(VLOOKUP(N2,Inflows!$E$128:$H$151,4,FALSE ))</f>
        <v>1414260.2675675675</v>
      </c>
      <c r="O37" s="386">
        <f>(VLOOKUP(O2,Inflows!$E$128:$H$151,4,FALSE ))</f>
        <v>1473482.990291262</v>
      </c>
      <c r="P37" s="386">
        <f>(VLOOKUP(P2,Inflows!$E$128:$H$151,4,FALSE ))</f>
        <v>1694601.6530699872</v>
      </c>
      <c r="Q37" s="386">
        <f>(VLOOKUP(Q2,Inflows!$E$128:$H$151,4,FALSE ))</f>
        <v>2242138.9050106402</v>
      </c>
      <c r="R37" s="386">
        <f>(VLOOKUP(R2,Inflows!$E$128:$H$151,4,FALSE ))</f>
        <v>2231637.7481137551</v>
      </c>
      <c r="S37" s="386">
        <f>(VLOOKUP(S2,Inflows!$E$128:$H$151,4,FALSE ))</f>
        <v>106621.28225962468</v>
      </c>
      <c r="T37" s="386" t="e">
        <f>(VLOOKUP(T2,Inflows!$E$128:$H$151,4,FALSE ))</f>
        <v>#N/A</v>
      </c>
      <c r="U37" s="386" t="e">
        <f>(VLOOKUP(U2,Inflows!$E$128:$H$151,4,FALSE ))</f>
        <v>#N/A</v>
      </c>
      <c r="V37" s="386" t="e">
        <f>(VLOOKUP(V2,Inflows!$E$128:$H$151,4,FALSE ))</f>
        <v>#N/A</v>
      </c>
      <c r="W37" s="386" t="e">
        <f>(VLOOKUP(W2,Inflows!$E$128:$H$151,4,FALSE ))</f>
        <v>#N/A</v>
      </c>
      <c r="X37" s="386" t="e">
        <f>(VLOOKUP(X2,Inflows!$E$128:$H$151,4,FALSE ))</f>
        <v>#N/A</v>
      </c>
      <c r="Y37" s="386" t="e">
        <f>(VLOOKUP(Y2,Inflows!$E$128:$H$151,4,FALSE ))</f>
        <v>#N/A</v>
      </c>
      <c r="Z37" s="386" t="e">
        <f>(VLOOKUP(Z2,Inflows!$E$128:$H$151,4,FALSE ))</f>
        <v>#N/A</v>
      </c>
      <c r="AA37" s="386" t="e">
        <f>(VLOOKUP(AA2,Inflows!$E$128:$H$151,4,FALSE ))</f>
        <v>#N/A</v>
      </c>
      <c r="AB37" s="386" t="e">
        <f>(VLOOKUP(AB2,Inflows!$E$128:$H$151,4,FALSE ))</f>
        <v>#N/A</v>
      </c>
    </row>
    <row r="38" spans="1:32">
      <c r="A38" s="1"/>
      <c r="B38" s="7" t="s">
        <v>7877</v>
      </c>
      <c r="C38" s="374">
        <f>C36-C37</f>
        <v>6296239.7586206896</v>
      </c>
      <c r="D38" s="374">
        <f>D35+D36-D37</f>
        <v>9788319.3184470721</v>
      </c>
      <c r="E38" s="374">
        <f t="shared" ref="E38:P38" si="1">E35+E36-E37</f>
        <v>9358892.2897154577</v>
      </c>
      <c r="F38" s="374">
        <f t="shared" si="1"/>
        <v>5240570.0474801064</v>
      </c>
      <c r="G38" s="374">
        <f t="shared" si="1"/>
        <v>4920701.05</v>
      </c>
      <c r="H38" s="374">
        <f t="shared" si="1"/>
        <v>5874809.0129297227</v>
      </c>
      <c r="I38" s="374">
        <f t="shared" si="1"/>
        <v>5698885.2493286971</v>
      </c>
      <c r="J38" s="374">
        <f t="shared" si="1"/>
        <v>5422092.6825057119</v>
      </c>
      <c r="K38" s="374">
        <f t="shared" si="1"/>
        <v>5202098.8562116073</v>
      </c>
      <c r="L38" s="374">
        <f t="shared" si="1"/>
        <v>5558178.2387635969</v>
      </c>
      <c r="M38" s="374">
        <f t="shared" si="1"/>
        <v>5063650.8115499886</v>
      </c>
      <c r="N38" s="374">
        <f t="shared" si="1"/>
        <v>5653613.767775069</v>
      </c>
      <c r="O38" s="374">
        <f t="shared" si="1"/>
        <v>7360593.7554039191</v>
      </c>
      <c r="P38" s="374">
        <f t="shared" si="1"/>
        <v>9502970.0121552534</v>
      </c>
      <c r="Q38" s="374">
        <f>Q35+Q36-Q37</f>
        <v>9329142.6717660911</v>
      </c>
      <c r="R38" s="374">
        <f>R35+R36-R37</f>
        <v>8604874.5069373045</v>
      </c>
      <c r="S38" s="47">
        <v>8604874.5069373045</v>
      </c>
      <c r="T38" s="47">
        <v>8604874.5069373045</v>
      </c>
      <c r="U38" s="47">
        <v>8604874.5069373045</v>
      </c>
      <c r="V38" s="47">
        <v>8604874.5069373045</v>
      </c>
      <c r="W38" s="47">
        <v>8604874.5069373045</v>
      </c>
      <c r="X38" s="47">
        <v>8604874.5069373045</v>
      </c>
      <c r="Y38" s="47">
        <v>8604874.5069373045</v>
      </c>
      <c r="Z38" s="47">
        <v>8604874.5069373045</v>
      </c>
      <c r="AA38" s="47">
        <v>8604874.5069373045</v>
      </c>
      <c r="AB38" s="47">
        <v>8604874.5069373045</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7762</v>
      </c>
      <c r="B41" s="7">
        <v>2007</v>
      </c>
      <c r="C41" s="50"/>
      <c r="D41" s="50">
        <f t="shared" ref="D41:AB41" si="2">C7-D7</f>
        <v>343106.205627786</v>
      </c>
      <c r="E41" s="50">
        <f t="shared" si="2"/>
        <v>640505.43025911693</v>
      </c>
      <c r="F41" s="50">
        <f t="shared" si="2"/>
        <v>763317.00707495958</v>
      </c>
      <c r="G41" s="50">
        <f t="shared" si="2"/>
        <v>787068.00367952185</v>
      </c>
      <c r="H41" s="50">
        <f t="shared" si="2"/>
        <v>745834.37744793296</v>
      </c>
      <c r="I41" s="50">
        <f t="shared" si="2"/>
        <v>665487.57549122814</v>
      </c>
      <c r="J41" s="50">
        <f t="shared" si="2"/>
        <v>566234.87746542692</v>
      </c>
      <c r="K41" s="50">
        <f t="shared" si="2"/>
        <v>462938.70605124813</v>
      </c>
      <c r="L41" s="50">
        <f t="shared" si="2"/>
        <v>365525.5963478795</v>
      </c>
      <c r="M41" s="50">
        <f t="shared" si="2"/>
        <v>279730.53914156067</v>
      </c>
      <c r="N41" s="50">
        <f t="shared" si="2"/>
        <v>208043.99430286989</v>
      </c>
      <c r="O41" s="50">
        <f t="shared" si="2"/>
        <v>150684.51856503694</v>
      </c>
      <c r="P41" s="50">
        <f t="shared" si="2"/>
        <v>106464.50596637762</v>
      </c>
      <c r="Q41" s="50">
        <f t="shared" si="2"/>
        <v>73478.216097818688</v>
      </c>
      <c r="R41" s="50">
        <f t="shared" si="2"/>
        <v>49593.89506817011</v>
      </c>
      <c r="S41" s="50">
        <f t="shared" si="2"/>
        <v>32767.122542847523</v>
      </c>
      <c r="T41" s="50">
        <f t="shared" si="2"/>
        <v>21210.744753594132</v>
      </c>
      <c r="U41" s="50">
        <f t="shared" si="2"/>
        <v>13461.772656653367</v>
      </c>
      <c r="V41" s="50">
        <f t="shared" si="2"/>
        <v>8382.2642000598662</v>
      </c>
      <c r="W41" s="50">
        <f t="shared" si="2"/>
        <v>5123.735207703955</v>
      </c>
      <c r="X41" s="50">
        <f t="shared" si="2"/>
        <v>3076.141218303791</v>
      </c>
      <c r="Y41" s="50">
        <f t="shared" si="2"/>
        <v>1814.7912709244388</v>
      </c>
      <c r="Z41" s="50">
        <f t="shared" si="2"/>
        <v>1052.5341712858867</v>
      </c>
      <c r="AA41" s="50">
        <f t="shared" si="2"/>
        <v>600.35401798441796</v>
      </c>
      <c r="AB41" s="50">
        <f t="shared" si="2"/>
        <v>336.89867856847286</v>
      </c>
    </row>
    <row r="42" spans="1:32">
      <c r="B42" s="7">
        <v>2008</v>
      </c>
      <c r="C42" s="8"/>
      <c r="D42" s="50"/>
      <c r="E42" s="50">
        <f t="shared" ref="E42:AB42" si="3">D8-E8</f>
        <v>533402.98806557059</v>
      </c>
      <c r="F42" s="50">
        <f t="shared" si="3"/>
        <v>995748.56055815425</v>
      </c>
      <c r="G42" s="50">
        <f t="shared" si="3"/>
        <v>1186675.0462005641</v>
      </c>
      <c r="H42" s="50">
        <f t="shared" si="3"/>
        <v>1223599.0433495743</v>
      </c>
      <c r="I42" s="50">
        <f t="shared" si="3"/>
        <v>1159496.0365255931</v>
      </c>
      <c r="J42" s="50">
        <f t="shared" si="3"/>
        <v>1034586.5375359072</v>
      </c>
      <c r="K42" s="50">
        <f t="shared" si="3"/>
        <v>880285.37704344559</v>
      </c>
      <c r="L42" s="50">
        <f t="shared" si="3"/>
        <v>719698.11402020208</v>
      </c>
      <c r="M42" s="50">
        <f t="shared" si="3"/>
        <v>568256.83158270293</v>
      </c>
      <c r="N42" s="50">
        <f t="shared" si="3"/>
        <v>434877.31490688724</v>
      </c>
      <c r="O42" s="50">
        <f t="shared" si="3"/>
        <v>323431.30607970781</v>
      </c>
      <c r="P42" s="50">
        <f t="shared" si="3"/>
        <v>234258.57982005482</v>
      </c>
      <c r="Q42" s="50">
        <f t="shared" si="3"/>
        <v>165512.8490068668</v>
      </c>
      <c r="R42" s="50">
        <f t="shared" si="3"/>
        <v>114231.39360767734</v>
      </c>
      <c r="S42" s="50">
        <f t="shared" si="3"/>
        <v>77100.126390223624</v>
      </c>
      <c r="T42" s="50">
        <f t="shared" si="3"/>
        <v>50940.731435287656</v>
      </c>
      <c r="U42" s="50">
        <f t="shared" si="3"/>
        <v>32974.846986407952</v>
      </c>
      <c r="V42" s="50">
        <f t="shared" si="3"/>
        <v>20928.067292108481</v>
      </c>
      <c r="W42" s="50">
        <f t="shared" si="3"/>
        <v>13031.314204551119</v>
      </c>
      <c r="X42" s="50">
        <f t="shared" si="3"/>
        <v>7965.5092942589818</v>
      </c>
      <c r="Y42" s="50">
        <f t="shared" si="3"/>
        <v>4782.2595180191374</v>
      </c>
      <c r="Z42" s="50">
        <f t="shared" si="3"/>
        <v>2821.327830125435</v>
      </c>
      <c r="AA42" s="50">
        <f t="shared" si="3"/>
        <v>1636.3005471666297</v>
      </c>
      <c r="AB42" s="50">
        <f t="shared" si="3"/>
        <v>933.32799534805986</v>
      </c>
    </row>
    <row r="43" spans="1:32">
      <c r="B43" s="7">
        <v>2009</v>
      </c>
      <c r="C43" s="8"/>
      <c r="D43" s="8"/>
      <c r="E43" s="50"/>
      <c r="F43" s="50">
        <f t="shared" ref="F43:AB43" si="4">E9-F9</f>
        <v>510001.86547960527</v>
      </c>
      <c r="G43" s="50">
        <f t="shared" si="4"/>
        <v>952063.70192073472</v>
      </c>
      <c r="H43" s="50">
        <f t="shared" si="4"/>
        <v>1134613.9800888896</v>
      </c>
      <c r="I43" s="50">
        <f t="shared" si="4"/>
        <v>1169918.0707076006</v>
      </c>
      <c r="J43" s="50">
        <f t="shared" si="4"/>
        <v>1108627.3509430857</v>
      </c>
      <c r="K43" s="50">
        <f t="shared" si="4"/>
        <v>989197.80344112916</v>
      </c>
      <c r="L43" s="50">
        <f t="shared" si="4"/>
        <v>841666.04704393912</v>
      </c>
      <c r="M43" s="50">
        <f t="shared" si="4"/>
        <v>688123.96807821258</v>
      </c>
      <c r="N43" s="50">
        <f t="shared" si="4"/>
        <v>543326.62295300374</v>
      </c>
      <c r="O43" s="50">
        <f t="shared" si="4"/>
        <v>415798.6490882003</v>
      </c>
      <c r="P43" s="50">
        <f t="shared" si="4"/>
        <v>309241.92992124509</v>
      </c>
      <c r="Q43" s="50">
        <f t="shared" si="4"/>
        <v>223981.33378687431</v>
      </c>
      <c r="R43" s="50">
        <f t="shared" si="4"/>
        <v>158251.57271891675</v>
      </c>
      <c r="S43" s="50">
        <f t="shared" si="4"/>
        <v>109219.90528686121</v>
      </c>
      <c r="T43" s="50">
        <f t="shared" si="4"/>
        <v>73717.637822631776</v>
      </c>
      <c r="U43" s="50">
        <f t="shared" si="4"/>
        <v>48705.891496990545</v>
      </c>
      <c r="V43" s="50">
        <f t="shared" si="4"/>
        <v>31528.195104346203</v>
      </c>
      <c r="W43" s="50">
        <f t="shared" si="4"/>
        <v>20009.92420114818</v>
      </c>
      <c r="X43" s="50">
        <f t="shared" si="4"/>
        <v>12459.612530620001</v>
      </c>
      <c r="Y43" s="50">
        <f t="shared" si="4"/>
        <v>7616.0514478929363</v>
      </c>
      <c r="Z43" s="50">
        <f t="shared" si="4"/>
        <v>4572.4552167254342</v>
      </c>
      <c r="AA43" s="50">
        <f t="shared" si="4"/>
        <v>2697.5522985195871</v>
      </c>
      <c r="AB43" s="50">
        <f t="shared" si="4"/>
        <v>1564.5137920331488</v>
      </c>
      <c r="AD43" s="1"/>
    </row>
    <row r="44" spans="1:32">
      <c r="B44" s="7">
        <v>2010</v>
      </c>
      <c r="C44" s="8"/>
      <c r="D44" s="8"/>
      <c r="E44" s="8"/>
      <c r="F44" s="50"/>
      <c r="G44" s="50">
        <f t="shared" ref="G44:AB44" si="5">F10-G10</f>
        <v>285578.72210244834</v>
      </c>
      <c r="H44" s="50">
        <f t="shared" si="5"/>
        <v>533114.00164971128</v>
      </c>
      <c r="I44" s="50">
        <f t="shared" si="5"/>
        <v>635334.16727534495</v>
      </c>
      <c r="J44" s="50">
        <f t="shared" si="5"/>
        <v>655102.91277669696</v>
      </c>
      <c r="K44" s="50">
        <f t="shared" si="5"/>
        <v>620782.79237747192</v>
      </c>
      <c r="L44" s="50">
        <f t="shared" si="5"/>
        <v>553907.47315720026</v>
      </c>
      <c r="M44" s="50">
        <f t="shared" si="5"/>
        <v>471296.146977406</v>
      </c>
      <c r="N44" s="50">
        <f t="shared" si="5"/>
        <v>385319.30322851031</v>
      </c>
      <c r="O44" s="50">
        <f t="shared" si="5"/>
        <v>304239.12767699966</v>
      </c>
      <c r="P44" s="50">
        <f t="shared" si="5"/>
        <v>232829.0441582338</v>
      </c>
      <c r="Q44" s="50">
        <f t="shared" si="5"/>
        <v>173161.94536730705</v>
      </c>
      <c r="R44" s="50">
        <f t="shared" si="5"/>
        <v>125419.74335232197</v>
      </c>
      <c r="S44" s="50">
        <f t="shared" si="5"/>
        <v>88613.954118130932</v>
      </c>
      <c r="T44" s="50">
        <f t="shared" si="5"/>
        <v>61158.366451543072</v>
      </c>
      <c r="U44" s="50">
        <f t="shared" si="5"/>
        <v>41278.650590818608</v>
      </c>
      <c r="V44" s="50">
        <f t="shared" si="5"/>
        <v>27273.167402026484</v>
      </c>
      <c r="W44" s="50">
        <f t="shared" si="5"/>
        <v>17654.409282657649</v>
      </c>
      <c r="X44" s="50">
        <f t="shared" si="5"/>
        <v>11204.681726716684</v>
      </c>
      <c r="Y44" s="50">
        <f t="shared" si="5"/>
        <v>6976.8376651720391</v>
      </c>
      <c r="Z44" s="50">
        <f t="shared" si="5"/>
        <v>4264.6554594666341</v>
      </c>
      <c r="AA44" s="50">
        <f t="shared" si="5"/>
        <v>2560.3747869336789</v>
      </c>
      <c r="AB44" s="50">
        <f t="shared" si="5"/>
        <v>1510.5112164468203</v>
      </c>
    </row>
    <row r="45" spans="1:32">
      <c r="B45" s="7">
        <v>2011</v>
      </c>
      <c r="C45" s="8"/>
      <c r="D45" s="8"/>
      <c r="E45" s="8"/>
      <c r="F45" s="8"/>
      <c r="G45" s="50"/>
      <c r="H45" s="50">
        <f t="shared" ref="H45:AB45" si="6">G11-H11</f>
        <v>268147.83601316065</v>
      </c>
      <c r="I45" s="50">
        <f t="shared" si="6"/>
        <v>500574.28942273697</v>
      </c>
      <c r="J45" s="50">
        <f t="shared" si="6"/>
        <v>596555.23648919119</v>
      </c>
      <c r="K45" s="50">
        <f t="shared" si="6"/>
        <v>615117.35585108399</v>
      </c>
      <c r="L45" s="50">
        <f t="shared" si="6"/>
        <v>582892.03475919226</v>
      </c>
      <c r="M45" s="50">
        <f t="shared" si="6"/>
        <v>520098.58852627594</v>
      </c>
      <c r="N45" s="50">
        <f t="shared" si="6"/>
        <v>442529.61496198364</v>
      </c>
      <c r="O45" s="50">
        <f t="shared" si="6"/>
        <v>361800.54513220338</v>
      </c>
      <c r="P45" s="50">
        <f t="shared" si="6"/>
        <v>285669.26526078058</v>
      </c>
      <c r="Q45" s="50">
        <f t="shared" si="6"/>
        <v>218617.84341778082</v>
      </c>
      <c r="R45" s="50">
        <f t="shared" si="6"/>
        <v>162592.64901891083</v>
      </c>
      <c r="S45" s="50">
        <f t="shared" si="6"/>
        <v>117764.49073536482</v>
      </c>
      <c r="T45" s="50">
        <f t="shared" si="6"/>
        <v>83205.218730623979</v>
      </c>
      <c r="U45" s="50">
        <f t="shared" si="6"/>
        <v>57425.439463231422</v>
      </c>
      <c r="V45" s="50">
        <f t="shared" si="6"/>
        <v>38759.123046641296</v>
      </c>
      <c r="W45" s="50">
        <f t="shared" si="6"/>
        <v>25608.493399779705</v>
      </c>
      <c r="X45" s="50">
        <f t="shared" si="6"/>
        <v>16576.836013493434</v>
      </c>
      <c r="Y45" s="50">
        <f t="shared" si="6"/>
        <v>10520.780876515875</v>
      </c>
      <c r="Z45" s="50">
        <f t="shared" si="6"/>
        <v>6550.9919939338288</v>
      </c>
      <c r="AA45" s="50">
        <f t="shared" si="6"/>
        <v>4004.3534209367635</v>
      </c>
      <c r="AB45" s="50">
        <f t="shared" si="6"/>
        <v>2404.0970330157402</v>
      </c>
      <c r="AD45" s="1"/>
      <c r="AE45" s="1"/>
      <c r="AF45" s="1"/>
    </row>
    <row r="46" spans="1:32">
      <c r="B46" s="7">
        <v>2012</v>
      </c>
      <c r="C46" s="8"/>
      <c r="D46" s="8"/>
      <c r="E46" s="8"/>
      <c r="F46" s="8"/>
      <c r="G46" s="8"/>
      <c r="H46" s="50"/>
      <c r="I46" s="50">
        <f t="shared" ref="I46:AB46" si="7">H12-I12</f>
        <v>320140.83111342788</v>
      </c>
      <c r="J46" s="50">
        <f t="shared" si="7"/>
        <v>597634.0194740314</v>
      </c>
      <c r="K46" s="50">
        <f t="shared" si="7"/>
        <v>712225.36066016927</v>
      </c>
      <c r="L46" s="50">
        <f t="shared" si="7"/>
        <v>734386.61472097458</v>
      </c>
      <c r="M46" s="50">
        <f t="shared" si="7"/>
        <v>695912.90846011695</v>
      </c>
      <c r="N46" s="50">
        <f t="shared" si="7"/>
        <v>620944.01680553053</v>
      </c>
      <c r="O46" s="50">
        <f t="shared" si="7"/>
        <v>528334.67102558119</v>
      </c>
      <c r="P46" s="50">
        <f t="shared" si="7"/>
        <v>431952.49657069799</v>
      </c>
      <c r="Q46" s="50">
        <f t="shared" si="7"/>
        <v>341059.60862447554</v>
      </c>
      <c r="R46" s="50">
        <f t="shared" si="7"/>
        <v>261007.13370872987</v>
      </c>
      <c r="S46" s="50">
        <f t="shared" si="7"/>
        <v>194118.83595172205</v>
      </c>
      <c r="T46" s="50">
        <f t="shared" si="7"/>
        <v>140598.6432716127</v>
      </c>
      <c r="U46" s="50">
        <f t="shared" si="7"/>
        <v>99338.440590992366</v>
      </c>
      <c r="V46" s="50">
        <f t="shared" si="7"/>
        <v>68560.045794702804</v>
      </c>
      <c r="W46" s="50">
        <f t="shared" si="7"/>
        <v>46274.391208476372</v>
      </c>
      <c r="X46" s="50">
        <f t="shared" si="7"/>
        <v>30573.897154873302</v>
      </c>
      <c r="Y46" s="50">
        <f t="shared" si="7"/>
        <v>19791.030714603006</v>
      </c>
      <c r="Z46" s="50">
        <f t="shared" si="7"/>
        <v>12560.726142144755</v>
      </c>
      <c r="AA46" s="50">
        <f t="shared" si="7"/>
        <v>7821.2080796074606</v>
      </c>
      <c r="AB46" s="50">
        <f t="shared" si="7"/>
        <v>4780.7845526960555</v>
      </c>
    </row>
    <row r="47" spans="1:32">
      <c r="B47" s="7">
        <v>2013</v>
      </c>
      <c r="C47" s="8"/>
      <c r="D47" s="8"/>
      <c r="E47" s="8"/>
      <c r="F47" s="8"/>
      <c r="G47" s="8"/>
      <c r="H47" s="8"/>
      <c r="I47" s="50"/>
      <c r="J47" s="50">
        <f t="shared" ref="J47:AB47" si="8">I13-J13</f>
        <v>310554.07182169892</v>
      </c>
      <c r="K47" s="50">
        <f t="shared" si="8"/>
        <v>579737.6034832336</v>
      </c>
      <c r="L47" s="50">
        <f t="shared" si="8"/>
        <v>690897.45609277487</v>
      </c>
      <c r="M47" s="50">
        <f t="shared" si="8"/>
        <v>712395.08156379685</v>
      </c>
      <c r="N47" s="50">
        <f t="shared" si="8"/>
        <v>675073.48751462018</v>
      </c>
      <c r="O47" s="50">
        <f t="shared" si="8"/>
        <v>602349.57259780494</v>
      </c>
      <c r="P47" s="50">
        <f t="shared" si="8"/>
        <v>512513.45478465036</v>
      </c>
      <c r="Q47" s="50">
        <f t="shared" si="8"/>
        <v>419017.4873259156</v>
      </c>
      <c r="R47" s="50">
        <f t="shared" si="8"/>
        <v>330846.42725475668</v>
      </c>
      <c r="S47" s="50">
        <f t="shared" si="8"/>
        <v>253191.15923403669</v>
      </c>
      <c r="T47" s="50">
        <f t="shared" si="8"/>
        <v>188305.86124372447</v>
      </c>
      <c r="U47" s="50">
        <f t="shared" si="8"/>
        <v>136388.35448995145</v>
      </c>
      <c r="V47" s="50">
        <f t="shared" si="8"/>
        <v>96363.706893171446</v>
      </c>
      <c r="W47" s="50">
        <f t="shared" si="8"/>
        <v>66506.984790963412</v>
      </c>
      <c r="X47" s="50">
        <f t="shared" si="8"/>
        <v>44888.684023472626</v>
      </c>
      <c r="Y47" s="50">
        <f t="shared" si="8"/>
        <v>29658.348233436343</v>
      </c>
      <c r="Z47" s="50">
        <f t="shared" si="8"/>
        <v>19198.379515016153</v>
      </c>
      <c r="AA47" s="50">
        <f t="shared" si="8"/>
        <v>12184.589622366057</v>
      </c>
      <c r="AB47" s="50">
        <f t="shared" si="8"/>
        <v>7586.9985319876105</v>
      </c>
    </row>
    <row r="48" spans="1:32">
      <c r="B48" s="7">
        <v>2014</v>
      </c>
      <c r="C48" s="8"/>
      <c r="D48" s="8"/>
      <c r="E48" s="8"/>
      <c r="F48" s="8"/>
      <c r="G48" s="8"/>
      <c r="H48" s="8"/>
      <c r="I48" s="8"/>
      <c r="J48" s="50"/>
      <c r="K48" s="50">
        <f t="shared" ref="K48:AB48" si="9">J14-K14</f>
        <v>295470.58532984834</v>
      </c>
      <c r="L48" s="50">
        <f t="shared" si="9"/>
        <v>551579.981012973</v>
      </c>
      <c r="M48" s="50">
        <f t="shared" si="9"/>
        <v>657340.8442438324</v>
      </c>
      <c r="N48" s="50">
        <f t="shared" si="9"/>
        <v>677794.33868318889</v>
      </c>
      <c r="O48" s="50">
        <f t="shared" si="9"/>
        <v>642285.43946165591</v>
      </c>
      <c r="P48" s="50">
        <f t="shared" si="9"/>
        <v>573093.69587284117</v>
      </c>
      <c r="Q48" s="50">
        <f t="shared" si="9"/>
        <v>487620.8822069047</v>
      </c>
      <c r="R48" s="50">
        <f t="shared" si="9"/>
        <v>398665.97632219433</v>
      </c>
      <c r="S48" s="50">
        <f t="shared" si="9"/>
        <v>314777.34921272285</v>
      </c>
      <c r="T48" s="50">
        <f t="shared" si="9"/>
        <v>240893.76635890699</v>
      </c>
      <c r="U48" s="50">
        <f t="shared" si="9"/>
        <v>179159.92122192762</v>
      </c>
      <c r="V48" s="50">
        <f t="shared" si="9"/>
        <v>129764.02691141603</v>
      </c>
      <c r="W48" s="50">
        <f t="shared" si="9"/>
        <v>91683.360367036192</v>
      </c>
      <c r="X48" s="50">
        <f t="shared" si="9"/>
        <v>63276.767261295405</v>
      </c>
      <c r="Y48" s="50">
        <f t="shared" si="9"/>
        <v>42708.45867613361</v>
      </c>
      <c r="Z48" s="50">
        <f t="shared" si="9"/>
        <v>28217.854176071385</v>
      </c>
      <c r="AA48" s="50">
        <f t="shared" si="9"/>
        <v>18265.921935627426</v>
      </c>
      <c r="AB48" s="50">
        <f t="shared" si="9"/>
        <v>11592.789000015106</v>
      </c>
      <c r="AD48" s="1"/>
    </row>
    <row r="49" spans="2:32">
      <c r="B49" s="7">
        <v>2015</v>
      </c>
      <c r="C49" s="8"/>
      <c r="D49" s="8"/>
      <c r="E49" s="8"/>
      <c r="F49" s="8"/>
      <c r="G49" s="8"/>
      <c r="H49" s="8"/>
      <c r="I49" s="8"/>
      <c r="J49" s="8"/>
      <c r="K49" s="50"/>
      <c r="L49" s="50">
        <f t="shared" ref="L49:AB49" si="10">K15-L15</f>
        <v>283482.27962755039</v>
      </c>
      <c r="M49" s="50">
        <f t="shared" si="10"/>
        <v>529200.39482076559</v>
      </c>
      <c r="N49" s="50">
        <f t="shared" si="10"/>
        <v>630670.15896189632</v>
      </c>
      <c r="O49" s="50">
        <f t="shared" si="10"/>
        <v>650293.78147425363</v>
      </c>
      <c r="P49" s="50">
        <f t="shared" si="10"/>
        <v>616225.60616960283</v>
      </c>
      <c r="Q49" s="50">
        <f t="shared" si="10"/>
        <v>549841.22079308424</v>
      </c>
      <c r="R49" s="50">
        <f t="shared" si="10"/>
        <v>467836.34698423697</v>
      </c>
      <c r="S49" s="50">
        <f t="shared" si="10"/>
        <v>382490.66197772184</v>
      </c>
      <c r="T49" s="50">
        <f t="shared" si="10"/>
        <v>302005.69857173436</v>
      </c>
      <c r="U49" s="50">
        <f t="shared" si="10"/>
        <v>231119.83874555549</v>
      </c>
      <c r="V49" s="50">
        <f t="shared" si="10"/>
        <v>171890.75802312593</v>
      </c>
      <c r="W49" s="50">
        <f t="shared" si="10"/>
        <v>124499.03303042229</v>
      </c>
      <c r="X49" s="50">
        <f t="shared" si="10"/>
        <v>87963.43626471996</v>
      </c>
      <c r="Y49" s="50">
        <f t="shared" si="10"/>
        <v>60709.400939755345</v>
      </c>
      <c r="Z49" s="50">
        <f t="shared" si="10"/>
        <v>40975.622704959416</v>
      </c>
      <c r="AA49" s="50">
        <f t="shared" si="10"/>
        <v>27072.954213362842</v>
      </c>
      <c r="AB49" s="50">
        <f t="shared" si="10"/>
        <v>17524.807703040926</v>
      </c>
    </row>
    <row r="50" spans="2:32">
      <c r="B50" s="7">
        <v>2016</v>
      </c>
      <c r="C50" s="8"/>
      <c r="D50" s="8"/>
      <c r="E50" s="8"/>
      <c r="F50" s="8"/>
      <c r="G50" s="8"/>
      <c r="H50" s="8"/>
      <c r="I50" s="8"/>
      <c r="J50" s="8"/>
      <c r="K50" s="8"/>
      <c r="L50" s="50"/>
      <c r="M50" s="50">
        <f t="shared" ref="M50:AB50" si="11">L16-M16</f>
        <v>302886.40820801258</v>
      </c>
      <c r="N50" s="50">
        <f t="shared" si="11"/>
        <v>565423.72602660116</v>
      </c>
      <c r="O50" s="50">
        <f t="shared" si="11"/>
        <v>673839.01195840677</v>
      </c>
      <c r="P50" s="50">
        <f t="shared" si="11"/>
        <v>694805.85527082533</v>
      </c>
      <c r="Q50" s="50">
        <f t="shared" si="11"/>
        <v>658405.74142320175</v>
      </c>
      <c r="R50" s="50">
        <f t="shared" si="11"/>
        <v>587477.39953810233</v>
      </c>
      <c r="S50" s="50">
        <f t="shared" si="11"/>
        <v>499859.35965163587</v>
      </c>
      <c r="T50" s="50">
        <f t="shared" si="11"/>
        <v>408671.83279232495</v>
      </c>
      <c r="U50" s="50">
        <f t="shared" si="11"/>
        <v>322677.73992408195</v>
      </c>
      <c r="V50" s="50">
        <f t="shared" si="11"/>
        <v>246939.80137040361</v>
      </c>
      <c r="W50" s="50">
        <f t="shared" si="11"/>
        <v>183656.5388502595</v>
      </c>
      <c r="X50" s="50">
        <f t="shared" si="11"/>
        <v>133020.88931096147</v>
      </c>
      <c r="Y50" s="50">
        <f t="shared" si="11"/>
        <v>93984.461035307031</v>
      </c>
      <c r="Z50" s="50">
        <f t="shared" si="11"/>
        <v>64864.909437237453</v>
      </c>
      <c r="AA50" s="50">
        <f t="shared" si="11"/>
        <v>43780.370333898303</v>
      </c>
      <c r="AB50" s="50">
        <f t="shared" si="11"/>
        <v>28926.075633506887</v>
      </c>
      <c r="AD50" s="1"/>
      <c r="AE50" s="1"/>
      <c r="AF50" s="1"/>
    </row>
    <row r="51" spans="2:32">
      <c r="B51" s="7">
        <v>2017</v>
      </c>
      <c r="C51" s="8"/>
      <c r="D51" s="8"/>
      <c r="E51" s="8"/>
      <c r="F51" s="8"/>
      <c r="G51" s="8"/>
      <c r="H51" s="8"/>
      <c r="I51" s="8"/>
      <c r="J51" s="8"/>
      <c r="K51" s="8"/>
      <c r="L51" s="8"/>
      <c r="M51" s="50"/>
      <c r="N51" s="50">
        <f t="shared" ref="N51:AB51" si="12">M17-N17</f>
        <v>275937.71571297012</v>
      </c>
      <c r="O51" s="50">
        <f t="shared" si="12"/>
        <v>515116.31800442375</v>
      </c>
      <c r="P51" s="50">
        <f t="shared" si="12"/>
        <v>613885.57782490924</v>
      </c>
      <c r="Q51" s="50">
        <f t="shared" si="12"/>
        <v>632986.93956500851</v>
      </c>
      <c r="R51" s="50">
        <f t="shared" si="12"/>
        <v>599825.45065492438</v>
      </c>
      <c r="S51" s="50">
        <f t="shared" si="12"/>
        <v>535207.8114717172</v>
      </c>
      <c r="T51" s="50">
        <f t="shared" si="12"/>
        <v>455385.40569075081</v>
      </c>
      <c r="U51" s="50">
        <f t="shared" si="12"/>
        <v>372311.10066682659</v>
      </c>
      <c r="V51" s="50">
        <f t="shared" si="12"/>
        <v>293968.15457273927</v>
      </c>
      <c r="W51" s="50">
        <f t="shared" si="12"/>
        <v>224968.84264931187</v>
      </c>
      <c r="X51" s="50">
        <f t="shared" si="12"/>
        <v>167316.07768707484</v>
      </c>
      <c r="Y51" s="50">
        <f t="shared" si="12"/>
        <v>121185.63046700449</v>
      </c>
      <c r="Z51" s="50">
        <f t="shared" si="12"/>
        <v>85622.387759264209</v>
      </c>
      <c r="AA51" s="50">
        <f t="shared" si="12"/>
        <v>59093.688112104777</v>
      </c>
      <c r="AB51" s="50">
        <f t="shared" si="12"/>
        <v>39885.102320957114</v>
      </c>
      <c r="AD51" s="97"/>
      <c r="AE51" s="268"/>
      <c r="AF51" s="97"/>
    </row>
    <row r="52" spans="2:32">
      <c r="B52" s="7">
        <v>2018</v>
      </c>
      <c r="C52" s="8"/>
      <c r="D52" s="8"/>
      <c r="E52" s="8"/>
      <c r="F52" s="8"/>
      <c r="G52" s="8"/>
      <c r="H52" s="8"/>
      <c r="I52" s="8"/>
      <c r="J52" s="8"/>
      <c r="K52" s="8"/>
      <c r="L52" s="8"/>
      <c r="M52" s="8"/>
      <c r="N52" s="50"/>
      <c r="O52" s="50">
        <f t="shared" ref="O52:AB52" si="13">N18-O18</f>
        <v>308087.05549854413</v>
      </c>
      <c r="P52" s="50">
        <f t="shared" si="13"/>
        <v>575132.21504781488</v>
      </c>
      <c r="Q52" s="50">
        <f t="shared" si="13"/>
        <v>685409.022816699</v>
      </c>
      <c r="R52" s="50">
        <f t="shared" si="13"/>
        <v>706735.87289703032</v>
      </c>
      <c r="S52" s="50">
        <f t="shared" si="13"/>
        <v>669710.75855969684</v>
      </c>
      <c r="T52" s="50">
        <f t="shared" si="13"/>
        <v>597564.55651629809</v>
      </c>
      <c r="U52" s="50">
        <f t="shared" si="13"/>
        <v>508442.08952650614</v>
      </c>
      <c r="V52" s="50">
        <f t="shared" si="13"/>
        <v>415688.84643946192</v>
      </c>
      <c r="W52" s="50">
        <f t="shared" si="13"/>
        <v>328218.21010819951</v>
      </c>
      <c r="X52" s="50">
        <f t="shared" si="13"/>
        <v>251179.82922942645</v>
      </c>
      <c r="Y52" s="50">
        <f t="shared" si="13"/>
        <v>186809.97477632458</v>
      </c>
      <c r="Z52" s="50">
        <f t="shared" si="13"/>
        <v>135304.89647943113</v>
      </c>
      <c r="AA52" s="50">
        <f t="shared" si="13"/>
        <v>95598.201432332862</v>
      </c>
      <c r="AB52" s="50">
        <f t="shared" si="13"/>
        <v>65978.658705523063</v>
      </c>
    </row>
    <row r="53" spans="2:32">
      <c r="B53" s="7">
        <v>2019</v>
      </c>
      <c r="C53" s="8"/>
      <c r="D53" s="8"/>
      <c r="E53" s="8"/>
      <c r="F53" s="8"/>
      <c r="G53" s="8"/>
      <c r="H53" s="8"/>
      <c r="I53" s="8"/>
      <c r="J53" s="8"/>
      <c r="K53" s="8"/>
      <c r="L53" s="8"/>
      <c r="M53" s="8"/>
      <c r="N53" s="8"/>
      <c r="O53" s="50"/>
      <c r="P53" s="50">
        <f t="shared" ref="P53:AB53" si="14">O19-P19</f>
        <v>401106.92912009824</v>
      </c>
      <c r="Q53" s="50">
        <f t="shared" si="14"/>
        <v>748780.29601915181</v>
      </c>
      <c r="R53" s="50">
        <f t="shared" si="14"/>
        <v>892352.6757342536</v>
      </c>
      <c r="S53" s="50">
        <f t="shared" si="14"/>
        <v>920118.68274705671</v>
      </c>
      <c r="T53" s="50">
        <f t="shared" si="14"/>
        <v>871914.67791427718</v>
      </c>
      <c r="U53" s="50">
        <f t="shared" si="14"/>
        <v>777985.57238117512</v>
      </c>
      <c r="V53" s="50">
        <f t="shared" si="14"/>
        <v>661954.60512084514</v>
      </c>
      <c r="W53" s="50">
        <f t="shared" si="14"/>
        <v>541196.63156570541</v>
      </c>
      <c r="X53" s="50">
        <f t="shared" si="14"/>
        <v>427316.2276316965</v>
      </c>
      <c r="Y53" s="50">
        <f t="shared" si="14"/>
        <v>327017.86122137785</v>
      </c>
      <c r="Z53" s="50">
        <f t="shared" si="14"/>
        <v>243212.99442549481</v>
      </c>
      <c r="AA53" s="50">
        <f t="shared" si="14"/>
        <v>176157.13011361443</v>
      </c>
      <c r="AB53" s="50">
        <f t="shared" si="14"/>
        <v>124461.90231484352</v>
      </c>
    </row>
    <row r="54" spans="2:32">
      <c r="B54" s="7">
        <v>2020</v>
      </c>
      <c r="C54" s="8"/>
      <c r="D54" s="8"/>
      <c r="E54" s="8"/>
      <c r="F54" s="8"/>
      <c r="G54" s="8"/>
      <c r="H54" s="8"/>
      <c r="I54" s="8"/>
      <c r="J54" s="8"/>
      <c r="K54" s="8"/>
      <c r="L54" s="8"/>
      <c r="M54" s="8"/>
      <c r="N54" s="8"/>
      <c r="O54" s="8"/>
      <c r="P54" s="50"/>
      <c r="Q54" s="50">
        <f t="shared" ref="Q54:AB54" si="15">P20-Q20</f>
        <v>517853.21208598651</v>
      </c>
      <c r="R54" s="50">
        <f t="shared" si="15"/>
        <v>966720.47598587535</v>
      </c>
      <c r="S54" s="50">
        <f t="shared" si="15"/>
        <v>1152081.0683979616</v>
      </c>
      <c r="T54" s="50">
        <f t="shared" si="15"/>
        <v>1187928.6563464534</v>
      </c>
      <c r="U54" s="50">
        <f t="shared" si="15"/>
        <v>1125694.3818281265</v>
      </c>
      <c r="V54" s="50">
        <f t="shared" si="15"/>
        <v>1004426.2473798268</v>
      </c>
      <c r="W54" s="50">
        <f t="shared" si="15"/>
        <v>854623.27781004785</v>
      </c>
      <c r="X54" s="50">
        <f t="shared" si="15"/>
        <v>698717.45831272355</v>
      </c>
      <c r="Y54" s="50">
        <f t="shared" si="15"/>
        <v>551690.99556812597</v>
      </c>
      <c r="Z54" s="50">
        <f t="shared" si="15"/>
        <v>422199.76158096886</v>
      </c>
      <c r="AA54" s="50">
        <f t="shared" si="15"/>
        <v>314002.62932526553</v>
      </c>
      <c r="AB54" s="50">
        <f t="shared" si="15"/>
        <v>227429.46839961078</v>
      </c>
    </row>
    <row r="55" spans="2:32">
      <c r="B55" s="7">
        <v>2021</v>
      </c>
      <c r="C55" s="8"/>
      <c r="D55" s="8"/>
      <c r="E55" s="8"/>
      <c r="F55" s="8"/>
      <c r="G55" s="8"/>
      <c r="H55" s="8"/>
      <c r="I55" s="8"/>
      <c r="J55" s="8"/>
      <c r="K55" s="8"/>
      <c r="L55" s="8"/>
      <c r="M55" s="8"/>
      <c r="N55" s="8"/>
      <c r="O55" s="8"/>
      <c r="P55" s="8"/>
      <c r="Q55" s="50"/>
      <c r="R55" s="50">
        <f t="shared" ref="R55:AB55" si="16">Q21-R21</f>
        <v>508380.69491990656</v>
      </c>
      <c r="S55" s="50">
        <f t="shared" si="16"/>
        <v>949037.32545236498</v>
      </c>
      <c r="T55" s="50">
        <f t="shared" si="16"/>
        <v>1131007.321161448</v>
      </c>
      <c r="U55" s="50">
        <f t="shared" si="16"/>
        <v>1166199.188754674</v>
      </c>
      <c r="V55" s="50">
        <f t="shared" si="16"/>
        <v>1105103.2971215658</v>
      </c>
      <c r="W55" s="50">
        <f t="shared" si="16"/>
        <v>986053.38679247629</v>
      </c>
      <c r="X55" s="50">
        <f t="shared" si="16"/>
        <v>838990.59758203756</v>
      </c>
      <c r="Y55" s="50">
        <f t="shared" si="16"/>
        <v>685936.5911410267</v>
      </c>
      <c r="Z55" s="50">
        <f t="shared" si="16"/>
        <v>541599.52118131937</v>
      </c>
      <c r="AA55" s="50">
        <f t="shared" si="16"/>
        <v>414476.92739600502</v>
      </c>
      <c r="AB55" s="50">
        <f t="shared" si="16"/>
        <v>308258.92584509042</v>
      </c>
    </row>
    <row r="56" spans="2:32">
      <c r="B56" s="7">
        <v>2022</v>
      </c>
      <c r="C56" s="8"/>
      <c r="D56" s="8"/>
      <c r="E56" s="8"/>
      <c r="F56" s="8"/>
      <c r="G56" s="8"/>
      <c r="H56" s="8"/>
      <c r="I56" s="8"/>
      <c r="J56" s="8"/>
      <c r="K56" s="8"/>
      <c r="L56" s="8"/>
      <c r="M56" s="8"/>
      <c r="N56" s="8"/>
      <c r="O56" s="8"/>
      <c r="P56" s="8"/>
      <c r="Q56" s="51"/>
      <c r="R56" s="50"/>
      <c r="S56" s="50">
        <f t="shared" ref="S56:AB56" si="17">R22-S22</f>
        <v>468912.55021478049</v>
      </c>
      <c r="T56" s="50">
        <f t="shared" si="17"/>
        <v>875358.79504038673</v>
      </c>
      <c r="U56" s="50">
        <f t="shared" si="17"/>
        <v>1043201.5467482628</v>
      </c>
      <c r="V56" s="50">
        <f t="shared" si="17"/>
        <v>1075661.2930463785</v>
      </c>
      <c r="W56" s="50">
        <f t="shared" si="17"/>
        <v>1019308.5820964854</v>
      </c>
      <c r="X56" s="50">
        <f t="shared" si="17"/>
        <v>909501.11376992241</v>
      </c>
      <c r="Y56" s="50">
        <f t="shared" si="17"/>
        <v>773855.54693495482</v>
      </c>
      <c r="Z56" s="50">
        <f t="shared" si="17"/>
        <v>632683.8911305361</v>
      </c>
      <c r="AA56" s="50">
        <f t="shared" si="17"/>
        <v>499552.4322815754</v>
      </c>
      <c r="AB56" s="50">
        <f t="shared" si="17"/>
        <v>382299.00342904858</v>
      </c>
    </row>
    <row r="57" spans="2:32">
      <c r="B57" s="7">
        <v>2023</v>
      </c>
      <c r="C57" s="8"/>
      <c r="D57" s="8"/>
      <c r="E57" s="8"/>
      <c r="F57" s="8"/>
      <c r="G57" s="8"/>
      <c r="H57" s="8"/>
      <c r="I57" s="8"/>
      <c r="J57" s="8"/>
      <c r="K57" s="8"/>
      <c r="L57" s="8"/>
      <c r="M57" s="8"/>
      <c r="N57" s="8"/>
      <c r="O57" s="8"/>
      <c r="P57" s="8"/>
      <c r="Q57" s="51"/>
      <c r="R57" s="51"/>
      <c r="S57" s="50"/>
      <c r="T57" s="50">
        <f t="shared" ref="T57:AB57" si="18">S23-T23</f>
        <v>468912.55021478049</v>
      </c>
      <c r="U57" s="50">
        <f t="shared" si="18"/>
        <v>875358.79504038673</v>
      </c>
      <c r="V57" s="50">
        <f t="shared" si="18"/>
        <v>1043201.5467482628</v>
      </c>
      <c r="W57" s="50">
        <f t="shared" si="18"/>
        <v>1075661.2930463785</v>
      </c>
      <c r="X57" s="50">
        <f t="shared" si="18"/>
        <v>1019308.5820964854</v>
      </c>
      <c r="Y57" s="50">
        <f t="shared" si="18"/>
        <v>909501.11376992241</v>
      </c>
      <c r="Z57" s="50">
        <f t="shared" si="18"/>
        <v>773855.54693495482</v>
      </c>
      <c r="AA57" s="50">
        <f t="shared" si="18"/>
        <v>632683.8911305361</v>
      </c>
      <c r="AB57" s="50">
        <f t="shared" si="18"/>
        <v>499552.4322815754</v>
      </c>
    </row>
    <row r="58" spans="2:32">
      <c r="B58" s="7">
        <v>2024</v>
      </c>
      <c r="C58" s="8"/>
      <c r="D58" s="8"/>
      <c r="E58" s="8"/>
      <c r="F58" s="8"/>
      <c r="G58" s="8"/>
      <c r="H58" s="8"/>
      <c r="I58" s="8"/>
      <c r="J58" s="8"/>
      <c r="K58" s="8"/>
      <c r="L58" s="8"/>
      <c r="M58" s="8"/>
      <c r="N58" s="8"/>
      <c r="O58" s="8"/>
      <c r="P58" s="8"/>
      <c r="Q58" s="51"/>
      <c r="R58" s="51"/>
      <c r="S58" s="51"/>
      <c r="T58" s="50"/>
      <c r="U58" s="50">
        <f t="shared" ref="U58:AB58" si="19">T24-U24</f>
        <v>468912.55021478049</v>
      </c>
      <c r="V58" s="50">
        <f t="shared" si="19"/>
        <v>875358.79504038673</v>
      </c>
      <c r="W58" s="50">
        <f t="shared" si="19"/>
        <v>1043201.5467482628</v>
      </c>
      <c r="X58" s="50">
        <f t="shared" si="19"/>
        <v>1075661.2930463785</v>
      </c>
      <c r="Y58" s="50">
        <f t="shared" si="19"/>
        <v>1019308.5820964854</v>
      </c>
      <c r="Z58" s="50">
        <f t="shared" si="19"/>
        <v>909501.11376992241</v>
      </c>
      <c r="AA58" s="50">
        <f t="shared" si="19"/>
        <v>773855.54693495482</v>
      </c>
      <c r="AB58" s="50">
        <f t="shared" si="19"/>
        <v>632683.8911305361</v>
      </c>
    </row>
    <row r="59" spans="2:32">
      <c r="B59" s="7">
        <v>2025</v>
      </c>
      <c r="C59" s="8"/>
      <c r="D59" s="8"/>
      <c r="E59" s="8"/>
      <c r="F59" s="8"/>
      <c r="G59" s="8"/>
      <c r="H59" s="8"/>
      <c r="I59" s="8"/>
      <c r="J59" s="8"/>
      <c r="K59" s="8"/>
      <c r="L59" s="8"/>
      <c r="M59" s="8"/>
      <c r="N59" s="8"/>
      <c r="O59" s="8"/>
      <c r="P59" s="8"/>
      <c r="Q59" s="51"/>
      <c r="R59" s="51"/>
      <c r="S59" s="51"/>
      <c r="T59" s="51"/>
      <c r="U59" s="50"/>
      <c r="V59" s="50">
        <f t="shared" ref="V59:AB59" si="20">U25-V25</f>
        <v>468912.55021478049</v>
      </c>
      <c r="W59" s="50">
        <f t="shared" si="20"/>
        <v>875358.79504038673</v>
      </c>
      <c r="X59" s="50">
        <f t="shared" si="20"/>
        <v>1043201.5467482628</v>
      </c>
      <c r="Y59" s="50">
        <f t="shared" si="20"/>
        <v>1075661.2930463785</v>
      </c>
      <c r="Z59" s="50">
        <f t="shared" si="20"/>
        <v>1019308.5820964854</v>
      </c>
      <c r="AA59" s="50">
        <f t="shared" si="20"/>
        <v>909501.11376992241</v>
      </c>
      <c r="AB59" s="50">
        <f t="shared" si="20"/>
        <v>773855.54693495482</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1">V26-W26</f>
        <v>468912.55021478049</v>
      </c>
      <c r="X60" s="50">
        <f t="shared" si="21"/>
        <v>875358.79504038673</v>
      </c>
      <c r="Y60" s="50">
        <f t="shared" si="21"/>
        <v>1043201.5467482628</v>
      </c>
      <c r="Z60" s="50">
        <f t="shared" si="21"/>
        <v>1075661.2930463785</v>
      </c>
      <c r="AA60" s="50">
        <f t="shared" si="21"/>
        <v>1019308.5820964854</v>
      </c>
      <c r="AB60" s="50">
        <f t="shared" si="21"/>
        <v>909501.11376992241</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468912.55021478049</v>
      </c>
      <c r="Y61" s="50">
        <f>X27-Y27</f>
        <v>875358.79504038673</v>
      </c>
      <c r="Z61" s="50">
        <f>Y27-Z27</f>
        <v>1043201.5467482628</v>
      </c>
      <c r="AA61" s="50">
        <f>Z27-AA27</f>
        <v>1075661.2930463785</v>
      </c>
      <c r="AB61" s="50">
        <f>AA27-AB27</f>
        <v>1019308.5820964854</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468912.55021478049</v>
      </c>
      <c r="Z62" s="50">
        <f>Y28-Z28</f>
        <v>875358.79504038673</v>
      </c>
      <c r="AA62" s="50">
        <f>Z28-AA28</f>
        <v>1043201.5467482628</v>
      </c>
      <c r="AB62" s="50">
        <f>AA28-AB28</f>
        <v>1075661.2930463785</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468912.55021478049</v>
      </c>
      <c r="AA63" s="50">
        <f>Z29-AA29</f>
        <v>875358.79504038673</v>
      </c>
      <c r="AB63" s="50">
        <f>AA29-AB29</f>
        <v>1043201.5467482628</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468912.55021478049</v>
      </c>
      <c r="AB64" s="50">
        <f>AA30-AB30</f>
        <v>875358.79504038673</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468912.55021478049</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2">ROUND(SUM(C41:C66),0)</f>
        <v>0</v>
      </c>
      <c r="D67" s="90">
        <f t="shared" si="22"/>
        <v>343106</v>
      </c>
      <c r="E67" s="90">
        <f t="shared" si="22"/>
        <v>1173908</v>
      </c>
      <c r="F67" s="90">
        <f t="shared" si="22"/>
        <v>2269067</v>
      </c>
      <c r="G67" s="90">
        <f t="shared" si="22"/>
        <v>3211385</v>
      </c>
      <c r="H67" s="90">
        <f t="shared" si="22"/>
        <v>3905309</v>
      </c>
      <c r="I67" s="90">
        <f t="shared" si="22"/>
        <v>4450951</v>
      </c>
      <c r="J67" s="90">
        <f t="shared" si="22"/>
        <v>4869295</v>
      </c>
      <c r="K67" s="90">
        <f t="shared" si="22"/>
        <v>5155756</v>
      </c>
      <c r="L67" s="90">
        <f t="shared" si="22"/>
        <v>5324036</v>
      </c>
      <c r="M67" s="90">
        <f t="shared" si="22"/>
        <v>5425242</v>
      </c>
      <c r="N67" s="90">
        <f t="shared" si="22"/>
        <v>5459940</v>
      </c>
      <c r="O67" s="90">
        <f t="shared" si="22"/>
        <v>5476260</v>
      </c>
      <c r="P67" s="90">
        <f t="shared" si="22"/>
        <v>5587179</v>
      </c>
      <c r="Q67" s="90">
        <f t="shared" si="22"/>
        <v>5895727</v>
      </c>
      <c r="R67" s="90">
        <f t="shared" si="22"/>
        <v>6329938</v>
      </c>
      <c r="S67" s="90">
        <f t="shared" si="22"/>
        <v>6764971</v>
      </c>
      <c r="T67" s="90">
        <f t="shared" si="22"/>
        <v>7158780</v>
      </c>
      <c r="U67" s="90">
        <f t="shared" si="22"/>
        <v>7500636</v>
      </c>
      <c r="V67" s="90">
        <f t="shared" si="22"/>
        <v>7784664</v>
      </c>
      <c r="W67" s="90">
        <f t="shared" si="22"/>
        <v>8011551</v>
      </c>
      <c r="X67" s="90">
        <f t="shared" si="22"/>
        <v>8186471</v>
      </c>
      <c r="Y67" s="90">
        <f t="shared" si="22"/>
        <v>8317003</v>
      </c>
      <c r="Z67" s="90">
        <f t="shared" si="22"/>
        <v>8411502</v>
      </c>
      <c r="AA67" s="90">
        <f t="shared" si="22"/>
        <v>8477988</v>
      </c>
      <c r="AB67" s="267">
        <f t="shared" si="22"/>
        <v>8523510</v>
      </c>
      <c r="AD67" s="1"/>
      <c r="AE67" s="1"/>
      <c r="AF67" s="1"/>
    </row>
    <row r="68" spans="1:32">
      <c r="R68" s="97"/>
      <c r="S68" s="97"/>
      <c r="T68" s="97"/>
      <c r="U68" s="97"/>
      <c r="V68" s="97"/>
      <c r="W68" s="97"/>
      <c r="X68" s="97"/>
      <c r="Y68" s="97"/>
      <c r="Z68" s="97"/>
      <c r="AA68" s="97"/>
      <c r="AB68" s="97"/>
      <c r="AD68" s="97"/>
      <c r="AE68" s="268"/>
      <c r="AF68" s="97"/>
    </row>
    <row r="69" spans="1:32" ht="21">
      <c r="B69" s="52" t="s">
        <v>7652</v>
      </c>
      <c r="Q69" s="46"/>
      <c r="R69" s="46"/>
      <c r="S69" s="46"/>
      <c r="T69" s="46"/>
      <c r="U69" s="46"/>
      <c r="V69" s="46"/>
      <c r="W69" s="46"/>
      <c r="X69" s="46"/>
      <c r="Y69" s="46"/>
      <c r="Z69" s="46"/>
      <c r="AA69" s="46"/>
      <c r="AB69" s="46"/>
    </row>
    <row r="70" spans="1:32">
      <c r="B70" s="7" t="s">
        <v>7761</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130159.90514245685</v>
      </c>
      <c r="E71" s="91">
        <f>E67*Outflow_routing!D4</f>
        <v>445331.046166407</v>
      </c>
      <c r="F71" s="91">
        <f>F67*Outflow_routing!E4</f>
        <v>860788.05232749972</v>
      </c>
      <c r="G71" s="91">
        <f>G67*Outflow_routing!F4</f>
        <v>1218263.6473157241</v>
      </c>
      <c r="H71" s="91">
        <f>H67*Outflow_routing!G4</f>
        <v>1481509.0642308295</v>
      </c>
      <c r="I71" s="91">
        <f>I67*Outflow_routing!H4</f>
        <v>1688502.561755619</v>
      </c>
      <c r="J71" s="91">
        <f>J67*Outflow_routing!I4</f>
        <v>1847204.5819969322</v>
      </c>
      <c r="K71" s="91">
        <f>K67*Outflow_routing!J4</f>
        <v>1955875.7698718552</v>
      </c>
      <c r="L71" s="91">
        <f>L67*Outflow_routing!K4</f>
        <v>2019714.0846707006</v>
      </c>
      <c r="M71" s="91">
        <f>M67*Outflow_routing!L4</f>
        <v>2058107.3606840826</v>
      </c>
      <c r="N71" s="91">
        <f>N67*Outflow_routing!M4</f>
        <v>2071270.314373709</v>
      </c>
      <c r="O71" s="91">
        <f>O67*Outflow_routing!N4</f>
        <v>2077461.4321388456</v>
      </c>
      <c r="P71" s="91">
        <f>P67*Outflow_routing!O4</f>
        <v>2119539.4095525201</v>
      </c>
      <c r="Q71" s="91">
        <f>Q67*Outflow_routing!P4</f>
        <v>2236589.471084218</v>
      </c>
      <c r="R71" s="91">
        <f>R67*Outflow_routing!Q4</f>
        <v>2401310.7600497603</v>
      </c>
      <c r="S71" s="91">
        <f>S67*Outflow_routing!R4</f>
        <v>2566343.8810497965</v>
      </c>
      <c r="T71" s="91">
        <f>T67*Outflow_routing!S4</f>
        <v>2715738.3599695638</v>
      </c>
      <c r="U71" s="91">
        <f>U67*Outflow_routing!T4</f>
        <v>2845424.0679792743</v>
      </c>
      <c r="V71" s="91">
        <f>V67*Outflow_routing!U4</f>
        <v>2953172.2785550202</v>
      </c>
      <c r="W71" s="91">
        <f>W67*Outflow_routing!V4</f>
        <v>3039243.6104409578</v>
      </c>
      <c r="X71" s="91">
        <f>X67*Outflow_routing!W4</f>
        <v>3105600.860408952</v>
      </c>
      <c r="Y71" s="91">
        <f>Y67*Outflow_routing!X4</f>
        <v>3155119.1805142695</v>
      </c>
      <c r="Z71" s="91">
        <f>Z67*Outflow_routing!Y4</f>
        <v>3190968.1043921881</v>
      </c>
      <c r="AA71" s="91">
        <f>AA67*Outflow_routing!Z4</f>
        <v>3216190.0808464075</v>
      </c>
      <c r="AB71" s="91">
        <f>AB67*Outflow_routing!AA4</f>
        <v>3233459.202347911</v>
      </c>
    </row>
    <row r="72" spans="1:32">
      <c r="B72" s="7" t="s">
        <v>6907</v>
      </c>
      <c r="C72" s="91">
        <f>C67*Outflow_routing!B5</f>
        <v>0</v>
      </c>
      <c r="D72" s="91">
        <f>D67*Outflow_routing!C5</f>
        <v>29341.64407063026</v>
      </c>
      <c r="E72" s="91">
        <f>E67*Outflow_routing!D5</f>
        <v>100389.93986600476</v>
      </c>
      <c r="F72" s="91">
        <f>F67*Outflow_routing!E5</f>
        <v>194045.44451689214</v>
      </c>
      <c r="G72" s="91">
        <f>G67*Outflow_routing!F5</f>
        <v>274630.33477631101</v>
      </c>
      <c r="H72" s="91">
        <f>H67*Outflow_routing!G5</f>
        <v>333973.13560191018</v>
      </c>
      <c r="I72" s="91">
        <f>I67*Outflow_routing!H5</f>
        <v>380635.19733789505</v>
      </c>
      <c r="J72" s="91">
        <f>J67*Outflow_routing!I5</f>
        <v>416411.02389611246</v>
      </c>
      <c r="K72" s="91">
        <f>K67*Outflow_routing!J5</f>
        <v>440908.51651389478</v>
      </c>
      <c r="L72" s="91">
        <f>L67*Outflow_routing!K5</f>
        <v>455299.4390398945</v>
      </c>
      <c r="M72" s="91">
        <f>M67*Outflow_routing!L5</f>
        <v>463954.34577370912</v>
      </c>
      <c r="N72" s="91">
        <f>N67*Outflow_routing!M5</f>
        <v>466921.63974689157</v>
      </c>
      <c r="O72" s="91">
        <f>O67*Outflow_routing!N5</f>
        <v>468317.288995907</v>
      </c>
      <c r="P72" s="91">
        <f>P67*Outflow_routing!O5</f>
        <v>477802.82937896717</v>
      </c>
      <c r="Q72" s="91">
        <f>Q67*Outflow_routing!P5</f>
        <v>504189.15195771784</v>
      </c>
      <c r="R72" s="91">
        <f>R67*Outflow_routing!Q5</f>
        <v>541321.88823616365</v>
      </c>
      <c r="S72" s="91">
        <f>S67*Outflow_routing!R5</f>
        <v>578524.92008340184</v>
      </c>
      <c r="T72" s="91">
        <f>T67*Outflow_routing!S5</f>
        <v>612202.56929329853</v>
      </c>
      <c r="U72" s="91">
        <f>U67*Outflow_routing!T5</f>
        <v>641437.3162094393</v>
      </c>
      <c r="V72" s="91">
        <f>V67*Outflow_routing!U5</f>
        <v>665726.74420572317</v>
      </c>
      <c r="W72" s="91">
        <f>W67*Outflow_routing!V5</f>
        <v>685129.60395825759</v>
      </c>
      <c r="X72" s="91">
        <f>X67*Outflow_routing!W5</f>
        <v>700088.36416890577</v>
      </c>
      <c r="Y72" s="91">
        <f>Y67*Outflow_routing!X5</f>
        <v>711251.16366476857</v>
      </c>
      <c r="Z72" s="91">
        <f>Z67*Outflow_routing!Y5</f>
        <v>719332.50302645413</v>
      </c>
      <c r="AA72" s="91">
        <f>AA67*Outflow_routing!Z5</f>
        <v>725018.23439716734</v>
      </c>
      <c r="AB72" s="91">
        <f>AB67*Outflow_routing!AA5</f>
        <v>728911.17221050558</v>
      </c>
    </row>
    <row r="73" spans="1:32">
      <c r="B73" s="7" t="s">
        <v>6908</v>
      </c>
      <c r="C73" s="91">
        <f>C67*Outflow_routing!B6</f>
        <v>0</v>
      </c>
      <c r="D73" s="91">
        <f>D67*Outflow_routing!C6</f>
        <v>4745.1271014271306</v>
      </c>
      <c r="E73" s="91">
        <f>E67*Outflow_routing!D6</f>
        <v>16235.048834418867</v>
      </c>
      <c r="F73" s="91">
        <f>F67*Outflow_routing!E6</f>
        <v>31381.005626989776</v>
      </c>
      <c r="G73" s="91">
        <f>G67*Outflow_routing!F6</f>
        <v>44413.184253894033</v>
      </c>
      <c r="H73" s="91">
        <f>H67*Outflow_routing!G6</f>
        <v>54010.094767644063</v>
      </c>
      <c r="I73" s="91">
        <f>I67*Outflow_routing!H6</f>
        <v>61556.277702005173</v>
      </c>
      <c r="J73" s="91">
        <f>J67*Outflow_routing!I6</f>
        <v>67341.94001079438</v>
      </c>
      <c r="K73" s="91">
        <f>K67*Outflow_routing!J6</f>
        <v>71303.671529922343</v>
      </c>
      <c r="L73" s="91">
        <f>L67*Outflow_routing!K6</f>
        <v>73630.969766118025</v>
      </c>
      <c r="M73" s="91">
        <f>M67*Outflow_routing!L6</f>
        <v>75030.640227803437</v>
      </c>
      <c r="N73" s="91">
        <f>N67*Outflow_routing!M6</f>
        <v>75510.510647339441</v>
      </c>
      <c r="O73" s="91">
        <f>O67*Outflow_routing!N6</f>
        <v>75736.214873716395</v>
      </c>
      <c r="P73" s="91">
        <f>P67*Outflow_routing!O6</f>
        <v>77270.215307877254</v>
      </c>
      <c r="Q73" s="91">
        <f>Q67*Outflow_routing!P6</f>
        <v>81537.408177984849</v>
      </c>
      <c r="R73" s="91">
        <f>R67*Outflow_routing!Q6</f>
        <v>87542.509761279158</v>
      </c>
      <c r="S73" s="91">
        <f>S67*Outflow_routing!R6</f>
        <v>93558.979535387305</v>
      </c>
      <c r="T73" s="91">
        <f>T67*Outflow_routing!S6</f>
        <v>99005.324859240325</v>
      </c>
      <c r="U73" s="91">
        <f>U67*Outflow_routing!T6</f>
        <v>103733.16456587755</v>
      </c>
      <c r="V73" s="91">
        <f>V67*Outflow_routing!U6</f>
        <v>107661.24789978645</v>
      </c>
      <c r="W73" s="91">
        <f>W67*Outflow_routing!V6</f>
        <v>110799.07601314354</v>
      </c>
      <c r="X73" s="91">
        <f>X67*Outflow_routing!W6</f>
        <v>113218.20489046318</v>
      </c>
      <c r="Y73" s="91">
        <f>Y67*Outflow_routing!X6</f>
        <v>115023.45146383552</v>
      </c>
      <c r="Z73" s="91">
        <f>Z67*Outflow_routing!Y6</f>
        <v>116330.36468003623</v>
      </c>
      <c r="AA73" s="91">
        <f>AA67*Outflow_routing!Z6</f>
        <v>117249.86046403734</v>
      </c>
      <c r="AB73" s="91">
        <f>AB67*Outflow_routing!AA6</f>
        <v>117879.42589253804</v>
      </c>
    </row>
    <row r="75" spans="1:32" ht="21">
      <c r="A75" s="293" t="s">
        <v>7792</v>
      </c>
      <c r="B75" s="52" t="s">
        <v>7805</v>
      </c>
      <c r="C75" s="162"/>
      <c r="D75" s="162"/>
      <c r="E75" s="162"/>
      <c r="F75" s="162"/>
      <c r="G75" s="162"/>
      <c r="H75" s="162"/>
      <c r="I75" s="162"/>
      <c r="J75" s="162"/>
      <c r="K75" s="162"/>
      <c r="L75" s="162"/>
      <c r="M75" s="162"/>
      <c r="N75" s="162"/>
      <c r="O75" s="162"/>
    </row>
    <row r="76" spans="1:32">
      <c r="A76" s="1" t="s">
        <v>7762</v>
      </c>
      <c r="B76" s="163">
        <v>2007</v>
      </c>
      <c r="C76" s="164">
        <f>((VLOOKUP($B$76,Energy_demand!$A$34:$E$66,4,FALSE )))*C7</f>
        <v>363029399.47868991</v>
      </c>
      <c r="D76" s="164">
        <f>((VLOOKUP($B$76,Energy_demand!$A$34:$E$66,4,FALSE )))*D7</f>
        <v>343246537.87213731</v>
      </c>
      <c r="E76" s="164">
        <f>((VLOOKUP($B$76,Energy_demand!$A$34:$E$66,4,FALSE )))*E7</f>
        <v>306316193.63112551</v>
      </c>
      <c r="F76" s="164">
        <f>((VLOOKUP($B$76,Energy_demand!$A$34:$E$66,4,FALSE )))*F7</f>
        <v>262304763.74380517</v>
      </c>
      <c r="G76" s="164">
        <f>((VLOOKUP($B$76,Energy_demand!$A$34:$E$66,4,FALSE )))*G7</f>
        <v>216923895.84825626</v>
      </c>
      <c r="H76" s="164">
        <f>((VLOOKUP($B$76,Energy_demand!$A$34:$E$66,4,FALSE )))*H7</f>
        <v>173920481.66207212</v>
      </c>
      <c r="I76" s="164">
        <f>((VLOOKUP($B$76,Energy_demand!$A$34:$E$66,4,FALSE )))*I7</f>
        <v>135549713.68737304</v>
      </c>
      <c r="J76" s="164">
        <f>((VLOOKUP($B$76,Energy_demand!$A$34:$E$66,4,FALSE )))*J7</f>
        <v>102901670.50434226</v>
      </c>
      <c r="K76" s="164">
        <f>((VLOOKUP($B$76,Energy_demand!$A$34:$E$66,4,FALSE )))*K7</f>
        <v>76209491.22017169</v>
      </c>
      <c r="L76" s="164">
        <f>((VLOOKUP($B$76,Energy_demand!$A$34:$E$66,4,FALSE )))*L7</f>
        <v>55133969.508252256</v>
      </c>
      <c r="M76" s="164">
        <f>((VLOOKUP($B$76,Energy_demand!$A$34:$E$66,4,FALSE )))*M7</f>
        <v>39005230.207724497</v>
      </c>
      <c r="N76" s="164">
        <f>((VLOOKUP($B$76,Energy_demand!$A$34:$E$66,4,FALSE )))*N7</f>
        <v>27009802.903116219</v>
      </c>
      <c r="O76" s="164">
        <f>((VLOOKUP($B$76,Energy_demand!$A$34:$E$66,4,FALSE )))*O7</f>
        <v>18321615.60680135</v>
      </c>
      <c r="P76" s="164">
        <f>((VLOOKUP($B$76,Energy_demand!$A$34:$E$66,4,FALSE )))*P7</f>
        <v>12183071.467999937</v>
      </c>
      <c r="Q76" s="164">
        <f>((VLOOKUP($B$76,Energy_demand!$A$34:$E$66,4,FALSE )))*Q7</f>
        <v>7946455.0608445434</v>
      </c>
      <c r="R76" s="164">
        <f>((VLOOKUP($B$76,Energy_demand!$A$34:$E$66,4,FALSE )))*R7</f>
        <v>5086963.898717788</v>
      </c>
      <c r="S76" s="164">
        <f>((VLOOKUP($B$76,Energy_demand!$A$34:$E$66,4,FALSE )))*S7</f>
        <v>3197672.9448452666</v>
      </c>
      <c r="T76" s="164">
        <f>((VLOOKUP($B$76,Energy_demand!$A$34:$E$66,4,FALSE )))*T7</f>
        <v>1974701.10362048</v>
      </c>
      <c r="U76" s="164">
        <f>((VLOOKUP($B$76,Energy_demand!$A$34:$E$66,4,FALSE )))*U7</f>
        <v>1198520.4893463321</v>
      </c>
      <c r="V76" s="164">
        <f>((VLOOKUP($B$76,Energy_demand!$A$34:$E$66,4,FALSE )))*V7</f>
        <v>715214.82509601093</v>
      </c>
      <c r="W76" s="164">
        <f>((VLOOKUP($B$76,Energy_demand!$A$34:$E$66,4,FALSE )))*W7</f>
        <v>419789.84338469343</v>
      </c>
      <c r="X76" s="164">
        <f>((VLOOKUP($B$76,Energy_demand!$A$34:$E$66,4,FALSE )))*X7</f>
        <v>242425.29851273773</v>
      </c>
      <c r="Y76" s="164">
        <f>((VLOOKUP($B$76,Energy_demand!$A$34:$E$66,4,FALSE )))*Y7</f>
        <v>137787.83067158377</v>
      </c>
      <c r="Z76" s="164">
        <f>((VLOOKUP($B$76,Energy_demand!$A$34:$E$66,4,FALSE )))*Z7</f>
        <v>77100.680438851457</v>
      </c>
      <c r="AA76" s="164">
        <f>((VLOOKUP($B$76,Energy_demand!$A$34:$E$66,4,FALSE )))*AA7</f>
        <v>42485.391476086945</v>
      </c>
      <c r="AB76" s="164">
        <f>((VLOOKUP($B$76,Energy_demand!$A$34:$E$66,4,FALSE )))*AB7</f>
        <v>23060.444260819226</v>
      </c>
    </row>
    <row r="77" spans="1:32">
      <c r="B77" s="163">
        <v>2008</v>
      </c>
      <c r="C77" s="164">
        <f>((VLOOKUP($B$76,Energy_demand!$A$34:$E$66,4,FALSE )))*C8</f>
        <v>0</v>
      </c>
      <c r="D77" s="164">
        <f>((VLOOKUP($B$76,Energy_demand!$A$34:$E$66,4,FALSE )))*D8</f>
        <v>564376170.58915019</v>
      </c>
      <c r="E77" s="164">
        <f>((VLOOKUP($B$76,Energy_demand!$A$34:$E$66,4,FALSE )))*E8</f>
        <v>533621152.69573951</v>
      </c>
      <c r="F77" s="164">
        <f>((VLOOKUP($B$76,Energy_demand!$A$34:$E$66,4,FALSE )))*F8</f>
        <v>476208154.48895156</v>
      </c>
      <c r="G77" s="164">
        <f>((VLOOKUP($B$76,Energy_demand!$A$34:$E$66,4,FALSE )))*G8</f>
        <v>407786692.48717546</v>
      </c>
      <c r="H77" s="164">
        <f>((VLOOKUP($B$76,Energy_demand!$A$34:$E$66,4,FALSE )))*H8</f>
        <v>337236261.92237651</v>
      </c>
      <c r="I77" s="164">
        <f>((VLOOKUP($B$76,Energy_demand!$A$34:$E$66,4,FALSE )))*I8</f>
        <v>270381890.74607617</v>
      </c>
      <c r="J77" s="164">
        <f>((VLOOKUP($B$76,Energy_demand!$A$34:$E$66,4,FALSE )))*J8</f>
        <v>210729567.48183686</v>
      </c>
      <c r="K77" s="164">
        <f>((VLOOKUP($B$76,Energy_demand!$A$34:$E$66,4,FALSE )))*K8</f>
        <v>159973960.31798866</v>
      </c>
      <c r="L77" s="164">
        <f>((VLOOKUP($B$76,Energy_demand!$A$34:$E$66,4,FALSE )))*L8</f>
        <v>118477514.16042744</v>
      </c>
      <c r="M77" s="164">
        <f>((VLOOKUP($B$76,Energy_demand!$A$34:$E$66,4,FALSE )))*M8</f>
        <v>85712888.887592494</v>
      </c>
      <c r="N77" s="164">
        <f>((VLOOKUP($B$76,Energy_demand!$A$34:$E$66,4,FALSE )))*N8</f>
        <v>60638676.892822854</v>
      </c>
      <c r="O77" s="164">
        <f>((VLOOKUP($B$76,Energy_demand!$A$34:$E$66,4,FALSE )))*O8</f>
        <v>41990233.167667337</v>
      </c>
      <c r="P77" s="164">
        <f>((VLOOKUP($B$76,Energy_demand!$A$34:$E$66,4,FALSE )))*P8</f>
        <v>28483321.929357782</v>
      </c>
      <c r="Q77" s="164">
        <f>((VLOOKUP($B$76,Energy_demand!$A$34:$E$66,4,FALSE )))*Q8</f>
        <v>18940160.854733627</v>
      </c>
      <c r="R77" s="164">
        <f>((VLOOKUP($B$76,Energy_demand!$A$34:$E$66,4,FALSE )))*R8</f>
        <v>12353792.512227306</v>
      </c>
      <c r="S77" s="164">
        <f>((VLOOKUP($B$76,Energy_demand!$A$34:$E$66,4,FALSE )))*S8</f>
        <v>7908343.5369319897</v>
      </c>
      <c r="T77" s="164">
        <f>((VLOOKUP($B$76,Energy_demand!$A$34:$E$66,4,FALSE )))*T8</f>
        <v>4971196.3108217604</v>
      </c>
      <c r="U77" s="164">
        <f>((VLOOKUP($B$76,Energy_demand!$A$34:$E$66,4,FALSE )))*U8</f>
        <v>3069928.3543423191</v>
      </c>
      <c r="V77" s="164">
        <f>((VLOOKUP($B$76,Energy_demand!$A$34:$E$66,4,FALSE )))*V8</f>
        <v>1863255.1664445112</v>
      </c>
      <c r="W77" s="164">
        <f>((VLOOKUP($B$76,Energy_demand!$A$34:$E$66,4,FALSE )))*W8</f>
        <v>1111893.9808068355</v>
      </c>
      <c r="X77" s="164">
        <f>((VLOOKUP($B$76,Energy_demand!$A$34:$E$66,4,FALSE )))*X8</f>
        <v>652617.62436289876</v>
      </c>
      <c r="Y77" s="164">
        <f>((VLOOKUP($B$76,Energy_demand!$A$34:$E$66,4,FALSE )))*Y8</f>
        <v>376881.49176078482</v>
      </c>
      <c r="Z77" s="164">
        <f>((VLOOKUP($B$76,Energy_demand!$A$34:$E$66,4,FALSE )))*Z8</f>
        <v>214209.00990356156</v>
      </c>
      <c r="AA77" s="164">
        <f>((VLOOKUP($B$76,Energy_demand!$A$34:$E$66,4,FALSE )))*AA8</f>
        <v>119862.98310379976</v>
      </c>
      <c r="AB77" s="164">
        <f>((VLOOKUP($B$76,Energy_demand!$A$34:$E$66,4,FALSE )))*AB8</f>
        <v>66049.03785116825</v>
      </c>
    </row>
    <row r="78" spans="1:32">
      <c r="B78" s="163">
        <v>2009</v>
      </c>
      <c r="C78" s="164">
        <f>((VLOOKUP($B$76,Energy_demand!$A$34:$E$66,4,FALSE )))*C9</f>
        <v>0</v>
      </c>
      <c r="D78" s="164">
        <f>((VLOOKUP($B$76,Energy_demand!$A$34:$E$66,4,FALSE )))*D9</f>
        <v>0</v>
      </c>
      <c r="E78" s="164">
        <f>((VLOOKUP($B$76,Energy_demand!$A$34:$E$66,4,FALSE )))*E9</f>
        <v>539616211.89365923</v>
      </c>
      <c r="F78" s="164">
        <f>((VLOOKUP($B$76,Energy_demand!$A$34:$E$66,4,FALSE )))*F9</f>
        <v>510210458.92744237</v>
      </c>
      <c r="G78" s="164">
        <f>((VLOOKUP($B$76,Energy_demand!$A$34:$E$66,4,FALSE )))*G9</f>
        <v>455316247.90243864</v>
      </c>
      <c r="H78" s="164">
        <f>((VLOOKUP($B$76,Energy_demand!$A$34:$E$66,4,FALSE )))*H9</f>
        <v>389896529.52722383</v>
      </c>
      <c r="I78" s="164">
        <f>((VLOOKUP($B$76,Energy_demand!$A$34:$E$66,4,FALSE )))*I9</f>
        <v>322441243.36745894</v>
      </c>
      <c r="J78" s="164">
        <f>((VLOOKUP($B$76,Energy_demand!$A$34:$E$66,4,FALSE )))*J9</f>
        <v>258519865.38824955</v>
      </c>
      <c r="K78" s="164">
        <f>((VLOOKUP($B$76,Energy_demand!$A$34:$E$66,4,FALSE )))*K9</f>
        <v>201484571.57543236</v>
      </c>
      <c r="L78" s="164">
        <f>((VLOOKUP($B$76,Energy_demand!$A$34:$E$66,4,FALSE )))*L9</f>
        <v>152955682.69352287</v>
      </c>
      <c r="M78" s="164">
        <f>((VLOOKUP($B$76,Energy_demand!$A$34:$E$66,4,FALSE )))*M9</f>
        <v>113279742.69198582</v>
      </c>
      <c r="N78" s="164">
        <f>((VLOOKUP($B$76,Energy_demand!$A$34:$E$66,4,FALSE )))*N9</f>
        <v>81952546.585555553</v>
      </c>
      <c r="O78" s="164">
        <f>((VLOOKUP($B$76,Energy_demand!$A$34:$E$66,4,FALSE )))*O9</f>
        <v>57978374.751348324</v>
      </c>
      <c r="P78" s="164">
        <f>((VLOOKUP($B$76,Energy_demand!$A$34:$E$66,4,FALSE )))*P9</f>
        <v>40148063.896487504</v>
      </c>
      <c r="Q78" s="164">
        <f>((VLOOKUP($B$76,Energy_demand!$A$34:$E$66,4,FALSE )))*Q9</f>
        <v>27233719.427988764</v>
      </c>
      <c r="R78" s="164">
        <f>((VLOOKUP($B$76,Energy_demand!$A$34:$E$66,4,FALSE )))*R9</f>
        <v>18109229.952814762</v>
      </c>
      <c r="S78" s="164">
        <f>((VLOOKUP($B$76,Energy_demand!$A$34:$E$66,4,FALSE )))*S9</f>
        <v>11811814.64662021</v>
      </c>
      <c r="T78" s="164">
        <f>((VLOOKUP($B$76,Energy_demand!$A$34:$E$66,4,FALSE )))*T9</f>
        <v>7561393.630950341</v>
      </c>
      <c r="U78" s="164">
        <f>((VLOOKUP($B$76,Energy_demand!$A$34:$E$66,4,FALSE )))*U9</f>
        <v>4753103.0926147718</v>
      </c>
      <c r="V78" s="164">
        <f>((VLOOKUP($B$76,Energy_demand!$A$34:$E$66,4,FALSE )))*V9</f>
        <v>2935246.3758805348</v>
      </c>
      <c r="W78" s="164">
        <f>((VLOOKUP($B$76,Energy_demand!$A$34:$E$66,4,FALSE )))*W9</f>
        <v>1781511.6000707448</v>
      </c>
      <c r="X78" s="164">
        <f>((VLOOKUP($B$76,Energy_demand!$A$34:$E$66,4,FALSE )))*X9</f>
        <v>1063113.6628678211</v>
      </c>
      <c r="Y78" s="164">
        <f>((VLOOKUP($B$76,Energy_demand!$A$34:$E$66,4,FALSE )))*Y9</f>
        <v>623986.3917467047</v>
      </c>
      <c r="Z78" s="164">
        <f>((VLOOKUP($B$76,Energy_demand!$A$34:$E$66,4,FALSE )))*Z9</f>
        <v>360347.1824554312</v>
      </c>
      <c r="AA78" s="164">
        <f>((VLOOKUP($B$76,Energy_demand!$A$34:$E$66,4,FALSE )))*AA9</f>
        <v>204811.3660734233</v>
      </c>
      <c r="AB78" s="164">
        <f>((VLOOKUP($B$76,Energy_demand!$A$34:$E$66,4,FALSE )))*AB9</f>
        <v>114604.4292076097</v>
      </c>
    </row>
    <row r="79" spans="1:32">
      <c r="B79" s="163">
        <v>2010</v>
      </c>
      <c r="C79" s="164">
        <f>((VLOOKUP($B$76,Energy_demand!$A$34:$E$66,4,FALSE )))*C10</f>
        <v>0</v>
      </c>
      <c r="D79" s="164">
        <f>((VLOOKUP($B$76,Energy_demand!$A$34:$E$66,4,FALSE )))*D10</f>
        <v>0</v>
      </c>
      <c r="E79" s="164">
        <f>((VLOOKUP($B$76,Energy_demand!$A$34:$E$66,4,FALSE )))*E10</f>
        <v>0</v>
      </c>
      <c r="F79" s="164">
        <f>((VLOOKUP($B$76,Energy_demand!$A$34:$E$66,4,FALSE )))*F10</f>
        <v>302161459.88689077</v>
      </c>
      <c r="G79" s="164">
        <f>((VLOOKUP($B$76,Energy_demand!$A$34:$E$66,4,FALSE )))*G10</f>
        <v>285695525.30319011</v>
      </c>
      <c r="H79" s="164">
        <f>((VLOOKUP($B$76,Energy_demand!$A$34:$E$66,4,FALSE )))*H10</f>
        <v>254957169.82560682</v>
      </c>
      <c r="I79" s="164">
        <f>((VLOOKUP($B$76,Energy_demand!$A$34:$E$66,4,FALSE )))*I10</f>
        <v>218324990.92891419</v>
      </c>
      <c r="J79" s="164">
        <f>((VLOOKUP($B$76,Energy_demand!$A$34:$E$66,4,FALSE )))*J10</f>
        <v>180552983.16881514</v>
      </c>
      <c r="K79" s="164">
        <f>((VLOOKUP($B$76,Energy_demand!$A$34:$E$66,4,FALSE )))*K10</f>
        <v>144759809.31215951</v>
      </c>
      <c r="L79" s="164">
        <f>((VLOOKUP($B$76,Energy_demand!$A$34:$E$66,4,FALSE )))*L10</f>
        <v>112822541.18768956</v>
      </c>
      <c r="M79" s="164">
        <f>((VLOOKUP($B$76,Energy_demand!$A$34:$E$66,4,FALSE )))*M10</f>
        <v>85648487.502778813</v>
      </c>
      <c r="N79" s="164">
        <f>((VLOOKUP($B$76,Energy_demand!$A$34:$E$66,4,FALSE )))*N10</f>
        <v>63431697.701045282</v>
      </c>
      <c r="O79" s="164">
        <f>((VLOOKUP($B$76,Energy_demand!$A$34:$E$66,4,FALSE )))*O10</f>
        <v>45889839.059579358</v>
      </c>
      <c r="P79" s="164">
        <f>((VLOOKUP($B$76,Energy_demand!$A$34:$E$66,4,FALSE )))*P10</f>
        <v>32465352.171793256</v>
      </c>
      <c r="Q79" s="164">
        <f>((VLOOKUP($B$76,Energy_demand!$A$34:$E$66,4,FALSE )))*Q10</f>
        <v>22481158.518242411</v>
      </c>
      <c r="R79" s="164">
        <f>((VLOOKUP($B$76,Energy_demand!$A$34:$E$66,4,FALSE )))*R10</f>
        <v>15249690.87128303</v>
      </c>
      <c r="S79" s="164">
        <f>((VLOOKUP($B$76,Energy_demand!$A$34:$E$66,4,FALSE )))*S10</f>
        <v>10140376.140234005</v>
      </c>
      <c r="T79" s="164">
        <f>((VLOOKUP($B$76,Energy_demand!$A$34:$E$66,4,FALSE )))*T10</f>
        <v>6614099.2039717864</v>
      </c>
      <c r="U79" s="164">
        <f>((VLOOKUP($B$76,Energy_demand!$A$34:$E$66,4,FALSE )))*U10</f>
        <v>4234049.4743283307</v>
      </c>
      <c r="V79" s="164">
        <f>((VLOOKUP($B$76,Energy_demand!$A$34:$E$66,4,FALSE )))*V10</f>
        <v>2661529.690550521</v>
      </c>
      <c r="W79" s="164">
        <f>((VLOOKUP($B$76,Energy_demand!$A$34:$E$66,4,FALSE )))*W10</f>
        <v>1643609.4959996319</v>
      </c>
      <c r="X79" s="164">
        <f>((VLOOKUP($B$76,Energy_demand!$A$34:$E$66,4,FALSE )))*X10</f>
        <v>997568.5200297304</v>
      </c>
      <c r="Y79" s="164">
        <f>((VLOOKUP($B$76,Energy_demand!$A$34:$E$66,4,FALSE )))*Y10</f>
        <v>595297.11917021684</v>
      </c>
      <c r="Z79" s="164">
        <f>((VLOOKUP($B$76,Energy_demand!$A$34:$E$66,4,FALSE )))*Z10</f>
        <v>349405.06775747804</v>
      </c>
      <c r="AA79" s="164">
        <f>((VLOOKUP($B$76,Energy_demand!$A$34:$E$66,4,FALSE )))*AA10</f>
        <v>201778.64993114438</v>
      </c>
      <c r="AB79" s="164">
        <f>((VLOOKUP($B$76,Energy_demand!$A$34:$E$66,4,FALSE )))*AB10</f>
        <v>114685.40049417516</v>
      </c>
    </row>
    <row r="80" spans="1:32">
      <c r="B80" s="163">
        <v>2011</v>
      </c>
      <c r="C80" s="164">
        <f>((VLOOKUP($B$76,Energy_demand!$A$34:$E$66,4,FALSE )))*C11</f>
        <v>0</v>
      </c>
      <c r="D80" s="164">
        <f>((VLOOKUP($B$76,Energy_demand!$A$34:$E$66,4,FALSE )))*D11</f>
        <v>0</v>
      </c>
      <c r="E80" s="164">
        <f>((VLOOKUP($B$76,Energy_demand!$A$34:$E$66,4,FALSE )))*E11</f>
        <v>0</v>
      </c>
      <c r="F80" s="164">
        <f>((VLOOKUP($B$76,Energy_demand!$A$34:$E$66,4,FALSE )))*F11</f>
        <v>0</v>
      </c>
      <c r="G80" s="164">
        <f>((VLOOKUP($B$76,Energy_demand!$A$34:$E$66,4,FALSE )))*G11</f>
        <v>283718412.20782775</v>
      </c>
      <c r="H80" s="164">
        <f>((VLOOKUP($B$76,Energy_demand!$A$34:$E$66,4,FALSE )))*H11</f>
        <v>268257509.8897284</v>
      </c>
      <c r="I80" s="164">
        <f>((VLOOKUP($B$76,Energy_demand!$A$34:$E$66,4,FALSE )))*I11</f>
        <v>239395333.31286025</v>
      </c>
      <c r="J80" s="164">
        <f>((VLOOKUP($B$76,Energy_demand!$A$34:$E$66,4,FALSE )))*J11</f>
        <v>204999074.98073122</v>
      </c>
      <c r="K80" s="164">
        <f>((VLOOKUP($B$76,Energy_demand!$A$34:$E$66,4,FALSE )))*K11</f>
        <v>169532559.58989134</v>
      </c>
      <c r="L80" s="164">
        <f>((VLOOKUP($B$76,Energy_demand!$A$34:$E$66,4,FALSE )))*L11</f>
        <v>135924095.8953802</v>
      </c>
      <c r="M80" s="164">
        <f>((VLOOKUP($B$76,Energy_demand!$A$34:$E$66,4,FALSE )))*M11</f>
        <v>105936184.77686033</v>
      </c>
      <c r="N80" s="164">
        <f>((VLOOKUP($B$76,Energy_demand!$A$34:$E$66,4,FALSE )))*N11</f>
        <v>80420755.484126642</v>
      </c>
      <c r="O80" s="164">
        <f>((VLOOKUP($B$76,Energy_demand!$A$34:$E$66,4,FALSE )))*O11</f>
        <v>59560013.252928652</v>
      </c>
      <c r="P80" s="164">
        <f>((VLOOKUP($B$76,Energy_demand!$A$34:$E$66,4,FALSE )))*P11</f>
        <v>43088858.12019296</v>
      </c>
      <c r="Q80" s="164">
        <f>((VLOOKUP($B$76,Energy_demand!$A$34:$E$66,4,FALSE )))*Q11</f>
        <v>30483762.467248894</v>
      </c>
      <c r="R80" s="164">
        <f>((VLOOKUP($B$76,Energy_demand!$A$34:$E$66,4,FALSE )))*R11</f>
        <v>21108974.658038251</v>
      </c>
      <c r="S80" s="164">
        <f>((VLOOKUP($B$76,Energy_demand!$A$34:$E$66,4,FALSE )))*S11</f>
        <v>14318894.548233338</v>
      </c>
      <c r="T80" s="164">
        <f>((VLOOKUP($B$76,Energy_demand!$A$34:$E$66,4,FALSE )))*T11</f>
        <v>9521437.3758132327</v>
      </c>
      <c r="U80" s="164">
        <f>((VLOOKUP($B$76,Energy_demand!$A$34:$E$66,4,FALSE )))*U11</f>
        <v>6210394.0225811247</v>
      </c>
      <c r="V80" s="164">
        <f>((VLOOKUP($B$76,Energy_demand!$A$34:$E$66,4,FALSE )))*V11</f>
        <v>3975615.5352026052</v>
      </c>
      <c r="W80" s="164">
        <f>((VLOOKUP($B$76,Energy_demand!$A$34:$E$66,4,FALSE )))*W11</f>
        <v>2499077.7385363891</v>
      </c>
      <c r="X80" s="164">
        <f>((VLOOKUP($B$76,Energy_demand!$A$34:$E$66,4,FALSE )))*X11</f>
        <v>1543288.4017348995</v>
      </c>
      <c r="Y80" s="164">
        <f>((VLOOKUP($B$76,Energy_demand!$A$34:$E$66,4,FALSE )))*Y11</f>
        <v>936679.86869435583</v>
      </c>
      <c r="Z80" s="164">
        <f>((VLOOKUP($B$76,Energy_demand!$A$34:$E$66,4,FALSE )))*Z11</f>
        <v>558961.9321606789</v>
      </c>
      <c r="AA80" s="164">
        <f>((VLOOKUP($B$76,Energy_demand!$A$34:$E$66,4,FALSE )))*AA11</f>
        <v>328078.40906854509</v>
      </c>
      <c r="AB80" s="164">
        <f>((VLOOKUP($B$76,Energy_demand!$A$34:$E$66,4,FALSE )))*AB11</f>
        <v>189462.67401982163</v>
      </c>
    </row>
    <row r="81" spans="1:28">
      <c r="B81" s="163">
        <v>2012</v>
      </c>
      <c r="C81" s="164">
        <f>((VLOOKUP($B$76,Energy_demand!$A$34:$E$66,4,FALSE )))*C12</f>
        <v>0</v>
      </c>
      <c r="D81" s="164">
        <f>((VLOOKUP($B$76,Energy_demand!$A$34:$E$66,4,FALSE )))*D12</f>
        <v>0</v>
      </c>
      <c r="E81" s="164">
        <f>((VLOOKUP($B$76,Energy_demand!$A$34:$E$66,4,FALSE )))*E12</f>
        <v>0</v>
      </c>
      <c r="F81" s="164">
        <f>((VLOOKUP($B$76,Energy_demand!$A$34:$E$66,4,FALSE )))*F12</f>
        <v>0</v>
      </c>
      <c r="G81" s="164">
        <f>((VLOOKUP($B$76,Energy_demand!$A$34:$E$66,4,FALSE )))*G12</f>
        <v>0</v>
      </c>
      <c r="H81" s="164">
        <f>((VLOOKUP($B$76,Energy_demand!$A$34:$E$66,4,FALSE )))*H12</f>
        <v>338730491.4962588</v>
      </c>
      <c r="I81" s="164">
        <f>((VLOOKUP($B$76,Energy_demand!$A$34:$E$66,4,FALSE )))*I12</f>
        <v>320271770.39870381</v>
      </c>
      <c r="J81" s="164">
        <f>((VLOOKUP($B$76,Energy_demand!$A$34:$E$66,4,FALSE )))*J12</f>
        <v>285813311.45888382</v>
      </c>
      <c r="K81" s="164">
        <f>((VLOOKUP($B$76,Energy_demand!$A$34:$E$66,4,FALSE )))*K12</f>
        <v>244747730.27291626</v>
      </c>
      <c r="L81" s="164">
        <f>((VLOOKUP($B$76,Energy_demand!$A$34:$E$66,4,FALSE )))*L12</f>
        <v>202404372.65818843</v>
      </c>
      <c r="M81" s="164">
        <f>((VLOOKUP($B$76,Energy_demand!$A$34:$E$66,4,FALSE )))*M12</f>
        <v>162279336.93320048</v>
      </c>
      <c r="N81" s="164">
        <f>((VLOOKUP($B$76,Energy_demand!$A$34:$E$66,4,FALSE )))*N12</f>
        <v>126476867.17779523</v>
      </c>
      <c r="O81" s="164">
        <f>((VLOOKUP($B$76,Energy_demand!$A$34:$E$66,4,FALSE )))*O12</f>
        <v>96014078.958274573</v>
      </c>
      <c r="P81" s="164">
        <f>((VLOOKUP($B$76,Energy_demand!$A$34:$E$66,4,FALSE )))*P12</f>
        <v>71108506.514233172</v>
      </c>
      <c r="Q81" s="164">
        <f>((VLOOKUP($B$76,Energy_demand!$A$34:$E$66,4,FALSE )))*Q12</f>
        <v>51443647.860168144</v>
      </c>
      <c r="R81" s="164">
        <f>((VLOOKUP($B$76,Energy_demand!$A$34:$E$66,4,FALSE )))*R12</f>
        <v>36394465.071313895</v>
      </c>
      <c r="S81" s="164">
        <f>((VLOOKUP($B$76,Energy_demand!$A$34:$E$66,4,FALSE )))*S12</f>
        <v>25201936.332780924</v>
      </c>
      <c r="T81" s="164">
        <f>((VLOOKUP($B$76,Energy_demand!$A$34:$E$66,4,FALSE )))*T12</f>
        <v>17095281.727621209</v>
      </c>
      <c r="U81" s="164">
        <f>((VLOOKUP($B$76,Energy_demand!$A$34:$E$66,4,FALSE )))*U12</f>
        <v>11367613.18013284</v>
      </c>
      <c r="V81" s="164">
        <f>((VLOOKUP($B$76,Energy_demand!$A$34:$E$66,4,FALSE )))*V12</f>
        <v>7414569.2670568693</v>
      </c>
      <c r="W81" s="164">
        <f>((VLOOKUP($B$76,Energy_demand!$A$34:$E$66,4,FALSE )))*W12</f>
        <v>4746474.4841899481</v>
      </c>
      <c r="X81" s="164">
        <f>((VLOOKUP($B$76,Energy_demand!$A$34:$E$66,4,FALSE )))*X12</f>
        <v>2983640.8010126138</v>
      </c>
      <c r="Y81" s="164">
        <f>((VLOOKUP($B$76,Energy_demand!$A$34:$E$66,4,FALSE )))*Y12</f>
        <v>1842527.0139225577</v>
      </c>
      <c r="Z81" s="164">
        <f>((VLOOKUP($B$76,Energy_demand!$A$34:$E$66,4,FALSE )))*Z12</f>
        <v>1118299.0551387859</v>
      </c>
      <c r="AA81" s="164">
        <f>((VLOOKUP($B$76,Energy_demand!$A$34:$E$66,4,FALSE )))*AA12</f>
        <v>667342.83663547668</v>
      </c>
      <c r="AB81" s="164">
        <f>((VLOOKUP($B$76,Energy_demand!$A$34:$E$66,4,FALSE )))*AB12</f>
        <v>391691.74777312134</v>
      </c>
    </row>
    <row r="82" spans="1:28">
      <c r="B82" s="163">
        <v>2013</v>
      </c>
      <c r="C82" s="164">
        <f>((VLOOKUP($B$76,Energy_demand!$A$34:$E$66,4,FALSE )))*C13</f>
        <v>0</v>
      </c>
      <c r="D82" s="164">
        <f>((VLOOKUP($B$76,Energy_demand!$A$34:$E$66,4,FALSE )))*D13</f>
        <v>0</v>
      </c>
      <c r="E82" s="164">
        <f>((VLOOKUP($B$76,Energy_demand!$A$34:$E$66,4,FALSE )))*E13</f>
        <v>0</v>
      </c>
      <c r="F82" s="164">
        <f>((VLOOKUP($B$76,Energy_demand!$A$34:$E$66,4,FALSE )))*F13</f>
        <v>0</v>
      </c>
      <c r="G82" s="164">
        <f>((VLOOKUP($B$76,Energy_demand!$A$34:$E$66,4,FALSE )))*G13</f>
        <v>0</v>
      </c>
      <c r="H82" s="164">
        <f>((VLOOKUP($B$76,Energy_demand!$A$34:$E$66,4,FALSE )))*H13</f>
        <v>0</v>
      </c>
      <c r="I82" s="164">
        <f>((VLOOKUP($B$76,Energy_demand!$A$34:$E$66,4,FALSE )))*I13</f>
        <v>328587056.57279235</v>
      </c>
      <c r="J82" s="164">
        <f>((VLOOKUP($B$76,Energy_demand!$A$34:$E$66,4,FALSE )))*J13</f>
        <v>310681090.0719564</v>
      </c>
      <c r="K82" s="164">
        <f>((VLOOKUP($B$76,Energy_demand!$A$34:$E$66,4,FALSE )))*K13</f>
        <v>277254504.98050195</v>
      </c>
      <c r="L82" s="164">
        <f>((VLOOKUP($B$76,Energy_demand!$A$34:$E$66,4,FALSE )))*L13</f>
        <v>237418650.85132873</v>
      </c>
      <c r="M82" s="164">
        <f>((VLOOKUP($B$76,Energy_demand!$A$34:$E$66,4,FALSE )))*M13</f>
        <v>196343283.87573358</v>
      </c>
      <c r="N82" s="164">
        <f>((VLOOKUP($B$76,Energy_demand!$A$34:$E$66,4,FALSE )))*N13</f>
        <v>157419810.15622184</v>
      </c>
      <c r="O82" s="164">
        <f>((VLOOKUP($B$76,Energy_demand!$A$34:$E$66,4,FALSE )))*O13</f>
        <v>122689461.24963404</v>
      </c>
      <c r="P82" s="164">
        <f>((VLOOKUP($B$76,Energy_demand!$A$34:$E$66,4,FALSE )))*P13</f>
        <v>93138894.745162219</v>
      </c>
      <c r="Q82" s="164">
        <f>((VLOOKUP($B$76,Energy_demand!$A$34:$E$66,4,FALSE )))*Q13</f>
        <v>68979130.723037288</v>
      </c>
      <c r="R82" s="164">
        <f>((VLOOKUP($B$76,Energy_demand!$A$34:$E$66,4,FALSE )))*R13</f>
        <v>49903144.990201078</v>
      </c>
      <c r="S82" s="164">
        <f>((VLOOKUP($B$76,Energy_demand!$A$34:$E$66,4,FALSE )))*S13</f>
        <v>35304616.659986794</v>
      </c>
      <c r="T82" s="164">
        <f>((VLOOKUP($B$76,Energy_demand!$A$34:$E$66,4,FALSE )))*T13</f>
        <v>24447253.162666216</v>
      </c>
      <c r="U82" s="164">
        <f>((VLOOKUP($B$76,Energy_demand!$A$34:$E$66,4,FALSE )))*U13</f>
        <v>16583355.928037953</v>
      </c>
      <c r="V82" s="164">
        <f>((VLOOKUP($B$76,Energy_demand!$A$34:$E$66,4,FALSE )))*V13</f>
        <v>11027204.957600294</v>
      </c>
      <c r="W82" s="164">
        <f>((VLOOKUP($B$76,Energy_demand!$A$34:$E$66,4,FALSE )))*W13</f>
        <v>7192536.6991775855</v>
      </c>
      <c r="X82" s="164">
        <f>((VLOOKUP($B$76,Energy_demand!$A$34:$E$66,4,FALSE )))*X13</f>
        <v>4604339.1988969017</v>
      </c>
      <c r="Y82" s="164">
        <f>((VLOOKUP($B$76,Energy_demand!$A$34:$E$66,4,FALSE )))*Y13</f>
        <v>2894294.3528485131</v>
      </c>
      <c r="Z82" s="164">
        <f>((VLOOKUP($B$76,Energy_demand!$A$34:$E$66,4,FALSE )))*Z13</f>
        <v>1787351.7246301884</v>
      </c>
      <c r="AA82" s="164">
        <f>((VLOOKUP($B$76,Energy_demand!$A$34:$E$66,4,FALSE )))*AA13</f>
        <v>1084811.093542333</v>
      </c>
      <c r="AB82" s="164">
        <f>((VLOOKUP($B$76,Energy_demand!$A$34:$E$66,4,FALSE )))*AB13</f>
        <v>647358.9591724457</v>
      </c>
    </row>
    <row r="83" spans="1:28">
      <c r="B83" s="163">
        <v>2014</v>
      </c>
      <c r="C83" s="164">
        <f>((VLOOKUP($B$76,Energy_demand!$A$34:$E$66,4,FALSE )))*C14</f>
        <v>0</v>
      </c>
      <c r="D83" s="164">
        <f>((VLOOKUP($B$76,Energy_demand!$A$34:$E$66,4,FALSE )))*D14</f>
        <v>0</v>
      </c>
      <c r="E83" s="164">
        <f>((VLOOKUP($B$76,Energy_demand!$A$34:$E$66,4,FALSE )))*E14</f>
        <v>0</v>
      </c>
      <c r="F83" s="164">
        <f>((VLOOKUP($B$76,Energy_demand!$A$34:$E$66,4,FALSE )))*F14</f>
        <v>0</v>
      </c>
      <c r="G83" s="164">
        <f>((VLOOKUP($B$76,Energy_demand!$A$34:$E$66,4,FALSE )))*G14</f>
        <v>0</v>
      </c>
      <c r="H83" s="164">
        <f>((VLOOKUP($B$76,Energy_demand!$A$34:$E$66,4,FALSE )))*H14</f>
        <v>0</v>
      </c>
      <c r="I83" s="164">
        <f>((VLOOKUP($B$76,Energy_demand!$A$34:$E$66,4,FALSE )))*I14</f>
        <v>0</v>
      </c>
      <c r="J83" s="164">
        <f>((VLOOKUP($B$76,Energy_demand!$A$34:$E$66,4,FALSE )))*J14</f>
        <v>312627715.25699621</v>
      </c>
      <c r="K83" s="164">
        <f>((VLOOKUP($B$76,Energy_demand!$A$34:$E$66,4,FALSE )))*K14</f>
        <v>295591434.35472476</v>
      </c>
      <c r="L83" s="164">
        <f>((VLOOKUP($B$76,Energy_demand!$A$34:$E$66,4,FALSE )))*L14</f>
        <v>263788365.07080138</v>
      </c>
      <c r="M83" s="164">
        <f>((VLOOKUP($B$76,Energy_demand!$A$34:$E$66,4,FALSE )))*M14</f>
        <v>225887322.37116143</v>
      </c>
      <c r="N83" s="164">
        <f>((VLOOKUP($B$76,Energy_demand!$A$34:$E$66,4,FALSE )))*N14</f>
        <v>186806969.46603036</v>
      </c>
      <c r="O83" s="164">
        <f>((VLOOKUP($B$76,Energy_demand!$A$34:$E$66,4,FALSE )))*O14</f>
        <v>149773993.22613707</v>
      </c>
      <c r="P83" s="164">
        <f>((VLOOKUP($B$76,Energy_demand!$A$34:$E$66,4,FALSE )))*P14</f>
        <v>116730483.41174625</v>
      </c>
      <c r="Q83" s="164">
        <f>((VLOOKUP($B$76,Energy_demand!$A$34:$E$66,4,FALSE )))*Q14</f>
        <v>88615176.049368843</v>
      </c>
      <c r="R83" s="164">
        <f>((VLOOKUP($B$76,Energy_demand!$A$34:$E$66,4,FALSE )))*R14</f>
        <v>65628842.058724068</v>
      </c>
      <c r="S83" s="164">
        <f>((VLOOKUP($B$76,Energy_demand!$A$34:$E$66,4,FALSE )))*S14</f>
        <v>47479369.288452312</v>
      </c>
      <c r="T83" s="164">
        <f>((VLOOKUP($B$76,Energy_demand!$A$34:$E$66,4,FALSE )))*T14</f>
        <v>33589885.613740452</v>
      </c>
      <c r="U83" s="164">
        <f>((VLOOKUP($B$76,Energy_demand!$A$34:$E$66,4,FALSE )))*U14</f>
        <v>23259859.899139311</v>
      </c>
      <c r="V83" s="164">
        <f>((VLOOKUP($B$76,Energy_demand!$A$34:$E$66,4,FALSE )))*V14</f>
        <v>15777908.993586781</v>
      </c>
      <c r="W83" s="164">
        <f>((VLOOKUP($B$76,Energy_demand!$A$34:$E$66,4,FALSE )))*W14</f>
        <v>10491618.043395123</v>
      </c>
      <c r="X83" s="164">
        <f>((VLOOKUP($B$76,Energy_demand!$A$34:$E$66,4,FALSE )))*X14</f>
        <v>6843198.0815648884</v>
      </c>
      <c r="Y83" s="164">
        <f>((VLOOKUP($B$76,Energy_demand!$A$34:$E$66,4,FALSE )))*Y14</f>
        <v>4380708.2939692251</v>
      </c>
      <c r="Z83" s="164">
        <f>((VLOOKUP($B$76,Energy_demand!$A$34:$E$66,4,FALSE )))*Z14</f>
        <v>2753719.6390199484</v>
      </c>
      <c r="AA83" s="164">
        <f>((VLOOKUP($B$76,Energy_demand!$A$34:$E$66,4,FALSE )))*AA14</f>
        <v>1700540.7694992435</v>
      </c>
      <c r="AB83" s="164">
        <f>((VLOOKUP($B$76,Energy_demand!$A$34:$E$66,4,FALSE )))*AB14</f>
        <v>1032122.2545917674</v>
      </c>
    </row>
    <row r="84" spans="1:28">
      <c r="B84" s="163">
        <v>2015</v>
      </c>
      <c r="C84" s="164">
        <f>((VLOOKUP($B$76,Energy_demand!$A$34:$E$66,4,FALSE )))*C15</f>
        <v>0</v>
      </c>
      <c r="D84" s="164">
        <f>((VLOOKUP($B$76,Energy_demand!$A$34:$E$66,4,FALSE )))*D15</f>
        <v>0</v>
      </c>
      <c r="E84" s="164">
        <f>((VLOOKUP($B$76,Energy_demand!$A$34:$E$66,4,FALSE )))*E15</f>
        <v>0</v>
      </c>
      <c r="F84" s="164">
        <f>((VLOOKUP($B$76,Energy_demand!$A$34:$E$66,4,FALSE )))*F15</f>
        <v>0</v>
      </c>
      <c r="G84" s="164">
        <f>((VLOOKUP($B$76,Energy_demand!$A$34:$E$66,4,FALSE )))*G15</f>
        <v>0</v>
      </c>
      <c r="H84" s="164">
        <f>((VLOOKUP($B$76,Energy_demand!$A$34:$E$66,4,FALSE )))*H15</f>
        <v>0</v>
      </c>
      <c r="I84" s="164">
        <f>((VLOOKUP($B$76,Energy_demand!$A$34:$E$66,4,FALSE )))*I15</f>
        <v>0</v>
      </c>
      <c r="J84" s="164">
        <f>((VLOOKUP($B$76,Energy_demand!$A$34:$E$66,4,FALSE )))*J15</f>
        <v>0</v>
      </c>
      <c r="K84" s="164">
        <f>((VLOOKUP($B$76,Energy_demand!$A$34:$E$66,4,FALSE )))*K15</f>
        <v>299943283.00690287</v>
      </c>
      <c r="L84" s="164">
        <f>((VLOOKUP($B$76,Energy_demand!$A$34:$E$66,4,FALSE )))*L15</f>
        <v>283598225.3722831</v>
      </c>
      <c r="M84" s="164">
        <f>((VLOOKUP($B$76,Energy_demand!$A$34:$E$66,4,FALSE )))*M15</f>
        <v>253085521.13915291</v>
      </c>
      <c r="N84" s="164">
        <f>((VLOOKUP($B$76,Energy_demand!$A$34:$E$66,4,FALSE )))*N15</f>
        <v>216722260.23194388</v>
      </c>
      <c r="O84" s="164">
        <f>((VLOOKUP($B$76,Energy_demand!$A$34:$E$66,4,FALSE )))*O15</f>
        <v>179227537.9812395</v>
      </c>
      <c r="P84" s="164">
        <f>((VLOOKUP($B$76,Energy_demand!$A$34:$E$66,4,FALSE )))*P15</f>
        <v>143697122.95140427</v>
      </c>
      <c r="Q84" s="164">
        <f>((VLOOKUP($B$76,Energy_demand!$A$34:$E$66,4,FALSE )))*Q15</f>
        <v>111994307.32723066</v>
      </c>
      <c r="R84" s="164">
        <f>((VLOOKUP($B$76,Energy_demand!$A$34:$E$66,4,FALSE )))*R15</f>
        <v>85019739.234036282</v>
      </c>
      <c r="S84" s="164">
        <f>((VLOOKUP($B$76,Energy_demand!$A$34:$E$66,4,FALSE )))*S15</f>
        <v>62966043.592306487</v>
      </c>
      <c r="T84" s="164">
        <f>((VLOOKUP($B$76,Energy_demand!$A$34:$E$66,4,FALSE )))*T15</f>
        <v>45552960.292623349</v>
      </c>
      <c r="U84" s="164">
        <f>((VLOOKUP($B$76,Energy_demand!$A$34:$E$66,4,FALSE )))*U15</f>
        <v>32227022.989722531</v>
      </c>
      <c r="V84" s="164">
        <f>((VLOOKUP($B$76,Energy_demand!$A$34:$E$66,4,FALSE )))*V15</f>
        <v>22316123.619088907</v>
      </c>
      <c r="W84" s="164">
        <f>((VLOOKUP($B$76,Energy_demand!$A$34:$E$66,4,FALSE )))*W15</f>
        <v>15137742.405948289</v>
      </c>
      <c r="X84" s="164">
        <f>((VLOOKUP($B$76,Energy_demand!$A$34:$E$66,4,FALSE )))*X15</f>
        <v>10065935.316718431</v>
      </c>
      <c r="Y84" s="164">
        <f>((VLOOKUP($B$76,Energy_demand!$A$34:$E$66,4,FALSE )))*Y15</f>
        <v>6565544.8915135115</v>
      </c>
      <c r="Z84" s="164">
        <f>((VLOOKUP($B$76,Energy_demand!$A$34:$E$66,4,FALSE )))*Z15</f>
        <v>4202967.1825754521</v>
      </c>
      <c r="AA84" s="164">
        <f>((VLOOKUP($B$76,Energy_demand!$A$34:$E$66,4,FALSE )))*AA15</f>
        <v>2641991.3165064235</v>
      </c>
      <c r="AB84" s="164">
        <f>((VLOOKUP($B$76,Energy_demand!$A$34:$E$66,4,FALSE )))*AB15</f>
        <v>1631543.7064541364</v>
      </c>
    </row>
    <row r="85" spans="1:28">
      <c r="A85" s="21"/>
      <c r="B85" s="163">
        <v>2016</v>
      </c>
      <c r="C85" s="164">
        <f>((VLOOKUP($B$76,Energy_demand!$A$34:$E$66,4,FALSE )))*C16</f>
        <v>0</v>
      </c>
      <c r="D85" s="164">
        <f>((VLOOKUP($B$76,Energy_demand!$A$34:$E$66,4,FALSE )))*D16</f>
        <v>0</v>
      </c>
      <c r="E85" s="164">
        <f>((VLOOKUP($B$76,Energy_demand!$A$34:$E$66,4,FALSE )))*E16</f>
        <v>0</v>
      </c>
      <c r="F85" s="164">
        <f>((VLOOKUP($B$76,Energy_demand!$A$34:$E$66,4,FALSE )))*F16</f>
        <v>0</v>
      </c>
      <c r="G85" s="164">
        <f>((VLOOKUP($B$76,Energy_demand!$A$34:$E$66,4,FALSE )))*G16</f>
        <v>0</v>
      </c>
      <c r="H85" s="164">
        <f>((VLOOKUP($B$76,Energy_demand!$A$34:$E$66,4,FALSE )))*H16</f>
        <v>0</v>
      </c>
      <c r="I85" s="164">
        <f>((VLOOKUP($B$76,Energy_demand!$A$34:$E$66,4,FALSE )))*I16</f>
        <v>0</v>
      </c>
      <c r="J85" s="164">
        <f>((VLOOKUP($B$76,Energy_demand!$A$34:$E$66,4,FALSE )))*J16</f>
        <v>0</v>
      </c>
      <c r="K85" s="164">
        <f>((VLOOKUP($B$76,Energy_demand!$A$34:$E$66,4,FALSE )))*K16</f>
        <v>0</v>
      </c>
      <c r="L85" s="164">
        <f>((VLOOKUP($B$76,Energy_demand!$A$34:$E$66,4,FALSE )))*L16</f>
        <v>320474153.71232688</v>
      </c>
      <c r="M85" s="164">
        <f>((VLOOKUP($B$76,Energy_demand!$A$34:$E$66,4,FALSE )))*M16</f>
        <v>303010290.34348655</v>
      </c>
      <c r="N85" s="164">
        <f>((VLOOKUP($B$76,Energy_demand!$A$34:$E$66,4,FALSE )))*N16</f>
        <v>270409016.63414359</v>
      </c>
      <c r="O85" s="164">
        <f>((VLOOKUP($B$76,Energy_demand!$A$34:$E$66,4,FALSE )))*O16</f>
        <v>231556720.46457025</v>
      </c>
      <c r="P85" s="164">
        <f>((VLOOKUP($B$76,Energy_demand!$A$34:$E$66,4,FALSE )))*P16</f>
        <v>191495515.35434711</v>
      </c>
      <c r="Q85" s="164">
        <f>((VLOOKUP($B$76,Energy_demand!$A$34:$E$66,4,FALSE )))*Q16</f>
        <v>153533072.67656884</v>
      </c>
      <c r="R85" s="164">
        <f>((VLOOKUP($B$76,Energy_demand!$A$34:$E$66,4,FALSE )))*R16</f>
        <v>119660225.43157433</v>
      </c>
      <c r="S85" s="164">
        <f>((VLOOKUP($B$76,Energy_demand!$A$34:$E$66,4,FALSE )))*S16</f>
        <v>90839270.367136165</v>
      </c>
      <c r="T85" s="164">
        <f>((VLOOKUP($B$76,Energy_demand!$A$34:$E$66,4,FALSE )))*T16</f>
        <v>67276017.420911908</v>
      </c>
      <c r="U85" s="164">
        <f>((VLOOKUP($B$76,Energy_demand!$A$34:$E$66,4,FALSE )))*U16</f>
        <v>48671022.909800343</v>
      </c>
      <c r="V85" s="164">
        <f>((VLOOKUP($B$76,Energy_demand!$A$34:$E$66,4,FALSE )))*V16</f>
        <v>34432936.173007563</v>
      </c>
      <c r="W85" s="164">
        <f>((VLOOKUP($B$76,Energy_demand!$A$34:$E$66,4,FALSE )))*W16</f>
        <v>23843643.902512722</v>
      </c>
      <c r="X85" s="164">
        <f>((VLOOKUP($B$76,Energy_demand!$A$34:$E$66,4,FALSE )))*X16</f>
        <v>16173908.407043189</v>
      </c>
      <c r="Y85" s="164">
        <f>((VLOOKUP($B$76,Energy_demand!$A$34:$E$66,4,FALSE )))*Y16</f>
        <v>10754940.29941028</v>
      </c>
      <c r="Z85" s="164">
        <f>((VLOOKUP($B$76,Energy_demand!$A$34:$E$66,4,FALSE )))*Z16</f>
        <v>7014951.0323245348</v>
      </c>
      <c r="AA85" s="164">
        <f>((VLOOKUP($B$76,Energy_demand!$A$34:$E$66,4,FALSE )))*AA16</f>
        <v>4490656.8248956334</v>
      </c>
      <c r="AB85" s="164">
        <f>((VLOOKUP($B$76,Energy_demand!$A$34:$E$66,4,FALSE )))*AB16</f>
        <v>2822833.4463260071</v>
      </c>
    </row>
    <row r="86" spans="1:28">
      <c r="B86" s="163">
        <v>2017</v>
      </c>
      <c r="C86" s="164">
        <f>((VLOOKUP($B$76,Energy_demand!$A$34:$E$66,4,FALSE )))*C17</f>
        <v>0</v>
      </c>
      <c r="D86" s="164">
        <f>((VLOOKUP($B$76,Energy_demand!$A$34:$E$66,4,FALSE )))*D17</f>
        <v>0</v>
      </c>
      <c r="E86" s="164">
        <f>((VLOOKUP($B$76,Energy_demand!$A$34:$E$66,4,FALSE )))*E17</f>
        <v>0</v>
      </c>
      <c r="F86" s="164">
        <f>((VLOOKUP($B$76,Energy_demand!$A$34:$E$66,4,FALSE )))*F17</f>
        <v>0</v>
      </c>
      <c r="G86" s="164">
        <f>((VLOOKUP($B$76,Energy_demand!$A$34:$E$66,4,FALSE )))*G17</f>
        <v>0</v>
      </c>
      <c r="H86" s="164">
        <f>((VLOOKUP($B$76,Energy_demand!$A$34:$E$66,4,FALSE )))*H17</f>
        <v>0</v>
      </c>
      <c r="I86" s="164">
        <f>((VLOOKUP($B$76,Energy_demand!$A$34:$E$66,4,FALSE )))*I17</f>
        <v>0</v>
      </c>
      <c r="J86" s="164">
        <f>((VLOOKUP($B$76,Energy_demand!$A$34:$E$66,4,FALSE )))*J17</f>
        <v>0</v>
      </c>
      <c r="K86" s="164">
        <f>((VLOOKUP($B$76,Energy_demand!$A$34:$E$66,4,FALSE )))*K17</f>
        <v>0</v>
      </c>
      <c r="L86" s="164">
        <f>((VLOOKUP($B$76,Energy_demand!$A$34:$E$66,4,FALSE )))*L17</f>
        <v>0</v>
      </c>
      <c r="M86" s="164">
        <f>((VLOOKUP($B$76,Energy_demand!$A$34:$E$66,4,FALSE )))*M17</f>
        <v>291960627.89220679</v>
      </c>
      <c r="N86" s="164">
        <f>((VLOOKUP($B$76,Energy_demand!$A$34:$E$66,4,FALSE )))*N17</f>
        <v>276050575.69134432</v>
      </c>
      <c r="O86" s="164">
        <f>((VLOOKUP($B$76,Energy_demand!$A$34:$E$66,4,FALSE )))*O17</f>
        <v>246349932.96553645</v>
      </c>
      <c r="P86" s="164">
        <f>((VLOOKUP($B$76,Energy_demand!$A$34:$E$66,4,FALSE )))*P17</f>
        <v>210954439.59010205</v>
      </c>
      <c r="Q86" s="164">
        <f>((VLOOKUP($B$76,Energy_demand!$A$34:$E$66,4,FALSE )))*Q17</f>
        <v>174457597.44975775</v>
      </c>
      <c r="R86" s="164">
        <f>((VLOOKUP($B$76,Energy_demand!$A$34:$E$66,4,FALSE )))*R17</f>
        <v>139872784.68986455</v>
      </c>
      <c r="S86" s="164">
        <f>((VLOOKUP($B$76,Energy_demand!$A$34:$E$66,4,FALSE )))*S17</f>
        <v>109013704.05703844</v>
      </c>
      <c r="T86" s="164">
        <f>((VLOOKUP($B$76,Energy_demand!$A$34:$E$66,4,FALSE )))*T17</f>
        <v>82757033.933744267</v>
      </c>
      <c r="U86" s="164">
        <f>((VLOOKUP($B$76,Energy_demand!$A$34:$E$66,4,FALSE )))*U17</f>
        <v>61290272.743579954</v>
      </c>
      <c r="V86" s="164">
        <f>((VLOOKUP($B$76,Energy_demand!$A$34:$E$66,4,FALSE )))*V17</f>
        <v>44340619.186584681</v>
      </c>
      <c r="W86" s="164">
        <f>((VLOOKUP($B$76,Energy_demand!$A$34:$E$66,4,FALSE )))*W17</f>
        <v>31369336.8054501</v>
      </c>
      <c r="X86" s="164">
        <f>((VLOOKUP($B$76,Energy_demand!$A$34:$E$66,4,FALSE )))*X17</f>
        <v>21722204.940323193</v>
      </c>
      <c r="Y86" s="164">
        <f>((VLOOKUP($B$76,Energy_demand!$A$34:$E$66,4,FALSE )))*Y17</f>
        <v>14734868.317119256</v>
      </c>
      <c r="Z86" s="164">
        <f>((VLOOKUP($B$76,Energy_demand!$A$34:$E$66,4,FALSE )))*Z17</f>
        <v>9798041.7028502617</v>
      </c>
      <c r="AA86" s="164">
        <f>((VLOOKUP($B$76,Energy_demand!$A$34:$E$66,4,FALSE )))*AA17</f>
        <v>6390810.2550729252</v>
      </c>
      <c r="AB86" s="164">
        <f>((VLOOKUP($B$76,Energy_demand!$A$34:$E$66,4,FALSE )))*AB17</f>
        <v>4091109.9102920331</v>
      </c>
    </row>
    <row r="87" spans="1:28">
      <c r="B87" s="163">
        <v>2018</v>
      </c>
      <c r="C87" s="164">
        <f>((VLOOKUP($B$76,Energy_demand!$A$34:$E$66,4,FALSE )))*C18</f>
        <v>0</v>
      </c>
      <c r="D87" s="164">
        <f>((VLOOKUP($B$76,Energy_demand!$A$34:$E$66,4,FALSE )))*D18</f>
        <v>0</v>
      </c>
      <c r="E87" s="164">
        <f>((VLOOKUP($B$76,Energy_demand!$A$34:$E$66,4,FALSE )))*E18</f>
        <v>0</v>
      </c>
      <c r="F87" s="164">
        <f>((VLOOKUP($B$76,Energy_demand!$A$34:$E$66,4,FALSE )))*F18</f>
        <v>0</v>
      </c>
      <c r="G87" s="164">
        <f>((VLOOKUP($B$76,Energy_demand!$A$34:$E$66,4,FALSE )))*G18</f>
        <v>0</v>
      </c>
      <c r="H87" s="164">
        <f>((VLOOKUP($B$76,Energy_demand!$A$34:$E$66,4,FALSE )))*H18</f>
        <v>0</v>
      </c>
      <c r="I87" s="164">
        <f>((VLOOKUP($B$76,Energy_demand!$A$34:$E$66,4,FALSE )))*I18</f>
        <v>0</v>
      </c>
      <c r="J87" s="164">
        <f>((VLOOKUP($B$76,Energy_demand!$A$34:$E$66,4,FALSE )))*J18</f>
        <v>0</v>
      </c>
      <c r="K87" s="164">
        <f>((VLOOKUP($B$76,Energy_demand!$A$34:$E$66,4,FALSE )))*K18</f>
        <v>0</v>
      </c>
      <c r="L87" s="164">
        <f>((VLOOKUP($B$76,Energy_demand!$A$34:$E$66,4,FALSE )))*L18</f>
        <v>0</v>
      </c>
      <c r="M87" s="164">
        <f>((VLOOKUP($B$76,Energy_demand!$A$34:$E$66,4,FALSE )))*M18</f>
        <v>0</v>
      </c>
      <c r="N87" s="164">
        <f>((VLOOKUP($B$76,Energy_demand!$A$34:$E$66,4,FALSE )))*N18</f>
        <v>325976787.68342519</v>
      </c>
      <c r="O87" s="164">
        <f>((VLOOKUP($B$76,Energy_demand!$A$34:$E$66,4,FALSE )))*O18</f>
        <v>308213064.72613806</v>
      </c>
      <c r="P87" s="164">
        <f>((VLOOKUP($B$76,Energy_demand!$A$34:$E$66,4,FALSE )))*P18</f>
        <v>275052017.7117219</v>
      </c>
      <c r="Q87" s="164">
        <f>((VLOOKUP($B$76,Energy_demand!$A$34:$E$66,4,FALSE )))*Q18</f>
        <v>235532616.37225774</v>
      </c>
      <c r="R87" s="164">
        <f>((VLOOKUP($B$76,Energy_demand!$A$34:$E$66,4,FALSE )))*R18</f>
        <v>194783548.77574959</v>
      </c>
      <c r="S87" s="164">
        <f>((VLOOKUP($B$76,Energy_demand!$A$34:$E$66,4,FALSE )))*S18</f>
        <v>156169279.97007665</v>
      </c>
      <c r="T87" s="164">
        <f>((VLOOKUP($B$76,Energy_demand!$A$34:$E$66,4,FALSE )))*T18</f>
        <v>121714826.13438205</v>
      </c>
      <c r="U87" s="164">
        <f>((VLOOKUP($B$76,Energy_demand!$A$34:$E$66,4,FALSE )))*U18</f>
        <v>92399006.930106163</v>
      </c>
      <c r="V87" s="164">
        <f>((VLOOKUP($B$76,Energy_demand!$A$34:$E$66,4,FALSE )))*V18</f>
        <v>68431166.111101791</v>
      </c>
      <c r="W87" s="164">
        <f>((VLOOKUP($B$76,Energy_demand!$A$34:$E$66,4,FALSE )))*W18</f>
        <v>49506718.459563695</v>
      </c>
      <c r="X87" s="164">
        <f>((VLOOKUP($B$76,Energy_demand!$A$34:$E$66,4,FALSE )))*X18</f>
        <v>35024159.652702995</v>
      </c>
      <c r="Y87" s="164">
        <f>((VLOOKUP($B$76,Energy_demand!$A$34:$E$66,4,FALSE )))*Y18</f>
        <v>24253046.169163253</v>
      </c>
      <c r="Z87" s="164">
        <f>((VLOOKUP($B$76,Energy_demand!$A$34:$E$66,4,FALSE )))*Z18</f>
        <v>16451619.095456202</v>
      </c>
      <c r="AA87" s="164">
        <f>((VLOOKUP($B$76,Energy_demand!$A$34:$E$66,4,FALSE )))*AA18</f>
        <v>10939605.737053629</v>
      </c>
      <c r="AB87" s="164">
        <f>((VLOOKUP($B$76,Energy_demand!$A$34:$E$66,4,FALSE )))*AB18</f>
        <v>7135399.7718216674</v>
      </c>
    </row>
    <row r="88" spans="1:28">
      <c r="B88" s="163">
        <v>2019</v>
      </c>
      <c r="C88" s="164">
        <f>((VLOOKUP($B$76,Energy_demand!$A$34:$E$66,4,FALSE )))*C19</f>
        <v>0</v>
      </c>
      <c r="D88" s="164">
        <f>((VLOOKUP($B$76,Energy_demand!$A$34:$E$66,4,FALSE )))*D19</f>
        <v>0</v>
      </c>
      <c r="E88" s="164">
        <f>((VLOOKUP($B$76,Energy_demand!$A$34:$E$66,4,FALSE )))*E19</f>
        <v>0</v>
      </c>
      <c r="F88" s="164">
        <f>((VLOOKUP($B$76,Energy_demand!$A$34:$E$66,4,FALSE )))*F19</f>
        <v>0</v>
      </c>
      <c r="G88" s="164">
        <f>((VLOOKUP($B$76,Energy_demand!$A$34:$E$66,4,FALSE )))*G19</f>
        <v>0</v>
      </c>
      <c r="H88" s="164">
        <f>((VLOOKUP($B$76,Energy_demand!$A$34:$E$66,4,FALSE )))*H19</f>
        <v>0</v>
      </c>
      <c r="I88" s="164">
        <f>((VLOOKUP($B$76,Energy_demand!$A$34:$E$66,4,FALSE )))*I19</f>
        <v>0</v>
      </c>
      <c r="J88" s="164">
        <f>((VLOOKUP($B$76,Energy_demand!$A$34:$E$66,4,FALSE )))*J19</f>
        <v>0</v>
      </c>
      <c r="K88" s="164">
        <f>((VLOOKUP($B$76,Energy_demand!$A$34:$E$66,4,FALSE )))*K19</f>
        <v>0</v>
      </c>
      <c r="L88" s="164">
        <f>((VLOOKUP($B$76,Energy_demand!$A$34:$E$66,4,FALSE )))*L19</f>
        <v>0</v>
      </c>
      <c r="M88" s="164">
        <f>((VLOOKUP($B$76,Energy_demand!$A$34:$E$66,4,FALSE )))*M19</f>
        <v>0</v>
      </c>
      <c r="N88" s="164">
        <f>((VLOOKUP($B$76,Energy_demand!$A$34:$E$66,4,FALSE )))*N19</f>
        <v>0</v>
      </c>
      <c r="O88" s="164">
        <f>((VLOOKUP($B$76,Energy_demand!$A$34:$E$66,4,FALSE )))*O19</f>
        <v>424398058.72580945</v>
      </c>
      <c r="P88" s="164">
        <f>((VLOOKUP($B$76,Energy_demand!$A$34:$E$66,4,FALSE )))*P19</f>
        <v>401270983.96569735</v>
      </c>
      <c r="Q88" s="164">
        <f>((VLOOKUP($B$76,Energy_demand!$A$34:$E$66,4,FALSE )))*Q19</f>
        <v>358097713.62872761</v>
      </c>
      <c r="R88" s="164">
        <f>((VLOOKUP($B$76,Energy_demand!$A$34:$E$66,4,FALSE )))*R19</f>
        <v>306646328.60936558</v>
      </c>
      <c r="S88" s="164">
        <f>((VLOOKUP($B$76,Energy_demand!$A$34:$E$66,4,FALSE )))*S19</f>
        <v>253594007.59674218</v>
      </c>
      <c r="T88" s="164">
        <f>((VLOOKUP($B$76,Energy_demand!$A$34:$E$66,4,FALSE )))*T19</f>
        <v>203321039.27680364</v>
      </c>
      <c r="U88" s="164">
        <f>((VLOOKUP($B$76,Energy_demand!$A$34:$E$66,4,FALSE )))*U19</f>
        <v>158463847.36985269</v>
      </c>
      <c r="V88" s="164">
        <f>((VLOOKUP($B$76,Energy_demand!$A$34:$E$66,4,FALSE )))*V19</f>
        <v>120296783.85386327</v>
      </c>
      <c r="W88" s="164">
        <f>((VLOOKUP($B$76,Energy_demand!$A$34:$E$66,4,FALSE )))*W19</f>
        <v>89092399.064007625</v>
      </c>
      <c r="X88" s="164">
        <f>((VLOOKUP($B$76,Energy_demand!$A$34:$E$66,4,FALSE )))*X19</f>
        <v>64454145.209040426</v>
      </c>
      <c r="Y88" s="164">
        <f>((VLOOKUP($B$76,Energy_demand!$A$34:$E$66,4,FALSE )))*Y19</f>
        <v>45598907.427560262</v>
      </c>
      <c r="Z88" s="164">
        <f>((VLOOKUP($B$76,Energy_demand!$A$34:$E$66,4,FALSE )))*Z19</f>
        <v>31575701.4035502</v>
      </c>
      <c r="AA88" s="164">
        <f>((VLOOKUP($B$76,Energy_demand!$A$34:$E$66,4,FALSE )))*AA19</f>
        <v>21418811.003772222</v>
      </c>
      <c r="AB88" s="164">
        <f>((VLOOKUP($B$76,Energy_demand!$A$34:$E$66,4,FALSE )))*AB19</f>
        <v>14242570.67819236</v>
      </c>
    </row>
    <row r="89" spans="1:28">
      <c r="B89" s="163">
        <v>2020</v>
      </c>
      <c r="C89" s="164">
        <f>((VLOOKUP($B$76,Energy_demand!$A$34:$E$66,4,FALSE )))*C20</f>
        <v>0</v>
      </c>
      <c r="D89" s="164">
        <f>((VLOOKUP($B$76,Energy_demand!$A$34:$E$66,4,FALSE )))*D20</f>
        <v>0</v>
      </c>
      <c r="E89" s="164">
        <f>((VLOOKUP($B$76,Energy_demand!$A$34:$E$66,4,FALSE )))*E20</f>
        <v>0</v>
      </c>
      <c r="F89" s="164">
        <f>((VLOOKUP($B$76,Energy_demand!$A$34:$E$66,4,FALSE )))*F20</f>
        <v>0</v>
      </c>
      <c r="G89" s="164">
        <f>((VLOOKUP($B$76,Energy_demand!$A$34:$E$66,4,FALSE )))*G20</f>
        <v>0</v>
      </c>
      <c r="H89" s="164">
        <f>((VLOOKUP($B$76,Energy_demand!$A$34:$E$66,4,FALSE )))*H20</f>
        <v>0</v>
      </c>
      <c r="I89" s="164">
        <f>((VLOOKUP($B$76,Energy_demand!$A$34:$E$66,4,FALSE )))*I20</f>
        <v>0</v>
      </c>
      <c r="J89" s="164">
        <f>((VLOOKUP($B$76,Energy_demand!$A$34:$E$66,4,FALSE )))*J20</f>
        <v>0</v>
      </c>
      <c r="K89" s="164">
        <f>((VLOOKUP($B$76,Energy_demand!$A$34:$E$66,4,FALSE )))*K20</f>
        <v>0</v>
      </c>
      <c r="L89" s="164">
        <f>((VLOOKUP($B$76,Energy_demand!$A$34:$E$66,4,FALSE )))*L20</f>
        <v>0</v>
      </c>
      <c r="M89" s="164">
        <f>((VLOOKUP($B$76,Energy_demand!$A$34:$E$66,4,FALSE )))*M20</f>
        <v>0</v>
      </c>
      <c r="N89" s="164">
        <f>((VLOOKUP($B$76,Energy_demand!$A$34:$E$66,4,FALSE )))*N20</f>
        <v>0</v>
      </c>
      <c r="O89" s="164">
        <f>((VLOOKUP($B$76,Energy_demand!$A$34:$E$66,4,FALSE )))*O20</f>
        <v>0</v>
      </c>
      <c r="P89" s="164">
        <f>((VLOOKUP($B$76,Energy_demand!$A$34:$E$66,4,FALSE )))*P20</f>
        <v>547923463.69168079</v>
      </c>
      <c r="Q89" s="164">
        <f>((VLOOKUP($B$76,Energy_demand!$A$34:$E$66,4,FALSE )))*Q20</f>
        <v>518065016.77591866</v>
      </c>
      <c r="R89" s="164">
        <f>((VLOOKUP($B$76,Energy_demand!$A$34:$E$66,4,FALSE )))*R20</f>
        <v>462325723.59217447</v>
      </c>
      <c r="S89" s="164">
        <f>((VLOOKUP($B$76,Energy_demand!$A$34:$E$66,4,FALSE )))*S20</f>
        <v>395898885.59912723</v>
      </c>
      <c r="T89" s="164">
        <f>((VLOOKUP($B$76,Energy_demand!$A$34:$E$66,4,FALSE )))*T20</f>
        <v>327405142.78278726</v>
      </c>
      <c r="U89" s="164">
        <f>((VLOOKUP($B$76,Energy_demand!$A$34:$E$66,4,FALSE )))*U20</f>
        <v>262499711.74800649</v>
      </c>
      <c r="V89" s="164">
        <f>((VLOOKUP($B$76,Energy_demand!$A$34:$E$66,4,FALSE )))*V20</f>
        <v>204586374.3615641</v>
      </c>
      <c r="W89" s="164">
        <f>((VLOOKUP($B$76,Energy_demand!$A$34:$E$66,4,FALSE )))*W20</f>
        <v>155310395.80641168</v>
      </c>
      <c r="X89" s="164">
        <f>((VLOOKUP($B$76,Energy_demand!$A$34:$E$66,4,FALSE )))*X20</f>
        <v>115023654.98634601</v>
      </c>
      <c r="Y89" s="164">
        <f>((VLOOKUP($B$76,Energy_demand!$A$34:$E$66,4,FALSE )))*Y20</f>
        <v>83214184.810964286</v>
      </c>
      <c r="Z89" s="164">
        <f>((VLOOKUP($B$76,Energy_demand!$A$34:$E$66,4,FALSE )))*Z20</f>
        <v>58870936.811723225</v>
      </c>
      <c r="AA89" s="164">
        <f>((VLOOKUP($B$76,Energy_demand!$A$34:$E$66,4,FALSE )))*AA20</f>
        <v>40766132.940078259</v>
      </c>
      <c r="AB89" s="164">
        <f>((VLOOKUP($B$76,Energy_demand!$A$34:$E$66,4,FALSE )))*AB20</f>
        <v>27652975.483864188</v>
      </c>
    </row>
    <row r="90" spans="1:28">
      <c r="B90" s="163">
        <v>2021</v>
      </c>
      <c r="C90" s="164">
        <f>((VLOOKUP($B$76,Energy_demand!$A$34:$E$66,4,FALSE )))*C21</f>
        <v>0</v>
      </c>
      <c r="D90" s="164">
        <f>((VLOOKUP($B$76,Energy_demand!$A$34:$E$66,4,FALSE )))*D21</f>
        <v>0</v>
      </c>
      <c r="E90" s="164">
        <f>((VLOOKUP($B$76,Energy_demand!$A$34:$E$66,4,FALSE )))*E21</f>
        <v>0</v>
      </c>
      <c r="F90" s="164">
        <f>((VLOOKUP($B$76,Energy_demand!$A$34:$E$66,4,FALSE )))*F21</f>
        <v>0</v>
      </c>
      <c r="G90" s="164">
        <f>((VLOOKUP($B$76,Energy_demand!$A$34:$E$66,4,FALSE )))*G21</f>
        <v>0</v>
      </c>
      <c r="H90" s="164">
        <f>((VLOOKUP($B$76,Energy_demand!$A$34:$E$66,4,FALSE )))*H21</f>
        <v>0</v>
      </c>
      <c r="I90" s="164">
        <f>((VLOOKUP($B$76,Energy_demand!$A$34:$E$66,4,FALSE )))*I21</f>
        <v>0</v>
      </c>
      <c r="J90" s="164">
        <f>((VLOOKUP($B$76,Energy_demand!$A$34:$E$66,4,FALSE )))*J21</f>
        <v>0</v>
      </c>
      <c r="K90" s="164">
        <f>((VLOOKUP($B$76,Energy_demand!$A$34:$E$66,4,FALSE )))*K21</f>
        <v>0</v>
      </c>
      <c r="L90" s="164">
        <f>((VLOOKUP($B$76,Energy_demand!$A$34:$E$66,4,FALSE )))*L21</f>
        <v>0</v>
      </c>
      <c r="M90" s="164">
        <f>((VLOOKUP($B$76,Energy_demand!$A$34:$E$66,4,FALSE )))*M21</f>
        <v>0</v>
      </c>
      <c r="N90" s="164">
        <f>((VLOOKUP($B$76,Energy_demand!$A$34:$E$66,4,FALSE )))*N21</f>
        <v>0</v>
      </c>
      <c r="O90" s="164">
        <f>((VLOOKUP($B$76,Energy_demand!$A$34:$E$66,4,FALSE )))*O21</f>
        <v>0</v>
      </c>
      <c r="P90" s="164">
        <f>((VLOOKUP($B$76,Energy_demand!$A$34:$E$66,4,FALSE )))*P21</f>
        <v>0</v>
      </c>
      <c r="Q90" s="164">
        <f>((VLOOKUP($B$76,Energy_demand!$A$34:$E$66,4,FALSE )))*Q21</f>
        <v>537900904.6066246</v>
      </c>
      <c r="R90" s="164">
        <f>((VLOOKUP($B$76,Energy_demand!$A$34:$E$66,4,FALSE )))*R21</f>
        <v>508588625.30044973</v>
      </c>
      <c r="S90" s="164">
        <f>((VLOOKUP($B$76,Energy_demand!$A$34:$E$66,4,FALSE )))*S21</f>
        <v>453868909.47798407</v>
      </c>
      <c r="T90" s="164">
        <f>((VLOOKUP($B$76,Energy_demand!$A$34:$E$66,4,FALSE )))*T21</f>
        <v>388657144.30575222</v>
      </c>
      <c r="U90" s="164">
        <f>((VLOOKUP($B$76,Energy_demand!$A$34:$E$66,4,FALSE )))*U21</f>
        <v>321416281.91856593</v>
      </c>
      <c r="V90" s="164">
        <f>((VLOOKUP($B$76,Energy_demand!$A$34:$E$66,4,FALSE )))*V21</f>
        <v>257698094.28654835</v>
      </c>
      <c r="W90" s="164">
        <f>((VLOOKUP($B$76,Energy_demand!$A$34:$E$66,4,FALSE )))*W21</f>
        <v>200844101.65212232</v>
      </c>
      <c r="X90" s="164">
        <f>((VLOOKUP($B$76,Energy_demand!$A$34:$E$66,4,FALSE )))*X21</f>
        <v>152469474.17840648</v>
      </c>
      <c r="Y90" s="164">
        <f>((VLOOKUP($B$76,Energy_demand!$A$34:$E$66,4,FALSE )))*Y21</f>
        <v>112919654.23683901</v>
      </c>
      <c r="Z90" s="164">
        <f>((VLOOKUP($B$76,Energy_demand!$A$34:$E$66,4,FALSE )))*Z21</f>
        <v>81692039.585856766</v>
      </c>
      <c r="AA90" s="164">
        <f>((VLOOKUP($B$76,Energy_demand!$A$34:$E$66,4,FALSE )))*AA21</f>
        <v>57794075.750485443</v>
      </c>
      <c r="AB90" s="164">
        <f>((VLOOKUP($B$76,Energy_demand!$A$34:$E$66,4,FALSE )))*AB21</f>
        <v>40020443.070715241</v>
      </c>
    </row>
    <row r="91" spans="1:28">
      <c r="B91" s="163">
        <v>2022</v>
      </c>
      <c r="C91" s="164">
        <f>((VLOOKUP($B$76,Energy_demand!$A$34:$E$66,4,FALSE )))*C22</f>
        <v>0</v>
      </c>
      <c r="D91" s="164">
        <f>((VLOOKUP($B$76,Energy_demand!$A$34:$E$66,4,FALSE )))*D22</f>
        <v>0</v>
      </c>
      <c r="E91" s="164">
        <f>((VLOOKUP($B$76,Energy_demand!$A$34:$E$66,4,FALSE )))*E22</f>
        <v>0</v>
      </c>
      <c r="F91" s="164">
        <f>((VLOOKUP($B$76,Energy_demand!$A$34:$E$66,4,FALSE )))*F22</f>
        <v>0</v>
      </c>
      <c r="G91" s="164">
        <f>((VLOOKUP($B$76,Energy_demand!$A$34:$E$66,4,FALSE )))*G22</f>
        <v>0</v>
      </c>
      <c r="H91" s="164">
        <f>((VLOOKUP($B$76,Energy_demand!$A$34:$E$66,4,FALSE )))*H22</f>
        <v>0</v>
      </c>
      <c r="I91" s="164">
        <f>((VLOOKUP($B$76,Energy_demand!$A$34:$E$66,4,FALSE )))*I22</f>
        <v>0</v>
      </c>
      <c r="J91" s="164">
        <f>((VLOOKUP($B$76,Energy_demand!$A$34:$E$66,4,FALSE )))*J22</f>
        <v>0</v>
      </c>
      <c r="K91" s="164">
        <f>((VLOOKUP($B$76,Energy_demand!$A$34:$E$66,4,FALSE )))*K22</f>
        <v>0</v>
      </c>
      <c r="L91" s="164">
        <f>((VLOOKUP($B$76,Energy_demand!$A$34:$E$66,4,FALSE )))*L22</f>
        <v>0</v>
      </c>
      <c r="M91" s="164">
        <f>((VLOOKUP($B$76,Energy_demand!$A$34:$E$66,4,FALSE )))*M22</f>
        <v>0</v>
      </c>
      <c r="N91" s="164">
        <f>((VLOOKUP($B$76,Energy_demand!$A$34:$E$66,4,FALSE )))*N22</f>
        <v>0</v>
      </c>
      <c r="O91" s="164">
        <f>((VLOOKUP($B$76,Energy_demand!$A$34:$E$66,4,FALSE )))*O22</f>
        <v>0</v>
      </c>
      <c r="P91" s="164">
        <f>((VLOOKUP($B$76,Energy_demand!$A$34:$E$66,4,FALSE )))*P22</f>
        <v>0</v>
      </c>
      <c r="Q91" s="164">
        <f>((VLOOKUP($B$76,Energy_demand!$A$34:$E$66,4,FALSE )))*Q22</f>
        <v>0</v>
      </c>
      <c r="R91" s="164">
        <f>((VLOOKUP($B$76,Energy_demand!$A$34:$E$66,4,FALSE )))*R22</f>
        <v>496140957.87344509</v>
      </c>
      <c r="S91" s="164">
        <f>((VLOOKUP($B$76,Energy_demand!$A$34:$E$66,4,FALSE )))*S22</f>
        <v>469104337.91636378</v>
      </c>
      <c r="T91" s="164">
        <f>((VLOOKUP($B$76,Energy_demand!$A$34:$E$66,4,FALSE )))*T22</f>
        <v>418632788.2494691</v>
      </c>
      <c r="U91" s="164">
        <f>((VLOOKUP($B$76,Energy_demand!$A$34:$E$66,4,FALSE )))*U22</f>
        <v>358483739.67921156</v>
      </c>
      <c r="V91" s="164">
        <f>((VLOOKUP($B$76,Energy_demand!$A$34:$E$66,4,FALSE )))*V22</f>
        <v>296463122.8940205</v>
      </c>
      <c r="W91" s="164">
        <f>((VLOOKUP($B$76,Energy_demand!$A$34:$E$66,4,FALSE )))*W22</f>
        <v>237691697.94386482</v>
      </c>
      <c r="X91" s="164">
        <f>((VLOOKUP($B$76,Energy_demand!$A$34:$E$66,4,FALSE )))*X22</f>
        <v>185251566.08500028</v>
      </c>
      <c r="Y91" s="164">
        <f>((VLOOKUP($B$76,Energy_demand!$A$34:$E$66,4,FALSE )))*Y22</f>
        <v>140632503.71489236</v>
      </c>
      <c r="Z91" s="164">
        <f>((VLOOKUP($B$76,Energy_demand!$A$34:$E$66,4,FALSE )))*Z22</f>
        <v>104153134.78004803</v>
      </c>
      <c r="AA91" s="164">
        <f>((VLOOKUP($B$76,Energy_demand!$A$34:$E$66,4,FALSE )))*AA22</f>
        <v>75349876.573275432</v>
      </c>
      <c r="AB91" s="164">
        <f>((VLOOKUP($B$76,Energy_demand!$A$34:$E$66,4,FALSE )))*AB22</f>
        <v>53307231.60472475</v>
      </c>
    </row>
    <row r="92" spans="1:28">
      <c r="B92" s="163">
        <v>2023</v>
      </c>
      <c r="C92" s="164">
        <f>((VLOOKUP($B$76,Energy_demand!$A$34:$E$66,4,FALSE )))*C23</f>
        <v>0</v>
      </c>
      <c r="D92" s="164">
        <f>((VLOOKUP($B$76,Energy_demand!$A$34:$E$66,4,FALSE )))*D23</f>
        <v>0</v>
      </c>
      <c r="E92" s="164">
        <f>((VLOOKUP($B$76,Energy_demand!$A$34:$E$66,4,FALSE )))*E23</f>
        <v>0</v>
      </c>
      <c r="F92" s="164">
        <f>((VLOOKUP($B$76,Energy_demand!$A$34:$E$66,4,FALSE )))*F23</f>
        <v>0</v>
      </c>
      <c r="G92" s="164">
        <f>((VLOOKUP($B$76,Energy_demand!$A$34:$E$66,4,FALSE )))*G23</f>
        <v>0</v>
      </c>
      <c r="H92" s="164">
        <f>((VLOOKUP($B$76,Energy_demand!$A$34:$E$66,4,FALSE )))*H23</f>
        <v>0</v>
      </c>
      <c r="I92" s="164">
        <f>((VLOOKUP($B$76,Energy_demand!$A$34:$E$66,4,FALSE )))*I23</f>
        <v>0</v>
      </c>
      <c r="J92" s="164">
        <f>((VLOOKUP($B$76,Energy_demand!$A$34:$E$66,4,FALSE )))*J23</f>
        <v>0</v>
      </c>
      <c r="K92" s="164">
        <f>((VLOOKUP($B$76,Energy_demand!$A$34:$E$66,4,FALSE )))*K23</f>
        <v>0</v>
      </c>
      <c r="L92" s="164">
        <f>((VLOOKUP($B$76,Energy_demand!$A$34:$E$66,4,FALSE )))*L23</f>
        <v>0</v>
      </c>
      <c r="M92" s="164">
        <f>((VLOOKUP($B$76,Energy_demand!$A$34:$E$66,4,FALSE )))*M23</f>
        <v>0</v>
      </c>
      <c r="N92" s="164">
        <f>((VLOOKUP($B$76,Energy_demand!$A$34:$E$66,4,FALSE )))*N23</f>
        <v>0</v>
      </c>
      <c r="O92" s="164">
        <f>((VLOOKUP($B$76,Energy_demand!$A$34:$E$66,4,FALSE )))*O23</f>
        <v>0</v>
      </c>
      <c r="P92" s="164">
        <f>((VLOOKUP($B$76,Energy_demand!$A$34:$E$66,4,FALSE )))*P23</f>
        <v>0</v>
      </c>
      <c r="Q92" s="164">
        <f>((VLOOKUP($B$76,Energy_demand!$A$34:$E$66,4,FALSE )))*Q23</f>
        <v>0</v>
      </c>
      <c r="R92" s="164">
        <f>((VLOOKUP($B$76,Energy_demand!$A$34:$E$66,4,FALSE )))*R23</f>
        <v>0</v>
      </c>
      <c r="S92" s="164">
        <f>((VLOOKUP($B$76,Energy_demand!$A$34:$E$66,4,FALSE )))*S23</f>
        <v>496140957.87344509</v>
      </c>
      <c r="T92" s="164">
        <f>((VLOOKUP($B$76,Energy_demand!$A$34:$E$66,4,FALSE )))*T23</f>
        <v>469104337.91636378</v>
      </c>
      <c r="U92" s="164">
        <f>((VLOOKUP($B$76,Energy_demand!$A$34:$E$66,4,FALSE )))*U23</f>
        <v>418632788.2494691</v>
      </c>
      <c r="V92" s="164">
        <f>((VLOOKUP($B$76,Energy_demand!$A$34:$E$66,4,FALSE )))*V23</f>
        <v>358483739.67921156</v>
      </c>
      <c r="W92" s="164">
        <f>((VLOOKUP($B$76,Energy_demand!$A$34:$E$66,4,FALSE )))*W23</f>
        <v>296463122.8940205</v>
      </c>
      <c r="X92" s="164">
        <f>((VLOOKUP($B$76,Energy_demand!$A$34:$E$66,4,FALSE )))*X23</f>
        <v>237691697.94386482</v>
      </c>
      <c r="Y92" s="164">
        <f>((VLOOKUP($B$76,Energy_demand!$A$34:$E$66,4,FALSE )))*Y23</f>
        <v>185251566.08500028</v>
      </c>
      <c r="Z92" s="164">
        <f>((VLOOKUP($B$76,Energy_demand!$A$34:$E$66,4,FALSE )))*Z23</f>
        <v>140632503.71489236</v>
      </c>
      <c r="AA92" s="164">
        <f>((VLOOKUP($B$76,Energy_demand!$A$34:$E$66,4,FALSE )))*AA23</f>
        <v>104153134.78004803</v>
      </c>
      <c r="AB92" s="164">
        <f>((VLOOKUP($B$76,Energy_demand!$A$34:$E$66,4,FALSE )))*AB23</f>
        <v>75349876.573275432</v>
      </c>
    </row>
    <row r="93" spans="1:28">
      <c r="B93" s="163">
        <v>2024</v>
      </c>
      <c r="C93" s="164">
        <f>((VLOOKUP($B$76,Energy_demand!$A$34:$E$66,4,FALSE )))*C24</f>
        <v>0</v>
      </c>
      <c r="D93" s="164">
        <f>((VLOOKUP($B$76,Energy_demand!$A$34:$E$66,4,FALSE )))*D24</f>
        <v>0</v>
      </c>
      <c r="E93" s="164">
        <f>((VLOOKUP($B$76,Energy_demand!$A$34:$E$66,4,FALSE )))*E24</f>
        <v>0</v>
      </c>
      <c r="F93" s="164">
        <f>((VLOOKUP($B$76,Energy_demand!$A$34:$E$66,4,FALSE )))*F24</f>
        <v>0</v>
      </c>
      <c r="G93" s="164">
        <f>((VLOOKUP($B$76,Energy_demand!$A$34:$E$66,4,FALSE )))*G24</f>
        <v>0</v>
      </c>
      <c r="H93" s="164">
        <f>((VLOOKUP($B$76,Energy_demand!$A$34:$E$66,4,FALSE )))*H24</f>
        <v>0</v>
      </c>
      <c r="I93" s="164">
        <f>((VLOOKUP($B$76,Energy_demand!$A$34:$E$66,4,FALSE )))*I24</f>
        <v>0</v>
      </c>
      <c r="J93" s="164">
        <f>((VLOOKUP($B$76,Energy_demand!$A$34:$E$66,4,FALSE )))*J24</f>
        <v>0</v>
      </c>
      <c r="K93" s="164">
        <f>((VLOOKUP($B$76,Energy_demand!$A$34:$E$66,4,FALSE )))*K24</f>
        <v>0</v>
      </c>
      <c r="L93" s="164">
        <f>((VLOOKUP($B$76,Energy_demand!$A$34:$E$66,4,FALSE )))*L24</f>
        <v>0</v>
      </c>
      <c r="M93" s="164">
        <f>((VLOOKUP($B$76,Energy_demand!$A$34:$E$66,4,FALSE )))*M24</f>
        <v>0</v>
      </c>
      <c r="N93" s="164">
        <f>((VLOOKUP($B$76,Energy_demand!$A$34:$E$66,4,FALSE )))*N24</f>
        <v>0</v>
      </c>
      <c r="O93" s="164">
        <f>((VLOOKUP($B$76,Energy_demand!$A$34:$E$66,4,FALSE )))*O24</f>
        <v>0</v>
      </c>
      <c r="P93" s="164">
        <f>((VLOOKUP($B$76,Energy_demand!$A$34:$E$66,4,FALSE )))*P24</f>
        <v>0</v>
      </c>
      <c r="Q93" s="164">
        <f>((VLOOKUP($B$76,Energy_demand!$A$34:$E$66,4,FALSE )))*Q24</f>
        <v>0</v>
      </c>
      <c r="R93" s="164">
        <f>((VLOOKUP($B$76,Energy_demand!$A$34:$E$66,4,FALSE )))*R24</f>
        <v>0</v>
      </c>
      <c r="S93" s="164">
        <f>((VLOOKUP($B$76,Energy_demand!$A$34:$E$66,4,FALSE )))*S24</f>
        <v>0</v>
      </c>
      <c r="T93" s="164">
        <f>((VLOOKUP($B$76,Energy_demand!$A$34:$E$66,4,FALSE )))*T24</f>
        <v>496140957.87344509</v>
      </c>
      <c r="U93" s="164">
        <f>((VLOOKUP($B$76,Energy_demand!$A$34:$E$66,4,FALSE )))*U24</f>
        <v>469104337.91636378</v>
      </c>
      <c r="V93" s="164">
        <f>((VLOOKUP($B$76,Energy_demand!$A$34:$E$66,4,FALSE )))*V24</f>
        <v>418632788.2494691</v>
      </c>
      <c r="W93" s="164">
        <f>((VLOOKUP($B$76,Energy_demand!$A$34:$E$66,4,FALSE )))*W24</f>
        <v>358483739.67921156</v>
      </c>
      <c r="X93" s="164">
        <f>((VLOOKUP($B$76,Energy_demand!$A$34:$E$66,4,FALSE )))*X24</f>
        <v>296463122.8940205</v>
      </c>
      <c r="Y93" s="164">
        <f>((VLOOKUP($B$76,Energy_demand!$A$34:$E$66,4,FALSE )))*Y24</f>
        <v>237691697.94386482</v>
      </c>
      <c r="Z93" s="164">
        <f>((VLOOKUP($B$76,Energy_demand!$A$34:$E$66,4,FALSE )))*Z24</f>
        <v>185251566.08500028</v>
      </c>
      <c r="AA93" s="164">
        <f>((VLOOKUP($B$76,Energy_demand!$A$34:$E$66,4,FALSE )))*AA24</f>
        <v>140632503.71489236</v>
      </c>
      <c r="AB93" s="164">
        <f>((VLOOKUP($B$76,Energy_demand!$A$34:$E$66,4,FALSE )))*AB24</f>
        <v>104153134.78004803</v>
      </c>
    </row>
    <row r="94" spans="1:28">
      <c r="B94" s="163">
        <v>2025</v>
      </c>
      <c r="C94" s="164">
        <f>((VLOOKUP($B$76,Energy_demand!$A$34:$E$66,4,FALSE )))*C25</f>
        <v>0</v>
      </c>
      <c r="D94" s="164">
        <f>((VLOOKUP($B$76,Energy_demand!$A$34:$E$66,4,FALSE )))*D25</f>
        <v>0</v>
      </c>
      <c r="E94" s="164">
        <f>((VLOOKUP($B$76,Energy_demand!$A$34:$E$66,4,FALSE )))*E25</f>
        <v>0</v>
      </c>
      <c r="F94" s="164">
        <f>((VLOOKUP($B$76,Energy_demand!$A$34:$E$66,4,FALSE )))*F25</f>
        <v>0</v>
      </c>
      <c r="G94" s="164">
        <f>((VLOOKUP($B$76,Energy_demand!$A$34:$E$66,4,FALSE )))*G25</f>
        <v>0</v>
      </c>
      <c r="H94" s="164">
        <f>((VLOOKUP($B$76,Energy_demand!$A$34:$E$66,4,FALSE )))*H25</f>
        <v>0</v>
      </c>
      <c r="I94" s="164">
        <f>((VLOOKUP($B$76,Energy_demand!$A$34:$E$66,4,FALSE )))*I25</f>
        <v>0</v>
      </c>
      <c r="J94" s="164">
        <f>((VLOOKUP($B$76,Energy_demand!$A$34:$E$66,4,FALSE )))*J25</f>
        <v>0</v>
      </c>
      <c r="K94" s="164">
        <f>((VLOOKUP($B$76,Energy_demand!$A$34:$E$66,4,FALSE )))*K25</f>
        <v>0</v>
      </c>
      <c r="L94" s="164">
        <f>((VLOOKUP($B$76,Energy_demand!$A$34:$E$66,4,FALSE )))*L25</f>
        <v>0</v>
      </c>
      <c r="M94" s="164">
        <f>((VLOOKUP($B$76,Energy_demand!$A$34:$E$66,4,FALSE )))*M25</f>
        <v>0</v>
      </c>
      <c r="N94" s="164">
        <f>((VLOOKUP($B$76,Energy_demand!$A$34:$E$66,4,FALSE )))*N25</f>
        <v>0</v>
      </c>
      <c r="O94" s="164">
        <f>((VLOOKUP($B$76,Energy_demand!$A$34:$E$66,4,FALSE )))*O25</f>
        <v>0</v>
      </c>
      <c r="P94" s="164">
        <f>((VLOOKUP($B$76,Energy_demand!$A$34:$E$66,4,FALSE )))*P25</f>
        <v>0</v>
      </c>
      <c r="Q94" s="164">
        <f>((VLOOKUP($B$76,Energy_demand!$A$34:$E$66,4,FALSE )))*Q25</f>
        <v>0</v>
      </c>
      <c r="R94" s="164">
        <f>((VLOOKUP($B$76,Energy_demand!$A$34:$E$66,4,FALSE )))*R25</f>
        <v>0</v>
      </c>
      <c r="S94" s="164">
        <f>((VLOOKUP($B$76,Energy_demand!$A$34:$E$66,4,FALSE )))*S25</f>
        <v>0</v>
      </c>
      <c r="T94" s="164">
        <f>((VLOOKUP($B$76,Energy_demand!$A$34:$E$66,4,FALSE )))*T25</f>
        <v>0</v>
      </c>
      <c r="U94" s="164">
        <f>((VLOOKUP($B$76,Energy_demand!$A$34:$E$66,4,FALSE )))*U25</f>
        <v>496140957.87344509</v>
      </c>
      <c r="V94" s="164">
        <f>((VLOOKUP($B$76,Energy_demand!$A$34:$E$66,4,FALSE )))*V25</f>
        <v>469104337.91636378</v>
      </c>
      <c r="W94" s="164">
        <f>((VLOOKUP($B$76,Energy_demand!$A$34:$E$66,4,FALSE )))*W25</f>
        <v>418632788.2494691</v>
      </c>
      <c r="X94" s="164">
        <f>((VLOOKUP($B$76,Energy_demand!$A$34:$E$66,4,FALSE )))*X25</f>
        <v>358483739.67921156</v>
      </c>
      <c r="Y94" s="164">
        <f>((VLOOKUP($B$76,Energy_demand!$A$34:$E$66,4,FALSE )))*Y25</f>
        <v>296463122.8940205</v>
      </c>
      <c r="Z94" s="164">
        <f>((VLOOKUP($B$76,Energy_demand!$A$34:$E$66,4,FALSE )))*Z25</f>
        <v>237691697.94386482</v>
      </c>
      <c r="AA94" s="164">
        <f>((VLOOKUP($B$76,Energy_demand!$A$34:$E$66,4,FALSE )))*AA25</f>
        <v>185251566.08500028</v>
      </c>
      <c r="AB94" s="164">
        <f>((VLOOKUP($B$76,Energy_demand!$A$34:$E$66,4,FALSE )))*AB25</f>
        <v>140632503.71489236</v>
      </c>
    </row>
    <row r="95" spans="1:28">
      <c r="B95" s="163">
        <v>2026</v>
      </c>
      <c r="C95" s="164">
        <f>((VLOOKUP($B$76,Energy_demand!$A$34:$E$66,4,FALSE )))*C26</f>
        <v>0</v>
      </c>
      <c r="D95" s="164">
        <f>((VLOOKUP($B$76,Energy_demand!$A$34:$E$66,4,FALSE )))*D26</f>
        <v>0</v>
      </c>
      <c r="E95" s="164">
        <f>((VLOOKUP($B$76,Energy_demand!$A$34:$E$66,4,FALSE )))*E26</f>
        <v>0</v>
      </c>
      <c r="F95" s="164">
        <f>((VLOOKUP($B$76,Energy_demand!$A$34:$E$66,4,FALSE )))*F26</f>
        <v>0</v>
      </c>
      <c r="G95" s="164">
        <f>((VLOOKUP($B$76,Energy_demand!$A$34:$E$66,4,FALSE )))*G26</f>
        <v>0</v>
      </c>
      <c r="H95" s="164">
        <f>((VLOOKUP($B$76,Energy_demand!$A$34:$E$66,4,FALSE )))*H26</f>
        <v>0</v>
      </c>
      <c r="I95" s="164">
        <f>((VLOOKUP($B$76,Energy_demand!$A$34:$E$66,4,FALSE )))*I26</f>
        <v>0</v>
      </c>
      <c r="J95" s="164">
        <f>((VLOOKUP($B$76,Energy_demand!$A$34:$E$66,4,FALSE )))*J26</f>
        <v>0</v>
      </c>
      <c r="K95" s="164">
        <f>((VLOOKUP($B$76,Energy_demand!$A$34:$E$66,4,FALSE )))*K26</f>
        <v>0</v>
      </c>
      <c r="L95" s="164">
        <f>((VLOOKUP($B$76,Energy_demand!$A$34:$E$66,4,FALSE )))*L26</f>
        <v>0</v>
      </c>
      <c r="M95" s="164">
        <f>((VLOOKUP($B$76,Energy_demand!$A$34:$E$66,4,FALSE )))*M26</f>
        <v>0</v>
      </c>
      <c r="N95" s="164">
        <f>((VLOOKUP($B$76,Energy_demand!$A$34:$E$66,4,FALSE )))*N26</f>
        <v>0</v>
      </c>
      <c r="O95" s="164">
        <f>((VLOOKUP($B$76,Energy_demand!$A$34:$E$66,4,FALSE )))*O26</f>
        <v>0</v>
      </c>
      <c r="P95" s="164">
        <f>((VLOOKUP($B$76,Energy_demand!$A$34:$E$66,4,FALSE )))*P26</f>
        <v>0</v>
      </c>
      <c r="Q95" s="164">
        <f>((VLOOKUP($B$76,Energy_demand!$A$34:$E$66,4,FALSE )))*Q26</f>
        <v>0</v>
      </c>
      <c r="R95" s="164">
        <f>((VLOOKUP($B$76,Energy_demand!$A$34:$E$66,4,FALSE )))*R26</f>
        <v>0</v>
      </c>
      <c r="S95" s="164">
        <f>((VLOOKUP($B$76,Energy_demand!$A$34:$E$66,4,FALSE )))*S26</f>
        <v>0</v>
      </c>
      <c r="T95" s="164">
        <f>((VLOOKUP($B$76,Energy_demand!$A$34:$E$66,4,FALSE )))*T26</f>
        <v>0</v>
      </c>
      <c r="U95" s="164">
        <f>((VLOOKUP($B$76,Energy_demand!$A$34:$E$66,4,FALSE )))*U26</f>
        <v>0</v>
      </c>
      <c r="V95" s="164">
        <f>((VLOOKUP($B$76,Energy_demand!$A$34:$E$66,4,FALSE )))*V26</f>
        <v>496140957.87344509</v>
      </c>
      <c r="W95" s="164">
        <f>((VLOOKUP($B$76,Energy_demand!$A$34:$E$66,4,FALSE )))*W26</f>
        <v>469104337.91636378</v>
      </c>
      <c r="X95" s="164">
        <f>((VLOOKUP($B$76,Energy_demand!$A$34:$E$66,4,FALSE )))*X26</f>
        <v>418632788.2494691</v>
      </c>
      <c r="Y95" s="164">
        <f>((VLOOKUP($B$76,Energy_demand!$A$34:$E$66,4,FALSE )))*Y26</f>
        <v>358483739.67921156</v>
      </c>
      <c r="Z95" s="164">
        <f>((VLOOKUP($B$76,Energy_demand!$A$34:$E$66,4,FALSE )))*Z26</f>
        <v>296463122.8940205</v>
      </c>
      <c r="AA95" s="164">
        <f>((VLOOKUP($B$76,Energy_demand!$A$34:$E$66,4,FALSE )))*AA26</f>
        <v>237691697.94386482</v>
      </c>
      <c r="AB95" s="164">
        <f>((VLOOKUP($B$76,Energy_demand!$A$34:$E$66,4,FALSE )))*AB26</f>
        <v>185251566.08500028</v>
      </c>
    </row>
    <row r="96" spans="1:28">
      <c r="B96" s="163">
        <v>2027</v>
      </c>
      <c r="C96" s="164">
        <f>((VLOOKUP($B$76,Energy_demand!$A$34:$E$66,4,FALSE )))*C27</f>
        <v>0</v>
      </c>
      <c r="D96" s="164">
        <f>((VLOOKUP($B$76,Energy_demand!$A$34:$E$66,4,FALSE )))*D27</f>
        <v>0</v>
      </c>
      <c r="E96" s="164">
        <f>((VLOOKUP($B$76,Energy_demand!$A$34:$E$66,4,FALSE )))*E27</f>
        <v>0</v>
      </c>
      <c r="F96" s="164">
        <f>((VLOOKUP($B$76,Energy_demand!$A$34:$E$66,4,FALSE )))*F27</f>
        <v>0</v>
      </c>
      <c r="G96" s="164">
        <f>((VLOOKUP($B$76,Energy_demand!$A$34:$E$66,4,FALSE )))*G27</f>
        <v>0</v>
      </c>
      <c r="H96" s="164">
        <f>((VLOOKUP($B$76,Energy_demand!$A$34:$E$66,4,FALSE )))*H27</f>
        <v>0</v>
      </c>
      <c r="I96" s="164">
        <f>((VLOOKUP($B$76,Energy_demand!$A$34:$E$66,4,FALSE )))*I27</f>
        <v>0</v>
      </c>
      <c r="J96" s="164">
        <f>((VLOOKUP($B$76,Energy_demand!$A$34:$E$66,4,FALSE )))*J27</f>
        <v>0</v>
      </c>
      <c r="K96" s="164">
        <f>((VLOOKUP($B$76,Energy_demand!$A$34:$E$66,4,FALSE )))*K27</f>
        <v>0</v>
      </c>
      <c r="L96" s="164">
        <f>((VLOOKUP($B$76,Energy_demand!$A$34:$E$66,4,FALSE )))*L27</f>
        <v>0</v>
      </c>
      <c r="M96" s="164">
        <f>((VLOOKUP($B$76,Energy_demand!$A$34:$E$66,4,FALSE )))*M27</f>
        <v>0</v>
      </c>
      <c r="N96" s="164">
        <f>((VLOOKUP($B$76,Energy_demand!$A$34:$E$66,4,FALSE )))*N27</f>
        <v>0</v>
      </c>
      <c r="O96" s="164">
        <f>((VLOOKUP($B$76,Energy_demand!$A$34:$E$66,4,FALSE )))*O27</f>
        <v>0</v>
      </c>
      <c r="P96" s="164">
        <f>((VLOOKUP($B$76,Energy_demand!$A$34:$E$66,4,FALSE )))*P27</f>
        <v>0</v>
      </c>
      <c r="Q96" s="164">
        <f>((VLOOKUP($B$76,Energy_demand!$A$34:$E$66,4,FALSE )))*Q27</f>
        <v>0</v>
      </c>
      <c r="R96" s="164">
        <f>((VLOOKUP($B$76,Energy_demand!$A$34:$E$66,4,FALSE )))*R27</f>
        <v>0</v>
      </c>
      <c r="S96" s="164">
        <f>((VLOOKUP($B$76,Energy_demand!$A$34:$E$66,4,FALSE )))*S27</f>
        <v>0</v>
      </c>
      <c r="T96" s="164">
        <f>((VLOOKUP($B$76,Energy_demand!$A$34:$E$66,4,FALSE )))*T27</f>
        <v>0</v>
      </c>
      <c r="U96" s="164">
        <f>((VLOOKUP($B$76,Energy_demand!$A$34:$E$66,4,FALSE )))*U27</f>
        <v>0</v>
      </c>
      <c r="V96" s="164">
        <f>((VLOOKUP($B$76,Energy_demand!$A$34:$E$66,4,FALSE )))*V27</f>
        <v>0</v>
      </c>
      <c r="W96" s="164">
        <f>((VLOOKUP($B$76,Energy_demand!$A$34:$E$66,4,FALSE )))*W27</f>
        <v>496140957.87344509</v>
      </c>
      <c r="X96" s="164">
        <f>((VLOOKUP($B$76,Energy_demand!$A$34:$E$66,4,FALSE )))*X27</f>
        <v>469104337.91636378</v>
      </c>
      <c r="Y96" s="164">
        <f>((VLOOKUP($B$76,Energy_demand!$A$34:$E$66,4,FALSE )))*Y27</f>
        <v>418632788.2494691</v>
      </c>
      <c r="Z96" s="164">
        <f>((VLOOKUP($B$76,Energy_demand!$A$34:$E$66,4,FALSE )))*Z27</f>
        <v>358483739.67921156</v>
      </c>
      <c r="AA96" s="164">
        <f>((VLOOKUP($B$76,Energy_demand!$A$34:$E$66,4,FALSE )))*AA27</f>
        <v>296463122.8940205</v>
      </c>
      <c r="AB96" s="164">
        <f>((VLOOKUP($B$76,Energy_demand!$A$34:$E$66,4,FALSE )))*AB27</f>
        <v>237691697.94386482</v>
      </c>
    </row>
    <row r="97" spans="1:28">
      <c r="B97" s="163">
        <v>2028</v>
      </c>
      <c r="C97" s="164">
        <f>((VLOOKUP($B$76,Energy_demand!$A$34:$E$66,4,FALSE )))*C28</f>
        <v>0</v>
      </c>
      <c r="D97" s="164">
        <f>((VLOOKUP($B$76,Energy_demand!$A$34:$E$66,4,FALSE )))*D28</f>
        <v>0</v>
      </c>
      <c r="E97" s="164">
        <f>((VLOOKUP($B$76,Energy_demand!$A$34:$E$66,4,FALSE )))*E28</f>
        <v>0</v>
      </c>
      <c r="F97" s="164">
        <f>((VLOOKUP($B$76,Energy_demand!$A$34:$E$66,4,FALSE )))*F28</f>
        <v>0</v>
      </c>
      <c r="G97" s="164">
        <f>((VLOOKUP($B$76,Energy_demand!$A$34:$E$66,4,FALSE )))*G28</f>
        <v>0</v>
      </c>
      <c r="H97" s="164">
        <f>((VLOOKUP($B$76,Energy_demand!$A$34:$E$66,4,FALSE )))*H28</f>
        <v>0</v>
      </c>
      <c r="I97" s="164">
        <f>((VLOOKUP($B$76,Energy_demand!$A$34:$E$66,4,FALSE )))*I28</f>
        <v>0</v>
      </c>
      <c r="J97" s="164">
        <f>((VLOOKUP($B$76,Energy_demand!$A$34:$E$66,4,FALSE )))*J28</f>
        <v>0</v>
      </c>
      <c r="K97" s="164">
        <f>((VLOOKUP($B$76,Energy_demand!$A$34:$E$66,4,FALSE )))*K28</f>
        <v>0</v>
      </c>
      <c r="L97" s="164">
        <f>((VLOOKUP($B$76,Energy_demand!$A$34:$E$66,4,FALSE )))*L28</f>
        <v>0</v>
      </c>
      <c r="M97" s="164">
        <f>((VLOOKUP($B$76,Energy_demand!$A$34:$E$66,4,FALSE )))*M28</f>
        <v>0</v>
      </c>
      <c r="N97" s="164">
        <f>((VLOOKUP($B$76,Energy_demand!$A$34:$E$66,4,FALSE )))*N28</f>
        <v>0</v>
      </c>
      <c r="O97" s="164">
        <f>((VLOOKUP($B$76,Energy_demand!$A$34:$E$66,4,FALSE )))*O28</f>
        <v>0</v>
      </c>
      <c r="P97" s="164">
        <f>((VLOOKUP($B$76,Energy_demand!$A$34:$E$66,4,FALSE )))*P28</f>
        <v>0</v>
      </c>
      <c r="Q97" s="164">
        <f>((VLOOKUP($B$76,Energy_demand!$A$34:$E$66,4,FALSE )))*Q28</f>
        <v>0</v>
      </c>
      <c r="R97" s="164">
        <f>((VLOOKUP($B$76,Energy_demand!$A$34:$E$66,4,FALSE )))*R28</f>
        <v>0</v>
      </c>
      <c r="S97" s="164">
        <f>((VLOOKUP($B$76,Energy_demand!$A$34:$E$66,4,FALSE )))*S28</f>
        <v>0</v>
      </c>
      <c r="T97" s="164">
        <f>((VLOOKUP($B$76,Energy_demand!$A$34:$E$66,4,FALSE )))*T28</f>
        <v>0</v>
      </c>
      <c r="U97" s="164">
        <f>((VLOOKUP($B$76,Energy_demand!$A$34:$E$66,4,FALSE )))*U28</f>
        <v>0</v>
      </c>
      <c r="V97" s="164">
        <f>((VLOOKUP($B$76,Energy_demand!$A$34:$E$66,4,FALSE )))*V28</f>
        <v>0</v>
      </c>
      <c r="W97" s="164">
        <f>((VLOOKUP($B$76,Energy_demand!$A$34:$E$66,4,FALSE )))*W28</f>
        <v>0</v>
      </c>
      <c r="X97" s="164">
        <f>((VLOOKUP($B$76,Energy_demand!$A$34:$E$66,4,FALSE )))*X28</f>
        <v>496140957.87344509</v>
      </c>
      <c r="Y97" s="164">
        <f>((VLOOKUP($B$76,Energy_demand!$A$34:$E$66,4,FALSE )))*Y28</f>
        <v>469104337.91636378</v>
      </c>
      <c r="Z97" s="164">
        <f>((VLOOKUP($B$76,Energy_demand!$A$34:$E$66,4,FALSE )))*Z28</f>
        <v>418632788.2494691</v>
      </c>
      <c r="AA97" s="164">
        <f>((VLOOKUP($B$76,Energy_demand!$A$34:$E$66,4,FALSE )))*AA28</f>
        <v>358483739.67921156</v>
      </c>
      <c r="AB97" s="164">
        <f>((VLOOKUP($B$76,Energy_demand!$A$34:$E$66,4,FALSE )))*AB28</f>
        <v>296463122.8940205</v>
      </c>
    </row>
    <row r="98" spans="1:28">
      <c r="B98" s="163">
        <v>2029</v>
      </c>
      <c r="C98" s="164">
        <f>((VLOOKUP($B$76,Energy_demand!$A$34:$E$66,4,FALSE )))*C29</f>
        <v>0</v>
      </c>
      <c r="D98" s="164">
        <f>((VLOOKUP($B$76,Energy_demand!$A$34:$E$66,4,FALSE )))*D29</f>
        <v>0</v>
      </c>
      <c r="E98" s="164">
        <f>((VLOOKUP($B$76,Energy_demand!$A$34:$E$66,4,FALSE )))*E29</f>
        <v>0</v>
      </c>
      <c r="F98" s="164">
        <f>((VLOOKUP($B$76,Energy_demand!$A$34:$E$66,4,FALSE )))*F29</f>
        <v>0</v>
      </c>
      <c r="G98" s="164">
        <f>((VLOOKUP($B$76,Energy_demand!$A$34:$E$66,4,FALSE )))*G29</f>
        <v>0</v>
      </c>
      <c r="H98" s="164">
        <f>((VLOOKUP($B$76,Energy_demand!$A$34:$E$66,4,FALSE )))*H29</f>
        <v>0</v>
      </c>
      <c r="I98" s="164">
        <f>((VLOOKUP($B$76,Energy_demand!$A$34:$E$66,4,FALSE )))*I29</f>
        <v>0</v>
      </c>
      <c r="J98" s="164">
        <f>((VLOOKUP($B$76,Energy_demand!$A$34:$E$66,4,FALSE )))*J29</f>
        <v>0</v>
      </c>
      <c r="K98" s="164">
        <f>((VLOOKUP($B$76,Energy_demand!$A$34:$E$66,4,FALSE )))*K29</f>
        <v>0</v>
      </c>
      <c r="L98" s="164">
        <f>((VLOOKUP($B$76,Energy_demand!$A$34:$E$66,4,FALSE )))*L29</f>
        <v>0</v>
      </c>
      <c r="M98" s="164">
        <f>((VLOOKUP($B$76,Energy_demand!$A$34:$E$66,4,FALSE )))*M29</f>
        <v>0</v>
      </c>
      <c r="N98" s="164">
        <f>((VLOOKUP($B$76,Energy_demand!$A$34:$E$66,4,FALSE )))*N29</f>
        <v>0</v>
      </c>
      <c r="O98" s="164">
        <f>((VLOOKUP($B$76,Energy_demand!$A$34:$E$66,4,FALSE )))*O29</f>
        <v>0</v>
      </c>
      <c r="P98" s="164">
        <f>((VLOOKUP($B$76,Energy_demand!$A$34:$E$66,4,FALSE )))*P29</f>
        <v>0</v>
      </c>
      <c r="Q98" s="164">
        <f>((VLOOKUP($B$76,Energy_demand!$A$34:$E$66,4,FALSE )))*Q29</f>
        <v>0</v>
      </c>
      <c r="R98" s="164">
        <f>((VLOOKUP($B$76,Energy_demand!$A$34:$E$66,4,FALSE )))*R29</f>
        <v>0</v>
      </c>
      <c r="S98" s="164">
        <f>((VLOOKUP($B$76,Energy_demand!$A$34:$E$66,4,FALSE )))*S29</f>
        <v>0</v>
      </c>
      <c r="T98" s="164">
        <f>((VLOOKUP($B$76,Energy_demand!$A$34:$E$66,4,FALSE )))*T29</f>
        <v>0</v>
      </c>
      <c r="U98" s="164">
        <f>((VLOOKUP($B$76,Energy_demand!$A$34:$E$66,4,FALSE )))*U29</f>
        <v>0</v>
      </c>
      <c r="V98" s="164">
        <f>((VLOOKUP($B$76,Energy_demand!$A$34:$E$66,4,FALSE )))*V29</f>
        <v>0</v>
      </c>
      <c r="W98" s="164">
        <f>((VLOOKUP($B$76,Energy_demand!$A$34:$E$66,4,FALSE )))*W29</f>
        <v>0</v>
      </c>
      <c r="X98" s="164">
        <f>((VLOOKUP($B$76,Energy_demand!$A$34:$E$66,4,FALSE )))*X29</f>
        <v>0</v>
      </c>
      <c r="Y98" s="164">
        <f>((VLOOKUP($B$76,Energy_demand!$A$34:$E$66,4,FALSE )))*Y29</f>
        <v>496140957.87344509</v>
      </c>
      <c r="Z98" s="164">
        <f>((VLOOKUP($B$76,Energy_demand!$A$34:$E$66,4,FALSE )))*Z29</f>
        <v>469104337.91636378</v>
      </c>
      <c r="AA98" s="164">
        <f>((VLOOKUP($B$76,Energy_demand!$A$34:$E$66,4,FALSE )))*AA29</f>
        <v>418632788.2494691</v>
      </c>
      <c r="AB98" s="164">
        <f>((VLOOKUP($B$76,Energy_demand!$A$34:$E$66,4,FALSE )))*AB29</f>
        <v>358483739.67921156</v>
      </c>
    </row>
    <row r="99" spans="1:28">
      <c r="B99" s="163">
        <v>2030</v>
      </c>
      <c r="C99" s="164">
        <f>((VLOOKUP($B$76,Energy_demand!$A$34:$E$66,4,FALSE )))*C30</f>
        <v>0</v>
      </c>
      <c r="D99" s="164">
        <f>((VLOOKUP($B$76,Energy_demand!$A$34:$E$66,4,FALSE )))*D30</f>
        <v>0</v>
      </c>
      <c r="E99" s="164">
        <f>((VLOOKUP($B$76,Energy_demand!$A$34:$E$66,4,FALSE )))*E30</f>
        <v>0</v>
      </c>
      <c r="F99" s="164">
        <f>((VLOOKUP($B$76,Energy_demand!$A$34:$E$66,4,FALSE )))*F30</f>
        <v>0</v>
      </c>
      <c r="G99" s="164">
        <f>((VLOOKUP($B$76,Energy_demand!$A$34:$E$66,4,FALSE )))*G30</f>
        <v>0</v>
      </c>
      <c r="H99" s="164">
        <f>((VLOOKUP($B$76,Energy_demand!$A$34:$E$66,4,FALSE )))*H30</f>
        <v>0</v>
      </c>
      <c r="I99" s="164">
        <f>((VLOOKUP($B$76,Energy_demand!$A$34:$E$66,4,FALSE )))*I30</f>
        <v>0</v>
      </c>
      <c r="J99" s="164">
        <f>((VLOOKUP($B$76,Energy_demand!$A$34:$E$66,4,FALSE )))*J30</f>
        <v>0</v>
      </c>
      <c r="K99" s="164">
        <f>((VLOOKUP($B$76,Energy_demand!$A$34:$E$66,4,FALSE )))*K30</f>
        <v>0</v>
      </c>
      <c r="L99" s="164">
        <f>((VLOOKUP($B$76,Energy_demand!$A$34:$E$66,4,FALSE )))*L30</f>
        <v>0</v>
      </c>
      <c r="M99" s="164">
        <f>((VLOOKUP($B$76,Energy_demand!$A$34:$E$66,4,FALSE )))*M30</f>
        <v>0</v>
      </c>
      <c r="N99" s="164">
        <f>((VLOOKUP($B$76,Energy_demand!$A$34:$E$66,4,FALSE )))*N30</f>
        <v>0</v>
      </c>
      <c r="O99" s="164">
        <f>((VLOOKUP($B$76,Energy_demand!$A$34:$E$66,4,FALSE )))*O30</f>
        <v>0</v>
      </c>
      <c r="P99" s="164">
        <f>((VLOOKUP($B$76,Energy_demand!$A$34:$E$66,4,FALSE )))*P30</f>
        <v>0</v>
      </c>
      <c r="Q99" s="164">
        <f>((VLOOKUP($B$76,Energy_demand!$A$34:$E$66,4,FALSE )))*Q30</f>
        <v>0</v>
      </c>
      <c r="R99" s="164">
        <f>((VLOOKUP($B$76,Energy_demand!$A$34:$E$66,4,FALSE )))*R30</f>
        <v>0</v>
      </c>
      <c r="S99" s="164">
        <f>((VLOOKUP($B$76,Energy_demand!$A$34:$E$66,4,FALSE )))*S30</f>
        <v>0</v>
      </c>
      <c r="T99" s="164">
        <f>((VLOOKUP($B$76,Energy_demand!$A$34:$E$66,4,FALSE )))*T30</f>
        <v>0</v>
      </c>
      <c r="U99" s="164">
        <f>((VLOOKUP($B$76,Energy_demand!$A$34:$E$66,4,FALSE )))*U30</f>
        <v>0</v>
      </c>
      <c r="V99" s="164">
        <f>((VLOOKUP($B$76,Energy_demand!$A$34:$E$66,4,FALSE )))*V30</f>
        <v>0</v>
      </c>
      <c r="W99" s="164">
        <f>((VLOOKUP($B$76,Energy_demand!$A$34:$E$66,4,FALSE )))*W30</f>
        <v>0</v>
      </c>
      <c r="X99" s="164">
        <f>((VLOOKUP($B$76,Energy_demand!$A$34:$E$66,4,FALSE )))*X30</f>
        <v>0</v>
      </c>
      <c r="Y99" s="164">
        <f>((VLOOKUP($B$76,Energy_demand!$A$34:$E$66,4,FALSE )))*Y30</f>
        <v>0</v>
      </c>
      <c r="Z99" s="164">
        <f>((VLOOKUP($B$76,Energy_demand!$A$34:$E$66,4,FALSE )))*Z30</f>
        <v>496140957.87344509</v>
      </c>
      <c r="AA99" s="164">
        <f>((VLOOKUP($B$76,Energy_demand!$A$34:$E$66,4,FALSE )))*AA30</f>
        <v>469104337.91636378</v>
      </c>
      <c r="AB99" s="164">
        <f>((VLOOKUP($B$76,Energy_demand!$A$34:$E$66,4,FALSE )))*AB30</f>
        <v>418632788.2494691</v>
      </c>
    </row>
    <row r="100" spans="1:28">
      <c r="B100" s="163">
        <v>2031</v>
      </c>
      <c r="C100" s="164">
        <f>((VLOOKUP($B$76,Energy_demand!$A$34:$E$66,4,FALSE )))*C31</f>
        <v>0</v>
      </c>
      <c r="D100" s="164">
        <f>((VLOOKUP($B$76,Energy_demand!$A$34:$E$66,4,FALSE )))*D31</f>
        <v>0</v>
      </c>
      <c r="E100" s="164">
        <f>((VLOOKUP($B$76,Energy_demand!$A$34:$E$66,4,FALSE )))*E31</f>
        <v>0</v>
      </c>
      <c r="F100" s="164">
        <f>((VLOOKUP($B$76,Energy_demand!$A$34:$E$66,4,FALSE )))*F31</f>
        <v>0</v>
      </c>
      <c r="G100" s="164">
        <f>((VLOOKUP($B$76,Energy_demand!$A$34:$E$66,4,FALSE )))*G31</f>
        <v>0</v>
      </c>
      <c r="H100" s="164">
        <f>((VLOOKUP($B$76,Energy_demand!$A$34:$E$66,4,FALSE )))*H31</f>
        <v>0</v>
      </c>
      <c r="I100" s="164">
        <f>((VLOOKUP($B$76,Energy_demand!$A$34:$E$66,4,FALSE )))*I31</f>
        <v>0</v>
      </c>
      <c r="J100" s="164">
        <f>((VLOOKUP($B$76,Energy_demand!$A$34:$E$66,4,FALSE )))*J31</f>
        <v>0</v>
      </c>
      <c r="K100" s="164">
        <f>((VLOOKUP($B$76,Energy_demand!$A$34:$E$66,4,FALSE )))*K31</f>
        <v>0</v>
      </c>
      <c r="L100" s="164">
        <f>((VLOOKUP($B$76,Energy_demand!$A$34:$E$66,4,FALSE )))*L31</f>
        <v>0</v>
      </c>
      <c r="M100" s="164">
        <f>((VLOOKUP($B$76,Energy_demand!$A$34:$E$66,4,FALSE )))*M31</f>
        <v>0</v>
      </c>
      <c r="N100" s="164">
        <f>((VLOOKUP($B$76,Energy_demand!$A$34:$E$66,4,FALSE )))*N31</f>
        <v>0</v>
      </c>
      <c r="O100" s="164">
        <f>((VLOOKUP($B$76,Energy_demand!$A$34:$E$66,4,FALSE )))*O31</f>
        <v>0</v>
      </c>
      <c r="P100" s="164">
        <f>((VLOOKUP($B$76,Energy_demand!$A$34:$E$66,4,FALSE )))*P31</f>
        <v>0</v>
      </c>
      <c r="Q100" s="164">
        <f>((VLOOKUP($B$76,Energy_demand!$A$34:$E$66,4,FALSE )))*Q31</f>
        <v>0</v>
      </c>
      <c r="R100" s="164">
        <f>((VLOOKUP($B$76,Energy_demand!$A$34:$E$66,4,FALSE )))*R31</f>
        <v>0</v>
      </c>
      <c r="S100" s="164">
        <f>((VLOOKUP($B$76,Energy_demand!$A$34:$E$66,4,FALSE )))*S31</f>
        <v>0</v>
      </c>
      <c r="T100" s="164">
        <f>((VLOOKUP($B$76,Energy_demand!$A$34:$E$66,4,FALSE )))*T31</f>
        <v>0</v>
      </c>
      <c r="U100" s="164">
        <f>((VLOOKUP($B$76,Energy_demand!$A$34:$E$66,4,FALSE )))*U31</f>
        <v>0</v>
      </c>
      <c r="V100" s="164">
        <f>((VLOOKUP($B$76,Energy_demand!$A$34:$E$66,4,FALSE )))*V31</f>
        <v>0</v>
      </c>
      <c r="W100" s="164">
        <f>((VLOOKUP($B$76,Energy_demand!$A$34:$E$66,4,FALSE )))*W31</f>
        <v>0</v>
      </c>
      <c r="X100" s="164">
        <f>((VLOOKUP($B$76,Energy_demand!$A$34:$E$66,4,FALSE )))*X31</f>
        <v>0</v>
      </c>
      <c r="Y100" s="164">
        <f>((VLOOKUP($B$76,Energy_demand!$A$34:$E$66,4,FALSE )))*Y31</f>
        <v>0</v>
      </c>
      <c r="Z100" s="164">
        <f>((VLOOKUP($B$76,Energy_demand!$A$34:$E$66,4,FALSE )))*Z31</f>
        <v>0</v>
      </c>
      <c r="AA100" s="164">
        <f>((VLOOKUP($B$76,Energy_demand!$A$34:$E$66,4,FALSE )))*AA31</f>
        <v>496140957.87344509</v>
      </c>
      <c r="AB100" s="164">
        <f>((VLOOKUP($B$76,Energy_demand!$A$34:$E$66,4,FALSE )))*AB31</f>
        <v>469104337.91636378</v>
      </c>
    </row>
    <row r="101" spans="1:28">
      <c r="B101" s="163">
        <v>2032</v>
      </c>
      <c r="C101" s="164">
        <f>((VLOOKUP($B$76,Energy_demand!$A$34:$E$66,4,FALSE )))*C32</f>
        <v>0</v>
      </c>
      <c r="D101" s="164">
        <f>((VLOOKUP($B$76,Energy_demand!$A$34:$E$66,4,FALSE )))*D32</f>
        <v>0</v>
      </c>
      <c r="E101" s="164">
        <f>((VLOOKUP($B$76,Energy_demand!$A$34:$E$66,4,FALSE )))*E32</f>
        <v>0</v>
      </c>
      <c r="F101" s="164">
        <f>((VLOOKUP($B$76,Energy_demand!$A$34:$E$66,4,FALSE )))*F32</f>
        <v>0</v>
      </c>
      <c r="G101" s="164">
        <f>((VLOOKUP($B$76,Energy_demand!$A$34:$E$66,4,FALSE )))*G32</f>
        <v>0</v>
      </c>
      <c r="H101" s="164">
        <f>((VLOOKUP($B$76,Energy_demand!$A$34:$E$66,4,FALSE )))*H32</f>
        <v>0</v>
      </c>
      <c r="I101" s="164">
        <f>((VLOOKUP($B$76,Energy_demand!$A$34:$E$66,4,FALSE )))*I32</f>
        <v>0</v>
      </c>
      <c r="J101" s="164">
        <f>((VLOOKUP($B$76,Energy_demand!$A$34:$E$66,4,FALSE )))*J32</f>
        <v>0</v>
      </c>
      <c r="K101" s="164">
        <f>((VLOOKUP($B$76,Energy_demand!$A$34:$E$66,4,FALSE )))*K32</f>
        <v>0</v>
      </c>
      <c r="L101" s="164">
        <f>((VLOOKUP($B$76,Energy_demand!$A$34:$E$66,4,FALSE )))*L32</f>
        <v>0</v>
      </c>
      <c r="M101" s="164">
        <f>((VLOOKUP($B$76,Energy_demand!$A$34:$E$66,4,FALSE )))*M32</f>
        <v>0</v>
      </c>
      <c r="N101" s="164">
        <f>((VLOOKUP($B$76,Energy_demand!$A$34:$E$66,4,FALSE )))*N32</f>
        <v>0</v>
      </c>
      <c r="O101" s="164">
        <f>((VLOOKUP($B$76,Energy_demand!$A$34:$E$66,4,FALSE )))*O32</f>
        <v>0</v>
      </c>
      <c r="P101" s="164">
        <f>((VLOOKUP($B$76,Energy_demand!$A$34:$E$66,4,FALSE )))*P32</f>
        <v>0</v>
      </c>
      <c r="Q101" s="164">
        <f>((VLOOKUP($B$76,Energy_demand!$A$34:$E$66,4,FALSE )))*Q32</f>
        <v>0</v>
      </c>
      <c r="R101" s="164">
        <f>((VLOOKUP($B$76,Energy_demand!$A$34:$E$66,4,FALSE )))*R32</f>
        <v>0</v>
      </c>
      <c r="S101" s="164">
        <f>((VLOOKUP($B$76,Energy_demand!$A$34:$E$66,4,FALSE )))*S32</f>
        <v>0</v>
      </c>
      <c r="T101" s="164">
        <f>((VLOOKUP($B$76,Energy_demand!$A$34:$E$66,4,FALSE )))*T32</f>
        <v>0</v>
      </c>
      <c r="U101" s="164">
        <f>((VLOOKUP($B$76,Energy_demand!$A$34:$E$66,4,FALSE )))*U32</f>
        <v>0</v>
      </c>
      <c r="V101" s="164">
        <f>((VLOOKUP($B$76,Energy_demand!$A$34:$E$66,4,FALSE )))*V32</f>
        <v>0</v>
      </c>
      <c r="W101" s="164">
        <f>((VLOOKUP($B$76,Energy_demand!$A$34:$E$66,4,FALSE )))*W32</f>
        <v>0</v>
      </c>
      <c r="X101" s="164">
        <f>((VLOOKUP($B$76,Energy_demand!$A$34:$E$66,4,FALSE )))*X32</f>
        <v>0</v>
      </c>
      <c r="Y101" s="164">
        <f>((VLOOKUP($B$76,Energy_demand!$A$34:$E$66,4,FALSE )))*Y32</f>
        <v>0</v>
      </c>
      <c r="Z101" s="164">
        <f>((VLOOKUP($B$76,Energy_demand!$A$34:$E$66,4,FALSE )))*Z32</f>
        <v>0</v>
      </c>
      <c r="AA101" s="164">
        <f>((VLOOKUP($B$76,Energy_demand!$A$34:$E$66,4,FALSE )))*AA32</f>
        <v>0</v>
      </c>
      <c r="AB101" s="164">
        <f>((VLOOKUP($B$76,Energy_demand!$A$34:$E$66,4,FALSE )))*AB32</f>
        <v>496140957.87344509</v>
      </c>
    </row>
    <row r="103" spans="1:28" ht="21">
      <c r="B103" s="52" t="s">
        <v>7763</v>
      </c>
    </row>
    <row r="104" spans="1:28">
      <c r="A104" s="1" t="s">
        <v>7762</v>
      </c>
      <c r="B104" s="163">
        <v>2007</v>
      </c>
      <c r="C104" s="164">
        <f>(C76*Emissions_factors!$E$20)/1000</f>
        <v>76624.61534796709</v>
      </c>
      <c r="D104" s="164">
        <f>(D76*Emissions_factors!$E$20)/1000</f>
        <v>72449.04674867203</v>
      </c>
      <c r="E104" s="164">
        <f>(E76*Emissions_factors!$E$20)/1000</f>
        <v>64654.158989721662</v>
      </c>
      <c r="F104" s="164">
        <f>(F76*Emissions_factors!$E$20)/1000</f>
        <v>55364.666483404959</v>
      </c>
      <c r="G104" s="164">
        <f>(G76*Emissions_factors!$E$20)/1000</f>
        <v>45786.126696691455</v>
      </c>
      <c r="H104" s="164">
        <f>(H76*Emissions_factors!$E$20)/1000</f>
        <v>36709.396064413566</v>
      </c>
      <c r="I104" s="164">
        <f>(I76*Emissions_factors!$E$20)/1000</f>
        <v>28610.47806799383</v>
      </c>
      <c r="J104" s="164">
        <f>(J76*Emissions_factors!$E$20)/1000</f>
        <v>21719.455593351522</v>
      </c>
      <c r="K104" s="164">
        <f>(K76*Emissions_factors!$E$20)/1000</f>
        <v>16085.537311841639</v>
      </c>
      <c r="L104" s="164">
        <f>(L76*Emissions_factors!$E$20)/1000</f>
        <v>11637.126944106803</v>
      </c>
      <c r="M104" s="164">
        <f>(M76*Emissions_factors!$E$20)/1000</f>
        <v>8232.8339399444103</v>
      </c>
      <c r="N104" s="164">
        <f>(N76*Emissions_factors!$E$20)/1000</f>
        <v>5700.9590987607407</v>
      </c>
      <c r="O104" s="164">
        <f>(O76*Emissions_factors!$E$20)/1000</f>
        <v>3867.1434061275609</v>
      </c>
      <c r="P104" s="164">
        <f>(P76*Emissions_factors!$E$20)/1000</f>
        <v>2571.4808947507468</v>
      </c>
      <c r="Q104" s="164">
        <f>(Q76*Emissions_factors!$E$20)/1000</f>
        <v>1677.2582696924578</v>
      </c>
      <c r="R104" s="164">
        <f>(R76*Emissions_factors!$E$20)/1000</f>
        <v>1073.7054701023635</v>
      </c>
      <c r="S104" s="164">
        <f>(S76*Emissions_factors!$E$20)/1000</f>
        <v>674.93282846849047</v>
      </c>
      <c r="T104" s="164">
        <f>(T76*Emissions_factors!$E$20)/1000</f>
        <v>416.80016194117479</v>
      </c>
      <c r="U104" s="164">
        <f>(U76*Emissions_factors!$E$20)/1000</f>
        <v>252.97171968633032</v>
      </c>
      <c r="V104" s="164">
        <f>(V76*Emissions_factors!$E$20)/1000</f>
        <v>150.96039313301503</v>
      </c>
      <c r="W104" s="164">
        <f>(W76*Emissions_factors!$E$20)/1000</f>
        <v>88.605042243207251</v>
      </c>
      <c r="X104" s="164">
        <f>(X76*Emissions_factors!$E$20)/1000</f>
        <v>51.168707757083553</v>
      </c>
      <c r="Y104" s="164">
        <f>(Y76*Emissions_factors!$E$20)/1000</f>
        <v>29.082877419851187</v>
      </c>
      <c r="Z104" s="164">
        <f>(Z76*Emissions_factors!$E$20)/1000</f>
        <v>16.273640620228377</v>
      </c>
      <c r="AA104" s="164">
        <f>(AA76*Emissions_factors!$E$20)/1000</f>
        <v>8.9673915788576721</v>
      </c>
      <c r="AB104" s="164">
        <f>(AB76*Emissions_factors!$E$20)/1000</f>
        <v>4.8673679701311139</v>
      </c>
    </row>
    <row r="105" spans="1:28">
      <c r="B105" s="163">
        <v>2008</v>
      </c>
      <c r="C105" s="164">
        <f>(C77*Emissions_factors!$E$20)/1000</f>
        <v>0</v>
      </c>
      <c r="D105" s="164">
        <f>(D77*Emissions_factors!$E$20)/1000</f>
        <v>119122.87832625194</v>
      </c>
      <c r="E105" s="164">
        <f>(E77*Emissions_factors!$E$20)/1000</f>
        <v>112631.41669948974</v>
      </c>
      <c r="F105" s="164">
        <f>(F77*Emissions_factors!$E$20)/1000</f>
        <v>100513.25516798301</v>
      </c>
      <c r="G105" s="164">
        <f>(G77*Emissions_factors!$E$20)/1000</f>
        <v>86071.537183268127</v>
      </c>
      <c r="H105" s="164">
        <f>(H77*Emissions_factors!$E$20)/1000</f>
        <v>71180.457803956015</v>
      </c>
      <c r="I105" s="164">
        <f>(I77*Emissions_factors!$E$20)/1000</f>
        <v>57069.505679774302</v>
      </c>
      <c r="J105" s="164">
        <f>(J77*Emissions_factors!$E$20)/1000</f>
        <v>44478.689808391311</v>
      </c>
      <c r="K105" s="164">
        <f>(K77*Emissions_factors!$E$20)/1000</f>
        <v>33765.703804317869</v>
      </c>
      <c r="L105" s="164">
        <f>(L77*Emissions_factors!$E$20)/1000</f>
        <v>25007.04891384142</v>
      </c>
      <c r="M105" s="164">
        <f>(M77*Emissions_factors!$E$20)/1000</f>
        <v>18091.419457504151</v>
      </c>
      <c r="N105" s="164">
        <f>(N77*Emissions_factors!$E$20)/1000</f>
        <v>12799.005531768122</v>
      </c>
      <c r="O105" s="164">
        <f>(O77*Emissions_factors!$E$20)/1000</f>
        <v>8862.8785146995451</v>
      </c>
      <c r="P105" s="164">
        <f>(P77*Emissions_factors!$E$20)/1000</f>
        <v>6011.9747596295474</v>
      </c>
      <c r="Q105" s="164">
        <f>(Q77*Emissions_factors!$E$20)/1000</f>
        <v>3997.6997516086271</v>
      </c>
      <c r="R105" s="164">
        <f>(R77*Emissions_factors!$E$20)/1000</f>
        <v>2607.5149855558175</v>
      </c>
      <c r="S105" s="164">
        <f>(S77*Emissions_factors!$E$20)/1000</f>
        <v>1669.2140703402349</v>
      </c>
      <c r="T105" s="164">
        <f>(T77*Emissions_factors!$E$20)/1000</f>
        <v>1049.2704053251489</v>
      </c>
      <c r="U105" s="164">
        <f>(U77*Emissions_factors!$E$20)/1000</f>
        <v>647.96977775103335</v>
      </c>
      <c r="V105" s="164">
        <f>(V77*Emissions_factors!$E$20)/1000</f>
        <v>393.27726798144295</v>
      </c>
      <c r="W105" s="164">
        <f>(W77*Emissions_factors!$E$20)/1000</f>
        <v>234.68746252889875</v>
      </c>
      <c r="X105" s="164">
        <f>(X77*Emissions_factors!$E$20)/1000</f>
        <v>137.74800197427706</v>
      </c>
      <c r="Y105" s="164">
        <f>(Y77*Emissions_factors!$E$20)/1000</f>
        <v>79.548376465948849</v>
      </c>
      <c r="Z105" s="164">
        <f>(Z77*Emissions_factors!$E$20)/1000</f>
        <v>45.213095720344739</v>
      </c>
      <c r="AA105" s="164">
        <f>(AA77*Emissions_factors!$E$20)/1000</f>
        <v>25.29947984371902</v>
      </c>
      <c r="AB105" s="164">
        <f>(AB77*Emissions_factors!$E$20)/1000</f>
        <v>13.940970419246083</v>
      </c>
    </row>
    <row r="106" spans="1:28">
      <c r="B106" s="163">
        <v>2009</v>
      </c>
      <c r="C106" s="164">
        <f>(C78*Emissions_factors!$E$20)/1000</f>
        <v>0</v>
      </c>
      <c r="D106" s="164">
        <f>(D78*Emissions_factors!$E$20)/1000</f>
        <v>0</v>
      </c>
      <c r="E106" s="164">
        <f>(E78*Emissions_factors!$E$20)/1000</f>
        <v>113896.79384439465</v>
      </c>
      <c r="F106" s="164">
        <f>(F78*Emissions_factors!$E$20)/1000</f>
        <v>107690.12156581527</v>
      </c>
      <c r="G106" s="164">
        <f>(G78*Emissions_factors!$E$20)/1000</f>
        <v>96103.600444767726</v>
      </c>
      <c r="H106" s="164">
        <f>(H78*Emissions_factors!$E$20)/1000</f>
        <v>82295.460487311138</v>
      </c>
      <c r="I106" s="164">
        <f>(I78*Emissions_factors!$E$20)/1000</f>
        <v>68057.673237569557</v>
      </c>
      <c r="J106" s="164">
        <f>(J78*Emissions_factors!$E$20)/1000</f>
        <v>54565.787987497839</v>
      </c>
      <c r="K106" s="164">
        <f>(K78*Emissions_factors!$E$20)/1000</f>
        <v>42527.34852242651</v>
      </c>
      <c r="L106" s="164">
        <f>(L78*Emissions_factors!$E$20)/1000</f>
        <v>32284.355946121876</v>
      </c>
      <c r="M106" s="164">
        <f>(M78*Emissions_factors!$E$20)/1000</f>
        <v>23909.955289997448</v>
      </c>
      <c r="N106" s="164">
        <f>(N78*Emissions_factors!$E$20)/1000</f>
        <v>17297.724007813213</v>
      </c>
      <c r="O106" s="164">
        <f>(O78*Emissions_factors!$E$20)/1000</f>
        <v>12237.495558767092</v>
      </c>
      <c r="P106" s="164">
        <f>(P78*Emissions_factors!$E$20)/1000</f>
        <v>8474.0518466316189</v>
      </c>
      <c r="Q106" s="164">
        <f>(Q78*Emissions_factors!$E$20)/1000</f>
        <v>5748.2211596655879</v>
      </c>
      <c r="R106" s="164">
        <f>(R78*Emissions_factors!$E$20)/1000</f>
        <v>3822.3151661406118</v>
      </c>
      <c r="S106" s="164">
        <f>(S78*Emissions_factors!$E$20)/1000</f>
        <v>2493.1197174621279</v>
      </c>
      <c r="T106" s="164">
        <f>(T78*Emissions_factors!$E$20)/1000</f>
        <v>1595.9833536846884</v>
      </c>
      <c r="U106" s="164">
        <f>(U78*Emissions_factors!$E$20)/1000</f>
        <v>1003.2374697581998</v>
      </c>
      <c r="V106" s="164">
        <f>(V78*Emissions_factors!$E$20)/1000</f>
        <v>619.54245255710453</v>
      </c>
      <c r="W106" s="164">
        <f>(W78*Emissions_factors!$E$20)/1000</f>
        <v>376.02365342693213</v>
      </c>
      <c r="X106" s="164">
        <f>(X78*Emissions_factors!$E$20)/1000</f>
        <v>224.39140082151098</v>
      </c>
      <c r="Y106" s="164">
        <f>(Y78*Emissions_factors!$E$20)/1000</f>
        <v>131.70480770597698</v>
      </c>
      <c r="Z106" s="164">
        <f>(Z78*Emissions_factors!$E$20)/1000</f>
        <v>76.058479800867858</v>
      </c>
      <c r="AA106" s="164">
        <f>(AA78*Emissions_factors!$E$20)/1000</f>
        <v>43.229535037117458</v>
      </c>
      <c r="AB106" s="164">
        <f>(AB78*Emissions_factors!$E$20)/1000</f>
        <v>24.189556872850183</v>
      </c>
    </row>
    <row r="107" spans="1:28">
      <c r="B107" s="163">
        <v>2010</v>
      </c>
      <c r="C107" s="164">
        <f>(C79*Emissions_factors!$E$20)/1000</f>
        <v>0</v>
      </c>
      <c r="D107" s="164">
        <f>(D79*Emissions_factors!$E$20)/1000</f>
        <v>0</v>
      </c>
      <c r="E107" s="164">
        <f>(E79*Emissions_factors!$E$20)/1000</f>
        <v>0</v>
      </c>
      <c r="F107" s="164">
        <f>(F79*Emissions_factors!$E$20)/1000</f>
        <v>63777.219338326038</v>
      </c>
      <c r="G107" s="164">
        <f>(G79*Emissions_factors!$E$20)/1000</f>
        <v>60301.754525744342</v>
      </c>
      <c r="H107" s="164">
        <f>(H79*Emissions_factors!$E$20)/1000</f>
        <v>53813.809835090833</v>
      </c>
      <c r="I107" s="164">
        <f>(I79*Emissions_factors!$E$20)/1000</f>
        <v>46081.855835365925</v>
      </c>
      <c r="J107" s="164">
        <f>(J79*Emissions_factors!$E$20)/1000</f>
        <v>38109.318157441812</v>
      </c>
      <c r="K107" s="164">
        <f>(K79*Emissions_factors!$E$20)/1000</f>
        <v>30554.452951517509</v>
      </c>
      <c r="L107" s="164">
        <f>(L79*Emissions_factors!$E$20)/1000</f>
        <v>23813.453768485637</v>
      </c>
      <c r="M107" s="164">
        <f>(M79*Emissions_factors!$E$20)/1000</f>
        <v>18077.826257211524</v>
      </c>
      <c r="N107" s="164">
        <f>(N79*Emissions_factors!$E$20)/1000</f>
        <v>13388.528433759628</v>
      </c>
      <c r="O107" s="164">
        <f>(O79*Emissions_factors!$E$20)/1000</f>
        <v>9685.9683303054153</v>
      </c>
      <c r="P107" s="164">
        <f>(P79*Emissions_factors!$E$20)/1000</f>
        <v>6852.461882900403</v>
      </c>
      <c r="Q107" s="164">
        <f>(Q79*Emissions_factors!$E$20)/1000</f>
        <v>4745.0981284454256</v>
      </c>
      <c r="R107" s="164">
        <f>(R79*Emissions_factors!$E$20)/1000</f>
        <v>3218.7522522017093</v>
      </c>
      <c r="S107" s="164">
        <f>(S79*Emissions_factors!$E$20)/1000</f>
        <v>2140.3291919191911</v>
      </c>
      <c r="T107" s="164">
        <f>(T79*Emissions_factors!$E$20)/1000</f>
        <v>1396.0379189823252</v>
      </c>
      <c r="U107" s="164">
        <f>(U79*Emissions_factors!$E$20)/1000</f>
        <v>893.68082254648084</v>
      </c>
      <c r="V107" s="164">
        <f>(V79*Emissions_factors!$E$20)/1000</f>
        <v>561.76907178449846</v>
      </c>
      <c r="W107" s="164">
        <f>(W79*Emissions_factors!$E$20)/1000</f>
        <v>346.91665632064235</v>
      </c>
      <c r="X107" s="164">
        <f>(X79*Emissions_factors!$E$20)/1000</f>
        <v>210.55678752267519</v>
      </c>
      <c r="Y107" s="164">
        <f>(Y79*Emissions_factors!$E$20)/1000</f>
        <v>125.64936294325767</v>
      </c>
      <c r="Z107" s="164">
        <f>(Z79*Emissions_factors!$E$20)/1000</f>
        <v>73.748927651570895</v>
      </c>
      <c r="AA107" s="164">
        <f>(AA79*Emissions_factors!$E$20)/1000</f>
        <v>42.589419640966646</v>
      </c>
      <c r="AB107" s="164">
        <f>(AB79*Emissions_factors!$E$20)/1000</f>
        <v>24.206647482305556</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59884.445264706199</v>
      </c>
      <c r="H108" s="164">
        <f>(H80*Emissions_factors!$E$20)/1000</f>
        <v>56621.112612424979</v>
      </c>
      <c r="I108" s="164">
        <f>(I80*Emissions_factors!$E$20)/1000</f>
        <v>50529.173002345415</v>
      </c>
      <c r="J108" s="164">
        <f>(J80*Emissions_factors!$E$20)/1000</f>
        <v>43269.154756182936</v>
      </c>
      <c r="K108" s="164">
        <f>(K80*Emissions_factors!$E$20)/1000</f>
        <v>35783.237352638367</v>
      </c>
      <c r="L108" s="164">
        <f>(L80*Emissions_factors!$E$20)/1000</f>
        <v>28689.4989206379</v>
      </c>
      <c r="M108" s="164">
        <f>(M80*Emissions_factors!$E$20)/1000</f>
        <v>22359.950520851911</v>
      </c>
      <c r="N108" s="164">
        <f>(N80*Emissions_factors!$E$20)/1000</f>
        <v>16974.408860034611</v>
      </c>
      <c r="O108" s="164">
        <f>(O80*Emissions_factors!$E$20)/1000</f>
        <v>12571.331997295652</v>
      </c>
      <c r="P108" s="164">
        <f>(P80*Emissions_factors!$E$20)/1000</f>
        <v>9094.7652834291293</v>
      </c>
      <c r="Q108" s="164">
        <f>(Q80*Emissions_factors!$E$20)/1000</f>
        <v>6434.2077439622244</v>
      </c>
      <c r="R108" s="164">
        <f>(R80*Emissions_factors!$E$20)/1000</f>
        <v>4455.4712810721339</v>
      </c>
      <c r="S108" s="164">
        <f>(S80*Emissions_factors!$E$20)/1000</f>
        <v>3022.2890722956108</v>
      </c>
      <c r="T108" s="164">
        <f>(T80*Emissions_factors!$E$20)/1000</f>
        <v>2009.6897869128991</v>
      </c>
      <c r="U108" s="164">
        <f>(U80*Emissions_factors!$E$20)/1000</f>
        <v>1310.8278663461981</v>
      </c>
      <c r="V108" s="164">
        <f>(V80*Emissions_factors!$E$20)/1000</f>
        <v>839.13317101521397</v>
      </c>
      <c r="W108" s="164">
        <f>(W80*Emissions_factors!$E$20)/1000</f>
        <v>527.48033827287566</v>
      </c>
      <c r="X108" s="164">
        <f>(X80*Emissions_factors!$E$20)/1000</f>
        <v>325.74188295418526</v>
      </c>
      <c r="Y108" s="164">
        <f>(Y80*Emissions_factors!$E$20)/1000</f>
        <v>197.70501988531768</v>
      </c>
      <c r="Z108" s="164">
        <f>(Z80*Emissions_factors!$E$20)/1000</f>
        <v>117.9800950211545</v>
      </c>
      <c r="AA108" s="164">
        <f>(AA80*Emissions_factors!$E$20)/1000</f>
        <v>69.247509802097824</v>
      </c>
      <c r="AB108" s="164">
        <f>(AB80*Emissions_factors!$E$20)/1000</f>
        <v>39.989886605363751</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71495.844840115358</v>
      </c>
      <c r="I109" s="164">
        <f>(I81*Emissions_factors!$E$20)/1000</f>
        <v>67599.762578054419</v>
      </c>
      <c r="J109" s="164">
        <f>(J81*Emissions_factors!$E$20)/1000</f>
        <v>60326.615649626612</v>
      </c>
      <c r="K109" s="164">
        <f>(K81*Emissions_factors!$E$20)/1000</f>
        <v>51658.903428704434</v>
      </c>
      <c r="L109" s="164">
        <f>(L81*Emissions_factors!$E$20)/1000</f>
        <v>42721.490936963834</v>
      </c>
      <c r="M109" s="164">
        <f>(M81*Emissions_factors!$E$20)/1000</f>
        <v>34252.299646490625</v>
      </c>
      <c r="N109" s="164">
        <f>(N81*Emissions_factors!$E$20)/1000</f>
        <v>26695.47235521724</v>
      </c>
      <c r="O109" s="164">
        <f>(O81*Emissions_factors!$E$20)/1000</f>
        <v>20265.691645723015</v>
      </c>
      <c r="P109" s="164">
        <f>(P81*Emissions_factors!$E$20)/1000</f>
        <v>15008.872469959195</v>
      </c>
      <c r="Q109" s="164">
        <f>(Q81*Emissions_factors!$E$20)/1000</f>
        <v>10858.210753845689</v>
      </c>
      <c r="R109" s="164">
        <f>(R81*Emissions_factors!$E$20)/1000</f>
        <v>7681.7797426022244</v>
      </c>
      <c r="S109" s="164">
        <f>(S81*Emissions_factors!$E$20)/1000</f>
        <v>5319.3727017600695</v>
      </c>
      <c r="T109" s="164">
        <f>(T81*Emissions_factors!$E$20)/1000</f>
        <v>3608.3011142490086</v>
      </c>
      <c r="U109" s="164">
        <f>(U81*Emissions_factors!$E$20)/1000</f>
        <v>2399.3621139306383</v>
      </c>
      <c r="V109" s="164">
        <f>(V81*Emissions_factors!$E$20)/1000</f>
        <v>1564.9931351976934</v>
      </c>
      <c r="W109" s="164">
        <f>(W81*Emissions_factors!$E$20)/1000</f>
        <v>1001.8383693779723</v>
      </c>
      <c r="X109" s="164">
        <f>(X81*Emissions_factors!$E$20)/1000</f>
        <v>629.75706386973241</v>
      </c>
      <c r="Y109" s="164">
        <f>(Y81*Emissions_factors!$E$20)/1000</f>
        <v>388.90217682863431</v>
      </c>
      <c r="Z109" s="164">
        <f>(Z81*Emissions_factors!$E$20)/1000</f>
        <v>236.03938156814354</v>
      </c>
      <c r="AA109" s="164">
        <f>(AA81*Emissions_factors!$E$20)/1000</f>
        <v>140.85605252865005</v>
      </c>
      <c r="AB109" s="164">
        <f>(AB81*Emissions_factors!$E$20)/1000</f>
        <v>82.674377202472726</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69354.870030819278</v>
      </c>
      <c r="J110" s="164">
        <f>(J82*Emissions_factors!$E$20)/1000</f>
        <v>65575.457681487838</v>
      </c>
      <c r="K110" s="164">
        <f>(K82*Emissions_factors!$E$20)/1000</f>
        <v>58520.108366234548</v>
      </c>
      <c r="L110" s="164">
        <f>(L82*Emissions_factors!$E$20)/1000</f>
        <v>50111.954635189955</v>
      </c>
      <c r="M110" s="164">
        <f>(M82*Emissions_factors!$E$20)/1000</f>
        <v>41442.176927651089</v>
      </c>
      <c r="N110" s="164">
        <f>(N82*Emissions_factors!$E$20)/1000</f>
        <v>33226.599329673743</v>
      </c>
      <c r="O110" s="164">
        <f>(O82*Emissions_factors!$E$20)/1000</f>
        <v>25896.064585960259</v>
      </c>
      <c r="P110" s="164">
        <f>(P82*Emissions_factors!$E$20)/1000</f>
        <v>19658.826513861393</v>
      </c>
      <c r="Q110" s="164">
        <f>(Q82*Emissions_factors!$E$20)/1000</f>
        <v>14559.425121711482</v>
      </c>
      <c r="R110" s="164">
        <f>(R82*Emissions_factors!$E$20)/1000</f>
        <v>10533.056813081741</v>
      </c>
      <c r="S110" s="164">
        <f>(S82*Emissions_factors!$E$20)/1000</f>
        <v>7451.7454384234125</v>
      </c>
      <c r="T110" s="164">
        <f>(T82*Emissions_factors!$E$20)/1000</f>
        <v>5160.0817250439577</v>
      </c>
      <c r="U110" s="164">
        <f>(U82*Emissions_factors!$E$20)/1000</f>
        <v>3500.248935730971</v>
      </c>
      <c r="V110" s="164">
        <f>(V82*Emissions_factors!$E$20)/1000</f>
        <v>2327.5121504006938</v>
      </c>
      <c r="W110" s="164">
        <f>(W82*Emissions_factors!$E$20)/1000</f>
        <v>1518.1287210954129</v>
      </c>
      <c r="X110" s="164">
        <f>(X82*Emissions_factors!$E$20)/1000</f>
        <v>971.83787471116909</v>
      </c>
      <c r="Y110" s="164">
        <f>(Y82*Emissions_factors!$E$20)/1000</f>
        <v>610.89870905573571</v>
      </c>
      <c r="Z110" s="164">
        <f>(Z82*Emissions_factors!$E$20)/1000</f>
        <v>377.25632851769393</v>
      </c>
      <c r="AA110" s="164">
        <f>(AA82*Emissions_factors!$E$20)/1000</f>
        <v>228.97107751398025</v>
      </c>
      <c r="AB110" s="164">
        <f>(AB82*Emissions_factors!$E$20)/1000</f>
        <v>136.6380555125281</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65986.331859294194</v>
      </c>
      <c r="K111" s="164">
        <f>(K83*Emissions_factors!$E$20)/1000</f>
        <v>62390.484049251754</v>
      </c>
      <c r="L111" s="164">
        <f>(L83*Emissions_factors!$E$20)/1000</f>
        <v>55677.81021549405</v>
      </c>
      <c r="M111" s="164">
        <f>(M83*Emissions_factors!$E$20)/1000</f>
        <v>47678.037132881043</v>
      </c>
      <c r="N111" s="164">
        <f>(N83*Emissions_factors!$E$20)/1000</f>
        <v>39429.347045195027</v>
      </c>
      <c r="O111" s="164">
        <f>(O83*Emissions_factors!$E$20)/1000</f>
        <v>31612.796750240756</v>
      </c>
      <c r="P111" s="164">
        <f>(P83*Emissions_factors!$E$20)/1000</f>
        <v>24638.30313371728</v>
      </c>
      <c r="Q111" s="164">
        <f>(Q83*Emissions_factors!$E$20)/1000</f>
        <v>18704.005208740284</v>
      </c>
      <c r="R111" s="164">
        <f>(R83*Emissions_factors!$E$20)/1000</f>
        <v>13852.279693334889</v>
      </c>
      <c r="S111" s="164">
        <f>(S83*Emissions_factors!$E$20)/1000</f>
        <v>10021.47047571363</v>
      </c>
      <c r="T111" s="164">
        <f>(T83*Emissions_factors!$E$20)/1000</f>
        <v>7089.8171564921968</v>
      </c>
      <c r="U111" s="164">
        <f>(U83*Emissions_factors!$E$20)/1000</f>
        <v>4909.4586289113349</v>
      </c>
      <c r="V111" s="164">
        <f>(V83*Emissions_factors!$E$20)/1000</f>
        <v>3330.2432512763617</v>
      </c>
      <c r="W111" s="164">
        <f>(W83*Emissions_factors!$E$20)/1000</f>
        <v>2214.4658204194084</v>
      </c>
      <c r="X111" s="164">
        <f>(X83*Emissions_factors!$E$20)/1000</f>
        <v>1444.3938190759011</v>
      </c>
      <c r="Y111" s="164">
        <f>(Y83*Emissions_factors!$E$20)/1000</f>
        <v>924.63609960808446</v>
      </c>
      <c r="Z111" s="164">
        <f>(Z83*Emissions_factors!$E$20)/1000</f>
        <v>581.22760420794054</v>
      </c>
      <c r="AA111" s="164">
        <f>(AA83*Emissions_factors!$E$20)/1000</f>
        <v>358.93314021820532</v>
      </c>
      <c r="AB111" s="164">
        <f>(AB83*Emissions_factors!$E$20)/1000</f>
        <v>217.85004427668434</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63309.028744266994</v>
      </c>
      <c r="L112" s="164">
        <f>(L84*Emissions_factors!$E$20)/1000</f>
        <v>59859.077429327794</v>
      </c>
      <c r="M112" s="164">
        <f>(M84*Emissions_factors!$E$20)/1000</f>
        <v>53418.760946841008</v>
      </c>
      <c r="N112" s="164">
        <f>(N84*Emissions_factors!$E$20)/1000</f>
        <v>45743.567467156397</v>
      </c>
      <c r="O112" s="164">
        <f>(O84*Emissions_factors!$E$20)/1000</f>
        <v>37829.556441700217</v>
      </c>
      <c r="P112" s="164">
        <f>(P84*Emissions_factors!$E$20)/1000</f>
        <v>30330.1517413529</v>
      </c>
      <c r="Q112" s="164">
        <f>(Q84*Emissions_factors!$E$20)/1000</f>
        <v>23638.638447558576</v>
      </c>
      <c r="R112" s="164">
        <f>(R84*Emissions_factors!$E$20)/1000</f>
        <v>17945.116360128039</v>
      </c>
      <c r="S112" s="164">
        <f>(S84*Emissions_factors!$E$20)/1000</f>
        <v>13290.24282102813</v>
      </c>
      <c r="T112" s="164">
        <f>(T84*Emissions_factors!$E$20)/1000</f>
        <v>9614.8633289640093</v>
      </c>
      <c r="U112" s="164">
        <f>(U84*Emissions_factors!$E$20)/1000</f>
        <v>6802.1577424407351</v>
      </c>
      <c r="V112" s="164">
        <f>(V84*Emissions_factors!$E$20)/1000</f>
        <v>4710.2642122810958</v>
      </c>
      <c r="W112" s="164">
        <f>(W84*Emissions_factors!$E$20)/1000</f>
        <v>3195.1232896235056</v>
      </c>
      <c r="X112" s="164">
        <f>(X84*Emissions_factors!$E$20)/1000</f>
        <v>2124.6169672997594</v>
      </c>
      <c r="Y112" s="164">
        <f>(Y84*Emissions_factors!$E$20)/1000</f>
        <v>1385.7895602517569</v>
      </c>
      <c r="Z112" s="164">
        <f>(Z84*Emissions_factors!$E$20)/1000</f>
        <v>887.12028322620074</v>
      </c>
      <c r="AA112" s="164">
        <f>(AA84*Emissions_factors!$E$20)/1000</f>
        <v>557.64510717501082</v>
      </c>
      <c r="AB112" s="164">
        <f>(AB84*Emissions_factors!$E$20)/1000</f>
        <v>344.36993012127459</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67642.479624060841</v>
      </c>
      <c r="M113" s="164">
        <f>(M85*Emissions_factors!$E$20)/1000</f>
        <v>63956.381982799707</v>
      </c>
      <c r="N113" s="164">
        <f>(N85*Emissions_factors!$E$20)/1000</f>
        <v>57075.231140968688</v>
      </c>
      <c r="O113" s="164">
        <f>(O85*Emissions_factors!$E$20)/1000</f>
        <v>48874.676988456842</v>
      </c>
      <c r="P113" s="164">
        <f>(P85*Emissions_factors!$E$20)/1000</f>
        <v>40418.958425842044</v>
      </c>
      <c r="Q113" s="164">
        <f>(Q85*Emissions_factors!$E$20)/1000</f>
        <v>32406.225649843385</v>
      </c>
      <c r="R113" s="164">
        <f>(R85*Emissions_factors!$E$20)/1000</f>
        <v>25256.683781842396</v>
      </c>
      <c r="S113" s="164">
        <f>(S85*Emissions_factors!$E$20)/1000</f>
        <v>19173.444796391432</v>
      </c>
      <c r="T113" s="164">
        <f>(T85*Emissions_factors!$E$20)/1000</f>
        <v>14199.948997031877</v>
      </c>
      <c r="U113" s="164">
        <f>(U85*Emissions_factors!$E$20)/1000</f>
        <v>10272.992805571557</v>
      </c>
      <c r="V113" s="164">
        <f>(V85*Emissions_factors!$E$20)/1000</f>
        <v>7267.7598380367062</v>
      </c>
      <c r="W113" s="164">
        <f>(W85*Emissions_factors!$E$20)/1000</f>
        <v>5032.6779185033602</v>
      </c>
      <c r="X113" s="164">
        <f>(X85*Emissions_factors!$E$20)/1000</f>
        <v>3413.826847474606</v>
      </c>
      <c r="Y113" s="164">
        <f>(Y85*Emissions_factors!$E$20)/1000</f>
        <v>2270.0452489965278</v>
      </c>
      <c r="Z113" s="164">
        <f>(Z85*Emissions_factors!$E$20)/1000</f>
        <v>1480.6457143927396</v>
      </c>
      <c r="AA113" s="164">
        <f>(AA85*Emissions_factors!$E$20)/1000</f>
        <v>947.84293603072138</v>
      </c>
      <c r="AB113" s="164">
        <f>(AB85*Emissions_factors!$E$20)/1000</f>
        <v>595.81545551603028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61624.129729208093</v>
      </c>
      <c r="N114" s="164">
        <f>(N86*Emissions_factors!$E$20)/1000</f>
        <v>58265.995011172046</v>
      </c>
      <c r="O114" s="164">
        <f>(O86*Emissions_factors!$E$20)/1000</f>
        <v>51997.08035103578</v>
      </c>
      <c r="P114" s="164">
        <f>(P86*Emissions_factors!$E$20)/1000</f>
        <v>44526.153564282838</v>
      </c>
      <c r="Q114" s="164">
        <f>(Q86*Emissions_factors!$E$20)/1000</f>
        <v>36822.765093720373</v>
      </c>
      <c r="R114" s="164">
        <f>(R86*Emissions_factors!$E$20)/1000</f>
        <v>29522.948664489712</v>
      </c>
      <c r="S114" s="164">
        <f>(S86*Emissions_factors!$E$20)/1000</f>
        <v>23009.522515319106</v>
      </c>
      <c r="T114" s="164">
        <f>(T86*Emissions_factors!$E$20)/1000</f>
        <v>17467.5271523954</v>
      </c>
      <c r="U114" s="164">
        <f>(U86*Emissions_factors!$E$20)/1000</f>
        <v>12936.537867987421</v>
      </c>
      <c r="V114" s="164">
        <f>(V86*Emissions_factors!$E$20)/1000</f>
        <v>9358.9744917124281</v>
      </c>
      <c r="W114" s="164">
        <f>(W86*Emissions_factors!$E$20)/1000</f>
        <v>6621.1259195263528</v>
      </c>
      <c r="X114" s="164">
        <f>(X86*Emissions_factors!$E$20)/1000</f>
        <v>4584.9057967540166</v>
      </c>
      <c r="Y114" s="164">
        <f>(Y86*Emissions_factors!$E$20)/1000</f>
        <v>3110.0886556943615</v>
      </c>
      <c r="Z114" s="164">
        <f>(Z86*Emissions_factors!$E$20)/1000</f>
        <v>2068.0726622206048</v>
      </c>
      <c r="AA114" s="164">
        <f>(AA86*Emissions_factors!$E$20)/1000</f>
        <v>1348.9083205382424</v>
      </c>
      <c r="AB114" s="164">
        <f>(AB86*Emissions_factors!$E$20)/1000</f>
        <v>863.51056876533949</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68803.920576340563</v>
      </c>
      <c r="O115" s="164">
        <f>(O87*Emissions_factors!$E$20)/1000</f>
        <v>65054.53157174596</v>
      </c>
      <c r="P115" s="164">
        <f>(P87*Emissions_factors!$E$20)/1000</f>
        <v>58055.22937841314</v>
      </c>
      <c r="Q115" s="164">
        <f>(Q87*Emissions_factors!$E$20)/1000</f>
        <v>49713.869337692442</v>
      </c>
      <c r="R115" s="164">
        <f>(R87*Emissions_factors!$E$20)/1000</f>
        <v>41112.96364009747</v>
      </c>
      <c r="S115" s="164">
        <f>(S87*Emissions_factors!$E$20)/1000</f>
        <v>32962.64992328408</v>
      </c>
      <c r="T115" s="164">
        <f>(T87*Emissions_factors!$E$20)/1000</f>
        <v>25690.348352184021</v>
      </c>
      <c r="U115" s="164">
        <f>(U87*Emissions_factors!$E$20)/1000</f>
        <v>19502.658392737507</v>
      </c>
      <c r="V115" s="164">
        <f>(V87*Emissions_factors!$E$20)/1000</f>
        <v>14443.766231070256</v>
      </c>
      <c r="W115" s="164">
        <f>(W87*Emissions_factors!$E$20)/1000</f>
        <v>10449.383065260108</v>
      </c>
      <c r="X115" s="164">
        <f>(X87*Emissions_factors!$E$20)/1000</f>
        <v>7392.5493778960208</v>
      </c>
      <c r="Y115" s="164">
        <f>(Y87*Emissions_factors!$E$20)/1000</f>
        <v>5119.0904549252882</v>
      </c>
      <c r="Z115" s="164">
        <f>(Z87*Emissions_factors!$E$20)/1000</f>
        <v>3472.4432424779402</v>
      </c>
      <c r="AA115" s="164">
        <f>(AA87*Emissions_factors!$E$20)/1000</f>
        <v>2309.0225829199098</v>
      </c>
      <c r="AB115" s="164">
        <f>(AB87*Emissions_factors!$E$20)/1000</f>
        <v>1506.0688298383993</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89577.698255256604</v>
      </c>
      <c r="P116" s="164">
        <f>(P88*Emissions_factors!$E$20)/1000</f>
        <v>84696.266585639751</v>
      </c>
      <c r="Q116" s="164">
        <f>(Q88*Emissions_factors!$E$20)/1000</f>
        <v>75583.684415615542</v>
      </c>
      <c r="R116" s="164">
        <f>(R88*Emissions_factors!$E$20)/1000</f>
        <v>64723.840579578791</v>
      </c>
      <c r="S116" s="164">
        <f>(S88*Emissions_factors!$E$20)/1000</f>
        <v>53526.087183444375</v>
      </c>
      <c r="T116" s="164">
        <f>(T88*Emissions_factors!$E$20)/1000</f>
        <v>42914.971760154949</v>
      </c>
      <c r="U116" s="164">
        <f>(U88*Emissions_factors!$E$20)/1000</f>
        <v>33446.964264354807</v>
      </c>
      <c r="V116" s="164">
        <f>(V88*Emissions_factors!$E$20)/1000</f>
        <v>25391.042168034921</v>
      </c>
      <c r="W116" s="164">
        <f>(W88*Emissions_factors!$E$20)/1000</f>
        <v>18804.732670440088</v>
      </c>
      <c r="X116" s="164">
        <f>(X88*Emissions_factors!$E$20)/1000</f>
        <v>13604.336429272164</v>
      </c>
      <c r="Y116" s="164">
        <f>(Y88*Emissions_factors!$E$20)/1000</f>
        <v>9624.5613907351453</v>
      </c>
      <c r="Z116" s="164">
        <f>(Z88*Emissions_factors!$E$20)/1000</f>
        <v>6664.6832952473405</v>
      </c>
      <c r="AA116" s="164">
        <f>(AA88*Emissions_factors!$E$20)/1000</f>
        <v>4520.8684385662036</v>
      </c>
      <c r="AB116" s="164">
        <f>(AB88*Emissions_factors!$E$20)/1000</f>
        <v>3006.1793930460617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115650.20548140307</v>
      </c>
      <c r="Q117" s="164">
        <f>(Q89*Emissions_factors!$E$20)/1000</f>
        <v>109347.98309089315</v>
      </c>
      <c r="R117" s="164">
        <f>(R89*Emissions_factors!$E$20)/1000</f>
        <v>97583.090478600265</v>
      </c>
      <c r="S117" s="164">
        <f>(S89*Emissions_factors!$E$20)/1000</f>
        <v>83562.377783407792</v>
      </c>
      <c r="T117" s="164">
        <f>(T89*Emissions_factors!$E$20)/1000</f>
        <v>69105.403487162897</v>
      </c>
      <c r="U117" s="164">
        <f>(U89*Emissions_factors!$E$20)/1000</f>
        <v>55405.81415865173</v>
      </c>
      <c r="V117" s="164">
        <f>(V89*Emissions_factors!$E$20)/1000</f>
        <v>43182.046036495332</v>
      </c>
      <c r="W117" s="164">
        <f>(W89*Emissions_factors!$E$20)/1000</f>
        <v>32781.365242859312</v>
      </c>
      <c r="X117" s="164">
        <f>(X89*Emissions_factors!$E$20)/1000</f>
        <v>24278.042857968052</v>
      </c>
      <c r="Y117" s="164">
        <f>(Y89*Emissions_factors!$E$20)/1000</f>
        <v>17564.017988050233</v>
      </c>
      <c r="Z117" s="164">
        <f>(Z89*Emissions_factors!$E$20)/1000</f>
        <v>12425.888632850421</v>
      </c>
      <c r="AA117" s="164">
        <f>(AA89*Emissions_factors!$E$20)/1000</f>
        <v>8604.5076796623198</v>
      </c>
      <c r="AB117" s="164">
        <f>(AB89*Emissions_factors!$E$20)/1000</f>
        <v>5836.7135353792146</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113534.74393532026</v>
      </c>
      <c r="R118" s="164">
        <f>(R90*Emissions_factors!$E$20)/1000</f>
        <v>107347.80114216593</v>
      </c>
      <c r="S118" s="164">
        <f>(S90*Emissions_factors!$E$20)/1000</f>
        <v>95798.110723518097</v>
      </c>
      <c r="T118" s="164">
        <f>(T90*Emissions_factors!$E$20)/1000</f>
        <v>82033.863448615113</v>
      </c>
      <c r="U118" s="164">
        <f>(U90*Emissions_factors!$E$20)/1000</f>
        <v>67841.334624551717</v>
      </c>
      <c r="V118" s="164">
        <f>(V90*Emissions_factors!$E$20)/1000</f>
        <v>54392.336761061757</v>
      </c>
      <c r="W118" s="164">
        <f>(W90*Emissions_factors!$E$20)/1000</f>
        <v>42392.164535713455</v>
      </c>
      <c r="X118" s="164">
        <f>(X90*Emissions_factors!$E$20)/1000</f>
        <v>32181.731914836259</v>
      </c>
      <c r="Y118" s="164">
        <f>(Y90*Emissions_factors!$E$20)/1000</f>
        <v>23833.951419769612</v>
      </c>
      <c r="Z118" s="164">
        <f>(Z90*Emissions_factors!$E$20)/1000</f>
        <v>17242.738795386787</v>
      </c>
      <c r="AA118" s="164">
        <f>(AA90*Emissions_factors!$E$20)/1000</f>
        <v>12198.595568654962</v>
      </c>
      <c r="AB118" s="164">
        <f>(AB90*Emissions_factors!$E$20)/1000</f>
        <v>8447.1149189358675</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104720.47197834807</v>
      </c>
      <c r="S119" s="164">
        <f>(S91*Emissions_factors!$E$20)/1000</f>
        <v>99013.852604006897</v>
      </c>
      <c r="T119" s="164">
        <f>(T91*Emissions_factors!$E$20)/1000</f>
        <v>88360.822615815443</v>
      </c>
      <c r="U119" s="164">
        <f>(U91*Emissions_factors!$E$20)/1000</f>
        <v>75665.162934091175</v>
      </c>
      <c r="V119" s="164">
        <f>(V91*Emissions_factors!$E$20)/1000</f>
        <v>62574.471349240906</v>
      </c>
      <c r="W119" s="164">
        <f>(W91*Emissions_factors!$E$20)/1000</f>
        <v>50169.586685011549</v>
      </c>
      <c r="X119" s="164">
        <f>(X91*Emissions_factors!$E$20)/1000</f>
        <v>39101.048053561011</v>
      </c>
      <c r="Y119" s="164">
        <f>(Y91*Emissions_factors!$E$20)/1000</f>
        <v>29683.302559102329</v>
      </c>
      <c r="Z119" s="164">
        <f>(Z91*Emissions_factors!$E$20)/1000</f>
        <v>21983.60215802474</v>
      </c>
      <c r="AA119" s="164">
        <f>(AA91*Emissions_factors!$E$20)/1000</f>
        <v>15904.098448321245</v>
      </c>
      <c r="AB119" s="164">
        <f>(AB91*Emissions_factors!$E$20)/1000</f>
        <v>11251.557374809254</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104720.47197834807</v>
      </c>
      <c r="T120" s="164">
        <f>(T92*Emissions_factors!$E$20)/1000</f>
        <v>99013.852604006897</v>
      </c>
      <c r="U120" s="164">
        <f>(U92*Emissions_factors!$E$20)/1000</f>
        <v>88360.822615815443</v>
      </c>
      <c r="V120" s="164">
        <f>(V92*Emissions_factors!$E$20)/1000</f>
        <v>75665.162934091175</v>
      </c>
      <c r="W120" s="164">
        <f>(W92*Emissions_factors!$E$20)/1000</f>
        <v>62574.471349240906</v>
      </c>
      <c r="X120" s="164">
        <f>(X92*Emissions_factors!$E$20)/1000</f>
        <v>50169.586685011549</v>
      </c>
      <c r="Y120" s="164">
        <f>(Y92*Emissions_factors!$E$20)/1000</f>
        <v>39101.048053561011</v>
      </c>
      <c r="Z120" s="164">
        <f>(Z92*Emissions_factors!$E$20)/1000</f>
        <v>29683.302559102329</v>
      </c>
      <c r="AA120" s="164">
        <f>(AA92*Emissions_factors!$E$20)/1000</f>
        <v>21983.60215802474</v>
      </c>
      <c r="AB120" s="164">
        <f>(AB92*Emissions_factors!$E$20)/1000</f>
        <v>15904.098448321245</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104720.47197834807</v>
      </c>
      <c r="U121" s="164">
        <f>(U93*Emissions_factors!$E$20)/1000</f>
        <v>99013.852604006897</v>
      </c>
      <c r="V121" s="164">
        <f>(V93*Emissions_factors!$E$20)/1000</f>
        <v>88360.822615815443</v>
      </c>
      <c r="W121" s="164">
        <f>(W93*Emissions_factors!$E$20)/1000</f>
        <v>75665.162934091175</v>
      </c>
      <c r="X121" s="164">
        <f>(X93*Emissions_factors!$E$20)/1000</f>
        <v>62574.471349240906</v>
      </c>
      <c r="Y121" s="164">
        <f>(Y93*Emissions_factors!$E$20)/1000</f>
        <v>50169.586685011549</v>
      </c>
      <c r="Z121" s="164">
        <f>(Z93*Emissions_factors!$E$20)/1000</f>
        <v>39101.048053561011</v>
      </c>
      <c r="AA121" s="164">
        <f>(AA93*Emissions_factors!$E$20)/1000</f>
        <v>29683.302559102329</v>
      </c>
      <c r="AB121" s="164">
        <f>(AB93*Emissions_factors!$E$20)/1000</f>
        <v>21983.60215802474</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104720.47197834807</v>
      </c>
      <c r="V122" s="164">
        <f>(V94*Emissions_factors!$E$20)/1000</f>
        <v>99013.852604006897</v>
      </c>
      <c r="W122" s="164">
        <f>(W94*Emissions_factors!$E$20)/1000</f>
        <v>88360.822615815443</v>
      </c>
      <c r="X122" s="164">
        <f>(X94*Emissions_factors!$E$20)/1000</f>
        <v>75665.162934091175</v>
      </c>
      <c r="Y122" s="164">
        <f>(Y94*Emissions_factors!$E$20)/1000</f>
        <v>62574.471349240906</v>
      </c>
      <c r="Z122" s="164">
        <f>(Z94*Emissions_factors!$E$20)/1000</f>
        <v>50169.586685011549</v>
      </c>
      <c r="AA122" s="164">
        <f>(AA94*Emissions_factors!$E$20)/1000</f>
        <v>39101.048053561011</v>
      </c>
      <c r="AB122" s="164">
        <f>(AB94*Emissions_factors!$E$20)/1000</f>
        <v>29683.302559102329</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104720.47197834807</v>
      </c>
      <c r="W123" s="164">
        <f>(W95*Emissions_factors!$E$20)/1000</f>
        <v>99013.852604006897</v>
      </c>
      <c r="X123" s="164">
        <f>(X95*Emissions_factors!$E$20)/1000</f>
        <v>88360.822615815443</v>
      </c>
      <c r="Y123" s="164">
        <f>(Y95*Emissions_factors!$E$20)/1000</f>
        <v>75665.162934091175</v>
      </c>
      <c r="Z123" s="164">
        <f>(Z95*Emissions_factors!$E$20)/1000</f>
        <v>62574.471349240906</v>
      </c>
      <c r="AA123" s="164">
        <f>(AA95*Emissions_factors!$E$20)/1000</f>
        <v>50169.586685011549</v>
      </c>
      <c r="AB123" s="164">
        <f>(AB95*Emissions_factors!$E$20)/1000</f>
        <v>39101.048053561011</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104720.47197834807</v>
      </c>
      <c r="X124" s="164">
        <f>(X96*Emissions_factors!$E$20)/1000</f>
        <v>99013.852604006897</v>
      </c>
      <c r="Y124" s="164">
        <f>(Y96*Emissions_factors!$E$20)/1000</f>
        <v>88360.822615815443</v>
      </c>
      <c r="Z124" s="164">
        <f>(Z96*Emissions_factors!$E$20)/1000</f>
        <v>75665.162934091175</v>
      </c>
      <c r="AA124" s="164">
        <f>(AA96*Emissions_factors!$E$20)/1000</f>
        <v>62574.471349240906</v>
      </c>
      <c r="AB124" s="164">
        <f>(AB96*Emissions_factors!$E$20)/1000</f>
        <v>50169.586685011549</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104720.47197834807</v>
      </c>
      <c r="Y125" s="164">
        <f>(Y97*Emissions_factors!$E$20)/1000</f>
        <v>99013.852604006897</v>
      </c>
      <c r="Z125" s="164">
        <f>(Z97*Emissions_factors!$E$20)/1000</f>
        <v>88360.822615815443</v>
      </c>
      <c r="AA125" s="164">
        <f>(AA97*Emissions_factors!$E$20)/1000</f>
        <v>75665.162934091175</v>
      </c>
      <c r="AB125" s="164">
        <f>(AB97*Emissions_factors!$E$20)/1000</f>
        <v>62574.471349240906</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104720.47197834807</v>
      </c>
      <c r="Z126" s="164">
        <f>(Z98*Emissions_factors!$E$20)/1000</f>
        <v>99013.852604006897</v>
      </c>
      <c r="AA126" s="164">
        <f>(AA98*Emissions_factors!$E$20)/1000</f>
        <v>88360.822615815443</v>
      </c>
      <c r="AB126" s="164">
        <f>(AB98*Emissions_factors!$E$20)/1000</f>
        <v>75665.162934091175</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104720.47197834807</v>
      </c>
      <c r="AA127" s="164">
        <f>(AA99*Emissions_factors!$E$20)/1000</f>
        <v>99013.852604006897</v>
      </c>
      <c r="AB127" s="164">
        <f>(AB99*Emissions_factors!$E$20)/1000</f>
        <v>88360.822615815443</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104720.47197834807</v>
      </c>
      <c r="AB128" s="164">
        <f>(AB100*Emissions_factors!$E$20)/1000</f>
        <v>99013.852604006897</v>
      </c>
    </row>
    <row r="129" spans="1:29">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104720.47197834807</v>
      </c>
    </row>
    <row r="131" spans="1:29">
      <c r="B131" s="307" t="s">
        <v>7803</v>
      </c>
      <c r="C131" s="298">
        <f t="shared" ref="C131:AB131" si="23">SUM(C104:C129)</f>
        <v>76624.61534796709</v>
      </c>
      <c r="D131" s="298">
        <f t="shared" si="23"/>
        <v>191571.92507492396</v>
      </c>
      <c r="E131" s="298">
        <f t="shared" si="23"/>
        <v>291182.36953360605</v>
      </c>
      <c r="F131" s="298">
        <f t="shared" si="23"/>
        <v>327345.26255552925</v>
      </c>
      <c r="G131" s="298">
        <f t="shared" si="23"/>
        <v>348147.46411517786</v>
      </c>
      <c r="H131" s="298">
        <f t="shared" si="23"/>
        <v>372116.08164331189</v>
      </c>
      <c r="I131" s="298">
        <f t="shared" si="23"/>
        <v>387303.31843192264</v>
      </c>
      <c r="J131" s="298">
        <f t="shared" si="23"/>
        <v>394030.81149327406</v>
      </c>
      <c r="K131" s="298">
        <f t="shared" si="23"/>
        <v>394594.80453119968</v>
      </c>
      <c r="L131" s="298">
        <f t="shared" si="23"/>
        <v>397444.2973342301</v>
      </c>
      <c r="M131" s="298">
        <f t="shared" si="23"/>
        <v>393043.77183138102</v>
      </c>
      <c r="N131" s="298">
        <f t="shared" si="23"/>
        <v>395400.75885786</v>
      </c>
      <c r="O131" s="298">
        <f t="shared" si="23"/>
        <v>418332.91439731477</v>
      </c>
      <c r="P131" s="298">
        <f t="shared" si="23"/>
        <v>465987.70196181303</v>
      </c>
      <c r="Q131" s="298">
        <f t="shared" si="23"/>
        <v>507772.03610831557</v>
      </c>
      <c r="R131" s="298">
        <f t="shared" si="23"/>
        <v>535457.79202934215</v>
      </c>
      <c r="S131" s="298">
        <f t="shared" si="23"/>
        <v>557849.23382513074</v>
      </c>
      <c r="T131" s="298">
        <f t="shared" si="23"/>
        <v>575448.05534731003</v>
      </c>
      <c r="U131" s="298">
        <f t="shared" si="23"/>
        <v>588886.52732321818</v>
      </c>
      <c r="V131" s="298">
        <f t="shared" si="23"/>
        <v>598868.40211354103</v>
      </c>
      <c r="W131" s="298">
        <f t="shared" si="23"/>
        <v>606089.08687212551</v>
      </c>
      <c r="X131" s="298">
        <f t="shared" si="23"/>
        <v>611181.02195026248</v>
      </c>
      <c r="Y131" s="298">
        <f t="shared" si="23"/>
        <v>614684.39092751313</v>
      </c>
      <c r="Z131" s="298">
        <f t="shared" si="23"/>
        <v>617037.71111611207</v>
      </c>
      <c r="AA131" s="298">
        <f t="shared" si="23"/>
        <v>618581.90362523426</v>
      </c>
      <c r="AB131" s="298">
        <f t="shared" si="23"/>
        <v>619572.10629827634</v>
      </c>
    </row>
    <row r="132" spans="1:29">
      <c r="A132" s="1"/>
      <c r="B132" s="307" t="s">
        <v>7801</v>
      </c>
      <c r="C132" s="164">
        <f>(C148*Emissions_factors!$D$9)/1000</f>
        <v>423711.26641910139</v>
      </c>
      <c r="D132" s="164">
        <f>D148*(Emissions_factors!$D$9/1000)</f>
        <v>658713.9838274417</v>
      </c>
      <c r="E132" s="164">
        <f>E148*(Emissions_factors!$D$9/1000)</f>
        <v>629815.29553823906</v>
      </c>
      <c r="F132" s="164">
        <f>F148*(Emissions_factors!$D$9/1000)</f>
        <v>352668.99875208153</v>
      </c>
      <c r="G132" s="164">
        <f>G148*(Emissions_factors!$D$9/1000)</f>
        <v>331143.11930555379</v>
      </c>
      <c r="H132" s="164">
        <f>H148*(Emissions_factors!$D$9/1000)</f>
        <v>395350.69537823874</v>
      </c>
      <c r="I132" s="164">
        <f>I148*(Emissions_factors!$D$9/1000)</f>
        <v>383511.74331696361</v>
      </c>
      <c r="J132" s="164">
        <f>J148*(Emissions_factors!$D$9/1000)</f>
        <v>364884.73203401762</v>
      </c>
      <c r="K132" s="164">
        <f>K148*(Emissions_factors!$D$9/1000)</f>
        <v>350080.04442411009</v>
      </c>
      <c r="L132" s="164">
        <f>L148*(Emissions_factors!$D$9/1000)</f>
        <v>374042.73515872832</v>
      </c>
      <c r="M132" s="164">
        <f>M148*(Emissions_factors!$D$9/1000)</f>
        <v>340763.05546153057</v>
      </c>
      <c r="N132" s="164">
        <f>N148*(Emissions_factors!$D$9/1000)</f>
        <v>380465.15717711829</v>
      </c>
      <c r="O132" s="164">
        <f>O148*(Emissions_factors!$D$9/1000)</f>
        <v>495337.95110463665</v>
      </c>
      <c r="P132" s="164">
        <f>P148*(Emissions_factors!$D$9/1000)</f>
        <v>639511.138863481</v>
      </c>
      <c r="Q132" s="164">
        <f>Q148*(Emissions_factors!$D$9/1000)</f>
        <v>627813.26753739105</v>
      </c>
      <c r="R132" s="164">
        <f>R148*(Emissions_factors!$D$9/1000)</f>
        <v>579072.97283586417</v>
      </c>
      <c r="S132" s="164">
        <f>S148*(Emissions_factors!$D$9/1000)</f>
        <v>579072.97283586417</v>
      </c>
      <c r="T132" s="164">
        <f>T148*(Emissions_factors!$D$9/1000)</f>
        <v>579072.97283586417</v>
      </c>
      <c r="U132" s="164">
        <f>U148*(Emissions_factors!$D$9/1000)</f>
        <v>579072.97283586417</v>
      </c>
      <c r="V132" s="164">
        <f>V148*(Emissions_factors!$D$9/1000)</f>
        <v>579072.97283586417</v>
      </c>
      <c r="W132" s="164">
        <f>W148*(Emissions_factors!$D$9/1000)</f>
        <v>579072.97283586417</v>
      </c>
      <c r="X132" s="164">
        <f>X148*(Emissions_factors!$D$9/1000)</f>
        <v>579072.97283586417</v>
      </c>
      <c r="Y132" s="164">
        <f>Y148*(Emissions_factors!$D$9/1000)</f>
        <v>579072.97283586417</v>
      </c>
      <c r="Z132" s="164">
        <f>Z148*(Emissions_factors!$D$9/1000)</f>
        <v>579072.97283586417</v>
      </c>
      <c r="AA132" s="164">
        <f>AA148*(Emissions_factors!$D$9/1000)</f>
        <v>579072.97283586417</v>
      </c>
      <c r="AB132" s="164">
        <f>AB148*(Emissions_factors!$D$9/1000)</f>
        <v>579072.97283586417</v>
      </c>
    </row>
    <row r="133" spans="1:29">
      <c r="B133" s="307" t="s">
        <v>7802</v>
      </c>
      <c r="C133" s="50">
        <f>(C182*Emissions_factors!$E$30)+(C183*Emissions_factors!$G$30)+(C184*Emissions_factors!$I$30)</f>
        <v>0</v>
      </c>
      <c r="D133" s="50">
        <f>(D182*Emissions_factors!$E$30)+(D183*Emissions_factors!$G$30)+(D184*Emissions_factors!$I$30)</f>
        <v>9912.1102149779781</v>
      </c>
      <c r="E133" s="50">
        <f>(E182*Emissions_factors!$E$30)+(E183*Emissions_factors!$G$30)+(E184*Emissions_factors!$I$30)</f>
        <v>33913.442138127488</v>
      </c>
      <c r="F133" s="50">
        <f>(F182*Emissions_factors!$E$30)+(F183*Emissions_factors!$G$30)+(F184*Emissions_factors!$I$30)</f>
        <v>65551.876647943907</v>
      </c>
      <c r="G133" s="50">
        <f>(G182*Emissions_factors!$E$30)+(G183*Emissions_factors!$G$30)+(G184*Emissions_factors!$I$30)</f>
        <v>92774.833616220814</v>
      </c>
      <c r="H133" s="50">
        <f>(H182*Emissions_factors!$E$30)+(H183*Emissions_factors!$G$30)+(H184*Emissions_factors!$I$30)</f>
        <v>112821.84873346848</v>
      </c>
      <c r="I133" s="50">
        <f>(I182*Emissions_factors!$E$30)+(I183*Emissions_factors!$G$30)+(I184*Emissions_factors!$I$30)</f>
        <v>128585.09286770401</v>
      </c>
      <c r="J133" s="50">
        <f>(J182*Emissions_factors!$E$30)+(J183*Emissions_factors!$G$30)+(J184*Emissions_factors!$I$30)</f>
        <v>140670.78019399603</v>
      </c>
      <c r="K133" s="50">
        <f>(K182*Emissions_factors!$E$30)+(K183*Emissions_factors!$G$30)+(K184*Emissions_factors!$I$30)</f>
        <v>148946.45303064946</v>
      </c>
      <c r="L133" s="50">
        <f>(L182*Emissions_factors!$E$30)+(L183*Emissions_factors!$G$30)+(L184*Emissions_factors!$I$30)</f>
        <v>153807.95328706145</v>
      </c>
      <c r="M133" s="50">
        <f>(M182*Emissions_factors!$E$30)+(M183*Emissions_factors!$G$30)+(M184*Emissions_factors!$I$30)</f>
        <v>156731.72910682869</v>
      </c>
      <c r="N133" s="50">
        <f>(N182*Emissions_factors!$E$30)+(N183*Emissions_factors!$G$30)+(N184*Emissions_factors!$I$30)</f>
        <v>157734.13186352578</v>
      </c>
      <c r="O133" s="50">
        <f>(O182*Emissions_factors!$E$30)+(O183*Emissions_factors!$G$30)+(O184*Emissions_factors!$I$30)</f>
        <v>158205.6060980435</v>
      </c>
      <c r="P133" s="50">
        <f>(P182*Emissions_factors!$E$30)+(P183*Emissions_factors!$G$30)+(P184*Emissions_factors!$I$30)</f>
        <v>161409.98419966557</v>
      </c>
      <c r="Q133" s="50">
        <f>(Q182*Emissions_factors!$E$30)+(Q183*Emissions_factors!$G$30)+(Q184*Emissions_factors!$I$30)</f>
        <v>170323.73616731117</v>
      </c>
      <c r="R133" s="50">
        <f>(R182*Emissions_factors!$E$30)+(R183*Emissions_factors!$G$30)+(R184*Emissions_factors!$I$30)</f>
        <v>182867.81085139076</v>
      </c>
      <c r="S133" s="50">
        <f>(S182*Emissions_factors!$E$30)+(S183*Emissions_factors!$G$30)+(S184*Emissions_factors!$I$30)</f>
        <v>195435.6325833119</v>
      </c>
      <c r="T133" s="50">
        <f>(T182*Emissions_factors!$E$30)+(T183*Emissions_factors!$G$30)+(T184*Emissions_factors!$I$30)</f>
        <v>206812.51964343397</v>
      </c>
      <c r="U133" s="50">
        <f>(U182*Emissions_factors!$E$30)+(U183*Emissions_factors!$G$30)+(U184*Emissions_factors!$I$30)</f>
        <v>216688.51816765539</v>
      </c>
      <c r="V133" s="50">
        <f>(V182*Emissions_factors!$E$30)+(V183*Emissions_factors!$G$30)+(V184*Emissions_factors!$I$30)</f>
        <v>224893.90320942024</v>
      </c>
      <c r="W133" s="50">
        <f>(W182*Emissions_factors!$E$30)+(W183*Emissions_factors!$G$30)+(W184*Emissions_factors!$I$30)</f>
        <v>231448.52175396832</v>
      </c>
      <c r="X133" s="50">
        <f>(X182*Emissions_factors!$E$30)+(X183*Emissions_factors!$G$30)+(X184*Emissions_factors!$I$30)</f>
        <v>236501.84731167919</v>
      </c>
      <c r="Y133" s="50">
        <f>(Y182*Emissions_factors!$E$30)+(Y183*Emissions_factors!$G$30)+(Y184*Emissions_factors!$I$30)</f>
        <v>240272.83228594807</v>
      </c>
      <c r="Z133" s="50">
        <f>(Z182*Emissions_factors!$E$30)+(Z183*Emissions_factors!$G$30)+(Z184*Emissions_factors!$I$30)</f>
        <v>243002.84721779189</v>
      </c>
      <c r="AA133" s="50">
        <f>(AA182*Emissions_factors!$E$30)+(AA183*Emissions_factors!$G$30)+(AA184*Emissions_factors!$I$30)</f>
        <v>244923.58471510478</v>
      </c>
      <c r="AB133" s="50">
        <f>(AB182*Emissions_factors!$E$30)+(AB183*Emissions_factors!$G$30)+(AB184*Emissions_factors!$I$30)</f>
        <v>246238.68582440107</v>
      </c>
    </row>
    <row r="134" spans="1:29">
      <c r="B134" s="307" t="s">
        <v>7804</v>
      </c>
      <c r="C134" s="306">
        <f>SUM(C131:C133)</f>
        <v>500335.88176706847</v>
      </c>
      <c r="D134" s="306">
        <f t="shared" ref="D134:AB134" si="24">SUM(D131:D133)</f>
        <v>860198.01911734371</v>
      </c>
      <c r="E134" s="306">
        <f t="shared" si="24"/>
        <v>954911.10720997257</v>
      </c>
      <c r="F134" s="306">
        <f t="shared" si="24"/>
        <v>745566.13795555464</v>
      </c>
      <c r="G134" s="306">
        <f t="shared" si="24"/>
        <v>772065.41703695245</v>
      </c>
      <c r="H134" s="306">
        <f t="shared" si="24"/>
        <v>880288.62575501902</v>
      </c>
      <c r="I134" s="306">
        <f t="shared" si="24"/>
        <v>899400.15461659024</v>
      </c>
      <c r="J134" s="306">
        <f t="shared" si="24"/>
        <v>899586.32372128766</v>
      </c>
      <c r="K134" s="306">
        <f t="shared" si="24"/>
        <v>893621.30198595917</v>
      </c>
      <c r="L134" s="306">
        <f t="shared" si="24"/>
        <v>925294.9857800199</v>
      </c>
      <c r="M134" s="306">
        <f t="shared" si="24"/>
        <v>890538.55639974028</v>
      </c>
      <c r="N134" s="306">
        <f t="shared" si="24"/>
        <v>933600.04789850418</v>
      </c>
      <c r="O134" s="306">
        <f t="shared" si="24"/>
        <v>1071876.4715999949</v>
      </c>
      <c r="P134" s="306">
        <f t="shared" si="24"/>
        <v>1266908.8250249596</v>
      </c>
      <c r="Q134" s="306">
        <f t="shared" si="24"/>
        <v>1305909.0398130179</v>
      </c>
      <c r="R134" s="306">
        <f t="shared" si="24"/>
        <v>1297398.575716597</v>
      </c>
      <c r="S134" s="306">
        <f t="shared" si="24"/>
        <v>1332357.8392443068</v>
      </c>
      <c r="T134" s="306">
        <f t="shared" si="24"/>
        <v>1361333.5478266082</v>
      </c>
      <c r="U134" s="306">
        <f t="shared" si="24"/>
        <v>1384648.0183267379</v>
      </c>
      <c r="V134" s="306">
        <f t="shared" si="24"/>
        <v>1402835.2781588254</v>
      </c>
      <c r="W134" s="306">
        <f t="shared" si="24"/>
        <v>1416610.5814619581</v>
      </c>
      <c r="X134" s="306">
        <f t="shared" si="24"/>
        <v>1426755.8420978058</v>
      </c>
      <c r="Y134" s="306">
        <f t="shared" si="24"/>
        <v>1434030.1960493254</v>
      </c>
      <c r="Z134" s="306">
        <f t="shared" si="24"/>
        <v>1439113.5311697682</v>
      </c>
      <c r="AA134" s="306">
        <f t="shared" si="24"/>
        <v>1442578.4611762031</v>
      </c>
      <c r="AB134" s="306">
        <f t="shared" si="24"/>
        <v>1444883.7649585416</v>
      </c>
    </row>
    <row r="137" spans="1:29" ht="21">
      <c r="A137" s="293" t="s">
        <v>7793</v>
      </c>
      <c r="B137" s="291" t="s">
        <v>7794</v>
      </c>
    </row>
    <row r="138" spans="1:29">
      <c r="B138" s="294" t="s">
        <v>437</v>
      </c>
      <c r="C138" s="302">
        <f>C38*(BOM_average!B6*BOM_average!B17)/1000000</f>
        <v>2628.9155075792037</v>
      </c>
      <c r="D138" s="302">
        <f>D38*(BOM_average!C6*BOM_average!C17)/1000000</f>
        <v>4086.9892881969658</v>
      </c>
      <c r="E138" s="302">
        <f>E38*(BOM_average!D6*BOM_average!D17)/1000000</f>
        <v>3907.6874479739195</v>
      </c>
      <c r="F138" s="302">
        <f>F38*(BOM_average!E6*BOM_average!E17)/1000000</f>
        <v>2188.1339330371452</v>
      </c>
      <c r="G138" s="302">
        <f>G38*(BOM_average!F6*BOM_average!F17)/1000000</f>
        <v>2054.5766670963258</v>
      </c>
      <c r="H138" s="302">
        <f>H38*(BOM_average!G6*BOM_average!G17)/1000000</f>
        <v>2452.9524144964271</v>
      </c>
      <c r="I138" s="302">
        <f>I38*(BOM_average!H6*BOM_average!H17)/1000000</f>
        <v>2379.4976656283898</v>
      </c>
      <c r="J138" s="302">
        <f>J38*(BOM_average!I6*BOM_average!I17)/1000000</f>
        <v>2263.926420059589</v>
      </c>
      <c r="K138" s="302">
        <f>K38*(BOM_average!J6*BOM_average!J17)/1000000</f>
        <v>2172.0707722938891</v>
      </c>
      <c r="L138" s="302">
        <f>L38*(BOM_average!K6*BOM_average!K17)/1000000</f>
        <v>2320.747227862224</v>
      </c>
      <c r="M138" s="302">
        <f>M38*(BOM_average!L6*BOM_average!L17)/1000000</f>
        <v>2114.2635372522741</v>
      </c>
      <c r="N138" s="302">
        <f>N38*(BOM_average!M6*BOM_average!M17)/1000000</f>
        <v>2360.5951294369324</v>
      </c>
      <c r="O138" s="302">
        <f>O38*(BOM_average!N6*BOM_average!N17)/1000000</f>
        <v>3073.3230960714045</v>
      </c>
      <c r="P138" s="302">
        <f>P38*(BOM_average!O6*BOM_average!O17)/1000000</f>
        <v>3967.8452839743782</v>
      </c>
      <c r="Q138" s="302">
        <f>Q38*(BOM_average!P6*BOM_average!P17)/1000000</f>
        <v>3895.2658701798773</v>
      </c>
      <c r="R138" s="302">
        <f>R38*(BOM_average!Q6*BOM_average!Q17)/1000000</f>
        <v>3592.8568319031256</v>
      </c>
      <c r="S138" s="302">
        <f>S38*(BOM_average!R6*BOM_average!R17)/1000000</f>
        <v>3592.8568319031256</v>
      </c>
      <c r="T138" s="302">
        <f>T38*(BOM_average!S6*BOM_average!S17)/1000000</f>
        <v>3592.8568319031256</v>
      </c>
      <c r="U138" s="302">
        <f>U38*(BOM_average!T6*BOM_average!T17)/1000000</f>
        <v>3592.8568319031256</v>
      </c>
      <c r="V138" s="302">
        <f>V38*(BOM_average!U6*BOM_average!U17)/1000000</f>
        <v>3592.8568319031256</v>
      </c>
      <c r="W138" s="302">
        <f>W38*(BOM_average!V6*BOM_average!V17)/1000000</f>
        <v>3592.8568319031256</v>
      </c>
      <c r="X138" s="302">
        <f>X38*(BOM_average!W6*BOM_average!W17)/1000000</f>
        <v>3592.8568319031256</v>
      </c>
      <c r="Y138" s="302">
        <f>Y38*(BOM_average!X6*BOM_average!X17)/1000000</f>
        <v>3592.8568319031256</v>
      </c>
      <c r="Z138" s="302">
        <f>Z38*(BOM_average!Y6*BOM_average!Y17)/1000000</f>
        <v>3592.8568319031256</v>
      </c>
      <c r="AA138" s="302">
        <f>AA38*(BOM_average!Z6*BOM_average!Z17)/1000000</f>
        <v>3592.8568319031256</v>
      </c>
      <c r="AB138" s="302">
        <f>AB38*(BOM_average!AA6*BOM_average!AA17)/1000000</f>
        <v>3592.8568319031256</v>
      </c>
    </row>
    <row r="139" spans="1:29">
      <c r="B139" s="294" t="s">
        <v>217</v>
      </c>
      <c r="C139" s="302">
        <f>C38*(BOM_average!B7*BOM_average!B17)/1000000</f>
        <v>304.54238345884499</v>
      </c>
      <c r="D139" s="302">
        <f>D38*(BOM_average!C7*BOM_average!C17)/1000000</f>
        <v>473.45053707884267</v>
      </c>
      <c r="E139" s="302">
        <f>E38*(BOM_average!D7*BOM_average!D17)/1000000</f>
        <v>452.67961096019928</v>
      </c>
      <c r="F139" s="302">
        <f>F38*(BOM_average!E7*BOM_average!E17)/1000000</f>
        <v>253.48076854243757</v>
      </c>
      <c r="G139" s="302">
        <f>G38*(BOM_average!F7*BOM_average!F17)/1000000</f>
        <v>238.00904722594768</v>
      </c>
      <c r="H139" s="302">
        <f>H38*(BOM_average!G7*BOM_average!G17)/1000000</f>
        <v>284.1582289990597</v>
      </c>
      <c r="I139" s="302">
        <f>I38*(BOM_average!H7*BOM_average!H17)/1000000</f>
        <v>275.64898469959491</v>
      </c>
      <c r="J139" s="302">
        <f>J38*(BOM_average!I7*BOM_average!I17)/1000000</f>
        <v>262.26082426486107</v>
      </c>
      <c r="K139" s="302">
        <f>K38*(BOM_average!J7*BOM_average!J17)/1000000</f>
        <v>251.61995816472472</v>
      </c>
      <c r="L139" s="302">
        <f>L38*(BOM_average!K7*BOM_average!K17)/1000000</f>
        <v>268.84313708107095</v>
      </c>
      <c r="M139" s="302">
        <f>M38*(BOM_average!L7*BOM_average!L17)/1000000</f>
        <v>244.9233743110465</v>
      </c>
      <c r="N139" s="302">
        <f>N38*(BOM_average!M7*BOM_average!M17)/1000000</f>
        <v>273.45925155352495</v>
      </c>
      <c r="O139" s="302">
        <f>O38*(BOM_average!N7*BOM_average!N17)/1000000</f>
        <v>356.02404798416825</v>
      </c>
      <c r="P139" s="302">
        <f>P38*(BOM_average!O7*BOM_average!O17)/1000000</f>
        <v>459.64849630721307</v>
      </c>
      <c r="Q139" s="302">
        <f>Q38*(BOM_average!P7*BOM_average!P17)/1000000</f>
        <v>451.24065375643562</v>
      </c>
      <c r="R139" s="302">
        <f>R38*(BOM_average!Q7*BOM_average!Q17)/1000000</f>
        <v>416.20857720974413</v>
      </c>
      <c r="S139" s="302">
        <f>S38*(BOM_average!R7*BOM_average!R17)/1000000</f>
        <v>416.20857720974413</v>
      </c>
      <c r="T139" s="302">
        <f>T38*(BOM_average!S7*BOM_average!S17)/1000000</f>
        <v>416.20857720974413</v>
      </c>
      <c r="U139" s="302">
        <f>U38*(BOM_average!T7*BOM_average!T17)/1000000</f>
        <v>416.20857720974413</v>
      </c>
      <c r="V139" s="302">
        <f>V38*(BOM_average!U7*BOM_average!U17)/1000000</f>
        <v>416.20857720974413</v>
      </c>
      <c r="W139" s="302">
        <f>W38*(BOM_average!V7*BOM_average!V17)/1000000</f>
        <v>416.20857720974413</v>
      </c>
      <c r="X139" s="302">
        <f>X38*(BOM_average!W7*BOM_average!W17)/1000000</f>
        <v>416.20857720974413</v>
      </c>
      <c r="Y139" s="302">
        <f>Y38*(BOM_average!X7*BOM_average!X17)/1000000</f>
        <v>416.20857720974413</v>
      </c>
      <c r="Z139" s="302">
        <f>Z38*(BOM_average!Y7*BOM_average!Y17)/1000000</f>
        <v>416.20857720974413</v>
      </c>
      <c r="AA139" s="302">
        <f>AA38*(BOM_average!Z7*BOM_average!Z17)/1000000</f>
        <v>416.20857720974413</v>
      </c>
      <c r="AB139" s="302">
        <f>AB38*(BOM_average!AA7*BOM_average!AA17)/1000000</f>
        <v>416.20857720974413</v>
      </c>
      <c r="AC139" s="302"/>
    </row>
    <row r="140" spans="1:29">
      <c r="B140" s="294" t="s">
        <v>313</v>
      </c>
      <c r="C140" s="302">
        <f>C38*(BOM_average!B8*BOM_average!B17)/1000000</f>
        <v>1967.7010593218165</v>
      </c>
      <c r="D140" s="302">
        <f>D38*(BOM_average!C8*BOM_average!C17)/1000000</f>
        <v>3059.0458798074546</v>
      </c>
      <c r="E140" s="302">
        <f>E38*(BOM_average!D8*BOM_average!D17)/1000000</f>
        <v>2924.841330468354</v>
      </c>
      <c r="F140" s="302">
        <f>F38*(BOM_average!E8*BOM_average!E17)/1000000</f>
        <v>1637.7831259932514</v>
      </c>
      <c r="G140" s="302">
        <f>G38*(BOM_average!F8*BOM_average!F17)/1000000</f>
        <v>1537.8176562342508</v>
      </c>
      <c r="H140" s="302">
        <f>H38*(BOM_average!G8*BOM_average!G17)/1000000</f>
        <v>1835.9955086252271</v>
      </c>
      <c r="I140" s="302">
        <f>I38*(BOM_average!H8*BOM_average!H17)/1000000</f>
        <v>1781.0158081581894</v>
      </c>
      <c r="J140" s="302">
        <f>J38*(BOM_average!I8*BOM_average!I17)/1000000</f>
        <v>1694.5125859446016</v>
      </c>
      <c r="K140" s="302">
        <f>K38*(BOM_average!J8*BOM_average!J17)/1000000</f>
        <v>1625.7601080151398</v>
      </c>
      <c r="L140" s="302">
        <f>L38*(BOM_average!K8*BOM_average!K17)/1000000</f>
        <v>1737.0420485242953</v>
      </c>
      <c r="M140" s="302">
        <f>M38*(BOM_average!L8*BOM_average!L17)/1000000</f>
        <v>1582.4923204807303</v>
      </c>
      <c r="N140" s="302">
        <f>N38*(BOM_average!M8*BOM_average!M17)/1000000</f>
        <v>1766.8675632334034</v>
      </c>
      <c r="O140" s="302">
        <f>O38*(BOM_average!N8*BOM_average!N17)/1000000</f>
        <v>2300.3330058890124</v>
      </c>
      <c r="P140" s="302">
        <f>P38*(BOM_average!O8*BOM_average!O17)/1000000</f>
        <v>2969.8685050897298</v>
      </c>
      <c r="Q140" s="302">
        <f>Q38*(BOM_average!P8*BOM_average!P17)/1000000</f>
        <v>2915.5439788747722</v>
      </c>
      <c r="R140" s="302">
        <f>R38*(BOM_average!Q8*BOM_average!Q17)/1000000</f>
        <v>2689.1956678506576</v>
      </c>
      <c r="S140" s="302">
        <f>S38*(BOM_average!R8*BOM_average!R17)/1000000</f>
        <v>2689.1956678506576</v>
      </c>
      <c r="T140" s="302">
        <f>T38*(BOM_average!S8*BOM_average!S17)/1000000</f>
        <v>2689.1956678506576</v>
      </c>
      <c r="U140" s="302">
        <f>U38*(BOM_average!T8*BOM_average!T17)/1000000</f>
        <v>2689.1956678506576</v>
      </c>
      <c r="V140" s="302">
        <f>V38*(BOM_average!U8*BOM_average!U17)/1000000</f>
        <v>2689.1956678506576</v>
      </c>
      <c r="W140" s="302">
        <f>W38*(BOM_average!V8*BOM_average!V17)/1000000</f>
        <v>2689.1956678506576</v>
      </c>
      <c r="X140" s="302">
        <f>X38*(BOM_average!W8*BOM_average!W17)/1000000</f>
        <v>2689.1956678506576</v>
      </c>
      <c r="Y140" s="302">
        <f>Y38*(BOM_average!X8*BOM_average!X17)/1000000</f>
        <v>2689.1956678506576</v>
      </c>
      <c r="Z140" s="302">
        <f>Z38*(BOM_average!Y8*BOM_average!Y17)/1000000</f>
        <v>2689.1956678506576</v>
      </c>
      <c r="AA140" s="302">
        <f>AA38*(BOM_average!Z8*BOM_average!Z17)/1000000</f>
        <v>2689.1956678506576</v>
      </c>
      <c r="AB140" s="302">
        <f>AB38*(BOM_average!AA8*BOM_average!AA17)/1000000</f>
        <v>2689.1956678506576</v>
      </c>
    </row>
    <row r="141" spans="1:29">
      <c r="B141" s="294" t="s">
        <v>6911</v>
      </c>
      <c r="C141" s="302">
        <f>C38*(BOM_average!B9*BOM_average!B17)/1000000</f>
        <v>4821.4068346299209</v>
      </c>
      <c r="D141" s="302">
        <f>D38*(BOM_average!C9*BOM_average!C17)/1000000</f>
        <v>7495.5007227741635</v>
      </c>
      <c r="E141" s="302">
        <f>E38*(BOM_average!D9*BOM_average!D17)/1000000</f>
        <v>7166.6627987629918</v>
      </c>
      <c r="F141" s="302">
        <f>F38*(BOM_average!E9*BOM_average!E17)/1000000</f>
        <v>4013.0174855051309</v>
      </c>
      <c r="G141" s="302">
        <f>G38*(BOM_average!F9*BOM_average!F17)/1000000</f>
        <v>3768.0746895251605</v>
      </c>
      <c r="H141" s="302">
        <f>H38*(BOM_average!G9*BOM_average!G17)/1000000</f>
        <v>4498.6921421318166</v>
      </c>
      <c r="I141" s="302">
        <f>I38*(BOM_average!H9*BOM_average!H17)/1000000</f>
        <v>4363.9768090572679</v>
      </c>
      <c r="J141" s="302">
        <f>J38*(BOM_average!I9*BOM_average!I17)/1000000</f>
        <v>4152.0202088296655</v>
      </c>
      <c r="K141" s="302">
        <f>K38*(BOM_average!J9*BOM_average!J17)/1000000</f>
        <v>3983.5577966067954</v>
      </c>
      <c r="L141" s="302">
        <f>L38*(BOM_average!K9*BOM_average!K17)/1000000</f>
        <v>4256.2290471506385</v>
      </c>
      <c r="M141" s="302">
        <f>M38*(BOM_average!L9*BOM_average!L17)/1000000</f>
        <v>3877.539859812262</v>
      </c>
      <c r="N141" s="302">
        <f>N38*(BOM_average!M9*BOM_average!M17)/1000000</f>
        <v>4329.3097317310539</v>
      </c>
      <c r="O141" s="302">
        <f>O38*(BOM_average!N9*BOM_average!N17)/1000000</f>
        <v>5636.4462599520157</v>
      </c>
      <c r="P141" s="302">
        <f>P38*(BOM_average!O9*BOM_average!O17)/1000000</f>
        <v>7276.9917160724117</v>
      </c>
      <c r="Q141" s="302">
        <f>Q38*(BOM_average!P9*BOM_average!P17)/1000000</f>
        <v>7143.8817394629041</v>
      </c>
      <c r="R141" s="302">
        <f>R38*(BOM_average!Q9*BOM_average!Q17)/1000000</f>
        <v>6589.2663477556216</v>
      </c>
      <c r="S141" s="302">
        <f>S38*(BOM_average!R9*BOM_average!R17)/1000000</f>
        <v>6589.2663477556216</v>
      </c>
      <c r="T141" s="302">
        <f>T38*(BOM_average!S9*BOM_average!S17)/1000000</f>
        <v>6589.2663477556216</v>
      </c>
      <c r="U141" s="302">
        <f>U38*(BOM_average!T9*BOM_average!T17)/1000000</f>
        <v>6589.2663477556216</v>
      </c>
      <c r="V141" s="302">
        <f>V38*(BOM_average!U9*BOM_average!U17)/1000000</f>
        <v>6589.2663477556216</v>
      </c>
      <c r="W141" s="302">
        <f>W38*(BOM_average!V9*BOM_average!V17)/1000000</f>
        <v>6589.2663477556216</v>
      </c>
      <c r="X141" s="302">
        <f>X38*(BOM_average!W9*BOM_average!W17)/1000000</f>
        <v>6589.2663477556216</v>
      </c>
      <c r="Y141" s="302">
        <f>Y38*(BOM_average!X9*BOM_average!X17)/1000000</f>
        <v>6589.2663477556216</v>
      </c>
      <c r="Z141" s="302">
        <f>Z38*(BOM_average!Y9*BOM_average!Y17)/1000000</f>
        <v>6589.2663477556216</v>
      </c>
      <c r="AA141" s="302">
        <f>AA38*(BOM_average!Z9*BOM_average!Z17)/1000000</f>
        <v>6589.2663477556216</v>
      </c>
      <c r="AB141" s="302">
        <f>AB38*(BOM_average!AA9*BOM_average!AA17)/1000000</f>
        <v>6589.2663477556216</v>
      </c>
    </row>
    <row r="142" spans="1:29">
      <c r="B142" s="294" t="s">
        <v>441</v>
      </c>
      <c r="C142" s="302">
        <f>C38*(BOM_average!B10*BOM_average!B17)/1000000</f>
        <v>2381.2662721592374</v>
      </c>
      <c r="D142" s="302">
        <f>D38*(BOM_average!C10*BOM_average!C17)/1000000</f>
        <v>3701.986510635817</v>
      </c>
      <c r="E142" s="302">
        <f>E38*(BOM_average!D10*BOM_average!D17)/1000000</f>
        <v>3539.575271694026</v>
      </c>
      <c r="F142" s="302">
        <f>F38*(BOM_average!E10*BOM_average!E17)/1000000</f>
        <v>1982.0072264348005</v>
      </c>
      <c r="G142" s="302">
        <f>G38*(BOM_average!F10*BOM_average!F17)/1000000</f>
        <v>1861.0313290087424</v>
      </c>
      <c r="H142" s="302">
        <f>H38*(BOM_average!G10*BOM_average!G17)/1000000</f>
        <v>2221.8792635259033</v>
      </c>
      <c r="I142" s="302">
        <f>I38*(BOM_average!H10*BOM_average!H17)/1000000</f>
        <v>2155.3441027323747</v>
      </c>
      <c r="J142" s="302">
        <f>J38*(BOM_average!I10*BOM_average!I17)/1000000</f>
        <v>2050.6599056514888</v>
      </c>
      <c r="K142" s="302">
        <f>K38*(BOM_average!J10*BOM_average!J17)/1000000</f>
        <v>1967.4572483956013</v>
      </c>
      <c r="L142" s="302">
        <f>L38*(BOM_average!K10*BOM_average!K17)/1000000</f>
        <v>2102.1280767612752</v>
      </c>
      <c r="M142" s="302">
        <f>M38*(BOM_average!L10*BOM_average!L17)/1000000</f>
        <v>1915.0955735169223</v>
      </c>
      <c r="N142" s="302">
        <f>N38*(BOM_average!M10*BOM_average!M17)/1000000</f>
        <v>2138.2222242386702</v>
      </c>
      <c r="O142" s="302">
        <f>O38*(BOM_average!N10*BOM_average!N17)/1000000</f>
        <v>2783.8097538790339</v>
      </c>
      <c r="P142" s="302">
        <f>P38*(BOM_average!O10*BOM_average!O17)/1000000</f>
        <v>3594.0661160977288</v>
      </c>
      <c r="Q142" s="302">
        <f>Q38*(BOM_average!P10*BOM_average!P17)/1000000</f>
        <v>3528.3238320175983</v>
      </c>
      <c r="R142" s="302">
        <f>R38*(BOM_average!Q10*BOM_average!Q17)/1000000</f>
        <v>3254.4023456980744</v>
      </c>
      <c r="S142" s="302">
        <f>S38*(BOM_average!R10*BOM_average!R17)/1000000</f>
        <v>3254.4023456980744</v>
      </c>
      <c r="T142" s="302">
        <f>T38*(BOM_average!S10*BOM_average!S17)/1000000</f>
        <v>3254.4023456980744</v>
      </c>
      <c r="U142" s="302">
        <f>U38*(BOM_average!T10*BOM_average!T17)/1000000</f>
        <v>3254.4023456980744</v>
      </c>
      <c r="V142" s="302">
        <f>V38*(BOM_average!U10*BOM_average!U17)/1000000</f>
        <v>3254.4023456980744</v>
      </c>
      <c r="W142" s="302">
        <f>W38*(BOM_average!V10*BOM_average!V17)/1000000</f>
        <v>3254.4023456980744</v>
      </c>
      <c r="X142" s="302">
        <f>X38*(BOM_average!W10*BOM_average!W17)/1000000</f>
        <v>3254.4023456980744</v>
      </c>
      <c r="Y142" s="302">
        <f>Y38*(BOM_average!X10*BOM_average!X17)/1000000</f>
        <v>3254.4023456980744</v>
      </c>
      <c r="Z142" s="302">
        <f>Z38*(BOM_average!Y10*BOM_average!Y17)/1000000</f>
        <v>3254.4023456980744</v>
      </c>
      <c r="AA142" s="302">
        <f>AA38*(BOM_average!Z10*BOM_average!Z17)/1000000</f>
        <v>3254.4023456980744</v>
      </c>
      <c r="AB142" s="302">
        <f>AB38*(BOM_average!AA10*BOM_average!AA17)/1000000</f>
        <v>3254.4023456980744</v>
      </c>
    </row>
    <row r="143" spans="1:29">
      <c r="B143" s="294" t="s">
        <v>6912</v>
      </c>
      <c r="C143" s="302">
        <f>C38*(BOM_average!B11*BOM_average!B17)/1000000</f>
        <v>2119.2869079587203</v>
      </c>
      <c r="D143" s="302">
        <f>D38*(BOM_average!C11*BOM_average!C17)/1000000</f>
        <v>3294.7056938391952</v>
      </c>
      <c r="E143" s="302">
        <f>E38*(BOM_average!D11*BOM_average!D17)/1000000</f>
        <v>3150.1624243951655</v>
      </c>
      <c r="F143" s="302">
        <f>F38*(BOM_average!E11*BOM_average!E17)/1000000</f>
        <v>1763.9530763832029</v>
      </c>
      <c r="G143" s="302">
        <f>G38*(BOM_average!F11*BOM_average!F17)/1000000</f>
        <v>1656.2865635739804</v>
      </c>
      <c r="H143" s="302">
        <f>H38*(BOM_average!G11*BOM_average!G17)/1000000</f>
        <v>1977.4351525945308</v>
      </c>
      <c r="I143" s="302">
        <f>I38*(BOM_average!H11*BOM_average!H17)/1000000</f>
        <v>1918.2199792066365</v>
      </c>
      <c r="J143" s="302">
        <f>J38*(BOM_average!I11*BOM_average!I17)/1000000</f>
        <v>1825.0528055320513</v>
      </c>
      <c r="K143" s="302">
        <f>K38*(BOM_average!J11*BOM_average!J17)/1000000</f>
        <v>1751.0038407894863</v>
      </c>
      <c r="L143" s="302">
        <f>L38*(BOM_average!K11*BOM_average!K17)/1000000</f>
        <v>1870.8586116633596</v>
      </c>
      <c r="M143" s="302">
        <f>M38*(BOM_average!L11*BOM_average!L17)/1000000</f>
        <v>1704.4028313406131</v>
      </c>
      <c r="N143" s="302">
        <f>N38*(BOM_average!M11*BOM_average!M17)/1000000</f>
        <v>1902.9817954908501</v>
      </c>
      <c r="O143" s="302">
        <f>O38*(BOM_average!N11*BOM_average!N17)/1000000</f>
        <v>2477.5438322964278</v>
      </c>
      <c r="P143" s="302">
        <f>P38*(BOM_average!O11*BOM_average!O17)/1000000</f>
        <v>3198.6583588895755</v>
      </c>
      <c r="Q143" s="302">
        <f>Q38*(BOM_average!P11*BOM_average!P17)/1000000</f>
        <v>3140.1488324333059</v>
      </c>
      <c r="R143" s="302">
        <f>R38*(BOM_average!Q11*BOM_average!Q17)/1000000</f>
        <v>2896.363319425905</v>
      </c>
      <c r="S143" s="302">
        <f>S38*(BOM_average!R11*BOM_average!R17)/1000000</f>
        <v>2896.363319425905</v>
      </c>
      <c r="T143" s="302">
        <f>T38*(BOM_average!S11*BOM_average!S17)/1000000</f>
        <v>2896.363319425905</v>
      </c>
      <c r="U143" s="302">
        <f>U38*(BOM_average!T11*BOM_average!T17)/1000000</f>
        <v>2896.363319425905</v>
      </c>
      <c r="V143" s="302">
        <f>V38*(BOM_average!U11*BOM_average!U17)/1000000</f>
        <v>2896.363319425905</v>
      </c>
      <c r="W143" s="302">
        <f>W38*(BOM_average!V11*BOM_average!V17)/1000000</f>
        <v>2896.363319425905</v>
      </c>
      <c r="X143" s="302">
        <f>X38*(BOM_average!W11*BOM_average!W17)/1000000</f>
        <v>2896.363319425905</v>
      </c>
      <c r="Y143" s="302">
        <f>Y38*(BOM_average!X11*BOM_average!X17)/1000000</f>
        <v>2896.363319425905</v>
      </c>
      <c r="Z143" s="302">
        <f>Z38*(BOM_average!Y11*BOM_average!Y17)/1000000</f>
        <v>2896.363319425905</v>
      </c>
      <c r="AA143" s="302">
        <f>AA38*(BOM_average!Z11*BOM_average!Z17)/1000000</f>
        <v>2896.363319425905</v>
      </c>
      <c r="AB143" s="302">
        <f>AB38*(BOM_average!AA11*BOM_average!AA17)/1000000</f>
        <v>2896.363319425905</v>
      </c>
    </row>
    <row r="144" spans="1:29">
      <c r="B144" s="294" t="s">
        <v>443</v>
      </c>
      <c r="C144" s="302">
        <f>C38*(BOM_average!B12*BOM_average!B17)/1000000</f>
        <v>1401.9097686808434</v>
      </c>
      <c r="D144" s="302">
        <f>D38*(BOM_average!C12*BOM_average!C17)/1000000</f>
        <v>2179.4501158743205</v>
      </c>
      <c r="E144" s="302">
        <f>E38*(BOM_average!D12*BOM_average!D17)/1000000</f>
        <v>2083.8346422592681</v>
      </c>
      <c r="F144" s="302">
        <f>F38*(BOM_average!E12*BOM_average!E17)/1000000</f>
        <v>1166.8561911035054</v>
      </c>
      <c r="G144" s="302">
        <f>G38*(BOM_average!F12*BOM_average!F17)/1000000</f>
        <v>1095.6347177389418</v>
      </c>
      <c r="H144" s="302">
        <f>H38*(BOM_average!G12*BOM_average!G17)/1000000</f>
        <v>1308.074733508033</v>
      </c>
      <c r="I144" s="302">
        <f>I38*(BOM_average!H12*BOM_average!H17)/1000000</f>
        <v>1268.9038549852296</v>
      </c>
      <c r="J144" s="302">
        <f>J38*(BOM_average!I12*BOM_average!I17)/1000000</f>
        <v>1207.2737045774256</v>
      </c>
      <c r="K144" s="302">
        <f>K38*(BOM_average!J12*BOM_average!J17)/1000000</f>
        <v>1158.2902627208937</v>
      </c>
      <c r="L144" s="302">
        <f>L38*(BOM_average!K12*BOM_average!K17)/1000000</f>
        <v>1237.5742773015002</v>
      </c>
      <c r="M144" s="302">
        <f>M38*(BOM_average!L12*BOM_average!L17)/1000000</f>
        <v>1127.4636624472719</v>
      </c>
      <c r="N144" s="302">
        <f>N38*(BOM_average!M12*BOM_average!M17)/1000000</f>
        <v>1258.8237858223949</v>
      </c>
      <c r="O144" s="302">
        <f>O38*(BOM_average!N12*BOM_average!N17)/1000000</f>
        <v>1638.896974160418</v>
      </c>
      <c r="P144" s="302">
        <f>P38*(BOM_average!O12*BOM_average!O17)/1000000</f>
        <v>2115.9147367729952</v>
      </c>
      <c r="Q144" s="302">
        <f>Q38*(BOM_average!P12*BOM_average!P17)/1000000</f>
        <v>2077.2106441879373</v>
      </c>
      <c r="R144" s="302">
        <f>R38*(BOM_average!Q12*BOM_average!Q17)/1000000</f>
        <v>1915.9463571938131</v>
      </c>
      <c r="S144" s="302">
        <f>S38*(BOM_average!R12*BOM_average!R17)/1000000</f>
        <v>1915.9463571938131</v>
      </c>
      <c r="T144" s="302">
        <f>T38*(BOM_average!S12*BOM_average!S17)/1000000</f>
        <v>1915.9463571938131</v>
      </c>
      <c r="U144" s="302">
        <f>U38*(BOM_average!T12*BOM_average!T17)/1000000</f>
        <v>1915.9463571938131</v>
      </c>
      <c r="V144" s="302">
        <f>V38*(BOM_average!U12*BOM_average!U17)/1000000</f>
        <v>1915.9463571938131</v>
      </c>
      <c r="W144" s="302">
        <f>W38*(BOM_average!V12*BOM_average!V17)/1000000</f>
        <v>1915.9463571938131</v>
      </c>
      <c r="X144" s="302">
        <f>X38*(BOM_average!W12*BOM_average!W17)/1000000</f>
        <v>1915.9463571938131</v>
      </c>
      <c r="Y144" s="302">
        <f>Y38*(BOM_average!X12*BOM_average!X17)/1000000</f>
        <v>1915.9463571938131</v>
      </c>
      <c r="Z144" s="302">
        <f>Z38*(BOM_average!Y12*BOM_average!Y17)/1000000</f>
        <v>1915.9463571938131</v>
      </c>
      <c r="AA144" s="302">
        <f>AA38*(BOM_average!Z12*BOM_average!Z17)/1000000</f>
        <v>1915.9463571938131</v>
      </c>
      <c r="AB144" s="302">
        <f>AB38*(BOM_average!AA12*BOM_average!AA17)/1000000</f>
        <v>1915.9463571938131</v>
      </c>
    </row>
    <row r="145" spans="2:28">
      <c r="B145" s="294" t="s">
        <v>445</v>
      </c>
      <c r="C145" s="302">
        <f>C38*(BOM_average!B13*BOM_average!B17)/1000000</f>
        <v>0</v>
      </c>
      <c r="D145" s="302">
        <f>D38*(BOM_average!C13*BOM_average!C17)/1000000</f>
        <v>0</v>
      </c>
      <c r="E145" s="302">
        <f>E38*(BOM_average!D13*BOM_average!D17)/1000000</f>
        <v>0</v>
      </c>
      <c r="F145" s="302">
        <f>F38*(BOM_average!E13*BOM_average!E17)/1000000</f>
        <v>0</v>
      </c>
      <c r="G145" s="302">
        <f>G38*(BOM_average!F13*BOM_average!F17)/1000000</f>
        <v>0</v>
      </c>
      <c r="H145" s="302">
        <f>H38*(BOM_average!G13*BOM_average!G17)/1000000</f>
        <v>0</v>
      </c>
      <c r="I145" s="302">
        <f>I38*(BOM_average!H13*BOM_average!H17)/1000000</f>
        <v>0</v>
      </c>
      <c r="J145" s="302">
        <f>J38*(BOM_average!I13*BOM_average!I17)/1000000</f>
        <v>0</v>
      </c>
      <c r="K145" s="302">
        <f>K38*(BOM_average!J13*BOM_average!J17)/1000000</f>
        <v>0</v>
      </c>
      <c r="L145" s="302">
        <f>L38*(BOM_average!K13*BOM_average!K17)/1000000</f>
        <v>0</v>
      </c>
      <c r="M145" s="302">
        <f>M38*(BOM_average!L13*BOM_average!L17)/1000000</f>
        <v>0</v>
      </c>
      <c r="N145" s="302">
        <f>N38*(BOM_average!M13*BOM_average!M17)/1000000</f>
        <v>0</v>
      </c>
      <c r="O145" s="302">
        <f>O38*(BOM_average!N13*BOM_average!N17)/1000000</f>
        <v>0</v>
      </c>
      <c r="P145" s="302">
        <f>P38*(BOM_average!O13*BOM_average!O17)/1000000</f>
        <v>0</v>
      </c>
      <c r="Q145" s="302">
        <f>Q38*(BOM_average!P13*BOM_average!P17)/1000000</f>
        <v>0</v>
      </c>
      <c r="R145" s="302">
        <f>R38*(BOM_average!Q13*BOM_average!Q17)/1000000</f>
        <v>0</v>
      </c>
      <c r="S145" s="302">
        <f>S38*(BOM_average!R13*BOM_average!R17)/1000000</f>
        <v>0</v>
      </c>
      <c r="T145" s="302">
        <f>T38*(BOM_average!S13*BOM_average!S17)/1000000</f>
        <v>0</v>
      </c>
      <c r="U145" s="302">
        <f>U38*(BOM_average!T13*BOM_average!T17)/1000000</f>
        <v>0</v>
      </c>
      <c r="V145" s="302">
        <f>V38*(BOM_average!U13*BOM_average!U17)/1000000</f>
        <v>0</v>
      </c>
      <c r="W145" s="302">
        <f>W38*(BOM_average!V13*BOM_average!V17)/1000000</f>
        <v>0</v>
      </c>
      <c r="X145" s="302">
        <f>X38*(BOM_average!W13*BOM_average!W17)/1000000</f>
        <v>0</v>
      </c>
      <c r="Y145" s="302">
        <f>Y38*(BOM_average!X13*BOM_average!X17)/1000000</f>
        <v>0</v>
      </c>
      <c r="Z145" s="302">
        <f>Z38*(BOM_average!Y13*BOM_average!Y17)/1000000</f>
        <v>0</v>
      </c>
      <c r="AA145" s="302">
        <f>AA38*(BOM_average!Z13*BOM_average!Z17)/1000000</f>
        <v>0</v>
      </c>
      <c r="AB145" s="302">
        <f>AB38*(BOM_average!AA13*BOM_average!AA17)/1000000</f>
        <v>0</v>
      </c>
    </row>
    <row r="146" spans="2:28">
      <c r="B146" s="294" t="s">
        <v>6915</v>
      </c>
      <c r="C146" s="302">
        <f>C38*(BOM_average!B14*BOM_average!B17)/1000000</f>
        <v>992.18515592390816</v>
      </c>
      <c r="D146" s="302">
        <f>D38*(BOM_average!C14*BOM_average!$B$17)/1000000</f>
        <v>1542.4801947716758</v>
      </c>
      <c r="E146" s="302">
        <f>E38*(BOM_average!D14*BOM_average!$B$17)/1000000</f>
        <v>1474.8094675131326</v>
      </c>
      <c r="F146" s="302">
        <f>F38*(BOM_average!E14*BOM_average!$B$17)/1000000</f>
        <v>825.82875002020035</v>
      </c>
      <c r="G146" s="302">
        <f>G38*(BOM_average!F14*BOM_average!$B$17)/1000000</f>
        <v>775.4225896281207</v>
      </c>
      <c r="H146" s="302">
        <f>H38*(BOM_average!G14*BOM_average!$B$17)/1000000</f>
        <v>925.77451303947612</v>
      </c>
      <c r="I146" s="302">
        <f>I38*(BOM_average!H14*BOM_average!$B$17)/1000000</f>
        <v>898.05178431393563</v>
      </c>
      <c r="J146" s="302">
        <f>J38*(BOM_average!I14*BOM_average!$B$17)/1000000</f>
        <v>854.43376997516702</v>
      </c>
      <c r="K146" s="302">
        <f>K38*(BOM_average!J14*BOM_average!$B$17)/1000000</f>
        <v>819.76631492073454</v>
      </c>
      <c r="L146" s="302">
        <f>L38*(BOM_average!K14*BOM_average!$B$17)/1000000</f>
        <v>875.87864406368169</v>
      </c>
      <c r="M146" s="302">
        <f>M38*(BOM_average!L14*BOM_average!$B$17)/1000000</f>
        <v>797.94915101876131</v>
      </c>
      <c r="N146" s="302">
        <f>N38*(BOM_average!M14*BOM_average!$B$17)/1000000</f>
        <v>890.91773387967567</v>
      </c>
      <c r="O146" s="302">
        <f>O38*(BOM_average!N14*BOM_average!$B$17)/1000000</f>
        <v>1159.9100642409237</v>
      </c>
      <c r="P146" s="302">
        <f>P38*(BOM_average!O14*BOM_average!$B$17)/1000000</f>
        <v>1497.5137772256658</v>
      </c>
      <c r="Q146" s="302">
        <f>Q38*(BOM_average!P14*BOM_average!$B$17)/1000000</f>
        <v>1470.1214107593605</v>
      </c>
      <c r="R146" s="302">
        <f>R38*(BOM_average!Q14*BOM_average!$B$17)/1000000</f>
        <v>1355.9885076932935</v>
      </c>
      <c r="S146" s="302">
        <f>S38*(BOM_average!R14*BOM_average!$B$17)/1000000</f>
        <v>1355.9885076932935</v>
      </c>
      <c r="T146" s="302">
        <f>T38*(BOM_average!S14*BOM_average!$B$17)/1000000</f>
        <v>1355.9885076932935</v>
      </c>
      <c r="U146" s="302">
        <f>U38*(BOM_average!T14*BOM_average!$B$17)/1000000</f>
        <v>1355.9885076932935</v>
      </c>
      <c r="V146" s="302">
        <f>V38*(BOM_average!U14*BOM_average!$B$17)/1000000</f>
        <v>1355.9885076932935</v>
      </c>
      <c r="W146" s="302">
        <f>W38*(BOM_average!V14*BOM_average!$B$17)/1000000</f>
        <v>1355.9885076932935</v>
      </c>
      <c r="X146" s="302">
        <f>X38*(BOM_average!W14*BOM_average!$B$17)/1000000</f>
        <v>1355.9885076932935</v>
      </c>
      <c r="Y146" s="302">
        <f>Y38*(BOM_average!X14*BOM_average!$B$17)/1000000</f>
        <v>1355.9885076932935</v>
      </c>
      <c r="Z146" s="302">
        <f>Z38*(BOM_average!Y14*BOM_average!$B$17)/1000000</f>
        <v>1355.9885076932935</v>
      </c>
      <c r="AA146" s="302">
        <f>AA38*(BOM_average!Z14*BOM_average!$B$17)/1000000</f>
        <v>1355.9885076932935</v>
      </c>
      <c r="AB146" s="302">
        <f>AB38*(BOM_average!AA14*BOM_average!$B$17)/1000000</f>
        <v>1355.9885076932935</v>
      </c>
    </row>
    <row r="147" spans="2:28" ht="17" thickBot="1">
      <c r="B147" s="297" t="s">
        <v>447</v>
      </c>
      <c r="C147" s="302">
        <f>C38*(BOM_average!B15*BOM_average!$B$17)/1000000</f>
        <v>422.9293930185446</v>
      </c>
      <c r="D147" s="302">
        <f>D38*(BOM_average!C15*BOM_average!$B$17)/1000000</f>
        <v>657.49846046672928</v>
      </c>
      <c r="E147" s="302">
        <f>E38*(BOM_average!D15*BOM_average!$B$17)/1000000</f>
        <v>628.65309885886609</v>
      </c>
      <c r="F147" s="302">
        <f>F38*(BOM_average!E15*BOM_average!$B$17)/1000000</f>
        <v>352.01821948049025</v>
      </c>
      <c r="G147" s="302">
        <f>G38*(BOM_average!F15*BOM_average!$B$17)/1000000</f>
        <v>330.53206168853416</v>
      </c>
      <c r="H147" s="302">
        <f>H38*(BOM_average!G15*BOM_average!$B$17)/1000000</f>
        <v>394.62115567253238</v>
      </c>
      <c r="I147" s="302">
        <f>I38*(BOM_average!H15*BOM_average!$B$17)/1000000</f>
        <v>382.80405000157248</v>
      </c>
      <c r="J147" s="302">
        <f>J38*(BOM_average!I15*BOM_average!$B$17)/1000000</f>
        <v>364.21141109861321</v>
      </c>
      <c r="K147" s="302">
        <f>K38*(BOM_average!J15*BOM_average!$B$17)/1000000</f>
        <v>349.43404254383387</v>
      </c>
      <c r="L147" s="302">
        <f>L38*(BOM_average!K15*BOM_average!$B$17)/1000000</f>
        <v>373.35251498175802</v>
      </c>
      <c r="M147" s="302">
        <f>M38*(BOM_average!L15*BOM_average!$B$17)/1000000</f>
        <v>340.13424619901207</v>
      </c>
      <c r="N147" s="302">
        <f>N38*(BOM_average!M15*BOM_average!$B$17)/1000000</f>
        <v>379.76308571994537</v>
      </c>
      <c r="O147" s="302">
        <f>O38*(BOM_average!N15*BOM_average!$B$17)/1000000</f>
        <v>494.42390515176851</v>
      </c>
      <c r="P147" s="302">
        <f>P38*(BOM_average!O15*BOM_average!$B$17)/1000000</f>
        <v>638.33105046728872</v>
      </c>
      <c r="Q147" s="302">
        <f>Q38*(BOM_average!P15*BOM_average!$B$17)/1000000</f>
        <v>626.65476519556614</v>
      </c>
      <c r="R147" s="302">
        <f>R38*(BOM_average!Q15*BOM_average!$B$17)/1000000</f>
        <v>578.00441084489296</v>
      </c>
      <c r="S147" s="302">
        <f>S38*(BOM_average!R15*BOM_average!$B$17)/1000000</f>
        <v>578.00441084489296</v>
      </c>
      <c r="T147" s="302">
        <f>T38*(BOM_average!S15*BOM_average!$B$17)/1000000</f>
        <v>578.00441084489296</v>
      </c>
      <c r="U147" s="302">
        <f>U38*(BOM_average!T15*BOM_average!$B$17)/1000000</f>
        <v>578.00441084489296</v>
      </c>
      <c r="V147" s="302">
        <f>V38*(BOM_average!U15*BOM_average!$B$17)/1000000</f>
        <v>578.00441084489296</v>
      </c>
      <c r="W147" s="302">
        <f>W38*(BOM_average!V15*BOM_average!$B$17)/1000000</f>
        <v>578.00441084489296</v>
      </c>
      <c r="X147" s="302">
        <f>X38*(BOM_average!W15*BOM_average!$B$17)/1000000</f>
        <v>578.00441084489296</v>
      </c>
      <c r="Y147" s="302">
        <f>Y38*(BOM_average!X15*BOM_average!$B$17)/1000000</f>
        <v>578.00441084489296</v>
      </c>
      <c r="Z147" s="302">
        <f>Z38*(BOM_average!Y15*BOM_average!$B$17)/1000000</f>
        <v>578.00441084489296</v>
      </c>
      <c r="AA147" s="302">
        <f>AA38*(BOM_average!Z15*BOM_average!$B$17)/1000000</f>
        <v>578.00441084489296</v>
      </c>
      <c r="AB147" s="302">
        <f>AB38*(BOM_average!AA15*BOM_average!$B$17)/1000000</f>
        <v>578.00441084489296</v>
      </c>
    </row>
    <row r="148" spans="2:28">
      <c r="B148" s="296" t="s">
        <v>7797</v>
      </c>
      <c r="C148" s="304">
        <f>C38*(BOM_average!B17)/1000000</f>
        <v>17040.143282731038</v>
      </c>
      <c r="D148" s="304">
        <f>D38*(BOM_average!C17)/1000000</f>
        <v>26491.107403445159</v>
      </c>
      <c r="E148" s="304">
        <f>E38*(BOM_average!D17)/1000000</f>
        <v>25328.906092885922</v>
      </c>
      <c r="F148" s="304">
        <f>F38*(BOM_average!E17)/1000000</f>
        <v>14183.078776500162</v>
      </c>
      <c r="G148" s="304">
        <f>G38*(BOM_average!F17)/1000000</f>
        <v>13317.385321720003</v>
      </c>
      <c r="H148" s="304">
        <f>H38*(BOM_average!G17)/1000000</f>
        <v>15899.583112593004</v>
      </c>
      <c r="I148" s="304">
        <f>I38*(BOM_average!H17)/1000000</f>
        <v>15423.463038783189</v>
      </c>
      <c r="J148" s="304">
        <f>J38*(BOM_average!I17)/1000000</f>
        <v>14674.351635933463</v>
      </c>
      <c r="K148" s="304">
        <f>K38*(BOM_average!J17)/1000000</f>
        <v>14078.960344451098</v>
      </c>
      <c r="L148" s="304">
        <f>L38*(BOM_average!K17)/1000000</f>
        <v>15042.6535853898</v>
      </c>
      <c r="M148" s="304">
        <f>M38*(BOM_average!L17)/1000000</f>
        <v>13704.26455637889</v>
      </c>
      <c r="N148" s="304">
        <f>N38*(BOM_average!M17)/1000000</f>
        <v>15300.94030110645</v>
      </c>
      <c r="O148" s="304">
        <f>O38*(BOM_average!N17)/1000000</f>
        <v>19920.710939625173</v>
      </c>
      <c r="P148" s="304">
        <f>P38*(BOM_average!O17)/1000000</f>
        <v>25718.838040896982</v>
      </c>
      <c r="Q148" s="304">
        <f>Q38*(BOM_average!P17)/1000000</f>
        <v>25248.391726867754</v>
      </c>
      <c r="R148" s="304">
        <f>R38*(BOM_average!Q17)/1000000</f>
        <v>23288.232365575128</v>
      </c>
      <c r="S148" s="304">
        <f>S38*(BOM_average!R17)/1000000</f>
        <v>23288.232365575128</v>
      </c>
      <c r="T148" s="304">
        <f>T38*(BOM_average!S17)/1000000</f>
        <v>23288.232365575128</v>
      </c>
      <c r="U148" s="304">
        <f>U38*(BOM_average!T17)/1000000</f>
        <v>23288.232365575128</v>
      </c>
      <c r="V148" s="304">
        <f>V38*(BOM_average!U17)/1000000</f>
        <v>23288.232365575128</v>
      </c>
      <c r="W148" s="304">
        <f>W38*(BOM_average!V17)/1000000</f>
        <v>23288.232365575128</v>
      </c>
      <c r="X148" s="304">
        <f>X38*(BOM_average!W17)/1000000</f>
        <v>23288.232365575128</v>
      </c>
      <c r="Y148" s="304">
        <f>Y38*(BOM_average!X17)/1000000</f>
        <v>23288.232365575128</v>
      </c>
      <c r="Z148" s="304">
        <f>Z38*(BOM_average!Y17)/1000000</f>
        <v>23288.232365575128</v>
      </c>
      <c r="AA148" s="304">
        <f>AA38*(BOM_average!Z17)/1000000</f>
        <v>23288.232365575128</v>
      </c>
      <c r="AB148" s="304">
        <f>AB38*(BOM_average!AA17)/1000000</f>
        <v>23288.232365575128</v>
      </c>
    </row>
    <row r="149" spans="2:28">
      <c r="B149" s="295" t="s">
        <v>7798</v>
      </c>
      <c r="C149" s="302">
        <f>C38*(BOM_average!B18)/1000000</f>
        <v>23619.084206513795</v>
      </c>
      <c r="D149" s="302">
        <f>D38*(BOM_average!C18)/1000000</f>
        <v>36718.922259290506</v>
      </c>
      <c r="E149" s="302">
        <f>E38*(BOM_average!D18)/1000000</f>
        <v>35108.012646409603</v>
      </c>
      <c r="F149" s="302">
        <f>F38*(BOM_average!E18)/1000000</f>
        <v>19658.950419112127</v>
      </c>
      <c r="G149" s="302">
        <f>G38*(BOM_average!F18)/1000000</f>
        <v>18459.025848865003</v>
      </c>
      <c r="H149" s="302">
        <f>H38*(BOM_average!G18)/1000000</f>
        <v>22038.171050203269</v>
      </c>
      <c r="I149" s="302">
        <f>I38*(BOM_average!H18)/1000000</f>
        <v>21378.228235806742</v>
      </c>
      <c r="J149" s="302">
        <f>J38*(BOM_average!I18)/1000000</f>
        <v>20339.89627988368</v>
      </c>
      <c r="K149" s="302">
        <f>K38*(BOM_average!J18)/1000000</f>
        <v>19514.633439306603</v>
      </c>
      <c r="L149" s="302">
        <f>L38*(BOM_average!K18)/1000000</f>
        <v>20850.394027073882</v>
      </c>
      <c r="M149" s="302">
        <f>M38*(BOM_average!L18)/1000000</f>
        <v>18995.273289367473</v>
      </c>
      <c r="N149" s="302">
        <f>N38*(BOM_average!M18)/1000000</f>
        <v>21208.40132705462</v>
      </c>
      <c r="O149" s="302">
        <f>O38*(BOM_average!N18)/1000000</f>
        <v>27611.795354646725</v>
      </c>
      <c r="P149" s="302">
        <f>P38*(BOM_average!O18)/1000000</f>
        <v>35648.491406598005</v>
      </c>
      <c r="Q149" s="302">
        <f>Q38*(BOM_average!P18)/1000000</f>
        <v>34996.412904596138</v>
      </c>
      <c r="R149" s="302">
        <f>R38*(BOM_average!Q18)/1000000</f>
        <v>32279.465737873914</v>
      </c>
      <c r="S149" s="302">
        <f>S38*(BOM_average!R18)/1000000</f>
        <v>32279.465737873914</v>
      </c>
      <c r="T149" s="302">
        <f>T38*(BOM_average!S18)/1000000</f>
        <v>32279.465737873914</v>
      </c>
      <c r="U149" s="302">
        <f>U38*(BOM_average!T18)/1000000</f>
        <v>32279.465737873914</v>
      </c>
      <c r="V149" s="302">
        <f>V38*(BOM_average!U18)/1000000</f>
        <v>32279.465737873914</v>
      </c>
      <c r="W149" s="302">
        <f>W38*(BOM_average!V18)/1000000</f>
        <v>32279.465737873914</v>
      </c>
      <c r="X149" s="302">
        <f>X38*(BOM_average!W18)/1000000</f>
        <v>32279.465737873914</v>
      </c>
      <c r="Y149" s="302">
        <f>Y38*(BOM_average!X18)/1000000</f>
        <v>32279.465737873914</v>
      </c>
      <c r="Z149" s="302">
        <f>Z38*(BOM_average!Y18)/1000000</f>
        <v>32279.465737873914</v>
      </c>
      <c r="AA149" s="302">
        <f>AA38*(BOM_average!Z18)/1000000</f>
        <v>32279.465737873914</v>
      </c>
      <c r="AB149" s="302">
        <f>AB38*(BOM_average!AA18)/1000000</f>
        <v>32279.465737873914</v>
      </c>
    </row>
    <row r="150" spans="2:28">
      <c r="B150" s="295" t="s">
        <v>7799</v>
      </c>
      <c r="C150" s="302">
        <f>C38*(BOM_average!B19)/1000000</f>
        <v>10986.308754817243</v>
      </c>
      <c r="D150" s="302">
        <f>D38*(BOM_average!C19)/1000000</f>
        <v>17079.638378758296</v>
      </c>
      <c r="E150" s="302">
        <f>E38*(BOM_average!D19)/1000000</f>
        <v>16330.331156324502</v>
      </c>
      <c r="F150" s="302">
        <f>F38*(BOM_average!E19)/1000000</f>
        <v>9144.2706758480381</v>
      </c>
      <c r="G150" s="302">
        <f>G38*(BOM_average!F19)/1000000</f>
        <v>8586.1312621449997</v>
      </c>
      <c r="H150" s="302">
        <f>H38*(BOM_average!G19)/1000000</f>
        <v>10250.954246661073</v>
      </c>
      <c r="I150" s="302">
        <f>I38*(BOM_average!H19)/1000000</f>
        <v>9943.9848715536446</v>
      </c>
      <c r="J150" s="302">
        <f>J38*(BOM_average!I19)/1000000</f>
        <v>9461.0095217042181</v>
      </c>
      <c r="K150" s="302">
        <f>K38*(BOM_average!J19)/1000000</f>
        <v>9077.1422942036334</v>
      </c>
      <c r="L150" s="302">
        <f>L38*(BOM_average!K19)/1000000</f>
        <v>9698.4652088186012</v>
      </c>
      <c r="M150" s="302">
        <f>M38*(BOM_average!L19)/1000000</f>
        <v>8835.5643010735766</v>
      </c>
      <c r="N150" s="302">
        <f>N38*(BOM_average!M19)/1000000</f>
        <v>9864.9906633907176</v>
      </c>
      <c r="O150" s="302">
        <f>O38*(BOM_average!N19)/1000000</f>
        <v>12843.500043804299</v>
      </c>
      <c r="P150" s="302">
        <f>P38*(BOM_average!O19)/1000000</f>
        <v>16581.732374209703</v>
      </c>
      <c r="Q150" s="302">
        <f>Q38*(BOM_average!P19)/1000000</f>
        <v>16278.421047964654</v>
      </c>
      <c r="R150" s="302">
        <f>R38*(BOM_average!Q19)/1000000</f>
        <v>15014.645527154904</v>
      </c>
      <c r="S150" s="302">
        <f>S38*(BOM_average!R19)/1000000</f>
        <v>15014.645527154904</v>
      </c>
      <c r="T150" s="302">
        <f>T38*(BOM_average!S19)/1000000</f>
        <v>15014.645527154904</v>
      </c>
      <c r="U150" s="302">
        <f>U38*(BOM_average!T19)/1000000</f>
        <v>15014.645527154904</v>
      </c>
      <c r="V150" s="302">
        <f>V38*(BOM_average!U19)/1000000</f>
        <v>15014.645527154904</v>
      </c>
      <c r="W150" s="302">
        <f>W38*(BOM_average!V19)/1000000</f>
        <v>15014.645527154904</v>
      </c>
      <c r="X150" s="302">
        <f>X38*(BOM_average!W19)/1000000</f>
        <v>15014.645527154904</v>
      </c>
      <c r="Y150" s="302">
        <f>Y38*(BOM_average!X19)/1000000</f>
        <v>15014.645527154904</v>
      </c>
      <c r="Z150" s="302">
        <f>Z38*(BOM_average!Y19)/1000000</f>
        <v>15014.645527154904</v>
      </c>
      <c r="AA150" s="302">
        <f>AA38*(BOM_average!Z19)/1000000</f>
        <v>15014.645527154904</v>
      </c>
      <c r="AB150" s="302">
        <f>AB38*(BOM_average!AA19)/1000000</f>
        <v>15014.645527154904</v>
      </c>
    </row>
    <row r="152" spans="2:28">
      <c r="B152" s="291" t="s">
        <v>7795</v>
      </c>
    </row>
    <row r="153" spans="2:28">
      <c r="B153" s="294" t="s">
        <v>437</v>
      </c>
      <c r="C153" s="299">
        <f>C$5*(BOM_average!B6*BOM_average!B17)/1000000</f>
        <v>2628.9155075792037</v>
      </c>
      <c r="D153" s="299">
        <f>D$5*(BOM_average!C6*BOM_average!C17)/1000000</f>
        <v>6572.6452124814787</v>
      </c>
      <c r="E153" s="299">
        <f>E$5*(BOM_average!D6*BOM_average!D17)/1000000</f>
        <v>9990.1821795360756</v>
      </c>
      <c r="F153" s="299">
        <f>F$5*(BOM_average!E6*BOM_average!E17)/1000000</f>
        <v>11230.895802559007</v>
      </c>
      <c r="G153" s="299">
        <f>G$5*(BOM_average!F6*BOM_average!F17)/1000000</f>
        <v>11944.599162575822</v>
      </c>
      <c r="H153" s="299">
        <f>H$5*(BOM_average!G6*BOM_average!G17)/1000000</f>
        <v>12766.939055061532</v>
      </c>
      <c r="I153" s="299">
        <f>I$5*(BOM_average!H6*BOM_average!H17)/1000000</f>
        <v>13287.998262822406</v>
      </c>
      <c r="J153" s="299">
        <f>J$5*(BOM_average!I6*BOM_average!I17)/1000000</f>
        <v>13518.811963667158</v>
      </c>
      <c r="K153" s="299">
        <f>K$5*(BOM_average!J6*BOM_average!J17)/1000000</f>
        <v>13538.161838835651</v>
      </c>
      <c r="L153" s="299">
        <f>L$5*(BOM_average!K6*BOM_average!K17)/1000000</f>
        <v>13635.924977798417</v>
      </c>
      <c r="M153" s="299">
        <f>M$5*(BOM_average!L6*BOM_average!L17)/1000000</f>
        <v>13484.947137188285</v>
      </c>
      <c r="N153" s="299">
        <f>N$5*(BOM_average!M6*BOM_average!M17)/1000000</f>
        <v>13565.813176448946</v>
      </c>
      <c r="O153" s="299">
        <f>O$5*(BOM_average!N6*BOM_average!N17)/1000000</f>
        <v>14352.592972160146</v>
      </c>
      <c r="P153" s="299">
        <f>P$5*(BOM_average!O6*BOM_average!O17)/1000000</f>
        <v>15987.582126154717</v>
      </c>
      <c r="Q153" s="299">
        <f>Q$5*(BOM_average!P6*BOM_average!P17)/1000000</f>
        <v>17421.161540139528</v>
      </c>
      <c r="R153" s="299">
        <f>R$5*(BOM_average!Q6*BOM_average!Q17)/1000000</f>
        <v>18371.032588753427</v>
      </c>
      <c r="S153" s="299">
        <f>S$5*(BOM_average!R6*BOM_average!R17)/1000000</f>
        <v>19139.261094539626</v>
      </c>
      <c r="T153" s="299">
        <f>T$5*(BOM_average!S6*BOM_average!S17)/1000000</f>
        <v>19743.059618810788</v>
      </c>
      <c r="U153" s="299">
        <f>U$5*(BOM_average!T6*BOM_average!T17)/1000000</f>
        <v>20204.120481523158</v>
      </c>
      <c r="V153" s="299">
        <f>V$5*(BOM_average!U6*BOM_average!U17)/1000000</f>
        <v>20546.589034791727</v>
      </c>
      <c r="W153" s="299">
        <f>W$5*(BOM_average!V6*BOM_average!V17)/1000000</f>
        <v>20794.323782545434</v>
      </c>
      <c r="X153" s="299">
        <f>X$5*(BOM_average!W6*BOM_average!W17)/1000000</f>
        <v>20969.022890263968</v>
      </c>
      <c r="Y153" s="299">
        <f>Y$5*(BOM_average!X6*BOM_average!X17)/1000000</f>
        <v>21089.220007557902</v>
      </c>
      <c r="Z153" s="299">
        <f>Z$5*(BOM_average!Y6*BOM_average!Y17)/1000000</f>
        <v>21169.960259155039</v>
      </c>
      <c r="AA153" s="299">
        <f>AA$5*(BOM_average!Z6*BOM_average!Z17)/1000000</f>
        <v>21222.940119925639</v>
      </c>
      <c r="AB153" s="299">
        <f>AB$5*(BOM_average!AA6*BOM_average!AA17)/1000000</f>
        <v>21256.912843686856</v>
      </c>
    </row>
    <row r="154" spans="2:28">
      <c r="B154" s="294" t="s">
        <v>217</v>
      </c>
      <c r="C154" s="299">
        <f>C5*(BOM_average!B7*BOM_average!B17)/1000000</f>
        <v>304.54238345884499</v>
      </c>
      <c r="D154" s="299">
        <f>D5*(BOM_average!C35*BOM_average!C25)/1000000</f>
        <v>25.323817342979545</v>
      </c>
      <c r="E154" s="299">
        <f>E5*(BOM_average!D35*BOM_average!D25)/1000000</f>
        <v>38.49128327469019</v>
      </c>
      <c r="F154" s="299">
        <f>F5*(BOM_average!E35*BOM_average!E25)/1000000</f>
        <v>43.271642498205438</v>
      </c>
      <c r="G154" s="299">
        <f>G5*(BOM_average!F35*BOM_average!F25)/1000000</f>
        <v>46.021478057838948</v>
      </c>
      <c r="H154" s="299">
        <f>H5*(BOM_average!G35*BOM_average!G25)/1000000</f>
        <v>49.189880513460196</v>
      </c>
      <c r="I154" s="299">
        <f>I5*(BOM_average!H35*BOM_average!H25)/1000000</f>
        <v>51.197475290850015</v>
      </c>
      <c r="J154" s="299">
        <f>J5*(BOM_average!I35*BOM_average!I25)/1000000</f>
        <v>52.086779948486154</v>
      </c>
      <c r="K154" s="299">
        <f>K5*(BOM_average!J35*BOM_average!J25)/1000000</f>
        <v>52.161333296268545</v>
      </c>
      <c r="L154" s="299">
        <f>L5*(BOM_average!K35*BOM_average!K25)/1000000</f>
        <v>52.538005974305079</v>
      </c>
      <c r="M154" s="299">
        <f>M5*(BOM_average!L35*BOM_average!L25)/1000000</f>
        <v>51.95630178446261</v>
      </c>
      <c r="N154" s="299">
        <f>N5*(BOM_average!M35*BOM_average!M25)/1000000</f>
        <v>52.26787144040545</v>
      </c>
      <c r="O154" s="299">
        <f>O5*(BOM_average!N35*BOM_average!N25)/1000000</f>
        <v>55.299264006354541</v>
      </c>
      <c r="P154" s="299">
        <f>P5*(BOM_average!O35*BOM_average!O25)/1000000</f>
        <v>61.598731778460127</v>
      </c>
      <c r="Q154" s="299">
        <f>Q5*(BOM_average!P35*BOM_average!P25)/1000000</f>
        <v>67.122185738437494</v>
      </c>
      <c r="R154" s="299">
        <f>R5*(BOM_average!Q35*BOM_average!Q25)/1000000</f>
        <v>70.781954394260183</v>
      </c>
      <c r="S154" s="299">
        <f>S5*(BOM_average!R35*BOM_average!R25)/1000000</f>
        <v>73.741870490332985</v>
      </c>
      <c r="T154" s="299">
        <f>T5*(BOM_average!S35*BOM_average!S25)/1000000</f>
        <v>76.068252494273622</v>
      </c>
      <c r="U154" s="299">
        <f>U5*(BOM_average!T35*BOM_average!T25)/1000000</f>
        <v>77.844678985262703</v>
      </c>
      <c r="V154" s="299">
        <f>V5*(BOM_average!U35*BOM_average!U25)/1000000</f>
        <v>79.164179857182333</v>
      </c>
      <c r="W154" s="299">
        <f>W5*(BOM_average!V35*BOM_average!V25)/1000000</f>
        <v>80.118679803369972</v>
      </c>
      <c r="X154" s="299">
        <f>X5*(BOM_average!W35*BOM_average!W25)/1000000</f>
        <v>80.791779925288068</v>
      </c>
      <c r="Y154" s="299">
        <f>Y5*(BOM_average!X35*BOM_average!X25)/1000000</f>
        <v>81.25488872625057</v>
      </c>
      <c r="Z154" s="299">
        <f>Z5*(BOM_average!Y35*BOM_average!Y25)/1000000</f>
        <v>81.565973733515122</v>
      </c>
      <c r="AA154" s="299">
        <f>AA5*(BOM_average!Z35*BOM_average!Z25)/1000000</f>
        <v>81.77010042431283</v>
      </c>
      <c r="AB154" s="299">
        <f>AB5*(BOM_average!AA35*BOM_average!AA25)/1000000</f>
        <v>81.900994306967377</v>
      </c>
    </row>
    <row r="155" spans="2:28">
      <c r="B155" s="294" t="s">
        <v>313</v>
      </c>
      <c r="C155" s="299">
        <f>C5*(BOM_average!B8*BOM_average!B17)/1000000</f>
        <v>1967.7010593218165</v>
      </c>
      <c r="D155" s="299">
        <f>D5*(BOM_average!C35*BOM_average!C26)/1000000</f>
        <v>134.03558615007864</v>
      </c>
      <c r="E155" s="299">
        <f>E5*(BOM_average!D35*BOM_average!D26)/1000000</f>
        <v>203.72922634517778</v>
      </c>
      <c r="F155" s="299">
        <f>F5*(BOM_average!E35*BOM_average!E26)/1000000</f>
        <v>229.03102985504358</v>
      </c>
      <c r="G155" s="299">
        <f>G5*(BOM_average!F35*BOM_average!F26)/1000000</f>
        <v>243.58554255192126</v>
      </c>
      <c r="H155" s="299">
        <f>H5*(BOM_average!G35*BOM_average!G26)/1000000</f>
        <v>260.35547397840406</v>
      </c>
      <c r="I155" s="299">
        <f>I5*(BOM_average!H35*BOM_average!H26)/1000000</f>
        <v>270.98140525467278</v>
      </c>
      <c r="J155" s="299">
        <f>J5*(BOM_average!I35*BOM_average!I26)/1000000</f>
        <v>275.68837614448216</v>
      </c>
      <c r="K155" s="299">
        <f>K5*(BOM_average!J35*BOM_average!J26)/1000000</f>
        <v>276.08297706637802</v>
      </c>
      <c r="L155" s="299">
        <f>L5*(BOM_average!K35*BOM_average!K26)/1000000</f>
        <v>278.07665529046068</v>
      </c>
      <c r="M155" s="299">
        <f>M5*(BOM_average!L35*BOM_average!L26)/1000000</f>
        <v>274.99777263246733</v>
      </c>
      <c r="N155" s="299">
        <f>N5*(BOM_average!M35*BOM_average!M26)/1000000</f>
        <v>276.64686924753414</v>
      </c>
      <c r="O155" s="299">
        <f>O5*(BOM_average!N35*BOM_average!N26)/1000000</f>
        <v>292.69162560969528</v>
      </c>
      <c r="P155" s="299">
        <f>P5*(BOM_average!O35*BOM_average!O26)/1000000</f>
        <v>326.03386796723538</v>
      </c>
      <c r="Q155" s="299">
        <f>Q5*(BOM_average!P35*BOM_average!P26)/1000000</f>
        <v>355.26877276344226</v>
      </c>
      <c r="R155" s="299">
        <f>R5*(BOM_average!Q35*BOM_average!Q26)/1000000</f>
        <v>374.63943992286522</v>
      </c>
      <c r="S155" s="299">
        <f>S5*(BOM_average!R35*BOM_average!R26)/1000000</f>
        <v>390.30588086732882</v>
      </c>
      <c r="T155" s="299">
        <f>T5*(BOM_average!S35*BOM_average!S26)/1000000</f>
        <v>402.61911039682633</v>
      </c>
      <c r="U155" s="299">
        <f>U5*(BOM_average!T35*BOM_average!T26)/1000000</f>
        <v>412.02149877877605</v>
      </c>
      <c r="V155" s="299">
        <f>V5*(BOM_average!U35*BOM_average!U26)/1000000</f>
        <v>419.00544082818902</v>
      </c>
      <c r="W155" s="299">
        <f>W5*(BOM_average!V35*BOM_average!V26)/1000000</f>
        <v>424.05748168106408</v>
      </c>
      <c r="X155" s="299">
        <f>X5*(BOM_average!W35*BOM_average!W26)/1000000</f>
        <v>427.62011081225199</v>
      </c>
      <c r="Y155" s="299">
        <f>Y5*(BOM_average!X35*BOM_average!X26)/1000000</f>
        <v>430.07128390150507</v>
      </c>
      <c r="Z155" s="299">
        <f>Z5*(BOM_average!Y35*BOM_average!Y26)/1000000</f>
        <v>431.71781533578604</v>
      </c>
      <c r="AA155" s="299">
        <f>AA5*(BOM_average!Z35*BOM_average!Z26)/1000000</f>
        <v>432.79823067283348</v>
      </c>
      <c r="AB155" s="299">
        <f>AB5*(BOM_average!AA35*BOM_average!AA26)/1000000</f>
        <v>433.4910345280914</v>
      </c>
    </row>
    <row r="156" spans="2:28">
      <c r="B156" s="294" t="s">
        <v>6911</v>
      </c>
      <c r="C156" s="299">
        <f>C5*(BOM_average!B9*BOM_average!B17)/1000000</f>
        <v>4821.4068346299209</v>
      </c>
      <c r="D156" s="299">
        <f>D5*(BOM_average!C35*BOM_average!C27)/1000000</f>
        <v>505.60926146853438</v>
      </c>
      <c r="E156" s="299">
        <f>E5*(BOM_average!D35*BOM_average!D27)/1000000</f>
        <v>768.50772716884774</v>
      </c>
      <c r="F156" s="299">
        <f>F5*(BOM_average!E35*BOM_average!E27)/1000000</f>
        <v>863.95123253854251</v>
      </c>
      <c r="G156" s="299">
        <f>G5*(BOM_average!F35*BOM_average!F27)/1000000</f>
        <v>918.85378959128695</v>
      </c>
      <c r="H156" s="299">
        <f>H5*(BOM_average!G35*BOM_average!G27)/1000000</f>
        <v>982.11335286822168</v>
      </c>
      <c r="I156" s="299">
        <f>I5*(BOM_average!H35*BOM_average!H27)/1000000</f>
        <v>1022.1965085384925</v>
      </c>
      <c r="J156" s="299">
        <f>J5*(BOM_average!I35*BOM_average!I27)/1000000</f>
        <v>1039.9521519740026</v>
      </c>
      <c r="K156" s="299">
        <f>K5*(BOM_average!J35*BOM_average!J27)/1000000</f>
        <v>1041.4406662292483</v>
      </c>
      <c r="L156" s="299">
        <f>L5*(BOM_average!K35*BOM_average!K27)/1000000</f>
        <v>1048.9612225489386</v>
      </c>
      <c r="M156" s="299">
        <f>M5*(BOM_average!L35*BOM_average!L27)/1000000</f>
        <v>1037.3470562549719</v>
      </c>
      <c r="N156" s="299">
        <f>N5*(BOM_average!M35*BOM_average!M27)/1000000</f>
        <v>1043.5677812548281</v>
      </c>
      <c r="O156" s="299">
        <f>O5*(BOM_average!N35*BOM_average!N27)/1000000</f>
        <v>1104.0918379455004</v>
      </c>
      <c r="P156" s="299">
        <f>P5*(BOM_average!O35*BOM_average!O27)/1000000</f>
        <v>1229.8655001371576</v>
      </c>
      <c r="Q156" s="299">
        <f>Q5*(BOM_average!P35*BOM_average!P27)/1000000</f>
        <v>1340.1454567343735</v>
      </c>
      <c r="R156" s="299">
        <f>R5*(BOM_average!Q35*BOM_average!Q27)/1000000</f>
        <v>1413.2155196776755</v>
      </c>
      <c r="S156" s="299">
        <f>S5*(BOM_average!R35*BOM_average!R27)/1000000</f>
        <v>1472.312494319182</v>
      </c>
      <c r="T156" s="299">
        <f>T5*(BOM_average!S35*BOM_average!S27)/1000000</f>
        <v>1518.7604792724535</v>
      </c>
      <c r="U156" s="299">
        <f>U5*(BOM_average!T35*BOM_average!T27)/1000000</f>
        <v>1554.2281843975313</v>
      </c>
      <c r="V156" s="299">
        <f>V5*(BOM_average!U35*BOM_average!U27)/1000000</f>
        <v>1580.5730222362595</v>
      </c>
      <c r="W156" s="299">
        <f>W5*(BOM_average!V35*BOM_average!V27)/1000000</f>
        <v>1599.6303391615641</v>
      </c>
      <c r="X156" s="299">
        <f>X5*(BOM_average!W35*BOM_average!W27)/1000000</f>
        <v>1613.0692947079615</v>
      </c>
      <c r="Y156" s="299">
        <f>Y5*(BOM_average!X35*BOM_average!X27)/1000000</f>
        <v>1622.3156139205405</v>
      </c>
      <c r="Z156" s="299">
        <f>Z5*(BOM_average!Y35*BOM_average!Y27)/1000000</f>
        <v>1628.5266625411614</v>
      </c>
      <c r="AA156" s="299">
        <f>AA5*(BOM_average!Z35*BOM_average!Z27)/1000000</f>
        <v>1632.6022070762688</v>
      </c>
      <c r="AB156" s="299">
        <f>AB5*(BOM_average!AA35*BOM_average!AA27)/1000000</f>
        <v>1635.2156029337484</v>
      </c>
    </row>
    <row r="157" spans="2:28">
      <c r="B157" s="294" t="s">
        <v>441</v>
      </c>
      <c r="C157" s="299">
        <f>C5*(BOM_average!B10*BOM_average!B17)/1000000</f>
        <v>2381.2662721592374</v>
      </c>
      <c r="D157" s="299">
        <f>D5*(BOM_average!C35*BOM_average!C28)/1000000</f>
        <v>483.38173616589643</v>
      </c>
      <c r="E157" s="299">
        <f>E5*(BOM_average!D35*BOM_average!D28)/1000000</f>
        <v>734.72269542060815</v>
      </c>
      <c r="F157" s="299">
        <f>F5*(BOM_average!E35*BOM_average!E28)/1000000</f>
        <v>825.97032644176829</v>
      </c>
      <c r="G157" s="299">
        <f>G5*(BOM_average!F35*BOM_average!F28)/1000000</f>
        <v>878.45926477929197</v>
      </c>
      <c r="H157" s="299">
        <f>H5*(BOM_average!G35*BOM_average!G28)/1000000</f>
        <v>938.93781977467768</v>
      </c>
      <c r="I157" s="299">
        <f>I5*(BOM_average!H35*BOM_average!H28)/1000000</f>
        <v>977.25884522944818</v>
      </c>
      <c r="J157" s="299">
        <f>J5*(BOM_average!I35*BOM_average!I28)/1000000</f>
        <v>994.23391749309906</v>
      </c>
      <c r="K157" s="299">
        <f>K5*(BOM_average!J35*BOM_average!J28)/1000000</f>
        <v>995.65699388793882</v>
      </c>
      <c r="L157" s="299">
        <f>L5*(BOM_average!K35*BOM_average!K28)/1000000</f>
        <v>1002.8469325377703</v>
      </c>
      <c r="M157" s="299">
        <f>M5*(BOM_average!L35*BOM_average!L28)/1000000</f>
        <v>991.74334663629554</v>
      </c>
      <c r="N157" s="299">
        <f>N5*(BOM_average!M35*BOM_average!M28)/1000000</f>
        <v>997.69059697326009</v>
      </c>
      <c r="O157" s="299">
        <f>O5*(BOM_average!N35*BOM_average!N28)/1000000</f>
        <v>1055.5539033493458</v>
      </c>
      <c r="P157" s="299">
        <f>P5*(BOM_average!O35*BOM_average!O28)/1000000</f>
        <v>1175.7983209803901</v>
      </c>
      <c r="Q157" s="299">
        <f>Q5*(BOM_average!P35*BOM_average!P28)/1000000</f>
        <v>1281.2301651863913</v>
      </c>
      <c r="R157" s="299">
        <f>R5*(BOM_average!Q35*BOM_average!Q28)/1000000</f>
        <v>1351.0879320016118</v>
      </c>
      <c r="S157" s="299">
        <f>S5*(BOM_average!R35*BOM_average!R28)/1000000</f>
        <v>1407.5868935146834</v>
      </c>
      <c r="T157" s="299">
        <f>T5*(BOM_average!S35*BOM_average!S28)/1000000</f>
        <v>1451.9929384967472</v>
      </c>
      <c r="U157" s="299">
        <f>U5*(BOM_average!T35*BOM_average!T28)/1000000</f>
        <v>1485.9014172128695</v>
      </c>
      <c r="V157" s="299">
        <f>V5*(BOM_average!U35*BOM_average!U28)/1000000</f>
        <v>1511.0880868883935</v>
      </c>
      <c r="W157" s="299">
        <f>W5*(BOM_average!V35*BOM_average!V28)/1000000</f>
        <v>1529.3076086496471</v>
      </c>
      <c r="X157" s="299">
        <f>X5*(BOM_average!W35*BOM_average!W28)/1000000</f>
        <v>1542.1557626676449</v>
      </c>
      <c r="Y157" s="299">
        <f>Y5*(BOM_average!X35*BOM_average!X28)/1000000</f>
        <v>1550.9955964577521</v>
      </c>
      <c r="Z157" s="299">
        <f>Z5*(BOM_average!Y35*BOM_average!Y28)/1000000</f>
        <v>1556.9335958071435</v>
      </c>
      <c r="AA157" s="299">
        <f>AA5*(BOM_average!Z35*BOM_average!Z28)/1000000</f>
        <v>1560.8299718099872</v>
      </c>
      <c r="AB157" s="299">
        <f>AB5*(BOM_average!AA35*BOM_average!AA28)/1000000</f>
        <v>1563.3284779156868</v>
      </c>
    </row>
    <row r="158" spans="2:28">
      <c r="B158" s="294" t="s">
        <v>6912</v>
      </c>
      <c r="C158" s="299">
        <f>C5*(BOM_average!B11*BOM_average!B17)/1000000</f>
        <v>2119.2869079587203</v>
      </c>
      <c r="D158" s="299">
        <f>D5*(BOM_average!C35*BOM_average!C29)/1000000</f>
        <v>297.7947325196389</v>
      </c>
      <c r="E158" s="299">
        <f>E5*(BOM_average!D35*BOM_average!D29)/1000000</f>
        <v>452.63718545583862</v>
      </c>
      <c r="F158" s="299">
        <f>F5*(BOM_average!E35*BOM_average!E29)/1000000</f>
        <v>508.85168807343717</v>
      </c>
      <c r="G158" s="299">
        <f>G5*(BOM_average!F35*BOM_average!F29)/1000000</f>
        <v>541.18830359483559</v>
      </c>
      <c r="H158" s="299">
        <f>H5*(BOM_average!G35*BOM_average!G29)/1000000</f>
        <v>578.44704500049784</v>
      </c>
      <c r="I158" s="299">
        <f>I5*(BOM_average!H35*BOM_average!H29)/1000000</f>
        <v>602.05530048755475</v>
      </c>
      <c r="J158" s="299">
        <f>J5*(BOM_average!I35*BOM_average!I29)/1000000</f>
        <v>612.51305411381213</v>
      </c>
      <c r="K158" s="299">
        <f>K5*(BOM_average!J35*BOM_average!J29)/1000000</f>
        <v>613.38976215354432</v>
      </c>
      <c r="L158" s="299">
        <f>L5*(BOM_average!K35*BOM_average!K29)/1000000</f>
        <v>617.81923413575487</v>
      </c>
      <c r="M158" s="299">
        <f>M5*(BOM_average!L35*BOM_average!L29)/1000000</f>
        <v>610.97869973789818</v>
      </c>
      <c r="N158" s="299">
        <f>N5*(BOM_average!M35*BOM_average!M29)/1000000</f>
        <v>614.64259452501085</v>
      </c>
      <c r="O158" s="299">
        <f>O5*(BOM_average!N35*BOM_average!N29)/1000000</f>
        <v>650.29017190690558</v>
      </c>
      <c r="P158" s="299">
        <f>P5*(BOM_average!O35*BOM_average!O29)/1000000</f>
        <v>724.36858965897216</v>
      </c>
      <c r="Q158" s="299">
        <f>Q5*(BOM_average!P35*BOM_average!P29)/1000000</f>
        <v>789.32149436202224</v>
      </c>
      <c r="R158" s="299">
        <f>R5*(BOM_average!Q35*BOM_average!Q29)/1000000</f>
        <v>832.35844306464799</v>
      </c>
      <c r="S158" s="299">
        <f>S5*(BOM_average!R35*BOM_average!R29)/1000000</f>
        <v>867.16549486779729</v>
      </c>
      <c r="T158" s="299">
        <f>T5*(BOM_average!S35*BOM_average!S29)/1000000</f>
        <v>894.52251996472887</v>
      </c>
      <c r="U158" s="299">
        <f>U5*(BOM_average!T35*BOM_average!T29)/1000000</f>
        <v>915.41235835520945</v>
      </c>
      <c r="V158" s="299">
        <f>V5*(BOM_average!U35*BOM_average!U29)/1000000</f>
        <v>930.92899251390872</v>
      </c>
      <c r="W158" s="299">
        <f>W5*(BOM_average!V35*BOM_average!V29)/1000000</f>
        <v>942.15340834013307</v>
      </c>
      <c r="X158" s="299">
        <f>X5*(BOM_average!W35*BOM_average!W29)/1000000</f>
        <v>950.06871068380224</v>
      </c>
      <c r="Y158" s="299">
        <f>Y5*(BOM_average!X35*BOM_average!X29)/1000000</f>
        <v>955.5146258727442</v>
      </c>
      <c r="Z158" s="299">
        <f>Z5*(BOM_average!Y35*BOM_average!Y29)/1000000</f>
        <v>959.17282144707383</v>
      </c>
      <c r="AA158" s="299">
        <f>AA5*(BOM_average!Z35*BOM_average!Z29)/1000000</f>
        <v>961.57324364499607</v>
      </c>
      <c r="AB158" s="299">
        <f>AB5*(BOM_average!AA35*BOM_average!AA29)/1000000</f>
        <v>963.11248665270068</v>
      </c>
    </row>
    <row r="159" spans="2:28">
      <c r="B159" s="294" t="s">
        <v>443</v>
      </c>
      <c r="C159" s="299">
        <f>C5*(BOM_average!B12*BOM_average!B17)/1000000</f>
        <v>1401.9097686808434</v>
      </c>
      <c r="D159" s="299">
        <f>D5*(BOM_average!C35*BOM_average!C30)/1000000</f>
        <v>142.67206606389911</v>
      </c>
      <c r="E159" s="299">
        <f>E5*(BOM_average!D35*BOM_average!D30)/1000000</f>
        <v>216.85636236723539</v>
      </c>
      <c r="F159" s="299">
        <f>F5*(BOM_average!E35*BOM_average!E30)/1000000</f>
        <v>243.78846812796547</v>
      </c>
      <c r="G159" s="299">
        <f>G5*(BOM_average!F35*BOM_average!F30)/1000000</f>
        <v>259.28078965735193</v>
      </c>
      <c r="H159" s="299">
        <f>H5*(BOM_average!G35*BOM_average!G30)/1000000</f>
        <v>277.13127871842283</v>
      </c>
      <c r="I159" s="299">
        <f>I5*(BOM_average!H35*BOM_average!H30)/1000000</f>
        <v>288.44188370462984</v>
      </c>
      <c r="J159" s="299">
        <f>J5*(BOM_average!I35*BOM_average!I30)/1000000</f>
        <v>293.45214464383895</v>
      </c>
      <c r="K159" s="299">
        <f>K5*(BOM_average!J35*BOM_average!J30)/1000000</f>
        <v>293.87217137267021</v>
      </c>
      <c r="L159" s="299">
        <f>L5*(BOM_average!K35*BOM_average!K30)/1000000</f>
        <v>295.99431071988812</v>
      </c>
      <c r="M159" s="299">
        <f>M5*(BOM_average!L35*BOM_average!L30)/1000000</f>
        <v>292.71704262563458</v>
      </c>
      <c r="N159" s="299">
        <f>N5*(BOM_average!M35*BOM_average!M30)/1000000</f>
        <v>294.47239751285917</v>
      </c>
      <c r="O159" s="299">
        <f>O5*(BOM_average!N35*BOM_average!N30)/1000000</f>
        <v>311.55098541203307</v>
      </c>
      <c r="P159" s="299">
        <f>P5*(BOM_average!O35*BOM_average!O30)/1000000</f>
        <v>347.04160951410637</v>
      </c>
      <c r="Q159" s="299">
        <f>Q5*(BOM_average!P35*BOM_average!P30)/1000000</f>
        <v>378.16024291782037</v>
      </c>
      <c r="R159" s="299">
        <f>R5*(BOM_average!Q35*BOM_average!Q30)/1000000</f>
        <v>398.77904411869366</v>
      </c>
      <c r="S159" s="299">
        <f>S5*(BOM_average!R35*BOM_average!R30)/1000000</f>
        <v>415.45494013717331</v>
      </c>
      <c r="T159" s="299">
        <f>T5*(BOM_average!S35*BOM_average!S30)/1000000</f>
        <v>428.56156314194311</v>
      </c>
      <c r="U159" s="299">
        <f>U5*(BOM_average!T35*BOM_average!T30)/1000000</f>
        <v>438.56978718839861</v>
      </c>
      <c r="V159" s="299">
        <f>V5*(BOM_average!U35*BOM_average!U30)/1000000</f>
        <v>446.00373417278087</v>
      </c>
      <c r="W159" s="299">
        <f>W5*(BOM_average!V35*BOM_average!V30)/1000000</f>
        <v>451.38129939275046</v>
      </c>
      <c r="X159" s="299">
        <f>X5*(BOM_average!W35*BOM_average!W30)/1000000</f>
        <v>455.17348379217475</v>
      </c>
      <c r="Y159" s="299">
        <f>Y5*(BOM_average!X35*BOM_average!X30)/1000000</f>
        <v>457.78259633436477</v>
      </c>
      <c r="Z159" s="299">
        <f>Z5*(BOM_average!Y35*BOM_average!Y30)/1000000</f>
        <v>459.53522075535244</v>
      </c>
      <c r="AA159" s="299">
        <f>AA5*(BOM_average!Z35*BOM_average!Z30)/1000000</f>
        <v>460.68525182375163</v>
      </c>
      <c r="AB159" s="299">
        <f>AB5*(BOM_average!AA35*BOM_average!AA30)/1000000</f>
        <v>461.42269596262383</v>
      </c>
    </row>
    <row r="160" spans="2:28">
      <c r="B160" s="294" t="s">
        <v>445</v>
      </c>
      <c r="C160" s="299">
        <f>C5*(BOM_average!B13*BOM_average!B17)/1000000</f>
        <v>0</v>
      </c>
      <c r="D160" s="299">
        <f>D5*(BOM_average!C35*BOM_average!C31)/1000000</f>
        <v>185.63166517508296</v>
      </c>
      <c r="E160" s="299">
        <f>E5*(BOM_average!D35*BOM_average!D31)/1000000</f>
        <v>282.15339386766681</v>
      </c>
      <c r="F160" s="299">
        <f>F5*(BOM_average!E35*BOM_average!E31)/1000000</f>
        <v>317.1949529966742</v>
      </c>
      <c r="G160" s="299">
        <f>G5*(BOM_average!F35*BOM_average!F31)/1000000</f>
        <v>337.35212547106568</v>
      </c>
      <c r="H160" s="299">
        <f>H5*(BOM_average!G35*BOM_average!G31)/1000000</f>
        <v>360.57752691098119</v>
      </c>
      <c r="I160" s="299">
        <f>I5*(BOM_average!H35*BOM_average!H31)/1000000</f>
        <v>375.29383750808739</v>
      </c>
      <c r="J160" s="299">
        <f>J5*(BOM_average!I35*BOM_average!I31)/1000000</f>
        <v>381.81272453878694</v>
      </c>
      <c r="K160" s="299">
        <f>K5*(BOM_average!J35*BOM_average!J31)/1000000</f>
        <v>382.35922437748752</v>
      </c>
      <c r="L160" s="299">
        <f>L5*(BOM_average!K35*BOM_average!K31)/1000000</f>
        <v>385.1203553516558</v>
      </c>
      <c r="M160" s="299">
        <f>M5*(BOM_average!L35*BOM_average!L31)/1000000</f>
        <v>380.85627794431673</v>
      </c>
      <c r="N160" s="299">
        <f>N5*(BOM_average!M35*BOM_average!M31)/1000000</f>
        <v>383.14018298388345</v>
      </c>
      <c r="O160" s="299">
        <f>O5*(BOM_average!N35*BOM_average!N31)/1000000</f>
        <v>405.36125819521993</v>
      </c>
      <c r="P160" s="299">
        <f>P5*(BOM_average!O35*BOM_average!O31)/1000000</f>
        <v>451.53836792614737</v>
      </c>
      <c r="Q160" s="299">
        <f>Q5*(BOM_average!P35*BOM_average!P31)/1000000</f>
        <v>492.0270486894666</v>
      </c>
      <c r="R160" s="299">
        <f>R5*(BOM_average!Q35*BOM_average!Q31)/1000000</f>
        <v>518.85432123430974</v>
      </c>
      <c r="S160" s="299">
        <f>S5*(BOM_average!R35*BOM_average!R31)/1000000</f>
        <v>540.55145110422063</v>
      </c>
      <c r="T160" s="299">
        <f>T5*(BOM_average!S35*BOM_average!S31)/1000000</f>
        <v>557.60457383749474</v>
      </c>
      <c r="U160" s="299">
        <f>U5*(BOM_average!T35*BOM_average!T31)/1000000</f>
        <v>570.62634710008103</v>
      </c>
      <c r="V160" s="299">
        <f>V5*(BOM_average!U35*BOM_average!U31)/1000000</f>
        <v>580.29870971180708</v>
      </c>
      <c r="W160" s="299">
        <f>W5*(BOM_average!V35*BOM_average!V31)/1000000</f>
        <v>587.2954990196979</v>
      </c>
      <c r="X160" s="299">
        <f>X5*(BOM_average!W35*BOM_average!W31)/1000000</f>
        <v>592.22953778521787</v>
      </c>
      <c r="Y160" s="299">
        <f>Y5*(BOM_average!X35*BOM_average!X31)/1000000</f>
        <v>595.62427313319404</v>
      </c>
      <c r="Z160" s="299">
        <f>Z5*(BOM_average!Y35*BOM_average!Y31)/1000000</f>
        <v>597.90462554323597</v>
      </c>
      <c r="AA160" s="299">
        <f>AA5*(BOM_average!Z35*BOM_average!Z31)/1000000</f>
        <v>599.40093934957292</v>
      </c>
      <c r="AB160" s="299">
        <f>AB5*(BOM_average!AA35*BOM_average!AA31)/1000000</f>
        <v>600.36043329431698</v>
      </c>
    </row>
    <row r="161" spans="2:28">
      <c r="B161" s="294" t="s">
        <v>6915</v>
      </c>
      <c r="C161" s="299">
        <f>C5*(BOM_average!B14*BOM_average!B17)/1000000</f>
        <v>992.18515592390816</v>
      </c>
      <c r="D161" s="299">
        <f>D5*(BOM_average!C35*BOM_average!C32)/1000000</f>
        <v>54.930992718321988</v>
      </c>
      <c r="E161" s="299">
        <f>E5*(BOM_average!D35*BOM_average!D32)/1000000</f>
        <v>83.493115301079811</v>
      </c>
      <c r="F161" s="299">
        <f>F5*(BOM_average!E35*BOM_average!E32)/1000000</f>
        <v>93.862400237131368</v>
      </c>
      <c r="G161" s="299">
        <f>G5*(BOM_average!F35*BOM_average!F32)/1000000</f>
        <v>99.82718805158332</v>
      </c>
      <c r="H161" s="299">
        <f>H5*(BOM_average!G35*BOM_average!G32)/1000000</f>
        <v>106.69990751015634</v>
      </c>
      <c r="I161" s="299">
        <f>I5*(BOM_average!H35*BOM_average!H32)/1000000</f>
        <v>111.05466858762533</v>
      </c>
      <c r="J161" s="299">
        <f>J5*(BOM_average!I35*BOM_average!I32)/1000000</f>
        <v>112.98369796780774</v>
      </c>
      <c r="K161" s="299">
        <f>K5*(BOM_average!J35*BOM_average!J32)/1000000</f>
        <v>113.1454148744137</v>
      </c>
      <c r="L161" s="299">
        <f>L5*(BOM_average!K35*BOM_average!K32)/1000000</f>
        <v>113.96247194974249</v>
      </c>
      <c r="M161" s="299">
        <f>M5*(BOM_average!L35*BOM_average!L32)/1000000</f>
        <v>112.70067211191858</v>
      </c>
      <c r="N161" s="299">
        <f>N5*(BOM_average!M35*BOM_average!M32)/1000000</f>
        <v>113.376511392784</v>
      </c>
      <c r="O161" s="299">
        <f>O5*(BOM_average!N35*BOM_average!N32)/1000000</f>
        <v>119.95203674550844</v>
      </c>
      <c r="P161" s="299">
        <f>P5*(BOM_average!O35*BOM_average!O32)/1000000</f>
        <v>133.61648605155932</v>
      </c>
      <c r="Q161" s="299">
        <f>Q5*(BOM_average!P35*BOM_average!P32)/1000000</f>
        <v>145.59765007380008</v>
      </c>
      <c r="R161" s="299">
        <f>R5*(BOM_average!Q35*BOM_average!Q32)/1000000</f>
        <v>153.53621331096824</v>
      </c>
      <c r="S161" s="299">
        <f>S5*(BOM_average!R35*BOM_average!R32)/1000000</f>
        <v>159.95669594666748</v>
      </c>
      <c r="T161" s="299">
        <f>T5*(BOM_average!S35*BOM_average!S32)/1000000</f>
        <v>165.00295225106802</v>
      </c>
      <c r="U161" s="299">
        <f>U5*(BOM_average!T35*BOM_average!T32)/1000000</f>
        <v>168.85627615241924</v>
      </c>
      <c r="V161" s="299">
        <f>V5*(BOM_average!U35*BOM_average!U32)/1000000</f>
        <v>171.7184628364237</v>
      </c>
      <c r="W161" s="299">
        <f>W5*(BOM_average!V35*BOM_average!V32)/1000000</f>
        <v>173.78891015025283</v>
      </c>
      <c r="X161" s="299">
        <f>X5*(BOM_average!W35*BOM_average!W32)/1000000</f>
        <v>175.24896087621633</v>
      </c>
      <c r="Y161" s="299">
        <f>Y5*(BOM_average!X35*BOM_average!X32)/1000000</f>
        <v>176.25351030211539</v>
      </c>
      <c r="Z161" s="299">
        <f>Z5*(BOM_average!Y35*BOM_average!Y32)/1000000</f>
        <v>176.92829831047092</v>
      </c>
      <c r="AA161" s="299">
        <f>AA5*(BOM_average!Z35*BOM_average!Z32)/1000000</f>
        <v>177.37107838639542</v>
      </c>
      <c r="AB161" s="299">
        <f>AB5*(BOM_average!AA35*BOM_average!AA32)/1000000</f>
        <v>177.65500599563336</v>
      </c>
    </row>
    <row r="162" spans="2:28" ht="17" thickBot="1">
      <c r="B162" s="297" t="s">
        <v>447</v>
      </c>
      <c r="C162" s="300">
        <f>C5*(BOM_average!B15*BOM_average!B17)/1000000</f>
        <v>422.9293930185446</v>
      </c>
      <c r="D162" s="300">
        <f>D5*(BOM_average!C35*BOM_average!C33)/1000000</f>
        <v>88.227712779221136</v>
      </c>
      <c r="E162" s="300">
        <f>E5*(BOM_average!D35*BOM_average!D33)/1000000</f>
        <v>134.10292134351016</v>
      </c>
      <c r="F162" s="300">
        <f>F5*(BOM_average!E35*BOM_average!E33)/1000000</f>
        <v>150.757604752476</v>
      </c>
      <c r="G162" s="300">
        <f>G5*(BOM_average!F35*BOM_average!F33)/1000000</f>
        <v>160.33798114911326</v>
      </c>
      <c r="H162" s="300">
        <f>H5*(BOM_average!G35*BOM_average!G33)/1000000</f>
        <v>171.37663689510515</v>
      </c>
      <c r="I162" s="300">
        <f>I5*(BOM_average!H35*BOM_average!H33)/1000000</f>
        <v>178.37106008958921</v>
      </c>
      <c r="J162" s="300">
        <f>J5*(BOM_average!I35*BOM_average!I33)/1000000</f>
        <v>181.46938112249211</v>
      </c>
      <c r="K162" s="300">
        <f>K5*(BOM_average!J35*BOM_average!J33)/1000000</f>
        <v>181.72912361177748</v>
      </c>
      <c r="L162" s="300">
        <f>L5*(BOM_average!K35*BOM_average!K33)/1000000</f>
        <v>183.04144427810863</v>
      </c>
      <c r="M162" s="300">
        <f>M5*(BOM_average!L35*BOM_average!L33)/1000000</f>
        <v>181.0147976043946</v>
      </c>
      <c r="N162" s="300">
        <f>N5*(BOM_average!M35*BOM_average!M33)/1000000</f>
        <v>182.10030054192336</v>
      </c>
      <c r="O162" s="300">
        <f>O5*(BOM_average!N35*BOM_average!N33)/1000000</f>
        <v>192.66161635807018</v>
      </c>
      <c r="P162" s="300">
        <f>P5*(BOM_average!O35*BOM_average!O33)/1000000</f>
        <v>214.60884594560986</v>
      </c>
      <c r="Q162" s="300">
        <f>Q5*(BOM_average!P35*BOM_average!P33)/1000000</f>
        <v>233.85245771748333</v>
      </c>
      <c r="R162" s="300">
        <f>R5*(BOM_average!Q35*BOM_average!Q33)/1000000</f>
        <v>246.6030242466577</v>
      </c>
      <c r="S162" s="300">
        <f>S5*(BOM_average!R35*BOM_average!R33)/1000000</f>
        <v>256.91531735942186</v>
      </c>
      <c r="T162" s="300">
        <f>T5*(BOM_average!S35*BOM_average!S33)/1000000</f>
        <v>265.02038937437715</v>
      </c>
      <c r="U162" s="300">
        <f>U5*(BOM_average!T35*BOM_average!T33)/1000000</f>
        <v>271.20942652062058</v>
      </c>
      <c r="V162" s="300">
        <f>V5*(BOM_average!U35*BOM_average!U33)/1000000</f>
        <v>275.80654323343441</v>
      </c>
      <c r="W162" s="300">
        <f>W5*(BOM_average!V35*BOM_average!V33)/1000000</f>
        <v>279.13200344977787</v>
      </c>
      <c r="X162" s="300">
        <f>X5*(BOM_average!W35*BOM_average!W33)/1000000</f>
        <v>281.47707186596239</v>
      </c>
      <c r="Y162" s="300">
        <f>Y5*(BOM_average!X35*BOM_average!X33)/1000000</f>
        <v>283.09053439112068</v>
      </c>
      <c r="Z162" s="300">
        <f>Z5*(BOM_average!Y35*BOM_average!Y33)/1000000</f>
        <v>284.17434882158875</v>
      </c>
      <c r="AA162" s="300">
        <f>AA5*(BOM_average!Z35*BOM_average!Z33)/1000000</f>
        <v>284.88552244925921</v>
      </c>
      <c r="AB162" s="300">
        <f>AB5*(BOM_average!AA35*BOM_average!AA33)/1000000</f>
        <v>285.34155432340339</v>
      </c>
    </row>
    <row r="163" spans="2:28">
      <c r="B163" s="296" t="s">
        <v>7756</v>
      </c>
      <c r="C163" s="301">
        <f>C5*(BOM_average!B17)/1000000</f>
        <v>17040.143282731038</v>
      </c>
      <c r="D163" s="301">
        <f>D5*(BOM_average!C35)/1000000</f>
        <v>2127.719740916993</v>
      </c>
      <c r="E163" s="301">
        <f>E5*(BOM_average!D35)/1000000</f>
        <v>3234.0567840768658</v>
      </c>
      <c r="F163" s="301">
        <f>F5*(BOM_average!E35)/1000000</f>
        <v>3635.7049459945938</v>
      </c>
      <c r="G163" s="301">
        <f>G5*(BOM_average!F35)/1000000</f>
        <v>3866.7474987529267</v>
      </c>
      <c r="H163" s="301">
        <f>H5*(BOM_average!G35)/1000000</f>
        <v>4132.9582505005947</v>
      </c>
      <c r="I163" s="301">
        <f>I5*(BOM_average!H35)/1000000</f>
        <v>4301.6373632015229</v>
      </c>
      <c r="J163" s="301">
        <f>J5*(BOM_average!I35)/1000000</f>
        <v>4376.3571832868784</v>
      </c>
      <c r="K163" s="301">
        <f>K5*(BOM_average!J35)/1000000</f>
        <v>4382.6211926848146</v>
      </c>
      <c r="L163" s="301">
        <f>L5*(BOM_average!K35)/1000000</f>
        <v>4414.2694186243598</v>
      </c>
      <c r="M163" s="301">
        <f>M5*(BOM_average!L35)/1000000</f>
        <v>4365.3943429855335</v>
      </c>
      <c r="N163" s="301">
        <f>N5*(BOM_average!M35)/1000000</f>
        <v>4391.5725805964639</v>
      </c>
      <c r="O163" s="301">
        <f>O5*(BOM_average!N35)/1000000</f>
        <v>4646.2716932018939</v>
      </c>
      <c r="P163" s="301">
        <f>P5*(BOM_average!O35)/1000000</f>
        <v>5175.5561116782128</v>
      </c>
      <c r="Q163" s="301">
        <f>Q5*(BOM_average!P35)/1000000</f>
        <v>5639.6394633119289</v>
      </c>
      <c r="R163" s="301">
        <f>R5*(BOM_average!Q35)/1000000</f>
        <v>5947.1350478329541</v>
      </c>
      <c r="S163" s="301">
        <f>S5*(BOM_average!R35)/1000000</f>
        <v>6195.8286718539803</v>
      </c>
      <c r="T163" s="301">
        <f>T5*(BOM_average!S35)/1000000</f>
        <v>6391.2924460416716</v>
      </c>
      <c r="U163" s="301">
        <f>U5*(BOM_average!T35)/1000000</f>
        <v>6540.548684229364</v>
      </c>
      <c r="V163" s="301">
        <f>V5*(BOM_average!U35)/1000000</f>
        <v>6651.4138044170559</v>
      </c>
      <c r="W163" s="301">
        <f>W5*(BOM_average!V35)/1000000</f>
        <v>6731.611365104749</v>
      </c>
      <c r="X163" s="301">
        <f>X5*(BOM_average!W35)/1000000</f>
        <v>6788.1655724591074</v>
      </c>
      <c r="Y163" s="301">
        <f>Y5*(BOM_average!X35)/1000000</f>
        <v>6827.0762044801322</v>
      </c>
      <c r="Z163" s="301">
        <f>Z5*(BOM_average!Y35)/1000000</f>
        <v>6853.2137216678248</v>
      </c>
      <c r="AA163" s="301">
        <f>AA5*(BOM_average!Z35)/1000000</f>
        <v>6870.3645478555163</v>
      </c>
      <c r="AB163" s="301">
        <f>AB5*(BOM_average!AA35)/1000000</f>
        <v>6881.3623170432093</v>
      </c>
    </row>
    <row r="164" spans="2:28">
      <c r="B164" s="295" t="s">
        <v>7757</v>
      </c>
      <c r="C164" s="299">
        <f>C5*(BOM_average!B18)/1000000</f>
        <v>23619.084206513795</v>
      </c>
      <c r="D164" s="299">
        <f>D5*(BOM_average!C36)/1000000</f>
        <v>2830.3132632567836</v>
      </c>
      <c r="E164" s="299">
        <f>E5*(BOM_average!D36)/1000000</f>
        <v>4301.9734385476231</v>
      </c>
      <c r="F164" s="299">
        <f>F5*(BOM_average!E36)/1000000</f>
        <v>4836.2496864845461</v>
      </c>
      <c r="G164" s="299">
        <f>G5*(BOM_average!F36)/1000000</f>
        <v>5143.5847122745454</v>
      </c>
      <c r="H164" s="299">
        <f>H5*(BOM_average!G36)/1000000</f>
        <v>5497.7008145993095</v>
      </c>
      <c r="I164" s="299">
        <f>I5*(BOM_average!H36)/1000000</f>
        <v>5722.0793926286096</v>
      </c>
      <c r="J164" s="299">
        <f>J5*(BOM_average!I36)/1000000</f>
        <v>5821.4724159431362</v>
      </c>
      <c r="K164" s="299">
        <f>K5*(BOM_average!J36)/1000000</f>
        <v>5829.8048614899835</v>
      </c>
      <c r="L164" s="299">
        <f>L5*(BOM_average!K36)/1000000</f>
        <v>5871.9036360196778</v>
      </c>
      <c r="M164" s="299">
        <f>M5*(BOM_average!L36)/1000000</f>
        <v>5806.8895403363667</v>
      </c>
      <c r="N164" s="299">
        <f>N5*(BOM_average!M36)/1000000</f>
        <v>5841.7120837823231</v>
      </c>
      <c r="O164" s="299">
        <f>O5*(BOM_average!N36)/1000000</f>
        <v>6180.5152930039485</v>
      </c>
      <c r="P164" s="299">
        <f>P5*(BOM_average!O36)/1000000</f>
        <v>6884.5745169894626</v>
      </c>
      <c r="Q164" s="299">
        <f>Q5*(BOM_average!P36)/1000000</f>
        <v>7501.9026547730055</v>
      </c>
      <c r="R164" s="299">
        <f>R5*(BOM_average!Q36)/1000000</f>
        <v>7910.9362387203328</v>
      </c>
      <c r="S164" s="299">
        <f>S5*(BOM_average!R36)/1000000</f>
        <v>8241.7508892676597</v>
      </c>
      <c r="T164" s="299">
        <f>T5*(BOM_average!S36)/1000000</f>
        <v>8501.7586816149869</v>
      </c>
      <c r="U164" s="299">
        <f>U5*(BOM_average!T36)/1000000</f>
        <v>8700.3007651623138</v>
      </c>
      <c r="V164" s="299">
        <f>V5*(BOM_average!U36)/1000000</f>
        <v>8847.774614309641</v>
      </c>
      <c r="W164" s="299">
        <f>W5*(BOM_average!V36)/1000000</f>
        <v>8954.4541808569684</v>
      </c>
      <c r="X164" s="299">
        <f>X5*(BOM_average!W36)/1000000</f>
        <v>9029.6831314042956</v>
      </c>
      <c r="Y164" s="299">
        <f>Y5*(BOM_average!X36)/1000000</f>
        <v>9081.4424283516219</v>
      </c>
      <c r="Z164" s="299">
        <f>Z5*(BOM_average!Y36)/1000000</f>
        <v>9116.21080509895</v>
      </c>
      <c r="AA164" s="299">
        <f>AA5*(BOM_average!Z36)/1000000</f>
        <v>9139.0249990462762</v>
      </c>
      <c r="AB164" s="299">
        <f>AB5*(BOM_average!AA36)/1000000</f>
        <v>9153.654337393602</v>
      </c>
    </row>
    <row r="165" spans="2:28">
      <c r="B165" s="295" t="s">
        <v>7758</v>
      </c>
      <c r="C165" s="299">
        <f>C5*(BOM_average!B19)/1000000</f>
        <v>10986.308754817243</v>
      </c>
      <c r="D165" s="299">
        <f>D5*(BOM_average!C37)/1000000</f>
        <v>1435.6205206285802</v>
      </c>
      <c r="E165" s="299">
        <f>E5*(BOM_average!D37)/1000000</f>
        <v>2182.0910878506297</v>
      </c>
      <c r="F165" s="299">
        <f>F5*(BOM_average!E37)/1000000</f>
        <v>2453.0921657808158</v>
      </c>
      <c r="G165" s="299">
        <f>G5*(BOM_average!F37)/1000000</f>
        <v>2608.9817895408155</v>
      </c>
      <c r="H165" s="299">
        <f>H5*(BOM_average!G37)/1000000</f>
        <v>2788.6001907200066</v>
      </c>
      <c r="I165" s="299">
        <f>I5*(BOM_average!H37)/1000000</f>
        <v>2902.4117942587832</v>
      </c>
      <c r="J165" s="299">
        <f>J5*(BOM_average!I37)/1000000</f>
        <v>2952.8269429033039</v>
      </c>
      <c r="K165" s="299">
        <f>K5*(BOM_average!J37)/1000000</f>
        <v>2957.0534113898029</v>
      </c>
      <c r="L165" s="299">
        <f>L5*(BOM_average!K37)/1000000</f>
        <v>2978.4071835650425</v>
      </c>
      <c r="M165" s="299">
        <f>M5*(BOM_average!L37)/1000000</f>
        <v>2945.4300671784022</v>
      </c>
      <c r="N165" s="299">
        <f>N5*(BOM_average!M37)/1000000</f>
        <v>2963.0931147994879</v>
      </c>
      <c r="O165" s="299">
        <f>O5*(BOM_average!N37)/1000000</f>
        <v>3134.9443532923256</v>
      </c>
      <c r="P165" s="299">
        <f>P5*(BOM_average!O37)/1000000</f>
        <v>3492.0644936008848</v>
      </c>
      <c r="Q165" s="299">
        <f>Q5*(BOM_average!P37)/1000000</f>
        <v>3805.192002865952</v>
      </c>
      <c r="R165" s="299">
        <f>R5*(BOM_average!Q37)/1000000</f>
        <v>4012.666212298634</v>
      </c>
      <c r="S165" s="299">
        <f>S5*(BOM_average!R37)/1000000</f>
        <v>4180.465412131316</v>
      </c>
      <c r="T165" s="299">
        <f>T5*(BOM_average!S37)/1000000</f>
        <v>4312.3492311639984</v>
      </c>
      <c r="U165" s="299">
        <f>U5*(BOM_average!T37)/1000000</f>
        <v>4413.0557829966801</v>
      </c>
      <c r="V165" s="299">
        <f>V5*(BOM_average!U37)/1000000</f>
        <v>4487.8589812293621</v>
      </c>
      <c r="W165" s="299">
        <f>W5*(BOM_average!V37)/1000000</f>
        <v>4541.9700850620438</v>
      </c>
      <c r="X165" s="299">
        <f>X5*(BOM_average!W37)/1000000</f>
        <v>4580.1284848947262</v>
      </c>
      <c r="Y165" s="299">
        <f>Y5*(BOM_average!X37)/1000000</f>
        <v>4606.3823663274079</v>
      </c>
      <c r="Z165" s="299">
        <f>Z5*(BOM_average!Y37)/1000000</f>
        <v>4624.0179389600908</v>
      </c>
      <c r="AA165" s="299">
        <f>AA5*(BOM_average!Z37)/1000000</f>
        <v>4635.5899883927723</v>
      </c>
      <c r="AB165" s="299">
        <f>AB5*(BOM_average!AA37)/1000000</f>
        <v>4643.010431425454</v>
      </c>
    </row>
    <row r="167" spans="2:28">
      <c r="B167" s="291" t="s">
        <v>7796</v>
      </c>
    </row>
    <row r="168" spans="2:28">
      <c r="B168" s="294" t="s">
        <v>437</v>
      </c>
      <c r="C168" s="299">
        <f>C67*(BOM_average!B6*BOM_average!B17)/1000000</f>
        <v>0</v>
      </c>
      <c r="D168" s="299">
        <f>D67*(BOM_average!C6*BOM_average!C17)/1000000</f>
        <v>143.25958329469171</v>
      </c>
      <c r="E168" s="299">
        <f>E67*(BOM_average!D6*BOM_average!D17)/1000000</f>
        <v>490.15048091932215</v>
      </c>
      <c r="F168" s="299">
        <f>F67*(BOM_average!E6*BOM_average!E17)/1000000</f>
        <v>947.42031001421196</v>
      </c>
      <c r="G168" s="299">
        <f>G67*(BOM_average!F6*BOM_average!F17)/1000000</f>
        <v>1340.8733070795133</v>
      </c>
      <c r="H168" s="299">
        <f>H67*(BOM_average!G6*BOM_average!G17)/1000000</f>
        <v>1630.6125220107172</v>
      </c>
      <c r="I168" s="299">
        <f>I67*(BOM_average!H6*BOM_average!H17)/1000000</f>
        <v>1858.4384578675142</v>
      </c>
      <c r="J168" s="299">
        <f>J67*(BOM_average!I6*BOM_average!I17)/1000000</f>
        <v>2033.1127192148369</v>
      </c>
      <c r="K168" s="299">
        <f>K67*(BOM_average!J6*BOM_average!J17)/1000000</f>
        <v>2152.7208971253972</v>
      </c>
      <c r="L168" s="299">
        <f>L67*(BOM_average!K6*BOM_average!K17)/1000000</f>
        <v>2222.9840888994577</v>
      </c>
      <c r="M168" s="299">
        <f>M67*(BOM_average!L6*BOM_average!L17)/1000000</f>
        <v>2265.2413778624091</v>
      </c>
      <c r="N168" s="299">
        <f>N67*(BOM_average!M6*BOM_average!M17)/1000000</f>
        <v>2279.729090176269</v>
      </c>
      <c r="O168" s="299">
        <f>O67*(BOM_average!N6*BOM_average!N17)/1000000</f>
        <v>2286.5433003602047</v>
      </c>
      <c r="P168" s="299">
        <f>P67*(BOM_average!O6*BOM_average!O17)/1000000</f>
        <v>2332.8561299798089</v>
      </c>
      <c r="Q168" s="299">
        <f>Q67*(BOM_average!P6*BOM_average!P17)/1000000</f>
        <v>2461.6864561950615</v>
      </c>
      <c r="R168" s="299">
        <f>R67*(BOM_average!Q6*BOM_average!Q17)/1000000</f>
        <v>2642.9857832892289</v>
      </c>
      <c r="S168" s="299">
        <f>S67*(BOM_average!R6*BOM_average!R17)/1000000</f>
        <v>2824.6283261169251</v>
      </c>
      <c r="T168" s="299">
        <f>T67*(BOM_average!S6*BOM_average!S17)/1000000</f>
        <v>2989.0583076319654</v>
      </c>
      <c r="U168" s="299">
        <f>U67*(BOM_average!T6*BOM_average!T17)/1000000</f>
        <v>3131.7959691907549</v>
      </c>
      <c r="V168" s="299">
        <f>V67*(BOM_average!U6*BOM_average!U17)/1000000</f>
        <v>3250.3882786345557</v>
      </c>
      <c r="W168" s="299">
        <f>W67*(BOM_average!V6*BOM_average!V17)/1000000</f>
        <v>3345.1220841494187</v>
      </c>
      <c r="X168" s="299">
        <f>X67*(BOM_average!W6*BOM_average!W17)/1000000</f>
        <v>3418.1577241845903</v>
      </c>
      <c r="Y168" s="299">
        <f>Y67*(BOM_average!X6*BOM_average!X17)/1000000</f>
        <v>3472.6597146091899</v>
      </c>
      <c r="Z168" s="299">
        <f>Z67*(BOM_average!Y6*BOM_average!Y17)/1000000</f>
        <v>3512.1165803059862</v>
      </c>
      <c r="AA168" s="299">
        <f>AA67*(BOM_average!Z6*BOM_average!Z17)/1000000</f>
        <v>3539.8769711325263</v>
      </c>
      <c r="AB168" s="299">
        <f>AB67*(BOM_average!AA6*BOM_average!AA17)/1000000</f>
        <v>3558.8841081419087</v>
      </c>
    </row>
    <row r="169" spans="2:28">
      <c r="B169" s="294" t="s">
        <v>217</v>
      </c>
      <c r="C169" s="299">
        <f>C67*(BOM_average!B7*BOM_average!B17)/1000000</f>
        <v>0</v>
      </c>
      <c r="D169" s="299">
        <f>D67*(BOM_average!C7*BOM_average!C17)/1000000</f>
        <v>16.595670277003723</v>
      </c>
      <c r="E169" s="299">
        <f>E67*(BOM_average!D7*BOM_average!D17)/1000000</f>
        <v>56.780674495744421</v>
      </c>
      <c r="F169" s="299">
        <f>F67*(BOM_average!E7*BOM_average!E17)/1000000</f>
        <v>109.75234408150835</v>
      </c>
      <c r="G169" s="299">
        <f>G67*(BOM_average!F7*BOM_average!F17)/1000000</f>
        <v>155.3312579567702</v>
      </c>
      <c r="H169" s="299">
        <f>H67*(BOM_average!G7*BOM_average!G17)/1000000</f>
        <v>188.89561970299303</v>
      </c>
      <c r="I169" s="299">
        <f>I67*(BOM_average!H7*BOM_average!H17)/1000000</f>
        <v>215.28773969298115</v>
      </c>
      <c r="J169" s="299">
        <f>J67*(BOM_average!I7*BOM_average!I17)/1000000</f>
        <v>235.5225915648891</v>
      </c>
      <c r="K169" s="299">
        <f>K67*(BOM_average!J7*BOM_average!J17)/1000000</f>
        <v>249.37840377225581</v>
      </c>
      <c r="L169" s="299">
        <f>L67*(BOM_average!K7*BOM_average!K17)/1000000</f>
        <v>257.51792740114655</v>
      </c>
      <c r="M169" s="299">
        <f>M67*(BOM_average!L7*BOM_average!L17)/1000000</f>
        <v>262.41315338394617</v>
      </c>
      <c r="N169" s="299">
        <f>N67*(BOM_average!M7*BOM_average!M17)/1000000</f>
        <v>264.09145853533221</v>
      </c>
      <c r="O169" s="299">
        <f>O67*(BOM_average!N7*BOM_average!N17)/1000000</f>
        <v>264.88083948151416</v>
      </c>
      <c r="P169" s="299">
        <f>P67*(BOM_average!O7*BOM_average!O17)/1000000</f>
        <v>270.24587288651139</v>
      </c>
      <c r="Q169" s="299">
        <f>Q67*(BOM_average!P7*BOM_average!P17)/1000000</f>
        <v>285.17000966240261</v>
      </c>
      <c r="R169" s="299">
        <f>R67*(BOM_average!Q7*BOM_average!Q17)/1000000</f>
        <v>306.17233135496434</v>
      </c>
      <c r="S169" s="299">
        <f>S67*(BOM_average!R7*BOM_average!R17)/1000000</f>
        <v>327.21441230841828</v>
      </c>
      <c r="T169" s="299">
        <f>T67*(BOM_average!S7*BOM_average!S17)/1000000</f>
        <v>346.26253246987432</v>
      </c>
      <c r="U169" s="299">
        <f>U67*(BOM_average!T7*BOM_average!T17)/1000000</f>
        <v>362.79774158372072</v>
      </c>
      <c r="V169" s="299">
        <f>V67*(BOM_average!U7*BOM_average!U17)/1000000</f>
        <v>376.53587218311804</v>
      </c>
      <c r="W169" s="299">
        <f>W67*(BOM_average!V7*BOM_average!V17)/1000000</f>
        <v>387.51015372333751</v>
      </c>
      <c r="X169" s="299">
        <f>X67*(BOM_average!W7*BOM_average!W17)/1000000</f>
        <v>395.97084705091993</v>
      </c>
      <c r="Y169" s="299">
        <f>Y67*(BOM_average!X7*BOM_average!X17)/1000000</f>
        <v>402.28454029032076</v>
      </c>
      <c r="Z169" s="299">
        <f>Z67*(BOM_average!Y7*BOM_average!Y17)/1000000</f>
        <v>406.85535585608346</v>
      </c>
      <c r="AA169" s="299">
        <f>AA67*(BOM_average!Z7*BOM_average!Z17)/1000000</f>
        <v>410.0712125710254</v>
      </c>
      <c r="AB169" s="299">
        <f>AB67*(BOM_average!AA7*BOM_average!AA17)/1000000</f>
        <v>412.27306302642336</v>
      </c>
    </row>
    <row r="170" spans="2:28">
      <c r="B170" s="294" t="s">
        <v>313</v>
      </c>
      <c r="C170" s="299">
        <f>C67*(BOM_average!B8*BOM_average!B17)/1000000</f>
        <v>0</v>
      </c>
      <c r="D170" s="299">
        <f>D67*(BOM_average!C8*BOM_average!C17)/1000000</f>
        <v>107.22749856139075</v>
      </c>
      <c r="E170" s="299">
        <f>E67*(BOM_average!D8*BOM_average!D17)/1000000</f>
        <v>366.86976730574537</v>
      </c>
      <c r="F170" s="299">
        <f>F67*(BOM_average!E8*BOM_average!E17)/1000000</f>
        <v>709.12889450548573</v>
      </c>
      <c r="G170" s="299">
        <f>G67*(BOM_average!F8*BOM_average!F17)/1000000</f>
        <v>1003.6221472885107</v>
      </c>
      <c r="H170" s="299">
        <f>H67*(BOM_average!G8*BOM_average!G17)/1000000</f>
        <v>1220.4872989084606</v>
      </c>
      <c r="I170" s="299">
        <f>I67*(BOM_average!H8*BOM_average!H17)/1000000</f>
        <v>1391.0113549437219</v>
      </c>
      <c r="J170" s="299">
        <f>J67*(BOM_average!I8*BOM_average!I17)/1000000</f>
        <v>1521.7522357740381</v>
      </c>
      <c r="K170" s="299">
        <f>K67*(BOM_average!J8*BOM_average!J17)/1000000</f>
        <v>1611.2770370465153</v>
      </c>
      <c r="L170" s="299">
        <f>L67*(BOM_average!K8*BOM_average!K17)/1000000</f>
        <v>1663.8679082580675</v>
      </c>
      <c r="M170" s="299">
        <f>M67*(BOM_average!L8*BOM_average!L17)/1000000</f>
        <v>1695.4968107529351</v>
      </c>
      <c r="N170" s="299">
        <f>N67*(BOM_average!M8*BOM_average!M17)/1000000</f>
        <v>1706.3406308699928</v>
      </c>
      <c r="O170" s="299">
        <f>O67*(BOM_average!N8*BOM_average!N17)/1000000</f>
        <v>1711.4409578142081</v>
      </c>
      <c r="P170" s="299">
        <f>P67*(BOM_average!O8*BOM_average!O17)/1000000</f>
        <v>1746.1053673929705</v>
      </c>
      <c r="Q170" s="299">
        <f>Q67*(BOM_average!P8*BOM_average!P17)/1000000</f>
        <v>1842.5327986419722</v>
      </c>
      <c r="R170" s="299">
        <f>R67*(BOM_average!Q8*BOM_average!Q17)/1000000</f>
        <v>1978.2324348413974</v>
      </c>
      <c r="S170" s="299">
        <f>S67*(BOM_average!R8*BOM_average!R17)/1000000</f>
        <v>2114.188962508234</v>
      </c>
      <c r="T170" s="299">
        <f>T67*(BOM_average!S8*BOM_average!S17)/1000000</f>
        <v>2237.2621643203929</v>
      </c>
      <c r="U170" s="299">
        <f>U67*(BOM_average!T8*BOM_average!T17)/1000000</f>
        <v>2344.0990128401008</v>
      </c>
      <c r="V170" s="299">
        <f>V67*(BOM_average!U8*BOM_average!U17)/1000000</f>
        <v>2432.8634528714456</v>
      </c>
      <c r="W170" s="299">
        <f>W67*(BOM_average!V8*BOM_average!V17)/1000000</f>
        <v>2503.7701856773378</v>
      </c>
      <c r="X170" s="299">
        <f>X67*(BOM_average!W8*BOM_average!W17)/1000000</f>
        <v>2558.4361899103105</v>
      </c>
      <c r="Y170" s="299">
        <f>Y67*(BOM_average!X8*BOM_average!X17)/1000000</f>
        <v>2599.2300549030979</v>
      </c>
      <c r="Z170" s="299">
        <f>Z67*(BOM_average!Y8*BOM_average!Y17)/1000000</f>
        <v>2628.762885534311</v>
      </c>
      <c r="AA170" s="299">
        <f>AA67*(BOM_average!Z8*BOM_average!Z17)/1000000</f>
        <v>2649.5410924713879</v>
      </c>
      <c r="AB170" s="299">
        <f>AB67*(BOM_average!AA8*BOM_average!AA17)/1000000</f>
        <v>2663.7676294293879</v>
      </c>
    </row>
    <row r="171" spans="2:28">
      <c r="B171" s="294" t="s">
        <v>6911</v>
      </c>
      <c r="C171" s="299">
        <f>C67*(BOM_average!B9*BOM_average!B17)/1000000</f>
        <v>0</v>
      </c>
      <c r="D171" s="299">
        <f>D67*(BOM_average!C9*BOM_average!C17)/1000000</f>
        <v>262.7367566709259</v>
      </c>
      <c r="E171" s="299">
        <f>E67*(BOM_average!D9*BOM_average!D17)/1000000</f>
        <v>898.93146884651765</v>
      </c>
      <c r="F171" s="299">
        <f>F67*(BOM_average!E9*BOM_average!E17)/1000000</f>
        <v>1737.5601250022671</v>
      </c>
      <c r="G171" s="299">
        <f>G67*(BOM_average!F9*BOM_average!F17)/1000000</f>
        <v>2459.1492988221175</v>
      </c>
      <c r="H171" s="299">
        <f>H67*(BOM_average!G9*BOM_average!G17)/1000000</f>
        <v>2990.5283511736229</v>
      </c>
      <c r="I171" s="299">
        <f>I67*(BOM_average!H9*BOM_average!H17)/1000000</f>
        <v>3408.3590197816839</v>
      </c>
      <c r="J171" s="299">
        <f>J67*(BOM_average!I9*BOM_average!I17)/1000000</f>
        <v>3728.7100067441438</v>
      </c>
      <c r="K171" s="299">
        <f>K67*(BOM_average!J9*BOM_average!J17)/1000000</f>
        <v>3948.0703037156636</v>
      </c>
      <c r="L171" s="299">
        <f>L67*(BOM_average!K9*BOM_average!K17)/1000000</f>
        <v>4076.932350466765</v>
      </c>
      <c r="M171" s="299">
        <f>M67*(BOM_average!L9*BOM_average!L17)/1000000</f>
        <v>4154.4318293322985</v>
      </c>
      <c r="N171" s="299">
        <f>N67*(BOM_average!M9*BOM_average!M17)/1000000</f>
        <v>4181.0021603173809</v>
      </c>
      <c r="O171" s="299">
        <f>O67*(BOM_average!N9*BOM_average!N17)/1000000</f>
        <v>4193.4993590515023</v>
      </c>
      <c r="P171" s="299">
        <f>P67*(BOM_average!O9*BOM_average!O17)/1000000</f>
        <v>4278.4366621391264</v>
      </c>
      <c r="Q171" s="299">
        <f>Q67*(BOM_average!P9*BOM_average!P17)/1000000</f>
        <v>4514.7102941866597</v>
      </c>
      <c r="R171" s="299">
        <f>R67*(BOM_average!Q9*BOM_average!Q17)/1000000</f>
        <v>4847.2115907272027</v>
      </c>
      <c r="S171" s="299">
        <f>S67*(BOM_average!R9*BOM_average!R17)/1000000</f>
        <v>5180.3423417628101</v>
      </c>
      <c r="T171" s="299">
        <f>T67*(BOM_average!S9*BOM_average!S17)/1000000</f>
        <v>5481.9054138391375</v>
      </c>
      <c r="U171" s="299">
        <f>U67*(BOM_average!T9*BOM_average!T17)/1000000</f>
        <v>5743.6849708521195</v>
      </c>
      <c r="V171" s="299">
        <f>V67*(BOM_average!U9*BOM_average!U17)/1000000</f>
        <v>5961.182174409415</v>
      </c>
      <c r="W171" s="299">
        <f>W67*(BOM_average!V9*BOM_average!V17)/1000000</f>
        <v>6134.9231014430334</v>
      </c>
      <c r="X171" s="299">
        <f>X67*(BOM_average!W9*BOM_average!W17)/1000000</f>
        <v>6268.8697927771345</v>
      </c>
      <c r="Y171" s="299">
        <f>Y67*(BOM_average!X9*BOM_average!X17)/1000000</f>
        <v>6368.8259413777696</v>
      </c>
      <c r="Z171" s="299">
        <f>Z67*(BOM_average!Y9*BOM_average!Y17)/1000000</f>
        <v>6441.1894697586367</v>
      </c>
      <c r="AA171" s="299">
        <f>AA67*(BOM_average!Z9*BOM_average!Z17)/1000000</f>
        <v>6492.1017709251082</v>
      </c>
      <c r="AB171" s="299">
        <f>AB67*(BOM_average!AA9*BOM_average!AA17)/1000000</f>
        <v>6526.9606851882618</v>
      </c>
    </row>
    <row r="172" spans="2:28">
      <c r="B172" s="294" t="s">
        <v>441</v>
      </c>
      <c r="C172" s="299">
        <f>C67*(BOM_average!B10*BOM_average!B17)/1000000</f>
        <v>0</v>
      </c>
      <c r="D172" s="299">
        <f>D67*(BOM_average!C10*BOM_average!C17)/1000000</f>
        <v>129.76423657577683</v>
      </c>
      <c r="E172" s="299">
        <f>E67*(BOM_average!D10*BOM_average!D17)/1000000</f>
        <v>443.97729981462589</v>
      </c>
      <c r="F172" s="299">
        <f>F67*(BOM_average!E10*BOM_average!E17)/1000000</f>
        <v>858.17137267867145</v>
      </c>
      <c r="G172" s="299">
        <f>G67*(BOM_average!F10*BOM_average!F17)/1000000</f>
        <v>1214.5602900441879</v>
      </c>
      <c r="H172" s="299">
        <f>H67*(BOM_average!G10*BOM_average!G17)/1000000</f>
        <v>1477.0054763761361</v>
      </c>
      <c r="I172" s="299">
        <f>I67*(BOM_average!H10*BOM_average!H17)/1000000</f>
        <v>1683.3697415702159</v>
      </c>
      <c r="J172" s="299">
        <f>J67*(BOM_average!I10*BOM_average!I17)/1000000</f>
        <v>1841.5893290622937</v>
      </c>
      <c r="K172" s="299">
        <f>K67*(BOM_average!J10*BOM_average!J17)/1000000</f>
        <v>1949.9301711744504</v>
      </c>
      <c r="L172" s="299">
        <f>L67*(BOM_average!K10*BOM_average!K17)/1000000</f>
        <v>2013.5744261014165</v>
      </c>
      <c r="M172" s="299">
        <f>M67*(BOM_average!L10*BOM_average!L17)/1000000</f>
        <v>2051.8509917309543</v>
      </c>
      <c r="N172" s="299">
        <f>N67*(BOM_average!M10*BOM_average!M17)/1000000</f>
        <v>2064.9739318156694</v>
      </c>
      <c r="O172" s="299">
        <f>O67*(BOM_average!N10*BOM_average!N17)/1000000</f>
        <v>2071.1462294173339</v>
      </c>
      <c r="P172" s="299">
        <f>P67*(BOM_average!O10*BOM_average!O17)/1000000</f>
        <v>2113.0962954515876</v>
      </c>
      <c r="Q172" s="299">
        <f>Q67*(BOM_average!P10*BOM_average!P17)/1000000</f>
        <v>2229.7905405740357</v>
      </c>
      <c r="R172" s="299">
        <f>R67*(BOM_average!Q10*BOM_average!Q17)/1000000</f>
        <v>2394.0110990247904</v>
      </c>
      <c r="S172" s="299">
        <f>S67*(BOM_average!R10*BOM_average!R17)/1000000</f>
        <v>2558.542541582688</v>
      </c>
      <c r="T172" s="299">
        <f>T67*(BOM_average!S10*BOM_average!S17)/1000000</f>
        <v>2707.4828814242237</v>
      </c>
      <c r="U172" s="299">
        <f>U67*(BOM_average!T10*BOM_average!T17)/1000000</f>
        <v>2836.7743623626184</v>
      </c>
      <c r="V172" s="299">
        <f>V67*(BOM_average!U10*BOM_average!U17)/1000000</f>
        <v>2944.1950329021738</v>
      </c>
      <c r="W172" s="299">
        <f>W67*(BOM_average!V10*BOM_average!V17)/1000000</f>
        <v>3030.0047195411958</v>
      </c>
      <c r="X172" s="299">
        <f>X67*(BOM_average!W10*BOM_average!W17)/1000000</f>
        <v>3096.1602524139375</v>
      </c>
      <c r="Y172" s="299">
        <f>Y67*(BOM_average!X10*BOM_average!X17)/1000000</f>
        <v>3145.5280435009754</v>
      </c>
      <c r="Z172" s="299">
        <f>Z67*(BOM_average!Y10*BOM_average!Y17)/1000000</f>
        <v>3181.2679914825744</v>
      </c>
      <c r="AA172" s="299">
        <f>AA67*(BOM_average!Z10*BOM_average!Z17)/1000000</f>
        <v>3206.4132965281788</v>
      </c>
      <c r="AB172" s="299">
        <f>AB67*(BOM_average!AA10*BOM_average!AA17)/1000000</f>
        <v>3223.6299222281154</v>
      </c>
    </row>
    <row r="173" spans="2:28">
      <c r="B173" s="294" t="s">
        <v>6912</v>
      </c>
      <c r="C173" s="299">
        <f>C67*(BOM_average!B11*BOM_average!B17)/1000000</f>
        <v>0</v>
      </c>
      <c r="D173" s="299">
        <f>D67*(BOM_average!C11*BOM_average!C17)/1000000</f>
        <v>115.48798675376024</v>
      </c>
      <c r="E173" s="299">
        <f>E67*(BOM_average!D11*BOM_average!D17)/1000000</f>
        <v>395.13232515354781</v>
      </c>
      <c r="F173" s="299">
        <f>F67*(BOM_average!E11*BOM_average!E17)/1000000</f>
        <v>763.75807954216623</v>
      </c>
      <c r="G173" s="299">
        <f>G67*(BOM_average!F11*BOM_average!F17)/1000000</f>
        <v>1080.9382183384271</v>
      </c>
      <c r="H173" s="299">
        <f>H67*(BOM_average!G11*BOM_average!G17)/1000000</f>
        <v>1314.5100174912145</v>
      </c>
      <c r="I173" s="299">
        <f>I67*(BOM_average!H11*BOM_average!H17)/1000000</f>
        <v>1498.1707406155413</v>
      </c>
      <c r="J173" s="299">
        <f>J67*(BOM_average!I11*BOM_average!I17)/1000000</f>
        <v>1638.9835108105103</v>
      </c>
      <c r="K173" s="299">
        <f>K67*(BOM_average!J11*BOM_average!J17)/1000000</f>
        <v>1735.4050370253503</v>
      </c>
      <c r="L173" s="299">
        <f>L67*(BOM_average!K11*BOM_average!K17)/1000000</f>
        <v>1792.0473528429775</v>
      </c>
      <c r="M173" s="299">
        <f>M67*(BOM_average!L11*BOM_average!L17)/1000000</f>
        <v>1826.1128520980212</v>
      </c>
      <c r="N173" s="299">
        <f>N67*(BOM_average!M11*BOM_average!M17)/1000000</f>
        <v>1837.7920479278291</v>
      </c>
      <c r="O173" s="299">
        <f>O67*(BOM_average!N11*BOM_average!N17)/1000000</f>
        <v>1843.2852889198878</v>
      </c>
      <c r="P173" s="299">
        <f>P67*(BOM_average!O11*BOM_average!O17)/1000000</f>
        <v>1880.6201417138941</v>
      </c>
      <c r="Q173" s="299">
        <f>Q67*(BOM_average!P11*BOM_average!P17)/1000000</f>
        <v>1984.4760560287102</v>
      </c>
      <c r="R173" s="299">
        <f>R67*(BOM_average!Q11*BOM_average!Q17)/1000000</f>
        <v>2130.6295893867305</v>
      </c>
      <c r="S173" s="299">
        <f>S67*(BOM_average!R11*BOM_average!R17)/1000000</f>
        <v>2277.059804368248</v>
      </c>
      <c r="T173" s="299">
        <f>T67*(BOM_average!S11*BOM_average!S17)/1000000</f>
        <v>2409.6142003144328</v>
      </c>
      <c r="U173" s="299">
        <f>U67*(BOM_average!T11*BOM_average!T17)/1000000</f>
        <v>2524.6814425069138</v>
      </c>
      <c r="V173" s="299">
        <f>V67*(BOM_average!U11*BOM_average!U17)/1000000</f>
        <v>2620.2840315076805</v>
      </c>
      <c r="W173" s="299">
        <f>W67*(BOM_average!V11*BOM_average!V17)/1000000</f>
        <v>2696.6532085276112</v>
      </c>
      <c r="X173" s="299">
        <f>X67*(BOM_average!W11*BOM_average!W17)/1000000</f>
        <v>2755.5305194547523</v>
      </c>
      <c r="Y173" s="299">
        <f>Y67*(BOM_average!X11*BOM_average!X17)/1000000</f>
        <v>2799.4670227130514</v>
      </c>
      <c r="Z173" s="299">
        <f>Z67*(BOM_average!Y11*BOM_average!Y17)/1000000</f>
        <v>2831.2749749500967</v>
      </c>
      <c r="AA173" s="299">
        <f>AA67*(BOM_average!Z11*BOM_average!Z17)/1000000</f>
        <v>2853.6538732710542</v>
      </c>
      <c r="AB173" s="299">
        <f>AB67*(BOM_average!AA11*BOM_average!AA17)/1000000</f>
        <v>2868.9763804058889</v>
      </c>
    </row>
    <row r="174" spans="2:28">
      <c r="B174" s="294" t="s">
        <v>443</v>
      </c>
      <c r="C174" s="299">
        <f>C67*(BOM_average!B12*BOM_average!B17)/1000000</f>
        <v>0</v>
      </c>
      <c r="D174" s="299">
        <f>D67*(BOM_average!C12*BOM_average!C17)/1000000</f>
        <v>76.395383837540265</v>
      </c>
      <c r="E174" s="299">
        <f>E67*(BOM_average!D12*BOM_average!D17)/1000000</f>
        <v>261.38030885487058</v>
      </c>
      <c r="F174" s="299">
        <f>F67*(BOM_average!E12*BOM_average!E17)/1000000</f>
        <v>505.22650264960674</v>
      </c>
      <c r="G174" s="299">
        <f>G67*(BOM_average!F12*BOM_average!F17)/1000000</f>
        <v>715.0413858257192</v>
      </c>
      <c r="H174" s="299">
        <f>H67*(BOM_average!G12*BOM_average!G17)/1000000</f>
        <v>869.54929397679007</v>
      </c>
      <c r="I174" s="299">
        <f>I67*(BOM_average!H12*BOM_average!H17)/1000000</f>
        <v>991.04099050172147</v>
      </c>
      <c r="J174" s="299">
        <f>J67*(BOM_average!I12*BOM_average!I17)/1000000</f>
        <v>1084.1887362599768</v>
      </c>
      <c r="K174" s="299">
        <f>K67*(BOM_average!J12*BOM_average!J17)/1000000</f>
        <v>1147.9716431443962</v>
      </c>
      <c r="L174" s="299">
        <f>L67*(BOM_average!K12*BOM_average!K17)/1000000</f>
        <v>1185.4405745888516</v>
      </c>
      <c r="M174" s="299">
        <f>M67*(BOM_average!L12*BOM_average!L17)/1000000</f>
        <v>1207.9749261206293</v>
      </c>
      <c r="N174" s="299">
        <f>N67*(BOM_average!M12*BOM_average!M17)/1000000</f>
        <v>1215.7007223130447</v>
      </c>
      <c r="O174" s="299">
        <f>O67*(BOM_average!N12*BOM_average!N17)/1000000</f>
        <v>1219.3345050630658</v>
      </c>
      <c r="P174" s="299">
        <f>P67*(BOM_average!O12*BOM_average!O17)/1000000</f>
        <v>1244.0315362425733</v>
      </c>
      <c r="Q174" s="299">
        <f>Q67*(BOM_average!P12*BOM_average!P17)/1000000</f>
        <v>1312.7322960436418</v>
      </c>
      <c r="R174" s="299">
        <f>R67*(BOM_average!Q12*BOM_average!Q17)/1000000</f>
        <v>1409.4129603616141</v>
      </c>
      <c r="S174" s="299">
        <f>S67*(BOM_average!R12*BOM_average!R17)/1000000</f>
        <v>1506.2766497666278</v>
      </c>
      <c r="T174" s="299">
        <f>T67*(BOM_average!S12*BOM_average!S17)/1000000</f>
        <v>1593.9614751957308</v>
      </c>
      <c r="U174" s="299">
        <f>U67*(BOM_average!T12*BOM_average!T17)/1000000</f>
        <v>1670.0785362123445</v>
      </c>
      <c r="V174" s="299">
        <f>V67*(BOM_average!U12*BOM_average!U17)/1000000</f>
        <v>1733.319715558112</v>
      </c>
      <c r="W174" s="299">
        <f>W67*(BOM_average!V12*BOM_average!V17)/1000000</f>
        <v>1783.8379794554148</v>
      </c>
      <c r="X174" s="299">
        <f>X67*(BOM_average!W12*BOM_average!W17)/1000000</f>
        <v>1822.7853617246335</v>
      </c>
      <c r="Y174" s="299">
        <f>Y67*(BOM_average!X12*BOM_average!X17)/1000000</f>
        <v>1851.8493892936115</v>
      </c>
      <c r="Z174" s="299">
        <f>Z67*(BOM_average!Y12*BOM_average!Y17)/1000000</f>
        <v>1872.8903718974243</v>
      </c>
      <c r="AA174" s="299">
        <f>AA67*(BOM_average!Z12*BOM_average!Z17)/1000000</f>
        <v>1887.6940287551377</v>
      </c>
      <c r="AB174" s="299">
        <f>AB67*(BOM_average!AA12*BOM_average!AA17)/1000000</f>
        <v>1897.8298779185232</v>
      </c>
    </row>
    <row r="175" spans="2:28">
      <c r="B175" s="294" t="s">
        <v>445</v>
      </c>
      <c r="C175" s="299">
        <f>C67*(BOM_average!B13*BOM_average!B17)/1000000</f>
        <v>0</v>
      </c>
      <c r="D175" s="299">
        <f>D67*(BOM_average!C13*BOM_average!C17)/1000000</f>
        <v>0</v>
      </c>
      <c r="E175" s="299">
        <f>E67*(BOM_average!D13*BOM_average!D17)/1000000</f>
        <v>0</v>
      </c>
      <c r="F175" s="299">
        <f>F67*(BOM_average!E13*BOM_average!E17)/1000000</f>
        <v>0</v>
      </c>
      <c r="G175" s="299">
        <f>G67*(BOM_average!F13*BOM_average!F17)/1000000</f>
        <v>0</v>
      </c>
      <c r="H175" s="299">
        <f>H67*(BOM_average!G13*BOM_average!G17)/1000000</f>
        <v>0</v>
      </c>
      <c r="I175" s="299">
        <f>I67*(BOM_average!H13*BOM_average!H17)/1000000</f>
        <v>0</v>
      </c>
      <c r="J175" s="299">
        <f>J67*(BOM_average!I13*BOM_average!I17)/1000000</f>
        <v>0</v>
      </c>
      <c r="K175" s="299">
        <f>K67*(BOM_average!J13*BOM_average!J17)/1000000</f>
        <v>0</v>
      </c>
      <c r="L175" s="299">
        <f>L67*(BOM_average!K13*BOM_average!K17)/1000000</f>
        <v>0</v>
      </c>
      <c r="M175" s="299">
        <f>M67*(BOM_average!L13*BOM_average!L17)/1000000</f>
        <v>0</v>
      </c>
      <c r="N175" s="299">
        <f>N67*(BOM_average!M13*BOM_average!M17)/1000000</f>
        <v>0</v>
      </c>
      <c r="O175" s="299">
        <f>O67*(BOM_average!N13*BOM_average!N17)/1000000</f>
        <v>0</v>
      </c>
      <c r="P175" s="299">
        <f>P67*(BOM_average!O13*BOM_average!O17)/1000000</f>
        <v>0</v>
      </c>
      <c r="Q175" s="299">
        <f>Q67*(BOM_average!P13*BOM_average!P17)/1000000</f>
        <v>0</v>
      </c>
      <c r="R175" s="299">
        <f>R67*(BOM_average!Q13*BOM_average!Q17)/1000000</f>
        <v>0</v>
      </c>
      <c r="S175" s="299">
        <f>S67*(BOM_average!R13*BOM_average!R17)/1000000</f>
        <v>0</v>
      </c>
      <c r="T175" s="299">
        <f>T67*(BOM_average!S13*BOM_average!S17)/1000000</f>
        <v>0</v>
      </c>
      <c r="U175" s="299">
        <f>U67*(BOM_average!T13*BOM_average!T17)/1000000</f>
        <v>0</v>
      </c>
      <c r="V175" s="299">
        <f>V67*(BOM_average!U13*BOM_average!U17)/1000000</f>
        <v>0</v>
      </c>
      <c r="W175" s="299">
        <f>W67*(BOM_average!V13*BOM_average!V17)/1000000</f>
        <v>0</v>
      </c>
      <c r="X175" s="299">
        <f>X67*(BOM_average!W13*BOM_average!W17)/1000000</f>
        <v>0</v>
      </c>
      <c r="Y175" s="299">
        <f>Y67*(BOM_average!X13*BOM_average!X17)/1000000</f>
        <v>0</v>
      </c>
      <c r="Z175" s="299">
        <f>Z67*(BOM_average!Y13*BOM_average!Y17)/1000000</f>
        <v>0</v>
      </c>
      <c r="AA175" s="299">
        <f>AA67*(BOM_average!Z13*BOM_average!Z17)/1000000</f>
        <v>0</v>
      </c>
      <c r="AB175" s="299">
        <f>AB67*(BOM_average!AA13*BOM_average!AA17)/1000000</f>
        <v>0</v>
      </c>
    </row>
    <row r="176" spans="2:28">
      <c r="B176" s="294" t="s">
        <v>6915</v>
      </c>
      <c r="C176" s="299">
        <f>C67*(BOM_average!B14*BOM_average!B17)/1000000</f>
        <v>0</v>
      </c>
      <c r="D176" s="299">
        <f>D67*(BOM_average!C14*BOM_average!C17)/1000000</f>
        <v>54.067934697424057</v>
      </c>
      <c r="E176" s="299">
        <f>E67*(BOM_average!D14*BOM_average!D17)/1000000</f>
        <v>184.9888404306065</v>
      </c>
      <c r="F176" s="299">
        <f>F67*(BOM_average!E14*BOM_average!E17)/1000000</f>
        <v>357.56811708358322</v>
      </c>
      <c r="G176" s="299">
        <f>G67*(BOM_average!F14*BOM_average!F17)/1000000</f>
        <v>506.06213376707819</v>
      </c>
      <c r="H176" s="299">
        <f>H67*(BOM_average!G14*BOM_average!G17)/1000000</f>
        <v>615.41328914464464</v>
      </c>
      <c r="I176" s="299">
        <f>I67*(BOM_average!H14*BOM_average!H17)/1000000</f>
        <v>701.39760892970185</v>
      </c>
      <c r="J176" s="299">
        <f>J67*(BOM_average!I14*BOM_average!I17)/1000000</f>
        <v>767.32183081174173</v>
      </c>
      <c r="K176" s="299">
        <f>K67*(BOM_average!J14*BOM_average!J17)/1000000</f>
        <v>812.46343323594533</v>
      </c>
      <c r="L176" s="299">
        <f>L67*(BOM_average!K14*BOM_average!K17)/1000000</f>
        <v>838.9816289273133</v>
      </c>
      <c r="M176" s="299">
        <f>M67*(BOM_average!L14*BOM_average!L17)/1000000</f>
        <v>854.93005127780418</v>
      </c>
      <c r="N176" s="299">
        <f>N67*(BOM_average!M14*BOM_average!M17)/1000000</f>
        <v>860.39789269745643</v>
      </c>
      <c r="O176" s="299">
        <f>O67*(BOM_average!N14*BOM_average!N17)/1000000</f>
        <v>862.96965971482712</v>
      </c>
      <c r="P176" s="299">
        <f>P67*(BOM_average!O14*BOM_average!O17)/1000000</f>
        <v>880.448693158438</v>
      </c>
      <c r="Q176" s="299">
        <f>Q67*(BOM_average!P14*BOM_average!P17)/1000000</f>
        <v>929.07084816307452</v>
      </c>
      <c r="R176" s="299">
        <f>R67*(BOM_average!Q14*BOM_average!Q17)/1000000</f>
        <v>997.49545161770129</v>
      </c>
      <c r="S176" s="299">
        <f>S67*(BOM_average!R14*BOM_average!R17)/1000000</f>
        <v>1066.0495889257766</v>
      </c>
      <c r="T176" s="299">
        <f>T67*(BOM_average!S14*BOM_average!S17)/1000000</f>
        <v>1128.107493174778</v>
      </c>
      <c r="U176" s="299">
        <f>U67*(BOM_average!T14*BOM_average!T17)/1000000</f>
        <v>1181.9784481680529</v>
      </c>
      <c r="V176" s="299">
        <f>V67*(BOM_average!U14*BOM_average!U17)/1000000</f>
        <v>1226.7366492961007</v>
      </c>
      <c r="W176" s="299">
        <f>W67*(BOM_average!V14*BOM_average!V17)/1000000</f>
        <v>1262.4903566043217</v>
      </c>
      <c r="X176" s="299">
        <f>X67*(BOM_average!W14*BOM_average!W17)/1000000</f>
        <v>1290.0549084841296</v>
      </c>
      <c r="Y176" s="299">
        <f>Y67*(BOM_average!X14*BOM_average!X17)/1000000</f>
        <v>1310.6246322777217</v>
      </c>
      <c r="Z176" s="299">
        <f>Z67*(BOM_average!Y14*BOM_average!Y17)/1000000</f>
        <v>1325.51614032763</v>
      </c>
      <c r="AA176" s="299">
        <f>AA67*(BOM_average!Z14*BOM_average!Z17)/1000000</f>
        <v>1335.9932544156754</v>
      </c>
      <c r="AB176" s="299">
        <f>AB67*(BOM_average!AA14*BOM_average!AA17)/1000000</f>
        <v>1343.1667824894957</v>
      </c>
    </row>
    <row r="177" spans="1:28">
      <c r="B177" s="294" t="s">
        <v>447</v>
      </c>
      <c r="C177" s="299">
        <f>C67*(BOM_average!B15*BOM_average!B17)/1000000</f>
        <v>0</v>
      </c>
      <c r="D177" s="299">
        <f>D67*(BOM_average!C15*BOM_average!C17)/1000000</f>
        <v>23.047027731486796</v>
      </c>
      <c r="E177" s="299">
        <f>E67*(BOM_average!D15*BOM_average!D17)/1000000</f>
        <v>78.853445379020485</v>
      </c>
      <c r="F177" s="299">
        <f>F67*(BOM_average!E15*BOM_average!E17)/1000000</f>
        <v>152.41718324250101</v>
      </c>
      <c r="G177" s="299">
        <f>G67*(BOM_average!F15*BOM_average!F17)/1000000</f>
        <v>215.71432487767842</v>
      </c>
      <c r="H177" s="299">
        <f>H67*(BOM_average!G15*BOM_average!G17)/1000000</f>
        <v>262.32640881542432</v>
      </c>
      <c r="I177" s="299">
        <f>I67*(BOM_average!H15*BOM_average!H17)/1000000</f>
        <v>298.97813249692194</v>
      </c>
      <c r="J177" s="299">
        <f>J67*(BOM_average!I15*BOM_average!I17)/1000000</f>
        <v>327.0790277575735</v>
      </c>
      <c r="K177" s="299">
        <f>K67*(BOM_average!J15*BOM_average!J17)/1000000</f>
        <v>346.32111216003057</v>
      </c>
      <c r="L177" s="299">
        <f>L67*(BOM_average!K15*BOM_average!K17)/1000000</f>
        <v>357.62477291400921</v>
      </c>
      <c r="M177" s="299">
        <f>M67*(BOM_average!L15*BOM_average!L17)/1000000</f>
        <v>364.42295624100683</v>
      </c>
      <c r="N177" s="299">
        <f>N67*(BOM_average!M15*BOM_average!M17)/1000000</f>
        <v>366.75368134702984</v>
      </c>
      <c r="O177" s="299">
        <f>O67*(BOM_average!N15*BOM_average!N17)/1000000</f>
        <v>367.84992417746093</v>
      </c>
      <c r="P177" s="299">
        <f>P67*(BOM_average!O15*BOM_average!O17)/1000000</f>
        <v>375.30054663509435</v>
      </c>
      <c r="Q177" s="299">
        <f>Q67*(BOM_average!P15*BOM_average!P17)/1000000</f>
        <v>396.02625330444664</v>
      </c>
      <c r="R177" s="299">
        <f>R67*(BOM_average!Q15*BOM_average!Q17)/1000000</f>
        <v>425.19296259637571</v>
      </c>
      <c r="S177" s="299">
        <f>S67*(BOM_average!R15*BOM_average!R17)/1000000</f>
        <v>454.41488706027866</v>
      </c>
      <c r="T177" s="299">
        <f>T67*(BOM_average!S15*BOM_average!S17)/1000000</f>
        <v>480.86772362947033</v>
      </c>
      <c r="U177" s="299">
        <f>U67*(BOM_average!T15*BOM_average!T17)/1000000</f>
        <v>503.83078668338123</v>
      </c>
      <c r="V177" s="299">
        <f>V67*(BOM_average!U15*BOM_average!U17)/1000000</f>
        <v>522.90944223740462</v>
      </c>
      <c r="W177" s="299">
        <f>W67*(BOM_average!V15*BOM_average!V17)/1000000</f>
        <v>538.14983727833601</v>
      </c>
      <c r="X177" s="299">
        <f>X67*(BOM_average!W15*BOM_average!W17)/1000000</f>
        <v>549.89951839959804</v>
      </c>
      <c r="Y177" s="299">
        <f>Y67*(BOM_average!X15*BOM_average!X17)/1000000</f>
        <v>558.66758023426837</v>
      </c>
      <c r="Z177" s="299">
        <f>Z67*(BOM_average!Y15*BOM_average!Y17)/1000000</f>
        <v>565.01524268726484</v>
      </c>
      <c r="AA177" s="299">
        <f>AA67*(BOM_average!Z15*BOM_average!Z17)/1000000</f>
        <v>569.48122312991404</v>
      </c>
      <c r="AB177" s="299">
        <f>AB67*(BOM_average!AA15*BOM_average!AA17)/1000000</f>
        <v>572.53901517200234</v>
      </c>
    </row>
    <row r="178" spans="1:28">
      <c r="B178" s="294" t="s">
        <v>7756</v>
      </c>
      <c r="C178" s="299">
        <f>C67*(BOM_average!B17)/1000000</f>
        <v>0</v>
      </c>
      <c r="D178" s="299">
        <f>D67*(BOM_average!C17)/1000000</f>
        <v>928.58207840000023</v>
      </c>
      <c r="E178" s="299">
        <f>E67*(BOM_average!D17)/1000000</f>
        <v>3177.0646112000009</v>
      </c>
      <c r="F178" s="299">
        <f>F67*(BOM_average!E17)/1000000</f>
        <v>6141.0029288000014</v>
      </c>
      <c r="G178" s="299">
        <f>G67*(BOM_average!F17)/1000000</f>
        <v>8691.2923640000026</v>
      </c>
      <c r="H178" s="299">
        <f>H67*(BOM_average!G17)/1000000</f>
        <v>10569.328277600001</v>
      </c>
      <c r="I178" s="299">
        <f>I67*(BOM_average!H17)/1000000</f>
        <v>12046.053786400002</v>
      </c>
      <c r="J178" s="299">
        <f>J67*(BOM_average!I17)/1000000</f>
        <v>13178.259988000002</v>
      </c>
      <c r="K178" s="299">
        <f>K67*(BOM_average!J17)/1000000</f>
        <v>13953.538038400004</v>
      </c>
      <c r="L178" s="299">
        <f>L67*(BOM_average!K17)/1000000</f>
        <v>14408.971030400004</v>
      </c>
      <c r="M178" s="299">
        <f>M67*(BOM_average!L17)/1000000</f>
        <v>14682.874948800003</v>
      </c>
      <c r="N178" s="299">
        <f>N67*(BOM_average!M17)/1000000</f>
        <v>14776.781616000004</v>
      </c>
      <c r="O178" s="299">
        <f>O67*(BOM_average!N17)/1000000</f>
        <v>14820.950064000004</v>
      </c>
      <c r="P178" s="299">
        <f>P67*(BOM_average!O17)/1000000</f>
        <v>15121.141245600002</v>
      </c>
      <c r="Q178" s="299">
        <f>Q67*(BOM_average!P17)/1000000</f>
        <v>15956.195552800003</v>
      </c>
      <c r="R178" s="299">
        <f>R67*(BOM_average!Q17)/1000000</f>
        <v>17131.344203200002</v>
      </c>
      <c r="S178" s="299">
        <f>S67*(BOM_average!R17)/1000000</f>
        <v>18308.717514400007</v>
      </c>
      <c r="T178" s="299">
        <f>T67*(BOM_average!S17)/1000000</f>
        <v>19374.522192000004</v>
      </c>
      <c r="U178" s="299">
        <f>U67*(BOM_average!T17)/1000000</f>
        <v>20299.721270400005</v>
      </c>
      <c r="V178" s="299">
        <f>V67*(BOM_average!U17)/1000000</f>
        <v>21068.414649600007</v>
      </c>
      <c r="W178" s="299">
        <f>W67*(BOM_average!V17)/1000000</f>
        <v>21682.461626400007</v>
      </c>
      <c r="X178" s="299">
        <f>X67*(BOM_average!W17)/1000000</f>
        <v>22155.865114400007</v>
      </c>
      <c r="Y178" s="299">
        <f>Y67*(BOM_average!X17)/1000000</f>
        <v>22509.136919200006</v>
      </c>
      <c r="Z178" s="299">
        <f>Z67*(BOM_average!Y17)/1000000</f>
        <v>22764.889012800002</v>
      </c>
      <c r="AA178" s="299">
        <f>AA67*(BOM_average!Z17)/1000000</f>
        <v>22944.826723200003</v>
      </c>
      <c r="AB178" s="299">
        <f>AB67*(BOM_average!AA17)/1000000</f>
        <v>23068.027464000003</v>
      </c>
    </row>
    <row r="179" spans="1:28">
      <c r="B179" s="295" t="s">
        <v>7757</v>
      </c>
      <c r="C179" s="299">
        <f>C67*(BOM_average!B18)/1000000</f>
        <v>0</v>
      </c>
      <c r="D179" s="299">
        <f>D67*(BOM_average!C18)/1000000</f>
        <v>1287.0935377999999</v>
      </c>
      <c r="E179" s="299">
        <f>E67*(BOM_average!D18)/1000000</f>
        <v>4403.6810804000006</v>
      </c>
      <c r="F179" s="299">
        <f>F67*(BOM_average!E18)/1000000</f>
        <v>8511.9510370999997</v>
      </c>
      <c r="G179" s="299">
        <f>G67*(BOM_average!F18)/1000000</f>
        <v>12046.868550499999</v>
      </c>
      <c r="H179" s="299">
        <f>H67*(BOM_average!G18)/1000000</f>
        <v>14649.985651700001</v>
      </c>
      <c r="I179" s="299">
        <f>I67*(BOM_average!H18)/1000000</f>
        <v>16696.852486300002</v>
      </c>
      <c r="J179" s="299">
        <f>J67*(BOM_average!I18)/1000000</f>
        <v>18266.186333500002</v>
      </c>
      <c r="K179" s="299">
        <f>K67*(BOM_average!J18)/1000000</f>
        <v>19340.787482799999</v>
      </c>
      <c r="L179" s="299">
        <f>L67*(BOM_average!K18)/1000000</f>
        <v>19972.056246799999</v>
      </c>
      <c r="M179" s="299">
        <f>M67*(BOM_average!L18)/1000000</f>
        <v>20351.710314600001</v>
      </c>
      <c r="N179" s="299">
        <f>N67*(BOM_average!M18)/1000000</f>
        <v>20481.872921999999</v>
      </c>
      <c r="O179" s="299">
        <f>O67*(BOM_average!N18)/1000000</f>
        <v>20543.094138</v>
      </c>
      <c r="P179" s="299">
        <f>P67*(BOM_average!O18)/1000000</f>
        <v>20959.1845827</v>
      </c>
      <c r="Q179" s="299">
        <f>Q67*(BOM_average!P18)/1000000</f>
        <v>22116.640695100003</v>
      </c>
      <c r="R179" s="299">
        <f>R67*(BOM_average!Q18)/1000000</f>
        <v>23745.496419400002</v>
      </c>
      <c r="S179" s="299">
        <f>S67*(BOM_average!R18)/1000000</f>
        <v>25377.435712300005</v>
      </c>
      <c r="T179" s="299">
        <f>T67*(BOM_average!S18)/1000000</f>
        <v>26854.731414000002</v>
      </c>
      <c r="U179" s="299">
        <f>U67*(BOM_average!T18)/1000000</f>
        <v>28137.135826800004</v>
      </c>
      <c r="V179" s="299">
        <f>V67*(BOM_average!U18)/1000000</f>
        <v>29202.610063200002</v>
      </c>
      <c r="W179" s="299">
        <f>W67*(BOM_average!V18)/1000000</f>
        <v>30053.731266300005</v>
      </c>
      <c r="X179" s="299">
        <f>X67*(BOM_average!W18)/1000000</f>
        <v>30709.908662300004</v>
      </c>
      <c r="Y179" s="299">
        <f>Y67*(BOM_average!X18)/1000000</f>
        <v>31199.573353900003</v>
      </c>
      <c r="Z179" s="299">
        <f>Z67*(BOM_average!Y18)/1000000</f>
        <v>31554.067452600004</v>
      </c>
      <c r="AA179" s="299">
        <f>AA67*(BOM_average!Z18)/1000000</f>
        <v>31803.476384400001</v>
      </c>
      <c r="AB179" s="299">
        <f>AB67*(BOM_average!AA18)/1000000</f>
        <v>31974.243063000002</v>
      </c>
    </row>
    <row r="180" spans="1:28">
      <c r="B180" s="295" t="s">
        <v>7758</v>
      </c>
      <c r="C180" s="299">
        <f>C67*(BOM_average!B19)/1000000</f>
        <v>0</v>
      </c>
      <c r="D180" s="299">
        <f>D67*(BOM_average!C19)/1000000</f>
        <v>598.68565939999996</v>
      </c>
      <c r="E180" s="299">
        <f>E67*(BOM_average!D19)/1000000</f>
        <v>2048.3520692000002</v>
      </c>
      <c r="F180" s="299">
        <f>F67*(BOM_average!E19)/1000000</f>
        <v>3959.2950083000001</v>
      </c>
      <c r="G180" s="299">
        <f>G67*(BOM_average!F19)/1000000</f>
        <v>5603.5456864999996</v>
      </c>
      <c r="H180" s="299">
        <f>H67*(BOM_average!G19)/1000000</f>
        <v>6814.3736741000002</v>
      </c>
      <c r="I180" s="299">
        <f>I67*(BOM_average!H19)/1000000</f>
        <v>7766.4643999000009</v>
      </c>
      <c r="J180" s="299">
        <f>J67*(BOM_average!I19)/1000000</f>
        <v>8496.4328454999995</v>
      </c>
      <c r="K180" s="299">
        <f>K67*(BOM_average!J19)/1000000</f>
        <v>8996.2786443999994</v>
      </c>
      <c r="L180" s="299">
        <f>L67*(BOM_average!K19)/1000000</f>
        <v>9289.9104164</v>
      </c>
      <c r="M180" s="299">
        <f>M67*(BOM_average!L19)/1000000</f>
        <v>9466.5047658000003</v>
      </c>
      <c r="N180" s="299">
        <f>N67*(BOM_average!M19)/1000000</f>
        <v>9527.0493060000008</v>
      </c>
      <c r="O180" s="299">
        <f>O67*(BOM_average!N19)/1000000</f>
        <v>9555.5260739999994</v>
      </c>
      <c r="P180" s="299">
        <f>P67*(BOM_average!O19)/1000000</f>
        <v>9749.0686371000011</v>
      </c>
      <c r="Q180" s="299">
        <f>Q67*(BOM_average!P19)/1000000</f>
        <v>10287.454042300002</v>
      </c>
      <c r="R180" s="299">
        <f>R67*(BOM_average!Q19)/1000000</f>
        <v>11045.108816200001</v>
      </c>
      <c r="S180" s="299">
        <f>S67*(BOM_average!R19)/1000000</f>
        <v>11804.197897900001</v>
      </c>
      <c r="T180" s="299">
        <f>T67*(BOM_average!S19)/1000000</f>
        <v>12491.355222</v>
      </c>
      <c r="U180" s="299">
        <f>U67*(BOM_average!T19)/1000000</f>
        <v>13087.859756400001</v>
      </c>
      <c r="V180" s="299">
        <f>V67*(BOM_average!U19)/1000000</f>
        <v>13583.460213600001</v>
      </c>
      <c r="W180" s="299">
        <f>W67*(BOM_average!V19)/1000000</f>
        <v>13979.355339900001</v>
      </c>
      <c r="X180" s="299">
        <f>X67*(BOM_average!W19)/1000000</f>
        <v>14284.573247900002</v>
      </c>
      <c r="Y180" s="299">
        <f>Y67*(BOM_average!X19)/1000000</f>
        <v>14512.3385347</v>
      </c>
      <c r="Z180" s="299">
        <f>Z67*(BOM_average!Y19)/1000000</f>
        <v>14677.2298398</v>
      </c>
      <c r="AA180" s="299">
        <f>AA67*(BOM_average!Z19)/1000000</f>
        <v>14793.241261200001</v>
      </c>
      <c r="AB180" s="299">
        <f>AB67*(BOM_average!AA19)/1000000</f>
        <v>14872.672599</v>
      </c>
    </row>
    <row r="182" spans="1:28">
      <c r="B182" s="7" t="s">
        <v>6905</v>
      </c>
      <c r="C182" s="91">
        <f>C178*Outflow_routing!B4</f>
        <v>0</v>
      </c>
      <c r="D182" s="91">
        <f>D178*Outflow_routing!C4</f>
        <v>352.26476727754527</v>
      </c>
      <c r="E182" s="91">
        <f>E178*Outflow_routing!D4</f>
        <v>1205.2439433447641</v>
      </c>
      <c r="F182" s="91">
        <f>F178*Outflow_routing!E4</f>
        <v>2329.6367848191458</v>
      </c>
      <c r="G182" s="91">
        <f>G178*Outflow_routing!F4</f>
        <v>3297.1087350952762</v>
      </c>
      <c r="H182" s="91">
        <f>H178*Outflow_routing!G4</f>
        <v>4009.5561314343176</v>
      </c>
      <c r="I182" s="91">
        <f>I178*Outflow_routing!H4</f>
        <v>4569.7633331354082</v>
      </c>
      <c r="J182" s="91">
        <f>J178*Outflow_routing!I4</f>
        <v>4999.2744807164981</v>
      </c>
      <c r="K182" s="91">
        <f>K178*Outflow_routing!J4</f>
        <v>5293.3821835811905</v>
      </c>
      <c r="L182" s="91">
        <f>L178*Outflow_routing!K4</f>
        <v>5466.1541987527853</v>
      </c>
      <c r="M182" s="91">
        <f>M178*Outflow_routing!L4</f>
        <v>5570.0617609554029</v>
      </c>
      <c r="N182" s="91">
        <f>N178*Outflow_routing!M4</f>
        <v>5605.6859788210077</v>
      </c>
      <c r="O182" s="91">
        <f>O178*Outflow_routing!N4</f>
        <v>5622.4416199405732</v>
      </c>
      <c r="P182" s="91">
        <f>P178*Outflow_routing!O4</f>
        <v>5736.3214580129406</v>
      </c>
      <c r="Q182" s="91">
        <f>Q178*Outflow_routing!P4</f>
        <v>6053.1057445423285</v>
      </c>
      <c r="R182" s="91">
        <f>R178*Outflow_routing!Q4</f>
        <v>6498.9074409986715</v>
      </c>
      <c r="S182" s="91">
        <f>S178*Outflow_routing!R4</f>
        <v>6945.5530796731719</v>
      </c>
      <c r="T182" s="91">
        <f>T178*Outflow_routing!S4</f>
        <v>7349.8742974216293</v>
      </c>
      <c r="U182" s="91">
        <f>U178*Outflow_routing!T4</f>
        <v>7700.8556975791107</v>
      </c>
      <c r="V182" s="91">
        <f>V178*Outflow_routing!U4</f>
        <v>7992.465454681309</v>
      </c>
      <c r="W182" s="91">
        <f>W178*Outflow_routing!V4</f>
        <v>8225.4089072974111</v>
      </c>
      <c r="X182" s="91">
        <f>X178*Outflow_routing!W4</f>
        <v>8404.9981686107894</v>
      </c>
      <c r="Y182" s="91">
        <f>Y178*Outflow_routing!X4</f>
        <v>8539.0145501438219</v>
      </c>
      <c r="Z182" s="91">
        <f>Z178*Outflow_routing!Y4</f>
        <v>8636.036077727018</v>
      </c>
      <c r="AA182" s="91">
        <f>AA178*Outflow_routing!Z4</f>
        <v>8704.2968348027189</v>
      </c>
      <c r="AB182" s="91">
        <f>AB178*Outflow_routing!AA4</f>
        <v>8751.0339852343877</v>
      </c>
    </row>
    <row r="183" spans="1:28">
      <c r="B183" s="7" t="s">
        <v>6907</v>
      </c>
      <c r="C183" s="91">
        <f>C179*Outflow_routing!B5</f>
        <v>0</v>
      </c>
      <c r="D183" s="91">
        <f>D179*Outflow_routing!C5</f>
        <v>110.06930940215528</v>
      </c>
      <c r="E183" s="91">
        <f>E179*Outflow_routing!D5</f>
        <v>376.59278141934368</v>
      </c>
      <c r="F183" s="91">
        <f>F179*Outflow_routing!E5</f>
        <v>727.92267601621745</v>
      </c>
      <c r="G183" s="91">
        <f>G179*Outflow_routing!F5</f>
        <v>1030.2207748463754</v>
      </c>
      <c r="H183" s="91">
        <f>H179*Outflow_routing!G5</f>
        <v>1252.8334235834457</v>
      </c>
      <c r="I183" s="91">
        <f>I179*Outflow_routing!H5</f>
        <v>1427.8768157736458</v>
      </c>
      <c r="J183" s="91">
        <f>J179*Outflow_routing!I5</f>
        <v>1562.082673941487</v>
      </c>
      <c r="K183" s="91">
        <f>K179*Outflow_routing!J5</f>
        <v>1653.9801179985734</v>
      </c>
      <c r="L183" s="91">
        <f>L179*Outflow_routing!K5</f>
        <v>1707.9647856703562</v>
      </c>
      <c r="M183" s="91">
        <f>M179*Outflow_routing!L5</f>
        <v>1740.4319373009153</v>
      </c>
      <c r="N183" s="91">
        <f>N179*Outflow_routing!M5</f>
        <v>1751.5631471825143</v>
      </c>
      <c r="O183" s="91">
        <f>O179*Outflow_routing!N5</f>
        <v>1756.7986462103459</v>
      </c>
      <c r="P183" s="91">
        <f>P179*Outflow_routing!O5</f>
        <v>1792.3817538493195</v>
      </c>
      <c r="Q183" s="91">
        <f>Q179*Outflow_routing!P5</f>
        <v>1891.364765738987</v>
      </c>
      <c r="R183" s="91">
        <f>R179*Outflow_routing!Q5</f>
        <v>2030.6607993403209</v>
      </c>
      <c r="S183" s="91">
        <f>S179*Outflow_routing!R5</f>
        <v>2170.2205327088654</v>
      </c>
      <c r="T183" s="91">
        <f>T179*Outflow_routing!S5</f>
        <v>2296.5554981899509</v>
      </c>
      <c r="U183" s="91">
        <f>U179*Outflow_routing!T5</f>
        <v>2406.22380429647</v>
      </c>
      <c r="V183" s="91">
        <f>V179*Outflow_routing!U5</f>
        <v>2497.3407355389295</v>
      </c>
      <c r="W183" s="91">
        <f>W179*Outflow_routing!V5</f>
        <v>2570.1266833286122</v>
      </c>
      <c r="X183" s="91">
        <f>X179*Outflow_routing!W5</f>
        <v>2626.2414805068165</v>
      </c>
      <c r="Y183" s="91">
        <f>Y179*Outflow_routing!X5</f>
        <v>2668.1164902556466</v>
      </c>
      <c r="Z183" s="91">
        <f>Z179*Outflow_routing!Y5</f>
        <v>2698.4320186031377</v>
      </c>
      <c r="AA183" s="91">
        <f>AA179*Outflow_routing!Z5</f>
        <v>2719.7609026940941</v>
      </c>
      <c r="AB183" s="91">
        <f>AB179*Outflow_routing!AA5</f>
        <v>2734.3644803132697</v>
      </c>
    </row>
    <row r="184" spans="1:28">
      <c r="B184" s="7" t="s">
        <v>6908</v>
      </c>
      <c r="C184" s="91">
        <f>C180*Outflow_routing!B6</f>
        <v>0</v>
      </c>
      <c r="D184" s="91">
        <f>D180*Outflow_routing!C6</f>
        <v>8.2797722792801984</v>
      </c>
      <c r="E184" s="91">
        <f>E180*Outflow_routing!D6</f>
        <v>28.328536711177485</v>
      </c>
      <c r="F184" s="91">
        <f>F180*Outflow_routing!E6</f>
        <v>54.756716718534463</v>
      </c>
      <c r="G184" s="91">
        <f>G180*Outflow_routing!F6</f>
        <v>77.496565204619685</v>
      </c>
      <c r="H184" s="91">
        <f>H180*Outflow_routing!G6</f>
        <v>94.242214360062135</v>
      </c>
      <c r="I184" s="91">
        <f>I180*Outflow_routing!H6</f>
        <v>107.40954896222884</v>
      </c>
      <c r="J184" s="91">
        <f>J180*Outflow_routing!I6</f>
        <v>117.50495112483512</v>
      </c>
      <c r="K184" s="91">
        <f>K180*Outflow_routing!J6</f>
        <v>124.41777645256148</v>
      </c>
      <c r="L184" s="91">
        <f>L180*Outflow_routing!K6</f>
        <v>128.47867914489936</v>
      </c>
      <c r="M184" s="91">
        <f>M180*Outflow_routing!L6</f>
        <v>130.92096413349424</v>
      </c>
      <c r="N184" s="91">
        <f>N180*Outflow_routing!M6</f>
        <v>131.7582900285426</v>
      </c>
      <c r="O184" s="91">
        <f>O180*Outflow_routing!N6</f>
        <v>132.15212133314773</v>
      </c>
      <c r="P184" s="91">
        <f>P180*Outflow_routing!O6</f>
        <v>134.82879869071505</v>
      </c>
      <c r="Q184" s="91">
        <f>Q180*Outflow_routing!P6</f>
        <v>142.27462352976579</v>
      </c>
      <c r="R184" s="91">
        <f>R180*Outflow_routing!Q6</f>
        <v>152.75292528245603</v>
      </c>
      <c r="S184" s="91">
        <f>S180*Outflow_routing!R6</f>
        <v>163.25106339129732</v>
      </c>
      <c r="T184" s="91">
        <f>T180*Outflow_routing!S6</f>
        <v>172.75439134688844</v>
      </c>
      <c r="U184" s="91">
        <f>U180*Outflow_routing!T6</f>
        <v>181.00399885099978</v>
      </c>
      <c r="V184" s="91">
        <f>V180*Outflow_routing!U6</f>
        <v>187.8581114603374</v>
      </c>
      <c r="W184" s="91">
        <f>W180*Outflow_routing!V6</f>
        <v>193.33330773533419</v>
      </c>
      <c r="X184" s="91">
        <f>X180*Outflow_routing!W6</f>
        <v>197.55444571336923</v>
      </c>
      <c r="Y184" s="91">
        <f>Y180*Outflow_routing!X6</f>
        <v>200.70442045924659</v>
      </c>
      <c r="Z184" s="91">
        <f>Z180*Outflow_routing!Y6</f>
        <v>202.98485333019522</v>
      </c>
      <c r="AA184" s="91">
        <f>AA180*Outflow_routing!Z6</f>
        <v>204.58928152369876</v>
      </c>
      <c r="AB184" s="91">
        <f>AB180*Outflow_routing!AA6</f>
        <v>205.68781023988964</v>
      </c>
    </row>
    <row r="187" spans="1:28" ht="21">
      <c r="A187" s="293" t="s">
        <v>7800</v>
      </c>
      <c r="B187" s="382"/>
      <c r="C187" s="378"/>
      <c r="D187" s="378"/>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row>
    <row r="188" spans="1:28" ht="19">
      <c r="B188" s="382"/>
      <c r="Q188" s="1"/>
      <c r="R188" s="1"/>
      <c r="S188" s="1"/>
      <c r="T188" s="1"/>
      <c r="U188" s="1"/>
      <c r="V188" s="1"/>
      <c r="W188" s="1"/>
      <c r="X188" s="1"/>
      <c r="Y188" s="1"/>
      <c r="Z188" s="1"/>
      <c r="AA188" s="1"/>
      <c r="AB188" s="1"/>
    </row>
    <row r="189" spans="1:28">
      <c r="C189"/>
      <c r="D189"/>
      <c r="E189"/>
      <c r="F189"/>
      <c r="G189"/>
      <c r="H189"/>
      <c r="I189"/>
      <c r="J189"/>
      <c r="K189"/>
      <c r="L189"/>
      <c r="M189"/>
      <c r="N189"/>
      <c r="O189"/>
      <c r="P189"/>
    </row>
  </sheetData>
  <pageMargins left="0.7" right="0.7" top="0.75" bottom="0.75" header="0.3" footer="0.3"/>
  <legacy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9C9E3-9CC2-FC4F-ADCA-6ECD830A6C87}">
  <dimension ref="A1:AF189"/>
  <sheetViews>
    <sheetView zoomScale="50" zoomScaleNormal="50" workbookViewId="0">
      <pane xSplit="2" ySplit="2" topLeftCell="C171" activePane="bottomRight" state="frozen"/>
      <selection pane="topRight" activeCell="C1" sqref="C1"/>
      <selection pane="bottomLeft" activeCell="A3" sqref="A3"/>
      <selection pane="bottomRight" activeCell="S188" sqref="S18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2" t="s">
        <v>175</v>
      </c>
      <c r="C2" s="213">
        <v>2007</v>
      </c>
      <c r="D2" s="213">
        <v>2008</v>
      </c>
      <c r="E2" s="213">
        <v>2009</v>
      </c>
      <c r="F2" s="213">
        <v>2010</v>
      </c>
      <c r="G2" s="213">
        <v>2011</v>
      </c>
      <c r="H2" s="213">
        <v>2012</v>
      </c>
      <c r="I2" s="213">
        <v>2013</v>
      </c>
      <c r="J2" s="213">
        <v>2014</v>
      </c>
      <c r="K2" s="213">
        <v>2015</v>
      </c>
      <c r="L2" s="213">
        <v>2016</v>
      </c>
      <c r="M2" s="213">
        <v>2017</v>
      </c>
      <c r="N2" s="213">
        <v>2018</v>
      </c>
      <c r="O2" s="213">
        <v>2019</v>
      </c>
      <c r="P2" s="213">
        <v>2020</v>
      </c>
      <c r="Q2" s="213">
        <v>2021</v>
      </c>
      <c r="R2" s="213">
        <v>2022</v>
      </c>
      <c r="S2" s="213">
        <v>2023</v>
      </c>
      <c r="T2" s="213">
        <v>2024</v>
      </c>
      <c r="U2" s="213">
        <v>2025</v>
      </c>
      <c r="V2" s="213">
        <v>2026</v>
      </c>
      <c r="W2" s="213">
        <v>2027</v>
      </c>
      <c r="X2" s="213">
        <v>2028</v>
      </c>
      <c r="Y2" s="213">
        <v>2029</v>
      </c>
      <c r="Z2" s="213">
        <v>2030</v>
      </c>
      <c r="AA2" s="213">
        <v>2031</v>
      </c>
      <c r="AB2" s="213">
        <v>2032</v>
      </c>
    </row>
    <row r="3" spans="1:28" ht="17" thickTop="1"/>
    <row r="4" spans="1:28" ht="26">
      <c r="A4" s="292" t="s">
        <v>7791</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6296239.7586206896</v>
      </c>
      <c r="D5" s="47">
        <f t="shared" ref="D5:AB5" si="0">C5+D38-D67</f>
        <v>15741453.077067763</v>
      </c>
      <c r="E5" s="47">
        <f t="shared" si="0"/>
        <v>23926437.36678322</v>
      </c>
      <c r="F5" s="47">
        <f t="shared" si="0"/>
        <v>26897940.414263327</v>
      </c>
      <c r="G5" s="47">
        <f t="shared" si="0"/>
        <v>28607256.464263327</v>
      </c>
      <c r="H5" s="47">
        <f t="shared" si="0"/>
        <v>30576756.47719305</v>
      </c>
      <c r="I5" s="47">
        <f t="shared" si="0"/>
        <v>31824690.726521745</v>
      </c>
      <c r="J5" s="47">
        <f t="shared" si="0"/>
        <v>32377488.409027457</v>
      </c>
      <c r="K5" s="47">
        <f t="shared" si="0"/>
        <v>32423831.265239067</v>
      </c>
      <c r="L5" s="47">
        <f t="shared" si="0"/>
        <v>32657973.504002661</v>
      </c>
      <c r="M5" s="47">
        <f t="shared" si="0"/>
        <v>32296382.315552652</v>
      </c>
      <c r="N5" s="47">
        <f t="shared" si="0"/>
        <v>32490056.083327718</v>
      </c>
      <c r="O5" s="47">
        <f t="shared" si="0"/>
        <v>34374389.838731639</v>
      </c>
      <c r="P5" s="47">
        <f t="shared" si="0"/>
        <v>38290180.850886896</v>
      </c>
      <c r="Q5" s="47">
        <f t="shared" si="0"/>
        <v>41723596.522652984</v>
      </c>
      <c r="R5" s="47">
        <f t="shared" si="0"/>
        <v>43998533.029590286</v>
      </c>
      <c r="S5" s="47">
        <f t="shared" si="0"/>
        <v>45838436.536527589</v>
      </c>
      <c r="T5" s="47">
        <f t="shared" si="0"/>
        <v>47284531.043464892</v>
      </c>
      <c r="U5" s="47">
        <f t="shared" si="0"/>
        <v>48393531.550402194</v>
      </c>
      <c r="V5" s="47">
        <f t="shared" si="0"/>
        <v>49235894.057339497</v>
      </c>
      <c r="W5" s="47">
        <f t="shared" si="0"/>
        <v>49887181.5642768</v>
      </c>
      <c r="X5" s="47">
        <f t="shared" si="0"/>
        <v>50419353.071214102</v>
      </c>
      <c r="Y5" s="47">
        <f t="shared" si="0"/>
        <v>50894211.578151405</v>
      </c>
      <c r="Z5" s="47">
        <f t="shared" si="0"/>
        <v>51359479.085088708</v>
      </c>
      <c r="AA5" s="47">
        <f t="shared" si="0"/>
        <v>51847385.59202601</v>
      </c>
      <c r="AB5" s="47">
        <f t="shared" si="0"/>
        <v>52375317.098963313</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7762</v>
      </c>
      <c r="B7" s="7">
        <v>2007</v>
      </c>
      <c r="C7" s="83">
        <f>$C$38*Product_lifespan!B25</f>
        <v>6296239.7586206896</v>
      </c>
      <c r="D7" s="83">
        <f>$C$38*Product_lifespan!C25</f>
        <v>5953133.5529929036</v>
      </c>
      <c r="E7" s="83">
        <f>$C$38*Product_lifespan!D25</f>
        <v>5312628.1227337867</v>
      </c>
      <c r="F7" s="83">
        <f>$C$38*Product_lifespan!E25</f>
        <v>4549311.1156588271</v>
      </c>
      <c r="G7" s="83">
        <f>$C$38*Product_lifespan!F25</f>
        <v>3762243.1119793053</v>
      </c>
      <c r="H7" s="83">
        <f>$C$38*Product_lifespan!G25</f>
        <v>3016408.7345313723</v>
      </c>
      <c r="I7" s="83">
        <f>$C$38*Product_lifespan!H25</f>
        <v>2350921.1590401442</v>
      </c>
      <c r="J7" s="83">
        <f>$C$38*Product_lifespan!I25</f>
        <v>1784686.2815747173</v>
      </c>
      <c r="K7" s="83">
        <f>$C$38*Product_lifespan!J25</f>
        <v>1321747.5755234691</v>
      </c>
      <c r="L7" s="83">
        <f>$C$38*Product_lifespan!K25</f>
        <v>956221.97917558963</v>
      </c>
      <c r="M7" s="83">
        <f>$C$38*Product_lifespan!L25</f>
        <v>676491.44003402896</v>
      </c>
      <c r="N7" s="83">
        <f>$C$38*Product_lifespan!M25</f>
        <v>468447.44573115907</v>
      </c>
      <c r="O7" s="83">
        <f>$C$38*Product_lifespan!N25</f>
        <v>317762.92716612213</v>
      </c>
      <c r="P7" s="83">
        <f>$C$38*Product_lifespan!O25</f>
        <v>211298.42119974451</v>
      </c>
      <c r="Q7" s="83">
        <f>$C$38*Product_lifespan!P25</f>
        <v>137820.20510192582</v>
      </c>
      <c r="R7" s="83">
        <f>$C$38*Product_lifespan!Q25</f>
        <v>88226.310033755712</v>
      </c>
      <c r="S7" s="83">
        <f>$C$38*Product_lifespan!R25</f>
        <v>55459.187490908189</v>
      </c>
      <c r="T7" s="83">
        <f>$C$38*Product_lifespan!S25</f>
        <v>34248.442737314057</v>
      </c>
      <c r="U7" s="83">
        <f>$C$38*Product_lifespan!T25</f>
        <v>20786.67008066069</v>
      </c>
      <c r="V7" s="83">
        <f>$C$38*Product_lifespan!U25</f>
        <v>12404.405880600823</v>
      </c>
      <c r="W7" s="83">
        <f>$C$38*Product_lifespan!V25</f>
        <v>7280.6706728968684</v>
      </c>
      <c r="X7" s="83">
        <f>$C$38*Product_lifespan!W25</f>
        <v>4204.5294545930774</v>
      </c>
      <c r="Y7" s="83">
        <f>$C$38*Product_lifespan!X25</f>
        <v>2389.7381836686386</v>
      </c>
      <c r="Z7" s="83">
        <f>$C$38*Product_lifespan!Y25</f>
        <v>1337.2040123827519</v>
      </c>
      <c r="AA7" s="83">
        <f>$C$38*Product_lifespan!Z25</f>
        <v>736.84999439833393</v>
      </c>
      <c r="AB7" s="83">
        <f>$C$38*Product_lifespan!AA25</f>
        <v>399.95131582986107</v>
      </c>
    </row>
    <row r="8" spans="1:28">
      <c r="A8" s="1"/>
      <c r="B8" s="7">
        <v>2008</v>
      </c>
      <c r="C8" s="83"/>
      <c r="D8" s="83">
        <f>$D$38*Product_lifespan!B25</f>
        <v>9788319.3184470721</v>
      </c>
      <c r="E8" s="83">
        <f>$D$38*Product_lifespan!C25</f>
        <v>9254916.3303815015</v>
      </c>
      <c r="F8" s="83">
        <f>$D$38*Product_lifespan!D25</f>
        <v>8259167.7698233472</v>
      </c>
      <c r="G8" s="83">
        <f>$D$38*Product_lifespan!E25</f>
        <v>7072492.7236227831</v>
      </c>
      <c r="H8" s="83">
        <f>$D$38*Product_lifespan!F25</f>
        <v>5848893.6802732088</v>
      </c>
      <c r="I8" s="83">
        <f>$D$38*Product_lifespan!G25</f>
        <v>4689397.6437476156</v>
      </c>
      <c r="J8" s="83">
        <f>$D$38*Product_lifespan!H25</f>
        <v>3654811.1062117084</v>
      </c>
      <c r="K8" s="83">
        <f>$D$38*Product_lifespan!I25</f>
        <v>2774525.7291682628</v>
      </c>
      <c r="L8" s="83">
        <f>$D$38*Product_lifespan!J25</f>
        <v>2054827.6151480607</v>
      </c>
      <c r="M8" s="83">
        <f>$D$38*Product_lifespan!K25</f>
        <v>1486570.7835653578</v>
      </c>
      <c r="N8" s="83">
        <f>$D$38*Product_lifespan!L25</f>
        <v>1051693.4686584705</v>
      </c>
      <c r="O8" s="83">
        <f>$D$38*Product_lifespan!M25</f>
        <v>728262.16257876274</v>
      </c>
      <c r="P8" s="83">
        <f>$D$38*Product_lifespan!N25</f>
        <v>494003.58275870793</v>
      </c>
      <c r="Q8" s="83">
        <f>$D$38*Product_lifespan!O25</f>
        <v>328490.73375184112</v>
      </c>
      <c r="R8" s="83">
        <f>$D$38*Product_lifespan!P25</f>
        <v>214259.34014416378</v>
      </c>
      <c r="S8" s="83">
        <f>$D$38*Product_lifespan!Q25</f>
        <v>137159.21375394016</v>
      </c>
      <c r="T8" s="83">
        <f>$D$38*Product_lifespan!R25</f>
        <v>86218.482318652503</v>
      </c>
      <c r="U8" s="83">
        <f>$D$38*Product_lifespan!S25</f>
        <v>53243.63533224455</v>
      </c>
      <c r="V8" s="83">
        <f>$D$38*Product_lifespan!T25</f>
        <v>32315.56804013607</v>
      </c>
      <c r="W8" s="83">
        <f>$D$38*Product_lifespan!U25</f>
        <v>19284.25383558495</v>
      </c>
      <c r="X8" s="83">
        <f>$D$38*Product_lifespan!V25</f>
        <v>11318.744541325968</v>
      </c>
      <c r="Y8" s="83">
        <f>$D$38*Product_lifespan!W25</f>
        <v>6536.485023306831</v>
      </c>
      <c r="Z8" s="83">
        <f>$D$38*Product_lifespan!X25</f>
        <v>3715.157193181396</v>
      </c>
      <c r="AA8" s="83">
        <f>$D$38*Product_lifespan!Y25</f>
        <v>2078.8566460147663</v>
      </c>
      <c r="AB8" s="83">
        <f>$D$38*Product_lifespan!Z25</f>
        <v>1145.5286506667064</v>
      </c>
    </row>
    <row r="9" spans="1:28">
      <c r="A9" s="1"/>
      <c r="B9" s="7">
        <v>2009</v>
      </c>
      <c r="C9" s="83"/>
      <c r="D9" s="83"/>
      <c r="E9" s="83">
        <f>$E$38*Product_lifespan!B25</f>
        <v>9358892.2897154577</v>
      </c>
      <c r="F9" s="83">
        <f>$E$38*Product_lifespan!C25</f>
        <v>8848890.4242358524</v>
      </c>
      <c r="G9" s="83">
        <f>$E$38*Product_lifespan!D25</f>
        <v>7896826.7223151177</v>
      </c>
      <c r="H9" s="83">
        <f>$E$38*Product_lifespan!E25</f>
        <v>6762212.7422262281</v>
      </c>
      <c r="I9" s="83">
        <f>$E$38*Product_lifespan!F25</f>
        <v>5592294.6715186276</v>
      </c>
      <c r="J9" s="83">
        <f>$E$38*Product_lifespan!G25</f>
        <v>4483667.3205755418</v>
      </c>
      <c r="K9" s="83">
        <f>$E$38*Product_lifespan!H25</f>
        <v>3494469.5171344127</v>
      </c>
      <c r="L9" s="83">
        <f>$E$38*Product_lifespan!I25</f>
        <v>2652803.4700904735</v>
      </c>
      <c r="M9" s="83">
        <f>$E$38*Product_lifespan!J25</f>
        <v>1964679.502012261</v>
      </c>
      <c r="N9" s="83">
        <f>$E$38*Product_lifespan!K25</f>
        <v>1421352.8790592572</v>
      </c>
      <c r="O9" s="83">
        <f>$E$38*Product_lifespan!L25</f>
        <v>1005554.2299710569</v>
      </c>
      <c r="P9" s="83">
        <f>$E$38*Product_lifespan!M25</f>
        <v>696312.30004981183</v>
      </c>
      <c r="Q9" s="83">
        <f>$E$38*Product_lifespan!N25</f>
        <v>472330.96626293752</v>
      </c>
      <c r="R9" s="83">
        <f>$E$38*Product_lifespan!O25</f>
        <v>314079.39354402077</v>
      </c>
      <c r="S9" s="83">
        <f>$E$38*Product_lifespan!P25</f>
        <v>204859.48825715957</v>
      </c>
      <c r="T9" s="83">
        <f>$E$38*Product_lifespan!Q25</f>
        <v>131141.85043452779</v>
      </c>
      <c r="U9" s="83">
        <f>$E$38*Product_lifespan!R25</f>
        <v>82435.958937537245</v>
      </c>
      <c r="V9" s="83">
        <f>$E$38*Product_lifespan!S25</f>
        <v>50907.763833191042</v>
      </c>
      <c r="W9" s="83">
        <f>$E$38*Product_lifespan!T25</f>
        <v>30897.839632042862</v>
      </c>
      <c r="X9" s="83">
        <f>$E$38*Product_lifespan!U25</f>
        <v>18438.227101422861</v>
      </c>
      <c r="Y9" s="83">
        <f>$E$38*Product_lifespan!V25</f>
        <v>10822.175653529925</v>
      </c>
      <c r="Z9" s="83">
        <f>$E$38*Product_lifespan!W25</f>
        <v>6249.7204368044904</v>
      </c>
      <c r="AA9" s="83">
        <f>$E$38*Product_lifespan!X25</f>
        <v>3552.1681382849033</v>
      </c>
      <c r="AB9" s="83">
        <f>$E$38*Product_lifespan!Y25</f>
        <v>1987.6543462517545</v>
      </c>
    </row>
    <row r="10" spans="1:28">
      <c r="A10" s="1"/>
      <c r="B10" s="7">
        <v>2010</v>
      </c>
      <c r="C10" s="83"/>
      <c r="D10" s="83"/>
      <c r="E10" s="83"/>
      <c r="F10" s="83">
        <f>$F$38*Product_lifespan!B25</f>
        <v>5240570.0474801064</v>
      </c>
      <c r="G10" s="83">
        <f>$F$38*Product_lifespan!C25</f>
        <v>4954991.325377658</v>
      </c>
      <c r="H10" s="83">
        <f>$F$38*Product_lifespan!D25</f>
        <v>4421877.3237279467</v>
      </c>
      <c r="I10" s="83">
        <f>$F$38*Product_lifespan!E25</f>
        <v>3786543.1564526018</v>
      </c>
      <c r="J10" s="83">
        <f>$F$38*Product_lifespan!F25</f>
        <v>3131440.2436759048</v>
      </c>
      <c r="K10" s="83">
        <f>$F$38*Product_lifespan!G25</f>
        <v>2510657.4512984329</v>
      </c>
      <c r="L10" s="83">
        <f>$F$38*Product_lifespan!H25</f>
        <v>1956749.9781412326</v>
      </c>
      <c r="M10" s="83">
        <f>$F$38*Product_lifespan!I25</f>
        <v>1485453.8311638266</v>
      </c>
      <c r="N10" s="83">
        <f>$F$38*Product_lifespan!J25</f>
        <v>1100134.5279353163</v>
      </c>
      <c r="O10" s="83">
        <f>$F$38*Product_lifespan!K25</f>
        <v>795895.40025831666</v>
      </c>
      <c r="P10" s="83">
        <f>$F$38*Product_lifespan!L25</f>
        <v>563066.35610008286</v>
      </c>
      <c r="Q10" s="83">
        <f>$F$38*Product_lifespan!M25</f>
        <v>389904.41073277581</v>
      </c>
      <c r="R10" s="83">
        <f>$F$38*Product_lifespan!N25</f>
        <v>264484.66738045384</v>
      </c>
      <c r="S10" s="83">
        <f>$F$38*Product_lifespan!O25</f>
        <v>175870.71326232291</v>
      </c>
      <c r="T10" s="83">
        <f>$F$38*Product_lifespan!P25</f>
        <v>114712.34681077984</v>
      </c>
      <c r="U10" s="83">
        <f>$F$38*Product_lifespan!Q25</f>
        <v>73433.696219961232</v>
      </c>
      <c r="V10" s="83">
        <f>$F$38*Product_lifespan!R25</f>
        <v>46160.528817934748</v>
      </c>
      <c r="W10" s="83">
        <f>$F$38*Product_lifespan!S25</f>
        <v>28506.119535277099</v>
      </c>
      <c r="X10" s="83">
        <f>$F$38*Product_lifespan!T25</f>
        <v>17301.437808560415</v>
      </c>
      <c r="Y10" s="83">
        <f>$F$38*Product_lifespan!U25</f>
        <v>10324.600143388376</v>
      </c>
      <c r="Z10" s="83">
        <f>$F$38*Product_lifespan!V25</f>
        <v>6059.9446839217417</v>
      </c>
      <c r="AA10" s="83">
        <f>$F$38*Product_lifespan!W25</f>
        <v>3499.5698969880627</v>
      </c>
      <c r="AB10" s="83">
        <f>$F$38*Product_lifespan!X25</f>
        <v>1989.0586805412424</v>
      </c>
    </row>
    <row r="11" spans="1:28">
      <c r="A11" s="1"/>
      <c r="B11" s="7">
        <v>2011</v>
      </c>
      <c r="C11" s="83"/>
      <c r="D11" s="83"/>
      <c r="E11" s="83"/>
      <c r="F11" s="83"/>
      <c r="G11" s="83">
        <f>$G$38*Product_lifespan!B25</f>
        <v>4920701.05</v>
      </c>
      <c r="H11" s="83">
        <f>$G$38*Product_lifespan!C25</f>
        <v>4652553.2139868392</v>
      </c>
      <c r="I11" s="83">
        <f>$G$38*Product_lifespan!D25</f>
        <v>4151978.9245641022</v>
      </c>
      <c r="J11" s="83">
        <f>$G$38*Product_lifespan!E25</f>
        <v>3555423.688074911</v>
      </c>
      <c r="K11" s="83">
        <f>$G$38*Product_lifespan!F25</f>
        <v>2940306.332223827</v>
      </c>
      <c r="L11" s="83">
        <f>$G$38*Product_lifespan!G25</f>
        <v>2357414.2974646348</v>
      </c>
      <c r="M11" s="83">
        <f>$G$38*Product_lifespan!H25</f>
        <v>1837315.7089383588</v>
      </c>
      <c r="N11" s="83">
        <f>$G$38*Product_lifespan!I25</f>
        <v>1394786.0939763752</v>
      </c>
      <c r="O11" s="83">
        <f>$G$38*Product_lifespan!J25</f>
        <v>1032985.5488441718</v>
      </c>
      <c r="P11" s="83">
        <f>$G$38*Product_lifespan!K25</f>
        <v>747316.28358339122</v>
      </c>
      <c r="Q11" s="83">
        <f>$G$38*Product_lifespan!L25</f>
        <v>528698.4401656104</v>
      </c>
      <c r="R11" s="83">
        <f>$G$38*Product_lifespan!M25</f>
        <v>366105.79114669957</v>
      </c>
      <c r="S11" s="83">
        <f>$G$38*Product_lifespan!N25</f>
        <v>248341.30041133476</v>
      </c>
      <c r="T11" s="83">
        <f>$G$38*Product_lifespan!O25</f>
        <v>165136.08168071078</v>
      </c>
      <c r="U11" s="83">
        <f>$G$38*Product_lifespan!P25</f>
        <v>107710.64221747936</v>
      </c>
      <c r="V11" s="83">
        <f>$G$38*Product_lifespan!Q25</f>
        <v>68951.519170838059</v>
      </c>
      <c r="W11" s="83">
        <f>$G$38*Product_lifespan!R25</f>
        <v>43343.025771058354</v>
      </c>
      <c r="X11" s="83">
        <f>$G$38*Product_lifespan!S25</f>
        <v>26766.18975756492</v>
      </c>
      <c r="Y11" s="83">
        <f>$G$38*Product_lifespan!T25</f>
        <v>16245.408881049045</v>
      </c>
      <c r="Z11" s="83">
        <f>$G$38*Product_lifespan!U25</f>
        <v>9694.416887115216</v>
      </c>
      <c r="AA11" s="83">
        <f>$G$38*Product_lifespan!V25</f>
        <v>5690.0634661784525</v>
      </c>
      <c r="AB11" s="83">
        <f>$G$38*Product_lifespan!W25</f>
        <v>3285.9664331627123</v>
      </c>
    </row>
    <row r="12" spans="1:28">
      <c r="A12" s="1"/>
      <c r="B12" s="7">
        <v>2012</v>
      </c>
      <c r="C12" s="83"/>
      <c r="D12" s="83"/>
      <c r="E12" s="83"/>
      <c r="F12" s="83"/>
      <c r="G12" s="83"/>
      <c r="H12" s="83">
        <f>$H$38*Product_lifespan!B25</f>
        <v>5874809.0129297227</v>
      </c>
      <c r="I12" s="83">
        <f>$H$38*Product_lifespan!C25</f>
        <v>5554668.1818162948</v>
      </c>
      <c r="J12" s="83">
        <f>$H$38*Product_lifespan!D25</f>
        <v>4957034.1623422634</v>
      </c>
      <c r="K12" s="83">
        <f>$H$38*Product_lifespan!E25</f>
        <v>4244808.8016820941</v>
      </c>
      <c r="L12" s="83">
        <f>$H$38*Product_lifespan!F25</f>
        <v>3510422.1869611195</v>
      </c>
      <c r="M12" s="83">
        <f>$H$38*Product_lifespan!G25</f>
        <v>2814509.2785010026</v>
      </c>
      <c r="N12" s="83">
        <f>$H$38*Product_lifespan!H25</f>
        <v>2193565.2616954721</v>
      </c>
      <c r="O12" s="83">
        <f>$H$38*Product_lifespan!I25</f>
        <v>1665230.5906698909</v>
      </c>
      <c r="P12" s="83">
        <f>$H$38*Product_lifespan!J25</f>
        <v>1233278.0940991929</v>
      </c>
      <c r="Q12" s="83">
        <f>$H$38*Product_lifespan!K25</f>
        <v>892218.48547471734</v>
      </c>
      <c r="R12" s="83">
        <f>$H$38*Product_lifespan!L25</f>
        <v>631211.35176598746</v>
      </c>
      <c r="S12" s="83">
        <f>$H$38*Product_lifespan!M25</f>
        <v>437092.51581426541</v>
      </c>
      <c r="T12" s="83">
        <f>$H$38*Product_lifespan!N25</f>
        <v>296493.87254265271</v>
      </c>
      <c r="U12" s="83">
        <f>$H$38*Product_lifespan!O25</f>
        <v>197155.43195166034</v>
      </c>
      <c r="V12" s="83">
        <f>$H$38*Product_lifespan!P25</f>
        <v>128595.38615695754</v>
      </c>
      <c r="W12" s="83">
        <f>$H$38*Product_lifespan!Q25</f>
        <v>82320.994948481166</v>
      </c>
      <c r="X12" s="83">
        <f>$H$38*Product_lifespan!R25</f>
        <v>51747.097793607863</v>
      </c>
      <c r="Y12" s="83">
        <f>$H$38*Product_lifespan!S25</f>
        <v>31956.067079004857</v>
      </c>
      <c r="Z12" s="83">
        <f>$H$38*Product_lifespan!T25</f>
        <v>19395.340936860102</v>
      </c>
      <c r="AA12" s="83">
        <f>$H$38*Product_lifespan!U25</f>
        <v>11574.132857252642</v>
      </c>
      <c r="AB12" s="83">
        <f>$H$38*Product_lifespan!V25</f>
        <v>6793.3483045565863</v>
      </c>
    </row>
    <row r="13" spans="1:28">
      <c r="A13" s="1"/>
      <c r="B13" s="7">
        <v>2013</v>
      </c>
      <c r="C13" s="83"/>
      <c r="D13" s="83"/>
      <c r="E13" s="83"/>
      <c r="F13" s="83"/>
      <c r="G13" s="83"/>
      <c r="H13" s="83"/>
      <c r="I13" s="83">
        <f>$I$38*Product_lifespan!B25</f>
        <v>5698885.2493286971</v>
      </c>
      <c r="J13" s="83">
        <f>$I$38*Product_lifespan!C25</f>
        <v>5388331.1775069982</v>
      </c>
      <c r="K13" s="83">
        <f>$I$38*Product_lifespan!D25</f>
        <v>4808593.5740237646</v>
      </c>
      <c r="L13" s="83">
        <f>$I$38*Product_lifespan!E25</f>
        <v>4117696.1179309897</v>
      </c>
      <c r="M13" s="83">
        <f>$I$38*Product_lifespan!F25</f>
        <v>3405301.0363671929</v>
      </c>
      <c r="N13" s="83">
        <f>$I$38*Product_lifespan!G25</f>
        <v>2730227.5488525727</v>
      </c>
      <c r="O13" s="83">
        <f>$I$38*Product_lifespan!H25</f>
        <v>2127877.9762547677</v>
      </c>
      <c r="P13" s="83">
        <f>$I$38*Product_lifespan!I25</f>
        <v>1615364.5214701174</v>
      </c>
      <c r="Q13" s="83">
        <f>$I$38*Product_lifespan!J25</f>
        <v>1196347.0341442018</v>
      </c>
      <c r="R13" s="83">
        <f>$I$38*Product_lifespan!K25</f>
        <v>865500.6068894451</v>
      </c>
      <c r="S13" s="83">
        <f>$I$38*Product_lifespan!L25</f>
        <v>612309.44765540841</v>
      </c>
      <c r="T13" s="83">
        <f>$I$38*Product_lifespan!M25</f>
        <v>424003.58641168394</v>
      </c>
      <c r="U13" s="83">
        <f>$I$38*Product_lifespan!N25</f>
        <v>287615.23192173248</v>
      </c>
      <c r="V13" s="83">
        <f>$I$38*Product_lifespan!O25</f>
        <v>191251.52502856104</v>
      </c>
      <c r="W13" s="83">
        <f>$I$38*Product_lifespan!P25</f>
        <v>124744.54023759763</v>
      </c>
      <c r="X13" s="83">
        <f>$I$38*Product_lifespan!Q25</f>
        <v>79855.856214125</v>
      </c>
      <c r="Y13" s="83">
        <f>$I$38*Product_lifespan!R25</f>
        <v>50197.507980688657</v>
      </c>
      <c r="Z13" s="83">
        <f>$I$38*Product_lifespan!S25</f>
        <v>30999.128465672504</v>
      </c>
      <c r="AA13" s="83">
        <f>$I$38*Product_lifespan!T25</f>
        <v>18814.538843306447</v>
      </c>
      <c r="AB13" s="83">
        <f>$I$38*Product_lifespan!U25</f>
        <v>11227.540311318837</v>
      </c>
    </row>
    <row r="14" spans="1:28">
      <c r="A14" s="1"/>
      <c r="B14" s="7">
        <v>2014</v>
      </c>
      <c r="C14" s="83"/>
      <c r="D14" s="83"/>
      <c r="E14" s="83"/>
      <c r="F14" s="83"/>
      <c r="G14" s="83"/>
      <c r="H14" s="83"/>
      <c r="I14" s="83"/>
      <c r="J14" s="83">
        <f>$J$38*Product_lifespan!B25</f>
        <v>5422092.6825057119</v>
      </c>
      <c r="K14" s="83">
        <f>$J$38*Product_lifespan!C25</f>
        <v>5126622.0971758636</v>
      </c>
      <c r="L14" s="83">
        <f>$J$38*Product_lifespan!D25</f>
        <v>4575042.1161628906</v>
      </c>
      <c r="M14" s="83">
        <f>$J$38*Product_lifespan!E25</f>
        <v>3917701.2719190582</v>
      </c>
      <c r="N14" s="83">
        <f>$J$38*Product_lifespan!F25</f>
        <v>3239906.9332358693</v>
      </c>
      <c r="O14" s="83">
        <f>$J$38*Product_lifespan!G25</f>
        <v>2597621.4937742134</v>
      </c>
      <c r="P14" s="83">
        <f>$J$38*Product_lifespan!H25</f>
        <v>2024527.7979013722</v>
      </c>
      <c r="Q14" s="83">
        <f>$J$38*Product_lifespan!I25</f>
        <v>1536906.9156944675</v>
      </c>
      <c r="R14" s="83">
        <f>$J$38*Product_lifespan!J25</f>
        <v>1138240.9393722732</v>
      </c>
      <c r="S14" s="83">
        <f>$J$38*Product_lifespan!K25</f>
        <v>823463.59015955031</v>
      </c>
      <c r="T14" s="83">
        <f>$J$38*Product_lifespan!L25</f>
        <v>582569.82380064332</v>
      </c>
      <c r="U14" s="83">
        <f>$J$38*Product_lifespan!M25</f>
        <v>403409.9025787157</v>
      </c>
      <c r="V14" s="83">
        <f>$J$38*Product_lifespan!N25</f>
        <v>273645.87566729967</v>
      </c>
      <c r="W14" s="83">
        <f>$J$38*Product_lifespan!O25</f>
        <v>181962.51530026348</v>
      </c>
      <c r="X14" s="83">
        <f>$J$38*Product_lifespan!P25</f>
        <v>118685.74803896807</v>
      </c>
      <c r="Y14" s="83">
        <f>$J$38*Product_lifespan!Q25</f>
        <v>75977.289362834461</v>
      </c>
      <c r="Z14" s="83">
        <f>$J$38*Product_lifespan!R25</f>
        <v>47759.435186763076</v>
      </c>
      <c r="AA14" s="83">
        <f>$J$38*Product_lifespan!S25</f>
        <v>29493.51325113565</v>
      </c>
      <c r="AB14" s="83">
        <f>$J$38*Product_lifespan!T25</f>
        <v>17900.724251120544</v>
      </c>
    </row>
    <row r="15" spans="1:28">
      <c r="A15" s="1"/>
      <c r="B15" s="7">
        <v>2015</v>
      </c>
      <c r="C15" s="83"/>
      <c r="D15" s="83"/>
      <c r="E15" s="83"/>
      <c r="F15" s="83"/>
      <c r="G15" s="83"/>
      <c r="H15" s="83"/>
      <c r="I15" s="83"/>
      <c r="J15" s="83"/>
      <c r="K15" s="83">
        <f>$K$38*Product_lifespan!B25</f>
        <v>5202098.8562116073</v>
      </c>
      <c r="L15" s="83">
        <f>$K$38*Product_lifespan!C25</f>
        <v>4918616.576584057</v>
      </c>
      <c r="M15" s="83">
        <f>$K$38*Product_lifespan!D25</f>
        <v>4389416.1817632914</v>
      </c>
      <c r="N15" s="83">
        <f>$K$38*Product_lifespan!E25</f>
        <v>3758746.022801395</v>
      </c>
      <c r="O15" s="83">
        <f>$K$38*Product_lifespan!F25</f>
        <v>3108452.2413271414</v>
      </c>
      <c r="P15" s="83">
        <f>$K$38*Product_lifespan!G25</f>
        <v>2492226.6351575386</v>
      </c>
      <c r="Q15" s="83">
        <f>$K$38*Product_lifespan!H25</f>
        <v>1942385.4143644543</v>
      </c>
      <c r="R15" s="83">
        <f>$K$38*Product_lifespan!I25</f>
        <v>1474549.0673802174</v>
      </c>
      <c r="S15" s="83">
        <f>$K$38*Product_lifespan!J25</f>
        <v>1092058.4054024955</v>
      </c>
      <c r="T15" s="83">
        <f>$K$38*Product_lifespan!K25</f>
        <v>790052.70683076116</v>
      </c>
      <c r="U15" s="83">
        <f>$K$38*Product_lifespan!L25</f>
        <v>558932.86808520567</v>
      </c>
      <c r="V15" s="83">
        <f>$K$38*Product_lifespan!M25</f>
        <v>387042.11006207974</v>
      </c>
      <c r="W15" s="83">
        <f>$K$38*Product_lifespan!N25</f>
        <v>262543.07703165745</v>
      </c>
      <c r="X15" s="83">
        <f>$K$38*Product_lifespan!O25</f>
        <v>174579.64076693749</v>
      </c>
      <c r="Y15" s="83">
        <f>$K$38*Product_lifespan!P25</f>
        <v>113870.23982718214</v>
      </c>
      <c r="Z15" s="83">
        <f>$K$38*Product_lifespan!Q25</f>
        <v>72894.617122222728</v>
      </c>
      <c r="AA15" s="83">
        <f>$K$38*Product_lifespan!R25</f>
        <v>45821.662908859886</v>
      </c>
      <c r="AB15" s="83">
        <f>$K$38*Product_lifespan!S25</f>
        <v>28296.85520581896</v>
      </c>
    </row>
    <row r="16" spans="1:28">
      <c r="A16" s="1"/>
      <c r="B16" s="7">
        <v>2016</v>
      </c>
      <c r="C16" s="83"/>
      <c r="D16" s="83"/>
      <c r="E16" s="83"/>
      <c r="F16" s="83"/>
      <c r="G16" s="83"/>
      <c r="H16" s="83"/>
      <c r="I16" s="83"/>
      <c r="J16" s="83"/>
      <c r="K16" s="83"/>
      <c r="L16" s="83">
        <f>$L$38*Product_lifespan!B25</f>
        <v>5558178.2387635969</v>
      </c>
      <c r="M16" s="83">
        <f>$L$38*Product_lifespan!C25</f>
        <v>5255291.8305555843</v>
      </c>
      <c r="N16" s="83">
        <f>$L$38*Product_lifespan!D25</f>
        <v>4689868.1045289831</v>
      </c>
      <c r="O16" s="83">
        <f>$L$38*Product_lifespan!E25</f>
        <v>4016029.0925705764</v>
      </c>
      <c r="P16" s="83">
        <f>$L$38*Product_lifespan!F25</f>
        <v>3321223.237299751</v>
      </c>
      <c r="Q16" s="83">
        <f>$L$38*Product_lifespan!G25</f>
        <v>2662817.4958765493</v>
      </c>
      <c r="R16" s="83">
        <f>$L$38*Product_lifespan!H25</f>
        <v>2075340.096338447</v>
      </c>
      <c r="S16" s="83">
        <f>$L$38*Product_lifespan!I25</f>
        <v>1575480.7366868111</v>
      </c>
      <c r="T16" s="83">
        <f>$L$38*Product_lifespan!J25</f>
        <v>1166808.9038944861</v>
      </c>
      <c r="U16" s="83">
        <f>$L$38*Product_lifespan!K25</f>
        <v>844131.16397040419</v>
      </c>
      <c r="V16" s="83">
        <f>$L$38*Product_lifespan!L25</f>
        <v>597191.36260000058</v>
      </c>
      <c r="W16" s="83">
        <f>$L$38*Product_lifespan!M25</f>
        <v>413534.82374974107</v>
      </c>
      <c r="X16" s="83">
        <f>$L$38*Product_lifespan!N25</f>
        <v>280513.9344387796</v>
      </c>
      <c r="Y16" s="83">
        <f>$L$38*Product_lifespan!O25</f>
        <v>186529.47340347257</v>
      </c>
      <c r="Z16" s="83">
        <f>$L$38*Product_lifespan!P25</f>
        <v>121664.56396623512</v>
      </c>
      <c r="AA16" s="83">
        <f>$L$38*Product_lifespan!Q25</f>
        <v>77884.193632336814</v>
      </c>
      <c r="AB16" s="83">
        <f>$L$38*Product_lifespan!R25</f>
        <v>48958.117998829926</v>
      </c>
    </row>
    <row r="17" spans="1:28">
      <c r="A17" s="86"/>
      <c r="B17" s="7">
        <v>2017</v>
      </c>
      <c r="C17" s="83"/>
      <c r="D17" s="83"/>
      <c r="E17" s="83"/>
      <c r="F17" s="83"/>
      <c r="G17" s="83"/>
      <c r="H17" s="83"/>
      <c r="I17" s="83"/>
      <c r="J17" s="83"/>
      <c r="K17" s="83"/>
      <c r="L17" s="83"/>
      <c r="M17" s="83">
        <f>$M$38*Product_lifespan!B25</f>
        <v>5063650.8115499886</v>
      </c>
      <c r="N17" s="83">
        <f>$M$38*Product_lifespan!C25</f>
        <v>4787713.0958370185</v>
      </c>
      <c r="O17" s="83">
        <f>$M$38*Product_lifespan!D25</f>
        <v>4272596.7778325947</v>
      </c>
      <c r="P17" s="83">
        <f>$M$38*Product_lifespan!E25</f>
        <v>3658711.2000076855</v>
      </c>
      <c r="Q17" s="83">
        <f>$M$38*Product_lifespan!F25</f>
        <v>3025724.260442677</v>
      </c>
      <c r="R17" s="83">
        <f>$M$38*Product_lifespan!G25</f>
        <v>2425898.8097877526</v>
      </c>
      <c r="S17" s="83">
        <f>$M$38*Product_lifespan!H25</f>
        <v>1890690.9983160354</v>
      </c>
      <c r="T17" s="83">
        <f>$M$38*Product_lifespan!I25</f>
        <v>1435305.5926252846</v>
      </c>
      <c r="U17" s="83">
        <f>$M$38*Product_lifespan!J25</f>
        <v>1062994.491958458</v>
      </c>
      <c r="V17" s="83">
        <f>$M$38*Product_lifespan!K25</f>
        <v>769026.33738571871</v>
      </c>
      <c r="W17" s="83">
        <f>$M$38*Product_lifespan!L25</f>
        <v>544057.49473640684</v>
      </c>
      <c r="X17" s="83">
        <f>$M$38*Product_lifespan!M25</f>
        <v>376741.417049332</v>
      </c>
      <c r="Y17" s="83">
        <f>$M$38*Product_lifespan!N25</f>
        <v>255555.78658232751</v>
      </c>
      <c r="Z17" s="83">
        <f>$M$38*Product_lifespan!O25</f>
        <v>169933.3988230633</v>
      </c>
      <c r="AA17" s="83">
        <f>$M$38*Product_lifespan!P25</f>
        <v>110839.71071095852</v>
      </c>
      <c r="AB17" s="83">
        <f>$M$38*Product_lifespan!Q25</f>
        <v>70954.608390001405</v>
      </c>
    </row>
    <row r="18" spans="1:28">
      <c r="A18" s="1"/>
      <c r="B18" s="7">
        <v>2018</v>
      </c>
      <c r="C18" s="83"/>
      <c r="D18" s="83"/>
      <c r="E18" s="83"/>
      <c r="F18" s="83"/>
      <c r="G18" s="83"/>
      <c r="H18" s="83"/>
      <c r="I18" s="83"/>
      <c r="J18" s="83"/>
      <c r="K18" s="83"/>
      <c r="L18" s="83"/>
      <c r="M18" s="83"/>
      <c r="N18" s="83">
        <f>$N$38*Product_lifespan!B25</f>
        <v>5653613.767775069</v>
      </c>
      <c r="O18" s="83">
        <f>$N$38*Product_lifespan!C25</f>
        <v>5345526.7122765249</v>
      </c>
      <c r="P18" s="83">
        <f>$N$38*Product_lifespan!D25</f>
        <v>4770394.49722871</v>
      </c>
      <c r="Q18" s="83">
        <f>$N$38*Product_lifespan!E25</f>
        <v>4084985.474412011</v>
      </c>
      <c r="R18" s="83">
        <f>$N$38*Product_lifespan!F25</f>
        <v>3378249.6015149807</v>
      </c>
      <c r="S18" s="83">
        <f>$N$38*Product_lifespan!G25</f>
        <v>2708538.8429552838</v>
      </c>
      <c r="T18" s="83">
        <f>$N$38*Product_lifespan!H25</f>
        <v>2110974.2864389857</v>
      </c>
      <c r="U18" s="83">
        <f>$N$38*Product_lifespan!I25</f>
        <v>1602532.1969124796</v>
      </c>
      <c r="V18" s="83">
        <f>$N$38*Product_lifespan!J25</f>
        <v>1186843.3504730177</v>
      </c>
      <c r="W18" s="83">
        <f>$N$38*Product_lifespan!K25</f>
        <v>858625.14036481816</v>
      </c>
      <c r="X18" s="83">
        <f>$N$38*Product_lifespan!L25</f>
        <v>607445.3111353917</v>
      </c>
      <c r="Y18" s="83">
        <f>$N$38*Product_lifespan!M25</f>
        <v>420635.33635906712</v>
      </c>
      <c r="Z18" s="83">
        <f>$N$38*Product_lifespan!N25</f>
        <v>285330.43987963599</v>
      </c>
      <c r="AA18" s="83">
        <f>$N$38*Product_lifespan!O25</f>
        <v>189732.23844730313</v>
      </c>
      <c r="AB18" s="83">
        <f>$N$38*Product_lifespan!P25</f>
        <v>123753.57974178006</v>
      </c>
    </row>
    <row r="19" spans="1:28">
      <c r="A19" s="1"/>
      <c r="B19" s="7">
        <v>2019</v>
      </c>
      <c r="C19" s="83"/>
      <c r="D19" s="83"/>
      <c r="E19" s="83"/>
      <c r="F19" s="83"/>
      <c r="G19" s="83"/>
      <c r="H19" s="83"/>
      <c r="I19" s="83"/>
      <c r="J19" s="83"/>
      <c r="K19" s="83"/>
      <c r="L19" s="83"/>
      <c r="M19" s="83"/>
      <c r="N19" s="83"/>
      <c r="O19" s="83">
        <f>$O$38*Product_lifespan!B25</f>
        <v>7360593.7554039191</v>
      </c>
      <c r="P19" s="83">
        <f>$O$38*Product_lifespan!C25</f>
        <v>6959486.8262838209</v>
      </c>
      <c r="Q19" s="83">
        <f>$O$38*Product_lifespan!D25</f>
        <v>6210706.5302646691</v>
      </c>
      <c r="R19" s="83">
        <f>$O$38*Product_lifespan!E25</f>
        <v>5318353.8545304155</v>
      </c>
      <c r="S19" s="83">
        <f>$O$38*Product_lifespan!F25</f>
        <v>4398235.1717833588</v>
      </c>
      <c r="T19" s="83">
        <f>$O$38*Product_lifespan!G25</f>
        <v>3526320.4938690816</v>
      </c>
      <c r="U19" s="83">
        <f>$O$38*Product_lifespan!H25</f>
        <v>2748334.9214879065</v>
      </c>
      <c r="V19" s="83">
        <f>$O$38*Product_lifespan!I25</f>
        <v>2086380.3163670613</v>
      </c>
      <c r="W19" s="83">
        <f>$O$38*Product_lifespan!J25</f>
        <v>1545183.6848013559</v>
      </c>
      <c r="X19" s="83">
        <f>$O$38*Product_lifespan!K25</f>
        <v>1117867.4571696594</v>
      </c>
      <c r="Y19" s="83">
        <f>$O$38*Product_lifespan!L25</f>
        <v>790849.59594828158</v>
      </c>
      <c r="Z19" s="83">
        <f>$O$38*Product_lifespan!M25</f>
        <v>547636.60152278678</v>
      </c>
      <c r="AA19" s="83">
        <f>$O$38*Product_lifespan!N25</f>
        <v>371479.47140917234</v>
      </c>
      <c r="AB19" s="83">
        <f>$O$38*Product_lifespan!O25</f>
        <v>247017.56909432882</v>
      </c>
    </row>
    <row r="20" spans="1:28">
      <c r="A20" s="1"/>
      <c r="B20" s="7">
        <v>2020</v>
      </c>
      <c r="C20" s="83"/>
      <c r="D20" s="83"/>
      <c r="E20" s="83"/>
      <c r="F20" s="83"/>
      <c r="G20" s="83"/>
      <c r="H20" s="83"/>
      <c r="I20" s="83"/>
      <c r="J20" s="83"/>
      <c r="K20" s="83"/>
      <c r="L20" s="83"/>
      <c r="M20" s="83"/>
      <c r="N20" s="83"/>
      <c r="O20" s="83"/>
      <c r="P20" s="83">
        <f>$P$38*Product_lifespan!B25</f>
        <v>9502970.0121552534</v>
      </c>
      <c r="Q20" s="83">
        <f>$P$38*Product_lifespan!C25</f>
        <v>8985116.8000692669</v>
      </c>
      <c r="R20" s="83">
        <f>$P$38*Product_lifespan!D25</f>
        <v>8018396.3240833916</v>
      </c>
      <c r="S20" s="83">
        <f>$P$38*Product_lifespan!E25</f>
        <v>6866315.25568543</v>
      </c>
      <c r="T20" s="83">
        <f>$P$38*Product_lifespan!F25</f>
        <v>5678386.5993389767</v>
      </c>
      <c r="U20" s="83">
        <f>$P$38*Product_lifespan!G25</f>
        <v>4552692.2175108502</v>
      </c>
      <c r="V20" s="83">
        <f>$P$38*Product_lifespan!H25</f>
        <v>3548265.9701310233</v>
      </c>
      <c r="W20" s="83">
        <f>$P$38*Product_lifespan!I25</f>
        <v>2693642.6923209755</v>
      </c>
      <c r="X20" s="83">
        <f>$P$38*Product_lifespan!J25</f>
        <v>1994925.2340082519</v>
      </c>
      <c r="Y20" s="83">
        <f>$P$38*Product_lifespan!K25</f>
        <v>1443234.2384401259</v>
      </c>
      <c r="Z20" s="83">
        <f>$P$38*Product_lifespan!L25</f>
        <v>1021034.4768591571</v>
      </c>
      <c r="AA20" s="83">
        <f>$P$38*Product_lifespan!M25</f>
        <v>707031.84753389156</v>
      </c>
      <c r="AB20" s="83">
        <f>$P$38*Product_lifespan!N25</f>
        <v>479602.37913428078</v>
      </c>
    </row>
    <row r="21" spans="1:28">
      <c r="A21" s="1"/>
      <c r="B21" s="7">
        <v>2021</v>
      </c>
      <c r="C21" s="83"/>
      <c r="D21" s="83"/>
      <c r="E21" s="83"/>
      <c r="F21" s="83"/>
      <c r="G21" s="83"/>
      <c r="H21" s="83"/>
      <c r="I21" s="83"/>
      <c r="J21" s="83"/>
      <c r="K21" s="83"/>
      <c r="L21" s="83"/>
      <c r="M21" s="83"/>
      <c r="N21" s="83"/>
      <c r="O21" s="83"/>
      <c r="P21" s="83"/>
      <c r="Q21" s="83">
        <f>$Q$38*Product_lifespan!B25</f>
        <v>9329142.6717660911</v>
      </c>
      <c r="R21" s="83">
        <f>$Q$38*Product_lifespan!C25</f>
        <v>8820761.9768461846</v>
      </c>
      <c r="S21" s="83">
        <f>$Q$38*Product_lifespan!D25</f>
        <v>7871724.6513938196</v>
      </c>
      <c r="T21" s="83">
        <f>$Q$38*Product_lifespan!E25</f>
        <v>6740717.3302323716</v>
      </c>
      <c r="U21" s="83">
        <f>$Q$38*Product_lifespan!F25</f>
        <v>5574518.1414776975</v>
      </c>
      <c r="V21" s="83">
        <f>$Q$38*Product_lifespan!G25</f>
        <v>4469414.8443561317</v>
      </c>
      <c r="W21" s="83">
        <f>$Q$38*Product_lifespan!H25</f>
        <v>3483361.4575636555</v>
      </c>
      <c r="X21" s="83">
        <f>$Q$38*Product_lifespan!I25</f>
        <v>2644370.8599816179</v>
      </c>
      <c r="Y21" s="83">
        <f>$Q$38*Product_lifespan!J25</f>
        <v>1958434.2688405912</v>
      </c>
      <c r="Z21" s="83">
        <f>$Q$38*Product_lifespan!K25</f>
        <v>1416834.7476592718</v>
      </c>
      <c r="AA21" s="83">
        <f>$Q$38*Product_lifespan!L25</f>
        <v>1002357.8202632668</v>
      </c>
      <c r="AB21" s="83">
        <f>$Q$38*Product_lifespan!M25</f>
        <v>694098.89441817638</v>
      </c>
    </row>
    <row r="22" spans="1:28">
      <c r="A22" s="1"/>
      <c r="B22" s="7">
        <v>2022</v>
      </c>
      <c r="C22" s="83"/>
      <c r="D22" s="83"/>
      <c r="E22" s="83"/>
      <c r="F22" s="83"/>
      <c r="G22" s="83"/>
      <c r="H22" s="83"/>
      <c r="I22" s="83"/>
      <c r="J22" s="83"/>
      <c r="K22" s="83"/>
      <c r="L22" s="83"/>
      <c r="M22" s="83"/>
      <c r="N22" s="83"/>
      <c r="O22" s="83"/>
      <c r="P22" s="83"/>
      <c r="Q22" s="83"/>
      <c r="R22" s="83">
        <f>$R$38*Product_lifespan!B25</f>
        <v>8604874.5069373045</v>
      </c>
      <c r="S22" s="83">
        <f>$R$38*Product_lifespan!C25</f>
        <v>8135961.956722524</v>
      </c>
      <c r="T22" s="83">
        <f>$R$38*Product_lifespan!D25</f>
        <v>7260603.1616821373</v>
      </c>
      <c r="U22" s="83">
        <f>$R$38*Product_lifespan!E25</f>
        <v>6217401.6149338745</v>
      </c>
      <c r="V22" s="83">
        <f>$R$38*Product_lifespan!F25</f>
        <v>5141740.3218874959</v>
      </c>
      <c r="W22" s="83">
        <f>$R$38*Product_lifespan!G25</f>
        <v>4122431.7397910105</v>
      </c>
      <c r="X22" s="83">
        <f>$R$38*Product_lifespan!H25</f>
        <v>3212930.6260210881</v>
      </c>
      <c r="Y22" s="83">
        <f>$R$38*Product_lifespan!I25</f>
        <v>2439075.0790861333</v>
      </c>
      <c r="Z22" s="83">
        <f>$R$38*Product_lifespan!J25</f>
        <v>1806391.1879555972</v>
      </c>
      <c r="AA22" s="83">
        <f>$R$38*Product_lifespan!K25</f>
        <v>1306838.7556740218</v>
      </c>
      <c r="AB22" s="83">
        <f>$R$38*Product_lifespan!L25</f>
        <v>924539.75224497321</v>
      </c>
    </row>
    <row r="23" spans="1:28">
      <c r="A23" s="1"/>
      <c r="B23" s="7">
        <v>2023</v>
      </c>
      <c r="C23" s="83"/>
      <c r="D23" s="83"/>
      <c r="E23" s="83"/>
      <c r="F23" s="83"/>
      <c r="G23" s="83"/>
      <c r="H23" s="83"/>
      <c r="I23" s="83"/>
      <c r="J23" s="83"/>
      <c r="K23" s="83"/>
      <c r="L23" s="83"/>
      <c r="M23" s="83"/>
      <c r="N23" s="83"/>
      <c r="O23" s="83"/>
      <c r="P23" s="83"/>
      <c r="Q23" s="83"/>
      <c r="R23" s="83"/>
      <c r="S23" s="83">
        <f>$S$38*Product_lifespan!B32</f>
        <v>8604874.5069373045</v>
      </c>
      <c r="T23" s="83">
        <f>$S$38*Product_lifespan!C32</f>
        <v>8252133.9240008779</v>
      </c>
      <c r="U23" s="83">
        <f>$S$38*Product_lifespan!D32</f>
        <v>7579460.9632884553</v>
      </c>
      <c r="V23" s="83">
        <f>$S$38*Product_lifespan!E32</f>
        <v>6750233.6477852548</v>
      </c>
      <c r="W23" s="83">
        <f>$S$38*Product_lifespan!F32</f>
        <v>5857249.426257805</v>
      </c>
      <c r="X23" s="83">
        <f>$S$38*Product_lifespan!G32</f>
        <v>4966104.3134440314</v>
      </c>
      <c r="Y23" s="83">
        <f>$S$38*Product_lifespan!H32</f>
        <v>4122431.7397910054</v>
      </c>
      <c r="Z23" s="83">
        <f>$S$38*Product_lifespan!I32</f>
        <v>3355502.3569504297</v>
      </c>
      <c r="AA23" s="83">
        <f>$S$38*Product_lifespan!J32</f>
        <v>2681273.6661261236</v>
      </c>
      <c r="AB23" s="83">
        <f>$S$38*Product_lifespan!K32</f>
        <v>2105344.2764244638</v>
      </c>
    </row>
    <row r="24" spans="1:28">
      <c r="A24" s="1"/>
      <c r="B24" s="7">
        <v>2024</v>
      </c>
      <c r="C24" s="83"/>
      <c r="D24" s="83"/>
      <c r="E24" s="83"/>
      <c r="F24" s="83"/>
      <c r="G24" s="83"/>
      <c r="H24" s="83"/>
      <c r="I24" s="83"/>
      <c r="J24" s="83"/>
      <c r="K24" s="83"/>
      <c r="L24" s="83"/>
      <c r="M24" s="83"/>
      <c r="N24" s="83"/>
      <c r="O24" s="83"/>
      <c r="P24" s="83"/>
      <c r="Q24" s="83"/>
      <c r="R24" s="83"/>
      <c r="S24" s="83"/>
      <c r="T24" s="83">
        <f>$T$38*Product_lifespan!B32</f>
        <v>8488702.5069373045</v>
      </c>
      <c r="U24" s="83">
        <f>$T$38*Product_lifespan!C32</f>
        <v>8140724.1757882638</v>
      </c>
      <c r="V24" s="83">
        <f>$T$38*Product_lifespan!D32</f>
        <v>7477132.7842641976</v>
      </c>
      <c r="W24" s="83">
        <f>$T$38*Product_lifespan!E32</f>
        <v>6659100.6344335442</v>
      </c>
      <c r="X24" s="83">
        <f>$T$38*Product_lifespan!F32</f>
        <v>5778172.3427049136</v>
      </c>
      <c r="Y24" s="83">
        <f>$T$38*Product_lifespan!G32</f>
        <v>4899058.3303984562</v>
      </c>
      <c r="Z24" s="83">
        <f>$T$38*Product_lifespan!H32</f>
        <v>4066775.9438013141</v>
      </c>
      <c r="AA24" s="83">
        <f>$T$38*Product_lifespan!I32</f>
        <v>3310200.6596976258</v>
      </c>
      <c r="AB24" s="83">
        <f>$T$38*Product_lifespan!J32</f>
        <v>2645074.5415380686</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$U$38*Product_lifespan!B32</f>
        <v>8286016.5069373045</v>
      </c>
      <c r="V25" s="83">
        <f>$U$38*Product_lifespan!C32</f>
        <v>7946346.9056524141</v>
      </c>
      <c r="W25" s="83">
        <f>$U$38*Product_lifespan!D32</f>
        <v>7298600.1835195217</v>
      </c>
      <c r="X25" s="83">
        <f>$U$38*Product_lifespan!E32</f>
        <v>6500100.3078126311</v>
      </c>
      <c r="Y25" s="83">
        <f>$U$38*Product_lifespan!F32</f>
        <v>5640206.0706513962</v>
      </c>
      <c r="Z25" s="83">
        <f>$U$38*Product_lifespan!G32</f>
        <v>4782082.7930953586</v>
      </c>
      <c r="AA25" s="83">
        <f>$U$38*Product_lifespan!H32</f>
        <v>3969672.9356240714</v>
      </c>
      <c r="AB25" s="83">
        <f>$U$38*Product_lifespan!I32</f>
        <v>3231162.5110096303</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$V$38*Product_lifespan!B32</f>
        <v>8072042.5069373045</v>
      </c>
      <c r="W26" s="83">
        <f>$V$38*Product_lifespan!C32</f>
        <v>7741144.3657628885</v>
      </c>
      <c r="X26" s="83">
        <f>$V$38*Product_lifespan!D32</f>
        <v>7110124.735231325</v>
      </c>
      <c r="Y26" s="83">
        <f>$V$38*Product_lifespan!E32</f>
        <v>6332244.9261464905</v>
      </c>
      <c r="Z26" s="83">
        <f>$V$38*Product_lifespan!F32</f>
        <v>5494556.173291049</v>
      </c>
      <c r="AA26" s="83">
        <f>$V$38*Product_lifespan!G32</f>
        <v>4658592.6476541683</v>
      </c>
      <c r="AB26" s="83">
        <f>$V$38*Product_lifespan!H32</f>
        <v>3867162.0613075555</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$W$38*Product_lifespan!B32</f>
        <v>7889365.5069373045</v>
      </c>
      <c r="X27" s="83">
        <f>$W$38*Product_lifespan!C32</f>
        <v>7565955.8644524533</v>
      </c>
      <c r="Y27" s="83">
        <f>$W$38*Product_lifespan!D32</f>
        <v>6949216.7302076165</v>
      </c>
      <c r="Z27" s="83">
        <f>$W$38*Product_lifespan!E32</f>
        <v>6188940.984748818</v>
      </c>
      <c r="AA27" s="83">
        <f>$W$38*Product_lifespan!F32</f>
        <v>5370209.821397379</v>
      </c>
      <c r="AB27" s="83">
        <f>$W$38*Product_lifespan!G32</f>
        <v>4553164.8419452496</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$X$38*Product_lifespan!B32</f>
        <v>7761201.5069373045</v>
      </c>
      <c r="Y28" s="83">
        <f>$X$38*Product_lifespan!C32</f>
        <v>7443045.7056368915</v>
      </c>
      <c r="Z28" s="83">
        <f>$X$38*Product_lifespan!D32</f>
        <v>6836325.5969184861</v>
      </c>
      <c r="AA28" s="83">
        <f>$X$38*Product_lifespan!E32</f>
        <v>6088400.6521109315</v>
      </c>
      <c r="AB28" s="83">
        <f>$X$38*Product_lifespan!F32</f>
        <v>5282969.9069905281</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$Y$38*Product_lifespan!B32</f>
        <v>7695373.5069373045</v>
      </c>
      <c r="Z29" s="83">
        <f>$Y$38*Product_lifespan!C32</f>
        <v>7379916.2002023635</v>
      </c>
      <c r="AA29" s="83">
        <f>$Y$38*Product_lifespan!D32</f>
        <v>6778342.0951382909</v>
      </c>
      <c r="AB29" s="83">
        <f>$Y$38*Product_lifespan!E32</f>
        <v>6036760.8077171324</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$Z$38*Product_lifespan!B32</f>
        <v>7688447.5069373045</v>
      </c>
      <c r="AA30" s="83">
        <f>$Z$38*Product_lifespan!C32</f>
        <v>7373274.1184948906</v>
      </c>
      <c r="AB30" s="83">
        <f>$Z$38*Product_lifespan!D32</f>
        <v>6772241.4429336116</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$AA$38*Product_lifespan!B32</f>
        <v>7729992.5069373045</v>
      </c>
      <c r="AB31" s="83">
        <f>$AA$38*Product_lifespan!C32</f>
        <v>7413116.0596639588</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AB38*Product_lifespan!B25</f>
        <v>7806368.5069373045</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(VLOOKUP(C2,Inflows!$E$90:$H$103,4,FALSE ))</f>
        <v>#N/A</v>
      </c>
      <c r="D35" s="167">
        <f>(VLOOKUP(D2,Inflows!$E$90:$H$103,4,FALSE ))</f>
        <v>77801.618181818179</v>
      </c>
      <c r="E35" s="167">
        <f>(VLOOKUP(E2,Inflows!$E$90:$H$103,4,FALSE ))</f>
        <v>70292.440909090918</v>
      </c>
      <c r="F35" s="167">
        <f>(VLOOKUP(F2,Inflows!$E$90:$H$103,4,FALSE ))</f>
        <v>72500.7</v>
      </c>
      <c r="G35" s="167">
        <f>(VLOOKUP(G2,Inflows!$E$90:$H$103,4,FALSE ))</f>
        <v>58814.799999999996</v>
      </c>
      <c r="H35" s="167">
        <f>(VLOOKUP(H2,Inflows!$E$90:$H$103,4,FALSE ))</f>
        <v>56546.644508670513</v>
      </c>
      <c r="I35" s="167">
        <f>(VLOOKUP(I2,Inflows!$E$90:$H$103,4,FALSE ))</f>
        <v>46933.800898203597</v>
      </c>
      <c r="J35" s="167">
        <f>(VLOOKUP(J2,Inflows!$E$90:$H$103,4,FALSE ))</f>
        <v>40588.044116919729</v>
      </c>
      <c r="K35" s="167">
        <f>(VLOOKUP(K2,Inflows!$E$90:$H$103,4,FALSE ))</f>
        <v>45336.174346537315</v>
      </c>
      <c r="L35" s="167">
        <f>(VLOOKUP(L2,Inflows!$E$90:$H$103,4,FALSE ))</f>
        <v>48264.807958999096</v>
      </c>
      <c r="M35" s="167">
        <f>(VLOOKUP(M2,Inflows!$E$90:$H$103,4,FALSE ))</f>
        <v>67302.699047033515</v>
      </c>
      <c r="N35" s="167">
        <f>(VLOOKUP(N2,Inflows!$E$90:$H$103,4,FALSE ))</f>
        <v>78858.797504798466</v>
      </c>
      <c r="O35" s="167">
        <f>(VLOOKUP(O2,Inflows!$E$90:$H$103,4,FALSE ))</f>
        <v>87648.981132075467</v>
      </c>
      <c r="P35" s="167">
        <f>(VLOOKUP(P2,Inflows!$E$90:$H$103,4,FALSE ))</f>
        <v>151895.44689119174</v>
      </c>
      <c r="Q35" s="167">
        <f>(VLOOKUP(Q2,Inflows!$E$90:$H$103,4,FALSE ))</f>
        <v>139420.15677286271</v>
      </c>
      <c r="R35" s="387">
        <v>139420.15677286271</v>
      </c>
      <c r="S35" s="167" t="e">
        <f>(VLOOKUP(S2,Inflows!$E$90:$H$103,4,FALSE ))</f>
        <v>#N/A</v>
      </c>
      <c r="T35" s="167" t="e">
        <f>(VLOOKUP(T2,Inflows!$E$90:$H$103,4,FALSE ))</f>
        <v>#N/A</v>
      </c>
      <c r="U35" s="167" t="e">
        <f>(VLOOKUP(U2,Inflows!$E$90:$H$103,4,FALSE ))</f>
        <v>#N/A</v>
      </c>
      <c r="V35" s="167" t="e">
        <f>(VLOOKUP(V2,Inflows!$E$90:$H$103,4,FALSE ))</f>
        <v>#N/A</v>
      </c>
      <c r="W35" s="167" t="e">
        <f>(VLOOKUP(W2,Inflows!$E$90:$H$103,4,FALSE ))</f>
        <v>#N/A</v>
      </c>
      <c r="X35" s="167" t="e">
        <f>(VLOOKUP(X2,Inflows!$E$90:$H$103,4,FALSE ))</f>
        <v>#N/A</v>
      </c>
      <c r="Y35" s="167" t="e">
        <f>(VLOOKUP(Y2,Inflows!$E$90:$H$103,4,FALSE ))</f>
        <v>#N/A</v>
      </c>
      <c r="Z35" s="167" t="e">
        <f>(VLOOKUP(Z2,Inflows!$E$90:$H$103,4,FALSE ))</f>
        <v>#N/A</v>
      </c>
      <c r="AA35" s="167" t="e">
        <f>(VLOOKUP(AA2,Inflows!$E$90:$H$103,4,FALSE ))</f>
        <v>#N/A</v>
      </c>
      <c r="AB35" s="167" t="e">
        <f>(VLOOKUP(AB2,Inflows!$E$90:$H$103,4,FALSE ))</f>
        <v>#N/A</v>
      </c>
    </row>
    <row r="36" spans="1:32" ht="19">
      <c r="B36" s="166" t="s">
        <v>214</v>
      </c>
      <c r="C36" s="167">
        <f>(VLOOKUP(C2,Inflows!$E$104:$H$127,4,FALSE ))</f>
        <v>7096698</v>
      </c>
      <c r="D36" s="167">
        <f>(VLOOKUP(D2,Inflows!$E$104:$H$127,4,FALSE ))</f>
        <v>10746372</v>
      </c>
      <c r="E36" s="167">
        <f>(VLOOKUP(E2,Inflows!$E$104:$H$127,4,FALSE ))</f>
        <v>10327917</v>
      </c>
      <c r="F36" s="167">
        <f>(VLOOKUP(F2,Inflows!$E$104:$H$127,4,FALSE ))</f>
        <v>6552411.7957559684</v>
      </c>
      <c r="G36" s="167">
        <f>(VLOOKUP(G2,Inflows!$E$104:$H$127,4,FALSE ))</f>
        <v>6018292.75</v>
      </c>
      <c r="H36" s="167">
        <f>(VLOOKUP(H2,Inflows!$E$104:$H$127,4,FALSE ))</f>
        <v>7290569.8724696357</v>
      </c>
      <c r="I36" s="167">
        <f>(VLOOKUP(I2,Inflows!$E$104:$H$127,4,FALSE ))</f>
        <v>6770359.6143497759</v>
      </c>
      <c r="J36" s="167">
        <f>(VLOOKUP(J2,Inflows!$E$104:$H$127,4,FALSE ))</f>
        <v>6331163.0708061606</v>
      </c>
      <c r="K36" s="167">
        <f>(VLOOKUP(K2,Inflows!$E$104:$H$127,4,FALSE ))</f>
        <v>6183549.3604291305</v>
      </c>
      <c r="L36" s="167">
        <f>(VLOOKUP(L2,Inflows!$E$104:$H$127,4,FALSE ))</f>
        <v>6661428.4800000004</v>
      </c>
      <c r="M36" s="167">
        <f>(VLOOKUP(M2,Inflows!$E$104:$H$127,4,FALSE ))</f>
        <v>6596494.8125738604</v>
      </c>
      <c r="N36" s="167">
        <f>(VLOOKUP(N2,Inflows!$E$104:$H$127,4,FALSE ))</f>
        <v>6989015.237837838</v>
      </c>
      <c r="O36" s="167">
        <f>(VLOOKUP(O2,Inflows!$E$104:$H$127,4,FALSE ))</f>
        <v>8746427.764563106</v>
      </c>
      <c r="P36" s="167">
        <f>(VLOOKUP(P2,Inflows!$E$104:$H$127,4,FALSE ))</f>
        <v>11045676.218334049</v>
      </c>
      <c r="Q36" s="167">
        <f>(VLOOKUP(Q2,Inflows!$E$104:$H$127,4,FALSE ))</f>
        <v>11431861.420003869</v>
      </c>
      <c r="R36" s="167">
        <f>(VLOOKUP(R2,Inflows!$E$104:$H$127,4,FALSE ))</f>
        <v>10697092.098278197</v>
      </c>
      <c r="S36" s="167">
        <f>(VLOOKUP(S2,Inflows!$E$104:$H$127,4,FALSE ))</f>
        <v>969150.55702917767</v>
      </c>
      <c r="T36" s="167" t="e">
        <f>(VLOOKUP(T2,Inflows!$E$104:$H$127,4,FALSE ))</f>
        <v>#N/A</v>
      </c>
      <c r="U36" s="167" t="e">
        <f>(VLOOKUP(U2,Inflows!$E$104:$H$127,4,FALSE ))</f>
        <v>#N/A</v>
      </c>
      <c r="V36" s="167" t="e">
        <f>(VLOOKUP(V2,Inflows!$E$104:$H$127,4,FALSE ))</f>
        <v>#N/A</v>
      </c>
      <c r="W36" s="167" t="e">
        <f>(VLOOKUP(W2,Inflows!$E$104:$H$127,4,FALSE ))</f>
        <v>#N/A</v>
      </c>
      <c r="X36" s="167" t="e">
        <f>(VLOOKUP(X2,Inflows!$E$104:$H$127,4,FALSE ))</f>
        <v>#N/A</v>
      </c>
      <c r="Y36" s="167" t="e">
        <f>(VLOOKUP(Y2,Inflows!$E$104:$H$127,4,FALSE ))</f>
        <v>#N/A</v>
      </c>
      <c r="Z36" s="167" t="e">
        <f>(VLOOKUP(Z2,Inflows!$E$104:$H$127,4,FALSE ))</f>
        <v>#N/A</v>
      </c>
      <c r="AA36" s="167" t="e">
        <f>(VLOOKUP(AA2,Inflows!$E$104:$H$127,4,FALSE ))</f>
        <v>#N/A</v>
      </c>
      <c r="AB36" s="167" t="e">
        <f>(VLOOKUP(AB2,Inflows!$E$104:$H$127,4,FALSE ))</f>
        <v>#N/A</v>
      </c>
    </row>
    <row r="37" spans="1:32" ht="19">
      <c r="B37" s="166" t="s">
        <v>7856</v>
      </c>
      <c r="C37" s="7">
        <f>(VLOOKUP(C2,Inflows!$E$128:$H$151,4,FALSE ))</f>
        <v>800458.24137931038</v>
      </c>
      <c r="D37" s="7">
        <f>(VLOOKUP(D2,Inflows!$E$128:$H$151,4,FALSE ))</f>
        <v>1035854.299734748</v>
      </c>
      <c r="E37" s="7">
        <f>(VLOOKUP(E2,Inflows!$E$128:$H$151,4,FALSE ))</f>
        <v>1039317.1511936339</v>
      </c>
      <c r="F37" s="7">
        <f>(VLOOKUP(F2,Inflows!$E$128:$H$151,4,FALSE ))</f>
        <v>1384342.448275862</v>
      </c>
      <c r="G37" s="7">
        <f>(VLOOKUP(G2,Inflows!$E$128:$H$151,4,FALSE ))</f>
        <v>1156406.5</v>
      </c>
      <c r="H37" s="7">
        <f>(VLOOKUP(H2,Inflows!$E$128:$H$151,4,FALSE ))</f>
        <v>1472307.5040485831</v>
      </c>
      <c r="I37" s="7">
        <f>(VLOOKUP(I2,Inflows!$E$128:$H$151,4,FALSE ))</f>
        <v>1118408.1659192825</v>
      </c>
      <c r="J37" s="7">
        <f>(VLOOKUP(J2,Inflows!$E$128:$H$151,4,FALSE ))</f>
        <v>949658.43241736805</v>
      </c>
      <c r="K37" s="7">
        <f>(VLOOKUP(K2,Inflows!$E$128:$H$151,4,FALSE ))</f>
        <v>1026786.6785640601</v>
      </c>
      <c r="L37" s="7">
        <f>(VLOOKUP(L2,Inflows!$E$128:$H$151,4,FALSE ))</f>
        <v>1151515.0491954025</v>
      </c>
      <c r="M37" s="7">
        <f>(VLOOKUP(M2,Inflows!$E$128:$H$151,4,FALSE ))</f>
        <v>1600146.7000709055</v>
      </c>
      <c r="N37" s="7">
        <f>(VLOOKUP(N2,Inflows!$E$128:$H$151,4,FALSE ))</f>
        <v>1414260.2675675675</v>
      </c>
      <c r="O37" s="7">
        <f>(VLOOKUP(O2,Inflows!$E$128:$H$151,4,FALSE ))</f>
        <v>1473482.990291262</v>
      </c>
      <c r="P37" s="7">
        <f>(VLOOKUP(P2,Inflows!$E$128:$H$151,4,FALSE ))</f>
        <v>1694601.6530699872</v>
      </c>
      <c r="Q37" s="7">
        <f>(VLOOKUP(Q2,Inflows!$E$128:$H$151,4,FALSE ))</f>
        <v>2242138.9050106402</v>
      </c>
      <c r="R37" s="7">
        <f>(VLOOKUP(R2,Inflows!$E$128:$H$151,4,FALSE ))</f>
        <v>2231637.7481137551</v>
      </c>
      <c r="S37" s="7">
        <f>(VLOOKUP(S2,Inflows!$E$128:$H$151,4,FALSE ))</f>
        <v>106621.28225962468</v>
      </c>
      <c r="T37" s="7" t="e">
        <f>(VLOOKUP(T2,Inflows!$E$128:$H$151,4,FALSE ))</f>
        <v>#N/A</v>
      </c>
      <c r="U37" s="7" t="e">
        <f>(VLOOKUP(U2,Inflows!$E$128:$H$151,4,FALSE ))</f>
        <v>#N/A</v>
      </c>
      <c r="V37" s="7" t="e">
        <f>(VLOOKUP(V2,Inflows!$E$128:$H$151,4,FALSE ))</f>
        <v>#N/A</v>
      </c>
      <c r="W37" s="7" t="e">
        <f>(VLOOKUP(W2,Inflows!$E$128:$H$151,4,FALSE ))</f>
        <v>#N/A</v>
      </c>
      <c r="X37" s="7" t="e">
        <f>(VLOOKUP(X2,Inflows!$E$128:$H$151,4,FALSE ))</f>
        <v>#N/A</v>
      </c>
      <c r="Y37" s="7" t="e">
        <f>(VLOOKUP(Y2,Inflows!$E$128:$H$151,4,FALSE ))</f>
        <v>#N/A</v>
      </c>
      <c r="Z37" s="7" t="e">
        <f>(VLOOKUP(Z2,Inflows!$E$128:$H$151,4,FALSE ))</f>
        <v>#N/A</v>
      </c>
      <c r="AA37" s="7" t="e">
        <f>(VLOOKUP(AA2,Inflows!$E$128:$H$151,4,FALSE ))</f>
        <v>#N/A</v>
      </c>
      <c r="AB37" s="7" t="e">
        <f>(VLOOKUP(AB2,Inflows!$E$128:$H$151,4,FALSE ))</f>
        <v>#N/A</v>
      </c>
    </row>
    <row r="38" spans="1:32">
      <c r="A38" s="1"/>
      <c r="B38" s="7" t="s">
        <v>7877</v>
      </c>
      <c r="C38" s="374">
        <f>C36-C37</f>
        <v>6296239.7586206896</v>
      </c>
      <c r="D38" s="374">
        <f>D35+D36-D37</f>
        <v>9788319.3184470721</v>
      </c>
      <c r="E38" s="374">
        <f t="shared" ref="E38:R38" si="1">E35+E36-E37</f>
        <v>9358892.2897154577</v>
      </c>
      <c r="F38" s="374">
        <f t="shared" si="1"/>
        <v>5240570.0474801064</v>
      </c>
      <c r="G38" s="374">
        <f t="shared" si="1"/>
        <v>4920701.05</v>
      </c>
      <c r="H38" s="374">
        <f t="shared" si="1"/>
        <v>5874809.0129297227</v>
      </c>
      <c r="I38" s="374">
        <f t="shared" si="1"/>
        <v>5698885.2493286971</v>
      </c>
      <c r="J38" s="374">
        <f t="shared" si="1"/>
        <v>5422092.6825057119</v>
      </c>
      <c r="K38" s="374">
        <f t="shared" si="1"/>
        <v>5202098.8562116073</v>
      </c>
      <c r="L38" s="374">
        <f t="shared" si="1"/>
        <v>5558178.2387635969</v>
      </c>
      <c r="M38" s="374">
        <f t="shared" si="1"/>
        <v>5063650.8115499886</v>
      </c>
      <c r="N38" s="374">
        <f t="shared" si="1"/>
        <v>5653613.767775069</v>
      </c>
      <c r="O38" s="374">
        <f t="shared" si="1"/>
        <v>7360593.7554039191</v>
      </c>
      <c r="P38" s="374">
        <f t="shared" si="1"/>
        <v>9502970.0121552534</v>
      </c>
      <c r="Q38" s="374">
        <f t="shared" si="1"/>
        <v>9329142.6717660911</v>
      </c>
      <c r="R38" s="374">
        <f t="shared" si="1"/>
        <v>8604874.5069373045</v>
      </c>
      <c r="S38" s="379">
        <f>$R$38-S187</f>
        <v>8604874.5069373045</v>
      </c>
      <c r="T38" s="379">
        <f t="shared" ref="T38:AB38" si="2">$R$38-T187</f>
        <v>8488702.5069373045</v>
      </c>
      <c r="U38" s="379">
        <f t="shared" si="2"/>
        <v>8286016.5069373045</v>
      </c>
      <c r="V38" s="379">
        <f t="shared" si="2"/>
        <v>8072042.5069373045</v>
      </c>
      <c r="W38" s="379">
        <f t="shared" si="2"/>
        <v>7889365.5069373045</v>
      </c>
      <c r="X38" s="379">
        <f t="shared" si="2"/>
        <v>7761201.5069373045</v>
      </c>
      <c r="Y38" s="379">
        <f t="shared" si="2"/>
        <v>7695373.5069373045</v>
      </c>
      <c r="Z38" s="379">
        <f t="shared" si="2"/>
        <v>7688447.5069373045</v>
      </c>
      <c r="AA38" s="379">
        <f t="shared" si="2"/>
        <v>7729992.5069373045</v>
      </c>
      <c r="AB38" s="379">
        <f t="shared" si="2"/>
        <v>7806368.5069373045</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7762</v>
      </c>
      <c r="B41" s="7">
        <v>2007</v>
      </c>
      <c r="C41" s="50"/>
      <c r="D41" s="50">
        <f t="shared" ref="D41:AB41" si="3">C7-D7</f>
        <v>343106.205627786</v>
      </c>
      <c r="E41" s="50">
        <f t="shared" si="3"/>
        <v>640505.43025911693</v>
      </c>
      <c r="F41" s="50">
        <f t="shared" si="3"/>
        <v>763317.00707495958</v>
      </c>
      <c r="G41" s="50">
        <f t="shared" si="3"/>
        <v>787068.00367952185</v>
      </c>
      <c r="H41" s="50">
        <f t="shared" si="3"/>
        <v>745834.37744793296</v>
      </c>
      <c r="I41" s="50">
        <f t="shared" si="3"/>
        <v>665487.57549122814</v>
      </c>
      <c r="J41" s="50">
        <f t="shared" si="3"/>
        <v>566234.87746542692</v>
      </c>
      <c r="K41" s="50">
        <f t="shared" si="3"/>
        <v>462938.70605124813</v>
      </c>
      <c r="L41" s="50">
        <f t="shared" si="3"/>
        <v>365525.5963478795</v>
      </c>
      <c r="M41" s="50">
        <f t="shared" si="3"/>
        <v>279730.53914156067</v>
      </c>
      <c r="N41" s="50">
        <f t="shared" si="3"/>
        <v>208043.99430286989</v>
      </c>
      <c r="O41" s="50">
        <f t="shared" si="3"/>
        <v>150684.51856503694</v>
      </c>
      <c r="P41" s="50">
        <f t="shared" si="3"/>
        <v>106464.50596637762</v>
      </c>
      <c r="Q41" s="50">
        <f t="shared" si="3"/>
        <v>73478.216097818688</v>
      </c>
      <c r="R41" s="50">
        <f t="shared" si="3"/>
        <v>49593.89506817011</v>
      </c>
      <c r="S41" s="50">
        <f t="shared" si="3"/>
        <v>32767.122542847523</v>
      </c>
      <c r="T41" s="50">
        <f t="shared" si="3"/>
        <v>21210.744753594132</v>
      </c>
      <c r="U41" s="50">
        <f t="shared" si="3"/>
        <v>13461.772656653367</v>
      </c>
      <c r="V41" s="50">
        <f t="shared" si="3"/>
        <v>8382.2642000598662</v>
      </c>
      <c r="W41" s="50">
        <f t="shared" si="3"/>
        <v>5123.735207703955</v>
      </c>
      <c r="X41" s="50">
        <f t="shared" si="3"/>
        <v>3076.141218303791</v>
      </c>
      <c r="Y41" s="50">
        <f t="shared" si="3"/>
        <v>1814.7912709244388</v>
      </c>
      <c r="Z41" s="50">
        <f t="shared" si="3"/>
        <v>1052.5341712858867</v>
      </c>
      <c r="AA41" s="50">
        <f t="shared" si="3"/>
        <v>600.35401798441796</v>
      </c>
      <c r="AB41" s="50">
        <f t="shared" si="3"/>
        <v>336.89867856847286</v>
      </c>
    </row>
    <row r="42" spans="1:32">
      <c r="B42" s="7">
        <v>2008</v>
      </c>
      <c r="C42" s="8"/>
      <c r="D42" s="50"/>
      <c r="E42" s="50">
        <f t="shared" ref="E42:AB42" si="4">D8-E8</f>
        <v>533402.98806557059</v>
      </c>
      <c r="F42" s="50">
        <f t="shared" si="4"/>
        <v>995748.56055815425</v>
      </c>
      <c r="G42" s="50">
        <f t="shared" si="4"/>
        <v>1186675.0462005641</v>
      </c>
      <c r="H42" s="50">
        <f t="shared" si="4"/>
        <v>1223599.0433495743</v>
      </c>
      <c r="I42" s="50">
        <f t="shared" si="4"/>
        <v>1159496.0365255931</v>
      </c>
      <c r="J42" s="50">
        <f t="shared" si="4"/>
        <v>1034586.5375359072</v>
      </c>
      <c r="K42" s="50">
        <f t="shared" si="4"/>
        <v>880285.37704344559</v>
      </c>
      <c r="L42" s="50">
        <f t="shared" si="4"/>
        <v>719698.11402020208</v>
      </c>
      <c r="M42" s="50">
        <f t="shared" si="4"/>
        <v>568256.83158270293</v>
      </c>
      <c r="N42" s="50">
        <f t="shared" si="4"/>
        <v>434877.31490688724</v>
      </c>
      <c r="O42" s="50">
        <f t="shared" si="4"/>
        <v>323431.30607970781</v>
      </c>
      <c r="P42" s="50">
        <f t="shared" si="4"/>
        <v>234258.57982005482</v>
      </c>
      <c r="Q42" s="50">
        <f t="shared" si="4"/>
        <v>165512.8490068668</v>
      </c>
      <c r="R42" s="50">
        <f t="shared" si="4"/>
        <v>114231.39360767734</v>
      </c>
      <c r="S42" s="50">
        <f t="shared" si="4"/>
        <v>77100.126390223624</v>
      </c>
      <c r="T42" s="50">
        <f t="shared" si="4"/>
        <v>50940.731435287656</v>
      </c>
      <c r="U42" s="50">
        <f t="shared" si="4"/>
        <v>32974.846986407952</v>
      </c>
      <c r="V42" s="50">
        <f t="shared" si="4"/>
        <v>20928.067292108481</v>
      </c>
      <c r="W42" s="50">
        <f t="shared" si="4"/>
        <v>13031.314204551119</v>
      </c>
      <c r="X42" s="50">
        <f t="shared" si="4"/>
        <v>7965.5092942589818</v>
      </c>
      <c r="Y42" s="50">
        <f t="shared" si="4"/>
        <v>4782.2595180191374</v>
      </c>
      <c r="Z42" s="50">
        <f t="shared" si="4"/>
        <v>2821.327830125435</v>
      </c>
      <c r="AA42" s="50">
        <f t="shared" si="4"/>
        <v>1636.3005471666297</v>
      </c>
      <c r="AB42" s="50">
        <f t="shared" si="4"/>
        <v>933.32799534805986</v>
      </c>
    </row>
    <row r="43" spans="1:32">
      <c r="B43" s="7">
        <v>2009</v>
      </c>
      <c r="C43" s="8"/>
      <c r="D43" s="8"/>
      <c r="E43" s="50"/>
      <c r="F43" s="50">
        <f t="shared" ref="F43:AB43" si="5">E9-F9</f>
        <v>510001.86547960527</v>
      </c>
      <c r="G43" s="50">
        <f t="shared" si="5"/>
        <v>952063.70192073472</v>
      </c>
      <c r="H43" s="50">
        <f t="shared" si="5"/>
        <v>1134613.9800888896</v>
      </c>
      <c r="I43" s="50">
        <f t="shared" si="5"/>
        <v>1169918.0707076006</v>
      </c>
      <c r="J43" s="50">
        <f t="shared" si="5"/>
        <v>1108627.3509430857</v>
      </c>
      <c r="K43" s="50">
        <f t="shared" si="5"/>
        <v>989197.80344112916</v>
      </c>
      <c r="L43" s="50">
        <f t="shared" si="5"/>
        <v>841666.04704393912</v>
      </c>
      <c r="M43" s="50">
        <f t="shared" si="5"/>
        <v>688123.96807821258</v>
      </c>
      <c r="N43" s="50">
        <f t="shared" si="5"/>
        <v>543326.62295300374</v>
      </c>
      <c r="O43" s="50">
        <f t="shared" si="5"/>
        <v>415798.6490882003</v>
      </c>
      <c r="P43" s="50">
        <f t="shared" si="5"/>
        <v>309241.92992124509</v>
      </c>
      <c r="Q43" s="50">
        <f t="shared" si="5"/>
        <v>223981.33378687431</v>
      </c>
      <c r="R43" s="50">
        <f t="shared" si="5"/>
        <v>158251.57271891675</v>
      </c>
      <c r="S43" s="50">
        <f t="shared" si="5"/>
        <v>109219.90528686121</v>
      </c>
      <c r="T43" s="50">
        <f t="shared" si="5"/>
        <v>73717.637822631776</v>
      </c>
      <c r="U43" s="50">
        <f t="shared" si="5"/>
        <v>48705.891496990545</v>
      </c>
      <c r="V43" s="50">
        <f t="shared" si="5"/>
        <v>31528.195104346203</v>
      </c>
      <c r="W43" s="50">
        <f t="shared" si="5"/>
        <v>20009.92420114818</v>
      </c>
      <c r="X43" s="50">
        <f t="shared" si="5"/>
        <v>12459.612530620001</v>
      </c>
      <c r="Y43" s="50">
        <f t="shared" si="5"/>
        <v>7616.0514478929363</v>
      </c>
      <c r="Z43" s="50">
        <f t="shared" si="5"/>
        <v>4572.4552167254342</v>
      </c>
      <c r="AA43" s="50">
        <f t="shared" si="5"/>
        <v>2697.5522985195871</v>
      </c>
      <c r="AB43" s="50">
        <f t="shared" si="5"/>
        <v>1564.5137920331488</v>
      </c>
      <c r="AD43" s="1"/>
    </row>
    <row r="44" spans="1:32">
      <c r="B44" s="7">
        <v>2010</v>
      </c>
      <c r="C44" s="8"/>
      <c r="D44" s="8"/>
      <c r="E44" s="8"/>
      <c r="F44" s="50"/>
      <c r="G44" s="50">
        <f t="shared" ref="G44:AB44" si="6">F10-G10</f>
        <v>285578.72210244834</v>
      </c>
      <c r="H44" s="50">
        <f t="shared" si="6"/>
        <v>533114.00164971128</v>
      </c>
      <c r="I44" s="50">
        <f t="shared" si="6"/>
        <v>635334.16727534495</v>
      </c>
      <c r="J44" s="50">
        <f t="shared" si="6"/>
        <v>655102.91277669696</v>
      </c>
      <c r="K44" s="50">
        <f t="shared" si="6"/>
        <v>620782.79237747192</v>
      </c>
      <c r="L44" s="50">
        <f t="shared" si="6"/>
        <v>553907.47315720026</v>
      </c>
      <c r="M44" s="50">
        <f t="shared" si="6"/>
        <v>471296.146977406</v>
      </c>
      <c r="N44" s="50">
        <f t="shared" si="6"/>
        <v>385319.30322851031</v>
      </c>
      <c r="O44" s="50">
        <f t="shared" si="6"/>
        <v>304239.12767699966</v>
      </c>
      <c r="P44" s="50">
        <f t="shared" si="6"/>
        <v>232829.0441582338</v>
      </c>
      <c r="Q44" s="50">
        <f t="shared" si="6"/>
        <v>173161.94536730705</v>
      </c>
      <c r="R44" s="50">
        <f t="shared" si="6"/>
        <v>125419.74335232197</v>
      </c>
      <c r="S44" s="50">
        <f t="shared" si="6"/>
        <v>88613.954118130932</v>
      </c>
      <c r="T44" s="50">
        <f t="shared" si="6"/>
        <v>61158.366451543072</v>
      </c>
      <c r="U44" s="50">
        <f t="shared" si="6"/>
        <v>41278.650590818608</v>
      </c>
      <c r="V44" s="50">
        <f t="shared" si="6"/>
        <v>27273.167402026484</v>
      </c>
      <c r="W44" s="50">
        <f t="shared" si="6"/>
        <v>17654.409282657649</v>
      </c>
      <c r="X44" s="50">
        <f t="shared" si="6"/>
        <v>11204.681726716684</v>
      </c>
      <c r="Y44" s="50">
        <f t="shared" si="6"/>
        <v>6976.8376651720391</v>
      </c>
      <c r="Z44" s="50">
        <f t="shared" si="6"/>
        <v>4264.6554594666341</v>
      </c>
      <c r="AA44" s="50">
        <f t="shared" si="6"/>
        <v>2560.3747869336789</v>
      </c>
      <c r="AB44" s="50">
        <f t="shared" si="6"/>
        <v>1510.5112164468203</v>
      </c>
    </row>
    <row r="45" spans="1:32">
      <c r="B45" s="7">
        <v>2011</v>
      </c>
      <c r="C45" s="8"/>
      <c r="D45" s="8"/>
      <c r="E45" s="8"/>
      <c r="F45" s="8"/>
      <c r="G45" s="50"/>
      <c r="H45" s="50">
        <f t="shared" ref="H45:AB45" si="7">G11-H11</f>
        <v>268147.83601316065</v>
      </c>
      <c r="I45" s="50">
        <f t="shared" si="7"/>
        <v>500574.28942273697</v>
      </c>
      <c r="J45" s="50">
        <f t="shared" si="7"/>
        <v>596555.23648919119</v>
      </c>
      <c r="K45" s="50">
        <f t="shared" si="7"/>
        <v>615117.35585108399</v>
      </c>
      <c r="L45" s="50">
        <f t="shared" si="7"/>
        <v>582892.03475919226</v>
      </c>
      <c r="M45" s="50">
        <f t="shared" si="7"/>
        <v>520098.58852627594</v>
      </c>
      <c r="N45" s="50">
        <f t="shared" si="7"/>
        <v>442529.61496198364</v>
      </c>
      <c r="O45" s="50">
        <f t="shared" si="7"/>
        <v>361800.54513220338</v>
      </c>
      <c r="P45" s="50">
        <f t="shared" si="7"/>
        <v>285669.26526078058</v>
      </c>
      <c r="Q45" s="50">
        <f t="shared" si="7"/>
        <v>218617.84341778082</v>
      </c>
      <c r="R45" s="50">
        <f t="shared" si="7"/>
        <v>162592.64901891083</v>
      </c>
      <c r="S45" s="50">
        <f t="shared" si="7"/>
        <v>117764.49073536482</v>
      </c>
      <c r="T45" s="50">
        <f t="shared" si="7"/>
        <v>83205.218730623979</v>
      </c>
      <c r="U45" s="50">
        <f t="shared" si="7"/>
        <v>57425.439463231422</v>
      </c>
      <c r="V45" s="50">
        <f t="shared" si="7"/>
        <v>38759.123046641296</v>
      </c>
      <c r="W45" s="50">
        <f t="shared" si="7"/>
        <v>25608.493399779705</v>
      </c>
      <c r="X45" s="50">
        <f t="shared" si="7"/>
        <v>16576.836013493434</v>
      </c>
      <c r="Y45" s="50">
        <f t="shared" si="7"/>
        <v>10520.780876515875</v>
      </c>
      <c r="Z45" s="50">
        <f t="shared" si="7"/>
        <v>6550.9919939338288</v>
      </c>
      <c r="AA45" s="50">
        <f t="shared" si="7"/>
        <v>4004.3534209367635</v>
      </c>
      <c r="AB45" s="50">
        <f t="shared" si="7"/>
        <v>2404.0970330157402</v>
      </c>
      <c r="AD45" s="1"/>
      <c r="AE45" s="1"/>
      <c r="AF45" s="1"/>
    </row>
    <row r="46" spans="1:32">
      <c r="B46" s="7">
        <v>2012</v>
      </c>
      <c r="C46" s="8"/>
      <c r="D46" s="8"/>
      <c r="E46" s="8"/>
      <c r="F46" s="8"/>
      <c r="G46" s="8"/>
      <c r="H46" s="50"/>
      <c r="I46" s="50">
        <f t="shared" ref="I46:AB46" si="8">H12-I12</f>
        <v>320140.83111342788</v>
      </c>
      <c r="J46" s="50">
        <f t="shared" si="8"/>
        <v>597634.0194740314</v>
      </c>
      <c r="K46" s="50">
        <f t="shared" si="8"/>
        <v>712225.36066016927</v>
      </c>
      <c r="L46" s="50">
        <f t="shared" si="8"/>
        <v>734386.61472097458</v>
      </c>
      <c r="M46" s="50">
        <f t="shared" si="8"/>
        <v>695912.90846011695</v>
      </c>
      <c r="N46" s="50">
        <f t="shared" si="8"/>
        <v>620944.01680553053</v>
      </c>
      <c r="O46" s="50">
        <f t="shared" si="8"/>
        <v>528334.67102558119</v>
      </c>
      <c r="P46" s="50">
        <f t="shared" si="8"/>
        <v>431952.49657069799</v>
      </c>
      <c r="Q46" s="50">
        <f t="shared" si="8"/>
        <v>341059.60862447554</v>
      </c>
      <c r="R46" s="50">
        <f t="shared" si="8"/>
        <v>261007.13370872987</v>
      </c>
      <c r="S46" s="50">
        <f t="shared" si="8"/>
        <v>194118.83595172205</v>
      </c>
      <c r="T46" s="50">
        <f t="shared" si="8"/>
        <v>140598.6432716127</v>
      </c>
      <c r="U46" s="50">
        <f t="shared" si="8"/>
        <v>99338.440590992366</v>
      </c>
      <c r="V46" s="50">
        <f t="shared" si="8"/>
        <v>68560.045794702804</v>
      </c>
      <c r="W46" s="50">
        <f t="shared" si="8"/>
        <v>46274.391208476372</v>
      </c>
      <c r="X46" s="50">
        <f t="shared" si="8"/>
        <v>30573.897154873302</v>
      </c>
      <c r="Y46" s="50">
        <f t="shared" si="8"/>
        <v>19791.030714603006</v>
      </c>
      <c r="Z46" s="50">
        <f t="shared" si="8"/>
        <v>12560.726142144755</v>
      </c>
      <c r="AA46" s="50">
        <f t="shared" si="8"/>
        <v>7821.2080796074606</v>
      </c>
      <c r="AB46" s="50">
        <f t="shared" si="8"/>
        <v>4780.7845526960555</v>
      </c>
    </row>
    <row r="47" spans="1:32">
      <c r="B47" s="7">
        <v>2013</v>
      </c>
      <c r="C47" s="8"/>
      <c r="D47" s="8"/>
      <c r="E47" s="8"/>
      <c r="F47" s="8"/>
      <c r="G47" s="8"/>
      <c r="H47" s="8"/>
      <c r="I47" s="50"/>
      <c r="J47" s="50">
        <f t="shared" ref="J47:AB47" si="9">I13-J13</f>
        <v>310554.07182169892</v>
      </c>
      <c r="K47" s="50">
        <f t="shared" si="9"/>
        <v>579737.6034832336</v>
      </c>
      <c r="L47" s="50">
        <f t="shared" si="9"/>
        <v>690897.45609277487</v>
      </c>
      <c r="M47" s="50">
        <f t="shared" si="9"/>
        <v>712395.08156379685</v>
      </c>
      <c r="N47" s="50">
        <f t="shared" si="9"/>
        <v>675073.48751462018</v>
      </c>
      <c r="O47" s="50">
        <f t="shared" si="9"/>
        <v>602349.57259780494</v>
      </c>
      <c r="P47" s="50">
        <f t="shared" si="9"/>
        <v>512513.45478465036</v>
      </c>
      <c r="Q47" s="50">
        <f t="shared" si="9"/>
        <v>419017.4873259156</v>
      </c>
      <c r="R47" s="50">
        <f t="shared" si="9"/>
        <v>330846.42725475668</v>
      </c>
      <c r="S47" s="50">
        <f t="shared" si="9"/>
        <v>253191.15923403669</v>
      </c>
      <c r="T47" s="50">
        <f t="shared" si="9"/>
        <v>188305.86124372447</v>
      </c>
      <c r="U47" s="50">
        <f t="shared" si="9"/>
        <v>136388.35448995145</v>
      </c>
      <c r="V47" s="50">
        <f t="shared" si="9"/>
        <v>96363.706893171446</v>
      </c>
      <c r="W47" s="50">
        <f t="shared" si="9"/>
        <v>66506.984790963412</v>
      </c>
      <c r="X47" s="50">
        <f t="shared" si="9"/>
        <v>44888.684023472626</v>
      </c>
      <c r="Y47" s="50">
        <f t="shared" si="9"/>
        <v>29658.348233436343</v>
      </c>
      <c r="Z47" s="50">
        <f t="shared" si="9"/>
        <v>19198.379515016153</v>
      </c>
      <c r="AA47" s="50">
        <f t="shared" si="9"/>
        <v>12184.589622366057</v>
      </c>
      <c r="AB47" s="50">
        <f t="shared" si="9"/>
        <v>7586.9985319876105</v>
      </c>
    </row>
    <row r="48" spans="1:32">
      <c r="B48" s="7">
        <v>2014</v>
      </c>
      <c r="C48" s="8"/>
      <c r="D48" s="8"/>
      <c r="E48" s="8"/>
      <c r="F48" s="8"/>
      <c r="G48" s="8"/>
      <c r="H48" s="8"/>
      <c r="I48" s="8"/>
      <c r="J48" s="50"/>
      <c r="K48" s="50">
        <f t="shared" ref="K48:AB48" si="10">J14-K14</f>
        <v>295470.58532984834</v>
      </c>
      <c r="L48" s="50">
        <f t="shared" si="10"/>
        <v>551579.981012973</v>
      </c>
      <c r="M48" s="50">
        <f t="shared" si="10"/>
        <v>657340.8442438324</v>
      </c>
      <c r="N48" s="50">
        <f t="shared" si="10"/>
        <v>677794.33868318889</v>
      </c>
      <c r="O48" s="50">
        <f t="shared" si="10"/>
        <v>642285.43946165591</v>
      </c>
      <c r="P48" s="50">
        <f t="shared" si="10"/>
        <v>573093.69587284117</v>
      </c>
      <c r="Q48" s="50">
        <f t="shared" si="10"/>
        <v>487620.8822069047</v>
      </c>
      <c r="R48" s="50">
        <f t="shared" si="10"/>
        <v>398665.97632219433</v>
      </c>
      <c r="S48" s="50">
        <f t="shared" si="10"/>
        <v>314777.34921272285</v>
      </c>
      <c r="T48" s="50">
        <f t="shared" si="10"/>
        <v>240893.76635890699</v>
      </c>
      <c r="U48" s="50">
        <f t="shared" si="10"/>
        <v>179159.92122192762</v>
      </c>
      <c r="V48" s="50">
        <f t="shared" si="10"/>
        <v>129764.02691141603</v>
      </c>
      <c r="W48" s="50">
        <f t="shared" si="10"/>
        <v>91683.360367036192</v>
      </c>
      <c r="X48" s="50">
        <f t="shared" si="10"/>
        <v>63276.767261295405</v>
      </c>
      <c r="Y48" s="50">
        <f t="shared" si="10"/>
        <v>42708.45867613361</v>
      </c>
      <c r="Z48" s="50">
        <f t="shared" si="10"/>
        <v>28217.854176071385</v>
      </c>
      <c r="AA48" s="50">
        <f t="shared" si="10"/>
        <v>18265.921935627426</v>
      </c>
      <c r="AB48" s="50">
        <f t="shared" si="10"/>
        <v>11592.789000015106</v>
      </c>
      <c r="AD48" s="1"/>
    </row>
    <row r="49" spans="2:32">
      <c r="B49" s="7">
        <v>2015</v>
      </c>
      <c r="C49" s="8"/>
      <c r="D49" s="8"/>
      <c r="E49" s="8"/>
      <c r="F49" s="8"/>
      <c r="G49" s="8"/>
      <c r="H49" s="8"/>
      <c r="I49" s="8"/>
      <c r="J49" s="8"/>
      <c r="K49" s="50"/>
      <c r="L49" s="50">
        <f t="shared" ref="L49:AB49" si="11">K15-L15</f>
        <v>283482.27962755039</v>
      </c>
      <c r="M49" s="50">
        <f t="shared" si="11"/>
        <v>529200.39482076559</v>
      </c>
      <c r="N49" s="50">
        <f t="shared" si="11"/>
        <v>630670.15896189632</v>
      </c>
      <c r="O49" s="50">
        <f t="shared" si="11"/>
        <v>650293.78147425363</v>
      </c>
      <c r="P49" s="50">
        <f t="shared" si="11"/>
        <v>616225.60616960283</v>
      </c>
      <c r="Q49" s="50">
        <f t="shared" si="11"/>
        <v>549841.22079308424</v>
      </c>
      <c r="R49" s="50">
        <f t="shared" si="11"/>
        <v>467836.34698423697</v>
      </c>
      <c r="S49" s="50">
        <f t="shared" si="11"/>
        <v>382490.66197772184</v>
      </c>
      <c r="T49" s="50">
        <f t="shared" si="11"/>
        <v>302005.69857173436</v>
      </c>
      <c r="U49" s="50">
        <f t="shared" si="11"/>
        <v>231119.83874555549</v>
      </c>
      <c r="V49" s="50">
        <f t="shared" si="11"/>
        <v>171890.75802312593</v>
      </c>
      <c r="W49" s="50">
        <f t="shared" si="11"/>
        <v>124499.03303042229</v>
      </c>
      <c r="X49" s="50">
        <f t="shared" si="11"/>
        <v>87963.43626471996</v>
      </c>
      <c r="Y49" s="50">
        <f t="shared" si="11"/>
        <v>60709.400939755345</v>
      </c>
      <c r="Z49" s="50">
        <f t="shared" si="11"/>
        <v>40975.622704959416</v>
      </c>
      <c r="AA49" s="50">
        <f t="shared" si="11"/>
        <v>27072.954213362842</v>
      </c>
      <c r="AB49" s="50">
        <f t="shared" si="11"/>
        <v>17524.807703040926</v>
      </c>
    </row>
    <row r="50" spans="2:32">
      <c r="B50" s="7">
        <v>2016</v>
      </c>
      <c r="C50" s="8"/>
      <c r="D50" s="8"/>
      <c r="E50" s="8"/>
      <c r="F50" s="8"/>
      <c r="G50" s="8"/>
      <c r="H50" s="8"/>
      <c r="I50" s="8"/>
      <c r="J50" s="8"/>
      <c r="K50" s="8"/>
      <c r="L50" s="50"/>
      <c r="M50" s="50">
        <f t="shared" ref="M50:AB50" si="12">L16-M16</f>
        <v>302886.40820801258</v>
      </c>
      <c r="N50" s="50">
        <f t="shared" si="12"/>
        <v>565423.72602660116</v>
      </c>
      <c r="O50" s="50">
        <f t="shared" si="12"/>
        <v>673839.01195840677</v>
      </c>
      <c r="P50" s="50">
        <f t="shared" si="12"/>
        <v>694805.85527082533</v>
      </c>
      <c r="Q50" s="50">
        <f t="shared" si="12"/>
        <v>658405.74142320175</v>
      </c>
      <c r="R50" s="50">
        <f t="shared" si="12"/>
        <v>587477.39953810233</v>
      </c>
      <c r="S50" s="50">
        <f t="shared" si="12"/>
        <v>499859.35965163587</v>
      </c>
      <c r="T50" s="50">
        <f t="shared" si="12"/>
        <v>408671.83279232495</v>
      </c>
      <c r="U50" s="50">
        <f t="shared" si="12"/>
        <v>322677.73992408195</v>
      </c>
      <c r="V50" s="50">
        <f t="shared" si="12"/>
        <v>246939.80137040361</v>
      </c>
      <c r="W50" s="50">
        <f t="shared" si="12"/>
        <v>183656.5388502595</v>
      </c>
      <c r="X50" s="50">
        <f t="shared" si="12"/>
        <v>133020.88931096147</v>
      </c>
      <c r="Y50" s="50">
        <f t="shared" si="12"/>
        <v>93984.461035307031</v>
      </c>
      <c r="Z50" s="50">
        <f t="shared" si="12"/>
        <v>64864.909437237453</v>
      </c>
      <c r="AA50" s="50">
        <f t="shared" si="12"/>
        <v>43780.370333898303</v>
      </c>
      <c r="AB50" s="50">
        <f t="shared" si="12"/>
        <v>28926.075633506887</v>
      </c>
      <c r="AD50" s="1"/>
      <c r="AE50" s="1"/>
      <c r="AF50" s="1"/>
    </row>
    <row r="51" spans="2:32">
      <c r="B51" s="7">
        <v>2017</v>
      </c>
      <c r="C51" s="8"/>
      <c r="D51" s="8"/>
      <c r="E51" s="8"/>
      <c r="F51" s="8"/>
      <c r="G51" s="8"/>
      <c r="H51" s="8"/>
      <c r="I51" s="8"/>
      <c r="J51" s="8"/>
      <c r="K51" s="8"/>
      <c r="L51" s="8"/>
      <c r="M51" s="50"/>
      <c r="N51" s="50">
        <f t="shared" ref="N51:AB51" si="13">M17-N17</f>
        <v>275937.71571297012</v>
      </c>
      <c r="O51" s="50">
        <f t="shared" si="13"/>
        <v>515116.31800442375</v>
      </c>
      <c r="P51" s="50">
        <f t="shared" si="13"/>
        <v>613885.57782490924</v>
      </c>
      <c r="Q51" s="50">
        <f t="shared" si="13"/>
        <v>632986.93956500851</v>
      </c>
      <c r="R51" s="50">
        <f t="shared" si="13"/>
        <v>599825.45065492438</v>
      </c>
      <c r="S51" s="50">
        <f t="shared" si="13"/>
        <v>535207.8114717172</v>
      </c>
      <c r="T51" s="50">
        <f t="shared" si="13"/>
        <v>455385.40569075081</v>
      </c>
      <c r="U51" s="50">
        <f t="shared" si="13"/>
        <v>372311.10066682659</v>
      </c>
      <c r="V51" s="50">
        <f t="shared" si="13"/>
        <v>293968.15457273927</v>
      </c>
      <c r="W51" s="50">
        <f t="shared" si="13"/>
        <v>224968.84264931187</v>
      </c>
      <c r="X51" s="50">
        <f t="shared" si="13"/>
        <v>167316.07768707484</v>
      </c>
      <c r="Y51" s="50">
        <f t="shared" si="13"/>
        <v>121185.63046700449</v>
      </c>
      <c r="Z51" s="50">
        <f t="shared" si="13"/>
        <v>85622.387759264209</v>
      </c>
      <c r="AA51" s="50">
        <f t="shared" si="13"/>
        <v>59093.688112104777</v>
      </c>
      <c r="AB51" s="50">
        <f t="shared" si="13"/>
        <v>39885.102320957114</v>
      </c>
      <c r="AD51" s="97"/>
      <c r="AE51" s="268"/>
      <c r="AF51" s="97"/>
    </row>
    <row r="52" spans="2:32">
      <c r="B52" s="7">
        <v>2018</v>
      </c>
      <c r="C52" s="8"/>
      <c r="D52" s="8"/>
      <c r="E52" s="8"/>
      <c r="F52" s="8"/>
      <c r="G52" s="8"/>
      <c r="H52" s="8"/>
      <c r="I52" s="8"/>
      <c r="J52" s="8"/>
      <c r="K52" s="8"/>
      <c r="L52" s="8"/>
      <c r="M52" s="8"/>
      <c r="N52" s="50"/>
      <c r="O52" s="50">
        <f t="shared" ref="O52:AB52" si="14">N18-O18</f>
        <v>308087.05549854413</v>
      </c>
      <c r="P52" s="50">
        <f t="shared" si="14"/>
        <v>575132.21504781488</v>
      </c>
      <c r="Q52" s="50">
        <f t="shared" si="14"/>
        <v>685409.022816699</v>
      </c>
      <c r="R52" s="50">
        <f t="shared" si="14"/>
        <v>706735.87289703032</v>
      </c>
      <c r="S52" s="50">
        <f t="shared" si="14"/>
        <v>669710.75855969684</v>
      </c>
      <c r="T52" s="50">
        <f t="shared" si="14"/>
        <v>597564.55651629809</v>
      </c>
      <c r="U52" s="50">
        <f t="shared" si="14"/>
        <v>508442.08952650614</v>
      </c>
      <c r="V52" s="50">
        <f t="shared" si="14"/>
        <v>415688.84643946192</v>
      </c>
      <c r="W52" s="50">
        <f t="shared" si="14"/>
        <v>328218.21010819951</v>
      </c>
      <c r="X52" s="50">
        <f t="shared" si="14"/>
        <v>251179.82922942645</v>
      </c>
      <c r="Y52" s="50">
        <f t="shared" si="14"/>
        <v>186809.97477632458</v>
      </c>
      <c r="Z52" s="50">
        <f t="shared" si="14"/>
        <v>135304.89647943113</v>
      </c>
      <c r="AA52" s="50">
        <f t="shared" si="14"/>
        <v>95598.201432332862</v>
      </c>
      <c r="AB52" s="50">
        <f t="shared" si="14"/>
        <v>65978.658705523063</v>
      </c>
    </row>
    <row r="53" spans="2:32">
      <c r="B53" s="7">
        <v>2019</v>
      </c>
      <c r="C53" s="8"/>
      <c r="D53" s="8"/>
      <c r="E53" s="8"/>
      <c r="F53" s="8"/>
      <c r="G53" s="8"/>
      <c r="H53" s="8"/>
      <c r="I53" s="8"/>
      <c r="J53" s="8"/>
      <c r="K53" s="8"/>
      <c r="L53" s="8"/>
      <c r="M53" s="8"/>
      <c r="N53" s="8"/>
      <c r="O53" s="50"/>
      <c r="P53" s="50">
        <f t="shared" ref="P53:AB53" si="15">O19-P19</f>
        <v>401106.92912009824</v>
      </c>
      <c r="Q53" s="50">
        <f t="shared" si="15"/>
        <v>748780.29601915181</v>
      </c>
      <c r="R53" s="50">
        <f t="shared" si="15"/>
        <v>892352.6757342536</v>
      </c>
      <c r="S53" s="50">
        <f t="shared" si="15"/>
        <v>920118.68274705671</v>
      </c>
      <c r="T53" s="50">
        <f t="shared" si="15"/>
        <v>871914.67791427718</v>
      </c>
      <c r="U53" s="50">
        <f t="shared" si="15"/>
        <v>777985.57238117512</v>
      </c>
      <c r="V53" s="50">
        <f t="shared" si="15"/>
        <v>661954.60512084514</v>
      </c>
      <c r="W53" s="50">
        <f t="shared" si="15"/>
        <v>541196.63156570541</v>
      </c>
      <c r="X53" s="50">
        <f t="shared" si="15"/>
        <v>427316.2276316965</v>
      </c>
      <c r="Y53" s="50">
        <f t="shared" si="15"/>
        <v>327017.86122137785</v>
      </c>
      <c r="Z53" s="50">
        <f t="shared" si="15"/>
        <v>243212.99442549481</v>
      </c>
      <c r="AA53" s="50">
        <f t="shared" si="15"/>
        <v>176157.13011361443</v>
      </c>
      <c r="AB53" s="50">
        <f t="shared" si="15"/>
        <v>124461.90231484352</v>
      </c>
    </row>
    <row r="54" spans="2:32">
      <c r="B54" s="7">
        <v>2020</v>
      </c>
      <c r="C54" s="8"/>
      <c r="D54" s="8"/>
      <c r="E54" s="8"/>
      <c r="F54" s="8"/>
      <c r="G54" s="8"/>
      <c r="H54" s="8"/>
      <c r="I54" s="8"/>
      <c r="J54" s="8"/>
      <c r="K54" s="8"/>
      <c r="L54" s="8"/>
      <c r="M54" s="8"/>
      <c r="N54" s="8"/>
      <c r="O54" s="8"/>
      <c r="P54" s="50"/>
      <c r="Q54" s="50">
        <f t="shared" ref="Q54:AB54" si="16">P20-Q20</f>
        <v>517853.21208598651</v>
      </c>
      <c r="R54" s="50">
        <f t="shared" si="16"/>
        <v>966720.47598587535</v>
      </c>
      <c r="S54" s="50">
        <f t="shared" si="16"/>
        <v>1152081.0683979616</v>
      </c>
      <c r="T54" s="50">
        <f t="shared" si="16"/>
        <v>1187928.6563464534</v>
      </c>
      <c r="U54" s="50">
        <f t="shared" si="16"/>
        <v>1125694.3818281265</v>
      </c>
      <c r="V54" s="50">
        <f t="shared" si="16"/>
        <v>1004426.2473798268</v>
      </c>
      <c r="W54" s="50">
        <f t="shared" si="16"/>
        <v>854623.27781004785</v>
      </c>
      <c r="X54" s="50">
        <f t="shared" si="16"/>
        <v>698717.45831272355</v>
      </c>
      <c r="Y54" s="50">
        <f t="shared" si="16"/>
        <v>551690.99556812597</v>
      </c>
      <c r="Z54" s="50">
        <f t="shared" si="16"/>
        <v>422199.76158096886</v>
      </c>
      <c r="AA54" s="50">
        <f t="shared" si="16"/>
        <v>314002.62932526553</v>
      </c>
      <c r="AB54" s="50">
        <f t="shared" si="16"/>
        <v>227429.46839961078</v>
      </c>
    </row>
    <row r="55" spans="2:32">
      <c r="B55" s="7">
        <v>2021</v>
      </c>
      <c r="C55" s="8"/>
      <c r="D55" s="8"/>
      <c r="E55" s="8"/>
      <c r="F55" s="8"/>
      <c r="G55" s="8"/>
      <c r="H55" s="8"/>
      <c r="I55" s="8"/>
      <c r="J55" s="8"/>
      <c r="K55" s="8"/>
      <c r="L55" s="8"/>
      <c r="M55" s="8"/>
      <c r="N55" s="8"/>
      <c r="O55" s="8"/>
      <c r="P55" s="8"/>
      <c r="Q55" s="50"/>
      <c r="R55" s="50">
        <f t="shared" ref="R55:AB55" si="17">Q21-R21</f>
        <v>508380.69491990656</v>
      </c>
      <c r="S55" s="50">
        <f t="shared" si="17"/>
        <v>949037.32545236498</v>
      </c>
      <c r="T55" s="50">
        <f t="shared" si="17"/>
        <v>1131007.321161448</v>
      </c>
      <c r="U55" s="50">
        <f t="shared" si="17"/>
        <v>1166199.188754674</v>
      </c>
      <c r="V55" s="50">
        <f t="shared" si="17"/>
        <v>1105103.2971215658</v>
      </c>
      <c r="W55" s="50">
        <f t="shared" si="17"/>
        <v>986053.38679247629</v>
      </c>
      <c r="X55" s="50">
        <f t="shared" si="17"/>
        <v>838990.59758203756</v>
      </c>
      <c r="Y55" s="50">
        <f t="shared" si="17"/>
        <v>685936.5911410267</v>
      </c>
      <c r="Z55" s="50">
        <f t="shared" si="17"/>
        <v>541599.52118131937</v>
      </c>
      <c r="AA55" s="50">
        <f t="shared" si="17"/>
        <v>414476.92739600502</v>
      </c>
      <c r="AB55" s="50">
        <f t="shared" si="17"/>
        <v>308258.92584509042</v>
      </c>
    </row>
    <row r="56" spans="2:32">
      <c r="B56" s="7">
        <v>2022</v>
      </c>
      <c r="C56" s="8"/>
      <c r="D56" s="8"/>
      <c r="E56" s="8"/>
      <c r="F56" s="8"/>
      <c r="G56" s="8"/>
      <c r="H56" s="8"/>
      <c r="I56" s="8"/>
      <c r="J56" s="8"/>
      <c r="K56" s="8"/>
      <c r="L56" s="8"/>
      <c r="M56" s="8"/>
      <c r="N56" s="8"/>
      <c r="O56" s="8"/>
      <c r="P56" s="8"/>
      <c r="Q56" s="51"/>
      <c r="R56" s="50"/>
      <c r="S56" s="50">
        <f t="shared" ref="S56:AB56" si="18">R22-S22</f>
        <v>468912.55021478049</v>
      </c>
      <c r="T56" s="50">
        <f t="shared" si="18"/>
        <v>875358.79504038673</v>
      </c>
      <c r="U56" s="50">
        <f t="shared" si="18"/>
        <v>1043201.5467482628</v>
      </c>
      <c r="V56" s="50">
        <f t="shared" si="18"/>
        <v>1075661.2930463785</v>
      </c>
      <c r="W56" s="50">
        <f t="shared" si="18"/>
        <v>1019308.5820964854</v>
      </c>
      <c r="X56" s="50">
        <f t="shared" si="18"/>
        <v>909501.11376992241</v>
      </c>
      <c r="Y56" s="50">
        <f t="shared" si="18"/>
        <v>773855.54693495482</v>
      </c>
      <c r="Z56" s="50">
        <f t="shared" si="18"/>
        <v>632683.8911305361</v>
      </c>
      <c r="AA56" s="50">
        <f t="shared" si="18"/>
        <v>499552.4322815754</v>
      </c>
      <c r="AB56" s="50">
        <f t="shared" si="18"/>
        <v>382299.00342904858</v>
      </c>
    </row>
    <row r="57" spans="2:32">
      <c r="B57" s="7">
        <v>2023</v>
      </c>
      <c r="C57" s="8"/>
      <c r="D57" s="8"/>
      <c r="E57" s="8"/>
      <c r="F57" s="8"/>
      <c r="G57" s="8"/>
      <c r="H57" s="8"/>
      <c r="I57" s="8"/>
      <c r="J57" s="8"/>
      <c r="K57" s="8"/>
      <c r="L57" s="8"/>
      <c r="M57" s="8"/>
      <c r="N57" s="8"/>
      <c r="O57" s="8"/>
      <c r="P57" s="8"/>
      <c r="Q57" s="51"/>
      <c r="R57" s="51"/>
      <c r="S57" s="50"/>
      <c r="T57" s="50">
        <f t="shared" ref="T57:AB57" si="19">S23-T23</f>
        <v>352740.58293642662</v>
      </c>
      <c r="U57" s="50">
        <f t="shared" si="19"/>
        <v>672672.96071242262</v>
      </c>
      <c r="V57" s="50">
        <f t="shared" si="19"/>
        <v>829227.31550320052</v>
      </c>
      <c r="W57" s="50">
        <f t="shared" si="19"/>
        <v>892984.22152744979</v>
      </c>
      <c r="X57" s="50">
        <f t="shared" si="19"/>
        <v>891145.11281377356</v>
      </c>
      <c r="Y57" s="50">
        <f t="shared" si="19"/>
        <v>843672.57365302602</v>
      </c>
      <c r="Z57" s="50">
        <f t="shared" si="19"/>
        <v>766929.38284057565</v>
      </c>
      <c r="AA57" s="50">
        <f t="shared" si="19"/>
        <v>674228.6908243061</v>
      </c>
      <c r="AB57" s="50">
        <f t="shared" si="19"/>
        <v>575929.38970165979</v>
      </c>
    </row>
    <row r="58" spans="2:32">
      <c r="B58" s="7">
        <v>2024</v>
      </c>
      <c r="C58" s="8"/>
      <c r="D58" s="8"/>
      <c r="E58" s="8"/>
      <c r="F58" s="8"/>
      <c r="G58" s="8"/>
      <c r="H58" s="8"/>
      <c r="I58" s="8"/>
      <c r="J58" s="8"/>
      <c r="K58" s="8"/>
      <c r="L58" s="8"/>
      <c r="M58" s="8"/>
      <c r="N58" s="8"/>
      <c r="O58" s="8"/>
      <c r="P58" s="8"/>
      <c r="Q58" s="51"/>
      <c r="R58" s="51"/>
      <c r="S58" s="51"/>
      <c r="T58" s="50"/>
      <c r="U58" s="50">
        <f t="shared" ref="U58:AB58" si="20">T24-U24</f>
        <v>347978.33114904072</v>
      </c>
      <c r="V58" s="50">
        <f t="shared" si="20"/>
        <v>663591.39152406622</v>
      </c>
      <c r="W58" s="50">
        <f t="shared" si="20"/>
        <v>818032.14983065333</v>
      </c>
      <c r="X58" s="50">
        <f t="shared" si="20"/>
        <v>880928.29172863066</v>
      </c>
      <c r="Y58" s="50">
        <f t="shared" si="20"/>
        <v>879114.01230645739</v>
      </c>
      <c r="Z58" s="50">
        <f t="shared" si="20"/>
        <v>832282.38659714209</v>
      </c>
      <c r="AA58" s="50">
        <f t="shared" si="20"/>
        <v>756575.28410368832</v>
      </c>
      <c r="AB58" s="50">
        <f t="shared" si="20"/>
        <v>665126.11815955723</v>
      </c>
    </row>
    <row r="59" spans="2:32">
      <c r="B59" s="7">
        <v>2025</v>
      </c>
      <c r="C59" s="8"/>
      <c r="D59" s="8"/>
      <c r="E59" s="8"/>
      <c r="F59" s="8"/>
      <c r="G59" s="8"/>
      <c r="H59" s="8"/>
      <c r="I59" s="8"/>
      <c r="J59" s="8"/>
      <c r="K59" s="8"/>
      <c r="L59" s="8"/>
      <c r="M59" s="8"/>
      <c r="N59" s="8"/>
      <c r="O59" s="8"/>
      <c r="P59" s="8"/>
      <c r="Q59" s="51"/>
      <c r="R59" s="51"/>
      <c r="S59" s="51"/>
      <c r="T59" s="51"/>
      <c r="U59" s="50"/>
      <c r="V59" s="50">
        <f t="shared" ref="V59:AB59" si="21">U25-V25</f>
        <v>339669.60128489044</v>
      </c>
      <c r="W59" s="50">
        <f t="shared" si="21"/>
        <v>647746.72213289235</v>
      </c>
      <c r="X59" s="50">
        <f t="shared" si="21"/>
        <v>798499.8757068906</v>
      </c>
      <c r="Y59" s="50">
        <f t="shared" si="21"/>
        <v>859894.23716123495</v>
      </c>
      <c r="Z59" s="50">
        <f t="shared" si="21"/>
        <v>858123.27755603753</v>
      </c>
      <c r="AA59" s="50">
        <f t="shared" si="21"/>
        <v>812409.85747128725</v>
      </c>
      <c r="AB59" s="50">
        <f t="shared" si="21"/>
        <v>738510.42461444112</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2">V26-W26</f>
        <v>330898.14117441606</v>
      </c>
      <c r="X60" s="50">
        <f t="shared" si="22"/>
        <v>631019.63053156342</v>
      </c>
      <c r="Y60" s="50">
        <f t="shared" si="22"/>
        <v>777879.80908483453</v>
      </c>
      <c r="Z60" s="50">
        <f t="shared" si="22"/>
        <v>837688.75285544153</v>
      </c>
      <c r="AA60" s="50">
        <f t="shared" si="22"/>
        <v>835963.52563688066</v>
      </c>
      <c r="AB60" s="50">
        <f t="shared" si="22"/>
        <v>791430.58634661278</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323409.64248485118</v>
      </c>
      <c r="Y61" s="50">
        <f>X27-Y27</f>
        <v>616739.13424483687</v>
      </c>
      <c r="Z61" s="50">
        <f>Y27-Z27</f>
        <v>760275.74545879848</v>
      </c>
      <c r="AA61" s="50">
        <f>Z27-AA27</f>
        <v>818731.16335143894</v>
      </c>
      <c r="AB61" s="50">
        <f>AA27-AB27</f>
        <v>817044.97945212945</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318155.80130041298</v>
      </c>
      <c r="Z62" s="50">
        <f>Y28-Z28</f>
        <v>606720.10871840548</v>
      </c>
      <c r="AA62" s="50">
        <f>Z28-AA28</f>
        <v>747924.9448075546</v>
      </c>
      <c r="AB62" s="50">
        <f>AA28-AB28</f>
        <v>805430.74512040336</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315457.30673494097</v>
      </c>
      <c r="AA63" s="50">
        <f>Z29-AA29</f>
        <v>601574.10506407265</v>
      </c>
      <c r="AB63" s="50">
        <f>AA29-AB29</f>
        <v>741581.28742115851</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315173.38844241388</v>
      </c>
      <c r="AB64" s="50">
        <f>AA30-AB30</f>
        <v>601032.67556127906</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316876.44727334566</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3">ROUND(SUM(C41:C66),0)</f>
        <v>0</v>
      </c>
      <c r="D67" s="90">
        <f t="shared" si="23"/>
        <v>343106</v>
      </c>
      <c r="E67" s="90">
        <f t="shared" si="23"/>
        <v>1173908</v>
      </c>
      <c r="F67" s="90">
        <f t="shared" si="23"/>
        <v>2269067</v>
      </c>
      <c r="G67" s="90">
        <f t="shared" si="23"/>
        <v>3211385</v>
      </c>
      <c r="H67" s="90">
        <f t="shared" si="23"/>
        <v>3905309</v>
      </c>
      <c r="I67" s="90">
        <f t="shared" si="23"/>
        <v>4450951</v>
      </c>
      <c r="J67" s="90">
        <f t="shared" si="23"/>
        <v>4869295</v>
      </c>
      <c r="K67" s="90">
        <f t="shared" si="23"/>
        <v>5155756</v>
      </c>
      <c r="L67" s="90">
        <f t="shared" si="23"/>
        <v>5324036</v>
      </c>
      <c r="M67" s="90">
        <f t="shared" si="23"/>
        <v>5425242</v>
      </c>
      <c r="N67" s="90">
        <f t="shared" si="23"/>
        <v>5459940</v>
      </c>
      <c r="O67" s="90">
        <f t="shared" si="23"/>
        <v>5476260</v>
      </c>
      <c r="P67" s="90">
        <f t="shared" si="23"/>
        <v>5587179</v>
      </c>
      <c r="Q67" s="90">
        <f t="shared" si="23"/>
        <v>5895727</v>
      </c>
      <c r="R67" s="90">
        <f t="shared" si="23"/>
        <v>6329938</v>
      </c>
      <c r="S67" s="90">
        <f t="shared" si="23"/>
        <v>6764971</v>
      </c>
      <c r="T67" s="90">
        <f t="shared" si="23"/>
        <v>7042608</v>
      </c>
      <c r="U67" s="90">
        <f t="shared" si="23"/>
        <v>7177016</v>
      </c>
      <c r="V67" s="90">
        <f t="shared" si="23"/>
        <v>7229680</v>
      </c>
      <c r="W67" s="90">
        <f t="shared" si="23"/>
        <v>7238078</v>
      </c>
      <c r="X67" s="90">
        <f t="shared" si="23"/>
        <v>7229030</v>
      </c>
      <c r="Y67" s="90">
        <f t="shared" si="23"/>
        <v>7220515</v>
      </c>
      <c r="Z67" s="90">
        <f t="shared" si="23"/>
        <v>7223180</v>
      </c>
      <c r="AA67" s="90">
        <f t="shared" si="23"/>
        <v>7242086</v>
      </c>
      <c r="AB67" s="267">
        <f t="shared" si="23"/>
        <v>7278437</v>
      </c>
      <c r="AD67" s="1"/>
      <c r="AE67" s="1"/>
      <c r="AF67" s="1"/>
    </row>
    <row r="68" spans="1:32">
      <c r="R68" s="97"/>
      <c r="S68" s="97"/>
      <c r="T68" s="97"/>
      <c r="U68" s="97"/>
      <c r="V68" s="97"/>
      <c r="W68" s="97"/>
      <c r="X68" s="97"/>
      <c r="Y68" s="97"/>
      <c r="Z68" s="97"/>
      <c r="AA68" s="97"/>
      <c r="AB68" s="97"/>
      <c r="AD68" s="97"/>
      <c r="AE68" s="268"/>
      <c r="AF68" s="97"/>
    </row>
    <row r="69" spans="1:32" ht="21">
      <c r="B69" s="52" t="s">
        <v>7652</v>
      </c>
      <c r="Q69" s="46"/>
      <c r="R69" s="46"/>
      <c r="S69" s="46"/>
      <c r="T69" s="46"/>
      <c r="U69" s="46"/>
      <c r="V69" s="46"/>
      <c r="W69" s="46"/>
      <c r="X69" s="46"/>
      <c r="Y69" s="46"/>
      <c r="Z69" s="46"/>
      <c r="AA69" s="46"/>
      <c r="AB69" s="46"/>
    </row>
    <row r="70" spans="1:32">
      <c r="B70" s="7" t="s">
        <v>7761</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130159.90514245685</v>
      </c>
      <c r="E71" s="91">
        <f>E67*Outflow_routing!D4</f>
        <v>445331.046166407</v>
      </c>
      <c r="F71" s="91">
        <f>F67*Outflow_routing!E4</f>
        <v>860788.05232749972</v>
      </c>
      <c r="G71" s="91">
        <f>G67*Outflow_routing!F4</f>
        <v>1218263.6473157241</v>
      </c>
      <c r="H71" s="91">
        <f>H67*Outflow_routing!G4</f>
        <v>1481509.0642308295</v>
      </c>
      <c r="I71" s="91">
        <f>I67*Outflow_routing!H4</f>
        <v>1688502.561755619</v>
      </c>
      <c r="J71" s="91">
        <f>J67*Outflow_routing!I4</f>
        <v>1847204.5819969322</v>
      </c>
      <c r="K71" s="91">
        <f>K67*Outflow_routing!J4</f>
        <v>1955875.7698718552</v>
      </c>
      <c r="L71" s="91">
        <f>L67*Outflow_routing!K4</f>
        <v>2019714.0846707006</v>
      </c>
      <c r="M71" s="91">
        <f>M67*Outflow_routing!L4</f>
        <v>2058107.3606840826</v>
      </c>
      <c r="N71" s="91">
        <f>N67*Outflow_routing!M4</f>
        <v>2071270.314373709</v>
      </c>
      <c r="O71" s="91">
        <f>O67*Outflow_routing!N4</f>
        <v>2077461.4321388456</v>
      </c>
      <c r="P71" s="91">
        <f>P67*Outflow_routing!O4</f>
        <v>2119539.4095525201</v>
      </c>
      <c r="Q71" s="91">
        <f>Q67*Outflow_routing!P4</f>
        <v>2236589.471084218</v>
      </c>
      <c r="R71" s="91">
        <f>R67*Outflow_routing!Q4</f>
        <v>2401310.7600497603</v>
      </c>
      <c r="S71" s="91">
        <f>S67*Outflow_routing!R4</f>
        <v>2566343.8810497965</v>
      </c>
      <c r="T71" s="91">
        <f>T67*Outflow_routing!S4</f>
        <v>2671667.6165252365</v>
      </c>
      <c r="U71" s="91">
        <f>U67*Outflow_routing!T4</f>
        <v>2722656.327099774</v>
      </c>
      <c r="V71" s="91">
        <f>V67*Outflow_routing!U4</f>
        <v>2742634.8213389372</v>
      </c>
      <c r="W71" s="91">
        <f>W67*Outflow_routing!V4</f>
        <v>2745820.6673555803</v>
      </c>
      <c r="X71" s="91">
        <f>X67*Outflow_routing!W4</f>
        <v>2742388.2388299094</v>
      </c>
      <c r="Y71" s="91">
        <f>Y67*Outflow_routing!X4</f>
        <v>2739158.0079616411</v>
      </c>
      <c r="Z71" s="91">
        <f>Z67*Outflow_routing!Y4</f>
        <v>2740168.9962486564</v>
      </c>
      <c r="AA71" s="91">
        <f>AA67*Outflow_routing!Z4</f>
        <v>2747341.1330420184</v>
      </c>
      <c r="AB71" s="91">
        <f>AB67*Outflow_routing!AA4</f>
        <v>2761131.1650199885</v>
      </c>
    </row>
    <row r="72" spans="1:32">
      <c r="B72" s="7" t="s">
        <v>6907</v>
      </c>
      <c r="C72" s="91">
        <f>C67*Outflow_routing!B5</f>
        <v>0</v>
      </c>
      <c r="D72" s="91">
        <f>D67*Outflow_routing!C5</f>
        <v>29341.64407063026</v>
      </c>
      <c r="E72" s="91">
        <f>E67*Outflow_routing!D5</f>
        <v>100389.93986600476</v>
      </c>
      <c r="F72" s="91">
        <f>F67*Outflow_routing!E5</f>
        <v>194045.44451689214</v>
      </c>
      <c r="G72" s="91">
        <f>G67*Outflow_routing!F5</f>
        <v>274630.33477631101</v>
      </c>
      <c r="H72" s="91">
        <f>H67*Outflow_routing!G5</f>
        <v>333973.13560191018</v>
      </c>
      <c r="I72" s="91">
        <f>I67*Outflow_routing!H5</f>
        <v>380635.19733789505</v>
      </c>
      <c r="J72" s="91">
        <f>J67*Outflow_routing!I5</f>
        <v>416411.02389611246</v>
      </c>
      <c r="K72" s="91">
        <f>K67*Outflow_routing!J5</f>
        <v>440908.51651389478</v>
      </c>
      <c r="L72" s="91">
        <f>L67*Outflow_routing!K5</f>
        <v>455299.4390398945</v>
      </c>
      <c r="M72" s="91">
        <f>M67*Outflow_routing!L5</f>
        <v>463954.34577370912</v>
      </c>
      <c r="N72" s="91">
        <f>N67*Outflow_routing!M5</f>
        <v>466921.63974689157</v>
      </c>
      <c r="O72" s="91">
        <f>O67*Outflow_routing!N5</f>
        <v>468317.288995907</v>
      </c>
      <c r="P72" s="91">
        <f>P67*Outflow_routing!O5</f>
        <v>477802.82937896717</v>
      </c>
      <c r="Q72" s="91">
        <f>Q67*Outflow_routing!P5</f>
        <v>504189.15195771784</v>
      </c>
      <c r="R72" s="91">
        <f>R67*Outflow_routing!Q5</f>
        <v>541321.88823616365</v>
      </c>
      <c r="S72" s="91">
        <f>S67*Outflow_routing!R5</f>
        <v>578524.92008340184</v>
      </c>
      <c r="T72" s="91">
        <f>T67*Outflow_routing!S5</f>
        <v>602267.80430821155</v>
      </c>
      <c r="U72" s="91">
        <f>U67*Outflow_routing!T5</f>
        <v>613762.07050071552</v>
      </c>
      <c r="V72" s="91">
        <f>V67*Outflow_routing!U5</f>
        <v>618265.77589594515</v>
      </c>
      <c r="W72" s="91">
        <f>W67*Outflow_routing!V5</f>
        <v>618983.95373866777</v>
      </c>
      <c r="X72" s="91">
        <f>X67*Outflow_routing!W5</f>
        <v>618210.18937561067</v>
      </c>
      <c r="Y72" s="91">
        <f>Y67*Outflow_routing!X5</f>
        <v>617482.00595922791</v>
      </c>
      <c r="Z72" s="91">
        <f>Z67*Outflow_routing!Y5</f>
        <v>617709.9106925996</v>
      </c>
      <c r="AA72" s="91">
        <f>AA67*Outflow_routing!Z5</f>
        <v>619326.708774823</v>
      </c>
      <c r="AB72" s="91">
        <f>AB67*Outflow_routing!AA5</f>
        <v>622435.36354510242</v>
      </c>
    </row>
    <row r="73" spans="1:32">
      <c r="B73" s="7" t="s">
        <v>6908</v>
      </c>
      <c r="C73" s="91">
        <f>C67*Outflow_routing!B6</f>
        <v>0</v>
      </c>
      <c r="D73" s="91">
        <f>D67*Outflow_routing!C6</f>
        <v>4745.1271014271306</v>
      </c>
      <c r="E73" s="91">
        <f>E67*Outflow_routing!D6</f>
        <v>16235.048834418867</v>
      </c>
      <c r="F73" s="91">
        <f>F67*Outflow_routing!E6</f>
        <v>31381.005626989776</v>
      </c>
      <c r="G73" s="91">
        <f>G67*Outflow_routing!F6</f>
        <v>44413.184253894033</v>
      </c>
      <c r="H73" s="91">
        <f>H67*Outflow_routing!G6</f>
        <v>54010.094767644063</v>
      </c>
      <c r="I73" s="91">
        <f>I67*Outflow_routing!H6</f>
        <v>61556.277702005173</v>
      </c>
      <c r="J73" s="91">
        <f>J67*Outflow_routing!I6</f>
        <v>67341.94001079438</v>
      </c>
      <c r="K73" s="91">
        <f>K67*Outflow_routing!J6</f>
        <v>71303.671529922343</v>
      </c>
      <c r="L73" s="91">
        <f>L67*Outflow_routing!K6</f>
        <v>73630.969766118025</v>
      </c>
      <c r="M73" s="91">
        <f>M67*Outflow_routing!L6</f>
        <v>75030.640227803437</v>
      </c>
      <c r="N73" s="91">
        <f>N67*Outflow_routing!M6</f>
        <v>75510.510647339441</v>
      </c>
      <c r="O73" s="91">
        <f>O67*Outflow_routing!N6</f>
        <v>75736.214873716395</v>
      </c>
      <c r="P73" s="91">
        <f>P67*Outflow_routing!O6</f>
        <v>77270.215307877254</v>
      </c>
      <c r="Q73" s="91">
        <f>Q67*Outflow_routing!P6</f>
        <v>81537.408177984849</v>
      </c>
      <c r="R73" s="91">
        <f>R67*Outflow_routing!Q6</f>
        <v>87542.509761279158</v>
      </c>
      <c r="S73" s="91">
        <f>S67*Outflow_routing!R6</f>
        <v>93558.979535387305</v>
      </c>
      <c r="T73" s="91">
        <f>T67*Outflow_routing!S6</f>
        <v>97398.67587721438</v>
      </c>
      <c r="U73" s="91">
        <f>U67*Outflow_routing!T6</f>
        <v>99257.527204351238</v>
      </c>
      <c r="V73" s="91">
        <f>V67*Outflow_routing!U6</f>
        <v>99985.86589172353</v>
      </c>
      <c r="W73" s="91">
        <f>W67*Outflow_routing!V6</f>
        <v>100102.00952488001</v>
      </c>
      <c r="X73" s="91">
        <f>X67*Outflow_routing!W6</f>
        <v>99976.876446432783</v>
      </c>
      <c r="Y73" s="91">
        <f>Y67*Outflow_routing!X6</f>
        <v>99859.114713123985</v>
      </c>
      <c r="Z73" s="91">
        <f>Z67*Outflow_routing!Y6</f>
        <v>99895.97143881605</v>
      </c>
      <c r="AA73" s="91">
        <f>AA67*Outflow_routing!Z6</f>
        <v>100157.43982753436</v>
      </c>
      <c r="AB73" s="91">
        <f>AB67*Outflow_routing!AA6</f>
        <v>100660.17109794052</v>
      </c>
    </row>
    <row r="75" spans="1:32" ht="21">
      <c r="A75" s="293" t="s">
        <v>7792</v>
      </c>
      <c r="B75" s="52" t="s">
        <v>7805</v>
      </c>
      <c r="C75" s="162"/>
      <c r="D75" s="162"/>
      <c r="E75" s="162"/>
      <c r="F75" s="162"/>
      <c r="G75" s="162"/>
      <c r="H75" s="162"/>
      <c r="I75" s="162"/>
      <c r="J75" s="162"/>
      <c r="K75" s="162"/>
      <c r="L75" s="162"/>
      <c r="M75" s="162"/>
      <c r="N75" s="162"/>
      <c r="O75" s="162"/>
    </row>
    <row r="76" spans="1:32">
      <c r="A76" s="1" t="s">
        <v>7762</v>
      </c>
      <c r="B76" s="163">
        <v>2007</v>
      </c>
      <c r="C76" s="164">
        <f>((VLOOKUP($B$76,Energy_demand!$A$34:$E$66,4,FALSE )))*C7</f>
        <v>363029399.47868991</v>
      </c>
      <c r="D76" s="164">
        <f>((VLOOKUP($B$76,Energy_demand!$A$34:$E$66,4,FALSE )))*D7</f>
        <v>343246537.87213731</v>
      </c>
      <c r="E76" s="164">
        <f>((VLOOKUP($B$76,Energy_demand!$A$34:$E$66,4,FALSE )))*E7</f>
        <v>306316193.63112551</v>
      </c>
      <c r="F76" s="164">
        <f>((VLOOKUP($B$76,Energy_demand!$A$34:$E$66,4,FALSE )))*F7</f>
        <v>262304763.74380517</v>
      </c>
      <c r="G76" s="164">
        <f>((VLOOKUP($B$76,Energy_demand!$A$34:$E$66,4,FALSE )))*G7</f>
        <v>216923895.84825626</v>
      </c>
      <c r="H76" s="164">
        <f>((VLOOKUP($B$76,Energy_demand!$A$34:$E$66,4,FALSE )))*H7</f>
        <v>173920481.66207212</v>
      </c>
      <c r="I76" s="164">
        <f>((VLOOKUP($B$76,Energy_demand!$A$34:$E$66,4,FALSE )))*I7</f>
        <v>135549713.68737304</v>
      </c>
      <c r="J76" s="164">
        <f>((VLOOKUP($B$76,Energy_demand!$A$34:$E$66,4,FALSE )))*J7</f>
        <v>102901670.50434226</v>
      </c>
      <c r="K76" s="164">
        <f>((VLOOKUP($B$76,Energy_demand!$A$34:$E$66,4,FALSE )))*K7</f>
        <v>76209491.22017169</v>
      </c>
      <c r="L76" s="164">
        <f>((VLOOKUP($B$76,Energy_demand!$A$34:$E$66,4,FALSE )))*L7</f>
        <v>55133969.508252256</v>
      </c>
      <c r="M76" s="164">
        <f>((VLOOKUP($B$76,Energy_demand!$A$34:$E$66,4,FALSE )))*M7</f>
        <v>39005230.207724497</v>
      </c>
      <c r="N76" s="164">
        <f>((VLOOKUP($B$76,Energy_demand!$A$34:$E$66,4,FALSE )))*N7</f>
        <v>27009802.903116219</v>
      </c>
      <c r="O76" s="164">
        <f>((VLOOKUP($B$76,Energy_demand!$A$34:$E$66,4,FALSE )))*O7</f>
        <v>18321615.60680135</v>
      </c>
      <c r="P76" s="164">
        <f>((VLOOKUP($B$76,Energy_demand!$A$34:$E$66,4,FALSE )))*P7</f>
        <v>12183071.467999937</v>
      </c>
      <c r="Q76" s="164">
        <f>((VLOOKUP($B$76,Energy_demand!$A$34:$E$66,4,FALSE )))*Q7</f>
        <v>7946455.0608445434</v>
      </c>
      <c r="R76" s="164">
        <f>((VLOOKUP($B$76,Energy_demand!$A$34:$E$66,4,FALSE )))*R7</f>
        <v>5086963.898717788</v>
      </c>
      <c r="S76" s="164">
        <f>((VLOOKUP($B$76,Energy_demand!$A$34:$E$66,4,FALSE )))*S7</f>
        <v>3197672.9448452666</v>
      </c>
      <c r="T76" s="164">
        <f>((VLOOKUP($B$76,Energy_demand!$A$34:$E$66,4,FALSE )))*T7</f>
        <v>1974701.10362048</v>
      </c>
      <c r="U76" s="164">
        <f>((VLOOKUP($B$76,Energy_demand!$A$34:$E$66,4,FALSE )))*U7</f>
        <v>1198520.4893463321</v>
      </c>
      <c r="V76" s="164">
        <f>((VLOOKUP($B$76,Energy_demand!$A$34:$E$66,4,FALSE )))*V7</f>
        <v>715214.82509601093</v>
      </c>
      <c r="W76" s="164">
        <f>((VLOOKUP($B$76,Energy_demand!$A$34:$E$66,4,FALSE )))*W7</f>
        <v>419789.84338469343</v>
      </c>
      <c r="X76" s="164">
        <f>((VLOOKUP($B$76,Energy_demand!$A$34:$E$66,4,FALSE )))*X7</f>
        <v>242425.29851273773</v>
      </c>
      <c r="Y76" s="164">
        <f>((VLOOKUP($B$76,Energy_demand!$A$34:$E$66,4,FALSE )))*Y7</f>
        <v>137787.83067158377</v>
      </c>
      <c r="Z76" s="164">
        <f>((VLOOKUP($B$76,Energy_demand!$A$34:$E$66,4,FALSE )))*Z7</f>
        <v>77100.680438851457</v>
      </c>
      <c r="AA76" s="164">
        <f>((VLOOKUP($B$76,Energy_demand!$A$34:$E$66,4,FALSE )))*AA7</f>
        <v>42485.391476086945</v>
      </c>
      <c r="AB76" s="164">
        <f>((VLOOKUP($B$76,Energy_demand!$A$34:$E$66,4,FALSE )))*AB7</f>
        <v>23060.444260819226</v>
      </c>
    </row>
    <row r="77" spans="1:32">
      <c r="B77" s="163">
        <v>2008</v>
      </c>
      <c r="C77" s="164">
        <f>((VLOOKUP($B$76,Energy_demand!$A$34:$E$66,4,FALSE )))*C8</f>
        <v>0</v>
      </c>
      <c r="D77" s="164">
        <f>((VLOOKUP($B$76,Energy_demand!$A$34:$E$66,4,FALSE )))*D8</f>
        <v>564376170.58915019</v>
      </c>
      <c r="E77" s="164">
        <f>((VLOOKUP($B$76,Energy_demand!$A$34:$E$66,4,FALSE )))*E8</f>
        <v>533621152.69573951</v>
      </c>
      <c r="F77" s="164">
        <f>((VLOOKUP($B$76,Energy_demand!$A$34:$E$66,4,FALSE )))*F8</f>
        <v>476208154.48895156</v>
      </c>
      <c r="G77" s="164">
        <f>((VLOOKUP($B$76,Energy_demand!$A$34:$E$66,4,FALSE )))*G8</f>
        <v>407786692.48717546</v>
      </c>
      <c r="H77" s="164">
        <f>((VLOOKUP($B$76,Energy_demand!$A$34:$E$66,4,FALSE )))*H8</f>
        <v>337236261.92237651</v>
      </c>
      <c r="I77" s="164">
        <f>((VLOOKUP($B$76,Energy_demand!$A$34:$E$66,4,FALSE )))*I8</f>
        <v>270381890.74607617</v>
      </c>
      <c r="J77" s="164">
        <f>((VLOOKUP($B$76,Energy_demand!$A$34:$E$66,4,FALSE )))*J8</f>
        <v>210729567.48183686</v>
      </c>
      <c r="K77" s="164">
        <f>((VLOOKUP($B$76,Energy_demand!$A$34:$E$66,4,FALSE )))*K8</f>
        <v>159973960.31798866</v>
      </c>
      <c r="L77" s="164">
        <f>((VLOOKUP($B$76,Energy_demand!$A$34:$E$66,4,FALSE )))*L8</f>
        <v>118477514.16042744</v>
      </c>
      <c r="M77" s="164">
        <f>((VLOOKUP($B$76,Energy_demand!$A$34:$E$66,4,FALSE )))*M8</f>
        <v>85712888.887592494</v>
      </c>
      <c r="N77" s="164">
        <f>((VLOOKUP($B$76,Energy_demand!$A$34:$E$66,4,FALSE )))*N8</f>
        <v>60638676.892822854</v>
      </c>
      <c r="O77" s="164">
        <f>((VLOOKUP($B$76,Energy_demand!$A$34:$E$66,4,FALSE )))*O8</f>
        <v>41990233.167667337</v>
      </c>
      <c r="P77" s="164">
        <f>((VLOOKUP($B$76,Energy_demand!$A$34:$E$66,4,FALSE )))*P8</f>
        <v>28483321.929357782</v>
      </c>
      <c r="Q77" s="164">
        <f>((VLOOKUP($B$76,Energy_demand!$A$34:$E$66,4,FALSE )))*Q8</f>
        <v>18940160.854733627</v>
      </c>
      <c r="R77" s="164">
        <f>((VLOOKUP($B$76,Energy_demand!$A$34:$E$66,4,FALSE )))*R8</f>
        <v>12353792.512227306</v>
      </c>
      <c r="S77" s="164">
        <f>((VLOOKUP($B$76,Energy_demand!$A$34:$E$66,4,FALSE )))*S8</f>
        <v>7908343.5369319897</v>
      </c>
      <c r="T77" s="164">
        <f>((VLOOKUP($B$76,Energy_demand!$A$34:$E$66,4,FALSE )))*T8</f>
        <v>4971196.3108217604</v>
      </c>
      <c r="U77" s="164">
        <f>((VLOOKUP($B$76,Energy_demand!$A$34:$E$66,4,FALSE )))*U8</f>
        <v>3069928.3543423191</v>
      </c>
      <c r="V77" s="164">
        <f>((VLOOKUP($B$76,Energy_demand!$A$34:$E$66,4,FALSE )))*V8</f>
        <v>1863255.1664445112</v>
      </c>
      <c r="W77" s="164">
        <f>((VLOOKUP($B$76,Energy_demand!$A$34:$E$66,4,FALSE )))*W8</f>
        <v>1111893.9808068355</v>
      </c>
      <c r="X77" s="164">
        <f>((VLOOKUP($B$76,Energy_demand!$A$34:$E$66,4,FALSE )))*X8</f>
        <v>652617.62436289876</v>
      </c>
      <c r="Y77" s="164">
        <f>((VLOOKUP($B$76,Energy_demand!$A$34:$E$66,4,FALSE )))*Y8</f>
        <v>376881.49176078482</v>
      </c>
      <c r="Z77" s="164">
        <f>((VLOOKUP($B$76,Energy_demand!$A$34:$E$66,4,FALSE )))*Z8</f>
        <v>214209.00990356156</v>
      </c>
      <c r="AA77" s="164">
        <f>((VLOOKUP($B$76,Energy_demand!$A$34:$E$66,4,FALSE )))*AA8</f>
        <v>119862.98310379976</v>
      </c>
      <c r="AB77" s="164">
        <f>((VLOOKUP($B$76,Energy_demand!$A$34:$E$66,4,FALSE )))*AB8</f>
        <v>66049.03785116825</v>
      </c>
    </row>
    <row r="78" spans="1:32">
      <c r="B78" s="163">
        <v>2009</v>
      </c>
      <c r="C78" s="164">
        <f>((VLOOKUP($B$76,Energy_demand!$A$34:$E$66,4,FALSE )))*C9</f>
        <v>0</v>
      </c>
      <c r="D78" s="164">
        <f>((VLOOKUP($B$76,Energy_demand!$A$34:$E$66,4,FALSE )))*D9</f>
        <v>0</v>
      </c>
      <c r="E78" s="164">
        <f>((VLOOKUP($B$76,Energy_demand!$A$34:$E$66,4,FALSE )))*E9</f>
        <v>539616211.89365923</v>
      </c>
      <c r="F78" s="164">
        <f>((VLOOKUP($B$76,Energy_demand!$A$34:$E$66,4,FALSE )))*F9</f>
        <v>510210458.92744237</v>
      </c>
      <c r="G78" s="164">
        <f>((VLOOKUP($B$76,Energy_demand!$A$34:$E$66,4,FALSE )))*G9</f>
        <v>455316247.90243864</v>
      </c>
      <c r="H78" s="164">
        <f>((VLOOKUP($B$76,Energy_demand!$A$34:$E$66,4,FALSE )))*H9</f>
        <v>389896529.52722383</v>
      </c>
      <c r="I78" s="164">
        <f>((VLOOKUP($B$76,Energy_demand!$A$34:$E$66,4,FALSE )))*I9</f>
        <v>322441243.36745894</v>
      </c>
      <c r="J78" s="164">
        <f>((VLOOKUP($B$76,Energy_demand!$A$34:$E$66,4,FALSE )))*J9</f>
        <v>258519865.38824955</v>
      </c>
      <c r="K78" s="164">
        <f>((VLOOKUP($B$76,Energy_demand!$A$34:$E$66,4,FALSE )))*K9</f>
        <v>201484571.57543236</v>
      </c>
      <c r="L78" s="164">
        <f>((VLOOKUP($B$76,Energy_demand!$A$34:$E$66,4,FALSE )))*L9</f>
        <v>152955682.69352287</v>
      </c>
      <c r="M78" s="164">
        <f>((VLOOKUP($B$76,Energy_demand!$A$34:$E$66,4,FALSE )))*M9</f>
        <v>113279742.69198582</v>
      </c>
      <c r="N78" s="164">
        <f>((VLOOKUP($B$76,Energy_demand!$A$34:$E$66,4,FALSE )))*N9</f>
        <v>81952546.585555553</v>
      </c>
      <c r="O78" s="164">
        <f>((VLOOKUP($B$76,Energy_demand!$A$34:$E$66,4,FALSE )))*O9</f>
        <v>57978374.751348324</v>
      </c>
      <c r="P78" s="164">
        <f>((VLOOKUP($B$76,Energy_demand!$A$34:$E$66,4,FALSE )))*P9</f>
        <v>40148063.896487504</v>
      </c>
      <c r="Q78" s="164">
        <f>((VLOOKUP($B$76,Energy_demand!$A$34:$E$66,4,FALSE )))*Q9</f>
        <v>27233719.427988764</v>
      </c>
      <c r="R78" s="164">
        <f>((VLOOKUP($B$76,Energy_demand!$A$34:$E$66,4,FALSE )))*R9</f>
        <v>18109229.952814762</v>
      </c>
      <c r="S78" s="164">
        <f>((VLOOKUP($B$76,Energy_demand!$A$34:$E$66,4,FALSE )))*S9</f>
        <v>11811814.64662021</v>
      </c>
      <c r="T78" s="164">
        <f>((VLOOKUP($B$76,Energy_demand!$A$34:$E$66,4,FALSE )))*T9</f>
        <v>7561393.630950341</v>
      </c>
      <c r="U78" s="164">
        <f>((VLOOKUP($B$76,Energy_demand!$A$34:$E$66,4,FALSE )))*U9</f>
        <v>4753103.0926147718</v>
      </c>
      <c r="V78" s="164">
        <f>((VLOOKUP($B$76,Energy_demand!$A$34:$E$66,4,FALSE )))*V9</f>
        <v>2935246.3758805348</v>
      </c>
      <c r="W78" s="164">
        <f>((VLOOKUP($B$76,Energy_demand!$A$34:$E$66,4,FALSE )))*W9</f>
        <v>1781511.6000707448</v>
      </c>
      <c r="X78" s="164">
        <f>((VLOOKUP($B$76,Energy_demand!$A$34:$E$66,4,FALSE )))*X9</f>
        <v>1063113.6628678211</v>
      </c>
      <c r="Y78" s="164">
        <f>((VLOOKUP($B$76,Energy_demand!$A$34:$E$66,4,FALSE )))*Y9</f>
        <v>623986.3917467047</v>
      </c>
      <c r="Z78" s="164">
        <f>((VLOOKUP($B$76,Energy_demand!$A$34:$E$66,4,FALSE )))*Z9</f>
        <v>360347.1824554312</v>
      </c>
      <c r="AA78" s="164">
        <f>((VLOOKUP($B$76,Energy_demand!$A$34:$E$66,4,FALSE )))*AA9</f>
        <v>204811.3660734233</v>
      </c>
      <c r="AB78" s="164">
        <f>((VLOOKUP($B$76,Energy_demand!$A$34:$E$66,4,FALSE )))*AB9</f>
        <v>114604.4292076097</v>
      </c>
    </row>
    <row r="79" spans="1:32">
      <c r="B79" s="163">
        <v>2010</v>
      </c>
      <c r="C79" s="164">
        <f>((VLOOKUP($B$76,Energy_demand!$A$34:$E$66,4,FALSE )))*C10</f>
        <v>0</v>
      </c>
      <c r="D79" s="164">
        <f>((VLOOKUP($B$76,Energy_demand!$A$34:$E$66,4,FALSE )))*D10</f>
        <v>0</v>
      </c>
      <c r="E79" s="164">
        <f>((VLOOKUP($B$76,Energy_demand!$A$34:$E$66,4,FALSE )))*E10</f>
        <v>0</v>
      </c>
      <c r="F79" s="164">
        <f>((VLOOKUP($B$76,Energy_demand!$A$34:$E$66,4,FALSE )))*F10</f>
        <v>302161459.88689077</v>
      </c>
      <c r="G79" s="164">
        <f>((VLOOKUP($B$76,Energy_demand!$A$34:$E$66,4,FALSE )))*G10</f>
        <v>285695525.30319011</v>
      </c>
      <c r="H79" s="164">
        <f>((VLOOKUP($B$76,Energy_demand!$A$34:$E$66,4,FALSE )))*H10</f>
        <v>254957169.82560682</v>
      </c>
      <c r="I79" s="164">
        <f>((VLOOKUP($B$76,Energy_demand!$A$34:$E$66,4,FALSE )))*I10</f>
        <v>218324990.92891419</v>
      </c>
      <c r="J79" s="164">
        <f>((VLOOKUP($B$76,Energy_demand!$A$34:$E$66,4,FALSE )))*J10</f>
        <v>180552983.16881514</v>
      </c>
      <c r="K79" s="164">
        <f>((VLOOKUP($B$76,Energy_demand!$A$34:$E$66,4,FALSE )))*K10</f>
        <v>144759809.31215951</v>
      </c>
      <c r="L79" s="164">
        <f>((VLOOKUP($B$76,Energy_demand!$A$34:$E$66,4,FALSE )))*L10</f>
        <v>112822541.18768956</v>
      </c>
      <c r="M79" s="164">
        <f>((VLOOKUP($B$76,Energy_demand!$A$34:$E$66,4,FALSE )))*M10</f>
        <v>85648487.502778813</v>
      </c>
      <c r="N79" s="164">
        <f>((VLOOKUP($B$76,Energy_demand!$A$34:$E$66,4,FALSE )))*N10</f>
        <v>63431697.701045282</v>
      </c>
      <c r="O79" s="164">
        <f>((VLOOKUP($B$76,Energy_demand!$A$34:$E$66,4,FALSE )))*O10</f>
        <v>45889839.059579358</v>
      </c>
      <c r="P79" s="164">
        <f>((VLOOKUP($B$76,Energy_demand!$A$34:$E$66,4,FALSE )))*P10</f>
        <v>32465352.171793256</v>
      </c>
      <c r="Q79" s="164">
        <f>((VLOOKUP($B$76,Energy_demand!$A$34:$E$66,4,FALSE )))*Q10</f>
        <v>22481158.518242411</v>
      </c>
      <c r="R79" s="164">
        <f>((VLOOKUP($B$76,Energy_demand!$A$34:$E$66,4,FALSE )))*R10</f>
        <v>15249690.87128303</v>
      </c>
      <c r="S79" s="164">
        <f>((VLOOKUP($B$76,Energy_demand!$A$34:$E$66,4,FALSE )))*S10</f>
        <v>10140376.140234005</v>
      </c>
      <c r="T79" s="164">
        <f>((VLOOKUP($B$76,Energy_demand!$A$34:$E$66,4,FALSE )))*T10</f>
        <v>6614099.2039717864</v>
      </c>
      <c r="U79" s="164">
        <f>((VLOOKUP($B$76,Energy_demand!$A$34:$E$66,4,FALSE )))*U10</f>
        <v>4234049.4743283307</v>
      </c>
      <c r="V79" s="164">
        <f>((VLOOKUP($B$76,Energy_demand!$A$34:$E$66,4,FALSE )))*V10</f>
        <v>2661529.690550521</v>
      </c>
      <c r="W79" s="164">
        <f>((VLOOKUP($B$76,Energy_demand!$A$34:$E$66,4,FALSE )))*W10</f>
        <v>1643609.4959996319</v>
      </c>
      <c r="X79" s="164">
        <f>((VLOOKUP($B$76,Energy_demand!$A$34:$E$66,4,FALSE )))*X10</f>
        <v>997568.5200297304</v>
      </c>
      <c r="Y79" s="164">
        <f>((VLOOKUP($B$76,Energy_demand!$A$34:$E$66,4,FALSE )))*Y10</f>
        <v>595297.11917021684</v>
      </c>
      <c r="Z79" s="164">
        <f>((VLOOKUP($B$76,Energy_demand!$A$34:$E$66,4,FALSE )))*Z10</f>
        <v>349405.06775747804</v>
      </c>
      <c r="AA79" s="164">
        <f>((VLOOKUP($B$76,Energy_demand!$A$34:$E$66,4,FALSE )))*AA10</f>
        <v>201778.64993114438</v>
      </c>
      <c r="AB79" s="164">
        <f>((VLOOKUP($B$76,Energy_demand!$A$34:$E$66,4,FALSE )))*AB10</f>
        <v>114685.40049417516</v>
      </c>
    </row>
    <row r="80" spans="1:32">
      <c r="B80" s="163">
        <v>2011</v>
      </c>
      <c r="C80" s="164">
        <f>((VLOOKUP($B$76,Energy_demand!$A$34:$E$66,4,FALSE )))*C11</f>
        <v>0</v>
      </c>
      <c r="D80" s="164">
        <f>((VLOOKUP($B$76,Energy_demand!$A$34:$E$66,4,FALSE )))*D11</f>
        <v>0</v>
      </c>
      <c r="E80" s="164">
        <f>((VLOOKUP($B$76,Energy_demand!$A$34:$E$66,4,FALSE )))*E11</f>
        <v>0</v>
      </c>
      <c r="F80" s="164">
        <f>((VLOOKUP($B$76,Energy_demand!$A$34:$E$66,4,FALSE )))*F11</f>
        <v>0</v>
      </c>
      <c r="G80" s="164">
        <f>((VLOOKUP($B$76,Energy_demand!$A$34:$E$66,4,FALSE )))*G11</f>
        <v>283718412.20782775</v>
      </c>
      <c r="H80" s="164">
        <f>((VLOOKUP($B$76,Energy_demand!$A$34:$E$66,4,FALSE )))*H11</f>
        <v>268257509.8897284</v>
      </c>
      <c r="I80" s="164">
        <f>((VLOOKUP($B$76,Energy_demand!$A$34:$E$66,4,FALSE )))*I11</f>
        <v>239395333.31286025</v>
      </c>
      <c r="J80" s="164">
        <f>((VLOOKUP($B$76,Energy_demand!$A$34:$E$66,4,FALSE )))*J11</f>
        <v>204999074.98073122</v>
      </c>
      <c r="K80" s="164">
        <f>((VLOOKUP($B$76,Energy_demand!$A$34:$E$66,4,FALSE )))*K11</f>
        <v>169532559.58989134</v>
      </c>
      <c r="L80" s="164">
        <f>((VLOOKUP($B$76,Energy_demand!$A$34:$E$66,4,FALSE )))*L11</f>
        <v>135924095.8953802</v>
      </c>
      <c r="M80" s="164">
        <f>((VLOOKUP($B$76,Energy_demand!$A$34:$E$66,4,FALSE )))*M11</f>
        <v>105936184.77686033</v>
      </c>
      <c r="N80" s="164">
        <f>((VLOOKUP($B$76,Energy_demand!$A$34:$E$66,4,FALSE )))*N11</f>
        <v>80420755.484126642</v>
      </c>
      <c r="O80" s="164">
        <f>((VLOOKUP($B$76,Energy_demand!$A$34:$E$66,4,FALSE )))*O11</f>
        <v>59560013.252928652</v>
      </c>
      <c r="P80" s="164">
        <f>((VLOOKUP($B$76,Energy_demand!$A$34:$E$66,4,FALSE )))*P11</f>
        <v>43088858.12019296</v>
      </c>
      <c r="Q80" s="164">
        <f>((VLOOKUP($B$76,Energy_demand!$A$34:$E$66,4,FALSE )))*Q11</f>
        <v>30483762.467248894</v>
      </c>
      <c r="R80" s="164">
        <f>((VLOOKUP($B$76,Energy_demand!$A$34:$E$66,4,FALSE )))*R11</f>
        <v>21108974.658038251</v>
      </c>
      <c r="S80" s="164">
        <f>((VLOOKUP($B$76,Energy_demand!$A$34:$E$66,4,FALSE )))*S11</f>
        <v>14318894.548233338</v>
      </c>
      <c r="T80" s="164">
        <f>((VLOOKUP($B$76,Energy_demand!$A$34:$E$66,4,FALSE )))*T11</f>
        <v>9521437.3758132327</v>
      </c>
      <c r="U80" s="164">
        <f>((VLOOKUP($B$76,Energy_demand!$A$34:$E$66,4,FALSE )))*U11</f>
        <v>6210394.0225811247</v>
      </c>
      <c r="V80" s="164">
        <f>((VLOOKUP($B$76,Energy_demand!$A$34:$E$66,4,FALSE )))*V11</f>
        <v>3975615.5352026052</v>
      </c>
      <c r="W80" s="164">
        <f>((VLOOKUP($B$76,Energy_demand!$A$34:$E$66,4,FALSE )))*W11</f>
        <v>2499077.7385363891</v>
      </c>
      <c r="X80" s="164">
        <f>((VLOOKUP($B$76,Energy_demand!$A$34:$E$66,4,FALSE )))*X11</f>
        <v>1543288.4017348995</v>
      </c>
      <c r="Y80" s="164">
        <f>((VLOOKUP($B$76,Energy_demand!$A$34:$E$66,4,FALSE )))*Y11</f>
        <v>936679.86869435583</v>
      </c>
      <c r="Z80" s="164">
        <f>((VLOOKUP($B$76,Energy_demand!$A$34:$E$66,4,FALSE )))*Z11</f>
        <v>558961.9321606789</v>
      </c>
      <c r="AA80" s="164">
        <f>((VLOOKUP($B$76,Energy_demand!$A$34:$E$66,4,FALSE )))*AA11</f>
        <v>328078.40906854509</v>
      </c>
      <c r="AB80" s="164">
        <f>((VLOOKUP($B$76,Energy_demand!$A$34:$E$66,4,FALSE )))*AB11</f>
        <v>189462.67401982163</v>
      </c>
    </row>
    <row r="81" spans="1:28">
      <c r="B81" s="163">
        <v>2012</v>
      </c>
      <c r="C81" s="164">
        <f>((VLOOKUP($B$76,Energy_demand!$A$34:$E$66,4,FALSE )))*C12</f>
        <v>0</v>
      </c>
      <c r="D81" s="164">
        <f>((VLOOKUP($B$76,Energy_demand!$A$34:$E$66,4,FALSE )))*D12</f>
        <v>0</v>
      </c>
      <c r="E81" s="164">
        <f>((VLOOKUP($B$76,Energy_demand!$A$34:$E$66,4,FALSE )))*E12</f>
        <v>0</v>
      </c>
      <c r="F81" s="164">
        <f>((VLOOKUP($B$76,Energy_demand!$A$34:$E$66,4,FALSE )))*F12</f>
        <v>0</v>
      </c>
      <c r="G81" s="164">
        <f>((VLOOKUP($B$76,Energy_demand!$A$34:$E$66,4,FALSE )))*G12</f>
        <v>0</v>
      </c>
      <c r="H81" s="164">
        <f>((VLOOKUP($B$76,Energy_demand!$A$34:$E$66,4,FALSE )))*H12</f>
        <v>338730491.4962588</v>
      </c>
      <c r="I81" s="164">
        <f>((VLOOKUP($B$76,Energy_demand!$A$34:$E$66,4,FALSE )))*I12</f>
        <v>320271770.39870381</v>
      </c>
      <c r="J81" s="164">
        <f>((VLOOKUP($B$76,Energy_demand!$A$34:$E$66,4,FALSE )))*J12</f>
        <v>285813311.45888382</v>
      </c>
      <c r="K81" s="164">
        <f>((VLOOKUP($B$76,Energy_demand!$A$34:$E$66,4,FALSE )))*K12</f>
        <v>244747730.27291626</v>
      </c>
      <c r="L81" s="164">
        <f>((VLOOKUP($B$76,Energy_demand!$A$34:$E$66,4,FALSE )))*L12</f>
        <v>202404372.65818843</v>
      </c>
      <c r="M81" s="164">
        <f>((VLOOKUP($B$76,Energy_demand!$A$34:$E$66,4,FALSE )))*M12</f>
        <v>162279336.93320048</v>
      </c>
      <c r="N81" s="164">
        <f>((VLOOKUP($B$76,Energy_demand!$A$34:$E$66,4,FALSE )))*N12</f>
        <v>126476867.17779523</v>
      </c>
      <c r="O81" s="164">
        <f>((VLOOKUP($B$76,Energy_demand!$A$34:$E$66,4,FALSE )))*O12</f>
        <v>96014078.958274573</v>
      </c>
      <c r="P81" s="164">
        <f>((VLOOKUP($B$76,Energy_demand!$A$34:$E$66,4,FALSE )))*P12</f>
        <v>71108506.514233172</v>
      </c>
      <c r="Q81" s="164">
        <f>((VLOOKUP($B$76,Energy_demand!$A$34:$E$66,4,FALSE )))*Q12</f>
        <v>51443647.860168144</v>
      </c>
      <c r="R81" s="164">
        <f>((VLOOKUP($B$76,Energy_demand!$A$34:$E$66,4,FALSE )))*R12</f>
        <v>36394465.071313895</v>
      </c>
      <c r="S81" s="164">
        <f>((VLOOKUP($B$76,Energy_demand!$A$34:$E$66,4,FALSE )))*S12</f>
        <v>25201936.332780924</v>
      </c>
      <c r="T81" s="164">
        <f>((VLOOKUP($B$76,Energy_demand!$A$34:$E$66,4,FALSE )))*T12</f>
        <v>17095281.727621209</v>
      </c>
      <c r="U81" s="164">
        <f>((VLOOKUP($B$76,Energy_demand!$A$34:$E$66,4,FALSE )))*U12</f>
        <v>11367613.18013284</v>
      </c>
      <c r="V81" s="164">
        <f>((VLOOKUP($B$76,Energy_demand!$A$34:$E$66,4,FALSE )))*V12</f>
        <v>7414569.2670568693</v>
      </c>
      <c r="W81" s="164">
        <f>((VLOOKUP($B$76,Energy_demand!$A$34:$E$66,4,FALSE )))*W12</f>
        <v>4746474.4841899481</v>
      </c>
      <c r="X81" s="164">
        <f>((VLOOKUP($B$76,Energy_demand!$A$34:$E$66,4,FALSE )))*X12</f>
        <v>2983640.8010126138</v>
      </c>
      <c r="Y81" s="164">
        <f>((VLOOKUP($B$76,Energy_demand!$A$34:$E$66,4,FALSE )))*Y12</f>
        <v>1842527.0139225577</v>
      </c>
      <c r="Z81" s="164">
        <f>((VLOOKUP($B$76,Energy_demand!$A$34:$E$66,4,FALSE )))*Z12</f>
        <v>1118299.0551387859</v>
      </c>
      <c r="AA81" s="164">
        <f>((VLOOKUP($B$76,Energy_demand!$A$34:$E$66,4,FALSE )))*AA12</f>
        <v>667342.83663547668</v>
      </c>
      <c r="AB81" s="164">
        <f>((VLOOKUP($B$76,Energy_demand!$A$34:$E$66,4,FALSE )))*AB12</f>
        <v>391691.74777312134</v>
      </c>
    </row>
    <row r="82" spans="1:28">
      <c r="B82" s="163">
        <v>2013</v>
      </c>
      <c r="C82" s="164">
        <f>((VLOOKUP($B$76,Energy_demand!$A$34:$E$66,4,FALSE )))*C13</f>
        <v>0</v>
      </c>
      <c r="D82" s="164">
        <f>((VLOOKUP($B$76,Energy_demand!$A$34:$E$66,4,FALSE )))*D13</f>
        <v>0</v>
      </c>
      <c r="E82" s="164">
        <f>((VLOOKUP($B$76,Energy_demand!$A$34:$E$66,4,FALSE )))*E13</f>
        <v>0</v>
      </c>
      <c r="F82" s="164">
        <f>((VLOOKUP($B$76,Energy_demand!$A$34:$E$66,4,FALSE )))*F13</f>
        <v>0</v>
      </c>
      <c r="G82" s="164">
        <f>((VLOOKUP($B$76,Energy_demand!$A$34:$E$66,4,FALSE )))*G13</f>
        <v>0</v>
      </c>
      <c r="H82" s="164">
        <f>((VLOOKUP($B$76,Energy_demand!$A$34:$E$66,4,FALSE )))*H13</f>
        <v>0</v>
      </c>
      <c r="I82" s="164">
        <f>((VLOOKUP($B$76,Energy_demand!$A$34:$E$66,4,FALSE )))*I13</f>
        <v>328587056.57279235</v>
      </c>
      <c r="J82" s="164">
        <f>((VLOOKUP($B$76,Energy_demand!$A$34:$E$66,4,FALSE )))*J13</f>
        <v>310681090.0719564</v>
      </c>
      <c r="K82" s="164">
        <f>((VLOOKUP($B$76,Energy_demand!$A$34:$E$66,4,FALSE )))*K13</f>
        <v>277254504.98050195</v>
      </c>
      <c r="L82" s="164">
        <f>((VLOOKUP($B$76,Energy_demand!$A$34:$E$66,4,FALSE )))*L13</f>
        <v>237418650.85132873</v>
      </c>
      <c r="M82" s="164">
        <f>((VLOOKUP($B$76,Energy_demand!$A$34:$E$66,4,FALSE )))*M13</f>
        <v>196343283.87573358</v>
      </c>
      <c r="N82" s="164">
        <f>((VLOOKUP($B$76,Energy_demand!$A$34:$E$66,4,FALSE )))*N13</f>
        <v>157419810.15622184</v>
      </c>
      <c r="O82" s="164">
        <f>((VLOOKUP($B$76,Energy_demand!$A$34:$E$66,4,FALSE )))*O13</f>
        <v>122689461.24963404</v>
      </c>
      <c r="P82" s="164">
        <f>((VLOOKUP($B$76,Energy_demand!$A$34:$E$66,4,FALSE )))*P13</f>
        <v>93138894.745162219</v>
      </c>
      <c r="Q82" s="164">
        <f>((VLOOKUP($B$76,Energy_demand!$A$34:$E$66,4,FALSE )))*Q13</f>
        <v>68979130.723037288</v>
      </c>
      <c r="R82" s="164">
        <f>((VLOOKUP($B$76,Energy_demand!$A$34:$E$66,4,FALSE )))*R13</f>
        <v>49903144.990201078</v>
      </c>
      <c r="S82" s="164">
        <f>((VLOOKUP($B$76,Energy_demand!$A$34:$E$66,4,FALSE )))*S13</f>
        <v>35304616.659986794</v>
      </c>
      <c r="T82" s="164">
        <f>((VLOOKUP($B$76,Energy_demand!$A$34:$E$66,4,FALSE )))*T13</f>
        <v>24447253.162666216</v>
      </c>
      <c r="U82" s="164">
        <f>((VLOOKUP($B$76,Energy_demand!$A$34:$E$66,4,FALSE )))*U13</f>
        <v>16583355.928037953</v>
      </c>
      <c r="V82" s="164">
        <f>((VLOOKUP($B$76,Energy_demand!$A$34:$E$66,4,FALSE )))*V13</f>
        <v>11027204.957600294</v>
      </c>
      <c r="W82" s="164">
        <f>((VLOOKUP($B$76,Energy_demand!$A$34:$E$66,4,FALSE )))*W13</f>
        <v>7192536.6991775855</v>
      </c>
      <c r="X82" s="164">
        <f>((VLOOKUP($B$76,Energy_demand!$A$34:$E$66,4,FALSE )))*X13</f>
        <v>4604339.1988969017</v>
      </c>
      <c r="Y82" s="164">
        <f>((VLOOKUP($B$76,Energy_demand!$A$34:$E$66,4,FALSE )))*Y13</f>
        <v>2894294.3528485131</v>
      </c>
      <c r="Z82" s="164">
        <f>((VLOOKUP($B$76,Energy_demand!$A$34:$E$66,4,FALSE )))*Z13</f>
        <v>1787351.7246301884</v>
      </c>
      <c r="AA82" s="164">
        <f>((VLOOKUP($B$76,Energy_demand!$A$34:$E$66,4,FALSE )))*AA13</f>
        <v>1084811.093542333</v>
      </c>
      <c r="AB82" s="164">
        <f>((VLOOKUP($B$76,Energy_demand!$A$34:$E$66,4,FALSE )))*AB13</f>
        <v>647358.9591724457</v>
      </c>
    </row>
    <row r="83" spans="1:28">
      <c r="B83" s="163">
        <v>2014</v>
      </c>
      <c r="C83" s="164">
        <f>((VLOOKUP($B$76,Energy_demand!$A$34:$E$66,4,FALSE )))*C14</f>
        <v>0</v>
      </c>
      <c r="D83" s="164">
        <f>((VLOOKUP($B$76,Energy_demand!$A$34:$E$66,4,FALSE )))*D14</f>
        <v>0</v>
      </c>
      <c r="E83" s="164">
        <f>((VLOOKUP($B$76,Energy_demand!$A$34:$E$66,4,FALSE )))*E14</f>
        <v>0</v>
      </c>
      <c r="F83" s="164">
        <f>((VLOOKUP($B$76,Energy_demand!$A$34:$E$66,4,FALSE )))*F14</f>
        <v>0</v>
      </c>
      <c r="G83" s="164">
        <f>((VLOOKUP($B$76,Energy_demand!$A$34:$E$66,4,FALSE )))*G14</f>
        <v>0</v>
      </c>
      <c r="H83" s="164">
        <f>((VLOOKUP($B$76,Energy_demand!$A$34:$E$66,4,FALSE )))*H14</f>
        <v>0</v>
      </c>
      <c r="I83" s="164">
        <f>((VLOOKUP($B$76,Energy_demand!$A$34:$E$66,4,FALSE )))*I14</f>
        <v>0</v>
      </c>
      <c r="J83" s="164">
        <f>((VLOOKUP($B$76,Energy_demand!$A$34:$E$66,4,FALSE )))*J14</f>
        <v>312627715.25699621</v>
      </c>
      <c r="K83" s="164">
        <f>((VLOOKUP($B$76,Energy_demand!$A$34:$E$66,4,FALSE )))*K14</f>
        <v>295591434.35472476</v>
      </c>
      <c r="L83" s="164">
        <f>((VLOOKUP($B$76,Energy_demand!$A$34:$E$66,4,FALSE )))*L14</f>
        <v>263788365.07080138</v>
      </c>
      <c r="M83" s="164">
        <f>((VLOOKUP($B$76,Energy_demand!$A$34:$E$66,4,FALSE )))*M14</f>
        <v>225887322.37116143</v>
      </c>
      <c r="N83" s="164">
        <f>((VLOOKUP($B$76,Energy_demand!$A$34:$E$66,4,FALSE )))*N14</f>
        <v>186806969.46603036</v>
      </c>
      <c r="O83" s="164">
        <f>((VLOOKUP($B$76,Energy_demand!$A$34:$E$66,4,FALSE )))*O14</f>
        <v>149773993.22613707</v>
      </c>
      <c r="P83" s="164">
        <f>((VLOOKUP($B$76,Energy_demand!$A$34:$E$66,4,FALSE )))*P14</f>
        <v>116730483.41174625</v>
      </c>
      <c r="Q83" s="164">
        <f>((VLOOKUP($B$76,Energy_demand!$A$34:$E$66,4,FALSE )))*Q14</f>
        <v>88615176.049368843</v>
      </c>
      <c r="R83" s="164">
        <f>((VLOOKUP($B$76,Energy_demand!$A$34:$E$66,4,FALSE )))*R14</f>
        <v>65628842.058724068</v>
      </c>
      <c r="S83" s="164">
        <f>((VLOOKUP($B$76,Energy_demand!$A$34:$E$66,4,FALSE )))*S14</f>
        <v>47479369.288452312</v>
      </c>
      <c r="T83" s="164">
        <f>((VLOOKUP($B$76,Energy_demand!$A$34:$E$66,4,FALSE )))*T14</f>
        <v>33589885.613740452</v>
      </c>
      <c r="U83" s="164">
        <f>((VLOOKUP($B$76,Energy_demand!$A$34:$E$66,4,FALSE )))*U14</f>
        <v>23259859.899139311</v>
      </c>
      <c r="V83" s="164">
        <f>((VLOOKUP($B$76,Energy_demand!$A$34:$E$66,4,FALSE )))*V14</f>
        <v>15777908.993586781</v>
      </c>
      <c r="W83" s="164">
        <f>((VLOOKUP($B$76,Energy_demand!$A$34:$E$66,4,FALSE )))*W14</f>
        <v>10491618.043395123</v>
      </c>
      <c r="X83" s="164">
        <f>((VLOOKUP($B$76,Energy_demand!$A$34:$E$66,4,FALSE )))*X14</f>
        <v>6843198.0815648884</v>
      </c>
      <c r="Y83" s="164">
        <f>((VLOOKUP($B$76,Energy_demand!$A$34:$E$66,4,FALSE )))*Y14</f>
        <v>4380708.2939692251</v>
      </c>
      <c r="Z83" s="164">
        <f>((VLOOKUP($B$76,Energy_demand!$A$34:$E$66,4,FALSE )))*Z14</f>
        <v>2753719.6390199484</v>
      </c>
      <c r="AA83" s="164">
        <f>((VLOOKUP($B$76,Energy_demand!$A$34:$E$66,4,FALSE )))*AA14</f>
        <v>1700540.7694992435</v>
      </c>
      <c r="AB83" s="164">
        <f>((VLOOKUP($B$76,Energy_demand!$A$34:$E$66,4,FALSE )))*AB14</f>
        <v>1032122.2545917674</v>
      </c>
    </row>
    <row r="84" spans="1:28">
      <c r="B84" s="163">
        <v>2015</v>
      </c>
      <c r="C84" s="164">
        <f>((VLOOKUP($B$76,Energy_demand!$A$34:$E$66,4,FALSE )))*C15</f>
        <v>0</v>
      </c>
      <c r="D84" s="164">
        <f>((VLOOKUP($B$76,Energy_demand!$A$34:$E$66,4,FALSE )))*D15</f>
        <v>0</v>
      </c>
      <c r="E84" s="164">
        <f>((VLOOKUP($B$76,Energy_demand!$A$34:$E$66,4,FALSE )))*E15</f>
        <v>0</v>
      </c>
      <c r="F84" s="164">
        <f>((VLOOKUP($B$76,Energy_demand!$A$34:$E$66,4,FALSE )))*F15</f>
        <v>0</v>
      </c>
      <c r="G84" s="164">
        <f>((VLOOKUP($B$76,Energy_demand!$A$34:$E$66,4,FALSE )))*G15</f>
        <v>0</v>
      </c>
      <c r="H84" s="164">
        <f>((VLOOKUP($B$76,Energy_demand!$A$34:$E$66,4,FALSE )))*H15</f>
        <v>0</v>
      </c>
      <c r="I84" s="164">
        <f>((VLOOKUP($B$76,Energy_demand!$A$34:$E$66,4,FALSE )))*I15</f>
        <v>0</v>
      </c>
      <c r="J84" s="164">
        <f>((VLOOKUP($B$76,Energy_demand!$A$34:$E$66,4,FALSE )))*J15</f>
        <v>0</v>
      </c>
      <c r="K84" s="164">
        <f>((VLOOKUP($B$76,Energy_demand!$A$34:$E$66,4,FALSE )))*K15</f>
        <v>299943283.00690287</v>
      </c>
      <c r="L84" s="164">
        <f>((VLOOKUP($B$76,Energy_demand!$A$34:$E$66,4,FALSE )))*L15</f>
        <v>283598225.3722831</v>
      </c>
      <c r="M84" s="164">
        <f>((VLOOKUP($B$76,Energy_demand!$A$34:$E$66,4,FALSE )))*M15</f>
        <v>253085521.13915291</v>
      </c>
      <c r="N84" s="164">
        <f>((VLOOKUP($B$76,Energy_demand!$A$34:$E$66,4,FALSE )))*N15</f>
        <v>216722260.23194388</v>
      </c>
      <c r="O84" s="164">
        <f>((VLOOKUP($B$76,Energy_demand!$A$34:$E$66,4,FALSE )))*O15</f>
        <v>179227537.9812395</v>
      </c>
      <c r="P84" s="164">
        <f>((VLOOKUP($B$76,Energy_demand!$A$34:$E$66,4,FALSE )))*P15</f>
        <v>143697122.95140427</v>
      </c>
      <c r="Q84" s="164">
        <f>((VLOOKUP($B$76,Energy_demand!$A$34:$E$66,4,FALSE )))*Q15</f>
        <v>111994307.32723066</v>
      </c>
      <c r="R84" s="164">
        <f>((VLOOKUP($B$76,Energy_demand!$A$34:$E$66,4,FALSE )))*R15</f>
        <v>85019739.234036282</v>
      </c>
      <c r="S84" s="164">
        <f>((VLOOKUP($B$76,Energy_demand!$A$34:$E$66,4,FALSE )))*S15</f>
        <v>62966043.592306487</v>
      </c>
      <c r="T84" s="164">
        <f>((VLOOKUP($B$76,Energy_demand!$A$34:$E$66,4,FALSE )))*T15</f>
        <v>45552960.292623349</v>
      </c>
      <c r="U84" s="164">
        <f>((VLOOKUP($B$76,Energy_demand!$A$34:$E$66,4,FALSE )))*U15</f>
        <v>32227022.989722531</v>
      </c>
      <c r="V84" s="164">
        <f>((VLOOKUP($B$76,Energy_demand!$A$34:$E$66,4,FALSE )))*V15</f>
        <v>22316123.619088907</v>
      </c>
      <c r="W84" s="164">
        <f>((VLOOKUP($B$76,Energy_demand!$A$34:$E$66,4,FALSE )))*W15</f>
        <v>15137742.405948289</v>
      </c>
      <c r="X84" s="164">
        <f>((VLOOKUP($B$76,Energy_demand!$A$34:$E$66,4,FALSE )))*X15</f>
        <v>10065935.316718431</v>
      </c>
      <c r="Y84" s="164">
        <f>((VLOOKUP($B$76,Energy_demand!$A$34:$E$66,4,FALSE )))*Y15</f>
        <v>6565544.8915135115</v>
      </c>
      <c r="Z84" s="164">
        <f>((VLOOKUP($B$76,Energy_demand!$A$34:$E$66,4,FALSE )))*Z15</f>
        <v>4202967.1825754521</v>
      </c>
      <c r="AA84" s="164">
        <f>((VLOOKUP($B$76,Energy_demand!$A$34:$E$66,4,FALSE )))*AA15</f>
        <v>2641991.3165064235</v>
      </c>
      <c r="AB84" s="164">
        <f>((VLOOKUP($B$76,Energy_demand!$A$34:$E$66,4,FALSE )))*AB15</f>
        <v>1631543.7064541364</v>
      </c>
    </row>
    <row r="85" spans="1:28">
      <c r="A85" s="21"/>
      <c r="B85" s="163">
        <v>2016</v>
      </c>
      <c r="C85" s="164">
        <f>((VLOOKUP($B$76,Energy_demand!$A$34:$E$66,4,FALSE )))*C16</f>
        <v>0</v>
      </c>
      <c r="D85" s="164">
        <f>((VLOOKUP($B$76,Energy_demand!$A$34:$E$66,4,FALSE )))*D16</f>
        <v>0</v>
      </c>
      <c r="E85" s="164">
        <f>((VLOOKUP($B$76,Energy_demand!$A$34:$E$66,4,FALSE )))*E16</f>
        <v>0</v>
      </c>
      <c r="F85" s="164">
        <f>((VLOOKUP($B$76,Energy_demand!$A$34:$E$66,4,FALSE )))*F16</f>
        <v>0</v>
      </c>
      <c r="G85" s="164">
        <f>((VLOOKUP($B$76,Energy_demand!$A$34:$E$66,4,FALSE )))*G16</f>
        <v>0</v>
      </c>
      <c r="H85" s="164">
        <f>((VLOOKUP($B$76,Energy_demand!$A$34:$E$66,4,FALSE )))*H16</f>
        <v>0</v>
      </c>
      <c r="I85" s="164">
        <f>((VLOOKUP($B$76,Energy_demand!$A$34:$E$66,4,FALSE )))*I16</f>
        <v>0</v>
      </c>
      <c r="J85" s="164">
        <f>((VLOOKUP($B$76,Energy_demand!$A$34:$E$66,4,FALSE )))*J16</f>
        <v>0</v>
      </c>
      <c r="K85" s="164">
        <f>((VLOOKUP($B$76,Energy_demand!$A$34:$E$66,4,FALSE )))*K16</f>
        <v>0</v>
      </c>
      <c r="L85" s="164">
        <f>((VLOOKUP($B$76,Energy_demand!$A$34:$E$66,4,FALSE )))*L16</f>
        <v>320474153.71232688</v>
      </c>
      <c r="M85" s="164">
        <f>((VLOOKUP($B$76,Energy_demand!$A$34:$E$66,4,FALSE )))*M16</f>
        <v>303010290.34348655</v>
      </c>
      <c r="N85" s="164">
        <f>((VLOOKUP($B$76,Energy_demand!$A$34:$E$66,4,FALSE )))*N16</f>
        <v>270409016.63414359</v>
      </c>
      <c r="O85" s="164">
        <f>((VLOOKUP($B$76,Energy_demand!$A$34:$E$66,4,FALSE )))*O16</f>
        <v>231556720.46457025</v>
      </c>
      <c r="P85" s="164">
        <f>((VLOOKUP($B$76,Energy_demand!$A$34:$E$66,4,FALSE )))*P16</f>
        <v>191495515.35434711</v>
      </c>
      <c r="Q85" s="164">
        <f>((VLOOKUP($B$76,Energy_demand!$A$34:$E$66,4,FALSE )))*Q16</f>
        <v>153533072.67656884</v>
      </c>
      <c r="R85" s="164">
        <f>((VLOOKUP($B$76,Energy_demand!$A$34:$E$66,4,FALSE )))*R16</f>
        <v>119660225.43157433</v>
      </c>
      <c r="S85" s="164">
        <f>((VLOOKUP($B$76,Energy_demand!$A$34:$E$66,4,FALSE )))*S16</f>
        <v>90839270.367136165</v>
      </c>
      <c r="T85" s="164">
        <f>((VLOOKUP($B$76,Energy_demand!$A$34:$E$66,4,FALSE )))*T16</f>
        <v>67276017.420911908</v>
      </c>
      <c r="U85" s="164">
        <f>((VLOOKUP($B$76,Energy_demand!$A$34:$E$66,4,FALSE )))*U16</f>
        <v>48671022.909800343</v>
      </c>
      <c r="V85" s="164">
        <f>((VLOOKUP($B$76,Energy_demand!$A$34:$E$66,4,FALSE )))*V16</f>
        <v>34432936.173007563</v>
      </c>
      <c r="W85" s="164">
        <f>((VLOOKUP($B$76,Energy_demand!$A$34:$E$66,4,FALSE )))*W16</f>
        <v>23843643.902512722</v>
      </c>
      <c r="X85" s="164">
        <f>((VLOOKUP($B$76,Energy_demand!$A$34:$E$66,4,FALSE )))*X16</f>
        <v>16173908.407043189</v>
      </c>
      <c r="Y85" s="164">
        <f>((VLOOKUP($B$76,Energy_demand!$A$34:$E$66,4,FALSE )))*Y16</f>
        <v>10754940.29941028</v>
      </c>
      <c r="Z85" s="164">
        <f>((VLOOKUP($B$76,Energy_demand!$A$34:$E$66,4,FALSE )))*Z16</f>
        <v>7014951.0323245348</v>
      </c>
      <c r="AA85" s="164">
        <f>((VLOOKUP($B$76,Energy_demand!$A$34:$E$66,4,FALSE )))*AA16</f>
        <v>4490656.8248956334</v>
      </c>
      <c r="AB85" s="164">
        <f>((VLOOKUP($B$76,Energy_demand!$A$34:$E$66,4,FALSE )))*AB16</f>
        <v>2822833.4463260071</v>
      </c>
    </row>
    <row r="86" spans="1:28">
      <c r="B86" s="163">
        <v>2017</v>
      </c>
      <c r="C86" s="164">
        <f>((VLOOKUP($B$76,Energy_demand!$A$34:$E$66,4,FALSE )))*C17</f>
        <v>0</v>
      </c>
      <c r="D86" s="164">
        <f>((VLOOKUP($B$76,Energy_demand!$A$34:$E$66,4,FALSE )))*D17</f>
        <v>0</v>
      </c>
      <c r="E86" s="164">
        <f>((VLOOKUP($B$76,Energy_demand!$A$34:$E$66,4,FALSE )))*E17</f>
        <v>0</v>
      </c>
      <c r="F86" s="164">
        <f>((VLOOKUP($B$76,Energy_demand!$A$34:$E$66,4,FALSE )))*F17</f>
        <v>0</v>
      </c>
      <c r="G86" s="164">
        <f>((VLOOKUP($B$76,Energy_demand!$A$34:$E$66,4,FALSE )))*G17</f>
        <v>0</v>
      </c>
      <c r="H86" s="164">
        <f>((VLOOKUP($B$76,Energy_demand!$A$34:$E$66,4,FALSE )))*H17</f>
        <v>0</v>
      </c>
      <c r="I86" s="164">
        <f>((VLOOKUP($B$76,Energy_demand!$A$34:$E$66,4,FALSE )))*I17</f>
        <v>0</v>
      </c>
      <c r="J86" s="164">
        <f>((VLOOKUP($B$76,Energy_demand!$A$34:$E$66,4,FALSE )))*J17</f>
        <v>0</v>
      </c>
      <c r="K86" s="164">
        <f>((VLOOKUP($B$76,Energy_demand!$A$34:$E$66,4,FALSE )))*K17</f>
        <v>0</v>
      </c>
      <c r="L86" s="164">
        <f>((VLOOKUP($B$76,Energy_demand!$A$34:$E$66,4,FALSE )))*L17</f>
        <v>0</v>
      </c>
      <c r="M86" s="164">
        <f>((VLOOKUP($B$76,Energy_demand!$A$34:$E$66,4,FALSE )))*M17</f>
        <v>291960627.89220679</v>
      </c>
      <c r="N86" s="164">
        <f>((VLOOKUP($B$76,Energy_demand!$A$34:$E$66,4,FALSE )))*N17</f>
        <v>276050575.69134432</v>
      </c>
      <c r="O86" s="164">
        <f>((VLOOKUP($B$76,Energy_demand!$A$34:$E$66,4,FALSE )))*O17</f>
        <v>246349932.96553645</v>
      </c>
      <c r="P86" s="164">
        <f>((VLOOKUP($B$76,Energy_demand!$A$34:$E$66,4,FALSE )))*P17</f>
        <v>210954439.59010205</v>
      </c>
      <c r="Q86" s="164">
        <f>((VLOOKUP($B$76,Energy_demand!$A$34:$E$66,4,FALSE )))*Q17</f>
        <v>174457597.44975775</v>
      </c>
      <c r="R86" s="164">
        <f>((VLOOKUP($B$76,Energy_demand!$A$34:$E$66,4,FALSE )))*R17</f>
        <v>139872784.68986455</v>
      </c>
      <c r="S86" s="164">
        <f>((VLOOKUP($B$76,Energy_demand!$A$34:$E$66,4,FALSE )))*S17</f>
        <v>109013704.05703844</v>
      </c>
      <c r="T86" s="164">
        <f>((VLOOKUP($B$76,Energy_demand!$A$34:$E$66,4,FALSE )))*T17</f>
        <v>82757033.933744267</v>
      </c>
      <c r="U86" s="164">
        <f>((VLOOKUP($B$76,Energy_demand!$A$34:$E$66,4,FALSE )))*U17</f>
        <v>61290272.743579954</v>
      </c>
      <c r="V86" s="164">
        <f>((VLOOKUP($B$76,Energy_demand!$A$34:$E$66,4,FALSE )))*V17</f>
        <v>44340619.186584681</v>
      </c>
      <c r="W86" s="164">
        <f>((VLOOKUP($B$76,Energy_demand!$A$34:$E$66,4,FALSE )))*W17</f>
        <v>31369336.8054501</v>
      </c>
      <c r="X86" s="164">
        <f>((VLOOKUP($B$76,Energy_demand!$A$34:$E$66,4,FALSE )))*X17</f>
        <v>21722204.940323193</v>
      </c>
      <c r="Y86" s="164">
        <f>((VLOOKUP($B$76,Energy_demand!$A$34:$E$66,4,FALSE )))*Y17</f>
        <v>14734868.317119256</v>
      </c>
      <c r="Z86" s="164">
        <f>((VLOOKUP($B$76,Energy_demand!$A$34:$E$66,4,FALSE )))*Z17</f>
        <v>9798041.7028502617</v>
      </c>
      <c r="AA86" s="164">
        <f>((VLOOKUP($B$76,Energy_demand!$A$34:$E$66,4,FALSE )))*AA17</f>
        <v>6390810.2550729252</v>
      </c>
      <c r="AB86" s="164">
        <f>((VLOOKUP($B$76,Energy_demand!$A$34:$E$66,4,FALSE )))*AB17</f>
        <v>4091109.9102920331</v>
      </c>
    </row>
    <row r="87" spans="1:28">
      <c r="B87" s="163">
        <v>2018</v>
      </c>
      <c r="C87" s="164">
        <f>((VLOOKUP($B$76,Energy_demand!$A$34:$E$66,4,FALSE )))*C18</f>
        <v>0</v>
      </c>
      <c r="D87" s="164">
        <f>((VLOOKUP($B$76,Energy_demand!$A$34:$E$66,4,FALSE )))*D18</f>
        <v>0</v>
      </c>
      <c r="E87" s="164">
        <f>((VLOOKUP($B$76,Energy_demand!$A$34:$E$66,4,FALSE )))*E18</f>
        <v>0</v>
      </c>
      <c r="F87" s="164">
        <f>((VLOOKUP($B$76,Energy_demand!$A$34:$E$66,4,FALSE )))*F18</f>
        <v>0</v>
      </c>
      <c r="G87" s="164">
        <f>((VLOOKUP($B$76,Energy_demand!$A$34:$E$66,4,FALSE )))*G18</f>
        <v>0</v>
      </c>
      <c r="H87" s="164">
        <f>((VLOOKUP($B$76,Energy_demand!$A$34:$E$66,4,FALSE )))*H18</f>
        <v>0</v>
      </c>
      <c r="I87" s="164">
        <f>((VLOOKUP($B$76,Energy_demand!$A$34:$E$66,4,FALSE )))*I18</f>
        <v>0</v>
      </c>
      <c r="J87" s="164">
        <f>((VLOOKUP($B$76,Energy_demand!$A$34:$E$66,4,FALSE )))*J18</f>
        <v>0</v>
      </c>
      <c r="K87" s="164">
        <f>((VLOOKUP($B$76,Energy_demand!$A$34:$E$66,4,FALSE )))*K18</f>
        <v>0</v>
      </c>
      <c r="L87" s="164">
        <f>((VLOOKUP($B$76,Energy_demand!$A$34:$E$66,4,FALSE )))*L18</f>
        <v>0</v>
      </c>
      <c r="M87" s="164">
        <f>((VLOOKUP($B$76,Energy_demand!$A$34:$E$66,4,FALSE )))*M18</f>
        <v>0</v>
      </c>
      <c r="N87" s="164">
        <f>((VLOOKUP($B$76,Energy_demand!$A$34:$E$66,4,FALSE )))*N18</f>
        <v>325976787.68342519</v>
      </c>
      <c r="O87" s="164">
        <f>((VLOOKUP($B$76,Energy_demand!$A$34:$E$66,4,FALSE )))*O18</f>
        <v>308213064.72613806</v>
      </c>
      <c r="P87" s="164">
        <f>((VLOOKUP($B$76,Energy_demand!$A$34:$E$66,4,FALSE )))*P18</f>
        <v>275052017.7117219</v>
      </c>
      <c r="Q87" s="164">
        <f>((VLOOKUP($B$76,Energy_demand!$A$34:$E$66,4,FALSE )))*Q18</f>
        <v>235532616.37225774</v>
      </c>
      <c r="R87" s="164">
        <f>((VLOOKUP($B$76,Energy_demand!$A$34:$E$66,4,FALSE )))*R18</f>
        <v>194783548.77574959</v>
      </c>
      <c r="S87" s="164">
        <f>((VLOOKUP($B$76,Energy_demand!$A$34:$E$66,4,FALSE )))*S18</f>
        <v>156169279.97007665</v>
      </c>
      <c r="T87" s="164">
        <f>((VLOOKUP($B$76,Energy_demand!$A$34:$E$66,4,FALSE )))*T18</f>
        <v>121714826.13438205</v>
      </c>
      <c r="U87" s="164">
        <f>((VLOOKUP($B$76,Energy_demand!$A$34:$E$66,4,FALSE )))*U18</f>
        <v>92399006.930106163</v>
      </c>
      <c r="V87" s="164">
        <f>((VLOOKUP($B$76,Energy_demand!$A$34:$E$66,4,FALSE )))*V18</f>
        <v>68431166.111101791</v>
      </c>
      <c r="W87" s="164">
        <f>((VLOOKUP($B$76,Energy_demand!$A$34:$E$66,4,FALSE )))*W18</f>
        <v>49506718.459563695</v>
      </c>
      <c r="X87" s="164">
        <f>((VLOOKUP($B$76,Energy_demand!$A$34:$E$66,4,FALSE )))*X18</f>
        <v>35024159.652702995</v>
      </c>
      <c r="Y87" s="164">
        <f>((VLOOKUP($B$76,Energy_demand!$A$34:$E$66,4,FALSE )))*Y18</f>
        <v>24253046.169163253</v>
      </c>
      <c r="Z87" s="164">
        <f>((VLOOKUP($B$76,Energy_demand!$A$34:$E$66,4,FALSE )))*Z18</f>
        <v>16451619.095456202</v>
      </c>
      <c r="AA87" s="164">
        <f>((VLOOKUP($B$76,Energy_demand!$A$34:$E$66,4,FALSE )))*AA18</f>
        <v>10939605.737053629</v>
      </c>
      <c r="AB87" s="164">
        <f>((VLOOKUP($B$76,Energy_demand!$A$34:$E$66,4,FALSE )))*AB18</f>
        <v>7135399.7718216674</v>
      </c>
    </row>
    <row r="88" spans="1:28">
      <c r="B88" s="163">
        <v>2019</v>
      </c>
      <c r="C88" s="164">
        <f>((VLOOKUP($B$76,Energy_demand!$A$34:$E$66,4,FALSE )))*C19</f>
        <v>0</v>
      </c>
      <c r="D88" s="164">
        <f>((VLOOKUP($B$76,Energy_demand!$A$34:$E$66,4,FALSE )))*D19</f>
        <v>0</v>
      </c>
      <c r="E88" s="164">
        <f>((VLOOKUP($B$76,Energy_demand!$A$34:$E$66,4,FALSE )))*E19</f>
        <v>0</v>
      </c>
      <c r="F88" s="164">
        <f>((VLOOKUP($B$76,Energy_demand!$A$34:$E$66,4,FALSE )))*F19</f>
        <v>0</v>
      </c>
      <c r="G88" s="164">
        <f>((VLOOKUP($B$76,Energy_demand!$A$34:$E$66,4,FALSE )))*G19</f>
        <v>0</v>
      </c>
      <c r="H88" s="164">
        <f>((VLOOKUP($B$76,Energy_demand!$A$34:$E$66,4,FALSE )))*H19</f>
        <v>0</v>
      </c>
      <c r="I88" s="164">
        <f>((VLOOKUP($B$76,Energy_demand!$A$34:$E$66,4,FALSE )))*I19</f>
        <v>0</v>
      </c>
      <c r="J88" s="164">
        <f>((VLOOKUP($B$76,Energy_demand!$A$34:$E$66,4,FALSE )))*J19</f>
        <v>0</v>
      </c>
      <c r="K88" s="164">
        <f>((VLOOKUP($B$76,Energy_demand!$A$34:$E$66,4,FALSE )))*K19</f>
        <v>0</v>
      </c>
      <c r="L88" s="164">
        <f>((VLOOKUP($B$76,Energy_demand!$A$34:$E$66,4,FALSE )))*L19</f>
        <v>0</v>
      </c>
      <c r="M88" s="164">
        <f>((VLOOKUP($B$76,Energy_demand!$A$34:$E$66,4,FALSE )))*M19</f>
        <v>0</v>
      </c>
      <c r="N88" s="164">
        <f>((VLOOKUP($B$76,Energy_demand!$A$34:$E$66,4,FALSE )))*N19</f>
        <v>0</v>
      </c>
      <c r="O88" s="164">
        <f>((VLOOKUP($B$76,Energy_demand!$A$34:$E$66,4,FALSE )))*O19</f>
        <v>424398058.72580945</v>
      </c>
      <c r="P88" s="164">
        <f>((VLOOKUP($B$76,Energy_demand!$A$34:$E$66,4,FALSE )))*P19</f>
        <v>401270983.96569735</v>
      </c>
      <c r="Q88" s="164">
        <f>((VLOOKUP($B$76,Energy_demand!$A$34:$E$66,4,FALSE )))*Q19</f>
        <v>358097713.62872761</v>
      </c>
      <c r="R88" s="164">
        <f>((VLOOKUP($B$76,Energy_demand!$A$34:$E$66,4,FALSE )))*R19</f>
        <v>306646328.60936558</v>
      </c>
      <c r="S88" s="164">
        <f>((VLOOKUP($B$76,Energy_demand!$A$34:$E$66,4,FALSE )))*S19</f>
        <v>253594007.59674218</v>
      </c>
      <c r="T88" s="164">
        <f>((VLOOKUP($B$76,Energy_demand!$A$34:$E$66,4,FALSE )))*T19</f>
        <v>203321039.27680364</v>
      </c>
      <c r="U88" s="164">
        <f>((VLOOKUP($B$76,Energy_demand!$A$34:$E$66,4,FALSE )))*U19</f>
        <v>158463847.36985269</v>
      </c>
      <c r="V88" s="164">
        <f>((VLOOKUP($B$76,Energy_demand!$A$34:$E$66,4,FALSE )))*V19</f>
        <v>120296783.85386327</v>
      </c>
      <c r="W88" s="164">
        <f>((VLOOKUP($B$76,Energy_demand!$A$34:$E$66,4,FALSE )))*W19</f>
        <v>89092399.064007625</v>
      </c>
      <c r="X88" s="164">
        <f>((VLOOKUP($B$76,Energy_demand!$A$34:$E$66,4,FALSE )))*X19</f>
        <v>64454145.209040426</v>
      </c>
      <c r="Y88" s="164">
        <f>((VLOOKUP($B$76,Energy_demand!$A$34:$E$66,4,FALSE )))*Y19</f>
        <v>45598907.427560262</v>
      </c>
      <c r="Z88" s="164">
        <f>((VLOOKUP($B$76,Energy_demand!$A$34:$E$66,4,FALSE )))*Z19</f>
        <v>31575701.4035502</v>
      </c>
      <c r="AA88" s="164">
        <f>((VLOOKUP($B$76,Energy_demand!$A$34:$E$66,4,FALSE )))*AA19</f>
        <v>21418811.003772222</v>
      </c>
      <c r="AB88" s="164">
        <f>((VLOOKUP($B$76,Energy_demand!$A$34:$E$66,4,FALSE )))*AB19</f>
        <v>14242570.67819236</v>
      </c>
    </row>
    <row r="89" spans="1:28">
      <c r="B89" s="163">
        <v>2020</v>
      </c>
      <c r="C89" s="164">
        <f>((VLOOKUP($B$76,Energy_demand!$A$34:$E$66,4,FALSE )))*C20</f>
        <v>0</v>
      </c>
      <c r="D89" s="164">
        <f>((VLOOKUP($B$76,Energy_demand!$A$34:$E$66,4,FALSE )))*D20</f>
        <v>0</v>
      </c>
      <c r="E89" s="164">
        <f>((VLOOKUP($B$76,Energy_demand!$A$34:$E$66,4,FALSE )))*E20</f>
        <v>0</v>
      </c>
      <c r="F89" s="164">
        <f>((VLOOKUP($B$76,Energy_demand!$A$34:$E$66,4,FALSE )))*F20</f>
        <v>0</v>
      </c>
      <c r="G89" s="164">
        <f>((VLOOKUP($B$76,Energy_demand!$A$34:$E$66,4,FALSE )))*G20</f>
        <v>0</v>
      </c>
      <c r="H89" s="164">
        <f>((VLOOKUP($B$76,Energy_demand!$A$34:$E$66,4,FALSE )))*H20</f>
        <v>0</v>
      </c>
      <c r="I89" s="164">
        <f>((VLOOKUP($B$76,Energy_demand!$A$34:$E$66,4,FALSE )))*I20</f>
        <v>0</v>
      </c>
      <c r="J89" s="164">
        <f>((VLOOKUP($B$76,Energy_demand!$A$34:$E$66,4,FALSE )))*J20</f>
        <v>0</v>
      </c>
      <c r="K89" s="164">
        <f>((VLOOKUP($B$76,Energy_demand!$A$34:$E$66,4,FALSE )))*K20</f>
        <v>0</v>
      </c>
      <c r="L89" s="164">
        <f>((VLOOKUP($B$76,Energy_demand!$A$34:$E$66,4,FALSE )))*L20</f>
        <v>0</v>
      </c>
      <c r="M89" s="164">
        <f>((VLOOKUP($B$76,Energy_demand!$A$34:$E$66,4,FALSE )))*M20</f>
        <v>0</v>
      </c>
      <c r="N89" s="164">
        <f>((VLOOKUP($B$76,Energy_demand!$A$34:$E$66,4,FALSE )))*N20</f>
        <v>0</v>
      </c>
      <c r="O89" s="164">
        <f>((VLOOKUP($B$76,Energy_demand!$A$34:$E$66,4,FALSE )))*O20</f>
        <v>0</v>
      </c>
      <c r="P89" s="164">
        <f>((VLOOKUP($B$76,Energy_demand!$A$34:$E$66,4,FALSE )))*P20</f>
        <v>547923463.69168079</v>
      </c>
      <c r="Q89" s="164">
        <f>((VLOOKUP($B$76,Energy_demand!$A$34:$E$66,4,FALSE )))*Q20</f>
        <v>518065016.77591866</v>
      </c>
      <c r="R89" s="164">
        <f>((VLOOKUP($B$76,Energy_demand!$A$34:$E$66,4,FALSE )))*R20</f>
        <v>462325723.59217447</v>
      </c>
      <c r="S89" s="164">
        <f>((VLOOKUP($B$76,Energy_demand!$A$34:$E$66,4,FALSE )))*S20</f>
        <v>395898885.59912723</v>
      </c>
      <c r="T89" s="164">
        <f>((VLOOKUP($B$76,Energy_demand!$A$34:$E$66,4,FALSE )))*T20</f>
        <v>327405142.78278726</v>
      </c>
      <c r="U89" s="164">
        <f>((VLOOKUP($B$76,Energy_demand!$A$34:$E$66,4,FALSE )))*U20</f>
        <v>262499711.74800649</v>
      </c>
      <c r="V89" s="164">
        <f>((VLOOKUP($B$76,Energy_demand!$A$34:$E$66,4,FALSE )))*V20</f>
        <v>204586374.3615641</v>
      </c>
      <c r="W89" s="164">
        <f>((VLOOKUP($B$76,Energy_demand!$A$34:$E$66,4,FALSE )))*W20</f>
        <v>155310395.80641168</v>
      </c>
      <c r="X89" s="164">
        <f>((VLOOKUP($B$76,Energy_demand!$A$34:$E$66,4,FALSE )))*X20</f>
        <v>115023654.98634601</v>
      </c>
      <c r="Y89" s="164">
        <f>((VLOOKUP($B$76,Energy_demand!$A$34:$E$66,4,FALSE )))*Y20</f>
        <v>83214184.810964286</v>
      </c>
      <c r="Z89" s="164">
        <f>((VLOOKUP($B$76,Energy_demand!$A$34:$E$66,4,FALSE )))*Z20</f>
        <v>58870936.811723225</v>
      </c>
      <c r="AA89" s="164">
        <f>((VLOOKUP($B$76,Energy_demand!$A$34:$E$66,4,FALSE )))*AA20</f>
        <v>40766132.940078259</v>
      </c>
      <c r="AB89" s="164">
        <f>((VLOOKUP($B$76,Energy_demand!$A$34:$E$66,4,FALSE )))*AB20</f>
        <v>27652975.483864188</v>
      </c>
    </row>
    <row r="90" spans="1:28">
      <c r="B90" s="163">
        <v>2021</v>
      </c>
      <c r="C90" s="164">
        <f>((VLOOKUP($B$76,Energy_demand!$A$34:$E$66,4,FALSE )))*C21</f>
        <v>0</v>
      </c>
      <c r="D90" s="164">
        <f>((VLOOKUP($B$76,Energy_demand!$A$34:$E$66,4,FALSE )))*D21</f>
        <v>0</v>
      </c>
      <c r="E90" s="164">
        <f>((VLOOKUP($B$76,Energy_demand!$A$34:$E$66,4,FALSE )))*E21</f>
        <v>0</v>
      </c>
      <c r="F90" s="164">
        <f>((VLOOKUP($B$76,Energy_demand!$A$34:$E$66,4,FALSE )))*F21</f>
        <v>0</v>
      </c>
      <c r="G90" s="164">
        <f>((VLOOKUP($B$76,Energy_demand!$A$34:$E$66,4,FALSE )))*G21</f>
        <v>0</v>
      </c>
      <c r="H90" s="164">
        <f>((VLOOKUP($B$76,Energy_demand!$A$34:$E$66,4,FALSE )))*H21</f>
        <v>0</v>
      </c>
      <c r="I90" s="164">
        <f>((VLOOKUP($B$76,Energy_demand!$A$34:$E$66,4,FALSE )))*I21</f>
        <v>0</v>
      </c>
      <c r="J90" s="164">
        <f>((VLOOKUP($B$76,Energy_demand!$A$34:$E$66,4,FALSE )))*J21</f>
        <v>0</v>
      </c>
      <c r="K90" s="164">
        <f>((VLOOKUP($B$76,Energy_demand!$A$34:$E$66,4,FALSE )))*K21</f>
        <v>0</v>
      </c>
      <c r="L90" s="164">
        <f>((VLOOKUP($B$76,Energy_demand!$A$34:$E$66,4,FALSE )))*L21</f>
        <v>0</v>
      </c>
      <c r="M90" s="164">
        <f>((VLOOKUP($B$76,Energy_demand!$A$34:$E$66,4,FALSE )))*M21</f>
        <v>0</v>
      </c>
      <c r="N90" s="164">
        <f>((VLOOKUP($B$76,Energy_demand!$A$34:$E$66,4,FALSE )))*N21</f>
        <v>0</v>
      </c>
      <c r="O90" s="164">
        <f>((VLOOKUP($B$76,Energy_demand!$A$34:$E$66,4,FALSE )))*O21</f>
        <v>0</v>
      </c>
      <c r="P90" s="164">
        <f>((VLOOKUP($B$76,Energy_demand!$A$34:$E$66,4,FALSE )))*P21</f>
        <v>0</v>
      </c>
      <c r="Q90" s="164">
        <f>((VLOOKUP($B$76,Energy_demand!$A$34:$E$66,4,FALSE )))*Q21</f>
        <v>537900904.6066246</v>
      </c>
      <c r="R90" s="164">
        <f>((VLOOKUP($B$76,Energy_demand!$A$34:$E$66,4,FALSE )))*R21</f>
        <v>508588625.30044973</v>
      </c>
      <c r="S90" s="164">
        <f>((VLOOKUP($B$76,Energy_demand!$A$34:$E$66,4,FALSE )))*S21</f>
        <v>453868909.47798407</v>
      </c>
      <c r="T90" s="164">
        <f>((VLOOKUP($B$76,Energy_demand!$A$34:$E$66,4,FALSE )))*T21</f>
        <v>388657144.30575222</v>
      </c>
      <c r="U90" s="164">
        <f>((VLOOKUP($B$76,Energy_demand!$A$34:$E$66,4,FALSE )))*U21</f>
        <v>321416281.91856593</v>
      </c>
      <c r="V90" s="164">
        <f>((VLOOKUP($B$76,Energy_demand!$A$34:$E$66,4,FALSE )))*V21</f>
        <v>257698094.28654835</v>
      </c>
      <c r="W90" s="164">
        <f>((VLOOKUP($B$76,Energy_demand!$A$34:$E$66,4,FALSE )))*W21</f>
        <v>200844101.65212232</v>
      </c>
      <c r="X90" s="164">
        <f>((VLOOKUP($B$76,Energy_demand!$A$34:$E$66,4,FALSE )))*X21</f>
        <v>152469474.17840648</v>
      </c>
      <c r="Y90" s="164">
        <f>((VLOOKUP($B$76,Energy_demand!$A$34:$E$66,4,FALSE )))*Y21</f>
        <v>112919654.23683901</v>
      </c>
      <c r="Z90" s="164">
        <f>((VLOOKUP($B$76,Energy_demand!$A$34:$E$66,4,FALSE )))*Z21</f>
        <v>81692039.585856766</v>
      </c>
      <c r="AA90" s="164">
        <f>((VLOOKUP($B$76,Energy_demand!$A$34:$E$66,4,FALSE )))*AA21</f>
        <v>57794075.750485443</v>
      </c>
      <c r="AB90" s="164">
        <f>((VLOOKUP($B$76,Energy_demand!$A$34:$E$66,4,FALSE )))*AB21</f>
        <v>40020443.070715241</v>
      </c>
    </row>
    <row r="91" spans="1:28">
      <c r="B91" s="163">
        <v>2022</v>
      </c>
      <c r="C91" s="164">
        <f>((VLOOKUP($B$76,Energy_demand!$A$34:$E$66,4,FALSE )))*C22</f>
        <v>0</v>
      </c>
      <c r="D91" s="164">
        <f>((VLOOKUP($B$76,Energy_demand!$A$34:$E$66,4,FALSE )))*D22</f>
        <v>0</v>
      </c>
      <c r="E91" s="164">
        <f>((VLOOKUP($B$76,Energy_demand!$A$34:$E$66,4,FALSE )))*E22</f>
        <v>0</v>
      </c>
      <c r="F91" s="164">
        <f>((VLOOKUP($B$76,Energy_demand!$A$34:$E$66,4,FALSE )))*F22</f>
        <v>0</v>
      </c>
      <c r="G91" s="164">
        <f>((VLOOKUP($B$76,Energy_demand!$A$34:$E$66,4,FALSE )))*G22</f>
        <v>0</v>
      </c>
      <c r="H91" s="164">
        <f>((VLOOKUP($B$76,Energy_demand!$A$34:$E$66,4,FALSE )))*H22</f>
        <v>0</v>
      </c>
      <c r="I91" s="164">
        <f>((VLOOKUP($B$76,Energy_demand!$A$34:$E$66,4,FALSE )))*I22</f>
        <v>0</v>
      </c>
      <c r="J91" s="164">
        <f>((VLOOKUP($B$76,Energy_demand!$A$34:$E$66,4,FALSE )))*J22</f>
        <v>0</v>
      </c>
      <c r="K91" s="164">
        <f>((VLOOKUP($B$76,Energy_demand!$A$34:$E$66,4,FALSE )))*K22</f>
        <v>0</v>
      </c>
      <c r="L91" s="164">
        <f>((VLOOKUP($B$76,Energy_demand!$A$34:$E$66,4,FALSE )))*L22</f>
        <v>0</v>
      </c>
      <c r="M91" s="164">
        <f>((VLOOKUP($B$76,Energy_demand!$A$34:$E$66,4,FALSE )))*M22</f>
        <v>0</v>
      </c>
      <c r="N91" s="164">
        <f>((VLOOKUP($B$76,Energy_demand!$A$34:$E$66,4,FALSE )))*N22</f>
        <v>0</v>
      </c>
      <c r="O91" s="164">
        <f>((VLOOKUP($B$76,Energy_demand!$A$34:$E$66,4,FALSE )))*O22</f>
        <v>0</v>
      </c>
      <c r="P91" s="164">
        <f>((VLOOKUP($B$76,Energy_demand!$A$34:$E$66,4,FALSE )))*P22</f>
        <v>0</v>
      </c>
      <c r="Q91" s="164">
        <f>((VLOOKUP($B$76,Energy_demand!$A$34:$E$66,4,FALSE )))*Q22</f>
        <v>0</v>
      </c>
      <c r="R91" s="164">
        <f>((VLOOKUP($B$76,Energy_demand!$A$34:$E$66,4,FALSE )))*R22</f>
        <v>496140957.87344509</v>
      </c>
      <c r="S91" s="164">
        <f>((VLOOKUP($B$76,Energy_demand!$A$34:$E$66,4,FALSE )))*S22</f>
        <v>469104337.91636378</v>
      </c>
      <c r="T91" s="164">
        <f>((VLOOKUP($B$76,Energy_demand!$A$34:$E$66,4,FALSE )))*T22</f>
        <v>418632788.2494691</v>
      </c>
      <c r="U91" s="164">
        <f>((VLOOKUP($B$76,Energy_demand!$A$34:$E$66,4,FALSE )))*U22</f>
        <v>358483739.67921156</v>
      </c>
      <c r="V91" s="164">
        <f>((VLOOKUP($B$76,Energy_demand!$A$34:$E$66,4,FALSE )))*V22</f>
        <v>296463122.8940205</v>
      </c>
      <c r="W91" s="164">
        <f>((VLOOKUP($B$76,Energy_demand!$A$34:$E$66,4,FALSE )))*W22</f>
        <v>237691697.94386482</v>
      </c>
      <c r="X91" s="164">
        <f>((VLOOKUP($B$76,Energy_demand!$A$34:$E$66,4,FALSE )))*X22</f>
        <v>185251566.08500028</v>
      </c>
      <c r="Y91" s="164">
        <f>((VLOOKUP($B$76,Energy_demand!$A$34:$E$66,4,FALSE )))*Y22</f>
        <v>140632503.71489236</v>
      </c>
      <c r="Z91" s="164">
        <f>((VLOOKUP($B$76,Energy_demand!$A$34:$E$66,4,FALSE )))*Z22</f>
        <v>104153134.78004803</v>
      </c>
      <c r="AA91" s="164">
        <f>((VLOOKUP($B$76,Energy_demand!$A$34:$E$66,4,FALSE )))*AA22</f>
        <v>75349876.573275432</v>
      </c>
      <c r="AB91" s="164">
        <f>((VLOOKUP($B$76,Energy_demand!$A$34:$E$66,4,FALSE )))*AB22</f>
        <v>53307231.60472475</v>
      </c>
    </row>
    <row r="92" spans="1:28">
      <c r="B92" s="163">
        <v>2023</v>
      </c>
      <c r="C92" s="164">
        <f>((VLOOKUP($B$76,Energy_demand!$A$34:$E$66,4,FALSE )))*C23</f>
        <v>0</v>
      </c>
      <c r="D92" s="164">
        <f>((VLOOKUP($B$76,Energy_demand!$A$34:$E$66,4,FALSE )))*D23</f>
        <v>0</v>
      </c>
      <c r="E92" s="164">
        <f>((VLOOKUP($B$76,Energy_demand!$A$34:$E$66,4,FALSE )))*E23</f>
        <v>0</v>
      </c>
      <c r="F92" s="164">
        <f>((VLOOKUP($B$76,Energy_demand!$A$34:$E$66,4,FALSE )))*F23</f>
        <v>0</v>
      </c>
      <c r="G92" s="164">
        <f>((VLOOKUP($B$76,Energy_demand!$A$34:$E$66,4,FALSE )))*G23</f>
        <v>0</v>
      </c>
      <c r="H92" s="164">
        <f>((VLOOKUP($B$76,Energy_demand!$A$34:$E$66,4,FALSE )))*H23</f>
        <v>0</v>
      </c>
      <c r="I92" s="164">
        <f>((VLOOKUP($B$76,Energy_demand!$A$34:$E$66,4,FALSE )))*I23</f>
        <v>0</v>
      </c>
      <c r="J92" s="164">
        <f>((VLOOKUP($B$76,Energy_demand!$A$34:$E$66,4,FALSE )))*J23</f>
        <v>0</v>
      </c>
      <c r="K92" s="164">
        <f>((VLOOKUP($B$76,Energy_demand!$A$34:$E$66,4,FALSE )))*K23</f>
        <v>0</v>
      </c>
      <c r="L92" s="164">
        <f>((VLOOKUP($B$76,Energy_demand!$A$34:$E$66,4,FALSE )))*L23</f>
        <v>0</v>
      </c>
      <c r="M92" s="164">
        <f>((VLOOKUP($B$76,Energy_demand!$A$34:$E$66,4,FALSE )))*M23</f>
        <v>0</v>
      </c>
      <c r="N92" s="164">
        <f>((VLOOKUP($B$76,Energy_demand!$A$34:$E$66,4,FALSE )))*N23</f>
        <v>0</v>
      </c>
      <c r="O92" s="164">
        <f>((VLOOKUP($B$76,Energy_demand!$A$34:$E$66,4,FALSE )))*O23</f>
        <v>0</v>
      </c>
      <c r="P92" s="164">
        <f>((VLOOKUP($B$76,Energy_demand!$A$34:$E$66,4,FALSE )))*P23</f>
        <v>0</v>
      </c>
      <c r="Q92" s="164">
        <f>((VLOOKUP($B$76,Energy_demand!$A$34:$E$66,4,FALSE )))*Q23</f>
        <v>0</v>
      </c>
      <c r="R92" s="164">
        <f>((VLOOKUP($B$76,Energy_demand!$A$34:$E$66,4,FALSE )))*R23</f>
        <v>0</v>
      </c>
      <c r="S92" s="164">
        <f>((VLOOKUP($B$76,Energy_demand!$A$34:$E$66,4,FALSE )))*S23</f>
        <v>496140957.87344509</v>
      </c>
      <c r="T92" s="164">
        <f>((VLOOKUP($B$76,Energy_demand!$A$34:$E$66,4,FALSE )))*T23</f>
        <v>475802596.10444742</v>
      </c>
      <c r="U92" s="164">
        <f>((VLOOKUP($B$76,Energy_demand!$A$34:$E$66,4,FALSE )))*U23</f>
        <v>437017532.26715803</v>
      </c>
      <c r="V92" s="164">
        <f>((VLOOKUP($B$76,Energy_demand!$A$34:$E$66,4,FALSE )))*V23</f>
        <v>389205837.36365896</v>
      </c>
      <c r="W92" s="164">
        <f>((VLOOKUP($B$76,Energy_demand!$A$34:$E$66,4,FALSE )))*W23</f>
        <v>337718038.59595871</v>
      </c>
      <c r="X92" s="164">
        <f>((VLOOKUP($B$76,Energy_demand!$A$34:$E$66,4,FALSE )))*X23</f>
        <v>286336279.39433247</v>
      </c>
      <c r="Y92" s="164">
        <f>((VLOOKUP($B$76,Energy_demand!$A$34:$E$66,4,FALSE )))*Y23</f>
        <v>237691697.94386452</v>
      </c>
      <c r="Z92" s="164">
        <f>((VLOOKUP($B$76,Energy_demand!$A$34:$E$66,4,FALSE )))*Z23</f>
        <v>193471985.23137259</v>
      </c>
      <c r="AA92" s="164">
        <f>((VLOOKUP($B$76,Energy_demand!$A$34:$E$66,4,FALSE )))*AA23</f>
        <v>154597220.90777394</v>
      </c>
      <c r="AB92" s="164">
        <f>((VLOOKUP($B$76,Energy_demand!$A$34:$E$66,4,FALSE )))*AB23</f>
        <v>121390210.29493083</v>
      </c>
    </row>
    <row r="93" spans="1:28">
      <c r="B93" s="163">
        <v>2024</v>
      </c>
      <c r="C93" s="164">
        <f>((VLOOKUP($B$76,Energy_demand!$A$34:$E$66,4,FALSE )))*C24</f>
        <v>0</v>
      </c>
      <c r="D93" s="164">
        <f>((VLOOKUP($B$76,Energy_demand!$A$34:$E$66,4,FALSE )))*D24</f>
        <v>0</v>
      </c>
      <c r="E93" s="164">
        <f>((VLOOKUP($B$76,Energy_demand!$A$34:$E$66,4,FALSE )))*E24</f>
        <v>0</v>
      </c>
      <c r="F93" s="164">
        <f>((VLOOKUP($B$76,Energy_demand!$A$34:$E$66,4,FALSE )))*F24</f>
        <v>0</v>
      </c>
      <c r="G93" s="164">
        <f>((VLOOKUP($B$76,Energy_demand!$A$34:$E$66,4,FALSE )))*G24</f>
        <v>0</v>
      </c>
      <c r="H93" s="164">
        <f>((VLOOKUP($B$76,Energy_demand!$A$34:$E$66,4,FALSE )))*H24</f>
        <v>0</v>
      </c>
      <c r="I93" s="164">
        <f>((VLOOKUP($B$76,Energy_demand!$A$34:$E$66,4,FALSE )))*I24</f>
        <v>0</v>
      </c>
      <c r="J93" s="164">
        <f>((VLOOKUP($B$76,Energy_demand!$A$34:$E$66,4,FALSE )))*J24</f>
        <v>0</v>
      </c>
      <c r="K93" s="164">
        <f>((VLOOKUP($B$76,Energy_demand!$A$34:$E$66,4,FALSE )))*K24</f>
        <v>0</v>
      </c>
      <c r="L93" s="164">
        <f>((VLOOKUP($B$76,Energy_demand!$A$34:$E$66,4,FALSE )))*L24</f>
        <v>0</v>
      </c>
      <c r="M93" s="164">
        <f>((VLOOKUP($B$76,Energy_demand!$A$34:$E$66,4,FALSE )))*M24</f>
        <v>0</v>
      </c>
      <c r="N93" s="164">
        <f>((VLOOKUP($B$76,Energy_demand!$A$34:$E$66,4,FALSE )))*N24</f>
        <v>0</v>
      </c>
      <c r="O93" s="164">
        <f>((VLOOKUP($B$76,Energy_demand!$A$34:$E$66,4,FALSE )))*O24</f>
        <v>0</v>
      </c>
      <c r="P93" s="164">
        <f>((VLOOKUP($B$76,Energy_demand!$A$34:$E$66,4,FALSE )))*P24</f>
        <v>0</v>
      </c>
      <c r="Q93" s="164">
        <f>((VLOOKUP($B$76,Energy_demand!$A$34:$E$66,4,FALSE )))*Q24</f>
        <v>0</v>
      </c>
      <c r="R93" s="164">
        <f>((VLOOKUP($B$76,Energy_demand!$A$34:$E$66,4,FALSE )))*R24</f>
        <v>0</v>
      </c>
      <c r="S93" s="164">
        <f>((VLOOKUP($B$76,Energy_demand!$A$34:$E$66,4,FALSE )))*S24</f>
        <v>0</v>
      </c>
      <c r="T93" s="164">
        <f>((VLOOKUP($B$76,Energy_demand!$A$34:$E$66,4,FALSE )))*T24</f>
        <v>489442697.79869258</v>
      </c>
      <c r="U93" s="164">
        <f>((VLOOKUP($B$76,Energy_demand!$A$34:$E$66,4,FALSE )))*U24</f>
        <v>469378918.55399823</v>
      </c>
      <c r="V93" s="164">
        <f>((VLOOKUP($B$76,Energy_demand!$A$34:$E$66,4,FALSE )))*V24</f>
        <v>431117480.99765837</v>
      </c>
      <c r="W93" s="164">
        <f>((VLOOKUP($B$76,Energy_demand!$A$34:$E$66,4,FALSE )))*W24</f>
        <v>383951278.39225751</v>
      </c>
      <c r="X93" s="164">
        <f>((VLOOKUP($B$76,Energy_demand!$A$34:$E$66,4,FALSE )))*X24</f>
        <v>333158601.97103876</v>
      </c>
      <c r="Y93" s="164">
        <f>((VLOOKUP($B$76,Energy_demand!$A$34:$E$66,4,FALSE )))*Y24</f>
        <v>282470533.50542027</v>
      </c>
      <c r="Z93" s="164">
        <f>((VLOOKUP($B$76,Energy_demand!$A$34:$E$66,4,FALSE )))*Z24</f>
        <v>234482688.92098191</v>
      </c>
      <c r="AA93" s="164">
        <f>((VLOOKUP($B$76,Energy_demand!$A$34:$E$66,4,FALSE )))*AA24</f>
        <v>190859974.16134727</v>
      </c>
      <c r="AB93" s="164">
        <f>((VLOOKUP($B$76,Energy_demand!$A$34:$E$66,4,FALSE )))*AB24</f>
        <v>152510047.13983363</v>
      </c>
    </row>
    <row r="94" spans="1:28">
      <c r="B94" s="163">
        <v>2025</v>
      </c>
      <c r="C94" s="164">
        <f>((VLOOKUP($B$76,Energy_demand!$A$34:$E$66,4,FALSE )))*C25</f>
        <v>0</v>
      </c>
      <c r="D94" s="164">
        <f>((VLOOKUP($B$76,Energy_demand!$A$34:$E$66,4,FALSE )))*D25</f>
        <v>0</v>
      </c>
      <c r="E94" s="164">
        <f>((VLOOKUP($B$76,Energy_demand!$A$34:$E$66,4,FALSE )))*E25</f>
        <v>0</v>
      </c>
      <c r="F94" s="164">
        <f>((VLOOKUP($B$76,Energy_demand!$A$34:$E$66,4,FALSE )))*F25</f>
        <v>0</v>
      </c>
      <c r="G94" s="164">
        <f>((VLOOKUP($B$76,Energy_demand!$A$34:$E$66,4,FALSE )))*G25</f>
        <v>0</v>
      </c>
      <c r="H94" s="164">
        <f>((VLOOKUP($B$76,Energy_demand!$A$34:$E$66,4,FALSE )))*H25</f>
        <v>0</v>
      </c>
      <c r="I94" s="164">
        <f>((VLOOKUP($B$76,Energy_demand!$A$34:$E$66,4,FALSE )))*I25</f>
        <v>0</v>
      </c>
      <c r="J94" s="164">
        <f>((VLOOKUP($B$76,Energy_demand!$A$34:$E$66,4,FALSE )))*J25</f>
        <v>0</v>
      </c>
      <c r="K94" s="164">
        <f>((VLOOKUP($B$76,Energy_demand!$A$34:$E$66,4,FALSE )))*K25</f>
        <v>0</v>
      </c>
      <c r="L94" s="164">
        <f>((VLOOKUP($B$76,Energy_demand!$A$34:$E$66,4,FALSE )))*L25</f>
        <v>0</v>
      </c>
      <c r="M94" s="164">
        <f>((VLOOKUP($B$76,Energy_demand!$A$34:$E$66,4,FALSE )))*M25</f>
        <v>0</v>
      </c>
      <c r="N94" s="164">
        <f>((VLOOKUP($B$76,Energy_demand!$A$34:$E$66,4,FALSE )))*N25</f>
        <v>0</v>
      </c>
      <c r="O94" s="164">
        <f>((VLOOKUP($B$76,Energy_demand!$A$34:$E$66,4,FALSE )))*O25</f>
        <v>0</v>
      </c>
      <c r="P94" s="164">
        <f>((VLOOKUP($B$76,Energy_demand!$A$34:$E$66,4,FALSE )))*P25</f>
        <v>0</v>
      </c>
      <c r="Q94" s="164">
        <f>((VLOOKUP($B$76,Energy_demand!$A$34:$E$66,4,FALSE )))*Q25</f>
        <v>0</v>
      </c>
      <c r="R94" s="164">
        <f>((VLOOKUP($B$76,Energy_demand!$A$34:$E$66,4,FALSE )))*R25</f>
        <v>0</v>
      </c>
      <c r="S94" s="164">
        <f>((VLOOKUP($B$76,Energy_demand!$A$34:$E$66,4,FALSE )))*S25</f>
        <v>0</v>
      </c>
      <c r="T94" s="164">
        <f>((VLOOKUP($B$76,Energy_demand!$A$34:$E$66,4,FALSE )))*T25</f>
        <v>0</v>
      </c>
      <c r="U94" s="164">
        <f>((VLOOKUP($B$76,Energy_demand!$A$34:$E$66,4,FALSE )))*U25</f>
        <v>477756202.41674781</v>
      </c>
      <c r="V94" s="164">
        <f>((VLOOKUP($B$76,Energy_demand!$A$34:$E$66,4,FALSE )))*V25</f>
        <v>458171488.9841333</v>
      </c>
      <c r="W94" s="164">
        <f>((VLOOKUP($B$76,Energy_demand!$A$34:$E$66,4,FALSE )))*W25</f>
        <v>420823625.40758681</v>
      </c>
      <c r="X94" s="164">
        <f>((VLOOKUP($B$76,Energy_demand!$A$34:$E$66,4,FALSE )))*X25</f>
        <v>374783617.16857648</v>
      </c>
      <c r="Y94" s="164">
        <f>((VLOOKUP($B$76,Energy_demand!$A$34:$E$66,4,FALSE )))*Y25</f>
        <v>325203724.96316665</v>
      </c>
      <c r="Z94" s="164">
        <f>((VLOOKUP($B$76,Energy_demand!$A$34:$E$66,4,FALSE )))*Z25</f>
        <v>275725942.97379422</v>
      </c>
      <c r="AA94" s="164">
        <f>((VLOOKUP($B$76,Energy_demand!$A$34:$E$66,4,FALSE )))*AA25</f>
        <v>228883911.22229382</v>
      </c>
      <c r="AB94" s="164">
        <f>((VLOOKUP($B$76,Energy_demand!$A$34:$E$66,4,FALSE )))*AB25</f>
        <v>186302782.44786078</v>
      </c>
    </row>
    <row r="95" spans="1:28">
      <c r="B95" s="163">
        <v>2026</v>
      </c>
      <c r="C95" s="164">
        <f>((VLOOKUP($B$76,Energy_demand!$A$34:$E$66,4,FALSE )))*C26</f>
        <v>0</v>
      </c>
      <c r="D95" s="164">
        <f>((VLOOKUP($B$76,Energy_demand!$A$34:$E$66,4,FALSE )))*D26</f>
        <v>0</v>
      </c>
      <c r="E95" s="164">
        <f>((VLOOKUP($B$76,Energy_demand!$A$34:$E$66,4,FALSE )))*E26</f>
        <v>0</v>
      </c>
      <c r="F95" s="164">
        <f>((VLOOKUP($B$76,Energy_demand!$A$34:$E$66,4,FALSE )))*F26</f>
        <v>0</v>
      </c>
      <c r="G95" s="164">
        <f>((VLOOKUP($B$76,Energy_demand!$A$34:$E$66,4,FALSE )))*G26</f>
        <v>0</v>
      </c>
      <c r="H95" s="164">
        <f>((VLOOKUP($B$76,Energy_demand!$A$34:$E$66,4,FALSE )))*H26</f>
        <v>0</v>
      </c>
      <c r="I95" s="164">
        <f>((VLOOKUP($B$76,Energy_demand!$A$34:$E$66,4,FALSE )))*I26</f>
        <v>0</v>
      </c>
      <c r="J95" s="164">
        <f>((VLOOKUP($B$76,Energy_demand!$A$34:$E$66,4,FALSE )))*J26</f>
        <v>0</v>
      </c>
      <c r="K95" s="164">
        <f>((VLOOKUP($B$76,Energy_demand!$A$34:$E$66,4,FALSE )))*K26</f>
        <v>0</v>
      </c>
      <c r="L95" s="164">
        <f>((VLOOKUP($B$76,Energy_demand!$A$34:$E$66,4,FALSE )))*L26</f>
        <v>0</v>
      </c>
      <c r="M95" s="164">
        <f>((VLOOKUP($B$76,Energy_demand!$A$34:$E$66,4,FALSE )))*M26</f>
        <v>0</v>
      </c>
      <c r="N95" s="164">
        <f>((VLOOKUP($B$76,Energy_demand!$A$34:$E$66,4,FALSE )))*N26</f>
        <v>0</v>
      </c>
      <c r="O95" s="164">
        <f>((VLOOKUP($B$76,Energy_demand!$A$34:$E$66,4,FALSE )))*O26</f>
        <v>0</v>
      </c>
      <c r="P95" s="164">
        <f>((VLOOKUP($B$76,Energy_demand!$A$34:$E$66,4,FALSE )))*P26</f>
        <v>0</v>
      </c>
      <c r="Q95" s="164">
        <f>((VLOOKUP($B$76,Energy_demand!$A$34:$E$66,4,FALSE )))*Q26</f>
        <v>0</v>
      </c>
      <c r="R95" s="164">
        <f>((VLOOKUP($B$76,Energy_demand!$A$34:$E$66,4,FALSE )))*R26</f>
        <v>0</v>
      </c>
      <c r="S95" s="164">
        <f>((VLOOKUP($B$76,Energy_demand!$A$34:$E$66,4,FALSE )))*S26</f>
        <v>0</v>
      </c>
      <c r="T95" s="164">
        <f>((VLOOKUP($B$76,Energy_demand!$A$34:$E$66,4,FALSE )))*T26</f>
        <v>0</v>
      </c>
      <c r="U95" s="164">
        <f>((VLOOKUP($B$76,Energy_demand!$A$34:$E$66,4,FALSE )))*U26</f>
        <v>0</v>
      </c>
      <c r="V95" s="164">
        <f>((VLOOKUP($B$76,Energy_demand!$A$34:$E$66,4,FALSE )))*V26</f>
        <v>465418862.08314681</v>
      </c>
      <c r="W95" s="164">
        <f>((VLOOKUP($B$76,Energy_demand!$A$34:$E$66,4,FALSE )))*W26</f>
        <v>446339894.62249869</v>
      </c>
      <c r="X95" s="164">
        <f>((VLOOKUP($B$76,Energy_demand!$A$34:$E$66,4,FALSE )))*X26</f>
        <v>409956483.83870697</v>
      </c>
      <c r="Y95" s="164">
        <f>((VLOOKUP($B$76,Energy_demand!$A$34:$E$66,4,FALSE )))*Y26</f>
        <v>365105390.04546028</v>
      </c>
      <c r="Z95" s="164">
        <f>((VLOOKUP($B$76,Energy_demand!$A$34:$E$66,4,FALSE )))*Z26</f>
        <v>316805824.50194865</v>
      </c>
      <c r="AA95" s="164">
        <f>((VLOOKUP($B$76,Energy_demand!$A$34:$E$66,4,FALSE )))*AA26</f>
        <v>268605732.3306607</v>
      </c>
      <c r="AB95" s="164">
        <f>((VLOOKUP($B$76,Energy_demand!$A$34:$E$66,4,FALSE )))*AB26</f>
        <v>222973326.08420298</v>
      </c>
    </row>
    <row r="96" spans="1:28">
      <c r="B96" s="163">
        <v>2027</v>
      </c>
      <c r="C96" s="164">
        <f>((VLOOKUP($B$76,Energy_demand!$A$34:$E$66,4,FALSE )))*C27</f>
        <v>0</v>
      </c>
      <c r="D96" s="164">
        <f>((VLOOKUP($B$76,Energy_demand!$A$34:$E$66,4,FALSE )))*D27</f>
        <v>0</v>
      </c>
      <c r="E96" s="164">
        <f>((VLOOKUP($B$76,Energy_demand!$A$34:$E$66,4,FALSE )))*E27</f>
        <v>0</v>
      </c>
      <c r="F96" s="164">
        <f>((VLOOKUP($B$76,Energy_demand!$A$34:$E$66,4,FALSE )))*F27</f>
        <v>0</v>
      </c>
      <c r="G96" s="164">
        <f>((VLOOKUP($B$76,Energy_demand!$A$34:$E$66,4,FALSE )))*G27</f>
        <v>0</v>
      </c>
      <c r="H96" s="164">
        <f>((VLOOKUP($B$76,Energy_demand!$A$34:$E$66,4,FALSE )))*H27</f>
        <v>0</v>
      </c>
      <c r="I96" s="164">
        <f>((VLOOKUP($B$76,Energy_demand!$A$34:$E$66,4,FALSE )))*I27</f>
        <v>0</v>
      </c>
      <c r="J96" s="164">
        <f>((VLOOKUP($B$76,Energy_demand!$A$34:$E$66,4,FALSE )))*J27</f>
        <v>0</v>
      </c>
      <c r="K96" s="164">
        <f>((VLOOKUP($B$76,Energy_demand!$A$34:$E$66,4,FALSE )))*K27</f>
        <v>0</v>
      </c>
      <c r="L96" s="164">
        <f>((VLOOKUP($B$76,Energy_demand!$A$34:$E$66,4,FALSE )))*L27</f>
        <v>0</v>
      </c>
      <c r="M96" s="164">
        <f>((VLOOKUP($B$76,Energy_demand!$A$34:$E$66,4,FALSE )))*M27</f>
        <v>0</v>
      </c>
      <c r="N96" s="164">
        <f>((VLOOKUP($B$76,Energy_demand!$A$34:$E$66,4,FALSE )))*N27</f>
        <v>0</v>
      </c>
      <c r="O96" s="164">
        <f>((VLOOKUP($B$76,Energy_demand!$A$34:$E$66,4,FALSE )))*O27</f>
        <v>0</v>
      </c>
      <c r="P96" s="164">
        <f>((VLOOKUP($B$76,Energy_demand!$A$34:$E$66,4,FALSE )))*P27</f>
        <v>0</v>
      </c>
      <c r="Q96" s="164">
        <f>((VLOOKUP($B$76,Energy_demand!$A$34:$E$66,4,FALSE )))*Q27</f>
        <v>0</v>
      </c>
      <c r="R96" s="164">
        <f>((VLOOKUP($B$76,Energy_demand!$A$34:$E$66,4,FALSE )))*R27</f>
        <v>0</v>
      </c>
      <c r="S96" s="164">
        <f>((VLOOKUP($B$76,Energy_demand!$A$34:$E$66,4,FALSE )))*S27</f>
        <v>0</v>
      </c>
      <c r="T96" s="164">
        <f>((VLOOKUP($B$76,Energy_demand!$A$34:$E$66,4,FALSE )))*T27</f>
        <v>0</v>
      </c>
      <c r="U96" s="164">
        <f>((VLOOKUP($B$76,Energy_demand!$A$34:$E$66,4,FALSE )))*U27</f>
        <v>0</v>
      </c>
      <c r="V96" s="164">
        <f>((VLOOKUP($B$76,Energy_demand!$A$34:$E$66,4,FALSE )))*V27</f>
        <v>0</v>
      </c>
      <c r="W96" s="164">
        <f>((VLOOKUP($B$76,Energy_demand!$A$34:$E$66,4,FALSE )))*W27</f>
        <v>454886048.18930352</v>
      </c>
      <c r="X96" s="164">
        <f>((VLOOKUP($B$76,Energy_demand!$A$34:$E$66,4,FALSE )))*X27</f>
        <v>436238853.54647851</v>
      </c>
      <c r="Y96" s="164">
        <f>((VLOOKUP($B$76,Energy_demand!$A$34:$E$66,4,FALSE )))*Y27</f>
        <v>400678829.44902283</v>
      </c>
      <c r="Z96" s="164">
        <f>((VLOOKUP($B$76,Energy_demand!$A$34:$E$66,4,FALSE )))*Z27</f>
        <v>356842753.01400083</v>
      </c>
      <c r="AA96" s="164">
        <f>((VLOOKUP($B$76,Energy_demand!$A$34:$E$66,4,FALSE )))*AA27</f>
        <v>309636246.59737188</v>
      </c>
      <c r="AB96" s="164">
        <f>((VLOOKUP($B$76,Energy_demand!$A$34:$E$66,4,FALSE )))*AB27</f>
        <v>262526962.38825792</v>
      </c>
    </row>
    <row r="97" spans="1:28">
      <c r="B97" s="163">
        <v>2028</v>
      </c>
      <c r="C97" s="164">
        <f>((VLOOKUP($B$76,Energy_demand!$A$34:$E$66,4,FALSE )))*C28</f>
        <v>0</v>
      </c>
      <c r="D97" s="164">
        <f>((VLOOKUP($B$76,Energy_demand!$A$34:$E$66,4,FALSE )))*D28</f>
        <v>0</v>
      </c>
      <c r="E97" s="164">
        <f>((VLOOKUP($B$76,Energy_demand!$A$34:$E$66,4,FALSE )))*E28</f>
        <v>0</v>
      </c>
      <c r="F97" s="164">
        <f>((VLOOKUP($B$76,Energy_demand!$A$34:$E$66,4,FALSE )))*F28</f>
        <v>0</v>
      </c>
      <c r="G97" s="164">
        <f>((VLOOKUP($B$76,Energy_demand!$A$34:$E$66,4,FALSE )))*G28</f>
        <v>0</v>
      </c>
      <c r="H97" s="164">
        <f>((VLOOKUP($B$76,Energy_demand!$A$34:$E$66,4,FALSE )))*H28</f>
        <v>0</v>
      </c>
      <c r="I97" s="164">
        <f>((VLOOKUP($B$76,Energy_demand!$A$34:$E$66,4,FALSE )))*I28</f>
        <v>0</v>
      </c>
      <c r="J97" s="164">
        <f>((VLOOKUP($B$76,Energy_demand!$A$34:$E$66,4,FALSE )))*J28</f>
        <v>0</v>
      </c>
      <c r="K97" s="164">
        <f>((VLOOKUP($B$76,Energy_demand!$A$34:$E$66,4,FALSE )))*K28</f>
        <v>0</v>
      </c>
      <c r="L97" s="164">
        <f>((VLOOKUP($B$76,Energy_demand!$A$34:$E$66,4,FALSE )))*L28</f>
        <v>0</v>
      </c>
      <c r="M97" s="164">
        <f>((VLOOKUP($B$76,Energy_demand!$A$34:$E$66,4,FALSE )))*M28</f>
        <v>0</v>
      </c>
      <c r="N97" s="164">
        <f>((VLOOKUP($B$76,Energy_demand!$A$34:$E$66,4,FALSE )))*N28</f>
        <v>0</v>
      </c>
      <c r="O97" s="164">
        <f>((VLOOKUP($B$76,Energy_demand!$A$34:$E$66,4,FALSE )))*O28</f>
        <v>0</v>
      </c>
      <c r="P97" s="164">
        <f>((VLOOKUP($B$76,Energy_demand!$A$34:$E$66,4,FALSE )))*P28</f>
        <v>0</v>
      </c>
      <c r="Q97" s="164">
        <f>((VLOOKUP($B$76,Energy_demand!$A$34:$E$66,4,FALSE )))*Q28</f>
        <v>0</v>
      </c>
      <c r="R97" s="164">
        <f>((VLOOKUP($B$76,Energy_demand!$A$34:$E$66,4,FALSE )))*R28</f>
        <v>0</v>
      </c>
      <c r="S97" s="164">
        <f>((VLOOKUP($B$76,Energy_demand!$A$34:$E$66,4,FALSE )))*S28</f>
        <v>0</v>
      </c>
      <c r="T97" s="164">
        <f>((VLOOKUP($B$76,Energy_demand!$A$34:$E$66,4,FALSE )))*T28</f>
        <v>0</v>
      </c>
      <c r="U97" s="164">
        <f>((VLOOKUP($B$76,Energy_demand!$A$34:$E$66,4,FALSE )))*U28</f>
        <v>0</v>
      </c>
      <c r="V97" s="164">
        <f>((VLOOKUP($B$76,Energy_demand!$A$34:$E$66,4,FALSE )))*V28</f>
        <v>0</v>
      </c>
      <c r="W97" s="164">
        <f>((VLOOKUP($B$76,Energy_demand!$A$34:$E$66,4,FALSE )))*W28</f>
        <v>0</v>
      </c>
      <c r="X97" s="164">
        <f>((VLOOKUP($B$76,Energy_demand!$A$34:$E$66,4,FALSE )))*X28</f>
        <v>447496351.8406086</v>
      </c>
      <c r="Y97" s="164">
        <f>((VLOOKUP($B$76,Energy_demand!$A$34:$E$66,4,FALSE )))*Y28</f>
        <v>429152083.84658724</v>
      </c>
      <c r="Z97" s="164">
        <f>((VLOOKUP($B$76,Energy_demand!$A$34:$E$66,4,FALSE )))*Z28</f>
        <v>394169738.00784814</v>
      </c>
      <c r="AA97" s="164">
        <f>((VLOOKUP($B$76,Energy_demand!$A$34:$E$66,4,FALSE )))*AA28</f>
        <v>351045785.6207332</v>
      </c>
      <c r="AB97" s="164">
        <f>((VLOOKUP($B$76,Energy_demand!$A$34:$E$66,4,FALSE )))*AB28</f>
        <v>304606156.42421281</v>
      </c>
    </row>
    <row r="98" spans="1:28">
      <c r="B98" s="163">
        <v>2029</v>
      </c>
      <c r="C98" s="164">
        <f>((VLOOKUP($B$76,Energy_demand!$A$34:$E$66,4,FALSE )))*C29</f>
        <v>0</v>
      </c>
      <c r="D98" s="164">
        <f>((VLOOKUP($B$76,Energy_demand!$A$34:$E$66,4,FALSE )))*D29</f>
        <v>0</v>
      </c>
      <c r="E98" s="164">
        <f>((VLOOKUP($B$76,Energy_demand!$A$34:$E$66,4,FALSE )))*E29</f>
        <v>0</v>
      </c>
      <c r="F98" s="164">
        <f>((VLOOKUP($B$76,Energy_demand!$A$34:$E$66,4,FALSE )))*F29</f>
        <v>0</v>
      </c>
      <c r="G98" s="164">
        <f>((VLOOKUP($B$76,Energy_demand!$A$34:$E$66,4,FALSE )))*G29</f>
        <v>0</v>
      </c>
      <c r="H98" s="164">
        <f>((VLOOKUP($B$76,Energy_demand!$A$34:$E$66,4,FALSE )))*H29</f>
        <v>0</v>
      </c>
      <c r="I98" s="164">
        <f>((VLOOKUP($B$76,Energy_demand!$A$34:$E$66,4,FALSE )))*I29</f>
        <v>0</v>
      </c>
      <c r="J98" s="164">
        <f>((VLOOKUP($B$76,Energy_demand!$A$34:$E$66,4,FALSE )))*J29</f>
        <v>0</v>
      </c>
      <c r="K98" s="164">
        <f>((VLOOKUP($B$76,Energy_demand!$A$34:$E$66,4,FALSE )))*K29</f>
        <v>0</v>
      </c>
      <c r="L98" s="164">
        <f>((VLOOKUP($B$76,Energy_demand!$A$34:$E$66,4,FALSE )))*L29</f>
        <v>0</v>
      </c>
      <c r="M98" s="164">
        <f>((VLOOKUP($B$76,Energy_demand!$A$34:$E$66,4,FALSE )))*M29</f>
        <v>0</v>
      </c>
      <c r="N98" s="164">
        <f>((VLOOKUP($B$76,Energy_demand!$A$34:$E$66,4,FALSE )))*N29</f>
        <v>0</v>
      </c>
      <c r="O98" s="164">
        <f>((VLOOKUP($B$76,Energy_demand!$A$34:$E$66,4,FALSE )))*O29</f>
        <v>0</v>
      </c>
      <c r="P98" s="164">
        <f>((VLOOKUP($B$76,Energy_demand!$A$34:$E$66,4,FALSE )))*P29</f>
        <v>0</v>
      </c>
      <c r="Q98" s="164">
        <f>((VLOOKUP($B$76,Energy_demand!$A$34:$E$66,4,FALSE )))*Q29</f>
        <v>0</v>
      </c>
      <c r="R98" s="164">
        <f>((VLOOKUP($B$76,Energy_demand!$A$34:$E$66,4,FALSE )))*R29</f>
        <v>0</v>
      </c>
      <c r="S98" s="164">
        <f>((VLOOKUP($B$76,Energy_demand!$A$34:$E$66,4,FALSE )))*S29</f>
        <v>0</v>
      </c>
      <c r="T98" s="164">
        <f>((VLOOKUP($B$76,Energy_demand!$A$34:$E$66,4,FALSE )))*T29</f>
        <v>0</v>
      </c>
      <c r="U98" s="164">
        <f>((VLOOKUP($B$76,Energy_demand!$A$34:$E$66,4,FALSE )))*U29</f>
        <v>0</v>
      </c>
      <c r="V98" s="164">
        <f>((VLOOKUP($B$76,Energy_demand!$A$34:$E$66,4,FALSE )))*V29</f>
        <v>0</v>
      </c>
      <c r="W98" s="164">
        <f>((VLOOKUP($B$76,Energy_demand!$A$34:$E$66,4,FALSE )))*W29</f>
        <v>0</v>
      </c>
      <c r="X98" s="164">
        <f>((VLOOKUP($B$76,Energy_demand!$A$34:$E$66,4,FALSE )))*X29</f>
        <v>0</v>
      </c>
      <c r="Y98" s="164">
        <f>((VLOOKUP($B$76,Energy_demand!$A$34:$E$66,4,FALSE )))*Y29</f>
        <v>443700832.5743413</v>
      </c>
      <c r="Z98" s="164">
        <f>((VLOOKUP($B$76,Energy_demand!$A$34:$E$66,4,FALSE )))*Z29</f>
        <v>425512154.72605073</v>
      </c>
      <c r="AA98" s="164">
        <f>((VLOOKUP($B$76,Energy_demand!$A$34:$E$66,4,FALSE )))*AA29</f>
        <v>390826517.82597452</v>
      </c>
      <c r="AB98" s="164">
        <f>((VLOOKUP($B$76,Energy_demand!$A$34:$E$66,4,FALSE )))*AB29</f>
        <v>348068328.85000169</v>
      </c>
    </row>
    <row r="99" spans="1:28">
      <c r="B99" s="163">
        <v>2030</v>
      </c>
      <c r="C99" s="164">
        <f>((VLOOKUP($B$76,Energy_demand!$A$34:$E$66,4,FALSE )))*C30</f>
        <v>0</v>
      </c>
      <c r="D99" s="164">
        <f>((VLOOKUP($B$76,Energy_demand!$A$34:$E$66,4,FALSE )))*D30</f>
        <v>0</v>
      </c>
      <c r="E99" s="164">
        <f>((VLOOKUP($B$76,Energy_demand!$A$34:$E$66,4,FALSE )))*E30</f>
        <v>0</v>
      </c>
      <c r="F99" s="164">
        <f>((VLOOKUP($B$76,Energy_demand!$A$34:$E$66,4,FALSE )))*F30</f>
        <v>0</v>
      </c>
      <c r="G99" s="164">
        <f>((VLOOKUP($B$76,Energy_demand!$A$34:$E$66,4,FALSE )))*G30</f>
        <v>0</v>
      </c>
      <c r="H99" s="164">
        <f>((VLOOKUP($B$76,Energy_demand!$A$34:$E$66,4,FALSE )))*H30</f>
        <v>0</v>
      </c>
      <c r="I99" s="164">
        <f>((VLOOKUP($B$76,Energy_demand!$A$34:$E$66,4,FALSE )))*I30</f>
        <v>0</v>
      </c>
      <c r="J99" s="164">
        <f>((VLOOKUP($B$76,Energy_demand!$A$34:$E$66,4,FALSE )))*J30</f>
        <v>0</v>
      </c>
      <c r="K99" s="164">
        <f>((VLOOKUP($B$76,Energy_demand!$A$34:$E$66,4,FALSE )))*K30</f>
        <v>0</v>
      </c>
      <c r="L99" s="164">
        <f>((VLOOKUP($B$76,Energy_demand!$A$34:$E$66,4,FALSE )))*L30</f>
        <v>0</v>
      </c>
      <c r="M99" s="164">
        <f>((VLOOKUP($B$76,Energy_demand!$A$34:$E$66,4,FALSE )))*M30</f>
        <v>0</v>
      </c>
      <c r="N99" s="164">
        <f>((VLOOKUP($B$76,Energy_demand!$A$34:$E$66,4,FALSE )))*N30</f>
        <v>0</v>
      </c>
      <c r="O99" s="164">
        <f>((VLOOKUP($B$76,Energy_demand!$A$34:$E$66,4,FALSE )))*O30</f>
        <v>0</v>
      </c>
      <c r="P99" s="164">
        <f>((VLOOKUP($B$76,Energy_demand!$A$34:$E$66,4,FALSE )))*P30</f>
        <v>0</v>
      </c>
      <c r="Q99" s="164">
        <f>((VLOOKUP($B$76,Energy_demand!$A$34:$E$66,4,FALSE )))*Q30</f>
        <v>0</v>
      </c>
      <c r="R99" s="164">
        <f>((VLOOKUP($B$76,Energy_demand!$A$34:$E$66,4,FALSE )))*R30</f>
        <v>0</v>
      </c>
      <c r="S99" s="164">
        <f>((VLOOKUP($B$76,Energy_demand!$A$34:$E$66,4,FALSE )))*S30</f>
        <v>0</v>
      </c>
      <c r="T99" s="164">
        <f>((VLOOKUP($B$76,Energy_demand!$A$34:$E$66,4,FALSE )))*T30</f>
        <v>0</v>
      </c>
      <c r="U99" s="164">
        <f>((VLOOKUP($B$76,Energy_demand!$A$34:$E$66,4,FALSE )))*U30</f>
        <v>0</v>
      </c>
      <c r="V99" s="164">
        <f>((VLOOKUP($B$76,Energy_demand!$A$34:$E$66,4,FALSE )))*V30</f>
        <v>0</v>
      </c>
      <c r="W99" s="164">
        <f>((VLOOKUP($B$76,Energy_demand!$A$34:$E$66,4,FALSE )))*W30</f>
        <v>0</v>
      </c>
      <c r="X99" s="164">
        <f>((VLOOKUP($B$76,Energy_demand!$A$34:$E$66,4,FALSE )))*X30</f>
        <v>0</v>
      </c>
      <c r="Y99" s="164">
        <f>((VLOOKUP($B$76,Energy_demand!$A$34:$E$66,4,FALSE )))*Y30</f>
        <v>0</v>
      </c>
      <c r="Z99" s="164">
        <f>((VLOOKUP($B$76,Energy_demand!$A$34:$E$66,4,FALSE )))*Z30</f>
        <v>443301492.37810004</v>
      </c>
      <c r="AA99" s="164">
        <f>((VLOOKUP($B$76,Energy_demand!$A$34:$E$66,4,FALSE )))*AA30</f>
        <v>425129184.72713178</v>
      </c>
      <c r="AB99" s="164">
        <f>((VLOOKUP($B$76,Energy_demand!$A$34:$E$66,4,FALSE )))*AB30</f>
        <v>390474765.63876456</v>
      </c>
    </row>
    <row r="100" spans="1:28">
      <c r="B100" s="163">
        <v>2031</v>
      </c>
      <c r="C100" s="164">
        <f>((VLOOKUP($B$76,Energy_demand!$A$34:$E$66,4,FALSE )))*C31</f>
        <v>0</v>
      </c>
      <c r="D100" s="164">
        <f>((VLOOKUP($B$76,Energy_demand!$A$34:$E$66,4,FALSE )))*D31</f>
        <v>0</v>
      </c>
      <c r="E100" s="164">
        <f>((VLOOKUP($B$76,Energy_demand!$A$34:$E$66,4,FALSE )))*E31</f>
        <v>0</v>
      </c>
      <c r="F100" s="164">
        <f>((VLOOKUP($B$76,Energy_demand!$A$34:$E$66,4,FALSE )))*F31</f>
        <v>0</v>
      </c>
      <c r="G100" s="164">
        <f>((VLOOKUP($B$76,Energy_demand!$A$34:$E$66,4,FALSE )))*G31</f>
        <v>0</v>
      </c>
      <c r="H100" s="164">
        <f>((VLOOKUP($B$76,Energy_demand!$A$34:$E$66,4,FALSE )))*H31</f>
        <v>0</v>
      </c>
      <c r="I100" s="164">
        <f>((VLOOKUP($B$76,Energy_demand!$A$34:$E$66,4,FALSE )))*I31</f>
        <v>0</v>
      </c>
      <c r="J100" s="164">
        <f>((VLOOKUP($B$76,Energy_demand!$A$34:$E$66,4,FALSE )))*J31</f>
        <v>0</v>
      </c>
      <c r="K100" s="164">
        <f>((VLOOKUP($B$76,Energy_demand!$A$34:$E$66,4,FALSE )))*K31</f>
        <v>0</v>
      </c>
      <c r="L100" s="164">
        <f>((VLOOKUP($B$76,Energy_demand!$A$34:$E$66,4,FALSE )))*L31</f>
        <v>0</v>
      </c>
      <c r="M100" s="164">
        <f>((VLOOKUP($B$76,Energy_demand!$A$34:$E$66,4,FALSE )))*M31</f>
        <v>0</v>
      </c>
      <c r="N100" s="164">
        <f>((VLOOKUP($B$76,Energy_demand!$A$34:$E$66,4,FALSE )))*N31</f>
        <v>0</v>
      </c>
      <c r="O100" s="164">
        <f>((VLOOKUP($B$76,Energy_demand!$A$34:$E$66,4,FALSE )))*O31</f>
        <v>0</v>
      </c>
      <c r="P100" s="164">
        <f>((VLOOKUP($B$76,Energy_demand!$A$34:$E$66,4,FALSE )))*P31</f>
        <v>0</v>
      </c>
      <c r="Q100" s="164">
        <f>((VLOOKUP($B$76,Energy_demand!$A$34:$E$66,4,FALSE )))*Q31</f>
        <v>0</v>
      </c>
      <c r="R100" s="164">
        <f>((VLOOKUP($B$76,Energy_demand!$A$34:$E$66,4,FALSE )))*R31</f>
        <v>0</v>
      </c>
      <c r="S100" s="164">
        <f>((VLOOKUP($B$76,Energy_demand!$A$34:$E$66,4,FALSE )))*S31</f>
        <v>0</v>
      </c>
      <c r="T100" s="164">
        <f>((VLOOKUP($B$76,Energy_demand!$A$34:$E$66,4,FALSE )))*T31</f>
        <v>0</v>
      </c>
      <c r="U100" s="164">
        <f>((VLOOKUP($B$76,Energy_demand!$A$34:$E$66,4,FALSE )))*U31</f>
        <v>0</v>
      </c>
      <c r="V100" s="164">
        <f>((VLOOKUP($B$76,Energy_demand!$A$34:$E$66,4,FALSE )))*V31</f>
        <v>0</v>
      </c>
      <c r="W100" s="164">
        <f>((VLOOKUP($B$76,Energy_demand!$A$34:$E$66,4,FALSE )))*W31</f>
        <v>0</v>
      </c>
      <c r="X100" s="164">
        <f>((VLOOKUP($B$76,Energy_demand!$A$34:$E$66,4,FALSE )))*X31</f>
        <v>0</v>
      </c>
      <c r="Y100" s="164">
        <f>((VLOOKUP($B$76,Energy_demand!$A$34:$E$66,4,FALSE )))*Y31</f>
        <v>0</v>
      </c>
      <c r="Z100" s="164">
        <f>((VLOOKUP($B$76,Energy_demand!$A$34:$E$66,4,FALSE )))*Z31</f>
        <v>0</v>
      </c>
      <c r="AA100" s="164">
        <f>((VLOOKUP($B$76,Energy_demand!$A$34:$E$66,4,FALSE )))*AA31</f>
        <v>445696899.31613672</v>
      </c>
      <c r="AB100" s="164">
        <f>((VLOOKUP($B$76,Energy_demand!$A$34:$E$66,4,FALSE )))*AB31</f>
        <v>427426396.48068178</v>
      </c>
    </row>
    <row r="101" spans="1:28">
      <c r="B101" s="163">
        <v>2032</v>
      </c>
      <c r="C101" s="164">
        <f>((VLOOKUP($B$76,Energy_demand!$A$34:$E$66,4,FALSE )))*C32</f>
        <v>0</v>
      </c>
      <c r="D101" s="164">
        <f>((VLOOKUP($B$76,Energy_demand!$A$34:$E$66,4,FALSE )))*D32</f>
        <v>0</v>
      </c>
      <c r="E101" s="164">
        <f>((VLOOKUP($B$76,Energy_demand!$A$34:$E$66,4,FALSE )))*E32</f>
        <v>0</v>
      </c>
      <c r="F101" s="164">
        <f>((VLOOKUP($B$76,Energy_demand!$A$34:$E$66,4,FALSE )))*F32</f>
        <v>0</v>
      </c>
      <c r="G101" s="164">
        <f>((VLOOKUP($B$76,Energy_demand!$A$34:$E$66,4,FALSE )))*G32</f>
        <v>0</v>
      </c>
      <c r="H101" s="164">
        <f>((VLOOKUP($B$76,Energy_demand!$A$34:$E$66,4,FALSE )))*H32</f>
        <v>0</v>
      </c>
      <c r="I101" s="164">
        <f>((VLOOKUP($B$76,Energy_demand!$A$34:$E$66,4,FALSE )))*I32</f>
        <v>0</v>
      </c>
      <c r="J101" s="164">
        <f>((VLOOKUP($B$76,Energy_demand!$A$34:$E$66,4,FALSE )))*J32</f>
        <v>0</v>
      </c>
      <c r="K101" s="164">
        <f>((VLOOKUP($B$76,Energy_demand!$A$34:$E$66,4,FALSE )))*K32</f>
        <v>0</v>
      </c>
      <c r="L101" s="164">
        <f>((VLOOKUP($B$76,Energy_demand!$A$34:$E$66,4,FALSE )))*L32</f>
        <v>0</v>
      </c>
      <c r="M101" s="164">
        <f>((VLOOKUP($B$76,Energy_demand!$A$34:$E$66,4,FALSE )))*M32</f>
        <v>0</v>
      </c>
      <c r="N101" s="164">
        <f>((VLOOKUP($B$76,Energy_demand!$A$34:$E$66,4,FALSE )))*N32</f>
        <v>0</v>
      </c>
      <c r="O101" s="164">
        <f>((VLOOKUP($B$76,Energy_demand!$A$34:$E$66,4,FALSE )))*O32</f>
        <v>0</v>
      </c>
      <c r="P101" s="164">
        <f>((VLOOKUP($B$76,Energy_demand!$A$34:$E$66,4,FALSE )))*P32</f>
        <v>0</v>
      </c>
      <c r="Q101" s="164">
        <f>((VLOOKUP($B$76,Energy_demand!$A$34:$E$66,4,FALSE )))*Q32</f>
        <v>0</v>
      </c>
      <c r="R101" s="164">
        <f>((VLOOKUP($B$76,Energy_demand!$A$34:$E$66,4,FALSE )))*R32</f>
        <v>0</v>
      </c>
      <c r="S101" s="164">
        <f>((VLOOKUP($B$76,Energy_demand!$A$34:$E$66,4,FALSE )))*S32</f>
        <v>0</v>
      </c>
      <c r="T101" s="164">
        <f>((VLOOKUP($B$76,Energy_demand!$A$34:$E$66,4,FALSE )))*T32</f>
        <v>0</v>
      </c>
      <c r="U101" s="164">
        <f>((VLOOKUP($B$76,Energy_demand!$A$34:$E$66,4,FALSE )))*U32</f>
        <v>0</v>
      </c>
      <c r="V101" s="164">
        <f>((VLOOKUP($B$76,Energy_demand!$A$34:$E$66,4,FALSE )))*V32</f>
        <v>0</v>
      </c>
      <c r="W101" s="164">
        <f>((VLOOKUP($B$76,Energy_demand!$A$34:$E$66,4,FALSE )))*W32</f>
        <v>0</v>
      </c>
      <c r="X101" s="164">
        <f>((VLOOKUP($B$76,Energy_demand!$A$34:$E$66,4,FALSE )))*X32</f>
        <v>0</v>
      </c>
      <c r="Y101" s="164">
        <f>((VLOOKUP($B$76,Energy_demand!$A$34:$E$66,4,FALSE )))*Y32</f>
        <v>0</v>
      </c>
      <c r="Z101" s="164">
        <f>((VLOOKUP($B$76,Energy_demand!$A$34:$E$66,4,FALSE )))*Z32</f>
        <v>0</v>
      </c>
      <c r="AA101" s="164">
        <f>((VLOOKUP($B$76,Energy_demand!$A$34:$E$66,4,FALSE )))*AA32</f>
        <v>0</v>
      </c>
      <c r="AB101" s="164">
        <f>((VLOOKUP($B$76,Energy_demand!$A$34:$E$66,4,FALSE )))*AB32</f>
        <v>450100596.51915723</v>
      </c>
    </row>
    <row r="103" spans="1:28" ht="21">
      <c r="B103" s="52" t="s">
        <v>7763</v>
      </c>
    </row>
    <row r="104" spans="1:28">
      <c r="A104" s="1" t="s">
        <v>7762</v>
      </c>
      <c r="B104" s="163">
        <v>2007</v>
      </c>
      <c r="C104" s="164">
        <f>(C76*Emissions_factors!$E$20)/1000</f>
        <v>76624.61534796709</v>
      </c>
      <c r="D104" s="164">
        <f>(D76*Emissions_factors!$E$20)/1000</f>
        <v>72449.04674867203</v>
      </c>
      <c r="E104" s="164">
        <f>(E76*Emissions_factors!$E$20)/1000</f>
        <v>64654.158989721662</v>
      </c>
      <c r="F104" s="164">
        <f>(F76*Emissions_factors!$E$20)/1000</f>
        <v>55364.666483404959</v>
      </c>
      <c r="G104" s="164">
        <f>(G76*Emissions_factors!$E$20)/1000</f>
        <v>45786.126696691455</v>
      </c>
      <c r="H104" s="164">
        <f>(H76*Emissions_factors!$E$20)/1000</f>
        <v>36709.396064413566</v>
      </c>
      <c r="I104" s="164">
        <f>(I76*Emissions_factors!$E$20)/1000</f>
        <v>28610.47806799383</v>
      </c>
      <c r="J104" s="164">
        <f>(J76*Emissions_factors!$E$20)/1000</f>
        <v>21719.455593351522</v>
      </c>
      <c r="K104" s="164">
        <f>(K76*Emissions_factors!$E$20)/1000</f>
        <v>16085.537311841639</v>
      </c>
      <c r="L104" s="164">
        <f>(L76*Emissions_factors!$E$20)/1000</f>
        <v>11637.126944106803</v>
      </c>
      <c r="M104" s="164">
        <f>(M76*Emissions_factors!$E$20)/1000</f>
        <v>8232.8339399444103</v>
      </c>
      <c r="N104" s="164">
        <f>(N76*Emissions_factors!$E$20)/1000</f>
        <v>5700.9590987607407</v>
      </c>
      <c r="O104" s="164">
        <f>(O76*Emissions_factors!$E$20)/1000</f>
        <v>3867.1434061275609</v>
      </c>
      <c r="P104" s="164">
        <f>(P76*Emissions_factors!$E$20)/1000</f>
        <v>2571.4808947507468</v>
      </c>
      <c r="Q104" s="164">
        <f>(Q76*Emissions_factors!$E$20)/1000</f>
        <v>1677.2582696924578</v>
      </c>
      <c r="R104" s="164">
        <f>(R76*Emissions_factors!$E$20)/1000</f>
        <v>1073.7054701023635</v>
      </c>
      <c r="S104" s="164">
        <f>(S76*Emissions_factors!$E$20)/1000</f>
        <v>674.93282846849047</v>
      </c>
      <c r="T104" s="164">
        <f>(T76*Emissions_factors!$E$20)/1000</f>
        <v>416.80016194117479</v>
      </c>
      <c r="U104" s="164">
        <f>(U76*Emissions_factors!$E$20)/1000</f>
        <v>252.97171968633032</v>
      </c>
      <c r="V104" s="164">
        <f>(V76*Emissions_factors!$E$20)/1000</f>
        <v>150.96039313301503</v>
      </c>
      <c r="W104" s="164">
        <f>(W76*Emissions_factors!$E$20)/1000</f>
        <v>88.605042243207251</v>
      </c>
      <c r="X104" s="164">
        <f>(X76*Emissions_factors!$E$20)/1000</f>
        <v>51.168707757083553</v>
      </c>
      <c r="Y104" s="164">
        <f>(Y76*Emissions_factors!$E$20)/1000</f>
        <v>29.082877419851187</v>
      </c>
      <c r="Z104" s="164">
        <f>(Z76*Emissions_factors!$E$20)/1000</f>
        <v>16.273640620228377</v>
      </c>
      <c r="AA104" s="164">
        <f>(AA76*Emissions_factors!$E$20)/1000</f>
        <v>8.9673915788576721</v>
      </c>
      <c r="AB104" s="164">
        <f>(AB76*Emissions_factors!$E$20)/1000</f>
        <v>4.8673679701311139</v>
      </c>
    </row>
    <row r="105" spans="1:28">
      <c r="B105" s="163">
        <v>2008</v>
      </c>
      <c r="C105" s="164">
        <f>(C77*Emissions_factors!$E$20)/1000</f>
        <v>0</v>
      </c>
      <c r="D105" s="164">
        <f>(D77*Emissions_factors!$E$20)/1000</f>
        <v>119122.87832625194</v>
      </c>
      <c r="E105" s="164">
        <f>(E77*Emissions_factors!$E$20)/1000</f>
        <v>112631.41669948974</v>
      </c>
      <c r="F105" s="164">
        <f>(F77*Emissions_factors!$E$20)/1000</f>
        <v>100513.25516798301</v>
      </c>
      <c r="G105" s="164">
        <f>(G77*Emissions_factors!$E$20)/1000</f>
        <v>86071.537183268127</v>
      </c>
      <c r="H105" s="164">
        <f>(H77*Emissions_factors!$E$20)/1000</f>
        <v>71180.457803956015</v>
      </c>
      <c r="I105" s="164">
        <f>(I77*Emissions_factors!$E$20)/1000</f>
        <v>57069.505679774302</v>
      </c>
      <c r="J105" s="164">
        <f>(J77*Emissions_factors!$E$20)/1000</f>
        <v>44478.689808391311</v>
      </c>
      <c r="K105" s="164">
        <f>(K77*Emissions_factors!$E$20)/1000</f>
        <v>33765.703804317869</v>
      </c>
      <c r="L105" s="164">
        <f>(L77*Emissions_factors!$E$20)/1000</f>
        <v>25007.04891384142</v>
      </c>
      <c r="M105" s="164">
        <f>(M77*Emissions_factors!$E$20)/1000</f>
        <v>18091.419457504151</v>
      </c>
      <c r="N105" s="164">
        <f>(N77*Emissions_factors!$E$20)/1000</f>
        <v>12799.005531768122</v>
      </c>
      <c r="O105" s="164">
        <f>(O77*Emissions_factors!$E$20)/1000</f>
        <v>8862.8785146995451</v>
      </c>
      <c r="P105" s="164">
        <f>(P77*Emissions_factors!$E$20)/1000</f>
        <v>6011.9747596295474</v>
      </c>
      <c r="Q105" s="164">
        <f>(Q77*Emissions_factors!$E$20)/1000</f>
        <v>3997.6997516086271</v>
      </c>
      <c r="R105" s="164">
        <f>(R77*Emissions_factors!$E$20)/1000</f>
        <v>2607.5149855558175</v>
      </c>
      <c r="S105" s="164">
        <f>(S77*Emissions_factors!$E$20)/1000</f>
        <v>1669.2140703402349</v>
      </c>
      <c r="T105" s="164">
        <f>(T77*Emissions_factors!$E$20)/1000</f>
        <v>1049.2704053251489</v>
      </c>
      <c r="U105" s="164">
        <f>(U77*Emissions_factors!$E$20)/1000</f>
        <v>647.96977775103335</v>
      </c>
      <c r="V105" s="164">
        <f>(V77*Emissions_factors!$E$20)/1000</f>
        <v>393.27726798144295</v>
      </c>
      <c r="W105" s="164">
        <f>(W77*Emissions_factors!$E$20)/1000</f>
        <v>234.68746252889875</v>
      </c>
      <c r="X105" s="164">
        <f>(X77*Emissions_factors!$E$20)/1000</f>
        <v>137.74800197427706</v>
      </c>
      <c r="Y105" s="164">
        <f>(Y77*Emissions_factors!$E$20)/1000</f>
        <v>79.548376465948849</v>
      </c>
      <c r="Z105" s="164">
        <f>(Z77*Emissions_factors!$E$20)/1000</f>
        <v>45.213095720344739</v>
      </c>
      <c r="AA105" s="164">
        <f>(AA77*Emissions_factors!$E$20)/1000</f>
        <v>25.29947984371902</v>
      </c>
      <c r="AB105" s="164">
        <f>(AB77*Emissions_factors!$E$20)/1000</f>
        <v>13.940970419246083</v>
      </c>
    </row>
    <row r="106" spans="1:28">
      <c r="B106" s="163">
        <v>2009</v>
      </c>
      <c r="C106" s="164">
        <f>(C78*Emissions_factors!$E$20)/1000</f>
        <v>0</v>
      </c>
      <c r="D106" s="164">
        <f>(D78*Emissions_factors!$E$20)/1000</f>
        <v>0</v>
      </c>
      <c r="E106" s="164">
        <f>(E78*Emissions_factors!$E$20)/1000</f>
        <v>113896.79384439465</v>
      </c>
      <c r="F106" s="164">
        <f>(F78*Emissions_factors!$E$20)/1000</f>
        <v>107690.12156581527</v>
      </c>
      <c r="G106" s="164">
        <f>(G78*Emissions_factors!$E$20)/1000</f>
        <v>96103.600444767726</v>
      </c>
      <c r="H106" s="164">
        <f>(H78*Emissions_factors!$E$20)/1000</f>
        <v>82295.460487311138</v>
      </c>
      <c r="I106" s="164">
        <f>(I78*Emissions_factors!$E$20)/1000</f>
        <v>68057.673237569557</v>
      </c>
      <c r="J106" s="164">
        <f>(J78*Emissions_factors!$E$20)/1000</f>
        <v>54565.787987497839</v>
      </c>
      <c r="K106" s="164">
        <f>(K78*Emissions_factors!$E$20)/1000</f>
        <v>42527.34852242651</v>
      </c>
      <c r="L106" s="164">
        <f>(L78*Emissions_factors!$E$20)/1000</f>
        <v>32284.355946121876</v>
      </c>
      <c r="M106" s="164">
        <f>(M78*Emissions_factors!$E$20)/1000</f>
        <v>23909.955289997448</v>
      </c>
      <c r="N106" s="164">
        <f>(N78*Emissions_factors!$E$20)/1000</f>
        <v>17297.724007813213</v>
      </c>
      <c r="O106" s="164">
        <f>(O78*Emissions_factors!$E$20)/1000</f>
        <v>12237.495558767092</v>
      </c>
      <c r="P106" s="164">
        <f>(P78*Emissions_factors!$E$20)/1000</f>
        <v>8474.0518466316189</v>
      </c>
      <c r="Q106" s="164">
        <f>(Q78*Emissions_factors!$E$20)/1000</f>
        <v>5748.2211596655879</v>
      </c>
      <c r="R106" s="164">
        <f>(R78*Emissions_factors!$E$20)/1000</f>
        <v>3822.3151661406118</v>
      </c>
      <c r="S106" s="164">
        <f>(S78*Emissions_factors!$E$20)/1000</f>
        <v>2493.1197174621279</v>
      </c>
      <c r="T106" s="164">
        <f>(T78*Emissions_factors!$E$20)/1000</f>
        <v>1595.9833536846884</v>
      </c>
      <c r="U106" s="164">
        <f>(U78*Emissions_factors!$E$20)/1000</f>
        <v>1003.2374697581998</v>
      </c>
      <c r="V106" s="164">
        <f>(V78*Emissions_factors!$E$20)/1000</f>
        <v>619.54245255710453</v>
      </c>
      <c r="W106" s="164">
        <f>(W78*Emissions_factors!$E$20)/1000</f>
        <v>376.02365342693213</v>
      </c>
      <c r="X106" s="164">
        <f>(X78*Emissions_factors!$E$20)/1000</f>
        <v>224.39140082151098</v>
      </c>
      <c r="Y106" s="164">
        <f>(Y78*Emissions_factors!$E$20)/1000</f>
        <v>131.70480770597698</v>
      </c>
      <c r="Z106" s="164">
        <f>(Z78*Emissions_factors!$E$20)/1000</f>
        <v>76.058479800867858</v>
      </c>
      <c r="AA106" s="164">
        <f>(AA78*Emissions_factors!$E$20)/1000</f>
        <v>43.229535037117458</v>
      </c>
      <c r="AB106" s="164">
        <f>(AB78*Emissions_factors!$E$20)/1000</f>
        <v>24.189556872850183</v>
      </c>
    </row>
    <row r="107" spans="1:28">
      <c r="B107" s="163">
        <v>2010</v>
      </c>
      <c r="C107" s="164">
        <f>(C79*Emissions_factors!$E$20)/1000</f>
        <v>0</v>
      </c>
      <c r="D107" s="164">
        <f>(D79*Emissions_factors!$E$20)/1000</f>
        <v>0</v>
      </c>
      <c r="E107" s="164">
        <f>(E79*Emissions_factors!$E$20)/1000</f>
        <v>0</v>
      </c>
      <c r="F107" s="164">
        <f>(F79*Emissions_factors!$E$20)/1000</f>
        <v>63777.219338326038</v>
      </c>
      <c r="G107" s="164">
        <f>(G79*Emissions_factors!$E$20)/1000</f>
        <v>60301.754525744342</v>
      </c>
      <c r="H107" s="164">
        <f>(H79*Emissions_factors!$E$20)/1000</f>
        <v>53813.809835090833</v>
      </c>
      <c r="I107" s="164">
        <f>(I79*Emissions_factors!$E$20)/1000</f>
        <v>46081.855835365925</v>
      </c>
      <c r="J107" s="164">
        <f>(J79*Emissions_factors!$E$20)/1000</f>
        <v>38109.318157441812</v>
      </c>
      <c r="K107" s="164">
        <f>(K79*Emissions_factors!$E$20)/1000</f>
        <v>30554.452951517509</v>
      </c>
      <c r="L107" s="164">
        <f>(L79*Emissions_factors!$E$20)/1000</f>
        <v>23813.453768485637</v>
      </c>
      <c r="M107" s="164">
        <f>(M79*Emissions_factors!$E$20)/1000</f>
        <v>18077.826257211524</v>
      </c>
      <c r="N107" s="164">
        <f>(N79*Emissions_factors!$E$20)/1000</f>
        <v>13388.528433759628</v>
      </c>
      <c r="O107" s="164">
        <f>(O79*Emissions_factors!$E$20)/1000</f>
        <v>9685.9683303054153</v>
      </c>
      <c r="P107" s="164">
        <f>(P79*Emissions_factors!$E$20)/1000</f>
        <v>6852.461882900403</v>
      </c>
      <c r="Q107" s="164">
        <f>(Q79*Emissions_factors!$E$20)/1000</f>
        <v>4745.0981284454256</v>
      </c>
      <c r="R107" s="164">
        <f>(R79*Emissions_factors!$E$20)/1000</f>
        <v>3218.7522522017093</v>
      </c>
      <c r="S107" s="164">
        <f>(S79*Emissions_factors!$E$20)/1000</f>
        <v>2140.3291919191911</v>
      </c>
      <c r="T107" s="164">
        <f>(T79*Emissions_factors!$E$20)/1000</f>
        <v>1396.0379189823252</v>
      </c>
      <c r="U107" s="164">
        <f>(U79*Emissions_factors!$E$20)/1000</f>
        <v>893.68082254648084</v>
      </c>
      <c r="V107" s="164">
        <f>(V79*Emissions_factors!$E$20)/1000</f>
        <v>561.76907178449846</v>
      </c>
      <c r="W107" s="164">
        <f>(W79*Emissions_factors!$E$20)/1000</f>
        <v>346.91665632064235</v>
      </c>
      <c r="X107" s="164">
        <f>(X79*Emissions_factors!$E$20)/1000</f>
        <v>210.55678752267519</v>
      </c>
      <c r="Y107" s="164">
        <f>(Y79*Emissions_factors!$E$20)/1000</f>
        <v>125.64936294325767</v>
      </c>
      <c r="Z107" s="164">
        <f>(Z79*Emissions_factors!$E$20)/1000</f>
        <v>73.748927651570895</v>
      </c>
      <c r="AA107" s="164">
        <f>(AA79*Emissions_factors!$E$20)/1000</f>
        <v>42.589419640966646</v>
      </c>
      <c r="AB107" s="164">
        <f>(AB79*Emissions_factors!$E$20)/1000</f>
        <v>24.206647482305556</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59884.445264706199</v>
      </c>
      <c r="H108" s="164">
        <f>(H80*Emissions_factors!$E$20)/1000</f>
        <v>56621.112612424979</v>
      </c>
      <c r="I108" s="164">
        <f>(I80*Emissions_factors!$E$20)/1000</f>
        <v>50529.173002345415</v>
      </c>
      <c r="J108" s="164">
        <f>(J80*Emissions_factors!$E$20)/1000</f>
        <v>43269.154756182936</v>
      </c>
      <c r="K108" s="164">
        <f>(K80*Emissions_factors!$E$20)/1000</f>
        <v>35783.237352638367</v>
      </c>
      <c r="L108" s="164">
        <f>(L80*Emissions_factors!$E$20)/1000</f>
        <v>28689.4989206379</v>
      </c>
      <c r="M108" s="164">
        <f>(M80*Emissions_factors!$E$20)/1000</f>
        <v>22359.950520851911</v>
      </c>
      <c r="N108" s="164">
        <f>(N80*Emissions_factors!$E$20)/1000</f>
        <v>16974.408860034611</v>
      </c>
      <c r="O108" s="164">
        <f>(O80*Emissions_factors!$E$20)/1000</f>
        <v>12571.331997295652</v>
      </c>
      <c r="P108" s="164">
        <f>(P80*Emissions_factors!$E$20)/1000</f>
        <v>9094.7652834291293</v>
      </c>
      <c r="Q108" s="164">
        <f>(Q80*Emissions_factors!$E$20)/1000</f>
        <v>6434.2077439622244</v>
      </c>
      <c r="R108" s="164">
        <f>(R80*Emissions_factors!$E$20)/1000</f>
        <v>4455.4712810721339</v>
      </c>
      <c r="S108" s="164">
        <f>(S80*Emissions_factors!$E$20)/1000</f>
        <v>3022.2890722956108</v>
      </c>
      <c r="T108" s="164">
        <f>(T80*Emissions_factors!$E$20)/1000</f>
        <v>2009.6897869128991</v>
      </c>
      <c r="U108" s="164">
        <f>(U80*Emissions_factors!$E$20)/1000</f>
        <v>1310.8278663461981</v>
      </c>
      <c r="V108" s="164">
        <f>(V80*Emissions_factors!$E$20)/1000</f>
        <v>839.13317101521397</v>
      </c>
      <c r="W108" s="164">
        <f>(W80*Emissions_factors!$E$20)/1000</f>
        <v>527.48033827287566</v>
      </c>
      <c r="X108" s="164">
        <f>(X80*Emissions_factors!$E$20)/1000</f>
        <v>325.74188295418526</v>
      </c>
      <c r="Y108" s="164">
        <f>(Y80*Emissions_factors!$E$20)/1000</f>
        <v>197.70501988531768</v>
      </c>
      <c r="Z108" s="164">
        <f>(Z80*Emissions_factors!$E$20)/1000</f>
        <v>117.9800950211545</v>
      </c>
      <c r="AA108" s="164">
        <f>(AA80*Emissions_factors!$E$20)/1000</f>
        <v>69.247509802097824</v>
      </c>
      <c r="AB108" s="164">
        <f>(AB80*Emissions_factors!$E$20)/1000</f>
        <v>39.989886605363751</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71495.844840115358</v>
      </c>
      <c r="I109" s="164">
        <f>(I81*Emissions_factors!$E$20)/1000</f>
        <v>67599.762578054419</v>
      </c>
      <c r="J109" s="164">
        <f>(J81*Emissions_factors!$E$20)/1000</f>
        <v>60326.615649626612</v>
      </c>
      <c r="K109" s="164">
        <f>(K81*Emissions_factors!$E$20)/1000</f>
        <v>51658.903428704434</v>
      </c>
      <c r="L109" s="164">
        <f>(L81*Emissions_factors!$E$20)/1000</f>
        <v>42721.490936963834</v>
      </c>
      <c r="M109" s="164">
        <f>(M81*Emissions_factors!$E$20)/1000</f>
        <v>34252.299646490625</v>
      </c>
      <c r="N109" s="164">
        <f>(N81*Emissions_factors!$E$20)/1000</f>
        <v>26695.47235521724</v>
      </c>
      <c r="O109" s="164">
        <f>(O81*Emissions_factors!$E$20)/1000</f>
        <v>20265.691645723015</v>
      </c>
      <c r="P109" s="164">
        <f>(P81*Emissions_factors!$E$20)/1000</f>
        <v>15008.872469959195</v>
      </c>
      <c r="Q109" s="164">
        <f>(Q81*Emissions_factors!$E$20)/1000</f>
        <v>10858.210753845689</v>
      </c>
      <c r="R109" s="164">
        <f>(R81*Emissions_factors!$E$20)/1000</f>
        <v>7681.7797426022244</v>
      </c>
      <c r="S109" s="164">
        <f>(S81*Emissions_factors!$E$20)/1000</f>
        <v>5319.3727017600695</v>
      </c>
      <c r="T109" s="164">
        <f>(T81*Emissions_factors!$E$20)/1000</f>
        <v>3608.3011142490086</v>
      </c>
      <c r="U109" s="164">
        <f>(U81*Emissions_factors!$E$20)/1000</f>
        <v>2399.3621139306383</v>
      </c>
      <c r="V109" s="164">
        <f>(V81*Emissions_factors!$E$20)/1000</f>
        <v>1564.9931351976934</v>
      </c>
      <c r="W109" s="164">
        <f>(W81*Emissions_factors!$E$20)/1000</f>
        <v>1001.8383693779723</v>
      </c>
      <c r="X109" s="164">
        <f>(X81*Emissions_factors!$E$20)/1000</f>
        <v>629.75706386973241</v>
      </c>
      <c r="Y109" s="164">
        <f>(Y81*Emissions_factors!$E$20)/1000</f>
        <v>388.90217682863431</v>
      </c>
      <c r="Z109" s="164">
        <f>(Z81*Emissions_factors!$E$20)/1000</f>
        <v>236.03938156814354</v>
      </c>
      <c r="AA109" s="164">
        <f>(AA81*Emissions_factors!$E$20)/1000</f>
        <v>140.85605252865005</v>
      </c>
      <c r="AB109" s="164">
        <f>(AB81*Emissions_factors!$E$20)/1000</f>
        <v>82.674377202472726</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69354.870030819278</v>
      </c>
      <c r="J110" s="164">
        <f>(J82*Emissions_factors!$E$20)/1000</f>
        <v>65575.457681487838</v>
      </c>
      <c r="K110" s="164">
        <f>(K82*Emissions_factors!$E$20)/1000</f>
        <v>58520.108366234548</v>
      </c>
      <c r="L110" s="164">
        <f>(L82*Emissions_factors!$E$20)/1000</f>
        <v>50111.954635189955</v>
      </c>
      <c r="M110" s="164">
        <f>(M82*Emissions_factors!$E$20)/1000</f>
        <v>41442.176927651089</v>
      </c>
      <c r="N110" s="164">
        <f>(N82*Emissions_factors!$E$20)/1000</f>
        <v>33226.599329673743</v>
      </c>
      <c r="O110" s="164">
        <f>(O82*Emissions_factors!$E$20)/1000</f>
        <v>25896.064585960259</v>
      </c>
      <c r="P110" s="164">
        <f>(P82*Emissions_factors!$E$20)/1000</f>
        <v>19658.826513861393</v>
      </c>
      <c r="Q110" s="164">
        <f>(Q82*Emissions_factors!$E$20)/1000</f>
        <v>14559.425121711482</v>
      </c>
      <c r="R110" s="164">
        <f>(R82*Emissions_factors!$E$20)/1000</f>
        <v>10533.056813081741</v>
      </c>
      <c r="S110" s="164">
        <f>(S82*Emissions_factors!$E$20)/1000</f>
        <v>7451.7454384234125</v>
      </c>
      <c r="T110" s="164">
        <f>(T82*Emissions_factors!$E$20)/1000</f>
        <v>5160.0817250439577</v>
      </c>
      <c r="U110" s="164">
        <f>(U82*Emissions_factors!$E$20)/1000</f>
        <v>3500.248935730971</v>
      </c>
      <c r="V110" s="164">
        <f>(V82*Emissions_factors!$E$20)/1000</f>
        <v>2327.5121504006938</v>
      </c>
      <c r="W110" s="164">
        <f>(W82*Emissions_factors!$E$20)/1000</f>
        <v>1518.1287210954129</v>
      </c>
      <c r="X110" s="164">
        <f>(X82*Emissions_factors!$E$20)/1000</f>
        <v>971.83787471116909</v>
      </c>
      <c r="Y110" s="164">
        <f>(Y82*Emissions_factors!$E$20)/1000</f>
        <v>610.89870905573571</v>
      </c>
      <c r="Z110" s="164">
        <f>(Z82*Emissions_factors!$E$20)/1000</f>
        <v>377.25632851769393</v>
      </c>
      <c r="AA110" s="164">
        <f>(AA82*Emissions_factors!$E$20)/1000</f>
        <v>228.97107751398025</v>
      </c>
      <c r="AB110" s="164">
        <f>(AB82*Emissions_factors!$E$20)/1000</f>
        <v>136.6380555125281</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65986.331859294194</v>
      </c>
      <c r="K111" s="164">
        <f>(K83*Emissions_factors!$E$20)/1000</f>
        <v>62390.484049251754</v>
      </c>
      <c r="L111" s="164">
        <f>(L83*Emissions_factors!$E$20)/1000</f>
        <v>55677.81021549405</v>
      </c>
      <c r="M111" s="164">
        <f>(M83*Emissions_factors!$E$20)/1000</f>
        <v>47678.037132881043</v>
      </c>
      <c r="N111" s="164">
        <f>(N83*Emissions_factors!$E$20)/1000</f>
        <v>39429.347045195027</v>
      </c>
      <c r="O111" s="164">
        <f>(O83*Emissions_factors!$E$20)/1000</f>
        <v>31612.796750240756</v>
      </c>
      <c r="P111" s="164">
        <f>(P83*Emissions_factors!$E$20)/1000</f>
        <v>24638.30313371728</v>
      </c>
      <c r="Q111" s="164">
        <f>(Q83*Emissions_factors!$E$20)/1000</f>
        <v>18704.005208740284</v>
      </c>
      <c r="R111" s="164">
        <f>(R83*Emissions_factors!$E$20)/1000</f>
        <v>13852.279693334889</v>
      </c>
      <c r="S111" s="164">
        <f>(S83*Emissions_factors!$E$20)/1000</f>
        <v>10021.47047571363</v>
      </c>
      <c r="T111" s="164">
        <f>(T83*Emissions_factors!$E$20)/1000</f>
        <v>7089.8171564921968</v>
      </c>
      <c r="U111" s="164">
        <f>(U83*Emissions_factors!$E$20)/1000</f>
        <v>4909.4586289113349</v>
      </c>
      <c r="V111" s="164">
        <f>(V83*Emissions_factors!$E$20)/1000</f>
        <v>3330.2432512763617</v>
      </c>
      <c r="W111" s="164">
        <f>(W83*Emissions_factors!$E$20)/1000</f>
        <v>2214.4658204194084</v>
      </c>
      <c r="X111" s="164">
        <f>(X83*Emissions_factors!$E$20)/1000</f>
        <v>1444.3938190759011</v>
      </c>
      <c r="Y111" s="164">
        <f>(Y83*Emissions_factors!$E$20)/1000</f>
        <v>924.63609960808446</v>
      </c>
      <c r="Z111" s="164">
        <f>(Z83*Emissions_factors!$E$20)/1000</f>
        <v>581.22760420794054</v>
      </c>
      <c r="AA111" s="164">
        <f>(AA83*Emissions_factors!$E$20)/1000</f>
        <v>358.93314021820532</v>
      </c>
      <c r="AB111" s="164">
        <f>(AB83*Emissions_factors!$E$20)/1000</f>
        <v>217.85004427668434</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63309.028744266994</v>
      </c>
      <c r="L112" s="164">
        <f>(L84*Emissions_factors!$E$20)/1000</f>
        <v>59859.077429327794</v>
      </c>
      <c r="M112" s="164">
        <f>(M84*Emissions_factors!$E$20)/1000</f>
        <v>53418.760946841008</v>
      </c>
      <c r="N112" s="164">
        <f>(N84*Emissions_factors!$E$20)/1000</f>
        <v>45743.567467156397</v>
      </c>
      <c r="O112" s="164">
        <f>(O84*Emissions_factors!$E$20)/1000</f>
        <v>37829.556441700217</v>
      </c>
      <c r="P112" s="164">
        <f>(P84*Emissions_factors!$E$20)/1000</f>
        <v>30330.1517413529</v>
      </c>
      <c r="Q112" s="164">
        <f>(Q84*Emissions_factors!$E$20)/1000</f>
        <v>23638.638447558576</v>
      </c>
      <c r="R112" s="164">
        <f>(R84*Emissions_factors!$E$20)/1000</f>
        <v>17945.116360128039</v>
      </c>
      <c r="S112" s="164">
        <f>(S84*Emissions_factors!$E$20)/1000</f>
        <v>13290.24282102813</v>
      </c>
      <c r="T112" s="164">
        <f>(T84*Emissions_factors!$E$20)/1000</f>
        <v>9614.8633289640093</v>
      </c>
      <c r="U112" s="164">
        <f>(U84*Emissions_factors!$E$20)/1000</f>
        <v>6802.1577424407351</v>
      </c>
      <c r="V112" s="164">
        <f>(V84*Emissions_factors!$E$20)/1000</f>
        <v>4710.2642122810958</v>
      </c>
      <c r="W112" s="164">
        <f>(W84*Emissions_factors!$E$20)/1000</f>
        <v>3195.1232896235056</v>
      </c>
      <c r="X112" s="164">
        <f>(X84*Emissions_factors!$E$20)/1000</f>
        <v>2124.6169672997594</v>
      </c>
      <c r="Y112" s="164">
        <f>(Y84*Emissions_factors!$E$20)/1000</f>
        <v>1385.7895602517569</v>
      </c>
      <c r="Z112" s="164">
        <f>(Z84*Emissions_factors!$E$20)/1000</f>
        <v>887.12028322620074</v>
      </c>
      <c r="AA112" s="164">
        <f>(AA84*Emissions_factors!$E$20)/1000</f>
        <v>557.64510717501082</v>
      </c>
      <c r="AB112" s="164">
        <f>(AB84*Emissions_factors!$E$20)/1000</f>
        <v>344.36993012127459</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67642.479624060841</v>
      </c>
      <c r="M113" s="164">
        <f>(M85*Emissions_factors!$E$20)/1000</f>
        <v>63956.381982799707</v>
      </c>
      <c r="N113" s="164">
        <f>(N85*Emissions_factors!$E$20)/1000</f>
        <v>57075.231140968688</v>
      </c>
      <c r="O113" s="164">
        <f>(O85*Emissions_factors!$E$20)/1000</f>
        <v>48874.676988456842</v>
      </c>
      <c r="P113" s="164">
        <f>(P85*Emissions_factors!$E$20)/1000</f>
        <v>40418.958425842044</v>
      </c>
      <c r="Q113" s="164">
        <f>(Q85*Emissions_factors!$E$20)/1000</f>
        <v>32406.225649843385</v>
      </c>
      <c r="R113" s="164">
        <f>(R85*Emissions_factors!$E$20)/1000</f>
        <v>25256.683781842396</v>
      </c>
      <c r="S113" s="164">
        <f>(S85*Emissions_factors!$E$20)/1000</f>
        <v>19173.444796391432</v>
      </c>
      <c r="T113" s="164">
        <f>(T85*Emissions_factors!$E$20)/1000</f>
        <v>14199.948997031877</v>
      </c>
      <c r="U113" s="164">
        <f>(U85*Emissions_factors!$E$20)/1000</f>
        <v>10272.992805571557</v>
      </c>
      <c r="V113" s="164">
        <f>(V85*Emissions_factors!$E$20)/1000</f>
        <v>7267.7598380367062</v>
      </c>
      <c r="W113" s="164">
        <f>(W85*Emissions_factors!$E$20)/1000</f>
        <v>5032.6779185033602</v>
      </c>
      <c r="X113" s="164">
        <f>(X85*Emissions_factors!$E$20)/1000</f>
        <v>3413.826847474606</v>
      </c>
      <c r="Y113" s="164">
        <f>(Y85*Emissions_factors!$E$20)/1000</f>
        <v>2270.0452489965278</v>
      </c>
      <c r="Z113" s="164">
        <f>(Z85*Emissions_factors!$E$20)/1000</f>
        <v>1480.6457143927396</v>
      </c>
      <c r="AA113" s="164">
        <f>(AA85*Emissions_factors!$E$20)/1000</f>
        <v>947.84293603072138</v>
      </c>
      <c r="AB113" s="164">
        <f>(AB85*Emissions_factors!$E$20)/1000</f>
        <v>595.81545551603028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61624.129729208093</v>
      </c>
      <c r="N114" s="164">
        <f>(N86*Emissions_factors!$E$20)/1000</f>
        <v>58265.995011172046</v>
      </c>
      <c r="O114" s="164">
        <f>(O86*Emissions_factors!$E$20)/1000</f>
        <v>51997.08035103578</v>
      </c>
      <c r="P114" s="164">
        <f>(P86*Emissions_factors!$E$20)/1000</f>
        <v>44526.153564282838</v>
      </c>
      <c r="Q114" s="164">
        <f>(Q86*Emissions_factors!$E$20)/1000</f>
        <v>36822.765093720373</v>
      </c>
      <c r="R114" s="164">
        <f>(R86*Emissions_factors!$E$20)/1000</f>
        <v>29522.948664489712</v>
      </c>
      <c r="S114" s="164">
        <f>(S86*Emissions_factors!$E$20)/1000</f>
        <v>23009.522515319106</v>
      </c>
      <c r="T114" s="164">
        <f>(T86*Emissions_factors!$E$20)/1000</f>
        <v>17467.5271523954</v>
      </c>
      <c r="U114" s="164">
        <f>(U86*Emissions_factors!$E$20)/1000</f>
        <v>12936.537867987421</v>
      </c>
      <c r="V114" s="164">
        <f>(V86*Emissions_factors!$E$20)/1000</f>
        <v>9358.9744917124281</v>
      </c>
      <c r="W114" s="164">
        <f>(W86*Emissions_factors!$E$20)/1000</f>
        <v>6621.1259195263528</v>
      </c>
      <c r="X114" s="164">
        <f>(X86*Emissions_factors!$E$20)/1000</f>
        <v>4584.9057967540166</v>
      </c>
      <c r="Y114" s="164">
        <f>(Y86*Emissions_factors!$E$20)/1000</f>
        <v>3110.0886556943615</v>
      </c>
      <c r="Z114" s="164">
        <f>(Z86*Emissions_factors!$E$20)/1000</f>
        <v>2068.0726622206048</v>
      </c>
      <c r="AA114" s="164">
        <f>(AA86*Emissions_factors!$E$20)/1000</f>
        <v>1348.9083205382424</v>
      </c>
      <c r="AB114" s="164">
        <f>(AB86*Emissions_factors!$E$20)/1000</f>
        <v>863.51056876533949</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68803.920576340563</v>
      </c>
      <c r="O115" s="164">
        <f>(O87*Emissions_factors!$E$20)/1000</f>
        <v>65054.53157174596</v>
      </c>
      <c r="P115" s="164">
        <f>(P87*Emissions_factors!$E$20)/1000</f>
        <v>58055.22937841314</v>
      </c>
      <c r="Q115" s="164">
        <f>(Q87*Emissions_factors!$E$20)/1000</f>
        <v>49713.869337692442</v>
      </c>
      <c r="R115" s="164">
        <f>(R87*Emissions_factors!$E$20)/1000</f>
        <v>41112.96364009747</v>
      </c>
      <c r="S115" s="164">
        <f>(S87*Emissions_factors!$E$20)/1000</f>
        <v>32962.64992328408</v>
      </c>
      <c r="T115" s="164">
        <f>(T87*Emissions_factors!$E$20)/1000</f>
        <v>25690.348352184021</v>
      </c>
      <c r="U115" s="164">
        <f>(U87*Emissions_factors!$E$20)/1000</f>
        <v>19502.658392737507</v>
      </c>
      <c r="V115" s="164">
        <f>(V87*Emissions_factors!$E$20)/1000</f>
        <v>14443.766231070256</v>
      </c>
      <c r="W115" s="164">
        <f>(W87*Emissions_factors!$E$20)/1000</f>
        <v>10449.383065260108</v>
      </c>
      <c r="X115" s="164">
        <f>(X87*Emissions_factors!$E$20)/1000</f>
        <v>7392.5493778960208</v>
      </c>
      <c r="Y115" s="164">
        <f>(Y87*Emissions_factors!$E$20)/1000</f>
        <v>5119.0904549252882</v>
      </c>
      <c r="Z115" s="164">
        <f>(Z87*Emissions_factors!$E$20)/1000</f>
        <v>3472.4432424779402</v>
      </c>
      <c r="AA115" s="164">
        <f>(AA87*Emissions_factors!$E$20)/1000</f>
        <v>2309.0225829199098</v>
      </c>
      <c r="AB115" s="164">
        <f>(AB87*Emissions_factors!$E$20)/1000</f>
        <v>1506.0688298383993</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89577.698255256604</v>
      </c>
      <c r="P116" s="164">
        <f>(P88*Emissions_factors!$E$20)/1000</f>
        <v>84696.266585639751</v>
      </c>
      <c r="Q116" s="164">
        <f>(Q88*Emissions_factors!$E$20)/1000</f>
        <v>75583.684415615542</v>
      </c>
      <c r="R116" s="164">
        <f>(R88*Emissions_factors!$E$20)/1000</f>
        <v>64723.840579578791</v>
      </c>
      <c r="S116" s="164">
        <f>(S88*Emissions_factors!$E$20)/1000</f>
        <v>53526.087183444375</v>
      </c>
      <c r="T116" s="164">
        <f>(T88*Emissions_factors!$E$20)/1000</f>
        <v>42914.971760154949</v>
      </c>
      <c r="U116" s="164">
        <f>(U88*Emissions_factors!$E$20)/1000</f>
        <v>33446.964264354807</v>
      </c>
      <c r="V116" s="164">
        <f>(V88*Emissions_factors!$E$20)/1000</f>
        <v>25391.042168034921</v>
      </c>
      <c r="W116" s="164">
        <f>(W88*Emissions_factors!$E$20)/1000</f>
        <v>18804.732670440088</v>
      </c>
      <c r="X116" s="164">
        <f>(X88*Emissions_factors!$E$20)/1000</f>
        <v>13604.336429272164</v>
      </c>
      <c r="Y116" s="164">
        <f>(Y88*Emissions_factors!$E$20)/1000</f>
        <v>9624.5613907351453</v>
      </c>
      <c r="Z116" s="164">
        <f>(Z88*Emissions_factors!$E$20)/1000</f>
        <v>6664.6832952473405</v>
      </c>
      <c r="AA116" s="164">
        <f>(AA88*Emissions_factors!$E$20)/1000</f>
        <v>4520.8684385662036</v>
      </c>
      <c r="AB116" s="164">
        <f>(AB88*Emissions_factors!$E$20)/1000</f>
        <v>3006.1793930460617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115650.20548140307</v>
      </c>
      <c r="Q117" s="164">
        <f>(Q89*Emissions_factors!$E$20)/1000</f>
        <v>109347.98309089315</v>
      </c>
      <c r="R117" s="164">
        <f>(R89*Emissions_factors!$E$20)/1000</f>
        <v>97583.090478600265</v>
      </c>
      <c r="S117" s="164">
        <f>(S89*Emissions_factors!$E$20)/1000</f>
        <v>83562.377783407792</v>
      </c>
      <c r="T117" s="164">
        <f>(T89*Emissions_factors!$E$20)/1000</f>
        <v>69105.403487162897</v>
      </c>
      <c r="U117" s="164">
        <f>(U89*Emissions_factors!$E$20)/1000</f>
        <v>55405.81415865173</v>
      </c>
      <c r="V117" s="164">
        <f>(V89*Emissions_factors!$E$20)/1000</f>
        <v>43182.046036495332</v>
      </c>
      <c r="W117" s="164">
        <f>(W89*Emissions_factors!$E$20)/1000</f>
        <v>32781.365242859312</v>
      </c>
      <c r="X117" s="164">
        <f>(X89*Emissions_factors!$E$20)/1000</f>
        <v>24278.042857968052</v>
      </c>
      <c r="Y117" s="164">
        <f>(Y89*Emissions_factors!$E$20)/1000</f>
        <v>17564.017988050233</v>
      </c>
      <c r="Z117" s="164">
        <f>(Z89*Emissions_factors!$E$20)/1000</f>
        <v>12425.888632850421</v>
      </c>
      <c r="AA117" s="164">
        <f>(AA89*Emissions_factors!$E$20)/1000</f>
        <v>8604.5076796623198</v>
      </c>
      <c r="AB117" s="164">
        <f>(AB89*Emissions_factors!$E$20)/1000</f>
        <v>5836.7135353792146</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113534.74393532026</v>
      </c>
      <c r="R118" s="164">
        <f>(R90*Emissions_factors!$E$20)/1000</f>
        <v>107347.80114216593</v>
      </c>
      <c r="S118" s="164">
        <f>(S90*Emissions_factors!$E$20)/1000</f>
        <v>95798.110723518097</v>
      </c>
      <c r="T118" s="164">
        <f>(T90*Emissions_factors!$E$20)/1000</f>
        <v>82033.863448615113</v>
      </c>
      <c r="U118" s="164">
        <f>(U90*Emissions_factors!$E$20)/1000</f>
        <v>67841.334624551717</v>
      </c>
      <c r="V118" s="164">
        <f>(V90*Emissions_factors!$E$20)/1000</f>
        <v>54392.336761061757</v>
      </c>
      <c r="W118" s="164">
        <f>(W90*Emissions_factors!$E$20)/1000</f>
        <v>42392.164535713455</v>
      </c>
      <c r="X118" s="164">
        <f>(X90*Emissions_factors!$E$20)/1000</f>
        <v>32181.731914836259</v>
      </c>
      <c r="Y118" s="164">
        <f>(Y90*Emissions_factors!$E$20)/1000</f>
        <v>23833.951419769612</v>
      </c>
      <c r="Z118" s="164">
        <f>(Z90*Emissions_factors!$E$20)/1000</f>
        <v>17242.738795386787</v>
      </c>
      <c r="AA118" s="164">
        <f>(AA90*Emissions_factors!$E$20)/1000</f>
        <v>12198.595568654962</v>
      </c>
      <c r="AB118" s="164">
        <f>(AB90*Emissions_factors!$E$20)/1000</f>
        <v>8447.1149189358675</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104720.47197834807</v>
      </c>
      <c r="S119" s="164">
        <f>(S91*Emissions_factors!$E$20)/1000</f>
        <v>99013.852604006897</v>
      </c>
      <c r="T119" s="164">
        <f>(T91*Emissions_factors!$E$20)/1000</f>
        <v>88360.822615815443</v>
      </c>
      <c r="U119" s="164">
        <f>(U91*Emissions_factors!$E$20)/1000</f>
        <v>75665.162934091175</v>
      </c>
      <c r="V119" s="164">
        <f>(V91*Emissions_factors!$E$20)/1000</f>
        <v>62574.471349240906</v>
      </c>
      <c r="W119" s="164">
        <f>(W91*Emissions_factors!$E$20)/1000</f>
        <v>50169.586685011549</v>
      </c>
      <c r="X119" s="164">
        <f>(X91*Emissions_factors!$E$20)/1000</f>
        <v>39101.048053561011</v>
      </c>
      <c r="Y119" s="164">
        <f>(Y91*Emissions_factors!$E$20)/1000</f>
        <v>29683.302559102329</v>
      </c>
      <c r="Z119" s="164">
        <f>(Z91*Emissions_factors!$E$20)/1000</f>
        <v>21983.60215802474</v>
      </c>
      <c r="AA119" s="164">
        <f>(AA91*Emissions_factors!$E$20)/1000</f>
        <v>15904.098448321245</v>
      </c>
      <c r="AB119" s="164">
        <f>(AB91*Emissions_factors!$E$20)/1000</f>
        <v>11251.557374809254</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104720.47197834807</v>
      </c>
      <c r="T120" s="164">
        <f>(T92*Emissions_factors!$E$20)/1000</f>
        <v>100427.65395976571</v>
      </c>
      <c r="U120" s="164">
        <f>(U92*Emissions_factors!$E$20)/1000</f>
        <v>92241.290535629043</v>
      </c>
      <c r="V120" s="164">
        <f>(V92*Emissions_factors!$E$20)/1000</f>
        <v>82149.676092347509</v>
      </c>
      <c r="W120" s="164">
        <f>(W92*Emissions_factors!$E$20)/1000</f>
        <v>71282.146406448999</v>
      </c>
      <c r="X120" s="164">
        <f>(X92*Emissions_factors!$E$20)/1000</f>
        <v>60436.998491761762</v>
      </c>
      <c r="Y120" s="164">
        <f>(Y92*Emissions_factors!$E$20)/1000</f>
        <v>50169.586685011483</v>
      </c>
      <c r="Z120" s="164">
        <f>(Z92*Emissions_factors!$E$20)/1000</f>
        <v>40836.131922785818</v>
      </c>
      <c r="AA120" s="164">
        <f>(AA92*Emissions_factors!$E$20)/1000</f>
        <v>32630.835417003847</v>
      </c>
      <c r="AB120" s="164">
        <f>(AB92*Emissions_factors!$E$20)/1000</f>
        <v>25621.831686951053</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103306.67022437004</v>
      </c>
      <c r="U121" s="164">
        <f>(U93*Emissions_factors!$E$20)/1000</f>
        <v>99071.808339192401</v>
      </c>
      <c r="V121" s="164">
        <f>(V93*Emissions_factors!$E$20)/1000</f>
        <v>90995.966714175767</v>
      </c>
      <c r="W121" s="164">
        <f>(W93*Emissions_factors!$E$20)/1000</f>
        <v>81040.5963302538</v>
      </c>
      <c r="X121" s="164">
        <f>(X93*Emissions_factors!$E$20)/1000</f>
        <v>70319.786118027157</v>
      </c>
      <c r="Y121" s="164">
        <f>(Y93*Emissions_factors!$E$20)/1000</f>
        <v>59621.055506989054</v>
      </c>
      <c r="Z121" s="164">
        <f>(Z93*Emissions_factors!$E$20)/1000</f>
        <v>49492.261150551654</v>
      </c>
      <c r="AA121" s="164">
        <f>(AA93*Emissions_factors!$E$20)/1000</f>
        <v>40284.81474623557</v>
      </c>
      <c r="AB121" s="164">
        <f>(AB93*Emissions_factors!$E$20)/1000</f>
        <v>32190.295649804684</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100840.00164410296</v>
      </c>
      <c r="V122" s="164">
        <f>(V94*Emissions_factors!$E$20)/1000</f>
        <v>96706.25617988102</v>
      </c>
      <c r="W122" s="164">
        <f>(W94*Emissions_factors!$E$20)/1000</f>
        <v>88823.242614779359</v>
      </c>
      <c r="X122" s="164">
        <f>(X94*Emissions_factors!$E$20)/1000</f>
        <v>79105.578075771438</v>
      </c>
      <c r="Y122" s="164">
        <f>(Y94*Emissions_factors!$E$20)/1000</f>
        <v>68640.750227975586</v>
      </c>
      <c r="Z122" s="164">
        <f>(Z94*Emissions_factors!$E$20)/1000</f>
        <v>58197.474783478749</v>
      </c>
      <c r="AA122" s="164">
        <f>(AA94*Emissions_factors!$E$20)/1000</f>
        <v>48310.527141689563</v>
      </c>
      <c r="AB122" s="164">
        <f>(AB94*Emissions_factors!$E$20)/1000</f>
        <v>39322.928291269971</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98235.959219889803</v>
      </c>
      <c r="W123" s="164">
        <f>(W95*Emissions_factors!$E$20)/1000</f>
        <v>94208.961557970804</v>
      </c>
      <c r="X123" s="164">
        <f>(X95*Emissions_factors!$E$20)/1000</f>
        <v>86529.515043835883</v>
      </c>
      <c r="Y123" s="164">
        <f>(Y95*Emissions_factors!$E$20)/1000</f>
        <v>77062.794676895312</v>
      </c>
      <c r="Z123" s="164">
        <f>(Z95*Emissions_factors!$E$20)/1000</f>
        <v>66868.205377626306</v>
      </c>
      <c r="AA123" s="164">
        <f>(AA95*Emissions_factors!$E$20)/1000</f>
        <v>56694.611923032557</v>
      </c>
      <c r="AB123" s="164">
        <f>(AB95*Emissions_factors!$E$20)/1000</f>
        <v>47062.979936592717</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96012.798191316295</v>
      </c>
      <c r="X124" s="164">
        <f>(X96*Emissions_factors!$E$20)/1000</f>
        <v>92076.934818055233</v>
      </c>
      <c r="Y124" s="164">
        <f>(Y96*Emissions_factors!$E$20)/1000</f>
        <v>84571.280531805241</v>
      </c>
      <c r="Z124" s="164">
        <f>(Z96*Emissions_factors!$E$20)/1000</f>
        <v>75318.799878665159</v>
      </c>
      <c r="AA124" s="164">
        <f>(AA96*Emissions_factors!$E$20)/1000</f>
        <v>65354.92256930728</v>
      </c>
      <c r="AB124" s="164">
        <f>(AB96*Emissions_factors!$E$20)/1000</f>
        <v>55411.565951289602</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94453.054982997259</v>
      </c>
      <c r="Y125" s="164">
        <f>(Y97*Emissions_factors!$E$20)/1000</f>
        <v>90581.130337499169</v>
      </c>
      <c r="Z125" s="164">
        <f>(Z97*Emissions_factors!$E$20)/1000</f>
        <v>83197.406601316514</v>
      </c>
      <c r="AA125" s="164">
        <f>(AA97*Emissions_factors!$E$20)/1000</f>
        <v>74095.233970968155</v>
      </c>
      <c r="AB125" s="164">
        <f>(AB97*Emissions_factors!$E$20)/1000</f>
        <v>64293.221436458603</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93651.934731466215</v>
      </c>
      <c r="Z126" s="164">
        <f>(Z98*Emissions_factors!$E$20)/1000</f>
        <v>89812.850498027532</v>
      </c>
      <c r="AA126" s="164">
        <f>(AA98*Emissions_factors!$E$20)/1000</f>
        <v>82491.753117528438</v>
      </c>
      <c r="AB126" s="164">
        <f>(AB98*Emissions_factors!$E$20)/1000</f>
        <v>73466.782170369857</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93567.645996245585</v>
      </c>
      <c r="AA127" s="164">
        <f>(AA99*Emissions_factors!$E$20)/1000</f>
        <v>89732.017020355706</v>
      </c>
      <c r="AB127" s="164">
        <f>(AB99*Emissions_factors!$E$20)/1000</f>
        <v>82417.50878337404</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94073.244538656974</v>
      </c>
      <c r="AB128" s="164">
        <f>(AB100*Emissions_factors!$E$20)/1000</f>
        <v>90216.889505177518</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95002.732907298516</v>
      </c>
    </row>
    <row r="131" spans="1:28">
      <c r="B131" s="307" t="s">
        <v>7803</v>
      </c>
      <c r="C131" s="298">
        <f t="shared" ref="C131:AB131" si="24">SUM(C104:C129)</f>
        <v>76624.61534796709</v>
      </c>
      <c r="D131" s="298">
        <f t="shared" si="24"/>
        <v>191571.92507492396</v>
      </c>
      <c r="E131" s="298">
        <f t="shared" si="24"/>
        <v>291182.36953360605</v>
      </c>
      <c r="F131" s="298">
        <f t="shared" si="24"/>
        <v>327345.26255552925</v>
      </c>
      <c r="G131" s="298">
        <f t="shared" si="24"/>
        <v>348147.46411517786</v>
      </c>
      <c r="H131" s="298">
        <f t="shared" si="24"/>
        <v>372116.08164331189</v>
      </c>
      <c r="I131" s="298">
        <f t="shared" si="24"/>
        <v>387303.31843192264</v>
      </c>
      <c r="J131" s="298">
        <f t="shared" si="24"/>
        <v>394030.81149327406</v>
      </c>
      <c r="K131" s="298">
        <f t="shared" si="24"/>
        <v>394594.80453119968</v>
      </c>
      <c r="L131" s="298">
        <f t="shared" si="24"/>
        <v>397444.2973342301</v>
      </c>
      <c r="M131" s="298">
        <f t="shared" si="24"/>
        <v>393043.77183138102</v>
      </c>
      <c r="N131" s="298">
        <f t="shared" si="24"/>
        <v>395400.75885786</v>
      </c>
      <c r="O131" s="298">
        <f t="shared" si="24"/>
        <v>418332.91439731477</v>
      </c>
      <c r="P131" s="298">
        <f t="shared" si="24"/>
        <v>465987.70196181303</v>
      </c>
      <c r="Q131" s="298">
        <f t="shared" si="24"/>
        <v>507772.03610831557</v>
      </c>
      <c r="R131" s="298">
        <f t="shared" si="24"/>
        <v>535457.79202934215</v>
      </c>
      <c r="S131" s="298">
        <f t="shared" si="24"/>
        <v>557849.23382513074</v>
      </c>
      <c r="T131" s="298">
        <f t="shared" si="24"/>
        <v>575448.05494909093</v>
      </c>
      <c r="U131" s="298">
        <f t="shared" si="24"/>
        <v>588944.48064397217</v>
      </c>
      <c r="V131" s="298">
        <f t="shared" si="24"/>
        <v>599195.95018757356</v>
      </c>
      <c r="W131" s="298">
        <f t="shared" si="24"/>
        <v>607122.05049139226</v>
      </c>
      <c r="X131" s="298">
        <f t="shared" si="24"/>
        <v>613598.52131419722</v>
      </c>
      <c r="Y131" s="298">
        <f t="shared" si="24"/>
        <v>619377.50740508013</v>
      </c>
      <c r="Z131" s="298">
        <f t="shared" si="24"/>
        <v>625039.76854563202</v>
      </c>
      <c r="AA131" s="298">
        <f t="shared" si="24"/>
        <v>630977.54313281039</v>
      </c>
      <c r="AB131" s="298">
        <f t="shared" si="24"/>
        <v>637402.42323133955</v>
      </c>
    </row>
    <row r="132" spans="1:28">
      <c r="A132" s="1"/>
      <c r="B132" s="307" t="s">
        <v>7801</v>
      </c>
      <c r="C132" s="164">
        <f>(C148*Emissions_factors!$D$9)/1000</f>
        <v>423711.26641910139</v>
      </c>
      <c r="D132" s="164">
        <f>D148*(Emissions_factors!$D$9/1000)</f>
        <v>658713.9838274417</v>
      </c>
      <c r="E132" s="164">
        <f>E148*(Emissions_factors!$D$9/1000)</f>
        <v>629815.29553823906</v>
      </c>
      <c r="F132" s="164">
        <f>F148*(Emissions_factors!$D$9/1000)</f>
        <v>352668.99875208153</v>
      </c>
      <c r="G132" s="164">
        <f>G148*(Emissions_factors!$D$9/1000)</f>
        <v>331143.11930555379</v>
      </c>
      <c r="H132" s="164">
        <f>H148*(Emissions_factors!$D$9/1000)</f>
        <v>395350.69537823874</v>
      </c>
      <c r="I132" s="164">
        <f>I148*(Emissions_factors!$D$9/1000)</f>
        <v>383511.74331696361</v>
      </c>
      <c r="J132" s="164">
        <f>J148*(Emissions_factors!$D$9/1000)</f>
        <v>364884.73203401762</v>
      </c>
      <c r="K132" s="164">
        <f>K148*(Emissions_factors!$D$9/1000)</f>
        <v>350080.04442411009</v>
      </c>
      <c r="L132" s="164">
        <f>L148*(Emissions_factors!$D$9/1000)</f>
        <v>374042.73515872832</v>
      </c>
      <c r="M132" s="164">
        <f>M148*(Emissions_factors!$D$9/1000)</f>
        <v>340763.05546153057</v>
      </c>
      <c r="N132" s="164">
        <f>N148*(Emissions_factors!$D$9/1000)</f>
        <v>380465.15717711829</v>
      </c>
      <c r="O132" s="164">
        <f>O148*(Emissions_factors!$D$9/1000)</f>
        <v>495337.95110463665</v>
      </c>
      <c r="P132" s="164">
        <f>P148*(Emissions_factors!$D$9/1000)</f>
        <v>639511.138863481</v>
      </c>
      <c r="Q132" s="164">
        <f>Q148*(Emissions_factors!$D$9/1000)</f>
        <v>627813.26753739105</v>
      </c>
      <c r="R132" s="164">
        <f>R148*(Emissions_factors!$D$9/1000)</f>
        <v>579072.97283586417</v>
      </c>
      <c r="S132" s="164">
        <f>S148*(Emissions_factors!$D$9/1000)</f>
        <v>579072.97283586417</v>
      </c>
      <c r="T132" s="164">
        <f>T148*(Emissions_factors!$D$9/1000)</f>
        <v>571255.07086111105</v>
      </c>
      <c r="U132" s="164">
        <f>U148*(Emissions_factors!$D$9/1000)</f>
        <v>557615.1293979804</v>
      </c>
      <c r="V132" s="164">
        <f>V148*(Emissions_factors!$D$9/1000)</f>
        <v>543215.55155524856</v>
      </c>
      <c r="W132" s="164">
        <f>W148*(Emissions_factors!$D$9/1000)</f>
        <v>530922.13421680231</v>
      </c>
      <c r="X132" s="164">
        <f>X148*(Emissions_factors!$D$9/1000)</f>
        <v>522297.21953260776</v>
      </c>
      <c r="Y132" s="164">
        <f>Y148*(Emissions_factors!$D$9/1000)</f>
        <v>517867.26350883226</v>
      </c>
      <c r="Z132" s="164">
        <f>Z148*(Emissions_factors!$D$9/1000)</f>
        <v>517401.17194565746</v>
      </c>
      <c r="AA132" s="164">
        <f>AA148*(Emissions_factors!$D$9/1000)</f>
        <v>520196.9810695523</v>
      </c>
      <c r="AB132" s="164">
        <f>AB148*(Emissions_factors!$D$9/1000)</f>
        <v>525336.77448985795</v>
      </c>
    </row>
    <row r="133" spans="1:28">
      <c r="B133" s="307" t="s">
        <v>7802</v>
      </c>
      <c r="C133" s="50">
        <f>(C182*Emissions_factors!$E$30)+(C183*Emissions_factors!$G$30)+(C184*Emissions_factors!$I$30)</f>
        <v>0</v>
      </c>
      <c r="D133" s="50">
        <f>(D182*Emissions_factors!$E$30)+(D183*Emissions_factors!$G$30)+(D184*Emissions_factors!$I$30)</f>
        <v>9912.1102149779781</v>
      </c>
      <c r="E133" s="50">
        <f>(E182*Emissions_factors!$E$30)+(E183*Emissions_factors!$G$30)+(E184*Emissions_factors!$I$30)</f>
        <v>33913.442138127488</v>
      </c>
      <c r="F133" s="50">
        <f>(F182*Emissions_factors!$E$30)+(F183*Emissions_factors!$G$30)+(F184*Emissions_factors!$I$30)</f>
        <v>65551.876647943907</v>
      </c>
      <c r="G133" s="50">
        <f>(G182*Emissions_factors!$E$30)+(G183*Emissions_factors!$G$30)+(G184*Emissions_factors!$I$30)</f>
        <v>92774.833616220814</v>
      </c>
      <c r="H133" s="50">
        <f>(H182*Emissions_factors!$E$30)+(H183*Emissions_factors!$G$30)+(H184*Emissions_factors!$I$30)</f>
        <v>112821.84873346848</v>
      </c>
      <c r="I133" s="50">
        <f>(I182*Emissions_factors!$E$30)+(I183*Emissions_factors!$G$30)+(I184*Emissions_factors!$I$30)</f>
        <v>128585.09286770401</v>
      </c>
      <c r="J133" s="50">
        <f>(J182*Emissions_factors!$E$30)+(J183*Emissions_factors!$G$30)+(J184*Emissions_factors!$I$30)</f>
        <v>140670.78019399603</v>
      </c>
      <c r="K133" s="50">
        <f>(K182*Emissions_factors!$E$30)+(K183*Emissions_factors!$G$30)+(K184*Emissions_factors!$I$30)</f>
        <v>148946.45303064946</v>
      </c>
      <c r="L133" s="50">
        <f>(L182*Emissions_factors!$E$30)+(L183*Emissions_factors!$G$30)+(L184*Emissions_factors!$I$30)</f>
        <v>153807.95328706145</v>
      </c>
      <c r="M133" s="50">
        <f>(M182*Emissions_factors!$E$30)+(M183*Emissions_factors!$G$30)+(M184*Emissions_factors!$I$30)</f>
        <v>156731.72910682869</v>
      </c>
      <c r="N133" s="50">
        <f>(N182*Emissions_factors!$E$30)+(N183*Emissions_factors!$G$30)+(N184*Emissions_factors!$I$30)</f>
        <v>157734.13186352578</v>
      </c>
      <c r="O133" s="50">
        <f>(O182*Emissions_factors!$E$30)+(O183*Emissions_factors!$G$30)+(O184*Emissions_factors!$I$30)</f>
        <v>158205.6060980435</v>
      </c>
      <c r="P133" s="50">
        <f>(P182*Emissions_factors!$E$30)+(P183*Emissions_factors!$G$30)+(P184*Emissions_factors!$I$30)</f>
        <v>161409.98419966557</v>
      </c>
      <c r="Q133" s="50">
        <f>(Q182*Emissions_factors!$E$30)+(Q183*Emissions_factors!$G$30)+(Q184*Emissions_factors!$I$30)</f>
        <v>170323.73616731117</v>
      </c>
      <c r="R133" s="50">
        <f>(R182*Emissions_factors!$E$30)+(R183*Emissions_factors!$G$30)+(R184*Emissions_factors!$I$30)</f>
        <v>182867.81085139076</v>
      </c>
      <c r="S133" s="50">
        <f>(S182*Emissions_factors!$E$30)+(S183*Emissions_factors!$G$30)+(S184*Emissions_factors!$I$30)</f>
        <v>195435.6325833119</v>
      </c>
      <c r="T133" s="50">
        <f>(T182*Emissions_factors!$E$30)+(T183*Emissions_factors!$G$30)+(T184*Emissions_factors!$I$30)</f>
        <v>203456.38577257653</v>
      </c>
      <c r="U133" s="50">
        <f>(U182*Emissions_factors!$E$30)+(U183*Emissions_factors!$G$30)+(U184*Emissions_factors!$I$30)</f>
        <v>207339.34587754338</v>
      </c>
      <c r="V133" s="50">
        <f>(V182*Emissions_factors!$E$30)+(V183*Emissions_factors!$G$30)+(V184*Emissions_factors!$I$30)</f>
        <v>208860.77474314647</v>
      </c>
      <c r="W133" s="50">
        <f>(W182*Emissions_factors!$E$30)+(W183*Emissions_factors!$G$30)+(W184*Emissions_factors!$I$30)</f>
        <v>209103.38752632536</v>
      </c>
      <c r="X133" s="50">
        <f>(X182*Emissions_factors!$E$30)+(X183*Emissions_factors!$G$30)+(X184*Emissions_factors!$I$30)</f>
        <v>208841.99666395297</v>
      </c>
      <c r="Y133" s="50">
        <f>(Y182*Emissions_factors!$E$30)+(Y183*Emissions_factors!$G$30)+(Y184*Emissions_factors!$I$30)</f>
        <v>208596.0038265193</v>
      </c>
      <c r="Z133" s="50">
        <f>(Z182*Emissions_factors!$E$30)+(Z183*Emissions_factors!$G$30)+(Z184*Emissions_factors!$I$30)</f>
        <v>208672.99395121232</v>
      </c>
      <c r="AA133" s="50">
        <f>(AA182*Emissions_factors!$E$30)+(AA183*Emissions_factors!$G$30)+(AA184*Emissions_factors!$I$30)</f>
        <v>209219.17605156725</v>
      </c>
      <c r="AB133" s="50">
        <f>(AB182*Emissions_factors!$E$30)+(AB183*Emissions_factors!$G$30)+(AB184*Emissions_factors!$I$30)</f>
        <v>210269.33290812076</v>
      </c>
    </row>
    <row r="134" spans="1:28">
      <c r="B134" s="307" t="s">
        <v>7804</v>
      </c>
      <c r="C134" s="306">
        <f>SUM(C131:C133)</f>
        <v>500335.88176706847</v>
      </c>
      <c r="D134" s="306">
        <f t="shared" ref="D134:AB134" si="25">SUM(D131:D133)</f>
        <v>860198.01911734371</v>
      </c>
      <c r="E134" s="306">
        <f t="shared" si="25"/>
        <v>954911.10720997257</v>
      </c>
      <c r="F134" s="306">
        <f t="shared" si="25"/>
        <v>745566.13795555464</v>
      </c>
      <c r="G134" s="306">
        <f t="shared" si="25"/>
        <v>772065.41703695245</v>
      </c>
      <c r="H134" s="306">
        <f t="shared" si="25"/>
        <v>880288.62575501902</v>
      </c>
      <c r="I134" s="306">
        <f t="shared" si="25"/>
        <v>899400.15461659024</v>
      </c>
      <c r="J134" s="306">
        <f t="shared" si="25"/>
        <v>899586.32372128766</v>
      </c>
      <c r="K134" s="306">
        <f t="shared" si="25"/>
        <v>893621.30198595917</v>
      </c>
      <c r="L134" s="306">
        <f t="shared" si="25"/>
        <v>925294.9857800199</v>
      </c>
      <c r="M134" s="306">
        <f t="shared" si="25"/>
        <v>890538.55639974028</v>
      </c>
      <c r="N134" s="306">
        <f t="shared" si="25"/>
        <v>933600.04789850418</v>
      </c>
      <c r="O134" s="306">
        <f t="shared" si="25"/>
        <v>1071876.4715999949</v>
      </c>
      <c r="P134" s="306">
        <f t="shared" si="25"/>
        <v>1266908.8250249596</v>
      </c>
      <c r="Q134" s="306">
        <f t="shared" si="25"/>
        <v>1305909.0398130179</v>
      </c>
      <c r="R134" s="306">
        <f t="shared" si="25"/>
        <v>1297398.575716597</v>
      </c>
      <c r="S134" s="306">
        <f t="shared" si="25"/>
        <v>1332357.8392443068</v>
      </c>
      <c r="T134" s="306">
        <f t="shared" si="25"/>
        <v>1350159.5115827785</v>
      </c>
      <c r="U134" s="306">
        <f t="shared" si="25"/>
        <v>1353898.955919496</v>
      </c>
      <c r="V134" s="306">
        <f t="shared" si="25"/>
        <v>1351272.2764859686</v>
      </c>
      <c r="W134" s="306">
        <f t="shared" si="25"/>
        <v>1347147.57223452</v>
      </c>
      <c r="X134" s="306">
        <f t="shared" si="25"/>
        <v>1344737.737510758</v>
      </c>
      <c r="Y134" s="306">
        <f t="shared" si="25"/>
        <v>1345840.7747404317</v>
      </c>
      <c r="Z134" s="306">
        <f t="shared" si="25"/>
        <v>1351113.9344425017</v>
      </c>
      <c r="AA134" s="306">
        <f t="shared" si="25"/>
        <v>1360393.7002539299</v>
      </c>
      <c r="AB134" s="306">
        <f t="shared" si="25"/>
        <v>1373008.5306293182</v>
      </c>
    </row>
    <row r="137" spans="1:28" ht="21">
      <c r="A137" s="293" t="s">
        <v>7793</v>
      </c>
      <c r="B137" s="291" t="s">
        <v>7794</v>
      </c>
    </row>
    <row r="138" spans="1:28">
      <c r="B138" s="294" t="s">
        <v>437</v>
      </c>
      <c r="C138" s="302">
        <f>C38*(BOM_average!B6*BOM_average!B17)/1000000</f>
        <v>2628.9155075792037</v>
      </c>
      <c r="D138" s="302">
        <f>D38*(BOM_average!C6*BOM_average!C17)/1000000</f>
        <v>4086.9892881969658</v>
      </c>
      <c r="E138" s="302">
        <f>E38*(BOM_average!D6*BOM_average!D17)/1000000</f>
        <v>3907.6874479739195</v>
      </c>
      <c r="F138" s="302">
        <f>F38*(BOM_average!E6*BOM_average!E17)/1000000</f>
        <v>2188.1339330371452</v>
      </c>
      <c r="G138" s="302">
        <f>G38*(BOM_average!F6*BOM_average!F17)/1000000</f>
        <v>2054.5766670963258</v>
      </c>
      <c r="H138" s="302">
        <f>H38*(BOM_average!G6*BOM_average!G17)/1000000</f>
        <v>2452.9524144964271</v>
      </c>
      <c r="I138" s="302">
        <f>I38*(BOM_average!H6*BOM_average!H17)/1000000</f>
        <v>2379.4976656283898</v>
      </c>
      <c r="J138" s="302">
        <f>J38*(BOM_average!I6*BOM_average!I17)/1000000</f>
        <v>2263.926420059589</v>
      </c>
      <c r="K138" s="302">
        <f>K38*(BOM_average!J6*BOM_average!J17)/1000000</f>
        <v>2172.0707722938891</v>
      </c>
      <c r="L138" s="302">
        <f>L38*(BOM_average!K6*BOM_average!K17)/1000000</f>
        <v>2320.747227862224</v>
      </c>
      <c r="M138" s="302">
        <f>M38*(BOM_average!L6*BOM_average!L17)/1000000</f>
        <v>2114.2635372522741</v>
      </c>
      <c r="N138" s="302">
        <f>N38*(BOM_average!M6*BOM_average!M17)/1000000</f>
        <v>2360.5951294369324</v>
      </c>
      <c r="O138" s="302">
        <f>O38*(BOM_average!N6*BOM_average!N17)/1000000</f>
        <v>3073.3230960714045</v>
      </c>
      <c r="P138" s="302">
        <f>P38*(BOM_average!O6*BOM_average!O17)/1000000</f>
        <v>3967.8452839743782</v>
      </c>
      <c r="Q138" s="302">
        <f>Q38*(BOM_average!P6*BOM_average!P17)/1000000</f>
        <v>3895.2658701798773</v>
      </c>
      <c r="R138" s="302">
        <f>R38*(BOM_average!Q6*BOM_average!Q17)/1000000</f>
        <v>3592.8568319031256</v>
      </c>
      <c r="S138" s="302">
        <f>S38*(BOM_average!R6*BOM_average!R17)/1000000</f>
        <v>3592.8568319031256</v>
      </c>
      <c r="T138" s="302">
        <f>T38*(BOM_average!S6*BOM_average!S17)/1000000</f>
        <v>3544.3506783805674</v>
      </c>
      <c r="U138" s="302">
        <f>U38*(BOM_average!T6*BOM_average!T17)/1000000</f>
        <v>3459.7216952101539</v>
      </c>
      <c r="V138" s="302">
        <f>V38*(BOM_average!U6*BOM_average!U17)/1000000</f>
        <v>3370.3795499958519</v>
      </c>
      <c r="W138" s="302">
        <f>W38*(BOM_average!V6*BOM_average!V17)/1000000</f>
        <v>3294.1050724363677</v>
      </c>
      <c r="X138" s="302">
        <f>X38*(BOM_average!W6*BOM_average!W17)/1000000</f>
        <v>3240.5918105482606</v>
      </c>
      <c r="Y138" s="302">
        <f>Y38*(BOM_average!X6*BOM_average!X17)/1000000</f>
        <v>3213.106159323499</v>
      </c>
      <c r="Z138" s="302">
        <f>Z38*(BOM_average!Y6*BOM_average!Y17)/1000000</f>
        <v>3210.2142953692141</v>
      </c>
      <c r="AA138" s="302">
        <f>AA38*(BOM_average!Z6*BOM_average!Z17)/1000000</f>
        <v>3227.5608861836499</v>
      </c>
      <c r="AB138" s="302">
        <f>AB38*(BOM_average!AA6*BOM_average!AA17)/1000000</f>
        <v>3259.4507217846462</v>
      </c>
    </row>
    <row r="139" spans="1:28">
      <c r="B139" s="294" t="s">
        <v>217</v>
      </c>
      <c r="C139" s="302">
        <f>C38*(BOM_average!B7*BOM_average!B17)/1000000</f>
        <v>304.54238345884499</v>
      </c>
      <c r="D139" s="302">
        <f>D38*(BOM_average!C7*BOM_average!C17)/1000000</f>
        <v>473.45053707884267</v>
      </c>
      <c r="E139" s="302">
        <f>E38*(BOM_average!D7*BOM_average!D17)/1000000</f>
        <v>452.67961096019928</v>
      </c>
      <c r="F139" s="302">
        <f>F38*(BOM_average!E7*BOM_average!E17)/1000000</f>
        <v>253.48076854243757</v>
      </c>
      <c r="G139" s="302">
        <f>G38*(BOM_average!F7*BOM_average!F17)/1000000</f>
        <v>238.00904722594768</v>
      </c>
      <c r="H139" s="302">
        <f>H38*(BOM_average!G7*BOM_average!G17)/1000000</f>
        <v>284.1582289990597</v>
      </c>
      <c r="I139" s="302">
        <f>I38*(BOM_average!H7*BOM_average!H17)/1000000</f>
        <v>275.64898469959491</v>
      </c>
      <c r="J139" s="302">
        <f>J38*(BOM_average!I7*BOM_average!I17)/1000000</f>
        <v>262.26082426486107</v>
      </c>
      <c r="K139" s="302">
        <f>K38*(BOM_average!J7*BOM_average!J17)/1000000</f>
        <v>251.61995816472472</v>
      </c>
      <c r="L139" s="302">
        <f>L38*(BOM_average!K7*BOM_average!K17)/1000000</f>
        <v>268.84313708107095</v>
      </c>
      <c r="M139" s="302">
        <f>M38*(BOM_average!L7*BOM_average!L17)/1000000</f>
        <v>244.9233743110465</v>
      </c>
      <c r="N139" s="302">
        <f>N38*(BOM_average!M7*BOM_average!M17)/1000000</f>
        <v>273.45925155352495</v>
      </c>
      <c r="O139" s="302">
        <f>O38*(BOM_average!N7*BOM_average!N17)/1000000</f>
        <v>356.02404798416825</v>
      </c>
      <c r="P139" s="302">
        <f>P38*(BOM_average!O7*BOM_average!O17)/1000000</f>
        <v>459.64849630721307</v>
      </c>
      <c r="Q139" s="302">
        <f>Q38*(BOM_average!P7*BOM_average!P17)/1000000</f>
        <v>451.24065375643562</v>
      </c>
      <c r="R139" s="302">
        <f>R38*(BOM_average!Q7*BOM_average!Q17)/1000000</f>
        <v>416.20857720974413</v>
      </c>
      <c r="S139" s="302">
        <f>S38*(BOM_average!R7*BOM_average!R17)/1000000</f>
        <v>416.20857720974413</v>
      </c>
      <c r="T139" s="302">
        <f>T38*(BOM_average!S7*BOM_average!S17)/1000000</f>
        <v>410.58946181269465</v>
      </c>
      <c r="U139" s="302">
        <f>U38*(BOM_average!T7*BOM_average!T17)/1000000</f>
        <v>400.78575676013133</v>
      </c>
      <c r="V139" s="302">
        <f>V38*(BOM_average!U7*BOM_average!U17)/1000000</f>
        <v>390.43606321979223</v>
      </c>
      <c r="W139" s="302">
        <f>W38*(BOM_average!V7*BOM_average!V17)/1000000</f>
        <v>381.60017209812082</v>
      </c>
      <c r="X139" s="302">
        <f>X38*(BOM_average!W7*BOM_average!W17)/1000000</f>
        <v>375.40101648620521</v>
      </c>
      <c r="Y139" s="302">
        <f>Y38*(BOM_average!X7*BOM_average!X17)/1000000</f>
        <v>372.21698652754924</v>
      </c>
      <c r="Z139" s="302">
        <f>Z38*(BOM_average!Y7*BOM_average!Y17)/1000000</f>
        <v>371.88198331472722</v>
      </c>
      <c r="AA139" s="302">
        <f>AA38*(BOM_average!Z7*BOM_average!Z17)/1000000</f>
        <v>373.89147053342384</v>
      </c>
      <c r="AB139" s="302">
        <f>AB38*(BOM_average!AA7*BOM_average!AA17)/1000000</f>
        <v>377.58569597126643</v>
      </c>
    </row>
    <row r="140" spans="1:28">
      <c r="B140" s="294" t="s">
        <v>313</v>
      </c>
      <c r="C140" s="302">
        <f>C38*(BOM_average!B8*BOM_average!B17)/1000000</f>
        <v>1967.7010593218165</v>
      </c>
      <c r="D140" s="302">
        <f>D38*(BOM_average!C8*BOM_average!C17)/1000000</f>
        <v>3059.0458798074546</v>
      </c>
      <c r="E140" s="302">
        <f>E38*(BOM_average!D8*BOM_average!D17)/1000000</f>
        <v>2924.841330468354</v>
      </c>
      <c r="F140" s="302">
        <f>F38*(BOM_average!E8*BOM_average!E17)/1000000</f>
        <v>1637.7831259932514</v>
      </c>
      <c r="G140" s="302">
        <f>G38*(BOM_average!F8*BOM_average!F17)/1000000</f>
        <v>1537.8176562342508</v>
      </c>
      <c r="H140" s="302">
        <f>H38*(BOM_average!G8*BOM_average!G17)/1000000</f>
        <v>1835.9955086252271</v>
      </c>
      <c r="I140" s="302">
        <f>I38*(BOM_average!H8*BOM_average!H17)/1000000</f>
        <v>1781.0158081581894</v>
      </c>
      <c r="J140" s="302">
        <f>J38*(BOM_average!I8*BOM_average!I17)/1000000</f>
        <v>1694.5125859446016</v>
      </c>
      <c r="K140" s="302">
        <f>K38*(BOM_average!J8*BOM_average!J17)/1000000</f>
        <v>1625.7601080151398</v>
      </c>
      <c r="L140" s="302">
        <f>L38*(BOM_average!K8*BOM_average!K17)/1000000</f>
        <v>1737.0420485242953</v>
      </c>
      <c r="M140" s="302">
        <f>M38*(BOM_average!L8*BOM_average!L17)/1000000</f>
        <v>1582.4923204807303</v>
      </c>
      <c r="N140" s="302">
        <f>N38*(BOM_average!M8*BOM_average!M17)/1000000</f>
        <v>1766.8675632334034</v>
      </c>
      <c r="O140" s="302">
        <f>O38*(BOM_average!N8*BOM_average!N17)/1000000</f>
        <v>2300.3330058890124</v>
      </c>
      <c r="P140" s="302">
        <f>P38*(BOM_average!O8*BOM_average!O17)/1000000</f>
        <v>2969.8685050897298</v>
      </c>
      <c r="Q140" s="302">
        <f>Q38*(BOM_average!P8*BOM_average!P17)/1000000</f>
        <v>2915.5439788747722</v>
      </c>
      <c r="R140" s="302">
        <f>R38*(BOM_average!Q8*BOM_average!Q17)/1000000</f>
        <v>2689.1956678506576</v>
      </c>
      <c r="S140" s="302">
        <f>S38*(BOM_average!R8*BOM_average!R17)/1000000</f>
        <v>2689.1956678506576</v>
      </c>
      <c r="T140" s="302">
        <f>T38*(BOM_average!S8*BOM_average!S17)/1000000</f>
        <v>2652.8895905367253</v>
      </c>
      <c r="U140" s="302">
        <f>U38*(BOM_average!T8*BOM_average!T17)/1000000</f>
        <v>2589.5461550578534</v>
      </c>
      <c r="V140" s="302">
        <f>V38*(BOM_average!U8*BOM_average!U17)/1000000</f>
        <v>2522.6749934425648</v>
      </c>
      <c r="W140" s="302">
        <f>W38*(BOM_average!V8*BOM_average!V17)/1000000</f>
        <v>2465.5847713109233</v>
      </c>
      <c r="X140" s="302">
        <f>X38*(BOM_average!W8*BOM_average!W17)/1000000</f>
        <v>2425.5309537570997</v>
      </c>
      <c r="Y140" s="302">
        <f>Y38*(BOM_average!X8*BOM_average!X17)/1000000</f>
        <v>2404.9583850019649</v>
      </c>
      <c r="Z140" s="302">
        <f>Z38*(BOM_average!Y8*BOM_average!Y17)/1000000</f>
        <v>2402.7938712510072</v>
      </c>
      <c r="AA140" s="302">
        <f>AA38*(BOM_average!Z8*BOM_average!Z17)/1000000</f>
        <v>2415.7775160363885</v>
      </c>
      <c r="AB140" s="302">
        <f>AB38*(BOM_average!AA8*BOM_average!AA17)/1000000</f>
        <v>2439.6465461032622</v>
      </c>
    </row>
    <row r="141" spans="1:28">
      <c r="B141" s="294" t="s">
        <v>6911</v>
      </c>
      <c r="C141" s="302">
        <f>C38*(BOM_average!B9*BOM_average!B17)/1000000</f>
        <v>4821.4068346299209</v>
      </c>
      <c r="D141" s="302">
        <f>D38*(BOM_average!C9*BOM_average!C17)/1000000</f>
        <v>7495.5007227741635</v>
      </c>
      <c r="E141" s="302">
        <f>E38*(BOM_average!D9*BOM_average!D17)/1000000</f>
        <v>7166.6627987629918</v>
      </c>
      <c r="F141" s="302">
        <f>F38*(BOM_average!E9*BOM_average!E17)/1000000</f>
        <v>4013.0174855051309</v>
      </c>
      <c r="G141" s="302">
        <f>G38*(BOM_average!F9*BOM_average!F17)/1000000</f>
        <v>3768.0746895251605</v>
      </c>
      <c r="H141" s="302">
        <f>H38*(BOM_average!G9*BOM_average!G17)/1000000</f>
        <v>4498.6921421318166</v>
      </c>
      <c r="I141" s="302">
        <f>I38*(BOM_average!H9*BOM_average!H17)/1000000</f>
        <v>4363.9768090572679</v>
      </c>
      <c r="J141" s="302">
        <f>J38*(BOM_average!I9*BOM_average!I17)/1000000</f>
        <v>4152.0202088296655</v>
      </c>
      <c r="K141" s="302">
        <f>K38*(BOM_average!J9*BOM_average!J17)/1000000</f>
        <v>3983.5577966067954</v>
      </c>
      <c r="L141" s="302">
        <f>L38*(BOM_average!K9*BOM_average!K17)/1000000</f>
        <v>4256.2290471506385</v>
      </c>
      <c r="M141" s="302">
        <f>M38*(BOM_average!L9*BOM_average!L17)/1000000</f>
        <v>3877.539859812262</v>
      </c>
      <c r="N141" s="302">
        <f>N38*(BOM_average!M9*BOM_average!M17)/1000000</f>
        <v>4329.3097317310539</v>
      </c>
      <c r="O141" s="302">
        <f>O38*(BOM_average!N9*BOM_average!N17)/1000000</f>
        <v>5636.4462599520157</v>
      </c>
      <c r="P141" s="302">
        <f>P38*(BOM_average!O9*BOM_average!O17)/1000000</f>
        <v>7276.9917160724117</v>
      </c>
      <c r="Q141" s="302">
        <f>Q38*(BOM_average!P9*BOM_average!P17)/1000000</f>
        <v>7143.8817394629041</v>
      </c>
      <c r="R141" s="302">
        <f>R38*(BOM_average!Q9*BOM_average!Q17)/1000000</f>
        <v>6589.2663477556216</v>
      </c>
      <c r="S141" s="302">
        <f>S38*(BOM_average!R9*BOM_average!R17)/1000000</f>
        <v>6589.2663477556216</v>
      </c>
      <c r="T141" s="302">
        <f>T38*(BOM_average!S9*BOM_average!S17)/1000000</f>
        <v>6500.3065088254516</v>
      </c>
      <c r="U141" s="302">
        <f>U38*(BOM_average!T9*BOM_average!T17)/1000000</f>
        <v>6345.0977329293637</v>
      </c>
      <c r="V141" s="302">
        <f>V38*(BOM_average!U9*BOM_average!U17)/1000000</f>
        <v>6181.2450612421744</v>
      </c>
      <c r="W141" s="302">
        <f>W38*(BOM_average!V9*BOM_average!V17)/1000000</f>
        <v>6041.3583717107331</v>
      </c>
      <c r="X141" s="302">
        <f>X38*(BOM_average!W9*BOM_average!W17)/1000000</f>
        <v>5943.2155421421076</v>
      </c>
      <c r="Y141" s="302">
        <f>Y38*(BOM_average!X9*BOM_average!X17)/1000000</f>
        <v>5892.8071108755785</v>
      </c>
      <c r="Z141" s="302">
        <f>Z38*(BOM_average!Y9*BOM_average!Y17)/1000000</f>
        <v>5887.5034590108417</v>
      </c>
      <c r="AA141" s="302">
        <f>AA38*(BOM_average!Z9*BOM_average!Z17)/1000000</f>
        <v>5919.3169468422793</v>
      </c>
      <c r="AB141" s="302">
        <f>AB38*(BOM_average!AA9*BOM_average!AA17)/1000000</f>
        <v>5977.8026117024065</v>
      </c>
    </row>
    <row r="142" spans="1:28">
      <c r="B142" s="294" t="s">
        <v>441</v>
      </c>
      <c r="C142" s="302">
        <f>C38*(BOM_average!B10*BOM_average!B17)/1000000</f>
        <v>2381.2662721592374</v>
      </c>
      <c r="D142" s="302">
        <f>D38*(BOM_average!C10*BOM_average!C17)/1000000</f>
        <v>3701.986510635817</v>
      </c>
      <c r="E142" s="302">
        <f>E38*(BOM_average!D10*BOM_average!D17)/1000000</f>
        <v>3539.575271694026</v>
      </c>
      <c r="F142" s="302">
        <f>F38*(BOM_average!E10*BOM_average!E17)/1000000</f>
        <v>1982.0072264348005</v>
      </c>
      <c r="G142" s="302">
        <f>G38*(BOM_average!F10*BOM_average!F17)/1000000</f>
        <v>1861.0313290087424</v>
      </c>
      <c r="H142" s="302">
        <f>H38*(BOM_average!G10*BOM_average!G17)/1000000</f>
        <v>2221.8792635259033</v>
      </c>
      <c r="I142" s="302">
        <f>I38*(BOM_average!H10*BOM_average!H17)/1000000</f>
        <v>2155.3441027323747</v>
      </c>
      <c r="J142" s="302">
        <f>J38*(BOM_average!I10*BOM_average!I17)/1000000</f>
        <v>2050.6599056514888</v>
      </c>
      <c r="K142" s="302">
        <f>K38*(BOM_average!J10*BOM_average!J17)/1000000</f>
        <v>1967.4572483956013</v>
      </c>
      <c r="L142" s="302">
        <f>L38*(BOM_average!K10*BOM_average!K17)/1000000</f>
        <v>2102.1280767612752</v>
      </c>
      <c r="M142" s="302">
        <f>M38*(BOM_average!L10*BOM_average!L17)/1000000</f>
        <v>1915.0955735169223</v>
      </c>
      <c r="N142" s="302">
        <f>N38*(BOM_average!M10*BOM_average!M17)/1000000</f>
        <v>2138.2222242386702</v>
      </c>
      <c r="O142" s="302">
        <f>O38*(BOM_average!N10*BOM_average!N17)/1000000</f>
        <v>2783.8097538790339</v>
      </c>
      <c r="P142" s="302">
        <f>P38*(BOM_average!O10*BOM_average!O17)/1000000</f>
        <v>3594.0661160977288</v>
      </c>
      <c r="Q142" s="302">
        <f>Q38*(BOM_average!P10*BOM_average!P17)/1000000</f>
        <v>3528.3238320175983</v>
      </c>
      <c r="R142" s="302">
        <f>R38*(BOM_average!Q10*BOM_average!Q17)/1000000</f>
        <v>3254.4023456980744</v>
      </c>
      <c r="S142" s="302">
        <f>S38*(BOM_average!R10*BOM_average!R17)/1000000</f>
        <v>3254.4023456980744</v>
      </c>
      <c r="T142" s="302">
        <f>T38*(BOM_average!S10*BOM_average!S17)/1000000</f>
        <v>3210.4655713732855</v>
      </c>
      <c r="U142" s="302">
        <f>U38*(BOM_average!T10*BOM_average!T17)/1000000</f>
        <v>3133.808812078496</v>
      </c>
      <c r="V142" s="302">
        <f>V38*(BOM_average!U10*BOM_average!U17)/1000000</f>
        <v>3052.882880275889</v>
      </c>
      <c r="W142" s="302">
        <f>W38*(BOM_average!V10*BOM_average!V17)/1000000</f>
        <v>2983.7936150198075</v>
      </c>
      <c r="X142" s="302">
        <f>X38*(BOM_average!W10*BOM_average!W17)/1000000</f>
        <v>2935.3214122122263</v>
      </c>
      <c r="Y142" s="302">
        <f>Y38*(BOM_average!X10*BOM_average!X17)/1000000</f>
        <v>2910.4249657341402</v>
      </c>
      <c r="Z142" s="302">
        <f>Z38*(BOM_average!Y10*BOM_average!Y17)/1000000</f>
        <v>2907.8055212985319</v>
      </c>
      <c r="AA142" s="302">
        <f>AA38*(BOM_average!Z10*BOM_average!Z17)/1000000</f>
        <v>2923.5180276625729</v>
      </c>
      <c r="AB142" s="302">
        <f>AB38*(BOM_average!AA10*BOM_average!AA17)/1000000</f>
        <v>2952.4037753111465</v>
      </c>
    </row>
    <row r="143" spans="1:28">
      <c r="B143" s="294" t="s">
        <v>6912</v>
      </c>
      <c r="C143" s="302">
        <f>C38*(BOM_average!B11*BOM_average!B17)/1000000</f>
        <v>2119.2869079587203</v>
      </c>
      <c r="D143" s="302">
        <f>D38*(BOM_average!C11*BOM_average!C17)/1000000</f>
        <v>3294.7056938391952</v>
      </c>
      <c r="E143" s="302">
        <f>E38*(BOM_average!D11*BOM_average!D17)/1000000</f>
        <v>3150.1624243951655</v>
      </c>
      <c r="F143" s="302">
        <f>F38*(BOM_average!E11*BOM_average!E17)/1000000</f>
        <v>1763.9530763832029</v>
      </c>
      <c r="G143" s="302">
        <f>G38*(BOM_average!F11*BOM_average!F17)/1000000</f>
        <v>1656.2865635739804</v>
      </c>
      <c r="H143" s="302">
        <f>H38*(BOM_average!G11*BOM_average!G17)/1000000</f>
        <v>1977.4351525945308</v>
      </c>
      <c r="I143" s="302">
        <f>I38*(BOM_average!H11*BOM_average!H17)/1000000</f>
        <v>1918.2199792066365</v>
      </c>
      <c r="J143" s="302">
        <f>J38*(BOM_average!I11*BOM_average!I17)/1000000</f>
        <v>1825.0528055320513</v>
      </c>
      <c r="K143" s="302">
        <f>K38*(BOM_average!J11*BOM_average!J17)/1000000</f>
        <v>1751.0038407894863</v>
      </c>
      <c r="L143" s="302">
        <f>L38*(BOM_average!K11*BOM_average!K17)/1000000</f>
        <v>1870.8586116633596</v>
      </c>
      <c r="M143" s="302">
        <f>M38*(BOM_average!L11*BOM_average!L17)/1000000</f>
        <v>1704.4028313406131</v>
      </c>
      <c r="N143" s="302">
        <f>N38*(BOM_average!M11*BOM_average!M17)/1000000</f>
        <v>1902.9817954908501</v>
      </c>
      <c r="O143" s="302">
        <f>O38*(BOM_average!N11*BOM_average!N17)/1000000</f>
        <v>2477.5438322964278</v>
      </c>
      <c r="P143" s="302">
        <f>P38*(BOM_average!O11*BOM_average!O17)/1000000</f>
        <v>3198.6583588895755</v>
      </c>
      <c r="Q143" s="302">
        <f>Q38*(BOM_average!P11*BOM_average!P17)/1000000</f>
        <v>3140.1488324333059</v>
      </c>
      <c r="R143" s="302">
        <f>R38*(BOM_average!Q11*BOM_average!Q17)/1000000</f>
        <v>2896.363319425905</v>
      </c>
      <c r="S143" s="302">
        <f>S38*(BOM_average!R11*BOM_average!R17)/1000000</f>
        <v>2896.363319425905</v>
      </c>
      <c r="T143" s="302">
        <f>T38*(BOM_average!S11*BOM_average!S17)/1000000</f>
        <v>2857.2603296875795</v>
      </c>
      <c r="U143" s="302">
        <f>U38*(BOM_average!T11*BOM_average!T17)/1000000</f>
        <v>2789.0371039696597</v>
      </c>
      <c r="V143" s="302">
        <f>V38*(BOM_average!U11*BOM_average!U17)/1000000</f>
        <v>2717.0143865655659</v>
      </c>
      <c r="W143" s="302">
        <f>W38*(BOM_average!V11*BOM_average!V17)/1000000</f>
        <v>2655.5261031889513</v>
      </c>
      <c r="X143" s="302">
        <f>X38*(BOM_average!W11*BOM_average!W17)/1000000</f>
        <v>2612.3866584275397</v>
      </c>
      <c r="Y143" s="302">
        <f>Y38*(BOM_average!X11*BOM_average!X17)/1000000</f>
        <v>2590.229240043639</v>
      </c>
      <c r="Z143" s="302">
        <f>Z38*(BOM_average!Y11*BOM_average!Y17)/1000000</f>
        <v>2587.8979785785045</v>
      </c>
      <c r="AA143" s="302">
        <f>AA38*(BOM_average!Z11*BOM_average!Z17)/1000000</f>
        <v>2601.8818448171742</v>
      </c>
      <c r="AB143" s="302">
        <f>AB38*(BOM_average!AA11*BOM_average!AA17)/1000000</f>
        <v>2627.5896741069714</v>
      </c>
    </row>
    <row r="144" spans="1:28">
      <c r="B144" s="294" t="s">
        <v>443</v>
      </c>
      <c r="C144" s="302">
        <f>C38*(BOM_average!B12*BOM_average!B17)/1000000</f>
        <v>1401.9097686808434</v>
      </c>
      <c r="D144" s="302">
        <f>D38*(BOM_average!C12*BOM_average!C17)/1000000</f>
        <v>2179.4501158743205</v>
      </c>
      <c r="E144" s="302">
        <f>E38*(BOM_average!D12*BOM_average!D17)/1000000</f>
        <v>2083.8346422592681</v>
      </c>
      <c r="F144" s="302">
        <f>F38*(BOM_average!E12*BOM_average!E17)/1000000</f>
        <v>1166.8561911035054</v>
      </c>
      <c r="G144" s="302">
        <f>G38*(BOM_average!F12*BOM_average!F17)/1000000</f>
        <v>1095.6347177389418</v>
      </c>
      <c r="H144" s="302">
        <f>H38*(BOM_average!G12*BOM_average!G17)/1000000</f>
        <v>1308.074733508033</v>
      </c>
      <c r="I144" s="302">
        <f>I38*(BOM_average!H12*BOM_average!H17)/1000000</f>
        <v>1268.9038549852296</v>
      </c>
      <c r="J144" s="302">
        <f>J38*(BOM_average!I12*BOM_average!I17)/1000000</f>
        <v>1207.2737045774256</v>
      </c>
      <c r="K144" s="302">
        <f>K38*(BOM_average!J12*BOM_average!J17)/1000000</f>
        <v>1158.2902627208937</v>
      </c>
      <c r="L144" s="302">
        <f>L38*(BOM_average!K12*BOM_average!K17)/1000000</f>
        <v>1237.5742773015002</v>
      </c>
      <c r="M144" s="302">
        <f>M38*(BOM_average!L12*BOM_average!L17)/1000000</f>
        <v>1127.4636624472719</v>
      </c>
      <c r="N144" s="302">
        <f>N38*(BOM_average!M12*BOM_average!M17)/1000000</f>
        <v>1258.8237858223949</v>
      </c>
      <c r="O144" s="302">
        <f>O38*(BOM_average!N12*BOM_average!N17)/1000000</f>
        <v>1638.896974160418</v>
      </c>
      <c r="P144" s="302">
        <f>P38*(BOM_average!O12*BOM_average!O17)/1000000</f>
        <v>2115.9147367729952</v>
      </c>
      <c r="Q144" s="302">
        <f>Q38*(BOM_average!P12*BOM_average!P17)/1000000</f>
        <v>2077.2106441879373</v>
      </c>
      <c r="R144" s="302">
        <f>R38*(BOM_average!Q12*BOM_average!Q17)/1000000</f>
        <v>1915.9463571938131</v>
      </c>
      <c r="S144" s="302">
        <f>S38*(BOM_average!R12*BOM_average!R17)/1000000</f>
        <v>1915.9463571938131</v>
      </c>
      <c r="T144" s="302">
        <f>T38*(BOM_average!S12*BOM_average!S17)/1000000</f>
        <v>1890.0797021916426</v>
      </c>
      <c r="U144" s="302">
        <f>U38*(BOM_average!T12*BOM_average!T17)/1000000</f>
        <v>1844.9499907657398</v>
      </c>
      <c r="V144" s="302">
        <f>V38*(BOM_average!U12*BOM_average!U17)/1000000</f>
        <v>1797.3069129377398</v>
      </c>
      <c r="W144" s="302">
        <f>W38*(BOM_average!V12*BOM_average!V17)/1000000</f>
        <v>1756.6323705709774</v>
      </c>
      <c r="X144" s="302">
        <f>X38*(BOM_average!W12*BOM_average!W17)/1000000</f>
        <v>1728.0955977539631</v>
      </c>
      <c r="Y144" s="302">
        <f>Y38*(BOM_average!X12*BOM_average!X17)/1000000</f>
        <v>1713.4384500291853</v>
      </c>
      <c r="Z144" s="302">
        <f>Z38*(BOM_average!Y12*BOM_average!Y17)/1000000</f>
        <v>1711.896318942994</v>
      </c>
      <c r="AA144" s="302">
        <f>AA38*(BOM_average!Z12*BOM_average!Z17)/1000000</f>
        <v>1721.1466562193184</v>
      </c>
      <c r="AB144" s="302">
        <f>AB38*(BOM_average!AA12*BOM_average!AA17)/1000000</f>
        <v>1738.1524032362054</v>
      </c>
    </row>
    <row r="145" spans="2:28">
      <c r="B145" s="294" t="s">
        <v>445</v>
      </c>
      <c r="C145" s="302">
        <f>C38*(BOM_average!B13*BOM_average!B17)/1000000</f>
        <v>0</v>
      </c>
      <c r="D145" s="302">
        <f>D38*(BOM_average!C13*BOM_average!C17)/1000000</f>
        <v>0</v>
      </c>
      <c r="E145" s="302">
        <f>E38*(BOM_average!D13*BOM_average!D17)/1000000</f>
        <v>0</v>
      </c>
      <c r="F145" s="302">
        <f>F38*(BOM_average!E13*BOM_average!E17)/1000000</f>
        <v>0</v>
      </c>
      <c r="G145" s="302">
        <f>G38*(BOM_average!F13*BOM_average!F17)/1000000</f>
        <v>0</v>
      </c>
      <c r="H145" s="302">
        <f>H38*(BOM_average!G13*BOM_average!G17)/1000000</f>
        <v>0</v>
      </c>
      <c r="I145" s="302">
        <f>I38*(BOM_average!H13*BOM_average!H17)/1000000</f>
        <v>0</v>
      </c>
      <c r="J145" s="302">
        <f>J38*(BOM_average!I13*BOM_average!I17)/1000000</f>
        <v>0</v>
      </c>
      <c r="K145" s="302">
        <f>K38*(BOM_average!J13*BOM_average!J17)/1000000</f>
        <v>0</v>
      </c>
      <c r="L145" s="302">
        <f>L38*(BOM_average!K13*BOM_average!K17)/1000000</f>
        <v>0</v>
      </c>
      <c r="M145" s="302">
        <f>M38*(BOM_average!L13*BOM_average!L17)/1000000</f>
        <v>0</v>
      </c>
      <c r="N145" s="302">
        <f>N38*(BOM_average!M13*BOM_average!M17)/1000000</f>
        <v>0</v>
      </c>
      <c r="O145" s="302">
        <f>O38*(BOM_average!N13*BOM_average!N17)/1000000</f>
        <v>0</v>
      </c>
      <c r="P145" s="302">
        <f>P38*(BOM_average!O13*BOM_average!O17)/1000000</f>
        <v>0</v>
      </c>
      <c r="Q145" s="302">
        <f>Q38*(BOM_average!P13*BOM_average!P17)/1000000</f>
        <v>0</v>
      </c>
      <c r="R145" s="302">
        <f>R38*(BOM_average!Q13*BOM_average!Q17)/1000000</f>
        <v>0</v>
      </c>
      <c r="S145" s="302">
        <f>S38*(BOM_average!R13*BOM_average!R17)/1000000</f>
        <v>0</v>
      </c>
      <c r="T145" s="302">
        <f>T38*(BOM_average!S13*BOM_average!S17)/1000000</f>
        <v>0</v>
      </c>
      <c r="U145" s="302">
        <f>U38*(BOM_average!T13*BOM_average!T17)/1000000</f>
        <v>0</v>
      </c>
      <c r="V145" s="302">
        <f>V38*(BOM_average!U13*BOM_average!U17)/1000000</f>
        <v>0</v>
      </c>
      <c r="W145" s="302">
        <f>W38*(BOM_average!V13*BOM_average!V17)/1000000</f>
        <v>0</v>
      </c>
      <c r="X145" s="302">
        <f>X38*(BOM_average!W13*BOM_average!W17)/1000000</f>
        <v>0</v>
      </c>
      <c r="Y145" s="302">
        <f>Y38*(BOM_average!X13*BOM_average!X17)/1000000</f>
        <v>0</v>
      </c>
      <c r="Z145" s="302">
        <f>Z38*(BOM_average!Y13*BOM_average!Y17)/1000000</f>
        <v>0</v>
      </c>
      <c r="AA145" s="302">
        <f>AA38*(BOM_average!Z13*BOM_average!Z17)/1000000</f>
        <v>0</v>
      </c>
      <c r="AB145" s="302">
        <f>AB38*(BOM_average!AA13*BOM_average!AA17)/1000000</f>
        <v>0</v>
      </c>
    </row>
    <row r="146" spans="2:28">
      <c r="B146" s="294" t="s">
        <v>6915</v>
      </c>
      <c r="C146" s="302">
        <f>C38*(BOM_average!B14*BOM_average!B17)/1000000</f>
        <v>992.18515592390816</v>
      </c>
      <c r="D146" s="302">
        <f>D38*(BOM_average!C14*BOM_average!C17)/1000000</f>
        <v>1542.4801947716758</v>
      </c>
      <c r="E146" s="302">
        <f>E38*(BOM_average!D14*BOM_average!D17)/1000000</f>
        <v>1474.8094675131326</v>
      </c>
      <c r="F146" s="302">
        <f>F38*(BOM_average!E14*BOM_average!E17)/1000000</f>
        <v>825.82875002020035</v>
      </c>
      <c r="G146" s="302">
        <f>G38*(BOM_average!F14*BOM_average!F17)/1000000</f>
        <v>775.4225896281207</v>
      </c>
      <c r="H146" s="302">
        <f>H38*(BOM_average!G14*BOM_average!G17)/1000000</f>
        <v>925.77451303947612</v>
      </c>
      <c r="I146" s="302">
        <f>I38*(BOM_average!H14*BOM_average!H17)/1000000</f>
        <v>898.05178431393563</v>
      </c>
      <c r="J146" s="302">
        <f>J38*(BOM_average!I14*BOM_average!I17)/1000000</f>
        <v>854.43376997516702</v>
      </c>
      <c r="K146" s="302">
        <f>K38*(BOM_average!J14*BOM_average!J17)/1000000</f>
        <v>819.76631492073454</v>
      </c>
      <c r="L146" s="302">
        <f>L38*(BOM_average!K14*BOM_average!K17)/1000000</f>
        <v>875.87864406368169</v>
      </c>
      <c r="M146" s="302">
        <f>M38*(BOM_average!L14*BOM_average!L17)/1000000</f>
        <v>797.94915101876131</v>
      </c>
      <c r="N146" s="302">
        <f>N38*(BOM_average!M14*BOM_average!M17)/1000000</f>
        <v>890.91773387967567</v>
      </c>
      <c r="O146" s="302">
        <f>O38*(BOM_average!N14*BOM_average!N17)/1000000</f>
        <v>1159.9100642409237</v>
      </c>
      <c r="P146" s="302">
        <f>P38*(BOM_average!O14*BOM_average!O17)/1000000</f>
        <v>1497.5137772256658</v>
      </c>
      <c r="Q146" s="302">
        <f>Q38*(BOM_average!P14*BOM_average!P17)/1000000</f>
        <v>1470.1214107593605</v>
      </c>
      <c r="R146" s="302">
        <f>R38*(BOM_average!Q14*BOM_average!Q17)/1000000</f>
        <v>1355.9885076932935</v>
      </c>
      <c r="S146" s="302">
        <f>S38*(BOM_average!R14*BOM_average!R17)/1000000</f>
        <v>1355.9885076932935</v>
      </c>
      <c r="T146" s="302">
        <f>T38*(BOM_average!S14*BOM_average!S17)/1000000</f>
        <v>1337.6816867409666</v>
      </c>
      <c r="U146" s="302">
        <f>U38*(BOM_average!T14*BOM_average!T17)/1000000</f>
        <v>1305.7416640888353</v>
      </c>
      <c r="V146" s="302">
        <f>V38*(BOM_average!U14*BOM_average!U17)/1000000</f>
        <v>1272.0228359163564</v>
      </c>
      <c r="W146" s="302">
        <f>W38*(BOM_average!V14*BOM_average!V17)/1000000</f>
        <v>1243.2359067844807</v>
      </c>
      <c r="X146" s="302">
        <f>X38*(BOM_average!W14*BOM_average!W17)/1000000</f>
        <v>1223.0393413424288</v>
      </c>
      <c r="Y146" s="302">
        <f>Y38*(BOM_average!X14*BOM_average!X17)/1000000</f>
        <v>1212.6659173706471</v>
      </c>
      <c r="Z146" s="302">
        <f>Z38*(BOM_average!Y14*BOM_average!Y17)/1000000</f>
        <v>1211.574492225898</v>
      </c>
      <c r="AA146" s="302">
        <f>AA38*(BOM_average!Z14*BOM_average!Z17)/1000000</f>
        <v>1218.1213096729973</v>
      </c>
      <c r="AB146" s="302">
        <f>AB38*(BOM_average!AA14*BOM_average!AA17)/1000000</f>
        <v>1230.1569271802705</v>
      </c>
    </row>
    <row r="147" spans="2:28" ht="17" thickBot="1">
      <c r="B147" s="297" t="s">
        <v>447</v>
      </c>
      <c r="C147" s="303">
        <f>C38*(BOM_average!B15*BOM_average!B17)/1000000</f>
        <v>422.9293930185446</v>
      </c>
      <c r="D147" s="303">
        <f>D38*(BOM_average!C15*BOM_average!C17)/1000000</f>
        <v>657.49846046672928</v>
      </c>
      <c r="E147" s="303">
        <f>E38*(BOM_average!D15*BOM_average!D17)/1000000</f>
        <v>628.65309885886609</v>
      </c>
      <c r="F147" s="303">
        <f>F38*(BOM_average!E15*BOM_average!E17)/1000000</f>
        <v>352.01821948049025</v>
      </c>
      <c r="G147" s="303">
        <f>G38*(BOM_average!F15*BOM_average!F17)/1000000</f>
        <v>330.53206168853416</v>
      </c>
      <c r="H147" s="303">
        <f>H38*(BOM_average!G15*BOM_average!G17)/1000000</f>
        <v>394.62115567253238</v>
      </c>
      <c r="I147" s="303">
        <f>I38*(BOM_average!H15*BOM_average!H17)/1000000</f>
        <v>382.80405000157248</v>
      </c>
      <c r="J147" s="303">
        <f>J38*(BOM_average!I15*BOM_average!I17)/1000000</f>
        <v>364.21141109861321</v>
      </c>
      <c r="K147" s="303">
        <f>K38*(BOM_average!J15*BOM_average!J17)/1000000</f>
        <v>349.43404254383387</v>
      </c>
      <c r="L147" s="303">
        <f>L38*(BOM_average!K15*BOM_average!K17)/1000000</f>
        <v>373.35251498175802</v>
      </c>
      <c r="M147" s="303">
        <f>M38*(BOM_average!L15*BOM_average!L17)/1000000</f>
        <v>340.13424619901207</v>
      </c>
      <c r="N147" s="303">
        <f>N38*(BOM_average!M15*BOM_average!M17)/1000000</f>
        <v>379.76308571994537</v>
      </c>
      <c r="O147" s="303">
        <f>O38*(BOM_average!N15*BOM_average!N17)/1000000</f>
        <v>494.42390515176851</v>
      </c>
      <c r="P147" s="303">
        <f>P38*(BOM_average!O15*BOM_average!O17)/1000000</f>
        <v>638.33105046728872</v>
      </c>
      <c r="Q147" s="303">
        <f>Q38*(BOM_average!P15*BOM_average!P17)/1000000</f>
        <v>626.65476519556614</v>
      </c>
      <c r="R147" s="303">
        <f>R38*(BOM_average!Q15*BOM_average!Q17)/1000000</f>
        <v>578.00441084489296</v>
      </c>
      <c r="S147" s="303">
        <f>S38*(BOM_average!R15*BOM_average!R17)/1000000</f>
        <v>578.00441084489296</v>
      </c>
      <c r="T147" s="303">
        <f>T38*(BOM_average!S15*BOM_average!S17)/1000000</f>
        <v>570.20093522621448</v>
      </c>
      <c r="U147" s="303">
        <f>U38*(BOM_average!T15*BOM_average!T17)/1000000</f>
        <v>556.58616351489457</v>
      </c>
      <c r="V147" s="303">
        <f>V38*(BOM_average!U15*BOM_average!U17)/1000000</f>
        <v>542.21315717919322</v>
      </c>
      <c r="W147" s="303">
        <f>W38*(BOM_average!V15*BOM_average!V17)/1000000</f>
        <v>529.94242485476627</v>
      </c>
      <c r="X147" s="303">
        <f>X38*(BOM_average!W15*BOM_average!W17)/1000000</f>
        <v>521.33342570529567</v>
      </c>
      <c r="Y147" s="303">
        <f>Y38*(BOM_average!X15*BOM_average!X17)/1000000</f>
        <v>516.91164426892237</v>
      </c>
      <c r="Z147" s="303">
        <f>Z38*(BOM_average!Y15*BOM_average!Y17)/1000000</f>
        <v>516.44641278340976</v>
      </c>
      <c r="AA147" s="303">
        <f>AA38*(BOM_average!Z15*BOM_average!Z17)/1000000</f>
        <v>519.23706280732256</v>
      </c>
      <c r="AB147" s="303">
        <f>AB38*(BOM_average!AA15*BOM_average!AA17)/1000000</f>
        <v>524.36737177895247</v>
      </c>
    </row>
    <row r="148" spans="2:28">
      <c r="B148" s="296" t="s">
        <v>7797</v>
      </c>
      <c r="C148" s="304">
        <f>C38*(BOM_average!B17)/1000000</f>
        <v>17040.143282731038</v>
      </c>
      <c r="D148" s="304">
        <f>D38*(BOM_average!C17)/1000000</f>
        <v>26491.107403445159</v>
      </c>
      <c r="E148" s="304">
        <f>E38*(BOM_average!D17)/1000000</f>
        <v>25328.906092885922</v>
      </c>
      <c r="F148" s="304">
        <f>F38*(BOM_average!E17)/1000000</f>
        <v>14183.078776500162</v>
      </c>
      <c r="G148" s="304">
        <f>G38*(BOM_average!F17)/1000000</f>
        <v>13317.385321720003</v>
      </c>
      <c r="H148" s="304">
        <f>H38*(BOM_average!G17)/1000000</f>
        <v>15899.583112593004</v>
      </c>
      <c r="I148" s="304">
        <f>I38*(BOM_average!H17)/1000000</f>
        <v>15423.463038783189</v>
      </c>
      <c r="J148" s="304">
        <f>J38*(BOM_average!I17)/1000000</f>
        <v>14674.351635933463</v>
      </c>
      <c r="K148" s="304">
        <f>K38*(BOM_average!J17)/1000000</f>
        <v>14078.960344451098</v>
      </c>
      <c r="L148" s="304">
        <f>L38*(BOM_average!K17)/1000000</f>
        <v>15042.6535853898</v>
      </c>
      <c r="M148" s="304">
        <f>M38*(BOM_average!L17)/1000000</f>
        <v>13704.26455637889</v>
      </c>
      <c r="N148" s="304">
        <f>N38*(BOM_average!M17)/1000000</f>
        <v>15300.94030110645</v>
      </c>
      <c r="O148" s="304">
        <f>O38*(BOM_average!N17)/1000000</f>
        <v>19920.710939625173</v>
      </c>
      <c r="P148" s="304">
        <f>P38*(BOM_average!O17)/1000000</f>
        <v>25718.838040896982</v>
      </c>
      <c r="Q148" s="304">
        <f>Q38*(BOM_average!P17)/1000000</f>
        <v>25248.391726867754</v>
      </c>
      <c r="R148" s="304">
        <f>R38*(BOM_average!Q17)/1000000</f>
        <v>23288.232365575128</v>
      </c>
      <c r="S148" s="304">
        <f>S38*(BOM_average!R17)/1000000</f>
        <v>23288.232365575128</v>
      </c>
      <c r="T148" s="304">
        <f>T38*(BOM_average!S17)/1000000</f>
        <v>22973.824464775127</v>
      </c>
      <c r="U148" s="304">
        <f>U38*(BOM_average!T17)/1000000</f>
        <v>22425.275074375128</v>
      </c>
      <c r="V148" s="304">
        <f>V38*(BOM_average!U17)/1000000</f>
        <v>21846.175840775122</v>
      </c>
      <c r="W148" s="304">
        <f>W38*(BOM_average!V17)/1000000</f>
        <v>21351.778807975123</v>
      </c>
      <c r="X148" s="304">
        <f>X38*(BOM_average!W17)/1000000</f>
        <v>21004.915758375126</v>
      </c>
      <c r="Y148" s="304">
        <f>Y38*(BOM_average!X17)/1000000</f>
        <v>20826.758859175126</v>
      </c>
      <c r="Z148" s="304">
        <f>Z38*(BOM_average!Y17)/1000000</f>
        <v>20808.014332775125</v>
      </c>
      <c r="AA148" s="304">
        <f>AA38*(BOM_average!Z17)/1000000</f>
        <v>20920.451720775123</v>
      </c>
      <c r="AB148" s="304">
        <f>AB38*(BOM_average!AA17)/1000000</f>
        <v>21127.155727175126</v>
      </c>
    </row>
    <row r="149" spans="2:28">
      <c r="B149" s="295" t="s">
        <v>7798</v>
      </c>
      <c r="C149" s="302">
        <f>C38*(BOM_average!B18)/1000000</f>
        <v>23619.084206513795</v>
      </c>
      <c r="D149" s="302">
        <f>D38*(BOM_average!C18)/1000000</f>
        <v>36718.922259290506</v>
      </c>
      <c r="E149" s="302">
        <f>E38*(BOM_average!D18)/1000000</f>
        <v>35108.012646409603</v>
      </c>
      <c r="F149" s="302">
        <f>F38*(BOM_average!E18)/1000000</f>
        <v>19658.950419112127</v>
      </c>
      <c r="G149" s="302">
        <f>G38*(BOM_average!F18)/1000000</f>
        <v>18459.025848865003</v>
      </c>
      <c r="H149" s="302">
        <f>H38*(BOM_average!G18)/1000000</f>
        <v>22038.171050203269</v>
      </c>
      <c r="I149" s="302">
        <f>I38*(BOM_average!H18)/1000000</f>
        <v>21378.228235806742</v>
      </c>
      <c r="J149" s="302">
        <f>J38*(BOM_average!I18)/1000000</f>
        <v>20339.89627988368</v>
      </c>
      <c r="K149" s="302">
        <f>K38*(BOM_average!J18)/1000000</f>
        <v>19514.633439306603</v>
      </c>
      <c r="L149" s="302">
        <f>L38*(BOM_average!K18)/1000000</f>
        <v>20850.394027073882</v>
      </c>
      <c r="M149" s="302">
        <f>M38*(BOM_average!L18)/1000000</f>
        <v>18995.273289367473</v>
      </c>
      <c r="N149" s="302">
        <f>N38*(BOM_average!M18)/1000000</f>
        <v>21208.40132705462</v>
      </c>
      <c r="O149" s="302">
        <f>O38*(BOM_average!N18)/1000000</f>
        <v>27611.795354646725</v>
      </c>
      <c r="P149" s="302">
        <f>P38*(BOM_average!O18)/1000000</f>
        <v>35648.491406598005</v>
      </c>
      <c r="Q149" s="302">
        <f>Q38*(BOM_average!P18)/1000000</f>
        <v>34996.412904596138</v>
      </c>
      <c r="R149" s="302">
        <f>R38*(BOM_average!Q18)/1000000</f>
        <v>32279.465737873914</v>
      </c>
      <c r="S149" s="302">
        <f>S38*(BOM_average!R18)/1000000</f>
        <v>32279.465737873914</v>
      </c>
      <c r="T149" s="302">
        <f>T38*(BOM_average!S18)/1000000</f>
        <v>31843.66971427391</v>
      </c>
      <c r="U149" s="302">
        <f>U38*(BOM_average!T18)/1000000</f>
        <v>31083.333722473912</v>
      </c>
      <c r="V149" s="302">
        <f>V38*(BOM_average!U18)/1000000</f>
        <v>30280.65305627391</v>
      </c>
      <c r="W149" s="302">
        <f>W38*(BOM_average!V18)/1000000</f>
        <v>29595.376826173913</v>
      </c>
      <c r="X149" s="302">
        <f>X38*(BOM_average!W18)/1000000</f>
        <v>29114.595212973913</v>
      </c>
      <c r="Y149" s="302">
        <f>Y38*(BOM_average!X18)/1000000</f>
        <v>28867.654636573912</v>
      </c>
      <c r="Z149" s="302">
        <f>Z38*(BOM_average!Y18)/1000000</f>
        <v>28841.673132773911</v>
      </c>
      <c r="AA149" s="302">
        <f>AA38*(BOM_average!Z18)/1000000</f>
        <v>28997.520891273911</v>
      </c>
      <c r="AB149" s="302">
        <f>AB38*(BOM_average!AA18)/1000000</f>
        <v>29284.030180073914</v>
      </c>
    </row>
    <row r="150" spans="2:28">
      <c r="B150" s="295" t="s">
        <v>7799</v>
      </c>
      <c r="C150" s="302">
        <f>C38*(BOM_average!B19)/1000000</f>
        <v>10986.308754817243</v>
      </c>
      <c r="D150" s="302">
        <f>D38*(BOM_average!C19)/1000000</f>
        <v>17079.638378758296</v>
      </c>
      <c r="E150" s="302">
        <f>E38*(BOM_average!D19)/1000000</f>
        <v>16330.331156324502</v>
      </c>
      <c r="F150" s="302">
        <f>C38*(BOM_average!E19)/1000000</f>
        <v>10986.308754817243</v>
      </c>
      <c r="G150" s="302">
        <f>G38*(BOM_average!F19)/1000000</f>
        <v>8586.1312621449997</v>
      </c>
      <c r="H150" s="302">
        <f>H38*(BOM_average!G19)/1000000</f>
        <v>10250.954246661073</v>
      </c>
      <c r="I150" s="302">
        <f>I38*(BOM_average!H19)/1000000</f>
        <v>9943.9848715536446</v>
      </c>
      <c r="J150" s="302">
        <f>J38*(BOM_average!I19)/1000000</f>
        <v>9461.0095217042181</v>
      </c>
      <c r="K150" s="302">
        <f>K38*(BOM_average!J19)/1000000</f>
        <v>9077.1422942036334</v>
      </c>
      <c r="L150" s="302">
        <f>L38*(BOM_average!K19)/1000000</f>
        <v>9698.4652088186012</v>
      </c>
      <c r="M150" s="302">
        <f>M38*(BOM_average!L19)/1000000</f>
        <v>8835.5643010735766</v>
      </c>
      <c r="N150" s="302">
        <f>N38*(BOM_average!M19)/1000000</f>
        <v>9864.9906633907176</v>
      </c>
      <c r="O150" s="302">
        <f>O38*(BOM_average!N19)/1000000</f>
        <v>12843.500043804299</v>
      </c>
      <c r="P150" s="302">
        <f>P38*(BOM_average!O19)/1000000</f>
        <v>16581.732374209703</v>
      </c>
      <c r="Q150" s="302">
        <f>Q38*(BOM_average!P19)/1000000</f>
        <v>16278.421047964654</v>
      </c>
      <c r="R150" s="302">
        <f>R38*(BOM_average!Q19)/1000000</f>
        <v>15014.645527154904</v>
      </c>
      <c r="S150" s="302">
        <f>S38*(BOM_average!R19)/1000000</f>
        <v>15014.645527154904</v>
      </c>
      <c r="T150" s="302">
        <f>T38*(BOM_average!S19)/1000000</f>
        <v>14811.937004354904</v>
      </c>
      <c r="U150" s="302">
        <f>U38*(BOM_average!T19)/1000000</f>
        <v>14458.270202954902</v>
      </c>
      <c r="V150" s="302">
        <f>V38*(BOM_average!U19)/1000000</f>
        <v>14084.906970354905</v>
      </c>
      <c r="W150" s="302">
        <f>W38*(BOM_average!V19)/1000000</f>
        <v>13766.153873054904</v>
      </c>
      <c r="X150" s="302">
        <f>X38*(BOM_average!W19)/1000000</f>
        <v>13542.520509454902</v>
      </c>
      <c r="Y150" s="302">
        <f>Y38*(BOM_average!X19)/1000000</f>
        <v>13427.657232254904</v>
      </c>
      <c r="Z150" s="302">
        <f>Z38*(BOM_average!Y19)/1000000</f>
        <v>13415.572054854903</v>
      </c>
      <c r="AA150" s="302">
        <f>AA38*(BOM_average!Z19)/1000000</f>
        <v>13488.063925354903</v>
      </c>
      <c r="AB150" s="302">
        <f>AB38*(BOM_average!AA19)/1000000</f>
        <v>13621.332407754904</v>
      </c>
    </row>
    <row r="152" spans="2:28">
      <c r="B152" s="291" t="s">
        <v>7795</v>
      </c>
    </row>
    <row r="153" spans="2:28">
      <c r="B153" s="294" t="s">
        <v>437</v>
      </c>
      <c r="C153" s="299">
        <f>C5*(BOM_average!B6*BOM_average!B17)/1000000</f>
        <v>2628.9155075792037</v>
      </c>
      <c r="D153" s="299">
        <f>D5*(BOM_average!C6*BOM_average!C17)/1000000</f>
        <v>6572.6452124814787</v>
      </c>
      <c r="E153" s="299">
        <f>E5*(BOM_average!D6*BOM_average!D17)/1000000</f>
        <v>9990.1821795360756</v>
      </c>
      <c r="F153" s="299">
        <f>F5*(BOM_average!E6*BOM_average!E17)/1000000</f>
        <v>11230.895802559007</v>
      </c>
      <c r="G153" s="299">
        <f>G5*(BOM_average!F6*BOM_average!F17)/1000000</f>
        <v>11944.599162575822</v>
      </c>
      <c r="H153" s="299">
        <f>H5*(BOM_average!G6*BOM_average!G17)/1000000</f>
        <v>12766.939055061532</v>
      </c>
      <c r="I153" s="299">
        <f>I5*(BOM_average!H6*BOM_average!H17)/1000000</f>
        <v>13287.998262822406</v>
      </c>
      <c r="J153" s="299">
        <f>J5*(BOM_average!I6*BOM_average!I17)/1000000</f>
        <v>13518.811963667158</v>
      </c>
      <c r="K153" s="299">
        <f>K5*(BOM_average!J6*BOM_average!J17)/1000000</f>
        <v>13538.161838835651</v>
      </c>
      <c r="L153" s="299">
        <f>L5*(BOM_average!K6*BOM_average!K17)/1000000</f>
        <v>13635.924977798417</v>
      </c>
      <c r="M153" s="299">
        <f>M5*(BOM_average!L6*BOM_average!L17)/1000000</f>
        <v>13484.947137188285</v>
      </c>
      <c r="N153" s="299">
        <f>N5*(BOM_average!M6*BOM_average!M17)/1000000</f>
        <v>13565.813176448946</v>
      </c>
      <c r="O153" s="299">
        <f>O5*(BOM_average!N6*BOM_average!N17)/1000000</f>
        <v>14352.592972160146</v>
      </c>
      <c r="P153" s="299">
        <f>P5*(BOM_average!O6*BOM_average!O17)/1000000</f>
        <v>15987.582126154717</v>
      </c>
      <c r="Q153" s="299">
        <f>Q5*(BOM_average!P6*BOM_average!P17)/1000000</f>
        <v>17421.161540139528</v>
      </c>
      <c r="R153" s="299">
        <f>R5*(BOM_average!Q6*BOM_average!Q17)/1000000</f>
        <v>18371.032588753427</v>
      </c>
      <c r="S153" s="299">
        <f>S5*(BOM_average!R6*BOM_average!R17)/1000000</f>
        <v>19139.261094539626</v>
      </c>
      <c r="T153" s="299">
        <f>T5*(BOM_average!S6*BOM_average!S17)/1000000</f>
        <v>19743.059618810788</v>
      </c>
      <c r="U153" s="299">
        <f>U5*(BOM_average!T6*BOM_average!T17)/1000000</f>
        <v>20206.108794568248</v>
      </c>
      <c r="V153" s="299">
        <f>V5*(BOM_average!U6*BOM_average!U17)/1000000</f>
        <v>20557.826636071779</v>
      </c>
      <c r="W153" s="299">
        <f>W5*(BOM_average!V6*BOM_average!V17)/1000000</f>
        <v>20829.763521025339</v>
      </c>
      <c r="X153" s="299">
        <f>X5*(BOM_average!W6*BOM_average!W17)/1000000</f>
        <v>21051.965022383945</v>
      </c>
      <c r="Y153" s="299">
        <f>Y5*(BOM_average!X6*BOM_average!X17)/1000000</f>
        <v>21250.236203382756</v>
      </c>
      <c r="Z153" s="299">
        <f>Z5*(BOM_average!Y6*BOM_average!Y17)/1000000</f>
        <v>21444.502783286334</v>
      </c>
      <c r="AA153" s="299">
        <f>AA5*(BOM_average!Z6*BOM_average!Z17)/1000000</f>
        <v>21648.221992133185</v>
      </c>
      <c r="AB153" s="299">
        <f>AB5*(BOM_average!AA6*BOM_average!AA17)/1000000</f>
        <v>21868.653134963613</v>
      </c>
    </row>
    <row r="154" spans="2:28">
      <c r="B154" s="294" t="s">
        <v>217</v>
      </c>
      <c r="C154" s="299">
        <f>C5*(BOM_average!B7*BOM_average!B17)/1000000</f>
        <v>304.54238345884499</v>
      </c>
      <c r="D154" s="299">
        <f>D5*(BOM_average!C7*BOM_average!C17)/1000000</f>
        <v>761.39725026068402</v>
      </c>
      <c r="E154" s="299">
        <f>E5*(BOM_average!D7*BOM_average!D17)/1000000</f>
        <v>1157.2961867251388</v>
      </c>
      <c r="F154" s="299">
        <f>F5*(BOM_average!E7*BOM_average!E17)/1000000</f>
        <v>1301.0246111860681</v>
      </c>
      <c r="G154" s="299">
        <f>G5*(BOM_average!F7*BOM_average!F17)/1000000</f>
        <v>1383.7024004552457</v>
      </c>
      <c r="H154" s="299">
        <f>H5*(BOM_average!G7*BOM_average!G17)/1000000</f>
        <v>1478.9650097513122</v>
      </c>
      <c r="I154" s="299">
        <f>I5*(BOM_average!H7*BOM_average!H17)/1000000</f>
        <v>1539.3262547579259</v>
      </c>
      <c r="J154" s="299">
        <f>J5*(BOM_average!I7*BOM_average!I17)/1000000</f>
        <v>1566.0644874578979</v>
      </c>
      <c r="K154" s="299">
        <f>K5*(BOM_average!J7*BOM_average!J17)/1000000</f>
        <v>1568.3060418503669</v>
      </c>
      <c r="L154" s="299">
        <f>L5*(BOM_average!K7*BOM_average!K17)/1000000</f>
        <v>1579.6312515302911</v>
      </c>
      <c r="M154" s="299">
        <f>M5*(BOM_average!L7*BOM_average!L17)/1000000</f>
        <v>1562.1414724573915</v>
      </c>
      <c r="N154" s="299">
        <f>N5*(BOM_average!M7*BOM_average!M17)/1000000</f>
        <v>1571.5092654755842</v>
      </c>
      <c r="O154" s="299">
        <f>O5*(BOM_average!N7*BOM_average!N17)/1000000</f>
        <v>1662.6524739782383</v>
      </c>
      <c r="P154" s="299">
        <f>P5*(BOM_average!O7*BOM_average!O17)/1000000</f>
        <v>1852.05509739894</v>
      </c>
      <c r="Q154" s="299">
        <f>Q5*(BOM_average!P7*BOM_average!P17)/1000000</f>
        <v>2018.125741492973</v>
      </c>
      <c r="R154" s="299">
        <f>R5*(BOM_average!Q7*BOM_average!Q17)/1000000</f>
        <v>2128.161987347753</v>
      </c>
      <c r="S154" s="299">
        <f>S5*(BOM_average!R7*BOM_average!R17)/1000000</f>
        <v>2217.1561522490788</v>
      </c>
      <c r="T154" s="299">
        <f>T5*(BOM_average!S7*BOM_average!S17)/1000000</f>
        <v>2287.1021969889484</v>
      </c>
      <c r="U154" s="299">
        <f>U5*(BOM_average!T7*BOM_average!T17)/1000000</f>
        <v>2340.7433654621359</v>
      </c>
      <c r="V154" s="299">
        <f>V5*(BOM_average!U7*BOM_average!U17)/1000000</f>
        <v>2381.4875390377706</v>
      </c>
      <c r="W154" s="299">
        <f>W5*(BOM_average!V7*BOM_average!V17)/1000000</f>
        <v>2412.9896192131778</v>
      </c>
      <c r="X154" s="299">
        <f>X5*(BOM_average!W7*BOM_average!W17)/1000000</f>
        <v>2438.7301858600672</v>
      </c>
      <c r="Y154" s="299">
        <f>Y5*(BOM_average!X7*BOM_average!X17)/1000000</f>
        <v>2461.6985839917284</v>
      </c>
      <c r="Z154" s="299">
        <f>Z5*(BOM_average!Y7*BOM_average!Y17)/1000000</f>
        <v>2484.2030757107163</v>
      </c>
      <c r="AA154" s="299">
        <f>AA5*(BOM_average!Z7*BOM_average!Z17)/1000000</f>
        <v>2507.8025916478787</v>
      </c>
      <c r="AB154" s="299">
        <f>AB5*(BOM_average!AA7*BOM_average!AA17)/1000000</f>
        <v>2533.3380740293387</v>
      </c>
    </row>
    <row r="155" spans="2:28">
      <c r="B155" s="294" t="s">
        <v>313</v>
      </c>
      <c r="C155" s="299">
        <f>C5*(BOM_average!B8*BOM_average!B17)/1000000</f>
        <v>1967.7010593218165</v>
      </c>
      <c r="D155" s="299">
        <f>D5*(BOM_average!C8*BOM_average!C17)/1000000</f>
        <v>4919.5194405678803</v>
      </c>
      <c r="E155" s="299">
        <f>E5*(BOM_average!D8*BOM_average!D17)/1000000</f>
        <v>7477.4910037304899</v>
      </c>
      <c r="F155" s="299">
        <f>F5*(BOM_average!E8*BOM_average!E17)/1000000</f>
        <v>8406.145235218255</v>
      </c>
      <c r="G155" s="299">
        <f>G5*(BOM_average!F8*BOM_average!F17)/1000000</f>
        <v>8940.3407441639956</v>
      </c>
      <c r="H155" s="299">
        <f>H5*(BOM_average!G8*BOM_average!G17)/1000000</f>
        <v>9555.8489538807626</v>
      </c>
      <c r="I155" s="299">
        <f>I5*(BOM_average!H8*BOM_average!H17)/1000000</f>
        <v>9945.8534070952282</v>
      </c>
      <c r="J155" s="299">
        <f>J5*(BOM_average!I8*BOM_average!I17)/1000000</f>
        <v>10118.613757265794</v>
      </c>
      <c r="K155" s="299">
        <f>K5*(BOM_average!J8*BOM_average!J17)/1000000</f>
        <v>10133.096828234417</v>
      </c>
      <c r="L155" s="299">
        <f>L5*(BOM_average!K8*BOM_average!K17)/1000000</f>
        <v>10206.270968500645</v>
      </c>
      <c r="M155" s="299">
        <f>M5*(BOM_average!L8*BOM_average!L17)/1000000</f>
        <v>10093.266478228441</v>
      </c>
      <c r="N155" s="299">
        <f>N5*(BOM_average!M8*BOM_average!M17)/1000000</f>
        <v>10153.79341059185</v>
      </c>
      <c r="O155" s="299">
        <f>O5*(BOM_average!N8*BOM_average!N17)/1000000</f>
        <v>10742.685458666654</v>
      </c>
      <c r="P155" s="299">
        <f>P5*(BOM_average!O8*BOM_average!O17)/1000000</f>
        <v>11966.448596363414</v>
      </c>
      <c r="Q155" s="299">
        <f>Q5*(BOM_average!P8*BOM_average!P17)/1000000</f>
        <v>13039.459776596213</v>
      </c>
      <c r="R155" s="299">
        <f>R5*(BOM_average!Q8*BOM_average!Q17)/1000000</f>
        <v>13750.423009605473</v>
      </c>
      <c r="S155" s="299">
        <f>S5*(BOM_average!R8*BOM_average!R17)/1000000</f>
        <v>14325.429714947895</v>
      </c>
      <c r="T155" s="299">
        <f>T5*(BOM_average!S8*BOM_average!S17)/1000000</f>
        <v>14777.363218478158</v>
      </c>
      <c r="U155" s="299">
        <f>U5*(BOM_average!T8*BOM_average!T17)/1000000</f>
        <v>15123.948093887513</v>
      </c>
      <c r="V155" s="299">
        <f>V5*(BOM_average!U8*BOM_average!U17)/1000000</f>
        <v>15387.203252645415</v>
      </c>
      <c r="W155" s="299">
        <f>W5*(BOM_average!V8*BOM_average!V17)/1000000</f>
        <v>15590.743646031631</v>
      </c>
      <c r="X155" s="299">
        <f>X5*(BOM_average!W8*BOM_average!W17)/1000000</f>
        <v>15757.057903125746</v>
      </c>
      <c r="Y155" s="299">
        <f>Y5*(BOM_average!X8*BOM_average!X17)/1000000</f>
        <v>15905.46069954867</v>
      </c>
      <c r="Z155" s="299">
        <f>Z5*(BOM_average!Y8*BOM_average!Y17)/1000000</f>
        <v>16050.866116331767</v>
      </c>
      <c r="AA155" s="299">
        <f>AA5*(BOM_average!Z8*BOM_average!Z17)/1000000</f>
        <v>16203.346674149796</v>
      </c>
      <c r="AB155" s="299">
        <f>AB5*(BOM_average!AA8*BOM_average!AA17)/1000000</f>
        <v>16368.33584630252</v>
      </c>
    </row>
    <row r="156" spans="2:28">
      <c r="B156" s="294" t="s">
        <v>6911</v>
      </c>
      <c r="C156" s="299">
        <f>C5*(BOM_average!B9*BOM_average!B17)/1000000</f>
        <v>4821.4068346299209</v>
      </c>
      <c r="D156" s="299">
        <f>D5*(BOM_average!C9*BOM_average!C17)/1000000</f>
        <v>12054.170800733158</v>
      </c>
      <c r="E156" s="299">
        <f>E5*(BOM_average!D9*BOM_average!D17)/1000000</f>
        <v>18321.902130649632</v>
      </c>
      <c r="F156" s="299">
        <f>F5*(BOM_average!E9*BOM_average!E17)/1000000</f>
        <v>20597.359491152496</v>
      </c>
      <c r="G156" s="299">
        <f>G5*(BOM_average!F9*BOM_average!F17)/1000000</f>
        <v>21906.284881855539</v>
      </c>
      <c r="H156" s="299">
        <f>H5*(BOM_average!G9*BOM_average!G17)/1000000</f>
        <v>23414.448672813731</v>
      </c>
      <c r="I156" s="299">
        <f>I5*(BOM_average!H9*BOM_average!H17)/1000000</f>
        <v>24370.066462089319</v>
      </c>
      <c r="J156" s="299">
        <f>J5*(BOM_average!I9*BOM_average!I17)/1000000</f>
        <v>24793.376664174841</v>
      </c>
      <c r="K156" s="299">
        <f>K5*(BOM_average!J9*BOM_average!J17)/1000000</f>
        <v>24828.864157065971</v>
      </c>
      <c r="L156" s="299">
        <f>L5*(BOM_average!K9*BOM_average!K17)/1000000</f>
        <v>25008.160853749843</v>
      </c>
      <c r="M156" s="299">
        <f>M5*(BOM_average!L9*BOM_average!L17)/1000000</f>
        <v>24731.268884229808</v>
      </c>
      <c r="N156" s="299">
        <f>N5*(BOM_average!M9*BOM_average!M17)/1000000</f>
        <v>24879.576455643477</v>
      </c>
      <c r="O156" s="299">
        <f>O5*(BOM_average!N9*BOM_average!N17)/1000000</f>
        <v>26322.523356543996</v>
      </c>
      <c r="P156" s="299">
        <f>P5*(BOM_average!O9*BOM_average!O17)/1000000</f>
        <v>29321.078410477279</v>
      </c>
      <c r="Q156" s="299">
        <f>Q5*(BOM_average!P9*BOM_average!P17)/1000000</f>
        <v>31950.249855753522</v>
      </c>
      <c r="R156" s="299">
        <f>R5*(BOM_average!Q9*BOM_average!Q17)/1000000</f>
        <v>33692.30461278194</v>
      </c>
      <c r="S156" s="299">
        <f>S5*(BOM_average!R9*BOM_average!R17)/1000000</f>
        <v>35101.228618774752</v>
      </c>
      <c r="T156" s="299">
        <f>T5*(BOM_average!S9*BOM_average!S17)/1000000</f>
        <v>36208.589552691228</v>
      </c>
      <c r="U156" s="299">
        <f>U5*(BOM_average!T9*BOM_average!T17)/1000000</f>
        <v>37057.817477411634</v>
      </c>
      <c r="V156" s="299">
        <f>V5*(BOM_average!U9*BOM_average!U17)/1000000</f>
        <v>37702.864760216071</v>
      </c>
      <c r="W156" s="299">
        <f>W5*(BOM_average!V9*BOM_average!V17)/1000000</f>
        <v>38201.594503307126</v>
      </c>
      <c r="X156" s="299">
        <f>X5*(BOM_average!W9*BOM_average!W17)/1000000</f>
        <v>38609.110010833625</v>
      </c>
      <c r="Y156" s="299">
        <f>Y5*(BOM_average!X9*BOM_average!X17)/1000000</f>
        <v>38972.737531163504</v>
      </c>
      <c r="Z156" s="299">
        <f>Z5*(BOM_average!Y9*BOM_average!Y17)/1000000</f>
        <v>39329.020649957914</v>
      </c>
      <c r="AA156" s="299">
        <f>AA5*(BOM_average!Z9*BOM_average!Z17)/1000000</f>
        <v>39702.639803197286</v>
      </c>
      <c r="AB156" s="299">
        <f>AB5*(BOM_average!AA9*BOM_average!AA17)/1000000</f>
        <v>40106.908489484042</v>
      </c>
    </row>
    <row r="157" spans="2:28">
      <c r="B157" s="294" t="s">
        <v>441</v>
      </c>
      <c r="C157" s="299">
        <f>C5*(BOM_average!B10*BOM_average!B17)/1000000</f>
        <v>2381.2662721592374</v>
      </c>
      <c r="D157" s="299">
        <f>D5*(BOM_average!C10*BOM_average!C17)/1000000</f>
        <v>5953.4885462192788</v>
      </c>
      <c r="E157" s="299">
        <f>E5*(BOM_average!D10*BOM_average!D17)/1000000</f>
        <v>9049.0865180986784</v>
      </c>
      <c r="F157" s="299">
        <f>F5*(BOM_average!E10*BOM_average!E17)/1000000</f>
        <v>10172.922371854807</v>
      </c>
      <c r="G157" s="299">
        <f>G5*(BOM_average!F10*BOM_average!F17)/1000000</f>
        <v>10819.393410819363</v>
      </c>
      <c r="H157" s="299">
        <f>H5*(BOM_average!G10*BOM_average!G17)/1000000</f>
        <v>11564.267197969129</v>
      </c>
      <c r="I157" s="299">
        <f>I5*(BOM_average!H10*BOM_average!H17)/1000000</f>
        <v>12036.241559131287</v>
      </c>
      <c r="J157" s="299">
        <f>J5*(BOM_average!I10*BOM_average!I17)/1000000</f>
        <v>12245.312135720482</v>
      </c>
      <c r="K157" s="299">
        <f>K5*(BOM_average!J10*BOM_average!J17)/1000000</f>
        <v>12262.839212941635</v>
      </c>
      <c r="L157" s="299">
        <f>L5*(BOM_average!K10*BOM_average!K17)/1000000</f>
        <v>12351.392863601492</v>
      </c>
      <c r="M157" s="299">
        <f>M5*(BOM_average!L10*BOM_average!L17)/1000000</f>
        <v>12214.637445387461</v>
      </c>
      <c r="N157" s="299">
        <f>N5*(BOM_average!M10*BOM_average!M17)/1000000</f>
        <v>12287.88573781046</v>
      </c>
      <c r="O157" s="299">
        <f>O5*(BOM_average!N10*BOM_average!N17)/1000000</f>
        <v>13000.549262272161</v>
      </c>
      <c r="P157" s="299">
        <f>P5*(BOM_average!O10*BOM_average!O17)/1000000</f>
        <v>14481.519082918305</v>
      </c>
      <c r="Q157" s="299">
        <f>Q5*(BOM_average!P10*BOM_average!P17)/1000000</f>
        <v>15780.052374361867</v>
      </c>
      <c r="R157" s="299">
        <f>R5*(BOM_average!Q10*BOM_average!Q17)/1000000</f>
        <v>16640.443621035149</v>
      </c>
      <c r="S157" s="299">
        <f>S5*(BOM_average!R10*BOM_average!R17)/1000000</f>
        <v>17336.303425150534</v>
      </c>
      <c r="T157" s="299">
        <f>T5*(BOM_average!S10*BOM_average!S17)/1000000</f>
        <v>17883.222889424385</v>
      </c>
      <c r="U157" s="299">
        <f>U5*(BOM_average!T10*BOM_average!T17)/1000000</f>
        <v>18302.651882636012</v>
      </c>
      <c r="V157" s="299">
        <f>V5*(BOM_average!U10*BOM_average!U17)/1000000</f>
        <v>18621.237181735349</v>
      </c>
      <c r="W157" s="299">
        <f>W5*(BOM_average!V10*BOM_average!V17)/1000000</f>
        <v>18867.557054104411</v>
      </c>
      <c r="X157" s="299">
        <f>X5*(BOM_average!W10*BOM_average!W17)/1000000</f>
        <v>19068.826718071523</v>
      </c>
      <c r="Y157" s="299">
        <f>Y5*(BOM_average!X10*BOM_average!X17)/1000000</f>
        <v>19248.420346962397</v>
      </c>
      <c r="Z157" s="299">
        <f>Z5*(BOM_average!Y10*BOM_average!Y17)/1000000</f>
        <v>19424.386616398762</v>
      </c>
      <c r="AA157" s="299">
        <f>AA5*(BOM_average!Z10*BOM_average!Z17)/1000000</f>
        <v>19608.915057734888</v>
      </c>
      <c r="AB157" s="299">
        <f>AB5*(BOM_average!AA10*BOM_average!AA17)/1000000</f>
        <v>19808.581134580003</v>
      </c>
    </row>
    <row r="158" spans="2:28">
      <c r="B158" s="294" t="s">
        <v>6912</v>
      </c>
      <c r="C158" s="299">
        <f>C5*(BOM_average!B11*BOM_average!B17)/1000000</f>
        <v>2119.2869079587203</v>
      </c>
      <c r="D158" s="299">
        <f>D5*(BOM_average!C11*BOM_average!C17)/1000000</f>
        <v>5298.5046150441558</v>
      </c>
      <c r="E158" s="299">
        <f>E5*(BOM_average!D11*BOM_average!D17)/1000000</f>
        <v>8053.5347142857736</v>
      </c>
      <c r="F158" s="299">
        <f>F5*(BOM_average!E11*BOM_average!E17)/1000000</f>
        <v>9053.7297111268108</v>
      </c>
      <c r="G158" s="299">
        <f>G5*(BOM_average!F11*BOM_average!F17)/1000000</f>
        <v>9629.078056362363</v>
      </c>
      <c r="H158" s="299">
        <f>H5*(BOM_average!G11*BOM_average!G17)/1000000</f>
        <v>10292.003191465679</v>
      </c>
      <c r="I158" s="299">
        <f>I5*(BOM_average!H11*BOM_average!H17)/1000000</f>
        <v>10712.052430056774</v>
      </c>
      <c r="J158" s="299">
        <f>J5*(BOM_average!I11*BOM_average!I17)/1000000</f>
        <v>10898.121724778315</v>
      </c>
      <c r="K158" s="299">
        <f>K5*(BOM_average!J11*BOM_average!J17)/1000000</f>
        <v>10913.720528542452</v>
      </c>
      <c r="L158" s="299">
        <f>L5*(BOM_average!K11*BOM_average!K17)/1000000</f>
        <v>10992.531787362834</v>
      </c>
      <c r="M158" s="299">
        <f>M5*(BOM_average!L11*BOM_average!L17)/1000000</f>
        <v>10870.821766605424</v>
      </c>
      <c r="N158" s="299">
        <f>N5*(BOM_average!M11*BOM_average!M17)/1000000</f>
        <v>10936.011514168446</v>
      </c>
      <c r="O158" s="299">
        <f>O5*(BOM_average!N11*BOM_average!N17)/1000000</f>
        <v>11570.270057544987</v>
      </c>
      <c r="P158" s="299">
        <f>P5*(BOM_average!O11*BOM_average!O17)/1000000</f>
        <v>12888.308274720668</v>
      </c>
      <c r="Q158" s="299">
        <f>Q5*(BOM_average!P11*BOM_average!P17)/1000000</f>
        <v>14043.981051125264</v>
      </c>
      <c r="R158" s="299">
        <f>R5*(BOM_average!Q11*BOM_average!Q17)/1000000</f>
        <v>14809.714781164437</v>
      </c>
      <c r="S158" s="299">
        <f>S5*(BOM_average!R11*BOM_average!R17)/1000000</f>
        <v>15429.018296222093</v>
      </c>
      <c r="T158" s="299">
        <f>T5*(BOM_average!S11*BOM_average!S17)/1000000</f>
        <v>15915.767415333565</v>
      </c>
      <c r="U158" s="299">
        <f>U5*(BOM_average!T11*BOM_average!T17)/1000000</f>
        <v>16289.052160733203</v>
      </c>
      <c r="V158" s="299">
        <f>V5*(BOM_average!U11*BOM_average!U17)/1000000</f>
        <v>16572.587715468591</v>
      </c>
      <c r="W158" s="299">
        <f>W5*(BOM_average!V11*BOM_average!V17)/1000000</f>
        <v>16791.808256566866</v>
      </c>
      <c r="X158" s="299">
        <f>X5*(BOM_average!W11*BOM_average!W17)/1000000</f>
        <v>16970.934870336092</v>
      </c>
      <c r="Y158" s="299">
        <f>Y5*(BOM_average!X11*BOM_average!X17)/1000000</f>
        <v>17130.77017767285</v>
      </c>
      <c r="Z158" s="299">
        <f>Z5*(BOM_average!Y11*BOM_average!Y17)/1000000</f>
        <v>17287.377196139823</v>
      </c>
      <c r="AA158" s="299">
        <f>AA5*(BOM_average!Z11*BOM_average!Z17)/1000000</f>
        <v>17451.60440350504</v>
      </c>
      <c r="AB158" s="299">
        <f>AB5*(BOM_average!AA11*BOM_average!AA17)/1000000</f>
        <v>17629.303851722405</v>
      </c>
    </row>
    <row r="159" spans="2:28">
      <c r="B159" s="294" t="s">
        <v>443</v>
      </c>
      <c r="C159" s="299">
        <f>C5*(BOM_average!B12*BOM_average!B17)/1000000</f>
        <v>1401.9097686808434</v>
      </c>
      <c r="D159" s="299">
        <f>D5*(BOM_average!C12*BOM_average!C17)/1000000</f>
        <v>3504.9645007176237</v>
      </c>
      <c r="E159" s="299">
        <f>E5*(BOM_average!D12*BOM_average!D17)/1000000</f>
        <v>5327.4188341220215</v>
      </c>
      <c r="F159" s="299">
        <f>F5*(BOM_average!E12*BOM_average!E17)/1000000</f>
        <v>5989.0485225759203</v>
      </c>
      <c r="G159" s="299">
        <f>G5*(BOM_average!F12*BOM_average!F17)/1000000</f>
        <v>6369.6418544891421</v>
      </c>
      <c r="H159" s="299">
        <f>H5*(BOM_average!G12*BOM_average!G17)/1000000</f>
        <v>6808.1672940203862</v>
      </c>
      <c r="I159" s="299">
        <f>I5*(BOM_average!H12*BOM_average!H17)/1000000</f>
        <v>7086.0301585038933</v>
      </c>
      <c r="J159" s="299">
        <f>J5*(BOM_average!I12*BOM_average!I17)/1000000</f>
        <v>7209.1151268213425</v>
      </c>
      <c r="K159" s="299">
        <f>K5*(BOM_average!J12*BOM_average!J17)/1000000</f>
        <v>7219.4337463978409</v>
      </c>
      <c r="L159" s="299">
        <f>L5*(BOM_average!K12*BOM_average!K17)/1000000</f>
        <v>7271.5674491104883</v>
      </c>
      <c r="M159" s="299">
        <f>M5*(BOM_average!L12*BOM_average!L17)/1000000</f>
        <v>7191.0561854371308</v>
      </c>
      <c r="N159" s="299">
        <f>N5*(BOM_average!M12*BOM_average!M17)/1000000</f>
        <v>7234.1792489464797</v>
      </c>
      <c r="O159" s="299">
        <f>O5*(BOM_average!N12*BOM_average!N17)/1000000</f>
        <v>7653.7417180438324</v>
      </c>
      <c r="P159" s="299">
        <f>P5*(BOM_average!O12*BOM_average!O17)/1000000</f>
        <v>8525.6249185742545</v>
      </c>
      <c r="Q159" s="299">
        <f>Q5*(BOM_average!P12*BOM_average!P17)/1000000</f>
        <v>9290.10326671855</v>
      </c>
      <c r="R159" s="299">
        <f>R5*(BOM_average!Q12*BOM_average!Q17)/1000000</f>
        <v>9796.6366635507493</v>
      </c>
      <c r="S159" s="299">
        <f>S5*(BOM_average!R12*BOM_average!R17)/1000000</f>
        <v>10206.306370977934</v>
      </c>
      <c r="T159" s="299">
        <f>T5*(BOM_average!S12*BOM_average!S17)/1000000</f>
        <v>10528.291252976014</v>
      </c>
      <c r="U159" s="299">
        <f>U5*(BOM_average!T12*BOM_average!T17)/1000000</f>
        <v>10775.219372576086</v>
      </c>
      <c r="V159" s="299">
        <f>V5*(BOM_average!U12*BOM_average!U17)/1000000</f>
        <v>10962.778339915123</v>
      </c>
      <c r="W159" s="299">
        <f>W5*(BOM_average!V12*BOM_average!V17)/1000000</f>
        <v>11107.792880847284</v>
      </c>
      <c r="X159" s="299">
        <f>X5*(BOM_average!W12*BOM_average!W17)/1000000</f>
        <v>11226.285260869427</v>
      </c>
      <c r="Y159" s="299">
        <f>Y5*(BOM_average!X12*BOM_average!X17)/1000000</f>
        <v>11332.016428222947</v>
      </c>
      <c r="Z159" s="299">
        <f>Z5*(BOM_average!Y12*BOM_average!Y17)/1000000</f>
        <v>11435.612080236058</v>
      </c>
      <c r="AA159" s="299">
        <f>AA5*(BOM_average!Z12*BOM_average!Z17)/1000000</f>
        <v>11544.24849252354</v>
      </c>
      <c r="AB159" s="299">
        <f>AB5*(BOM_average!AA12*BOM_average!AA17)/1000000</f>
        <v>11661.796801537101</v>
      </c>
    </row>
    <row r="160" spans="2:28">
      <c r="B160" s="294" t="s">
        <v>445</v>
      </c>
      <c r="C160" s="299">
        <f>C5*(BOM_average!B13*BOM_average!B17)/1000000</f>
        <v>0</v>
      </c>
      <c r="D160" s="299">
        <f>D5*(BOM_average!C13*BOM_average!C17)/1000000</f>
        <v>0</v>
      </c>
      <c r="E160" s="299">
        <f>E5*(BOM_average!D13*BOM_average!D17)/1000000</f>
        <v>0</v>
      </c>
      <c r="F160" s="299">
        <f>F5*(BOM_average!E13*BOM_average!E17)/1000000</f>
        <v>0</v>
      </c>
      <c r="G160" s="299">
        <f>G5*(BOM_average!F13*BOM_average!F17)/1000000</f>
        <v>0</v>
      </c>
      <c r="H160" s="299">
        <f>H5*(BOM_average!G13*BOM_average!G17)/1000000</f>
        <v>0</v>
      </c>
      <c r="I160" s="299">
        <f>I5*(BOM_average!H13*BOM_average!H17)/1000000</f>
        <v>0</v>
      </c>
      <c r="J160" s="299">
        <f>J5*(BOM_average!I13*BOM_average!I17)/1000000</f>
        <v>0</v>
      </c>
      <c r="K160" s="299">
        <f>K5*(BOM_average!J13*BOM_average!J17)/1000000</f>
        <v>0</v>
      </c>
      <c r="L160" s="299">
        <f>L5*(BOM_average!K13*BOM_average!K17)/1000000</f>
        <v>0</v>
      </c>
      <c r="M160" s="299">
        <f>M5*(BOM_average!L13*BOM_average!L17)/1000000</f>
        <v>0</v>
      </c>
      <c r="N160" s="299">
        <f>N5*(BOM_average!M13*BOM_average!M17)/1000000</f>
        <v>0</v>
      </c>
      <c r="O160" s="299">
        <f>O5*(BOM_average!N13*BOM_average!N17)/1000000</f>
        <v>0</v>
      </c>
      <c r="P160" s="299">
        <f>P5*(BOM_average!O13*BOM_average!O17)/1000000</f>
        <v>0</v>
      </c>
      <c r="Q160" s="299">
        <f>Q5*(BOM_average!P13*BOM_average!P17)/1000000</f>
        <v>0</v>
      </c>
      <c r="R160" s="299">
        <f>R5*(BOM_average!Q13*BOM_average!Q17)/1000000</f>
        <v>0</v>
      </c>
      <c r="S160" s="299">
        <f>S5*(BOM_average!R13*BOM_average!R17)/1000000</f>
        <v>0</v>
      </c>
      <c r="T160" s="299">
        <f>T5*(BOM_average!S13*BOM_average!S17)/1000000</f>
        <v>0</v>
      </c>
      <c r="U160" s="299">
        <f>U5*(BOM_average!T13*BOM_average!T17)/1000000</f>
        <v>0</v>
      </c>
      <c r="V160" s="299">
        <f>V5*(BOM_average!U13*BOM_average!U17)/1000000</f>
        <v>0</v>
      </c>
      <c r="W160" s="299">
        <f>W5*(BOM_average!V13*BOM_average!V17)/1000000</f>
        <v>0</v>
      </c>
      <c r="X160" s="299">
        <f>X5*(BOM_average!W13*BOM_average!W17)/1000000</f>
        <v>0</v>
      </c>
      <c r="Y160" s="299">
        <f>Y5*(BOM_average!X13*BOM_average!X17)/1000000</f>
        <v>0</v>
      </c>
      <c r="Z160" s="299">
        <f>Z5*(BOM_average!Y13*BOM_average!Y17)/1000000</f>
        <v>0</v>
      </c>
      <c r="AA160" s="299">
        <f>AA5*(BOM_average!Z13*BOM_average!Z17)/1000000</f>
        <v>0</v>
      </c>
      <c r="AB160" s="299">
        <f>AB5*(BOM_average!AA13*BOM_average!AA17)/1000000</f>
        <v>0</v>
      </c>
    </row>
    <row r="161" spans="2:28">
      <c r="B161" s="294" t="s">
        <v>6915</v>
      </c>
      <c r="C161" s="299">
        <f>C5*(BOM_average!B14*BOM_average!B17)/1000000</f>
        <v>992.18515592390816</v>
      </c>
      <c r="D161" s="299">
        <f>D5*(BOM_average!C14*BOM_average!C17)/1000000</f>
        <v>2480.5974159981597</v>
      </c>
      <c r="E161" s="299">
        <f>E5*(BOM_average!D14*BOM_average!D17)/1000000</f>
        <v>3770.4180430806859</v>
      </c>
      <c r="F161" s="299">
        <f>F5*(BOM_average!E14*BOM_average!E17)/1000000</f>
        <v>4238.6786760173027</v>
      </c>
      <c r="G161" s="299">
        <f>G5*(BOM_average!F14*BOM_average!F17)/1000000</f>
        <v>4508.0391318783459</v>
      </c>
      <c r="H161" s="299">
        <f>H5*(BOM_average!G14*BOM_average!G17)/1000000</f>
        <v>4818.4003557731776</v>
      </c>
      <c r="I161" s="299">
        <f>I5*(BOM_average!H14*BOM_average!H17)/1000000</f>
        <v>5015.0545311574106</v>
      </c>
      <c r="J161" s="299">
        <f>J5*(BOM_average!I14*BOM_average!I17)/1000000</f>
        <v>5102.1664703208362</v>
      </c>
      <c r="K161" s="299">
        <f>K5*(BOM_average!J14*BOM_average!J17)/1000000</f>
        <v>5109.4693520056253</v>
      </c>
      <c r="L161" s="299">
        <f>L5*(BOM_average!K14*BOM_average!K17)/1000000</f>
        <v>5146.3663671419936</v>
      </c>
      <c r="M161" s="299">
        <f>M5*(BOM_average!L14*BOM_average!L17)/1000000</f>
        <v>5089.3854668829508</v>
      </c>
      <c r="N161" s="299">
        <f>N5*(BOM_average!M14*BOM_average!M17)/1000000</f>
        <v>5119.9053080651702</v>
      </c>
      <c r="O161" s="299">
        <f>O5*(BOM_average!N14*BOM_average!N17)/1000000</f>
        <v>5416.8457125912664</v>
      </c>
      <c r="P161" s="299">
        <f>P5*(BOM_average!O14*BOM_average!O17)/1000000</f>
        <v>6033.9107966584952</v>
      </c>
      <c r="Q161" s="299">
        <f>Q5*(BOM_average!P14*BOM_average!P17)/1000000</f>
        <v>6574.9613592547812</v>
      </c>
      <c r="R161" s="299">
        <f>R5*(BOM_average!Q14*BOM_average!Q17)/1000000</f>
        <v>6933.4544153303732</v>
      </c>
      <c r="S161" s="299">
        <f>S5*(BOM_average!R14*BOM_average!R17)/1000000</f>
        <v>7223.3933340978901</v>
      </c>
      <c r="T161" s="299">
        <f>T5*(BOM_average!S14*BOM_average!S17)/1000000</f>
        <v>7451.2743486164045</v>
      </c>
      <c r="U161" s="299">
        <f>U5*(BOM_average!T14*BOM_average!T17)/1000000</f>
        <v>7626.0348220225715</v>
      </c>
      <c r="V161" s="299">
        <f>V5*(BOM_average!U14*BOM_average!U17)/1000000</f>
        <v>7758.777475944813</v>
      </c>
      <c r="W161" s="299">
        <f>W5*(BOM_average!V14*BOM_average!V17)/1000000</f>
        <v>7861.4098122908226</v>
      </c>
      <c r="X161" s="299">
        <f>X5*(BOM_average!W14*BOM_average!W17)/1000000</f>
        <v>7945.2714010852942</v>
      </c>
      <c r="Y161" s="299">
        <f>Y5*(BOM_average!X14*BOM_average!X17)/1000000</f>
        <v>8020.1013916526481</v>
      </c>
      <c r="Z161" s="299">
        <f>Z5*(BOM_average!Y14*BOM_average!Y17)/1000000</f>
        <v>8093.4199963460051</v>
      </c>
      <c r="AA161" s="299">
        <f>AA5*(BOM_average!Z14*BOM_average!Z17)/1000000</f>
        <v>8170.306139857149</v>
      </c>
      <c r="AB161" s="299">
        <f>AB5*(BOM_average!AA14*BOM_average!AA17)/1000000</f>
        <v>8253.4995734951463</v>
      </c>
    </row>
    <row r="162" spans="2:28" ht="17" thickBot="1">
      <c r="B162" s="297" t="s">
        <v>447</v>
      </c>
      <c r="C162" s="300">
        <f>C5*(BOM_average!B15*BOM_average!B17)/1000000</f>
        <v>422.9293930185446</v>
      </c>
      <c r="D162" s="300">
        <f>D5*(BOM_average!C15*BOM_average!C17)/1000000</f>
        <v>1057.3808257537871</v>
      </c>
      <c r="E162" s="300">
        <f>E5*(BOM_average!D15*BOM_average!D17)/1000000</f>
        <v>1607.1804792336327</v>
      </c>
      <c r="F162" s="300">
        <f>F5*(BOM_average!E15*BOM_average!E17)/1000000</f>
        <v>1806.7815154716222</v>
      </c>
      <c r="G162" s="300">
        <f>G5*(BOM_average!F15*BOM_average!F17)/1000000</f>
        <v>1921.5992522824779</v>
      </c>
      <c r="H162" s="300">
        <f>H5*(BOM_average!G15*BOM_average!G17)/1000000</f>
        <v>2053.893999139586</v>
      </c>
      <c r="I162" s="300">
        <f>I5*(BOM_average!H15*BOM_average!H17)/1000000</f>
        <v>2137.7199166442365</v>
      </c>
      <c r="J162" s="300">
        <f>J5*(BOM_average!I15*BOM_average!I17)/1000000</f>
        <v>2174.8522999852762</v>
      </c>
      <c r="K162" s="300">
        <f>K5*(BOM_average!J15*BOM_average!J17)/1000000</f>
        <v>2177.9652303690796</v>
      </c>
      <c r="L162" s="300">
        <f>L5*(BOM_average!K15*BOM_average!K17)/1000000</f>
        <v>2193.6929724368283</v>
      </c>
      <c r="M162" s="300">
        <f>M5*(BOM_average!L15*BOM_average!L17)/1000000</f>
        <v>2169.4042623948335</v>
      </c>
      <c r="N162" s="300">
        <f>N5*(BOM_average!M15*BOM_average!M17)/1000000</f>
        <v>2182.413666767749</v>
      </c>
      <c r="O162" s="300">
        <f>O5*(BOM_average!N15*BOM_average!N17)/1000000</f>
        <v>2308.9876477420567</v>
      </c>
      <c r="P162" s="300">
        <f>P5*(BOM_average!O15*BOM_average!O17)/1000000</f>
        <v>2572.0181515742511</v>
      </c>
      <c r="Q162" s="300">
        <f>Q5*(BOM_average!P15*BOM_average!P17)/1000000</f>
        <v>2802.6466634653707</v>
      </c>
      <c r="R162" s="300">
        <f>R5*(BOM_average!Q15*BOM_average!Q17)/1000000</f>
        <v>2955.4581117138878</v>
      </c>
      <c r="S162" s="300">
        <f>S5*(BOM_average!R15*BOM_average!R17)/1000000</f>
        <v>3079.0476354985017</v>
      </c>
      <c r="T162" s="300">
        <f>T5*(BOM_average!S15*BOM_average!S17)/1000000</f>
        <v>3176.1843227139243</v>
      </c>
      <c r="U162" s="300">
        <f>U5*(BOM_average!T15*BOM_average!T17)/1000000</f>
        <v>3250.677818711129</v>
      </c>
      <c r="V162" s="300">
        <f>V5*(BOM_average!U15*BOM_average!U17)/1000000</f>
        <v>3307.2607757487463</v>
      </c>
      <c r="W162" s="300">
        <f>W5*(BOM_average!V15*BOM_average!V17)/1000000</f>
        <v>3351.0088921721112</v>
      </c>
      <c r="X162" s="300">
        <f>X5*(BOM_average!W15*BOM_average!W17)/1000000</f>
        <v>3386.7557793681704</v>
      </c>
      <c r="Y162" s="300">
        <f>Y5*(BOM_average!X15*BOM_average!X17)/1000000</f>
        <v>3418.6528525115032</v>
      </c>
      <c r="Z162" s="300">
        <f>Z5*(BOM_average!Y15*BOM_average!Y17)/1000000</f>
        <v>3449.9056814767323</v>
      </c>
      <c r="AA162" s="300">
        <f>AA5*(BOM_average!Z15*BOM_average!Z17)/1000000</f>
        <v>3482.6792115104731</v>
      </c>
      <c r="AB162" s="300">
        <f>AB5*(BOM_average!AA15*BOM_average!AA17)/1000000</f>
        <v>3518.1412905201955</v>
      </c>
    </row>
    <row r="163" spans="2:28">
      <c r="B163" s="296" t="s">
        <v>7756</v>
      </c>
      <c r="C163" s="301">
        <f>C5*(BOM_average!B17)/1000000</f>
        <v>17040.143282731038</v>
      </c>
      <c r="D163" s="301">
        <f>D5*(BOM_average!C17)/1000000</f>
        <v>42602.668607776199</v>
      </c>
      <c r="E163" s="301">
        <f>E5*(BOM_average!D17)/1000000</f>
        <v>64754.510089462121</v>
      </c>
      <c r="F163" s="301">
        <f>F5*(BOM_average!E17)/1000000</f>
        <v>72796.585937162279</v>
      </c>
      <c r="G163" s="301">
        <f>G5*(BOM_average!F17)/1000000</f>
        <v>77422.67889488228</v>
      </c>
      <c r="H163" s="301">
        <f>H5*(BOM_average!G17)/1000000</f>
        <v>82752.933729875294</v>
      </c>
      <c r="I163" s="301">
        <f>I5*(BOM_average!H17)/1000000</f>
        <v>86130.342982258473</v>
      </c>
      <c r="J163" s="301">
        <f>J5*(BOM_average!I17)/1000000</f>
        <v>87626.434630191929</v>
      </c>
      <c r="K163" s="301">
        <f>K5*(BOM_average!J17)/1000000</f>
        <v>87751.856936243028</v>
      </c>
      <c r="L163" s="301">
        <f>L5*(BOM_average!K17)/1000000</f>
        <v>88385.539491232819</v>
      </c>
      <c r="M163" s="301">
        <f>M5*(BOM_average!L17)/1000000</f>
        <v>87406.929098811728</v>
      </c>
      <c r="N163" s="301">
        <f>N5*(BOM_average!M17)/1000000</f>
        <v>87931.087783918148</v>
      </c>
      <c r="O163" s="301">
        <f>O5*(BOM_average!N17)/1000000</f>
        <v>93030.848659543321</v>
      </c>
      <c r="P163" s="301">
        <f>P5*(BOM_average!O17)/1000000</f>
        <v>103628.54545484032</v>
      </c>
      <c r="Q163" s="301">
        <f>Q5*(BOM_average!P17)/1000000</f>
        <v>112920.74162890806</v>
      </c>
      <c r="R163" s="301">
        <f>R5*(BOM_average!Q17)/1000000</f>
        <v>119077.62979128318</v>
      </c>
      <c r="S163" s="301">
        <f>S5*(BOM_average!R17)/1000000</f>
        <v>124057.1446424583</v>
      </c>
      <c r="T163" s="301">
        <f>T5*(BOM_average!S17)/1000000</f>
        <v>127970.8548160334</v>
      </c>
      <c r="U163" s="301">
        <f>U5*(BOM_average!T17)/1000000</f>
        <v>130972.25378800853</v>
      </c>
      <c r="V163" s="301">
        <f>V5*(BOM_average!U17)/1000000</f>
        <v>133252.02367678363</v>
      </c>
      <c r="W163" s="301">
        <f>W5*(BOM_average!V17)/1000000</f>
        <v>135014.66818555875</v>
      </c>
      <c r="X163" s="301">
        <f>X5*(BOM_average!W17)/1000000</f>
        <v>136454.93715193387</v>
      </c>
      <c r="Y163" s="301">
        <f>Y5*(BOM_average!X17)/1000000</f>
        <v>137740.09421510898</v>
      </c>
      <c r="Z163" s="301">
        <f>Z5*(BOM_average!Y17)/1000000</f>
        <v>138999.29419588408</v>
      </c>
      <c r="AA163" s="301">
        <f>AA5*(BOM_average!Z17)/1000000</f>
        <v>140319.76436625922</v>
      </c>
      <c r="AB163" s="301">
        <f>AB5*(BOM_average!AA17)/1000000</f>
        <v>141748.55819663435</v>
      </c>
    </row>
    <row r="164" spans="2:28">
      <c r="B164" s="295" t="s">
        <v>7757</v>
      </c>
      <c r="C164" s="299">
        <f>C5*(BOM_average!B18)/1000000</f>
        <v>23619.084206513795</v>
      </c>
      <c r="D164" s="299">
        <f>D5*(BOM_average!C18)/1000000</f>
        <v>59050.912928004305</v>
      </c>
      <c r="E164" s="299">
        <f>E5*(BOM_average!D18)/1000000</f>
        <v>89755.244494013896</v>
      </c>
      <c r="F164" s="299">
        <f>F5*(BOM_average!E18)/1000000</f>
        <v>100902.24387602601</v>
      </c>
      <c r="G164" s="299">
        <f>G5*(BOM_average!F18)/1000000</f>
        <v>107314.40117439102</v>
      </c>
      <c r="H164" s="299">
        <f>H5*(BOM_average!G18)/1000000</f>
        <v>114702.58657289429</v>
      </c>
      <c r="I164" s="299">
        <f>I5*(BOM_average!H18)/1000000</f>
        <v>119383.96232240103</v>
      </c>
      <c r="J164" s="299">
        <f>J5*(BOM_average!I18)/1000000</f>
        <v>121457.67226878471</v>
      </c>
      <c r="K164" s="299">
        <f>K5*(BOM_average!J18)/1000000</f>
        <v>121631.51822529132</v>
      </c>
      <c r="L164" s="299">
        <f>L5*(BOM_average!K18)/1000000</f>
        <v>122509.85600556519</v>
      </c>
      <c r="M164" s="299">
        <f>M5*(BOM_average!L18)/1000000</f>
        <v>121153.41898033267</v>
      </c>
      <c r="N164" s="299">
        <f>N5*(BOM_average!M18)/1000000</f>
        <v>121879.94738538726</v>
      </c>
      <c r="O164" s="299">
        <f>O5*(BOM_average!N18)/1000000</f>
        <v>128948.64860203399</v>
      </c>
      <c r="P164" s="299">
        <f>P5*(BOM_average!O18)/1000000</f>
        <v>143637.95542593201</v>
      </c>
      <c r="Q164" s="299">
        <f>Q5*(BOM_average!P18)/1000000</f>
        <v>156517.72763542813</v>
      </c>
      <c r="R164" s="299">
        <f>R5*(BOM_average!Q18)/1000000</f>
        <v>165051.69695390205</v>
      </c>
      <c r="S164" s="299">
        <f>S5*(BOM_average!R18)/1000000</f>
        <v>171953.72697947596</v>
      </c>
      <c r="T164" s="299">
        <f>T5*(BOM_average!S18)/1000000</f>
        <v>177378.46130334985</v>
      </c>
      <c r="U164" s="299">
        <f>U5*(BOM_average!T18)/1000000</f>
        <v>181538.65490502378</v>
      </c>
      <c r="V164" s="299">
        <f>V5*(BOM_average!U18)/1000000</f>
        <v>184698.60937729766</v>
      </c>
      <c r="W164" s="299">
        <f>W5*(BOM_average!V18)/1000000</f>
        <v>187141.78420207158</v>
      </c>
      <c r="X164" s="299">
        <f>X5*(BOM_average!W18)/1000000</f>
        <v>189138.11917604547</v>
      </c>
      <c r="Y164" s="299">
        <f>Y5*(BOM_average!X18)/1000000</f>
        <v>190919.45589311939</v>
      </c>
      <c r="Z164" s="299">
        <f>Z5*(BOM_average!Y18)/1000000</f>
        <v>192664.81389189328</v>
      </c>
      <c r="AA164" s="299">
        <f>AA5*(BOM_average!Z18)/1000000</f>
        <v>194495.09757136719</v>
      </c>
      <c r="AB164" s="299">
        <f>AB5*(BOM_average!AA18)/1000000</f>
        <v>196475.52703334109</v>
      </c>
    </row>
    <row r="165" spans="2:28">
      <c r="B165" s="295" t="s">
        <v>7758</v>
      </c>
      <c r="C165" s="299">
        <f>C5*(BOM_average!B19)/1000000</f>
        <v>10986.308754817243</v>
      </c>
      <c r="D165" s="299">
        <f>D5*(BOM_average!C19)/1000000</f>
        <v>27467.261474175542</v>
      </c>
      <c r="E165" s="299">
        <f>E5*(BOM_average!D19)/1000000</f>
        <v>41749.240561300045</v>
      </c>
      <c r="F165" s="299">
        <f>F5*(BOM_average!E19)/1000000</f>
        <v>46934.216228848083</v>
      </c>
      <c r="G165" s="299">
        <f>G5*(BOM_average!F19)/1000000</f>
        <v>49916.80180449308</v>
      </c>
      <c r="H165" s="299">
        <f>H5*(BOM_average!G19)/1000000</f>
        <v>53353.382377054157</v>
      </c>
      <c r="I165" s="299">
        <f>I5*(BOM_average!H19)/1000000</f>
        <v>55530.902848707796</v>
      </c>
      <c r="J165" s="299">
        <f>J5*(BOM_average!I19)/1000000</f>
        <v>56495.479524912007</v>
      </c>
      <c r="K165" s="299">
        <f>K5*(BOM_average!J19)/1000000</f>
        <v>56576.34317471565</v>
      </c>
      <c r="L165" s="299">
        <f>L5*(BOM_average!K19)/1000000</f>
        <v>56984.897967134246</v>
      </c>
      <c r="M165" s="299">
        <f>M5*(BOM_average!L19)/1000000</f>
        <v>56353.957502407822</v>
      </c>
      <c r="N165" s="299">
        <f>N5*(BOM_average!M19)/1000000</f>
        <v>56691.898859798537</v>
      </c>
      <c r="O165" s="299">
        <f>O5*(BOM_average!N19)/1000000</f>
        <v>59979.872829602835</v>
      </c>
      <c r="P165" s="299">
        <f>P5*(BOM_average!O19)/1000000</f>
        <v>66812.536566712544</v>
      </c>
      <c r="Q165" s="299">
        <f>Q5*(BOM_average!P19)/1000000</f>
        <v>72803.503572377202</v>
      </c>
      <c r="R165" s="299">
        <f>R5*(BOM_average!Q19)/1000000</f>
        <v>76773.040283332099</v>
      </c>
      <c r="S165" s="299">
        <f>S5*(BOM_average!R19)/1000000</f>
        <v>79983.487912586992</v>
      </c>
      <c r="T165" s="299">
        <f>T5*(BOM_average!S19)/1000000</f>
        <v>82506.778217741899</v>
      </c>
      <c r="U165" s="299">
        <f>U5*(BOM_average!T19)/1000000</f>
        <v>84441.873202296803</v>
      </c>
      <c r="V165" s="299">
        <f>V5*(BOM_average!U19)/1000000</f>
        <v>85911.711540651682</v>
      </c>
      <c r="W165" s="299">
        <f>W5*(BOM_average!V19)/1000000</f>
        <v>87048.143111506593</v>
      </c>
      <c r="X165" s="299">
        <f>X5*(BOM_average!W19)/1000000</f>
        <v>87976.729173961488</v>
      </c>
      <c r="Y165" s="299">
        <f>Y5*(BOM_average!X19)/1000000</f>
        <v>88805.309782716387</v>
      </c>
      <c r="Z165" s="299">
        <f>Z5*(BOM_average!Y19)/1000000</f>
        <v>89617.155055571289</v>
      </c>
      <c r="AA165" s="299">
        <f>AA5*(BOM_average!Z19)/1000000</f>
        <v>90468.503119526184</v>
      </c>
      <c r="AB165" s="299">
        <f>AB5*(BOM_average!AA19)/1000000</f>
        <v>91389.690805981096</v>
      </c>
    </row>
    <row r="167" spans="2:28">
      <c r="B167" s="291" t="s">
        <v>7796</v>
      </c>
    </row>
    <row r="168" spans="2:28">
      <c r="B168" s="294" t="s">
        <v>437</v>
      </c>
      <c r="C168" s="299">
        <f>C67*(BOM_average!B6*BOM_average!B17)/1000000</f>
        <v>0</v>
      </c>
      <c r="D168" s="299">
        <f>D67*(BOM_average!C6*BOM_average!C17)/1000000</f>
        <v>143.25958329469171</v>
      </c>
      <c r="E168" s="299">
        <f>E67*(BOM_average!D6*BOM_average!D17)/1000000</f>
        <v>490.15048091932215</v>
      </c>
      <c r="F168" s="299">
        <f>F67*(BOM_average!E6*BOM_average!E17)/1000000</f>
        <v>947.42031001421196</v>
      </c>
      <c r="G168" s="299">
        <f>G67*(BOM_average!F6*BOM_average!F17)/1000000</f>
        <v>1340.8733070795133</v>
      </c>
      <c r="H168" s="299">
        <f>H67*(BOM_average!G6*BOM_average!G17)/1000000</f>
        <v>1630.6125220107172</v>
      </c>
      <c r="I168" s="299">
        <f>I67*(BOM_average!H6*BOM_average!H17)/1000000</f>
        <v>1858.4384578675142</v>
      </c>
      <c r="J168" s="299">
        <f>J67*(BOM_average!I6*BOM_average!I17)/1000000</f>
        <v>2033.1127192148369</v>
      </c>
      <c r="K168" s="299">
        <f>K67*(BOM_average!J6*BOM_average!J17)/1000000</f>
        <v>2152.7208971253972</v>
      </c>
      <c r="L168" s="299">
        <f>L67*(BOM_average!K6*BOM_average!K17)/1000000</f>
        <v>2222.9840888994577</v>
      </c>
      <c r="M168" s="299">
        <f>M67*(BOM_average!L6*BOM_average!L17)/1000000</f>
        <v>2265.2413778624091</v>
      </c>
      <c r="N168" s="299">
        <f>N67*(BOM_average!M6*BOM_average!M17)/1000000</f>
        <v>2279.729090176269</v>
      </c>
      <c r="O168" s="299">
        <f>O67*(BOM_average!N6*BOM_average!N17)/1000000</f>
        <v>2286.5433003602047</v>
      </c>
      <c r="P168" s="299">
        <f>P67*(BOM_average!O6*BOM_average!O17)/1000000</f>
        <v>2332.8561299798089</v>
      </c>
      <c r="Q168" s="299">
        <f>Q67*(BOM_average!P6*BOM_average!P17)/1000000</f>
        <v>2461.6864561950615</v>
      </c>
      <c r="R168" s="299">
        <f>R67*(BOM_average!Q6*BOM_average!Q17)/1000000</f>
        <v>2642.9857832892289</v>
      </c>
      <c r="S168" s="299">
        <f>S67*(BOM_average!R6*BOM_average!R17)/1000000</f>
        <v>2824.6283261169251</v>
      </c>
      <c r="T168" s="299">
        <f>T67*(BOM_average!S6*BOM_average!S17)/1000000</f>
        <v>2940.5521541094067</v>
      </c>
      <c r="U168" s="299">
        <f>U67*(BOM_average!T6*BOM_average!T17)/1000000</f>
        <v>2996.6725194526912</v>
      </c>
      <c r="V168" s="299">
        <f>V67*(BOM_average!U6*BOM_average!U17)/1000000</f>
        <v>3018.6617084923218</v>
      </c>
      <c r="W168" s="299">
        <f>W67*(BOM_average!V6*BOM_average!V17)/1000000</f>
        <v>3022.1681874828059</v>
      </c>
      <c r="X168" s="299">
        <f>X67*(BOM_average!W6*BOM_average!W17)/1000000</f>
        <v>3018.3903091896527</v>
      </c>
      <c r="Y168" s="299">
        <f>Y67*(BOM_average!X6*BOM_average!X17)/1000000</f>
        <v>3014.8349783246895</v>
      </c>
      <c r="Z168" s="299">
        <f>Z67*(BOM_average!Y6*BOM_average!Y17)/1000000</f>
        <v>3015.947715465632</v>
      </c>
      <c r="AA168" s="299">
        <f>AA67*(BOM_average!Z6*BOM_average!Z17)/1000000</f>
        <v>3023.8416773368017</v>
      </c>
      <c r="AB168" s="299">
        <f>AB67*(BOM_average!AA6*BOM_average!AA17)/1000000</f>
        <v>3039.0195789542181</v>
      </c>
    </row>
    <row r="169" spans="2:28">
      <c r="B169" s="294" t="s">
        <v>217</v>
      </c>
      <c r="C169" s="299">
        <f>C67*(BOM_average!B7*BOM_average!B17)/1000000</f>
        <v>0</v>
      </c>
      <c r="D169" s="299">
        <f>D67*(BOM_average!C7*BOM_average!C17)/1000000</f>
        <v>16.595670277003723</v>
      </c>
      <c r="E169" s="299">
        <f>E67*(BOM_average!D7*BOM_average!D17)/1000000</f>
        <v>56.780674495744421</v>
      </c>
      <c r="F169" s="299">
        <f>F67*(BOM_average!E7*BOM_average!E17)/1000000</f>
        <v>109.75234408150835</v>
      </c>
      <c r="G169" s="299">
        <f>G67*(BOM_average!F7*BOM_average!F17)/1000000</f>
        <v>155.3312579567702</v>
      </c>
      <c r="H169" s="299">
        <f>H67*(BOM_average!G7*BOM_average!G17)/1000000</f>
        <v>188.89561970299303</v>
      </c>
      <c r="I169" s="299">
        <f>I67*(BOM_average!H7*BOM_average!H17)/1000000</f>
        <v>215.28773969298115</v>
      </c>
      <c r="J169" s="299">
        <f>J67*(BOM_average!I7*BOM_average!I17)/1000000</f>
        <v>235.5225915648891</v>
      </c>
      <c r="K169" s="299">
        <f>K67*(BOM_average!J7*BOM_average!J17)/1000000</f>
        <v>249.37840377225581</v>
      </c>
      <c r="L169" s="299">
        <f>L67*(BOM_average!K7*BOM_average!K17)/1000000</f>
        <v>257.51792740114655</v>
      </c>
      <c r="M169" s="299">
        <f>M67*(BOM_average!L7*BOM_average!L17)/1000000</f>
        <v>262.41315338394617</v>
      </c>
      <c r="N169" s="299">
        <f>N67*(BOM_average!M7*BOM_average!M17)/1000000</f>
        <v>264.09145853533221</v>
      </c>
      <c r="O169" s="299">
        <f>O67*(BOM_average!N7*BOM_average!N17)/1000000</f>
        <v>264.88083948151416</v>
      </c>
      <c r="P169" s="299">
        <f>P67*(BOM_average!O7*BOM_average!O17)/1000000</f>
        <v>270.24587288651139</v>
      </c>
      <c r="Q169" s="299">
        <f>Q67*(BOM_average!P7*BOM_average!P17)/1000000</f>
        <v>285.17000966240261</v>
      </c>
      <c r="R169" s="299">
        <f>R67*(BOM_average!Q7*BOM_average!Q17)/1000000</f>
        <v>306.17233135496434</v>
      </c>
      <c r="S169" s="299">
        <f>S67*(BOM_average!R7*BOM_average!R17)/1000000</f>
        <v>327.21441230841828</v>
      </c>
      <c r="T169" s="299">
        <f>T67*(BOM_average!S7*BOM_average!S17)/1000000</f>
        <v>340.64341707282483</v>
      </c>
      <c r="U169" s="299">
        <f>U67*(BOM_average!T7*BOM_average!T17)/1000000</f>
        <v>347.14458828694387</v>
      </c>
      <c r="V169" s="299">
        <f>V67*(BOM_average!U7*BOM_average!U17)/1000000</f>
        <v>349.69188964415741</v>
      </c>
      <c r="W169" s="299">
        <f>W67*(BOM_average!V7*BOM_average!V17)/1000000</f>
        <v>350.09809192271354</v>
      </c>
      <c r="X169" s="299">
        <f>X67*(BOM_average!W7*BOM_average!W17)/1000000</f>
        <v>349.66044983931562</v>
      </c>
      <c r="Y169" s="299">
        <f>Y67*(BOM_average!X7*BOM_average!X17)/1000000</f>
        <v>349.24858839588796</v>
      </c>
      <c r="Z169" s="299">
        <f>Z67*(BOM_average!Y7*BOM_average!Y17)/1000000</f>
        <v>349.37749159573934</v>
      </c>
      <c r="AA169" s="299">
        <f>AA67*(BOM_average!Z7*BOM_average!Z17)/1000000</f>
        <v>350.29195459626112</v>
      </c>
      <c r="AB169" s="299">
        <f>AB67*(BOM_average!AA7*BOM_average!AA17)/1000000</f>
        <v>352.0502135898065</v>
      </c>
    </row>
    <row r="170" spans="2:28">
      <c r="B170" s="294" t="s">
        <v>313</v>
      </c>
      <c r="C170" s="299">
        <f>C67*(BOM_average!B8*BOM_average!B17)/1000000</f>
        <v>0</v>
      </c>
      <c r="D170" s="299">
        <f>D67*(BOM_average!C8*BOM_average!C17)/1000000</f>
        <v>107.22749856139075</v>
      </c>
      <c r="E170" s="299">
        <f>E67*(BOM_average!D8*BOM_average!D17)/1000000</f>
        <v>366.86976730574537</v>
      </c>
      <c r="F170" s="299">
        <f>F67*(BOM_average!E8*BOM_average!E17)/1000000</f>
        <v>709.12889450548573</v>
      </c>
      <c r="G170" s="299">
        <f>G67*(BOM_average!F8*BOM_average!F17)/1000000</f>
        <v>1003.6221472885107</v>
      </c>
      <c r="H170" s="299">
        <f>H67*(BOM_average!G8*BOM_average!G17)/1000000</f>
        <v>1220.4872989084606</v>
      </c>
      <c r="I170" s="299">
        <f>I67*(BOM_average!H8*BOM_average!H17)/1000000</f>
        <v>1391.0113549437219</v>
      </c>
      <c r="J170" s="299">
        <f>J67*(BOM_average!I8*BOM_average!I17)/1000000</f>
        <v>1521.7522357740381</v>
      </c>
      <c r="K170" s="299">
        <f>K67*(BOM_average!J8*BOM_average!J17)/1000000</f>
        <v>1611.2770370465153</v>
      </c>
      <c r="L170" s="299">
        <f>L67*(BOM_average!K8*BOM_average!K17)/1000000</f>
        <v>1663.8679082580675</v>
      </c>
      <c r="M170" s="299">
        <f>M67*(BOM_average!L8*BOM_average!L17)/1000000</f>
        <v>1695.4968107529351</v>
      </c>
      <c r="N170" s="299">
        <f>N67*(BOM_average!M8*BOM_average!M17)/1000000</f>
        <v>1706.3406308699928</v>
      </c>
      <c r="O170" s="299">
        <f>O67*(BOM_average!N8*BOM_average!N17)/1000000</f>
        <v>1711.4409578142081</v>
      </c>
      <c r="P170" s="299">
        <f>P67*(BOM_average!O8*BOM_average!O17)/1000000</f>
        <v>1746.1053673929705</v>
      </c>
      <c r="Q170" s="299">
        <f>Q67*(BOM_average!P8*BOM_average!P17)/1000000</f>
        <v>1842.5327986419722</v>
      </c>
      <c r="R170" s="299">
        <f>R67*(BOM_average!Q8*BOM_average!Q17)/1000000</f>
        <v>1978.2324348413974</v>
      </c>
      <c r="S170" s="299">
        <f>S67*(BOM_average!R8*BOM_average!R17)/1000000</f>
        <v>2114.188962508234</v>
      </c>
      <c r="T170" s="299">
        <f>T67*(BOM_average!S8*BOM_average!S17)/1000000</f>
        <v>2200.9560870064611</v>
      </c>
      <c r="U170" s="299">
        <f>U67*(BOM_average!T8*BOM_average!T17)/1000000</f>
        <v>2242.9612796484998</v>
      </c>
      <c r="V170" s="299">
        <f>V67*(BOM_average!U8*BOM_average!U17)/1000000</f>
        <v>2259.4198346846615</v>
      </c>
      <c r="W170" s="299">
        <f>W67*(BOM_average!V8*BOM_average!V17)/1000000</f>
        <v>2262.0443779247057</v>
      </c>
      <c r="X170" s="299">
        <f>X67*(BOM_average!W8*BOM_average!W17)/1000000</f>
        <v>2259.2166966629861</v>
      </c>
      <c r="Y170" s="299">
        <f>Y67*(BOM_average!X8*BOM_average!X17)/1000000</f>
        <v>2256.5555885790404</v>
      </c>
      <c r="Z170" s="299">
        <f>Z67*(BOM_average!Y8*BOM_average!Y17)/1000000</f>
        <v>2257.388454467909</v>
      </c>
      <c r="AA170" s="299">
        <f>AA67*(BOM_average!Z8*BOM_average!Z17)/1000000</f>
        <v>2263.2969582183582</v>
      </c>
      <c r="AB170" s="299">
        <f>AB67*(BOM_average!AA8*BOM_average!AA17)/1000000</f>
        <v>2274.6573739505375</v>
      </c>
    </row>
    <row r="171" spans="2:28">
      <c r="B171" s="294" t="s">
        <v>6911</v>
      </c>
      <c r="C171" s="299">
        <f>C67*(BOM_average!B9*BOM_average!B17)/1000000</f>
        <v>0</v>
      </c>
      <c r="D171" s="299">
        <f>D67*(BOM_average!C9*BOM_average!C17)/1000000</f>
        <v>262.7367566709259</v>
      </c>
      <c r="E171" s="299">
        <f>E67*(BOM_average!D9*BOM_average!D17)/1000000</f>
        <v>898.93146884651765</v>
      </c>
      <c r="F171" s="299">
        <f>F67*(BOM_average!E9*BOM_average!E17)/1000000</f>
        <v>1737.5601250022671</v>
      </c>
      <c r="G171" s="299">
        <f>G67*(BOM_average!F9*BOM_average!F17)/1000000</f>
        <v>2459.1492988221175</v>
      </c>
      <c r="H171" s="299">
        <f>H67*(BOM_average!G9*BOM_average!G17)/1000000</f>
        <v>2990.5283511736229</v>
      </c>
      <c r="I171" s="299">
        <f>I67*(BOM_average!H9*BOM_average!H17)/1000000</f>
        <v>3408.3590197816839</v>
      </c>
      <c r="J171" s="299">
        <f>J67*(BOM_average!I9*BOM_average!I17)/1000000</f>
        <v>3728.7100067441438</v>
      </c>
      <c r="K171" s="299">
        <f>K67*(BOM_average!J9*BOM_average!J17)/1000000</f>
        <v>3948.0703037156636</v>
      </c>
      <c r="L171" s="299">
        <f>L67*(BOM_average!K9*BOM_average!K17)/1000000</f>
        <v>4076.932350466765</v>
      </c>
      <c r="M171" s="299">
        <f>M67*(BOM_average!L9*BOM_average!L17)/1000000</f>
        <v>4154.4318293322985</v>
      </c>
      <c r="N171" s="299">
        <f>N67*(BOM_average!M9*BOM_average!M17)/1000000</f>
        <v>4181.0021603173809</v>
      </c>
      <c r="O171" s="299">
        <f>O67*(BOM_average!N9*BOM_average!N17)/1000000</f>
        <v>4193.4993590515023</v>
      </c>
      <c r="P171" s="299">
        <f>P67*(BOM_average!O9*BOM_average!O17)/1000000</f>
        <v>4278.4366621391264</v>
      </c>
      <c r="Q171" s="299">
        <f>Q67*(BOM_average!P9*BOM_average!P17)/1000000</f>
        <v>4514.7102941866597</v>
      </c>
      <c r="R171" s="299">
        <f>R67*(BOM_average!Q9*BOM_average!Q17)/1000000</f>
        <v>4847.2115907272027</v>
      </c>
      <c r="S171" s="299">
        <f>S67*(BOM_average!R9*BOM_average!R17)/1000000</f>
        <v>5180.3423417628101</v>
      </c>
      <c r="T171" s="299">
        <f>T67*(BOM_average!S9*BOM_average!S17)/1000000</f>
        <v>5392.9455749089684</v>
      </c>
      <c r="U171" s="299">
        <f>U67*(BOM_average!T9*BOM_average!T17)/1000000</f>
        <v>5495.8698082089559</v>
      </c>
      <c r="V171" s="299">
        <f>V67*(BOM_average!U9*BOM_average!U17)/1000000</f>
        <v>5536.1977784377414</v>
      </c>
      <c r="W171" s="299">
        <f>W67*(BOM_average!V9*BOM_average!V17)/1000000</f>
        <v>5542.6286286196746</v>
      </c>
      <c r="X171" s="299">
        <f>X67*(BOM_average!W9*BOM_average!W17)/1000000</f>
        <v>5535.7000346156101</v>
      </c>
      <c r="Y171" s="299">
        <f>Y67*(BOM_average!X9*BOM_average!X17)/1000000</f>
        <v>5529.1795905456938</v>
      </c>
      <c r="Z171" s="299">
        <f>Z67*(BOM_average!Y9*BOM_average!Y17)/1000000</f>
        <v>5531.2203402164305</v>
      </c>
      <c r="AA171" s="299">
        <f>AA67*(BOM_average!Z9*BOM_average!Z17)/1000000</f>
        <v>5545.697793602908</v>
      </c>
      <c r="AB171" s="299">
        <f>AB67*(BOM_average!AA9*BOM_average!AA17)/1000000</f>
        <v>5573.5339254156561</v>
      </c>
    </row>
    <row r="172" spans="2:28">
      <c r="B172" s="294" t="s">
        <v>441</v>
      </c>
      <c r="C172" s="299">
        <f>C67*(BOM_average!B10*BOM_average!B17)/1000000</f>
        <v>0</v>
      </c>
      <c r="D172" s="299">
        <f>D67*(BOM_average!C10*BOM_average!C17)/1000000</f>
        <v>129.76423657577683</v>
      </c>
      <c r="E172" s="299">
        <f>E67*(BOM_average!D10*BOM_average!D17)/1000000</f>
        <v>443.97729981462589</v>
      </c>
      <c r="F172" s="299">
        <f>F67*(BOM_average!E10*BOM_average!E17)/1000000</f>
        <v>858.17137267867145</v>
      </c>
      <c r="G172" s="299">
        <f>G67*(BOM_average!F10*BOM_average!F17)/1000000</f>
        <v>1214.5602900441879</v>
      </c>
      <c r="H172" s="299">
        <f>H67*(BOM_average!G10*BOM_average!G17)/1000000</f>
        <v>1477.0054763761361</v>
      </c>
      <c r="I172" s="299">
        <f>I67*(BOM_average!H10*BOM_average!H17)/1000000</f>
        <v>1683.3697415702159</v>
      </c>
      <c r="J172" s="299">
        <f>J67*(BOM_average!I10*BOM_average!I17)/1000000</f>
        <v>1841.5893290622937</v>
      </c>
      <c r="K172" s="299">
        <f>K67*(BOM_average!J10*BOM_average!J17)/1000000</f>
        <v>1949.9301711744504</v>
      </c>
      <c r="L172" s="299">
        <f>L67*(BOM_average!K10*BOM_average!K17)/1000000</f>
        <v>2013.5744261014165</v>
      </c>
      <c r="M172" s="299">
        <f>M67*(BOM_average!L10*BOM_average!L17)/1000000</f>
        <v>2051.8509917309543</v>
      </c>
      <c r="N172" s="299">
        <f>N67*(BOM_average!M10*BOM_average!M17)/1000000</f>
        <v>2064.9739318156694</v>
      </c>
      <c r="O172" s="299">
        <f>O67*(BOM_average!N10*BOM_average!N17)/1000000</f>
        <v>2071.1462294173339</v>
      </c>
      <c r="P172" s="299">
        <f>P67*(BOM_average!O10*BOM_average!O17)/1000000</f>
        <v>2113.0962954515876</v>
      </c>
      <c r="Q172" s="299">
        <f>Q67*(BOM_average!P10*BOM_average!P17)/1000000</f>
        <v>2229.7905405740357</v>
      </c>
      <c r="R172" s="299">
        <f>R67*(BOM_average!Q10*BOM_average!Q17)/1000000</f>
        <v>2394.0110990247904</v>
      </c>
      <c r="S172" s="299">
        <f>S67*(BOM_average!R10*BOM_average!R17)/1000000</f>
        <v>2558.542541582688</v>
      </c>
      <c r="T172" s="299">
        <f>T67*(BOM_average!S10*BOM_average!S17)/1000000</f>
        <v>2663.5461070994347</v>
      </c>
      <c r="U172" s="299">
        <f>U67*(BOM_average!T10*BOM_average!T17)/1000000</f>
        <v>2714.3798188668679</v>
      </c>
      <c r="V172" s="299">
        <f>V67*(BOM_average!U10*BOM_average!U17)/1000000</f>
        <v>2734.2975811765527</v>
      </c>
      <c r="W172" s="299">
        <f>W67*(BOM_average!V10*BOM_average!V17)/1000000</f>
        <v>2737.4737426507427</v>
      </c>
      <c r="X172" s="299">
        <f>X67*(BOM_average!W10*BOM_average!W17)/1000000</f>
        <v>2734.0517482451141</v>
      </c>
      <c r="Y172" s="299">
        <f>Y67*(BOM_average!X10*BOM_average!X17)/1000000</f>
        <v>2730.831336843265</v>
      </c>
      <c r="Z172" s="299">
        <f>Z67*(BOM_average!Y10*BOM_average!Y17)/1000000</f>
        <v>2731.8392518621645</v>
      </c>
      <c r="AA172" s="299">
        <f>AA67*(BOM_average!Z10*BOM_average!Z17)/1000000</f>
        <v>2738.9895863264455</v>
      </c>
      <c r="AB172" s="299">
        <f>AB67*(BOM_average!AA10*BOM_average!AA17)/1000000</f>
        <v>2752.7376984660355</v>
      </c>
    </row>
    <row r="173" spans="2:28">
      <c r="B173" s="294" t="s">
        <v>6912</v>
      </c>
      <c r="C173" s="299">
        <f>C67*(BOM_average!B11*BOM_average!B17)/1000000</f>
        <v>0</v>
      </c>
      <c r="D173" s="299">
        <f>D67*(BOM_average!C11*BOM_average!C17)/1000000</f>
        <v>115.48798675376024</v>
      </c>
      <c r="E173" s="299">
        <f>E67*(BOM_average!D11*BOM_average!D17)/1000000</f>
        <v>395.13232515354781</v>
      </c>
      <c r="F173" s="299">
        <f>F67*(BOM_average!E11*BOM_average!E17)/1000000</f>
        <v>763.75807954216623</v>
      </c>
      <c r="G173" s="299">
        <f>G67*(BOM_average!F11*BOM_average!F17)/1000000</f>
        <v>1080.9382183384271</v>
      </c>
      <c r="H173" s="299">
        <f>H67*(BOM_average!G11*BOM_average!G17)/1000000</f>
        <v>1314.5100174912145</v>
      </c>
      <c r="I173" s="299">
        <f>I67*(BOM_average!H11*BOM_average!H17)/1000000</f>
        <v>1498.1707406155413</v>
      </c>
      <c r="J173" s="299">
        <f>J67*(BOM_average!I11*BOM_average!I17)/1000000</f>
        <v>1638.9835108105103</v>
      </c>
      <c r="K173" s="299">
        <f>K67*(BOM_average!J11*BOM_average!J17)/1000000</f>
        <v>1735.4050370253503</v>
      </c>
      <c r="L173" s="299">
        <f>L67*(BOM_average!K11*BOM_average!K17)/1000000</f>
        <v>1792.0473528429775</v>
      </c>
      <c r="M173" s="299">
        <f>M67*(BOM_average!L11*BOM_average!L17)/1000000</f>
        <v>1826.1128520980212</v>
      </c>
      <c r="N173" s="299">
        <f>N67*(BOM_average!M11*BOM_average!M17)/1000000</f>
        <v>1837.7920479278291</v>
      </c>
      <c r="O173" s="299">
        <f>O67*(BOM_average!N11*BOM_average!N17)/1000000</f>
        <v>1843.2852889198878</v>
      </c>
      <c r="P173" s="299">
        <f>P67*(BOM_average!O11*BOM_average!O17)/1000000</f>
        <v>1880.6201417138941</v>
      </c>
      <c r="Q173" s="299">
        <f>Q67*(BOM_average!P11*BOM_average!P17)/1000000</f>
        <v>1984.4760560287102</v>
      </c>
      <c r="R173" s="299">
        <f>R67*(BOM_average!Q11*BOM_average!Q17)/1000000</f>
        <v>2130.6295893867305</v>
      </c>
      <c r="S173" s="299">
        <f>S67*(BOM_average!R11*BOM_average!R17)/1000000</f>
        <v>2277.059804368248</v>
      </c>
      <c r="T173" s="299">
        <f>T67*(BOM_average!S11*BOM_average!S17)/1000000</f>
        <v>2370.5112105761077</v>
      </c>
      <c r="U173" s="299">
        <f>U67*(BOM_average!T11*BOM_average!T17)/1000000</f>
        <v>2415.7523585700201</v>
      </c>
      <c r="V173" s="299">
        <f>V67*(BOM_average!U11*BOM_average!U17)/1000000</f>
        <v>2433.4788318301789</v>
      </c>
      <c r="W173" s="299">
        <f>W67*(BOM_average!V11*BOM_average!V17)/1000000</f>
        <v>2436.3055620906757</v>
      </c>
      <c r="X173" s="299">
        <f>X67*(BOM_average!W11*BOM_average!W17)/1000000</f>
        <v>2433.2600446583137</v>
      </c>
      <c r="Y173" s="299">
        <f>Y67*(BOM_average!X11*BOM_average!X17)/1000000</f>
        <v>2430.3939327068811</v>
      </c>
      <c r="Z173" s="299">
        <f>Z67*(BOM_average!Y11*BOM_average!Y17)/1000000</f>
        <v>2431.290960111528</v>
      </c>
      <c r="AA173" s="299">
        <f>AA67*(BOM_average!Z11*BOM_average!Z17)/1000000</f>
        <v>2437.6546374519612</v>
      </c>
      <c r="AB173" s="299">
        <f>AB67*(BOM_average!AA11*BOM_average!AA17)/1000000</f>
        <v>2449.8902258896042</v>
      </c>
    </row>
    <row r="174" spans="2:28">
      <c r="B174" s="294" t="s">
        <v>443</v>
      </c>
      <c r="C174" s="299">
        <f>C67*(BOM_average!B12*BOM_average!B17)/1000000</f>
        <v>0</v>
      </c>
      <c r="D174" s="299">
        <f>D67*(BOM_average!C12*BOM_average!C17)/1000000</f>
        <v>76.395383837540265</v>
      </c>
      <c r="E174" s="299">
        <f>E67*(BOM_average!D12*BOM_average!D17)/1000000</f>
        <v>261.38030885487058</v>
      </c>
      <c r="F174" s="299">
        <f>F67*(BOM_average!E12*BOM_average!E17)/1000000</f>
        <v>505.22650264960674</v>
      </c>
      <c r="G174" s="299">
        <f>G67*(BOM_average!F12*BOM_average!F17)/1000000</f>
        <v>715.0413858257192</v>
      </c>
      <c r="H174" s="299">
        <f>H67*(BOM_average!G12*BOM_average!G17)/1000000</f>
        <v>869.54929397679007</v>
      </c>
      <c r="I174" s="299">
        <f>I67*(BOM_average!H12*BOM_average!H17)/1000000</f>
        <v>991.04099050172147</v>
      </c>
      <c r="J174" s="299">
        <f>J67*(BOM_average!I12*BOM_average!I17)/1000000</f>
        <v>1084.1887362599768</v>
      </c>
      <c r="K174" s="299">
        <f>K67*(BOM_average!J12*BOM_average!J17)/1000000</f>
        <v>1147.9716431443962</v>
      </c>
      <c r="L174" s="299">
        <f>L67*(BOM_average!K12*BOM_average!K17)/1000000</f>
        <v>1185.4405745888516</v>
      </c>
      <c r="M174" s="299">
        <f>M67*(BOM_average!L12*BOM_average!L17)/1000000</f>
        <v>1207.9749261206293</v>
      </c>
      <c r="N174" s="299">
        <f>N67*(BOM_average!M12*BOM_average!M17)/1000000</f>
        <v>1215.7007223130447</v>
      </c>
      <c r="O174" s="299">
        <f>O67*(BOM_average!N12*BOM_average!N17)/1000000</f>
        <v>1219.3345050630658</v>
      </c>
      <c r="P174" s="299">
        <f>P67*(BOM_average!O12*BOM_average!O17)/1000000</f>
        <v>1244.0315362425733</v>
      </c>
      <c r="Q174" s="299">
        <f>Q67*(BOM_average!P12*BOM_average!P17)/1000000</f>
        <v>1312.7322960436418</v>
      </c>
      <c r="R174" s="299">
        <f>R67*(BOM_average!Q12*BOM_average!Q17)/1000000</f>
        <v>1409.4129603616141</v>
      </c>
      <c r="S174" s="299">
        <f>S67*(BOM_average!R12*BOM_average!R17)/1000000</f>
        <v>1506.2766497666278</v>
      </c>
      <c r="T174" s="299">
        <f>T67*(BOM_average!S12*BOM_average!S17)/1000000</f>
        <v>1568.0948201935603</v>
      </c>
      <c r="U174" s="299">
        <f>U67*(BOM_average!T12*BOM_average!T17)/1000000</f>
        <v>1598.0218711656685</v>
      </c>
      <c r="V174" s="299">
        <f>V67*(BOM_average!U12*BOM_average!U17)/1000000</f>
        <v>1609.7479455987016</v>
      </c>
      <c r="W174" s="299">
        <f>W67*(BOM_average!V12*BOM_average!V17)/1000000</f>
        <v>1611.6178296388164</v>
      </c>
      <c r="X174" s="299">
        <f>X67*(BOM_average!W12*BOM_average!W17)/1000000</f>
        <v>1609.6032177318195</v>
      </c>
      <c r="Y174" s="299">
        <f>Y67*(BOM_average!X12*BOM_average!X17)/1000000</f>
        <v>1607.707282675666</v>
      </c>
      <c r="Z174" s="299">
        <f>Z67*(BOM_average!Y12*BOM_average!Y17)/1000000</f>
        <v>1608.300666929882</v>
      </c>
      <c r="AA174" s="299">
        <f>AA67*(BOM_average!Z12*BOM_average!Z17)/1000000</f>
        <v>1612.5102439318364</v>
      </c>
      <c r="AB174" s="299">
        <f>AB67*(BOM_average!AA12*BOM_average!AA17)/1000000</f>
        <v>1620.6040942226455</v>
      </c>
    </row>
    <row r="175" spans="2:28">
      <c r="B175" s="294" t="s">
        <v>445</v>
      </c>
      <c r="C175" s="299">
        <f>C67*(BOM_average!B13*BOM_average!B17)/1000000</f>
        <v>0</v>
      </c>
      <c r="D175" s="299">
        <f>D67*(BOM_average!C13*BOM_average!C17)/1000000</f>
        <v>0</v>
      </c>
      <c r="E175" s="299">
        <f>E67*(BOM_average!D13*BOM_average!D17)/1000000</f>
        <v>0</v>
      </c>
      <c r="F175" s="299">
        <f>F67*(BOM_average!E13*BOM_average!E17)/1000000</f>
        <v>0</v>
      </c>
      <c r="G175" s="299">
        <f>G67*(BOM_average!F13*BOM_average!F17)/1000000</f>
        <v>0</v>
      </c>
      <c r="H175" s="299">
        <f>H67*(BOM_average!G13*BOM_average!G17)/1000000</f>
        <v>0</v>
      </c>
      <c r="I175" s="299">
        <f>I67*(BOM_average!H13*BOM_average!H17)/1000000</f>
        <v>0</v>
      </c>
      <c r="J175" s="299">
        <f>J67*(BOM_average!I13*BOM_average!I17)/1000000</f>
        <v>0</v>
      </c>
      <c r="K175" s="299">
        <f>K67*(BOM_average!J13*BOM_average!J17)/1000000</f>
        <v>0</v>
      </c>
      <c r="L175" s="299">
        <f>L67*(BOM_average!K13*BOM_average!K17)/1000000</f>
        <v>0</v>
      </c>
      <c r="M175" s="299">
        <f>M67*(BOM_average!L13*BOM_average!L17)/1000000</f>
        <v>0</v>
      </c>
      <c r="N175" s="299">
        <f>N67*(BOM_average!M13*BOM_average!M17)/1000000</f>
        <v>0</v>
      </c>
      <c r="O175" s="299">
        <f>O67*(BOM_average!N13*BOM_average!N17)/1000000</f>
        <v>0</v>
      </c>
      <c r="P175" s="299">
        <f>P67*(BOM_average!O13*BOM_average!O17)/1000000</f>
        <v>0</v>
      </c>
      <c r="Q175" s="299">
        <f>Q67*(BOM_average!P13*BOM_average!P17)/1000000</f>
        <v>0</v>
      </c>
      <c r="R175" s="299">
        <f>R67*(BOM_average!Q13*BOM_average!Q17)/1000000</f>
        <v>0</v>
      </c>
      <c r="S175" s="299">
        <f>S67*(BOM_average!R13*BOM_average!R17)/1000000</f>
        <v>0</v>
      </c>
      <c r="T175" s="299">
        <f>T67*(BOM_average!S13*BOM_average!S17)/1000000</f>
        <v>0</v>
      </c>
      <c r="U175" s="299">
        <f>U67*(BOM_average!T13*BOM_average!T17)/1000000</f>
        <v>0</v>
      </c>
      <c r="V175" s="299">
        <f>V67*(BOM_average!U13*BOM_average!U17)/1000000</f>
        <v>0</v>
      </c>
      <c r="W175" s="299">
        <f>W67*(BOM_average!V13*BOM_average!V17)/1000000</f>
        <v>0</v>
      </c>
      <c r="X175" s="299">
        <f>X67*(BOM_average!W13*BOM_average!W17)/1000000</f>
        <v>0</v>
      </c>
      <c r="Y175" s="299">
        <f>Y67*(BOM_average!X13*BOM_average!X17)/1000000</f>
        <v>0</v>
      </c>
      <c r="Z175" s="299">
        <f>Z67*(BOM_average!Y13*BOM_average!Y17)/1000000</f>
        <v>0</v>
      </c>
      <c r="AA175" s="299">
        <f>AA67*(BOM_average!Z13*BOM_average!Z17)/1000000</f>
        <v>0</v>
      </c>
      <c r="AB175" s="299">
        <f>AB67*(BOM_average!AA13*BOM_average!AA17)/1000000</f>
        <v>0</v>
      </c>
    </row>
    <row r="176" spans="2:28">
      <c r="B176" s="294" t="s">
        <v>6915</v>
      </c>
      <c r="C176" s="299">
        <f>C67*(BOM_average!B14*BOM_average!B17)/1000000</f>
        <v>0</v>
      </c>
      <c r="D176" s="299">
        <f>D67*(BOM_average!C14*BOM_average!C17)/1000000</f>
        <v>54.067934697424057</v>
      </c>
      <c r="E176" s="299">
        <f>E67*(BOM_average!D14*BOM_average!D17)/1000000</f>
        <v>184.9888404306065</v>
      </c>
      <c r="F176" s="299">
        <f>F67*(BOM_average!E14*BOM_average!E17)/1000000</f>
        <v>357.56811708358322</v>
      </c>
      <c r="G176" s="299">
        <f>G67*(BOM_average!F14*BOM_average!F17)/1000000</f>
        <v>506.06213376707819</v>
      </c>
      <c r="H176" s="299">
        <f>H67*(BOM_average!G14*BOM_average!G17)/1000000</f>
        <v>615.41328914464464</v>
      </c>
      <c r="I176" s="299">
        <f>I67*(BOM_average!H14*BOM_average!H17)/1000000</f>
        <v>701.39760892970185</v>
      </c>
      <c r="J176" s="299">
        <f>J67*(BOM_average!I14*BOM_average!I17)/1000000</f>
        <v>767.32183081174173</v>
      </c>
      <c r="K176" s="299">
        <f>K67*(BOM_average!J14*BOM_average!J17)/1000000</f>
        <v>812.46343323594533</v>
      </c>
      <c r="L176" s="299">
        <f>L67*(BOM_average!K14*BOM_average!K17)/1000000</f>
        <v>838.9816289273133</v>
      </c>
      <c r="M176" s="299">
        <f>M67*(BOM_average!L14*BOM_average!L17)/1000000</f>
        <v>854.93005127780418</v>
      </c>
      <c r="N176" s="299">
        <f>N67*(BOM_average!M14*BOM_average!M17)/1000000</f>
        <v>860.39789269745643</v>
      </c>
      <c r="O176" s="299">
        <f>O67*(BOM_average!N14*BOM_average!N17)/1000000</f>
        <v>862.96965971482712</v>
      </c>
      <c r="P176" s="299">
        <f>P67*(BOM_average!O14*BOM_average!O17)/1000000</f>
        <v>880.448693158438</v>
      </c>
      <c r="Q176" s="299">
        <f>Q67*(BOM_average!P14*BOM_average!P17)/1000000</f>
        <v>929.07084816307452</v>
      </c>
      <c r="R176" s="299">
        <f>R67*(BOM_average!Q14*BOM_average!Q17)/1000000</f>
        <v>997.49545161770129</v>
      </c>
      <c r="S176" s="299">
        <f>S67*(BOM_average!R14*BOM_average!R17)/1000000</f>
        <v>1066.0495889257766</v>
      </c>
      <c r="T176" s="299">
        <f>T67*(BOM_average!S14*BOM_average!S17)/1000000</f>
        <v>1109.8006722224507</v>
      </c>
      <c r="U176" s="299">
        <f>U67*(BOM_average!T14*BOM_average!T17)/1000000</f>
        <v>1130.9811906826683</v>
      </c>
      <c r="V176" s="299">
        <f>V67*(BOM_average!U14*BOM_average!U17)/1000000</f>
        <v>1139.2801819941146</v>
      </c>
      <c r="W176" s="299">
        <f>W67*(BOM_average!V14*BOM_average!V17)/1000000</f>
        <v>1140.6035704384701</v>
      </c>
      <c r="X176" s="299">
        <f>X67*(BOM_average!W14*BOM_average!W17)/1000000</f>
        <v>1139.1777525479572</v>
      </c>
      <c r="Y176" s="299">
        <f>Y67*(BOM_average!X14*BOM_average!X17)/1000000</f>
        <v>1137.8359268032934</v>
      </c>
      <c r="Z176" s="299">
        <f>Z67*(BOM_average!Y14*BOM_average!Y17)/1000000</f>
        <v>1138.2558875325394</v>
      </c>
      <c r="AA176" s="299">
        <f>AA67*(BOM_average!Z14*BOM_average!Z17)/1000000</f>
        <v>1141.2351661618538</v>
      </c>
      <c r="AB176" s="299">
        <f>AB67*(BOM_average!AA14*BOM_average!AA17)/1000000</f>
        <v>1146.9634935422728</v>
      </c>
    </row>
    <row r="177" spans="1:28">
      <c r="B177" s="294" t="s">
        <v>447</v>
      </c>
      <c r="C177" s="299">
        <f>C67*(BOM_average!B15*BOM_average!B17)/1000000</f>
        <v>0</v>
      </c>
      <c r="D177" s="299">
        <f>D67*(BOM_average!C15*BOM_average!C17)/1000000</f>
        <v>23.047027731486796</v>
      </c>
      <c r="E177" s="299">
        <f>E67*(BOM_average!D15*BOM_average!D17)/1000000</f>
        <v>78.853445379020485</v>
      </c>
      <c r="F177" s="299">
        <f>F67*(BOM_average!E15*BOM_average!E17)/1000000</f>
        <v>152.41718324250101</v>
      </c>
      <c r="G177" s="299">
        <f>G67*(BOM_average!F15*BOM_average!F17)/1000000</f>
        <v>215.71432487767842</v>
      </c>
      <c r="H177" s="299">
        <f>H67*(BOM_average!G15*BOM_average!G17)/1000000</f>
        <v>262.32640881542432</v>
      </c>
      <c r="I177" s="299">
        <f>I67*(BOM_average!H15*BOM_average!H17)/1000000</f>
        <v>298.97813249692194</v>
      </c>
      <c r="J177" s="299">
        <f>J67*(BOM_average!I15*BOM_average!I17)/1000000</f>
        <v>327.0790277575735</v>
      </c>
      <c r="K177" s="299">
        <f>K67*(BOM_average!J15*BOM_average!J17)/1000000</f>
        <v>346.32111216003057</v>
      </c>
      <c r="L177" s="299">
        <f>L67*(BOM_average!K15*BOM_average!K17)/1000000</f>
        <v>357.62477291400921</v>
      </c>
      <c r="M177" s="299">
        <f>M67*(BOM_average!L15*BOM_average!L17)/1000000</f>
        <v>364.42295624100683</v>
      </c>
      <c r="N177" s="299">
        <f>N67*(BOM_average!M15*BOM_average!M17)/1000000</f>
        <v>366.75368134702984</v>
      </c>
      <c r="O177" s="299">
        <f>O67*(BOM_average!N15*BOM_average!N17)/1000000</f>
        <v>367.84992417746093</v>
      </c>
      <c r="P177" s="299">
        <f>P67*(BOM_average!O15*BOM_average!O17)/1000000</f>
        <v>375.30054663509435</v>
      </c>
      <c r="Q177" s="299">
        <f>Q67*(BOM_average!P15*BOM_average!P17)/1000000</f>
        <v>396.02625330444664</v>
      </c>
      <c r="R177" s="299">
        <f>R67*(BOM_average!Q15*BOM_average!Q17)/1000000</f>
        <v>425.19296259637571</v>
      </c>
      <c r="S177" s="299">
        <f>S67*(BOM_average!R15*BOM_average!R17)/1000000</f>
        <v>454.41488706027866</v>
      </c>
      <c r="T177" s="299">
        <f>T67*(BOM_average!S15*BOM_average!S17)/1000000</f>
        <v>473.06424801079197</v>
      </c>
      <c r="U177" s="299">
        <f>U67*(BOM_average!T15*BOM_average!T17)/1000000</f>
        <v>482.09266751768968</v>
      </c>
      <c r="V177" s="299">
        <f>V67*(BOM_average!U15*BOM_average!U17)/1000000</f>
        <v>485.6302001415757</v>
      </c>
      <c r="W177" s="299">
        <f>W67*(BOM_average!V15*BOM_average!V17)/1000000</f>
        <v>486.19430843140168</v>
      </c>
      <c r="X177" s="299">
        <f>X67*(BOM_average!W15*BOM_average!W17)/1000000</f>
        <v>485.58653850923622</v>
      </c>
      <c r="Y177" s="299">
        <f>Y67*(BOM_average!X15*BOM_average!X17)/1000000</f>
        <v>485.01457112558921</v>
      </c>
      <c r="Z177" s="299">
        <f>Z67*(BOM_average!Y15*BOM_average!Y17)/1000000</f>
        <v>485.19358381818097</v>
      </c>
      <c r="AA177" s="299">
        <f>AA67*(BOM_average!Z15*BOM_average!Z17)/1000000</f>
        <v>486.46353277358105</v>
      </c>
      <c r="AB177" s="299">
        <f>AB67*(BOM_average!AA15*BOM_average!AA17)/1000000</f>
        <v>488.90529276923041</v>
      </c>
    </row>
    <row r="178" spans="1:28">
      <c r="B178" s="294" t="s">
        <v>7756</v>
      </c>
      <c r="C178" s="299">
        <f>C67*(BOM_average!B17)/1000000</f>
        <v>0</v>
      </c>
      <c r="D178" s="299">
        <f>D67*(BOM_average!C17)/1000000</f>
        <v>928.58207840000023</v>
      </c>
      <c r="E178" s="299">
        <f>E67*(BOM_average!D17)/1000000</f>
        <v>3177.0646112000009</v>
      </c>
      <c r="F178" s="299">
        <f>F67*(BOM_average!E17)/1000000</f>
        <v>6141.0029288000014</v>
      </c>
      <c r="G178" s="299">
        <f>G67*(BOM_average!F17)/1000000</f>
        <v>8691.2923640000026</v>
      </c>
      <c r="H178" s="299">
        <f>H67*(BOM_average!G17)/1000000</f>
        <v>10569.328277600001</v>
      </c>
      <c r="I178" s="299">
        <f>I67*(BOM_average!H17)/1000000</f>
        <v>12046.053786400002</v>
      </c>
      <c r="J178" s="299">
        <f>J67*(BOM_average!I17)/1000000</f>
        <v>13178.259988000002</v>
      </c>
      <c r="K178" s="299">
        <f>K67*(BOM_average!J17)/1000000</f>
        <v>13953.538038400004</v>
      </c>
      <c r="L178" s="299">
        <f>L67*(BOM_average!K17)/1000000</f>
        <v>14408.971030400004</v>
      </c>
      <c r="M178" s="299">
        <f>M67*(BOM_average!L17)/1000000</f>
        <v>14682.874948800003</v>
      </c>
      <c r="N178" s="299">
        <f>N67*(BOM_average!M17)/1000000</f>
        <v>14776.781616000004</v>
      </c>
      <c r="O178" s="299">
        <f>O67*(BOM_average!N17)/1000000</f>
        <v>14820.950064000004</v>
      </c>
      <c r="P178" s="299">
        <f>P67*(BOM_average!O17)/1000000</f>
        <v>15121.141245600002</v>
      </c>
      <c r="Q178" s="299">
        <f>Q67*(BOM_average!P17)/1000000</f>
        <v>15956.195552800003</v>
      </c>
      <c r="R178" s="299">
        <f>R67*(BOM_average!Q17)/1000000</f>
        <v>17131.344203200002</v>
      </c>
      <c r="S178" s="299">
        <f>S67*(BOM_average!R17)/1000000</f>
        <v>18308.717514400007</v>
      </c>
      <c r="T178" s="299">
        <f>T67*(BOM_average!S17)/1000000</f>
        <v>19060.114291200003</v>
      </c>
      <c r="U178" s="299">
        <f>U67*(BOM_average!T17)/1000000</f>
        <v>19423.876102400005</v>
      </c>
      <c r="V178" s="299">
        <f>V67*(BOM_average!U17)/1000000</f>
        <v>19566.405952000005</v>
      </c>
      <c r="W178" s="299">
        <f>W67*(BOM_average!V17)/1000000</f>
        <v>19589.134299200006</v>
      </c>
      <c r="X178" s="299">
        <f>X67*(BOM_average!W17)/1000000</f>
        <v>19564.646792000003</v>
      </c>
      <c r="Y178" s="299">
        <f>Y67*(BOM_average!X17)/1000000</f>
        <v>19541.601796000003</v>
      </c>
      <c r="Z178" s="299">
        <f>Z67*(BOM_average!Y17)/1000000</f>
        <v>19548.814352000005</v>
      </c>
      <c r="AA178" s="299">
        <f>AA67*(BOM_average!Z17)/1000000</f>
        <v>19599.981550400007</v>
      </c>
      <c r="AB178" s="299">
        <f>AB67*(BOM_average!AA17)/1000000</f>
        <v>19698.361896800005</v>
      </c>
    </row>
    <row r="179" spans="1:28">
      <c r="B179" s="295" t="s">
        <v>7757</v>
      </c>
      <c r="C179" s="299">
        <f>C67*(BOM_average!B18)/1000000</f>
        <v>0</v>
      </c>
      <c r="D179" s="299">
        <f>D67*(BOM_average!C18)/1000000</f>
        <v>1287.0935377999999</v>
      </c>
      <c r="E179" s="299">
        <f>E67*(BOM_average!D18)/1000000</f>
        <v>4403.6810804000006</v>
      </c>
      <c r="F179" s="299">
        <f>F67*(BOM_average!E18)/1000000</f>
        <v>8511.9510370999997</v>
      </c>
      <c r="G179" s="299">
        <f>G67*(BOM_average!F18)/1000000</f>
        <v>12046.868550499999</v>
      </c>
      <c r="H179" s="299">
        <f>H67*(BOM_average!G18)/1000000</f>
        <v>14649.985651700001</v>
      </c>
      <c r="I179" s="299">
        <f>I67*(BOM_average!H18)/1000000</f>
        <v>16696.852486300002</v>
      </c>
      <c r="J179" s="299">
        <f>J67*(BOM_average!I18)/1000000</f>
        <v>18266.186333500002</v>
      </c>
      <c r="K179" s="299">
        <f>K67*(BOM_average!J18)/1000000</f>
        <v>19340.787482799999</v>
      </c>
      <c r="L179" s="299">
        <f>L67*(BOM_average!K18)/1000000</f>
        <v>19972.056246799999</v>
      </c>
      <c r="M179" s="299">
        <f>M67*(BOM_average!L18)/1000000</f>
        <v>20351.710314600001</v>
      </c>
      <c r="N179" s="299">
        <f>N67*(BOM_average!M18)/1000000</f>
        <v>20481.872921999999</v>
      </c>
      <c r="O179" s="299">
        <f>O67*(BOM_average!N18)/1000000</f>
        <v>20543.094138</v>
      </c>
      <c r="P179" s="299">
        <f>P67*(BOM_average!O18)/1000000</f>
        <v>20959.1845827</v>
      </c>
      <c r="Q179" s="299">
        <f>Q67*(BOM_average!P18)/1000000</f>
        <v>22116.640695100003</v>
      </c>
      <c r="R179" s="299">
        <f>R67*(BOM_average!Q18)/1000000</f>
        <v>23745.496419400002</v>
      </c>
      <c r="S179" s="299">
        <f>S67*(BOM_average!R18)/1000000</f>
        <v>25377.435712300005</v>
      </c>
      <c r="T179" s="299">
        <f>T67*(BOM_average!S18)/1000000</f>
        <v>26418.935390400002</v>
      </c>
      <c r="U179" s="299">
        <f>U67*(BOM_average!T18)/1000000</f>
        <v>26923.140120800002</v>
      </c>
      <c r="V179" s="299">
        <f>V67*(BOM_average!U18)/1000000</f>
        <v>27120.698584000002</v>
      </c>
      <c r="W179" s="299">
        <f>W67*(BOM_average!V18)/1000000</f>
        <v>27152.202001400001</v>
      </c>
      <c r="X179" s="299">
        <f>X67*(BOM_average!W18)/1000000</f>
        <v>27118.260238999999</v>
      </c>
      <c r="Y179" s="299">
        <f>Y67*(BOM_average!X18)/1000000</f>
        <v>27086.317919500001</v>
      </c>
      <c r="Z179" s="299">
        <f>Z67*(BOM_average!Y18)/1000000</f>
        <v>27096.315134</v>
      </c>
      <c r="AA179" s="299">
        <f>AA67*(BOM_average!Z18)/1000000</f>
        <v>27167.237211800002</v>
      </c>
      <c r="AB179" s="299">
        <f>AB67*(BOM_average!AA18)/1000000</f>
        <v>27303.600718100002</v>
      </c>
    </row>
    <row r="180" spans="1:28">
      <c r="B180" s="295" t="s">
        <v>7758</v>
      </c>
      <c r="C180" s="299">
        <f>C67*(BOM_average!B19)/1000000</f>
        <v>0</v>
      </c>
      <c r="D180" s="299">
        <f>D67*(BOM_average!C19)/1000000</f>
        <v>598.68565939999996</v>
      </c>
      <c r="E180" s="299">
        <f>E67*(BOM_average!D19)/1000000</f>
        <v>2048.3520692000002</v>
      </c>
      <c r="F180" s="299">
        <f>F67*(BOM_average!E19)/1000000</f>
        <v>3959.2950083000001</v>
      </c>
      <c r="G180" s="299">
        <f>G67*(BOM_average!F19)/1000000</f>
        <v>5603.5456864999996</v>
      </c>
      <c r="H180" s="299">
        <f>H67*(BOM_average!G19)/1000000</f>
        <v>6814.3736741000002</v>
      </c>
      <c r="I180" s="299">
        <f>I67*(BOM_average!H19)/1000000</f>
        <v>7766.4643999000009</v>
      </c>
      <c r="J180" s="299">
        <f>J67*(BOM_average!I19)/1000000</f>
        <v>8496.4328454999995</v>
      </c>
      <c r="K180" s="299">
        <f>K67*(BOM_average!J19)/1000000</f>
        <v>8996.2786443999994</v>
      </c>
      <c r="L180" s="299">
        <f>L67*(BOM_average!K19)/1000000</f>
        <v>9289.9104164</v>
      </c>
      <c r="M180" s="299">
        <f>M67*(BOM_average!L19)/1000000</f>
        <v>9466.5047658000003</v>
      </c>
      <c r="N180" s="299">
        <f>N67*(BOM_average!M19)/1000000</f>
        <v>9527.0493060000008</v>
      </c>
      <c r="O180" s="299">
        <f>O67*(BOM_average!N19)/1000000</f>
        <v>9555.5260739999994</v>
      </c>
      <c r="P180" s="299">
        <f>P67*(BOM_average!O19)/1000000</f>
        <v>9749.0686371000011</v>
      </c>
      <c r="Q180" s="299">
        <f>Q67*(BOM_average!P19)/1000000</f>
        <v>10287.454042300002</v>
      </c>
      <c r="R180" s="299">
        <f>R67*(BOM_average!Q19)/1000000</f>
        <v>11045.108816200001</v>
      </c>
      <c r="S180" s="299">
        <f>S67*(BOM_average!R19)/1000000</f>
        <v>11804.197897900001</v>
      </c>
      <c r="T180" s="299">
        <f>T67*(BOM_average!S19)/1000000</f>
        <v>12288.646699200001</v>
      </c>
      <c r="U180" s="299">
        <f>U67*(BOM_average!T19)/1000000</f>
        <v>12523.175218400002</v>
      </c>
      <c r="V180" s="299">
        <f>V67*(BOM_average!U19)/1000000</f>
        <v>12615.068632</v>
      </c>
      <c r="W180" s="299">
        <f>W67*(BOM_average!V19)/1000000</f>
        <v>12629.722302200002</v>
      </c>
      <c r="X180" s="299">
        <f>X67*(BOM_average!W19)/1000000</f>
        <v>12613.934447</v>
      </c>
      <c r="Y180" s="299">
        <f>Y67*(BOM_average!X19)/1000000</f>
        <v>12599.076623499999</v>
      </c>
      <c r="Z180" s="299">
        <f>Z67*(BOM_average!Y19)/1000000</f>
        <v>12603.726782</v>
      </c>
      <c r="AA180" s="299">
        <f>AA67*(BOM_average!Z19)/1000000</f>
        <v>12636.715861400002</v>
      </c>
      <c r="AB180" s="299">
        <f>AB67*(BOM_average!AA19)/1000000</f>
        <v>12700.144721300001</v>
      </c>
    </row>
    <row r="182" spans="1:28">
      <c r="B182" s="7" t="s">
        <v>6905</v>
      </c>
      <c r="C182" s="91">
        <f>C178*Outflow_routing!B4</f>
        <v>0</v>
      </c>
      <c r="D182" s="91">
        <f>D178*Outflow_routing!C4</f>
        <v>352.26476727754527</v>
      </c>
      <c r="E182" s="91">
        <f>E178*Outflow_routing!D4</f>
        <v>1205.2439433447641</v>
      </c>
      <c r="F182" s="91">
        <f>F178*Outflow_routing!E4</f>
        <v>2329.6367848191458</v>
      </c>
      <c r="G182" s="91">
        <f>G178*Outflow_routing!F4</f>
        <v>3297.1087350952762</v>
      </c>
      <c r="H182" s="91">
        <f>H178*Outflow_routing!G4</f>
        <v>4009.5561314343176</v>
      </c>
      <c r="I182" s="91">
        <f>I178*Outflow_routing!H4</f>
        <v>4569.7633331354082</v>
      </c>
      <c r="J182" s="91">
        <f>J178*Outflow_routing!I4</f>
        <v>4999.2744807164981</v>
      </c>
      <c r="K182" s="91">
        <f>K178*Outflow_routing!J4</f>
        <v>5293.3821835811905</v>
      </c>
      <c r="L182" s="91">
        <f>L178*Outflow_routing!K4</f>
        <v>5466.1541987527853</v>
      </c>
      <c r="M182" s="91">
        <f>M178*Outflow_routing!L4</f>
        <v>5570.0617609554029</v>
      </c>
      <c r="N182" s="91">
        <f>N178*Outflow_routing!M4</f>
        <v>5605.6859788210077</v>
      </c>
      <c r="O182" s="91">
        <f>O178*Outflow_routing!N4</f>
        <v>5622.4416199405732</v>
      </c>
      <c r="P182" s="91">
        <f>P178*Outflow_routing!O4</f>
        <v>5736.3214580129406</v>
      </c>
      <c r="Q182" s="91">
        <f>Q178*Outflow_routing!P4</f>
        <v>6053.1057445423285</v>
      </c>
      <c r="R182" s="91">
        <f>R178*Outflow_routing!Q4</f>
        <v>6498.9074409986715</v>
      </c>
      <c r="S182" s="91">
        <f>S178*Outflow_routing!R4</f>
        <v>6945.5530796731719</v>
      </c>
      <c r="T182" s="91">
        <f>T178*Outflow_routing!S4</f>
        <v>7230.6012373639005</v>
      </c>
      <c r="U182" s="91">
        <f>U178*Outflow_routing!T4</f>
        <v>7368.5970836628303</v>
      </c>
      <c r="V182" s="91">
        <f>V178*Outflow_routing!U4</f>
        <v>7422.6668804717019</v>
      </c>
      <c r="W182" s="91">
        <f>W178*Outflow_routing!V4</f>
        <v>7431.2890541311453</v>
      </c>
      <c r="X182" s="91">
        <f>X178*Outflow_routing!W4</f>
        <v>7421.999529569267</v>
      </c>
      <c r="Y182" s="91">
        <f>Y178*Outflow_routing!X4</f>
        <v>7413.2572327473863</v>
      </c>
      <c r="Z182" s="91">
        <f>Z178*Outflow_routing!Y4</f>
        <v>7415.9933714473655</v>
      </c>
      <c r="AA182" s="91">
        <f>AA178*Outflow_routing!Z4</f>
        <v>7435.4040424649211</v>
      </c>
      <c r="AB182" s="91">
        <f>AB178*Outflow_routing!AA4</f>
        <v>7472.7253850100988</v>
      </c>
    </row>
    <row r="183" spans="1:28">
      <c r="B183" s="7" t="s">
        <v>6907</v>
      </c>
      <c r="C183" s="91">
        <f>C179*Outflow_routing!B5</f>
        <v>0</v>
      </c>
      <c r="D183" s="91">
        <f>D179*Outflow_routing!C5</f>
        <v>110.06930940215528</v>
      </c>
      <c r="E183" s="91">
        <f>E179*Outflow_routing!D5</f>
        <v>376.59278141934368</v>
      </c>
      <c r="F183" s="91">
        <f>F179*Outflow_routing!E5</f>
        <v>727.92267601621745</v>
      </c>
      <c r="G183" s="91">
        <f>G179*Outflow_routing!F5</f>
        <v>1030.2207748463754</v>
      </c>
      <c r="H183" s="91">
        <f>H179*Outflow_routing!G5</f>
        <v>1252.8334235834457</v>
      </c>
      <c r="I183" s="91">
        <f>I179*Outflow_routing!H5</f>
        <v>1427.8768157736458</v>
      </c>
      <c r="J183" s="91">
        <f>J179*Outflow_routing!I5</f>
        <v>1562.082673941487</v>
      </c>
      <c r="K183" s="91">
        <f>K179*Outflow_routing!J5</f>
        <v>1653.9801179985734</v>
      </c>
      <c r="L183" s="91">
        <f>L179*Outflow_routing!K5</f>
        <v>1707.9647856703562</v>
      </c>
      <c r="M183" s="91">
        <f>M179*Outflow_routing!L5</f>
        <v>1740.4319373009153</v>
      </c>
      <c r="N183" s="91">
        <f>N179*Outflow_routing!M5</f>
        <v>1751.5631471825143</v>
      </c>
      <c r="O183" s="91">
        <f>O179*Outflow_routing!N5</f>
        <v>1756.7986462103459</v>
      </c>
      <c r="P183" s="91">
        <f>P179*Outflow_routing!O5</f>
        <v>1792.3817538493195</v>
      </c>
      <c r="Q183" s="91">
        <f>Q179*Outflow_routing!P5</f>
        <v>1891.364765738987</v>
      </c>
      <c r="R183" s="91">
        <f>R179*Outflow_routing!Q5</f>
        <v>2030.6607993403209</v>
      </c>
      <c r="S183" s="91">
        <f>S179*Outflow_routing!R5</f>
        <v>2170.2205327088654</v>
      </c>
      <c r="T183" s="91">
        <f>T179*Outflow_routing!S5</f>
        <v>2259.2872143013942</v>
      </c>
      <c r="U183" s="91">
        <f>U179*Outflow_routing!T5</f>
        <v>2302.4056550693344</v>
      </c>
      <c r="V183" s="91">
        <f>V179*Outflow_routing!U5</f>
        <v>2319.3004051184594</v>
      </c>
      <c r="W183" s="91">
        <f>W179*Outflow_routing!V5</f>
        <v>2321.9945056598644</v>
      </c>
      <c r="X183" s="91">
        <f>X179*Outflow_routing!W5</f>
        <v>2319.0918834047279</v>
      </c>
      <c r="Y183" s="91">
        <f>Y179*Outflow_routing!X5</f>
        <v>2316.3602489548516</v>
      </c>
      <c r="Z183" s="91">
        <f>Z179*Outflow_routing!Y5</f>
        <v>2317.215187981149</v>
      </c>
      <c r="AA183" s="91">
        <f>AA179*Outflow_routing!Z5</f>
        <v>2323.2802826269935</v>
      </c>
      <c r="AB183" s="91">
        <f>AB179*Outflow_routing!AA5</f>
        <v>2334.9417792667427</v>
      </c>
    </row>
    <row r="184" spans="1:28">
      <c r="B184" s="7" t="s">
        <v>6908</v>
      </c>
      <c r="C184" s="91">
        <f>C180*Outflow_routing!B6</f>
        <v>0</v>
      </c>
      <c r="D184" s="91">
        <f>D180*Outflow_routing!C6</f>
        <v>8.2797722792801984</v>
      </c>
      <c r="E184" s="91">
        <f>E180*Outflow_routing!D6</f>
        <v>28.328536711177485</v>
      </c>
      <c r="F184" s="91">
        <f>F180*Outflow_routing!E6</f>
        <v>54.756716718534463</v>
      </c>
      <c r="G184" s="91">
        <f>G180*Outflow_routing!F6</f>
        <v>77.496565204619685</v>
      </c>
      <c r="H184" s="91">
        <f>H180*Outflow_routing!G6</f>
        <v>94.242214360062135</v>
      </c>
      <c r="I184" s="91">
        <f>I180*Outflow_routing!H6</f>
        <v>107.40954896222884</v>
      </c>
      <c r="J184" s="91">
        <f>J180*Outflow_routing!I6</f>
        <v>117.50495112483512</v>
      </c>
      <c r="K184" s="91">
        <f>K180*Outflow_routing!J6</f>
        <v>124.41777645256148</v>
      </c>
      <c r="L184" s="91">
        <f>L180*Outflow_routing!K6</f>
        <v>128.47867914489936</v>
      </c>
      <c r="M184" s="91">
        <f>M180*Outflow_routing!L6</f>
        <v>130.92096413349424</v>
      </c>
      <c r="N184" s="91">
        <f>N180*Outflow_routing!M6</f>
        <v>131.7582900285426</v>
      </c>
      <c r="O184" s="91">
        <f>O180*Outflow_routing!N6</f>
        <v>132.15212133314773</v>
      </c>
      <c r="P184" s="91">
        <f>P180*Outflow_routing!O6</f>
        <v>134.82879869071505</v>
      </c>
      <c r="Q184" s="91">
        <f>Q180*Outflow_routing!P6</f>
        <v>142.27462352976579</v>
      </c>
      <c r="R184" s="91">
        <f>R180*Outflow_routing!Q6</f>
        <v>152.75292528245603</v>
      </c>
      <c r="S184" s="91">
        <f>S180*Outflow_routing!R6</f>
        <v>163.25106339129732</v>
      </c>
      <c r="T184" s="91">
        <f>T180*Outflow_routing!S6</f>
        <v>169.95094953815138</v>
      </c>
      <c r="U184" s="91">
        <f>U180*Outflow_routing!T6</f>
        <v>173.19445921887251</v>
      </c>
      <c r="V184" s="91">
        <f>V180*Outflow_routing!U6</f>
        <v>174.46533739446841</v>
      </c>
      <c r="W184" s="91">
        <f>W180*Outflow_routing!V6</f>
        <v>174.66799641996315</v>
      </c>
      <c r="X184" s="91">
        <f>X180*Outflow_routing!W6</f>
        <v>174.44965171138057</v>
      </c>
      <c r="Y184" s="91">
        <f>Y180*Outflow_routing!X6</f>
        <v>174.24416926293003</v>
      </c>
      <c r="Z184" s="91">
        <f>Z180*Outflow_routing!Y6</f>
        <v>174.30848056359011</v>
      </c>
      <c r="AA184" s="91">
        <f>AA180*Outflow_routing!Z6</f>
        <v>174.76471675506471</v>
      </c>
      <c r="AB184" s="91">
        <f>AB180*Outflow_routing!AA6</f>
        <v>175.6419325487964</v>
      </c>
    </row>
    <row r="187" spans="1:28" ht="21">
      <c r="A187" s="293" t="s">
        <v>7800</v>
      </c>
      <c r="B187" s="166" t="s">
        <v>7862</v>
      </c>
      <c r="C187" s="378"/>
      <c r="D187" s="378"/>
      <c r="E187" s="378"/>
      <c r="F187" s="378"/>
      <c r="G187" s="378"/>
      <c r="H187" s="378"/>
      <c r="I187" s="378"/>
      <c r="J187" s="378"/>
      <c r="K187" s="378"/>
      <c r="L187" s="378"/>
      <c r="M187" s="378"/>
      <c r="N187" s="378"/>
      <c r="O187" s="378"/>
      <c r="P187" s="378"/>
      <c r="Q187" s="378"/>
      <c r="R187" s="378"/>
      <c r="S187" s="376">
        <f>Laptop_0!S67-Laptop_1!S67</f>
        <v>0</v>
      </c>
      <c r="T187" s="376">
        <v>116172</v>
      </c>
      <c r="U187" s="376">
        <v>318858</v>
      </c>
      <c r="V187" s="376">
        <v>532832</v>
      </c>
      <c r="W187" s="376">
        <v>715509</v>
      </c>
      <c r="X187" s="376">
        <v>843673</v>
      </c>
      <c r="Y187" s="376">
        <v>909501</v>
      </c>
      <c r="Z187" s="376">
        <v>916427</v>
      </c>
      <c r="AA187" s="376">
        <v>874882</v>
      </c>
      <c r="AB187" s="376">
        <v>798506</v>
      </c>
    </row>
    <row r="188" spans="1:28" ht="19">
      <c r="B188" s="166" t="s">
        <v>7863</v>
      </c>
      <c r="Q188" s="1"/>
      <c r="R188" s="1"/>
      <c r="S188" s="377">
        <v>500</v>
      </c>
      <c r="T188" s="377">
        <v>500</v>
      </c>
      <c r="U188" s="377">
        <v>500</v>
      </c>
      <c r="V188" s="377">
        <v>500</v>
      </c>
      <c r="W188" s="377">
        <v>500</v>
      </c>
      <c r="X188" s="377">
        <v>500</v>
      </c>
      <c r="Y188" s="377">
        <v>500</v>
      </c>
      <c r="Z188" s="377">
        <v>500</v>
      </c>
      <c r="AA188" s="377">
        <v>500</v>
      </c>
      <c r="AB188" s="377">
        <v>500</v>
      </c>
    </row>
    <row r="189" spans="1:28">
      <c r="B189" s="7" t="s">
        <v>7861</v>
      </c>
      <c r="C189"/>
      <c r="D189"/>
      <c r="E189"/>
      <c r="F189"/>
      <c r="G189"/>
      <c r="H189"/>
      <c r="I189"/>
      <c r="J189"/>
      <c r="K189"/>
      <c r="L189"/>
      <c r="M189"/>
      <c r="N189"/>
      <c r="O189"/>
      <c r="P189"/>
      <c r="S189" s="380">
        <f>S187*S188</f>
        <v>0</v>
      </c>
      <c r="T189" s="380">
        <f t="shared" ref="T189:AB189" si="26">T187*T188</f>
        <v>58086000</v>
      </c>
      <c r="U189" s="380">
        <f t="shared" si="26"/>
        <v>159429000</v>
      </c>
      <c r="V189" s="380">
        <f t="shared" si="26"/>
        <v>266416000</v>
      </c>
      <c r="W189" s="380">
        <f t="shared" si="26"/>
        <v>357754500</v>
      </c>
      <c r="X189" s="380">
        <f t="shared" si="26"/>
        <v>421836500</v>
      </c>
      <c r="Y189" s="380">
        <f t="shared" si="26"/>
        <v>454750500</v>
      </c>
      <c r="Z189" s="380">
        <f t="shared" si="26"/>
        <v>458213500</v>
      </c>
      <c r="AA189" s="380">
        <f t="shared" si="26"/>
        <v>437441000</v>
      </c>
      <c r="AB189" s="380">
        <f t="shared" si="26"/>
        <v>399253000</v>
      </c>
    </row>
  </sheetData>
  <pageMargins left="0.7" right="0.7" top="0.75" bottom="0.75" header="0.3" footer="0.3"/>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C8201-36F4-2747-8BFC-6DCF959E5E23}">
  <dimension ref="A1:AF189"/>
  <sheetViews>
    <sheetView zoomScale="50" zoomScaleNormal="50" workbookViewId="0">
      <pane xSplit="2" ySplit="2" topLeftCell="C103" activePane="bottomRight" state="frozen"/>
      <selection pane="topRight" activeCell="C1" sqref="C1"/>
      <selection pane="bottomLeft" activeCell="A3" sqref="A3"/>
      <selection pane="bottomRight" activeCell="S38" sqref="S3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8" ht="21">
      <c r="A1" s="52"/>
      <c r="B1" s="52"/>
      <c r="U1" s="1"/>
      <c r="V1" s="81"/>
    </row>
    <row r="2" spans="1:28" ht="22" thickBot="1">
      <c r="A2" s="52"/>
      <c r="B2" s="212" t="s">
        <v>175</v>
      </c>
      <c r="C2" s="213">
        <v>2007</v>
      </c>
      <c r="D2" s="213">
        <v>2008</v>
      </c>
      <c r="E2" s="213">
        <v>2009</v>
      </c>
      <c r="F2" s="213">
        <v>2010</v>
      </c>
      <c r="G2" s="213">
        <v>2011</v>
      </c>
      <c r="H2" s="213">
        <v>2012</v>
      </c>
      <c r="I2" s="213">
        <v>2013</v>
      </c>
      <c r="J2" s="213">
        <v>2014</v>
      </c>
      <c r="K2" s="213">
        <v>2015</v>
      </c>
      <c r="L2" s="213">
        <v>2016</v>
      </c>
      <c r="M2" s="213">
        <v>2017</v>
      </c>
      <c r="N2" s="213">
        <v>2018</v>
      </c>
      <c r="O2" s="213">
        <v>2019</v>
      </c>
      <c r="P2" s="213">
        <v>2020</v>
      </c>
      <c r="Q2" s="213">
        <v>2021</v>
      </c>
      <c r="R2" s="213">
        <v>2022</v>
      </c>
      <c r="S2" s="213">
        <v>2023</v>
      </c>
      <c r="T2" s="213">
        <v>2024</v>
      </c>
      <c r="U2" s="213">
        <v>2025</v>
      </c>
      <c r="V2" s="213">
        <v>2026</v>
      </c>
      <c r="W2" s="213">
        <v>2027</v>
      </c>
      <c r="X2" s="213">
        <v>2028</v>
      </c>
      <c r="Y2" s="213">
        <v>2029</v>
      </c>
      <c r="Z2" s="213">
        <v>2030</v>
      </c>
      <c r="AA2" s="213">
        <v>2031</v>
      </c>
      <c r="AB2" s="213">
        <v>2032</v>
      </c>
    </row>
    <row r="3" spans="1:28" ht="17" thickTop="1"/>
    <row r="4" spans="1:28" ht="26">
      <c r="A4" s="292" t="s">
        <v>7791</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8">
      <c r="A5" s="1"/>
      <c r="B5" s="82"/>
      <c r="C5" s="47">
        <f>B5+C38-C67</f>
        <v>6296239.7586206896</v>
      </c>
      <c r="D5" s="47">
        <f t="shared" ref="D5:AB5" si="0">C5+D38-D67</f>
        <v>15741453.077067763</v>
      </c>
      <c r="E5" s="47">
        <f t="shared" si="0"/>
        <v>23926437.36678322</v>
      </c>
      <c r="F5" s="47">
        <f t="shared" si="0"/>
        <v>26897940.414263327</v>
      </c>
      <c r="G5" s="47">
        <f t="shared" si="0"/>
        <v>28607256.464263327</v>
      </c>
      <c r="H5" s="47">
        <f t="shared" si="0"/>
        <v>30576756.47719305</v>
      </c>
      <c r="I5" s="47">
        <f t="shared" si="0"/>
        <v>31824690.726521745</v>
      </c>
      <c r="J5" s="47">
        <f t="shared" si="0"/>
        <v>32377488.409027457</v>
      </c>
      <c r="K5" s="47">
        <f t="shared" si="0"/>
        <v>32423831.265239067</v>
      </c>
      <c r="L5" s="47">
        <f t="shared" si="0"/>
        <v>32657973.504002661</v>
      </c>
      <c r="M5" s="47">
        <f t="shared" si="0"/>
        <v>32296382.315552652</v>
      </c>
      <c r="N5" s="47">
        <f t="shared" si="0"/>
        <v>32490056.083327718</v>
      </c>
      <c r="O5" s="47">
        <f t="shared" si="0"/>
        <v>34374389.838731639</v>
      </c>
      <c r="P5" s="47">
        <f t="shared" si="0"/>
        <v>38290180.850886896</v>
      </c>
      <c r="Q5" s="47">
        <f t="shared" si="0"/>
        <v>41723596.522652984</v>
      </c>
      <c r="R5" s="47">
        <f t="shared" si="0"/>
        <v>44237631.029590286</v>
      </c>
      <c r="S5" s="47">
        <f t="shared" si="0"/>
        <v>46077534.536527589</v>
      </c>
      <c r="T5" s="47">
        <f t="shared" si="0"/>
        <v>47542283.043464892</v>
      </c>
      <c r="U5" s="47">
        <f t="shared" si="0"/>
        <v>48713929.550402194</v>
      </c>
      <c r="V5" s="47">
        <f t="shared" si="0"/>
        <v>49683039.057339497</v>
      </c>
      <c r="W5" s="47">
        <f t="shared" si="0"/>
        <v>50537832.5642768</v>
      </c>
      <c r="X5" s="47">
        <f t="shared" si="0"/>
        <v>51355488.071214102</v>
      </c>
      <c r="Y5" s="47">
        <f t="shared" si="0"/>
        <v>52196773.578151405</v>
      </c>
      <c r="Z5" s="47">
        <f t="shared" si="0"/>
        <v>53103792.085088708</v>
      </c>
      <c r="AA5" s="47">
        <f t="shared" si="0"/>
        <v>54100242.59202601</v>
      </c>
      <c r="AB5" s="47">
        <f t="shared" si="0"/>
        <v>55193435.098963313</v>
      </c>
    </row>
    <row r="6" spans="1:28">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8">
      <c r="A7" s="1" t="s">
        <v>7762</v>
      </c>
      <c r="B7" s="7">
        <v>2007</v>
      </c>
      <c r="C7" s="83">
        <f>$C$38*Product_lifespan!B25</f>
        <v>6296239.7586206896</v>
      </c>
      <c r="D7" s="83">
        <f>$C$38*Product_lifespan!C25</f>
        <v>5953133.5529929036</v>
      </c>
      <c r="E7" s="83">
        <f>$C$38*Product_lifespan!D25</f>
        <v>5312628.1227337867</v>
      </c>
      <c r="F7" s="83">
        <f>$C$38*Product_lifespan!E25</f>
        <v>4549311.1156588271</v>
      </c>
      <c r="G7" s="83">
        <f>$C$38*Product_lifespan!F25</f>
        <v>3762243.1119793053</v>
      </c>
      <c r="H7" s="83">
        <f>$C$38*Product_lifespan!G25</f>
        <v>3016408.7345313723</v>
      </c>
      <c r="I7" s="83">
        <f>$C$38*Product_lifespan!H25</f>
        <v>2350921.1590401442</v>
      </c>
      <c r="J7" s="83">
        <f>$C$38*Product_lifespan!I25</f>
        <v>1784686.2815747173</v>
      </c>
      <c r="K7" s="83">
        <f>$C$38*Product_lifespan!J25</f>
        <v>1321747.5755234691</v>
      </c>
      <c r="L7" s="83">
        <f>$C$38*Product_lifespan!K25</f>
        <v>956221.97917558963</v>
      </c>
      <c r="M7" s="83">
        <f>$C$38*Product_lifespan!L25</f>
        <v>676491.44003402896</v>
      </c>
      <c r="N7" s="83">
        <f>$C$38*Product_lifespan!M25</f>
        <v>468447.44573115907</v>
      </c>
      <c r="O7" s="83">
        <f>$C$38*Product_lifespan!N25</f>
        <v>317762.92716612213</v>
      </c>
      <c r="P7" s="83">
        <f>$C$38*Product_lifespan!O25</f>
        <v>211298.42119974451</v>
      </c>
      <c r="Q7" s="83">
        <f>$C$38*Product_lifespan!P25</f>
        <v>137820.20510192582</v>
      </c>
      <c r="R7" s="83">
        <f>$C$38*Product_lifespan!Q25</f>
        <v>88226.310033755712</v>
      </c>
      <c r="S7" s="83">
        <f>$C$38*Product_lifespan!R25</f>
        <v>55459.187490908189</v>
      </c>
      <c r="T7" s="83">
        <f>$C$38*Product_lifespan!S25</f>
        <v>34248.442737314057</v>
      </c>
      <c r="U7" s="83">
        <f>$C$38*Product_lifespan!T25</f>
        <v>20786.67008066069</v>
      </c>
      <c r="V7" s="83">
        <f>$C$38*Product_lifespan!U25</f>
        <v>12404.405880600823</v>
      </c>
      <c r="W7" s="83">
        <f>$C$38*Product_lifespan!V25</f>
        <v>7280.6706728968684</v>
      </c>
      <c r="X7" s="83">
        <f>$C$38*Product_lifespan!W25</f>
        <v>4204.5294545930774</v>
      </c>
      <c r="Y7" s="83">
        <f>$C$38*Product_lifespan!X25</f>
        <v>2389.7381836686386</v>
      </c>
      <c r="Z7" s="83">
        <f>$C$38*Product_lifespan!Y25</f>
        <v>1337.2040123827519</v>
      </c>
      <c r="AA7" s="83">
        <f>$C$38*Product_lifespan!Z25</f>
        <v>736.84999439833393</v>
      </c>
      <c r="AB7" s="83">
        <f>$C$38*Product_lifespan!AA25</f>
        <v>399.95131582986107</v>
      </c>
    </row>
    <row r="8" spans="1:28">
      <c r="A8" s="1"/>
      <c r="B8" s="7">
        <v>2008</v>
      </c>
      <c r="C8" s="83"/>
      <c r="D8" s="83">
        <f>$D$38*Product_lifespan!B25</f>
        <v>9788319.3184470721</v>
      </c>
      <c r="E8" s="83">
        <f>$D$38*Product_lifespan!C25</f>
        <v>9254916.3303815015</v>
      </c>
      <c r="F8" s="83">
        <f>$D$38*Product_lifespan!D25</f>
        <v>8259167.7698233472</v>
      </c>
      <c r="G8" s="83">
        <f>$D$38*Product_lifespan!E25</f>
        <v>7072492.7236227831</v>
      </c>
      <c r="H8" s="83">
        <f>$D$38*Product_lifespan!F25</f>
        <v>5848893.6802732088</v>
      </c>
      <c r="I8" s="83">
        <f>$D$38*Product_lifespan!G25</f>
        <v>4689397.6437476156</v>
      </c>
      <c r="J8" s="83">
        <f>$D$38*Product_lifespan!H25</f>
        <v>3654811.1062117084</v>
      </c>
      <c r="K8" s="83">
        <f>$D$38*Product_lifespan!I25</f>
        <v>2774525.7291682628</v>
      </c>
      <c r="L8" s="83">
        <f>$D$38*Product_lifespan!J25</f>
        <v>2054827.6151480607</v>
      </c>
      <c r="M8" s="83">
        <f>$D$38*Product_lifespan!K25</f>
        <v>1486570.7835653578</v>
      </c>
      <c r="N8" s="83">
        <f>$D$38*Product_lifespan!L25</f>
        <v>1051693.4686584705</v>
      </c>
      <c r="O8" s="83">
        <f>$D$38*Product_lifespan!M25</f>
        <v>728262.16257876274</v>
      </c>
      <c r="P8" s="83">
        <f>$D$38*Product_lifespan!N25</f>
        <v>494003.58275870793</v>
      </c>
      <c r="Q8" s="83">
        <f>$D$38*Product_lifespan!O25</f>
        <v>328490.73375184112</v>
      </c>
      <c r="R8" s="83">
        <f>$D$38*Product_lifespan!P25</f>
        <v>214259.34014416378</v>
      </c>
      <c r="S8" s="83">
        <f>$D$38*Product_lifespan!Q25</f>
        <v>137159.21375394016</v>
      </c>
      <c r="T8" s="83">
        <f>$D$38*Product_lifespan!R25</f>
        <v>86218.482318652503</v>
      </c>
      <c r="U8" s="83">
        <f>$D$38*Product_lifespan!S25</f>
        <v>53243.63533224455</v>
      </c>
      <c r="V8" s="83">
        <f>$D$38*Product_lifespan!T25</f>
        <v>32315.56804013607</v>
      </c>
      <c r="W8" s="83">
        <f>$D$38*Product_lifespan!U25</f>
        <v>19284.25383558495</v>
      </c>
      <c r="X8" s="83">
        <f>$D$38*Product_lifespan!V25</f>
        <v>11318.744541325968</v>
      </c>
      <c r="Y8" s="83">
        <f>$D$38*Product_lifespan!W25</f>
        <v>6536.485023306831</v>
      </c>
      <c r="Z8" s="83">
        <f>$D$38*Product_lifespan!X25</f>
        <v>3715.157193181396</v>
      </c>
      <c r="AA8" s="83">
        <f>$D$38*Product_lifespan!Y25</f>
        <v>2078.8566460147663</v>
      </c>
      <c r="AB8" s="83">
        <f>$D$38*Product_lifespan!Z25</f>
        <v>1145.5286506667064</v>
      </c>
    </row>
    <row r="9" spans="1:28">
      <c r="A9" s="1"/>
      <c r="B9" s="7">
        <v>2009</v>
      </c>
      <c r="C9" s="83"/>
      <c r="D9" s="83"/>
      <c r="E9" s="83">
        <f>$E$38*Product_lifespan!B25</f>
        <v>9358892.2897154577</v>
      </c>
      <c r="F9" s="83">
        <f>$E$38*Product_lifespan!C25</f>
        <v>8848890.4242358524</v>
      </c>
      <c r="G9" s="83">
        <f>$E$38*Product_lifespan!D25</f>
        <v>7896826.7223151177</v>
      </c>
      <c r="H9" s="83">
        <f>$E$38*Product_lifespan!E25</f>
        <v>6762212.7422262281</v>
      </c>
      <c r="I9" s="83">
        <f>$E$38*Product_lifespan!F25</f>
        <v>5592294.6715186276</v>
      </c>
      <c r="J9" s="83">
        <f>$E$38*Product_lifespan!G25</f>
        <v>4483667.3205755418</v>
      </c>
      <c r="K9" s="83">
        <f>$E$38*Product_lifespan!H25</f>
        <v>3494469.5171344127</v>
      </c>
      <c r="L9" s="83">
        <f>$E$38*Product_lifespan!I25</f>
        <v>2652803.4700904735</v>
      </c>
      <c r="M9" s="83">
        <f>$E$38*Product_lifespan!J25</f>
        <v>1964679.502012261</v>
      </c>
      <c r="N9" s="83">
        <f>$E$38*Product_lifespan!K25</f>
        <v>1421352.8790592572</v>
      </c>
      <c r="O9" s="83">
        <f>$E$38*Product_lifespan!L25</f>
        <v>1005554.2299710569</v>
      </c>
      <c r="P9" s="83">
        <f>$E$38*Product_lifespan!M25</f>
        <v>696312.30004981183</v>
      </c>
      <c r="Q9" s="83">
        <f>$E$38*Product_lifespan!N25</f>
        <v>472330.96626293752</v>
      </c>
      <c r="R9" s="83">
        <f>$E$38*Product_lifespan!O25</f>
        <v>314079.39354402077</v>
      </c>
      <c r="S9" s="83">
        <f>$E$38*Product_lifespan!P25</f>
        <v>204859.48825715957</v>
      </c>
      <c r="T9" s="83">
        <f>$E$38*Product_lifespan!Q25</f>
        <v>131141.85043452779</v>
      </c>
      <c r="U9" s="83">
        <f>$E$38*Product_lifespan!R25</f>
        <v>82435.958937537245</v>
      </c>
      <c r="V9" s="83">
        <f>$E$38*Product_lifespan!S25</f>
        <v>50907.763833191042</v>
      </c>
      <c r="W9" s="83">
        <f>$E$38*Product_lifespan!T25</f>
        <v>30897.839632042862</v>
      </c>
      <c r="X9" s="83">
        <f>$E$38*Product_lifespan!U25</f>
        <v>18438.227101422861</v>
      </c>
      <c r="Y9" s="83">
        <f>$E$38*Product_lifespan!V25</f>
        <v>10822.175653529925</v>
      </c>
      <c r="Z9" s="83">
        <f>$E$38*Product_lifespan!W25</f>
        <v>6249.7204368044904</v>
      </c>
      <c r="AA9" s="83">
        <f>$E$38*Product_lifespan!X25</f>
        <v>3552.1681382849033</v>
      </c>
      <c r="AB9" s="83">
        <f>$E$38*Product_lifespan!Y25</f>
        <v>1987.6543462517545</v>
      </c>
    </row>
    <row r="10" spans="1:28">
      <c r="A10" s="1"/>
      <c r="B10" s="7">
        <v>2010</v>
      </c>
      <c r="C10" s="83"/>
      <c r="D10" s="83"/>
      <c r="E10" s="83"/>
      <c r="F10" s="83">
        <f>$F$38*Product_lifespan!B25</f>
        <v>5240570.0474801064</v>
      </c>
      <c r="G10" s="83">
        <f>$F$38*Product_lifespan!C25</f>
        <v>4954991.325377658</v>
      </c>
      <c r="H10" s="83">
        <f>$F$38*Product_lifespan!D25</f>
        <v>4421877.3237279467</v>
      </c>
      <c r="I10" s="83">
        <f>$F$38*Product_lifespan!E25</f>
        <v>3786543.1564526018</v>
      </c>
      <c r="J10" s="83">
        <f>$F$38*Product_lifespan!F25</f>
        <v>3131440.2436759048</v>
      </c>
      <c r="K10" s="83">
        <f>$F$38*Product_lifespan!G25</f>
        <v>2510657.4512984329</v>
      </c>
      <c r="L10" s="83">
        <f>$F$38*Product_lifespan!H25</f>
        <v>1956749.9781412326</v>
      </c>
      <c r="M10" s="83">
        <f>$F$38*Product_lifespan!I25</f>
        <v>1485453.8311638266</v>
      </c>
      <c r="N10" s="83">
        <f>$F$38*Product_lifespan!J25</f>
        <v>1100134.5279353163</v>
      </c>
      <c r="O10" s="83">
        <f>$F$38*Product_lifespan!K25</f>
        <v>795895.40025831666</v>
      </c>
      <c r="P10" s="83">
        <f>$F$38*Product_lifespan!L25</f>
        <v>563066.35610008286</v>
      </c>
      <c r="Q10" s="83">
        <f>$F$38*Product_lifespan!M25</f>
        <v>389904.41073277581</v>
      </c>
      <c r="R10" s="83">
        <f>$F$38*Product_lifespan!N25</f>
        <v>264484.66738045384</v>
      </c>
      <c r="S10" s="83">
        <f>$F$38*Product_lifespan!O25</f>
        <v>175870.71326232291</v>
      </c>
      <c r="T10" s="83">
        <f>$F$38*Product_lifespan!P25</f>
        <v>114712.34681077984</v>
      </c>
      <c r="U10" s="83">
        <f>$F$38*Product_lifespan!Q25</f>
        <v>73433.696219961232</v>
      </c>
      <c r="V10" s="83">
        <f>$F$38*Product_lifespan!R25</f>
        <v>46160.528817934748</v>
      </c>
      <c r="W10" s="83">
        <f>$F$38*Product_lifespan!S25</f>
        <v>28506.119535277099</v>
      </c>
      <c r="X10" s="83">
        <f>$F$38*Product_lifespan!T25</f>
        <v>17301.437808560415</v>
      </c>
      <c r="Y10" s="83">
        <f>$F$38*Product_lifespan!U25</f>
        <v>10324.600143388376</v>
      </c>
      <c r="Z10" s="83">
        <f>$F$38*Product_lifespan!V25</f>
        <v>6059.9446839217417</v>
      </c>
      <c r="AA10" s="83">
        <f>$F$38*Product_lifespan!W25</f>
        <v>3499.5698969880627</v>
      </c>
      <c r="AB10" s="83">
        <f>$F$38*Product_lifespan!X25</f>
        <v>1989.0586805412424</v>
      </c>
    </row>
    <row r="11" spans="1:28">
      <c r="A11" s="1"/>
      <c r="B11" s="7">
        <v>2011</v>
      </c>
      <c r="C11" s="83"/>
      <c r="D11" s="83"/>
      <c r="E11" s="83"/>
      <c r="F11" s="83"/>
      <c r="G11" s="83">
        <f>$G$38*Product_lifespan!B25</f>
        <v>4920701.05</v>
      </c>
      <c r="H11" s="83">
        <f>$G$38*Product_lifespan!C25</f>
        <v>4652553.2139868392</v>
      </c>
      <c r="I11" s="83">
        <f>$G$38*Product_lifespan!D25</f>
        <v>4151978.9245641022</v>
      </c>
      <c r="J11" s="83">
        <f>$G$38*Product_lifespan!E25</f>
        <v>3555423.688074911</v>
      </c>
      <c r="K11" s="83">
        <f>$G$38*Product_lifespan!F25</f>
        <v>2940306.332223827</v>
      </c>
      <c r="L11" s="83">
        <f>$G$38*Product_lifespan!G25</f>
        <v>2357414.2974646348</v>
      </c>
      <c r="M11" s="83">
        <f>$G$38*Product_lifespan!H25</f>
        <v>1837315.7089383588</v>
      </c>
      <c r="N11" s="83">
        <f>$G$38*Product_lifespan!I25</f>
        <v>1394786.0939763752</v>
      </c>
      <c r="O11" s="83">
        <f>$G$38*Product_lifespan!J25</f>
        <v>1032985.5488441718</v>
      </c>
      <c r="P11" s="83">
        <f>$G$38*Product_lifespan!K25</f>
        <v>747316.28358339122</v>
      </c>
      <c r="Q11" s="83">
        <f>$G$38*Product_lifespan!L25</f>
        <v>528698.4401656104</v>
      </c>
      <c r="R11" s="83">
        <f>$G$38*Product_lifespan!M25</f>
        <v>366105.79114669957</v>
      </c>
      <c r="S11" s="83">
        <f>$G$38*Product_lifespan!N25</f>
        <v>248341.30041133476</v>
      </c>
      <c r="T11" s="83">
        <f>$G$38*Product_lifespan!O25</f>
        <v>165136.08168071078</v>
      </c>
      <c r="U11" s="83">
        <f>$G$38*Product_lifespan!P25</f>
        <v>107710.64221747936</v>
      </c>
      <c r="V11" s="83">
        <f>$G$38*Product_lifespan!Q25</f>
        <v>68951.519170838059</v>
      </c>
      <c r="W11" s="83">
        <f>$G$38*Product_lifespan!R25</f>
        <v>43343.025771058354</v>
      </c>
      <c r="X11" s="83">
        <f>$G$38*Product_lifespan!S25</f>
        <v>26766.18975756492</v>
      </c>
      <c r="Y11" s="83">
        <f>$G$38*Product_lifespan!T25</f>
        <v>16245.408881049045</v>
      </c>
      <c r="Z11" s="83">
        <f>$G$38*Product_lifespan!U25</f>
        <v>9694.416887115216</v>
      </c>
      <c r="AA11" s="83">
        <f>$G$38*Product_lifespan!V25</f>
        <v>5690.0634661784525</v>
      </c>
      <c r="AB11" s="83">
        <f>$G$38*Product_lifespan!W25</f>
        <v>3285.9664331627123</v>
      </c>
    </row>
    <row r="12" spans="1:28">
      <c r="A12" s="1"/>
      <c r="B12" s="7">
        <v>2012</v>
      </c>
      <c r="C12" s="83"/>
      <c r="D12" s="83"/>
      <c r="E12" s="83"/>
      <c r="F12" s="83"/>
      <c r="G12" s="83"/>
      <c r="H12" s="83">
        <f>$H$38*Product_lifespan!B25</f>
        <v>5874809.0129297227</v>
      </c>
      <c r="I12" s="83">
        <f>$H$38*Product_lifespan!C25</f>
        <v>5554668.1818162948</v>
      </c>
      <c r="J12" s="83">
        <f>$H$38*Product_lifespan!D25</f>
        <v>4957034.1623422634</v>
      </c>
      <c r="K12" s="83">
        <f>$H$38*Product_lifespan!E25</f>
        <v>4244808.8016820941</v>
      </c>
      <c r="L12" s="83">
        <f>$H$38*Product_lifespan!F25</f>
        <v>3510422.1869611195</v>
      </c>
      <c r="M12" s="83">
        <f>$H$38*Product_lifespan!G25</f>
        <v>2814509.2785010026</v>
      </c>
      <c r="N12" s="83">
        <f>$H$38*Product_lifespan!H25</f>
        <v>2193565.2616954721</v>
      </c>
      <c r="O12" s="83">
        <f>$H$38*Product_lifespan!I25</f>
        <v>1665230.5906698909</v>
      </c>
      <c r="P12" s="83">
        <f>$H$38*Product_lifespan!J25</f>
        <v>1233278.0940991929</v>
      </c>
      <c r="Q12" s="83">
        <f>$H$38*Product_lifespan!K25</f>
        <v>892218.48547471734</v>
      </c>
      <c r="R12" s="83">
        <f>$H$38*Product_lifespan!L25</f>
        <v>631211.35176598746</v>
      </c>
      <c r="S12" s="83">
        <f>$H$38*Product_lifespan!M25</f>
        <v>437092.51581426541</v>
      </c>
      <c r="T12" s="83">
        <f>$H$38*Product_lifespan!N25</f>
        <v>296493.87254265271</v>
      </c>
      <c r="U12" s="83">
        <f>$H$38*Product_lifespan!O25</f>
        <v>197155.43195166034</v>
      </c>
      <c r="V12" s="83">
        <f>$H$38*Product_lifespan!P25</f>
        <v>128595.38615695754</v>
      </c>
      <c r="W12" s="83">
        <f>$H$38*Product_lifespan!Q25</f>
        <v>82320.994948481166</v>
      </c>
      <c r="X12" s="83">
        <f>$H$38*Product_lifespan!R25</f>
        <v>51747.097793607863</v>
      </c>
      <c r="Y12" s="83">
        <f>$H$38*Product_lifespan!S25</f>
        <v>31956.067079004857</v>
      </c>
      <c r="Z12" s="83">
        <f>$H$38*Product_lifespan!T25</f>
        <v>19395.340936860102</v>
      </c>
      <c r="AA12" s="83">
        <f>$H$38*Product_lifespan!U25</f>
        <v>11574.132857252642</v>
      </c>
      <c r="AB12" s="83">
        <f>$H$38*Product_lifespan!V25</f>
        <v>6793.3483045565863</v>
      </c>
    </row>
    <row r="13" spans="1:28">
      <c r="A13" s="1"/>
      <c r="B13" s="7">
        <v>2013</v>
      </c>
      <c r="C13" s="83"/>
      <c r="D13" s="83"/>
      <c r="E13" s="83"/>
      <c r="F13" s="83"/>
      <c r="G13" s="83"/>
      <c r="H13" s="83"/>
      <c r="I13" s="83">
        <f>$I$38*Product_lifespan!B25</f>
        <v>5698885.2493286971</v>
      </c>
      <c r="J13" s="83">
        <f>$I$38*Product_lifespan!C25</f>
        <v>5388331.1775069982</v>
      </c>
      <c r="K13" s="83">
        <f>$I$38*Product_lifespan!D25</f>
        <v>4808593.5740237646</v>
      </c>
      <c r="L13" s="83">
        <f>$I$38*Product_lifespan!E25</f>
        <v>4117696.1179309897</v>
      </c>
      <c r="M13" s="83">
        <f>$I$38*Product_lifespan!F25</f>
        <v>3405301.0363671929</v>
      </c>
      <c r="N13" s="83">
        <f>$I$38*Product_lifespan!G25</f>
        <v>2730227.5488525727</v>
      </c>
      <c r="O13" s="83">
        <f>$I$38*Product_lifespan!H25</f>
        <v>2127877.9762547677</v>
      </c>
      <c r="P13" s="83">
        <f>$I$38*Product_lifespan!I25</f>
        <v>1615364.5214701174</v>
      </c>
      <c r="Q13" s="83">
        <f>$I$38*Product_lifespan!J25</f>
        <v>1196347.0341442018</v>
      </c>
      <c r="R13" s="83">
        <f>$I$38*Product_lifespan!K25</f>
        <v>865500.6068894451</v>
      </c>
      <c r="S13" s="83">
        <f>$I$38*Product_lifespan!L25</f>
        <v>612309.44765540841</v>
      </c>
      <c r="T13" s="83">
        <f>$I$38*Product_lifespan!M25</f>
        <v>424003.58641168394</v>
      </c>
      <c r="U13" s="83">
        <f>$I$38*Product_lifespan!N25</f>
        <v>287615.23192173248</v>
      </c>
      <c r="V13" s="83">
        <f>$I$38*Product_lifespan!O25</f>
        <v>191251.52502856104</v>
      </c>
      <c r="W13" s="83">
        <f>$I$38*Product_lifespan!P25</f>
        <v>124744.54023759763</v>
      </c>
      <c r="X13" s="83">
        <f>$I$38*Product_lifespan!Q25</f>
        <v>79855.856214125</v>
      </c>
      <c r="Y13" s="83">
        <f>$I$38*Product_lifespan!R25</f>
        <v>50197.507980688657</v>
      </c>
      <c r="Z13" s="83">
        <f>$I$38*Product_lifespan!S25</f>
        <v>30999.128465672504</v>
      </c>
      <c r="AA13" s="83">
        <f>$I$38*Product_lifespan!T25</f>
        <v>18814.538843306447</v>
      </c>
      <c r="AB13" s="83">
        <f>$I$38*Product_lifespan!U25</f>
        <v>11227.540311318837</v>
      </c>
    </row>
    <row r="14" spans="1:28">
      <c r="A14" s="1"/>
      <c r="B14" s="7">
        <v>2014</v>
      </c>
      <c r="C14" s="83"/>
      <c r="D14" s="83"/>
      <c r="E14" s="83"/>
      <c r="F14" s="83"/>
      <c r="G14" s="83"/>
      <c r="H14" s="83"/>
      <c r="I14" s="83"/>
      <c r="J14" s="83">
        <f>$J$38*Product_lifespan!B25</f>
        <v>5422092.6825057119</v>
      </c>
      <c r="K14" s="83">
        <f>$J$38*Product_lifespan!C25</f>
        <v>5126622.0971758636</v>
      </c>
      <c r="L14" s="83">
        <f>$J$38*Product_lifespan!D25</f>
        <v>4575042.1161628906</v>
      </c>
      <c r="M14" s="83">
        <f>$J$38*Product_lifespan!E25</f>
        <v>3917701.2719190582</v>
      </c>
      <c r="N14" s="83">
        <f>$J$38*Product_lifespan!F25</f>
        <v>3239906.9332358693</v>
      </c>
      <c r="O14" s="83">
        <f>$J$38*Product_lifespan!G25</f>
        <v>2597621.4937742134</v>
      </c>
      <c r="P14" s="83">
        <f>$J$38*Product_lifespan!H25</f>
        <v>2024527.7979013722</v>
      </c>
      <c r="Q14" s="83">
        <f>$J$38*Product_lifespan!I25</f>
        <v>1536906.9156944675</v>
      </c>
      <c r="R14" s="83">
        <f>$J$38*Product_lifespan!J25</f>
        <v>1138240.9393722732</v>
      </c>
      <c r="S14" s="83">
        <f>$J$38*Product_lifespan!K25</f>
        <v>823463.59015955031</v>
      </c>
      <c r="T14" s="83">
        <f>$J$38*Product_lifespan!L25</f>
        <v>582569.82380064332</v>
      </c>
      <c r="U14" s="83">
        <f>$J$38*Product_lifespan!M25</f>
        <v>403409.9025787157</v>
      </c>
      <c r="V14" s="83">
        <f>$J$38*Product_lifespan!N25</f>
        <v>273645.87566729967</v>
      </c>
      <c r="W14" s="83">
        <f>$J$38*Product_lifespan!O25</f>
        <v>181962.51530026348</v>
      </c>
      <c r="X14" s="83">
        <f>$J$38*Product_lifespan!P25</f>
        <v>118685.74803896807</v>
      </c>
      <c r="Y14" s="83">
        <f>$J$38*Product_lifespan!Q25</f>
        <v>75977.289362834461</v>
      </c>
      <c r="Z14" s="83">
        <f>$J$38*Product_lifespan!R25</f>
        <v>47759.435186763076</v>
      </c>
      <c r="AA14" s="83">
        <f>$J$38*Product_lifespan!S25</f>
        <v>29493.51325113565</v>
      </c>
      <c r="AB14" s="83">
        <f>$J$38*Product_lifespan!T25</f>
        <v>17900.724251120544</v>
      </c>
    </row>
    <row r="15" spans="1:28">
      <c r="A15" s="1"/>
      <c r="B15" s="7">
        <v>2015</v>
      </c>
      <c r="C15" s="83"/>
      <c r="D15" s="83"/>
      <c r="E15" s="83"/>
      <c r="F15" s="83"/>
      <c r="G15" s="83"/>
      <c r="H15" s="83"/>
      <c r="I15" s="83"/>
      <c r="J15" s="83"/>
      <c r="K15" s="83">
        <f>$K$38*Product_lifespan!B25</f>
        <v>5202098.8562116073</v>
      </c>
      <c r="L15" s="83">
        <f>$K$38*Product_lifespan!C25</f>
        <v>4918616.576584057</v>
      </c>
      <c r="M15" s="83">
        <f>$K$38*Product_lifespan!D25</f>
        <v>4389416.1817632914</v>
      </c>
      <c r="N15" s="83">
        <f>$K$38*Product_lifespan!E25</f>
        <v>3758746.022801395</v>
      </c>
      <c r="O15" s="83">
        <f>$K$38*Product_lifespan!F25</f>
        <v>3108452.2413271414</v>
      </c>
      <c r="P15" s="83">
        <f>$K$38*Product_lifespan!G25</f>
        <v>2492226.6351575386</v>
      </c>
      <c r="Q15" s="83">
        <f>$K$38*Product_lifespan!H25</f>
        <v>1942385.4143644543</v>
      </c>
      <c r="R15" s="83">
        <f>$K$38*Product_lifespan!I25</f>
        <v>1474549.0673802174</v>
      </c>
      <c r="S15" s="83">
        <f>$K$38*Product_lifespan!J25</f>
        <v>1092058.4054024955</v>
      </c>
      <c r="T15" s="83">
        <f>$K$38*Product_lifespan!K25</f>
        <v>790052.70683076116</v>
      </c>
      <c r="U15" s="83">
        <f>$K$38*Product_lifespan!L25</f>
        <v>558932.86808520567</v>
      </c>
      <c r="V15" s="83">
        <f>$K$38*Product_lifespan!M25</f>
        <v>387042.11006207974</v>
      </c>
      <c r="W15" s="83">
        <f>$K$38*Product_lifespan!N25</f>
        <v>262543.07703165745</v>
      </c>
      <c r="X15" s="83">
        <f>$K$38*Product_lifespan!O25</f>
        <v>174579.64076693749</v>
      </c>
      <c r="Y15" s="83">
        <f>$K$38*Product_lifespan!P25</f>
        <v>113870.23982718214</v>
      </c>
      <c r="Z15" s="83">
        <f>$K$38*Product_lifespan!Q25</f>
        <v>72894.617122222728</v>
      </c>
      <c r="AA15" s="83">
        <f>$K$38*Product_lifespan!R25</f>
        <v>45821.662908859886</v>
      </c>
      <c r="AB15" s="83">
        <f>$K$38*Product_lifespan!S25</f>
        <v>28296.85520581896</v>
      </c>
    </row>
    <row r="16" spans="1:28">
      <c r="A16" s="1"/>
      <c r="B16" s="7">
        <v>2016</v>
      </c>
      <c r="C16" s="83"/>
      <c r="D16" s="83"/>
      <c r="E16" s="83"/>
      <c r="F16" s="83"/>
      <c r="G16" s="83"/>
      <c r="H16" s="83"/>
      <c r="I16" s="83"/>
      <c r="J16" s="83"/>
      <c r="K16" s="83"/>
      <c r="L16" s="83">
        <f>$L$38*Product_lifespan!B25</f>
        <v>5558178.2387635969</v>
      </c>
      <c r="M16" s="83">
        <f>$L$38*Product_lifespan!C25</f>
        <v>5255291.8305555843</v>
      </c>
      <c r="N16" s="83">
        <f>$L$38*Product_lifespan!D25</f>
        <v>4689868.1045289831</v>
      </c>
      <c r="O16" s="83">
        <f>$L$38*Product_lifespan!E25</f>
        <v>4016029.0925705764</v>
      </c>
      <c r="P16" s="83">
        <f>$L$38*Product_lifespan!F25</f>
        <v>3321223.237299751</v>
      </c>
      <c r="Q16" s="83">
        <f>$L$38*Product_lifespan!G25</f>
        <v>2662817.4958765493</v>
      </c>
      <c r="R16" s="83">
        <f>$L$38*Product_lifespan!H25</f>
        <v>2075340.096338447</v>
      </c>
      <c r="S16" s="83">
        <f>$L$38*Product_lifespan!I25</f>
        <v>1575480.7366868111</v>
      </c>
      <c r="T16" s="83">
        <f>$L$38*Product_lifespan!J25</f>
        <v>1166808.9038944861</v>
      </c>
      <c r="U16" s="83">
        <f>$L$38*Product_lifespan!K25</f>
        <v>844131.16397040419</v>
      </c>
      <c r="V16" s="83">
        <f>$L$38*Product_lifespan!L25</f>
        <v>597191.36260000058</v>
      </c>
      <c r="W16" s="83">
        <f>$L$38*Product_lifespan!M25</f>
        <v>413534.82374974107</v>
      </c>
      <c r="X16" s="83">
        <f>$L$38*Product_lifespan!N25</f>
        <v>280513.9344387796</v>
      </c>
      <c r="Y16" s="83">
        <f>$L$38*Product_lifespan!O25</f>
        <v>186529.47340347257</v>
      </c>
      <c r="Z16" s="83">
        <f>$L$38*Product_lifespan!P25</f>
        <v>121664.56396623512</v>
      </c>
      <c r="AA16" s="83">
        <f>$L$38*Product_lifespan!Q25</f>
        <v>77884.193632336814</v>
      </c>
      <c r="AB16" s="83">
        <f>$L$38*Product_lifespan!R25</f>
        <v>48958.117998829926</v>
      </c>
    </row>
    <row r="17" spans="1:29">
      <c r="A17" s="86"/>
      <c r="B17" s="7">
        <v>2017</v>
      </c>
      <c r="C17" s="83"/>
      <c r="D17" s="83"/>
      <c r="E17" s="83"/>
      <c r="F17" s="83"/>
      <c r="G17" s="83"/>
      <c r="H17" s="83"/>
      <c r="I17" s="83"/>
      <c r="J17" s="83"/>
      <c r="K17" s="83"/>
      <c r="L17" s="83"/>
      <c r="M17" s="83">
        <f>$M$38*Product_lifespan!B25</f>
        <v>5063650.8115499886</v>
      </c>
      <c r="N17" s="83">
        <f>$M$38*Product_lifespan!C25</f>
        <v>4787713.0958370185</v>
      </c>
      <c r="O17" s="83">
        <f>$M$38*Product_lifespan!D25</f>
        <v>4272596.7778325947</v>
      </c>
      <c r="P17" s="83">
        <f>$M$38*Product_lifespan!E25</f>
        <v>3658711.2000076855</v>
      </c>
      <c r="Q17" s="83">
        <f>$M$38*Product_lifespan!F25</f>
        <v>3025724.260442677</v>
      </c>
      <c r="R17" s="83">
        <f>$M$38*Product_lifespan!G25</f>
        <v>2425898.8097877526</v>
      </c>
      <c r="S17" s="83">
        <f>$M$38*Product_lifespan!H25</f>
        <v>1890690.9983160354</v>
      </c>
      <c r="T17" s="83">
        <f>$M$38*Product_lifespan!I25</f>
        <v>1435305.5926252846</v>
      </c>
      <c r="U17" s="83">
        <f>$M$38*Product_lifespan!J25</f>
        <v>1062994.491958458</v>
      </c>
      <c r="V17" s="83">
        <f>$M$38*Product_lifespan!K25</f>
        <v>769026.33738571871</v>
      </c>
      <c r="W17" s="83">
        <f>$M$38*Product_lifespan!L25</f>
        <v>544057.49473640684</v>
      </c>
      <c r="X17" s="83">
        <f>$M$38*Product_lifespan!M25</f>
        <v>376741.417049332</v>
      </c>
      <c r="Y17" s="83">
        <f>$M$38*Product_lifespan!N25</f>
        <v>255555.78658232751</v>
      </c>
      <c r="Z17" s="83">
        <f>$M$38*Product_lifespan!O25</f>
        <v>169933.3988230633</v>
      </c>
      <c r="AA17" s="83">
        <f>$M$38*Product_lifespan!P25</f>
        <v>110839.71071095852</v>
      </c>
      <c r="AB17" s="83">
        <f>$M$38*Product_lifespan!Q25</f>
        <v>70954.608390001405</v>
      </c>
      <c r="AC17" s="83"/>
    </row>
    <row r="18" spans="1:29">
      <c r="A18" s="1"/>
      <c r="B18" s="7">
        <v>2018</v>
      </c>
      <c r="C18" s="83"/>
      <c r="D18" s="83"/>
      <c r="E18" s="83"/>
      <c r="F18" s="83"/>
      <c r="G18" s="83"/>
      <c r="H18" s="83"/>
      <c r="I18" s="83"/>
      <c r="J18" s="83"/>
      <c r="K18" s="83"/>
      <c r="L18" s="83"/>
      <c r="M18" s="83"/>
      <c r="N18" s="83">
        <f>$N$38*Product_lifespan!B25</f>
        <v>5653613.767775069</v>
      </c>
      <c r="O18" s="83">
        <f>$N$38*Product_lifespan!C25</f>
        <v>5345526.7122765249</v>
      </c>
      <c r="P18" s="83">
        <f>$N$38*Product_lifespan!D25</f>
        <v>4770394.49722871</v>
      </c>
      <c r="Q18" s="83">
        <f>$N$38*Product_lifespan!E25</f>
        <v>4084985.474412011</v>
      </c>
      <c r="R18" s="83">
        <f>$N$38*Product_lifespan!F25</f>
        <v>3378249.6015149807</v>
      </c>
      <c r="S18" s="83">
        <f>$N$38*Product_lifespan!G25</f>
        <v>2708538.8429552838</v>
      </c>
      <c r="T18" s="83">
        <f>$N$38*Product_lifespan!H25</f>
        <v>2110974.2864389857</v>
      </c>
      <c r="U18" s="83">
        <f>$N$38*Product_lifespan!I25</f>
        <v>1602532.1969124796</v>
      </c>
      <c r="V18" s="83">
        <f>$N$38*Product_lifespan!J25</f>
        <v>1186843.3504730177</v>
      </c>
      <c r="W18" s="83">
        <f>$N$38*Product_lifespan!K25</f>
        <v>858625.14036481816</v>
      </c>
      <c r="X18" s="83">
        <f>$N$38*Product_lifespan!L25</f>
        <v>607445.3111353917</v>
      </c>
      <c r="Y18" s="83">
        <f>$N$38*Product_lifespan!M25</f>
        <v>420635.33635906712</v>
      </c>
      <c r="Z18" s="83">
        <f>$N$38*Product_lifespan!N25</f>
        <v>285330.43987963599</v>
      </c>
      <c r="AA18" s="83">
        <f>$N$38*Product_lifespan!O25</f>
        <v>189732.23844730313</v>
      </c>
      <c r="AB18" s="83">
        <f>$N$38*Product_lifespan!P25</f>
        <v>123753.57974178006</v>
      </c>
    </row>
    <row r="19" spans="1:29">
      <c r="A19" s="1"/>
      <c r="B19" s="7">
        <v>2019</v>
      </c>
      <c r="C19" s="83"/>
      <c r="D19" s="83"/>
      <c r="E19" s="83"/>
      <c r="F19" s="83"/>
      <c r="G19" s="83"/>
      <c r="H19" s="83"/>
      <c r="I19" s="83"/>
      <c r="J19" s="83"/>
      <c r="K19" s="83"/>
      <c r="L19" s="83"/>
      <c r="M19" s="83"/>
      <c r="N19" s="83"/>
      <c r="O19" s="83">
        <f>$O$38*Product_lifespan!B25</f>
        <v>7360593.7554039191</v>
      </c>
      <c r="P19" s="83">
        <f>$O$38*Product_lifespan!C25</f>
        <v>6959486.8262838209</v>
      </c>
      <c r="Q19" s="83">
        <f>$O$38*Product_lifespan!D25</f>
        <v>6210706.5302646691</v>
      </c>
      <c r="R19" s="83">
        <f>$O$38*Product_lifespan!E25</f>
        <v>5318353.8545304155</v>
      </c>
      <c r="S19" s="83">
        <f>$O$38*Product_lifespan!F25</f>
        <v>4398235.1717833588</v>
      </c>
      <c r="T19" s="83">
        <f>$O$38*Product_lifespan!G25</f>
        <v>3526320.4938690816</v>
      </c>
      <c r="U19" s="83">
        <f>$O$38*Product_lifespan!H25</f>
        <v>2748334.9214879065</v>
      </c>
      <c r="V19" s="83">
        <f>$O$38*Product_lifespan!I25</f>
        <v>2086380.3163670613</v>
      </c>
      <c r="W19" s="83">
        <f>$O$38*Product_lifespan!J25</f>
        <v>1545183.6848013559</v>
      </c>
      <c r="X19" s="83">
        <f>$O$38*Product_lifespan!K25</f>
        <v>1117867.4571696594</v>
      </c>
      <c r="Y19" s="83">
        <f>$O$38*Product_lifespan!L25</f>
        <v>790849.59594828158</v>
      </c>
      <c r="Z19" s="83">
        <f>$O$38*Product_lifespan!M25</f>
        <v>547636.60152278678</v>
      </c>
      <c r="AA19" s="83">
        <f>$O$38*Product_lifespan!N25</f>
        <v>371479.47140917234</v>
      </c>
      <c r="AB19" s="83">
        <f>$O$38*Product_lifespan!O25</f>
        <v>247017.56909432882</v>
      </c>
    </row>
    <row r="20" spans="1:29">
      <c r="A20" s="1"/>
      <c r="B20" s="7">
        <v>2020</v>
      </c>
      <c r="C20" s="83"/>
      <c r="D20" s="83"/>
      <c r="E20" s="83"/>
      <c r="F20" s="83"/>
      <c r="G20" s="83"/>
      <c r="H20" s="83"/>
      <c r="I20" s="83"/>
      <c r="J20" s="83"/>
      <c r="K20" s="83"/>
      <c r="L20" s="83"/>
      <c r="M20" s="83"/>
      <c r="N20" s="83"/>
      <c r="O20" s="83"/>
      <c r="P20" s="83">
        <f>$P$38*Product_lifespan!B25</f>
        <v>9502970.0121552534</v>
      </c>
      <c r="Q20" s="83">
        <f>$P$38*Product_lifespan!C25</f>
        <v>8985116.8000692669</v>
      </c>
      <c r="R20" s="83">
        <f>$P$38*Product_lifespan!D25</f>
        <v>8018396.3240833916</v>
      </c>
      <c r="S20" s="83">
        <f>$P$38*Product_lifespan!E25</f>
        <v>6866315.25568543</v>
      </c>
      <c r="T20" s="83">
        <f>$P$38*Product_lifespan!F25</f>
        <v>5678386.5993389767</v>
      </c>
      <c r="U20" s="83">
        <f>$P$38*Product_lifespan!G25</f>
        <v>4552692.2175108502</v>
      </c>
      <c r="V20" s="83">
        <f>$P$38*Product_lifespan!H25</f>
        <v>3548265.9701310233</v>
      </c>
      <c r="W20" s="83">
        <f>$P$38*Product_lifespan!I25</f>
        <v>2693642.6923209755</v>
      </c>
      <c r="X20" s="83">
        <f>$P$38*Product_lifespan!J25</f>
        <v>1994925.2340082519</v>
      </c>
      <c r="Y20" s="83">
        <f>$P$38*Product_lifespan!K25</f>
        <v>1443234.2384401259</v>
      </c>
      <c r="Z20" s="83">
        <f>$P$38*Product_lifespan!L25</f>
        <v>1021034.4768591571</v>
      </c>
      <c r="AA20" s="83">
        <f>$P$38*Product_lifespan!M25</f>
        <v>707031.84753389156</v>
      </c>
      <c r="AB20" s="83">
        <f>$P$38*Product_lifespan!N25</f>
        <v>479602.37913428078</v>
      </c>
    </row>
    <row r="21" spans="1:29">
      <c r="A21" s="1"/>
      <c r="B21" s="7">
        <v>2021</v>
      </c>
      <c r="C21" s="83"/>
      <c r="D21" s="83"/>
      <c r="E21" s="83"/>
      <c r="F21" s="83"/>
      <c r="G21" s="83"/>
      <c r="H21" s="83"/>
      <c r="I21" s="83"/>
      <c r="J21" s="83"/>
      <c r="K21" s="83"/>
      <c r="L21" s="83"/>
      <c r="M21" s="83"/>
      <c r="N21" s="83"/>
      <c r="O21" s="83"/>
      <c r="P21" s="83"/>
      <c r="Q21" s="83">
        <f>$Q$38*Product_lifespan!B39</f>
        <v>9329142.6717660911</v>
      </c>
      <c r="R21" s="83">
        <f>$Q$38*Product_lifespan!C39</f>
        <v>9059859.3727631923</v>
      </c>
      <c r="S21" s="83">
        <f>$Q$38*Product_lifespan!D39</f>
        <v>8536523.9265066758</v>
      </c>
      <c r="T21" s="83">
        <f>$Q$38*Product_lifespan!E39</f>
        <v>7871724.6519239647</v>
      </c>
      <c r="U21" s="83">
        <f>$Q$38*Product_lifespan!F39</f>
        <v>7127670.8038117299</v>
      </c>
      <c r="V21" s="83">
        <f>$Q$38*Product_lifespan!G39</f>
        <v>6350251.3053454589</v>
      </c>
      <c r="W21" s="83">
        <f>$Q$38*Product_lifespan!H39</f>
        <v>5574518.1426157951</v>
      </c>
      <c r="X21" s="83">
        <f>$Q$38*Product_lifespan!I39</f>
        <v>4826723.0492798658</v>
      </c>
      <c r="Y21" s="83">
        <f>$Q$38*Product_lifespan!J39</f>
        <v>4125580.6590333078</v>
      </c>
      <c r="Z21" s="83">
        <f>$Q$38*Product_lifespan!K39</f>
        <v>3483361.4589242125</v>
      </c>
      <c r="AA21" s="83">
        <f>$Q$38*Product_lifespan!L39</f>
        <v>2906955.1874042624</v>
      </c>
      <c r="AB21" s="83">
        <f>$Q$38*Product_lifespan!M39</f>
        <v>2398912.3701994792</v>
      </c>
    </row>
    <row r="22" spans="1:29">
      <c r="A22" s="1"/>
      <c r="B22" s="7">
        <v>2022</v>
      </c>
      <c r="C22" s="83"/>
      <c r="D22" s="83"/>
      <c r="E22" s="83"/>
      <c r="F22" s="83"/>
      <c r="G22" s="83"/>
      <c r="H22" s="83"/>
      <c r="I22" s="83"/>
      <c r="J22" s="83"/>
      <c r="K22" s="83"/>
      <c r="L22" s="83"/>
      <c r="M22" s="83"/>
      <c r="N22" s="83"/>
      <c r="O22" s="83"/>
      <c r="P22" s="83"/>
      <c r="Q22" s="83"/>
      <c r="R22" s="83">
        <f>$R$38*Product_lifespan!B39</f>
        <v>8604874.5069373045</v>
      </c>
      <c r="S22" s="83">
        <f>$R$38*Product_lifespan!C39</f>
        <v>8356497.0218607076</v>
      </c>
      <c r="T22" s="83">
        <f>$R$38*Product_lifespan!D39</f>
        <v>7873790.7327074679</v>
      </c>
      <c r="U22" s="83">
        <f>$R$38*Product_lifespan!E39</f>
        <v>7260603.1621711245</v>
      </c>
      <c r="V22" s="83">
        <f>$R$38*Product_lifespan!F39</f>
        <v>6574313.9483952224</v>
      </c>
      <c r="W22" s="83">
        <f>$R$38*Product_lifespan!G39</f>
        <v>5857249.4271510635</v>
      </c>
      <c r="X22" s="83">
        <f>$R$38*Product_lifespan!H39</f>
        <v>5141740.322937238</v>
      </c>
      <c r="Y22" s="83">
        <f>$R$38*Product_lifespan!I39</f>
        <v>4452000.3155801632</v>
      </c>
      <c r="Z22" s="83">
        <f>$R$38*Product_lifespan!J39</f>
        <v>3805291.1278404561</v>
      </c>
      <c r="AA22" s="83">
        <f>$R$38*Product_lifespan!K39</f>
        <v>3212930.6272760183</v>
      </c>
      <c r="AB22" s="83">
        <f>$R$38*Product_lifespan!L39</f>
        <v>2681273.6673656981</v>
      </c>
    </row>
    <row r="23" spans="1:29">
      <c r="A23" s="1"/>
      <c r="B23" s="7">
        <v>2023</v>
      </c>
      <c r="C23" s="83"/>
      <c r="D23" s="83"/>
      <c r="E23" s="83"/>
      <c r="F23" s="83"/>
      <c r="G23" s="83"/>
      <c r="H23" s="83"/>
      <c r="I23" s="83"/>
      <c r="J23" s="83"/>
      <c r="K23" s="83"/>
      <c r="L23" s="83"/>
      <c r="M23" s="83"/>
      <c r="N23" s="83"/>
      <c r="O23" s="83"/>
      <c r="P23" s="83"/>
      <c r="Q23" s="83"/>
      <c r="R23" s="83"/>
      <c r="S23" s="83">
        <f>$S$38*Product_lifespan!B39</f>
        <v>7958637.5069373008</v>
      </c>
      <c r="T23" s="83">
        <f>$S$38*Product_lifespan!C39</f>
        <v>7728913.4863236714</v>
      </c>
      <c r="U23" s="83">
        <f>$S$38*Product_lifespan!D39</f>
        <v>7282459.0523174219</v>
      </c>
      <c r="V23" s="83">
        <f>$S$38*Product_lifespan!E39</f>
        <v>6715322.6468156436</v>
      </c>
      <c r="W23" s="83">
        <f>$S$38*Product_lifespan!F39</f>
        <v>6080574.6242895788</v>
      </c>
      <c r="X23" s="83">
        <f>$S$38*Product_lifespan!G39</f>
        <v>5417362.558957668</v>
      </c>
      <c r="Y23" s="83">
        <f>$S$38*Product_lifespan!H39</f>
        <v>4755589.0968623934</v>
      </c>
      <c r="Z23" s="83">
        <f>$S$38*Product_lifespan!I39</f>
        <v>4117649.4397341413</v>
      </c>
      <c r="AA23" s="83">
        <f>$S$38*Product_lifespan!J39</f>
        <v>3519508.9330391618</v>
      </c>
      <c r="AB23" s="83">
        <f>$S$38*Product_lifespan!K39</f>
        <v>2971635.4581128834</v>
      </c>
    </row>
    <row r="24" spans="1:29">
      <c r="A24" s="1"/>
      <c r="B24" s="7">
        <v>2024</v>
      </c>
      <c r="C24" s="83"/>
      <c r="D24" s="83"/>
      <c r="E24" s="83"/>
      <c r="F24" s="83"/>
      <c r="G24" s="83"/>
      <c r="H24" s="83"/>
      <c r="I24" s="83"/>
      <c r="J24" s="83"/>
      <c r="K24" s="83"/>
      <c r="L24" s="83"/>
      <c r="M24" s="83"/>
      <c r="N24" s="83"/>
      <c r="O24" s="83"/>
      <c r="P24" s="83"/>
      <c r="Q24" s="83"/>
      <c r="R24" s="83"/>
      <c r="S24" s="83"/>
      <c r="T24" s="83">
        <f>$T$38*Product_lifespan!B39</f>
        <v>7525479.5069373008</v>
      </c>
      <c r="U24" s="83">
        <f>$T$38*Product_lifespan!C39</f>
        <v>7308258.4803643245</v>
      </c>
      <c r="V24" s="83">
        <f>$T$38*Product_lifespan!D39</f>
        <v>6886102.8424216863</v>
      </c>
      <c r="W24" s="83">
        <f>$T$38*Product_lifespan!E39</f>
        <v>6349833.4880854134</v>
      </c>
      <c r="X24" s="83">
        <f>$T$38*Product_lifespan!F39</f>
        <v>5749632.3567453939</v>
      </c>
      <c r="Y24" s="83">
        <f>$T$38*Product_lifespan!G39</f>
        <v>5122516.3708673632</v>
      </c>
      <c r="Z24" s="83">
        <f>$T$38*Product_lifespan!H39</f>
        <v>4496760.6905901954</v>
      </c>
      <c r="AA24" s="83">
        <f>$T$38*Product_lifespan!I39</f>
        <v>3893541.6330320947</v>
      </c>
      <c r="AB24" s="83">
        <f>$T$38*Product_lifespan!J39</f>
        <v>3327955.6113696531</v>
      </c>
    </row>
    <row r="25" spans="1:29">
      <c r="A25" s="86"/>
      <c r="B25" s="7">
        <v>2025</v>
      </c>
      <c r="C25" s="83"/>
      <c r="D25" s="83"/>
      <c r="E25" s="83"/>
      <c r="F25" s="83"/>
      <c r="G25" s="83"/>
      <c r="H25" s="83"/>
      <c r="I25" s="83"/>
      <c r="J25" s="83"/>
      <c r="K25" s="83"/>
      <c r="L25" s="83"/>
      <c r="M25" s="83"/>
      <c r="N25" s="83"/>
      <c r="O25" s="83"/>
      <c r="P25" s="83"/>
      <c r="Q25" s="83"/>
      <c r="R25" s="83"/>
      <c r="S25" s="83"/>
      <c r="T25" s="83"/>
      <c r="U25" s="83">
        <f>$U$38*Product_lifespan!B39</f>
        <v>7139527.5069373008</v>
      </c>
      <c r="V25" s="83">
        <f>$U$38*Product_lifespan!C39</f>
        <v>6933446.8853804581</v>
      </c>
      <c r="W25" s="83">
        <f>$U$38*Product_lifespan!D39</f>
        <v>6532941.9359587366</v>
      </c>
      <c r="X25" s="83">
        <f>$U$38*Product_lifespan!E39</f>
        <v>6024175.7101146737</v>
      </c>
      <c r="Y25" s="83">
        <f>$U$38*Product_lifespan!F39</f>
        <v>5454756.5145741468</v>
      </c>
      <c r="Z25" s="83">
        <f>$U$38*Product_lifespan!G39</f>
        <v>4859802.8206482073</v>
      </c>
      <c r="AA25" s="83">
        <f>$U$38*Product_lifespan!H39</f>
        <v>4266139.6676434483</v>
      </c>
      <c r="AB25" s="83">
        <f>$U$38*Product_lifespan!I39</f>
        <v>3693857.3233523285</v>
      </c>
    </row>
    <row r="26" spans="1:29">
      <c r="A26" s="1"/>
      <c r="B26" s="7">
        <v>2026</v>
      </c>
      <c r="C26" s="83"/>
      <c r="D26" s="83"/>
      <c r="E26" s="83"/>
      <c r="F26" s="83"/>
      <c r="G26" s="83"/>
      <c r="H26" s="83"/>
      <c r="I26" s="83"/>
      <c r="J26" s="83"/>
      <c r="K26" s="83"/>
      <c r="L26" s="83"/>
      <c r="M26" s="83"/>
      <c r="N26" s="83"/>
      <c r="O26" s="83"/>
      <c r="P26" s="83"/>
      <c r="Q26" s="83"/>
      <c r="R26" s="83"/>
      <c r="S26" s="83"/>
      <c r="T26" s="83"/>
      <c r="U26" s="83"/>
      <c r="V26" s="83">
        <f>$V$38*Product_lifespan!B39</f>
        <v>6844617.5069373008</v>
      </c>
      <c r="W26" s="83">
        <f>$V$38*Product_lifespan!C39</f>
        <v>6647049.3865290666</v>
      </c>
      <c r="X26" s="83">
        <f>$V$38*Product_lifespan!D39</f>
        <v>6263087.9569017841</v>
      </c>
      <c r="Y26" s="83">
        <f>$V$38*Product_lifespan!E39</f>
        <v>5775337.1620533839</v>
      </c>
      <c r="Z26" s="83">
        <f>$V$38*Product_lifespan!F39</f>
        <v>5229438.7688059621</v>
      </c>
      <c r="AA26" s="83">
        <f>$V$38*Product_lifespan!G39</f>
        <v>4659060.6218899908</v>
      </c>
      <c r="AB26" s="83">
        <f>$V$38*Product_lifespan!H39</f>
        <v>4089919.7079665312</v>
      </c>
    </row>
    <row r="27" spans="1:29">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$W$38*Product_lifespan!B39</f>
        <v>6659736.5069373008</v>
      </c>
      <c r="X27" s="83">
        <f>$W$38*Product_lifespan!C39</f>
        <v>6467504.9289483</v>
      </c>
      <c r="Y27" s="83">
        <f>$W$38*Product_lifespan!D39</f>
        <v>6093914.7396421852</v>
      </c>
      <c r="Z27" s="83">
        <f>$W$38*Product_lifespan!E39</f>
        <v>5619338.6553763663</v>
      </c>
      <c r="AA27" s="83">
        <f>$W$38*Product_lifespan!F39</f>
        <v>5088185.6062975097</v>
      </c>
      <c r="AB27" s="83">
        <f>$W$38*Product_lifespan!G39</f>
        <v>4533214.0298835561</v>
      </c>
    </row>
    <row r="28" spans="1:29">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$X$38*Product_lifespan!B39</f>
        <v>6584868.5069373008</v>
      </c>
      <c r="Y28" s="83">
        <f>$X$38*Product_lifespan!C39</f>
        <v>6394797.9744740333</v>
      </c>
      <c r="Z28" s="83">
        <f>$X$38*Product_lifespan!D39</f>
        <v>6025407.6435652943</v>
      </c>
      <c r="AA28" s="83">
        <f>$X$38*Product_lifespan!E39</f>
        <v>5556166.6896368098</v>
      </c>
      <c r="AB28" s="83">
        <f>$X$38*Product_lifespan!F39</f>
        <v>5030984.8026958257</v>
      </c>
    </row>
    <row r="29" spans="1:29">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$Y$38*Product_lifespan!B39</f>
        <v>6607154.5069373008</v>
      </c>
      <c r="Z29" s="83">
        <f>$Y$38*Product_lifespan!C39</f>
        <v>6416440.6948273685</v>
      </c>
      <c r="AA29" s="83">
        <f>$Y$38*Product_lifespan!D39</f>
        <v>6045800.1896887328</v>
      </c>
      <c r="AB29" s="83">
        <f>$Y$38*Product_lifespan!E39</f>
        <v>5574971.1244884385</v>
      </c>
    </row>
    <row r="30" spans="1:29">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$Z$38*Product_lifespan!B39</f>
        <v>6706594.5069373008</v>
      </c>
      <c r="AA30" s="83">
        <f>$Z$38*Product_lifespan!C39</f>
        <v>6513010.3848540969</v>
      </c>
      <c r="AB30" s="83">
        <f>$Z$38*Product_lifespan!D39</f>
        <v>6136791.6097064447</v>
      </c>
    </row>
    <row r="31" spans="1:29">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$AA$38*Product_lifespan!B39</f>
        <v>6860712.5069373008</v>
      </c>
      <c r="AB31" s="83">
        <f>$AA$38*Product_lifespan!C39</f>
        <v>6662679.8085019169</v>
      </c>
    </row>
    <row r="32" spans="1:29">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$AB$38*Product_lifespan!B39</f>
        <v>7047924.5069373008</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(VLOOKUP(C2,Inflows!$E$90:$H$103,4,FALSE ))</f>
        <v>#N/A</v>
      </c>
      <c r="D35" s="167">
        <f>(VLOOKUP(D2,Inflows!$E$90:$H$103,4,FALSE ))</f>
        <v>77801.618181818179</v>
      </c>
      <c r="E35" s="167">
        <f>(VLOOKUP(E2,Inflows!$E$90:$H$103,4,FALSE ))</f>
        <v>70292.440909090918</v>
      </c>
      <c r="F35" s="167">
        <f>(VLOOKUP(F2,Inflows!$E$90:$H$103,4,FALSE ))</f>
        <v>72500.7</v>
      </c>
      <c r="G35" s="167">
        <f>(VLOOKUP(G2,Inflows!$E$90:$H$103,4,FALSE ))</f>
        <v>58814.799999999996</v>
      </c>
      <c r="H35" s="167">
        <f>(VLOOKUP(H2,Inflows!$E$90:$H$103,4,FALSE ))</f>
        <v>56546.644508670513</v>
      </c>
      <c r="I35" s="167">
        <f>(VLOOKUP(I2,Inflows!$E$90:$H$103,4,FALSE ))</f>
        <v>46933.800898203597</v>
      </c>
      <c r="J35" s="167">
        <f>(VLOOKUP(J2,Inflows!$E$90:$H$103,4,FALSE ))</f>
        <v>40588.044116919729</v>
      </c>
      <c r="K35" s="167">
        <f>(VLOOKUP(K2,Inflows!$E$90:$H$103,4,FALSE ))</f>
        <v>45336.174346537315</v>
      </c>
      <c r="L35" s="167">
        <f>(VLOOKUP(L2,Inflows!$E$90:$H$103,4,FALSE ))</f>
        <v>48264.807958999096</v>
      </c>
      <c r="M35" s="167">
        <f>(VLOOKUP(M2,Inflows!$E$90:$H$103,4,FALSE ))</f>
        <v>67302.699047033515</v>
      </c>
      <c r="N35" s="167">
        <f>(VLOOKUP(N2,Inflows!$E$90:$H$103,4,FALSE ))</f>
        <v>78858.797504798466</v>
      </c>
      <c r="O35" s="167">
        <f>(VLOOKUP(O2,Inflows!$E$90:$H$103,4,FALSE ))</f>
        <v>87648.981132075467</v>
      </c>
      <c r="P35" s="167">
        <f>(VLOOKUP(P2,Inflows!$E$90:$H$103,4,FALSE ))</f>
        <v>151895.44689119174</v>
      </c>
      <c r="Q35" s="167">
        <f>(VLOOKUP(Q2,Inflows!$E$90:$H$103,4,FALSE ))</f>
        <v>139420.15677286271</v>
      </c>
      <c r="R35" s="387">
        <v>139420.15677286271</v>
      </c>
      <c r="S35" s="167" t="e">
        <f>(VLOOKUP(S2,Inflows!$E$90:$H$103,4,FALSE ))</f>
        <v>#N/A</v>
      </c>
      <c r="T35" s="167" t="e">
        <f>(VLOOKUP(T2,Inflows!$E$90:$H$103,4,FALSE ))</f>
        <v>#N/A</v>
      </c>
      <c r="U35" s="167" t="e">
        <f>(VLOOKUP(U2,Inflows!$E$90:$H$103,4,FALSE ))</f>
        <v>#N/A</v>
      </c>
      <c r="V35" s="167" t="e">
        <f>(VLOOKUP(V2,Inflows!$E$90:$H$103,4,FALSE ))</f>
        <v>#N/A</v>
      </c>
      <c r="W35" s="167" t="e">
        <f>(VLOOKUP(W2,Inflows!$E$90:$H$103,4,FALSE ))</f>
        <v>#N/A</v>
      </c>
      <c r="X35" s="167" t="e">
        <f>(VLOOKUP(X2,Inflows!$E$90:$H$103,4,FALSE ))</f>
        <v>#N/A</v>
      </c>
      <c r="Y35" s="167" t="e">
        <f>(VLOOKUP(Y2,Inflows!$E$90:$H$103,4,FALSE ))</f>
        <v>#N/A</v>
      </c>
      <c r="Z35" s="167" t="e">
        <f>(VLOOKUP(Z2,Inflows!$E$90:$H$103,4,FALSE ))</f>
        <v>#N/A</v>
      </c>
      <c r="AA35" s="167" t="e">
        <f>(VLOOKUP(AA2,Inflows!$E$90:$H$103,4,FALSE ))</f>
        <v>#N/A</v>
      </c>
      <c r="AB35" s="167" t="e">
        <f>(VLOOKUP(AB2,Inflows!$E$90:$H$103,4,FALSE ))</f>
        <v>#N/A</v>
      </c>
    </row>
    <row r="36" spans="1:32" ht="19">
      <c r="B36" s="166" t="s">
        <v>214</v>
      </c>
      <c r="C36" s="167">
        <f>(VLOOKUP(C2,Inflows!$E$104:$H$127,4,FALSE ))</f>
        <v>7096698</v>
      </c>
      <c r="D36" s="167">
        <f>(VLOOKUP(D2,Inflows!$E$104:$H$127,4,FALSE ))</f>
        <v>10746372</v>
      </c>
      <c r="E36" s="167">
        <f>(VLOOKUP(E2,Inflows!$E$104:$H$127,4,FALSE ))</f>
        <v>10327917</v>
      </c>
      <c r="F36" s="167">
        <f>(VLOOKUP(F2,Inflows!$E$104:$H$127,4,FALSE ))</f>
        <v>6552411.7957559684</v>
      </c>
      <c r="G36" s="167">
        <f>(VLOOKUP(G2,Inflows!$E$104:$H$127,4,FALSE ))</f>
        <v>6018292.75</v>
      </c>
      <c r="H36" s="167">
        <f>(VLOOKUP(H2,Inflows!$E$104:$H$127,4,FALSE ))</f>
        <v>7290569.8724696357</v>
      </c>
      <c r="I36" s="167">
        <f>(VLOOKUP(I2,Inflows!$E$104:$H$127,4,FALSE ))</f>
        <v>6770359.6143497759</v>
      </c>
      <c r="J36" s="167">
        <f>(VLOOKUP(J2,Inflows!$E$104:$H$127,4,FALSE ))</f>
        <v>6331163.0708061606</v>
      </c>
      <c r="K36" s="167">
        <f>(VLOOKUP(K2,Inflows!$E$104:$H$127,4,FALSE ))</f>
        <v>6183549.3604291305</v>
      </c>
      <c r="L36" s="167">
        <f>(VLOOKUP(L2,Inflows!$E$104:$H$127,4,FALSE ))</f>
        <v>6661428.4800000004</v>
      </c>
      <c r="M36" s="167">
        <f>(VLOOKUP(M2,Inflows!$E$104:$H$127,4,FALSE ))</f>
        <v>6596494.8125738604</v>
      </c>
      <c r="N36" s="167">
        <f>(VLOOKUP(N2,Inflows!$E$104:$H$127,4,FALSE ))</f>
        <v>6989015.237837838</v>
      </c>
      <c r="O36" s="167">
        <f>(VLOOKUP(O2,Inflows!$E$104:$H$127,4,FALSE ))</f>
        <v>8746427.764563106</v>
      </c>
      <c r="P36" s="167">
        <f>(VLOOKUP(P2,Inflows!$E$104:$H$127,4,FALSE ))</f>
        <v>11045676.218334049</v>
      </c>
      <c r="Q36" s="167">
        <f>(VLOOKUP(Q2,Inflows!$E$104:$H$127,4,FALSE ))</f>
        <v>11431861.420003869</v>
      </c>
      <c r="R36" s="167">
        <f>(VLOOKUP(R2,Inflows!$E$104:$H$127,4,FALSE ))</f>
        <v>10697092.098278197</v>
      </c>
      <c r="S36" s="167">
        <f>(VLOOKUP(S2,Inflows!$E$104:$H$127,4,FALSE ))</f>
        <v>969150.55702917767</v>
      </c>
      <c r="T36" s="167" t="e">
        <f>(VLOOKUP(T2,Inflows!$E$104:$H$127,4,FALSE ))</f>
        <v>#N/A</v>
      </c>
      <c r="U36" s="167" t="e">
        <f>(VLOOKUP(U2,Inflows!$E$104:$H$127,4,FALSE ))</f>
        <v>#N/A</v>
      </c>
      <c r="V36" s="167" t="e">
        <f>(VLOOKUP(V2,Inflows!$E$104:$H$127,4,FALSE ))</f>
        <v>#N/A</v>
      </c>
      <c r="W36" s="167" t="e">
        <f>(VLOOKUP(W2,Inflows!$E$104:$H$127,4,FALSE ))</f>
        <v>#N/A</v>
      </c>
      <c r="X36" s="167" t="e">
        <f>(VLOOKUP(X2,Inflows!$E$104:$H$127,4,FALSE ))</f>
        <v>#N/A</v>
      </c>
      <c r="Y36" s="167" t="e">
        <f>(VLOOKUP(Y2,Inflows!$E$104:$H$127,4,FALSE ))</f>
        <v>#N/A</v>
      </c>
      <c r="Z36" s="167" t="e">
        <f>(VLOOKUP(Z2,Inflows!$E$104:$H$127,4,FALSE ))</f>
        <v>#N/A</v>
      </c>
      <c r="AA36" s="167" t="e">
        <f>(VLOOKUP(AA2,Inflows!$E$104:$H$127,4,FALSE ))</f>
        <v>#N/A</v>
      </c>
      <c r="AB36" s="167" t="e">
        <f>(VLOOKUP(AB2,Inflows!$E$104:$H$127,4,FALSE ))</f>
        <v>#N/A</v>
      </c>
    </row>
    <row r="37" spans="1:32" ht="19">
      <c r="B37" s="166" t="s">
        <v>7856</v>
      </c>
      <c r="C37" s="7">
        <f>(VLOOKUP(C2,Inflows!$E$128:$H$151,4,FALSE ))</f>
        <v>800458.24137931038</v>
      </c>
      <c r="D37" s="7">
        <f>(VLOOKUP(D2,Inflows!$E$128:$H$151,4,FALSE ))</f>
        <v>1035854.299734748</v>
      </c>
      <c r="E37" s="7">
        <f>(VLOOKUP(E2,Inflows!$E$128:$H$151,4,FALSE ))</f>
        <v>1039317.1511936339</v>
      </c>
      <c r="F37" s="7">
        <f>(VLOOKUP(F2,Inflows!$E$128:$H$151,4,FALSE ))</f>
        <v>1384342.448275862</v>
      </c>
      <c r="G37" s="7">
        <f>(VLOOKUP(G2,Inflows!$E$128:$H$151,4,FALSE ))</f>
        <v>1156406.5</v>
      </c>
      <c r="H37" s="7">
        <f>(VLOOKUP(H2,Inflows!$E$128:$H$151,4,FALSE ))</f>
        <v>1472307.5040485831</v>
      </c>
      <c r="I37" s="7">
        <f>(VLOOKUP(I2,Inflows!$E$128:$H$151,4,FALSE ))</f>
        <v>1118408.1659192825</v>
      </c>
      <c r="J37" s="7">
        <f>(VLOOKUP(J2,Inflows!$E$128:$H$151,4,FALSE ))</f>
        <v>949658.43241736805</v>
      </c>
      <c r="K37" s="7">
        <f>(VLOOKUP(K2,Inflows!$E$128:$H$151,4,FALSE ))</f>
        <v>1026786.6785640601</v>
      </c>
      <c r="L37" s="7">
        <f>(VLOOKUP(L2,Inflows!$E$128:$H$151,4,FALSE ))</f>
        <v>1151515.0491954025</v>
      </c>
      <c r="M37" s="7">
        <f>(VLOOKUP(M2,Inflows!$E$128:$H$151,4,FALSE ))</f>
        <v>1600146.7000709055</v>
      </c>
      <c r="N37" s="7">
        <f>(VLOOKUP(N2,Inflows!$E$128:$H$151,4,FALSE ))</f>
        <v>1414260.2675675675</v>
      </c>
      <c r="O37" s="7">
        <f>(VLOOKUP(O2,Inflows!$E$128:$H$151,4,FALSE ))</f>
        <v>1473482.990291262</v>
      </c>
      <c r="P37" s="7">
        <f>(VLOOKUP(P2,Inflows!$E$128:$H$151,4,FALSE ))</f>
        <v>1694601.6530699872</v>
      </c>
      <c r="Q37" s="7">
        <f>(VLOOKUP(Q2,Inflows!$E$128:$H$151,4,FALSE ))</f>
        <v>2242138.9050106402</v>
      </c>
      <c r="R37" s="7">
        <f>(VLOOKUP(R2,Inflows!$E$128:$H$151,4,FALSE ))</f>
        <v>2231637.7481137551</v>
      </c>
      <c r="S37" s="7">
        <f>(VLOOKUP(S2,Inflows!$E$128:$H$151,4,FALSE ))</f>
        <v>106621.28225962468</v>
      </c>
      <c r="T37" s="7" t="e">
        <f>(VLOOKUP(T2,Inflows!$E$128:$H$151,4,FALSE ))</f>
        <v>#N/A</v>
      </c>
      <c r="U37" s="7" t="e">
        <f>(VLOOKUP(U2,Inflows!$E$128:$H$151,4,FALSE ))</f>
        <v>#N/A</v>
      </c>
      <c r="V37" s="7" t="e">
        <f>(VLOOKUP(V2,Inflows!$E$128:$H$151,4,FALSE ))</f>
        <v>#N/A</v>
      </c>
      <c r="W37" s="7" t="e">
        <f>(VLOOKUP(W2,Inflows!$E$128:$H$151,4,FALSE ))</f>
        <v>#N/A</v>
      </c>
      <c r="X37" s="7" t="e">
        <f>(VLOOKUP(X2,Inflows!$E$128:$H$151,4,FALSE ))</f>
        <v>#N/A</v>
      </c>
      <c r="Y37" s="7" t="e">
        <f>(VLOOKUP(Y2,Inflows!$E$128:$H$151,4,FALSE ))</f>
        <v>#N/A</v>
      </c>
      <c r="Z37" s="7" t="e">
        <f>(VLOOKUP(Z2,Inflows!$E$128:$H$151,4,FALSE ))</f>
        <v>#N/A</v>
      </c>
      <c r="AA37" s="7" t="e">
        <f>(VLOOKUP(AA2,Inflows!$E$128:$H$151,4,FALSE ))</f>
        <v>#N/A</v>
      </c>
      <c r="AB37" s="7" t="e">
        <f>(VLOOKUP(AB2,Inflows!$E$128:$H$151,4,FALSE ))</f>
        <v>#N/A</v>
      </c>
    </row>
    <row r="38" spans="1:32">
      <c r="A38" s="1"/>
      <c r="B38" s="7" t="s">
        <v>7877</v>
      </c>
      <c r="C38" s="374">
        <f>C36-C37</f>
        <v>6296239.7586206896</v>
      </c>
      <c r="D38" s="374">
        <f>D35+D36-D37</f>
        <v>9788319.3184470721</v>
      </c>
      <c r="E38" s="374">
        <f t="shared" ref="E38:R38" si="1">E35+E36-E37</f>
        <v>9358892.2897154577</v>
      </c>
      <c r="F38" s="374">
        <f t="shared" si="1"/>
        <v>5240570.0474801064</v>
      </c>
      <c r="G38" s="374">
        <f t="shared" si="1"/>
        <v>4920701.05</v>
      </c>
      <c r="H38" s="374">
        <f t="shared" si="1"/>
        <v>5874809.0129297227</v>
      </c>
      <c r="I38" s="374">
        <f t="shared" si="1"/>
        <v>5698885.2493286971</v>
      </c>
      <c r="J38" s="374">
        <f t="shared" si="1"/>
        <v>5422092.6825057119</v>
      </c>
      <c r="K38" s="374">
        <f t="shared" si="1"/>
        <v>5202098.8562116073</v>
      </c>
      <c r="L38" s="374">
        <f t="shared" si="1"/>
        <v>5558178.2387635969</v>
      </c>
      <c r="M38" s="374">
        <f t="shared" si="1"/>
        <v>5063650.8115499886</v>
      </c>
      <c r="N38" s="374">
        <f t="shared" si="1"/>
        <v>5653613.767775069</v>
      </c>
      <c r="O38" s="374">
        <f t="shared" si="1"/>
        <v>7360593.7554039191</v>
      </c>
      <c r="P38" s="374">
        <f t="shared" si="1"/>
        <v>9502970.0121552534</v>
      </c>
      <c r="Q38" s="374">
        <f t="shared" si="1"/>
        <v>9329142.6717660911</v>
      </c>
      <c r="R38" s="374">
        <f t="shared" si="1"/>
        <v>8604874.5069373045</v>
      </c>
      <c r="S38" s="379">
        <v>7958637.5069373008</v>
      </c>
      <c r="T38" s="379">
        <v>7525479.5069373008</v>
      </c>
      <c r="U38" s="379">
        <v>7139527.5069373008</v>
      </c>
      <c r="V38" s="379">
        <v>6844617.5069373008</v>
      </c>
      <c r="W38" s="379">
        <v>6659736.5069373008</v>
      </c>
      <c r="X38" s="379">
        <v>6584868.5069373008</v>
      </c>
      <c r="Y38" s="379">
        <v>6607154.5069373008</v>
      </c>
      <c r="Z38" s="379">
        <v>6706594.5069373008</v>
      </c>
      <c r="AA38" s="379">
        <v>6860712.5069373008</v>
      </c>
      <c r="AB38" s="379">
        <v>7047924.5069373008</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7762</v>
      </c>
      <c r="B41" s="7">
        <v>2007</v>
      </c>
      <c r="C41" s="50"/>
      <c r="D41" s="50">
        <f>C7-D7</f>
        <v>343106.205627786</v>
      </c>
      <c r="E41" s="50">
        <f t="shared" ref="E41:AB41" si="2">D7-E7</f>
        <v>640505.43025911693</v>
      </c>
      <c r="F41" s="50">
        <f t="shared" si="2"/>
        <v>763317.00707495958</v>
      </c>
      <c r="G41" s="50">
        <f t="shared" si="2"/>
        <v>787068.00367952185</v>
      </c>
      <c r="H41" s="50">
        <f t="shared" si="2"/>
        <v>745834.37744793296</v>
      </c>
      <c r="I41" s="50">
        <f t="shared" si="2"/>
        <v>665487.57549122814</v>
      </c>
      <c r="J41" s="50">
        <f t="shared" si="2"/>
        <v>566234.87746542692</v>
      </c>
      <c r="K41" s="50">
        <f t="shared" si="2"/>
        <v>462938.70605124813</v>
      </c>
      <c r="L41" s="50">
        <f t="shared" si="2"/>
        <v>365525.5963478795</v>
      </c>
      <c r="M41" s="50">
        <f t="shared" si="2"/>
        <v>279730.53914156067</v>
      </c>
      <c r="N41" s="50">
        <f t="shared" si="2"/>
        <v>208043.99430286989</v>
      </c>
      <c r="O41" s="50">
        <f t="shared" si="2"/>
        <v>150684.51856503694</v>
      </c>
      <c r="P41" s="50">
        <f t="shared" si="2"/>
        <v>106464.50596637762</v>
      </c>
      <c r="Q41" s="50">
        <f t="shared" si="2"/>
        <v>73478.216097818688</v>
      </c>
      <c r="R41" s="50">
        <f t="shared" si="2"/>
        <v>49593.89506817011</v>
      </c>
      <c r="S41" s="50">
        <f t="shared" si="2"/>
        <v>32767.122542847523</v>
      </c>
      <c r="T41" s="50">
        <f t="shared" si="2"/>
        <v>21210.744753594132</v>
      </c>
      <c r="U41" s="50">
        <f t="shared" si="2"/>
        <v>13461.772656653367</v>
      </c>
      <c r="V41" s="50">
        <f t="shared" si="2"/>
        <v>8382.2642000598662</v>
      </c>
      <c r="W41" s="50">
        <f t="shared" si="2"/>
        <v>5123.735207703955</v>
      </c>
      <c r="X41" s="50">
        <f t="shared" si="2"/>
        <v>3076.141218303791</v>
      </c>
      <c r="Y41" s="50">
        <f t="shared" si="2"/>
        <v>1814.7912709244388</v>
      </c>
      <c r="Z41" s="50">
        <f t="shared" si="2"/>
        <v>1052.5341712858867</v>
      </c>
      <c r="AA41" s="50">
        <f t="shared" si="2"/>
        <v>600.35401798441796</v>
      </c>
      <c r="AB41" s="50">
        <f t="shared" si="2"/>
        <v>336.89867856847286</v>
      </c>
    </row>
    <row r="42" spans="1:32">
      <c r="B42" s="7">
        <v>2008</v>
      </c>
      <c r="C42" s="8"/>
      <c r="D42" s="50"/>
      <c r="E42" s="50">
        <f t="shared" ref="E42:AB42" si="3">D8-E8</f>
        <v>533402.98806557059</v>
      </c>
      <c r="F42" s="50">
        <f t="shared" si="3"/>
        <v>995748.56055815425</v>
      </c>
      <c r="G42" s="50">
        <f t="shared" si="3"/>
        <v>1186675.0462005641</v>
      </c>
      <c r="H42" s="50">
        <f t="shared" si="3"/>
        <v>1223599.0433495743</v>
      </c>
      <c r="I42" s="50">
        <f t="shared" si="3"/>
        <v>1159496.0365255931</v>
      </c>
      <c r="J42" s="50">
        <f t="shared" si="3"/>
        <v>1034586.5375359072</v>
      </c>
      <c r="K42" s="50">
        <f t="shared" si="3"/>
        <v>880285.37704344559</v>
      </c>
      <c r="L42" s="50">
        <f t="shared" si="3"/>
        <v>719698.11402020208</v>
      </c>
      <c r="M42" s="50">
        <f t="shared" si="3"/>
        <v>568256.83158270293</v>
      </c>
      <c r="N42" s="50">
        <f t="shared" si="3"/>
        <v>434877.31490688724</v>
      </c>
      <c r="O42" s="50">
        <f t="shared" si="3"/>
        <v>323431.30607970781</v>
      </c>
      <c r="P42" s="50">
        <f t="shared" si="3"/>
        <v>234258.57982005482</v>
      </c>
      <c r="Q42" s="50">
        <f t="shared" si="3"/>
        <v>165512.8490068668</v>
      </c>
      <c r="R42" s="50">
        <f t="shared" si="3"/>
        <v>114231.39360767734</v>
      </c>
      <c r="S42" s="50">
        <f t="shared" si="3"/>
        <v>77100.126390223624</v>
      </c>
      <c r="T42" s="50">
        <f t="shared" si="3"/>
        <v>50940.731435287656</v>
      </c>
      <c r="U42" s="50">
        <f t="shared" si="3"/>
        <v>32974.846986407952</v>
      </c>
      <c r="V42" s="50">
        <f t="shared" si="3"/>
        <v>20928.067292108481</v>
      </c>
      <c r="W42" s="50">
        <f t="shared" si="3"/>
        <v>13031.314204551119</v>
      </c>
      <c r="X42" s="50">
        <f t="shared" si="3"/>
        <v>7965.5092942589818</v>
      </c>
      <c r="Y42" s="50">
        <f t="shared" si="3"/>
        <v>4782.2595180191374</v>
      </c>
      <c r="Z42" s="50">
        <f t="shared" si="3"/>
        <v>2821.327830125435</v>
      </c>
      <c r="AA42" s="50">
        <f t="shared" si="3"/>
        <v>1636.3005471666297</v>
      </c>
      <c r="AB42" s="50">
        <f t="shared" si="3"/>
        <v>933.32799534805986</v>
      </c>
    </row>
    <row r="43" spans="1:32">
      <c r="B43" s="7">
        <v>2009</v>
      </c>
      <c r="C43" s="8"/>
      <c r="D43" s="8"/>
      <c r="E43" s="50"/>
      <c r="F43" s="50">
        <f t="shared" ref="F43:AB43" si="4">E9-F9</f>
        <v>510001.86547960527</v>
      </c>
      <c r="G43" s="50">
        <f t="shared" si="4"/>
        <v>952063.70192073472</v>
      </c>
      <c r="H43" s="50">
        <f t="shared" si="4"/>
        <v>1134613.9800888896</v>
      </c>
      <c r="I43" s="50">
        <f t="shared" si="4"/>
        <v>1169918.0707076006</v>
      </c>
      <c r="J43" s="50">
        <f t="shared" si="4"/>
        <v>1108627.3509430857</v>
      </c>
      <c r="K43" s="50">
        <f t="shared" si="4"/>
        <v>989197.80344112916</v>
      </c>
      <c r="L43" s="50">
        <f t="shared" si="4"/>
        <v>841666.04704393912</v>
      </c>
      <c r="M43" s="50">
        <f t="shared" si="4"/>
        <v>688123.96807821258</v>
      </c>
      <c r="N43" s="50">
        <f t="shared" si="4"/>
        <v>543326.62295300374</v>
      </c>
      <c r="O43" s="50">
        <f t="shared" si="4"/>
        <v>415798.6490882003</v>
      </c>
      <c r="P43" s="50">
        <f t="shared" si="4"/>
        <v>309241.92992124509</v>
      </c>
      <c r="Q43" s="50">
        <f t="shared" si="4"/>
        <v>223981.33378687431</v>
      </c>
      <c r="R43" s="50">
        <f t="shared" si="4"/>
        <v>158251.57271891675</v>
      </c>
      <c r="S43" s="50">
        <f t="shared" si="4"/>
        <v>109219.90528686121</v>
      </c>
      <c r="T43" s="50">
        <f t="shared" si="4"/>
        <v>73717.637822631776</v>
      </c>
      <c r="U43" s="50">
        <f t="shared" si="4"/>
        <v>48705.891496990545</v>
      </c>
      <c r="V43" s="50">
        <f t="shared" si="4"/>
        <v>31528.195104346203</v>
      </c>
      <c r="W43" s="50">
        <f t="shared" si="4"/>
        <v>20009.92420114818</v>
      </c>
      <c r="X43" s="50">
        <f t="shared" si="4"/>
        <v>12459.612530620001</v>
      </c>
      <c r="Y43" s="50">
        <f t="shared" si="4"/>
        <v>7616.0514478929363</v>
      </c>
      <c r="Z43" s="50">
        <f t="shared" si="4"/>
        <v>4572.4552167254342</v>
      </c>
      <c r="AA43" s="50">
        <f t="shared" si="4"/>
        <v>2697.5522985195871</v>
      </c>
      <c r="AB43" s="50">
        <f t="shared" si="4"/>
        <v>1564.5137920331488</v>
      </c>
      <c r="AD43" s="1"/>
    </row>
    <row r="44" spans="1:32">
      <c r="B44" s="7">
        <v>2010</v>
      </c>
      <c r="C44" s="8"/>
      <c r="D44" s="8"/>
      <c r="E44" s="8"/>
      <c r="F44" s="50"/>
      <c r="G44" s="50">
        <f t="shared" ref="G44:AB44" si="5">F10-G10</f>
        <v>285578.72210244834</v>
      </c>
      <c r="H44" s="50">
        <f t="shared" si="5"/>
        <v>533114.00164971128</v>
      </c>
      <c r="I44" s="50">
        <f t="shared" si="5"/>
        <v>635334.16727534495</v>
      </c>
      <c r="J44" s="50">
        <f t="shared" si="5"/>
        <v>655102.91277669696</v>
      </c>
      <c r="K44" s="50">
        <f t="shared" si="5"/>
        <v>620782.79237747192</v>
      </c>
      <c r="L44" s="50">
        <f t="shared" si="5"/>
        <v>553907.47315720026</v>
      </c>
      <c r="M44" s="50">
        <f t="shared" si="5"/>
        <v>471296.146977406</v>
      </c>
      <c r="N44" s="50">
        <f t="shared" si="5"/>
        <v>385319.30322851031</v>
      </c>
      <c r="O44" s="50">
        <f t="shared" si="5"/>
        <v>304239.12767699966</v>
      </c>
      <c r="P44" s="50">
        <f t="shared" si="5"/>
        <v>232829.0441582338</v>
      </c>
      <c r="Q44" s="50">
        <f t="shared" si="5"/>
        <v>173161.94536730705</v>
      </c>
      <c r="R44" s="50">
        <f t="shared" si="5"/>
        <v>125419.74335232197</v>
      </c>
      <c r="S44" s="50">
        <f t="shared" si="5"/>
        <v>88613.954118130932</v>
      </c>
      <c r="T44" s="50">
        <f t="shared" si="5"/>
        <v>61158.366451543072</v>
      </c>
      <c r="U44" s="50">
        <f t="shared" si="5"/>
        <v>41278.650590818608</v>
      </c>
      <c r="V44" s="50">
        <f t="shared" si="5"/>
        <v>27273.167402026484</v>
      </c>
      <c r="W44" s="50">
        <f t="shared" si="5"/>
        <v>17654.409282657649</v>
      </c>
      <c r="X44" s="50">
        <f t="shared" si="5"/>
        <v>11204.681726716684</v>
      </c>
      <c r="Y44" s="50">
        <f t="shared" si="5"/>
        <v>6976.8376651720391</v>
      </c>
      <c r="Z44" s="50">
        <f t="shared" si="5"/>
        <v>4264.6554594666341</v>
      </c>
      <c r="AA44" s="50">
        <f t="shared" si="5"/>
        <v>2560.3747869336789</v>
      </c>
      <c r="AB44" s="50">
        <f t="shared" si="5"/>
        <v>1510.5112164468203</v>
      </c>
    </row>
    <row r="45" spans="1:32">
      <c r="B45" s="7">
        <v>2011</v>
      </c>
      <c r="C45" s="8"/>
      <c r="D45" s="8"/>
      <c r="E45" s="8"/>
      <c r="F45" s="8"/>
      <c r="G45" s="50"/>
      <c r="H45" s="50">
        <f t="shared" ref="H45:AB45" si="6">G11-H11</f>
        <v>268147.83601316065</v>
      </c>
      <c r="I45" s="50">
        <f t="shared" si="6"/>
        <v>500574.28942273697</v>
      </c>
      <c r="J45" s="50">
        <f t="shared" si="6"/>
        <v>596555.23648919119</v>
      </c>
      <c r="K45" s="50">
        <f t="shared" si="6"/>
        <v>615117.35585108399</v>
      </c>
      <c r="L45" s="50">
        <f t="shared" si="6"/>
        <v>582892.03475919226</v>
      </c>
      <c r="M45" s="50">
        <f t="shared" si="6"/>
        <v>520098.58852627594</v>
      </c>
      <c r="N45" s="50">
        <f t="shared" si="6"/>
        <v>442529.61496198364</v>
      </c>
      <c r="O45" s="50">
        <f t="shared" si="6"/>
        <v>361800.54513220338</v>
      </c>
      <c r="P45" s="50">
        <f t="shared" si="6"/>
        <v>285669.26526078058</v>
      </c>
      <c r="Q45" s="50">
        <f t="shared" si="6"/>
        <v>218617.84341778082</v>
      </c>
      <c r="R45" s="50">
        <f t="shared" si="6"/>
        <v>162592.64901891083</v>
      </c>
      <c r="S45" s="50">
        <f t="shared" si="6"/>
        <v>117764.49073536482</v>
      </c>
      <c r="T45" s="50">
        <f t="shared" si="6"/>
        <v>83205.218730623979</v>
      </c>
      <c r="U45" s="50">
        <f t="shared" si="6"/>
        <v>57425.439463231422</v>
      </c>
      <c r="V45" s="50">
        <f t="shared" si="6"/>
        <v>38759.123046641296</v>
      </c>
      <c r="W45" s="50">
        <f t="shared" si="6"/>
        <v>25608.493399779705</v>
      </c>
      <c r="X45" s="50">
        <f t="shared" si="6"/>
        <v>16576.836013493434</v>
      </c>
      <c r="Y45" s="50">
        <f t="shared" si="6"/>
        <v>10520.780876515875</v>
      </c>
      <c r="Z45" s="50">
        <f t="shared" si="6"/>
        <v>6550.9919939338288</v>
      </c>
      <c r="AA45" s="50">
        <f t="shared" si="6"/>
        <v>4004.3534209367635</v>
      </c>
      <c r="AB45" s="50">
        <f t="shared" si="6"/>
        <v>2404.0970330157402</v>
      </c>
      <c r="AD45" s="1"/>
      <c r="AE45" s="1"/>
      <c r="AF45" s="1"/>
    </row>
    <row r="46" spans="1:32">
      <c r="B46" s="7">
        <v>2012</v>
      </c>
      <c r="C46" s="8"/>
      <c r="D46" s="8"/>
      <c r="E46" s="8"/>
      <c r="F46" s="8"/>
      <c r="G46" s="8"/>
      <c r="H46" s="50"/>
      <c r="I46" s="50">
        <f t="shared" ref="I46:AB46" si="7">H12-I12</f>
        <v>320140.83111342788</v>
      </c>
      <c r="J46" s="50">
        <f t="shared" si="7"/>
        <v>597634.0194740314</v>
      </c>
      <c r="K46" s="50">
        <f t="shared" si="7"/>
        <v>712225.36066016927</v>
      </c>
      <c r="L46" s="50">
        <f t="shared" si="7"/>
        <v>734386.61472097458</v>
      </c>
      <c r="M46" s="50">
        <f t="shared" si="7"/>
        <v>695912.90846011695</v>
      </c>
      <c r="N46" s="50">
        <f t="shared" si="7"/>
        <v>620944.01680553053</v>
      </c>
      <c r="O46" s="50">
        <f t="shared" si="7"/>
        <v>528334.67102558119</v>
      </c>
      <c r="P46" s="50">
        <f t="shared" si="7"/>
        <v>431952.49657069799</v>
      </c>
      <c r="Q46" s="50">
        <f t="shared" si="7"/>
        <v>341059.60862447554</v>
      </c>
      <c r="R46" s="50">
        <f t="shared" si="7"/>
        <v>261007.13370872987</v>
      </c>
      <c r="S46" s="50">
        <f t="shared" si="7"/>
        <v>194118.83595172205</v>
      </c>
      <c r="T46" s="50">
        <f t="shared" si="7"/>
        <v>140598.6432716127</v>
      </c>
      <c r="U46" s="50">
        <f t="shared" si="7"/>
        <v>99338.440590992366</v>
      </c>
      <c r="V46" s="50">
        <f t="shared" si="7"/>
        <v>68560.045794702804</v>
      </c>
      <c r="W46" s="50">
        <f t="shared" si="7"/>
        <v>46274.391208476372</v>
      </c>
      <c r="X46" s="50">
        <f t="shared" si="7"/>
        <v>30573.897154873302</v>
      </c>
      <c r="Y46" s="50">
        <f t="shared" si="7"/>
        <v>19791.030714603006</v>
      </c>
      <c r="Z46" s="50">
        <f t="shared" si="7"/>
        <v>12560.726142144755</v>
      </c>
      <c r="AA46" s="50">
        <f t="shared" si="7"/>
        <v>7821.2080796074606</v>
      </c>
      <c r="AB46" s="50">
        <f t="shared" si="7"/>
        <v>4780.7845526960555</v>
      </c>
    </row>
    <row r="47" spans="1:32">
      <c r="B47" s="7">
        <v>2013</v>
      </c>
      <c r="C47" s="8"/>
      <c r="D47" s="8"/>
      <c r="E47" s="8"/>
      <c r="F47" s="8"/>
      <c r="G47" s="8"/>
      <c r="H47" s="8"/>
      <c r="I47" s="50"/>
      <c r="J47" s="50">
        <f t="shared" ref="J47:AB47" si="8">I13-J13</f>
        <v>310554.07182169892</v>
      </c>
      <c r="K47" s="50">
        <f t="shared" si="8"/>
        <v>579737.6034832336</v>
      </c>
      <c r="L47" s="50">
        <f t="shared" si="8"/>
        <v>690897.45609277487</v>
      </c>
      <c r="M47" s="50">
        <f t="shared" si="8"/>
        <v>712395.08156379685</v>
      </c>
      <c r="N47" s="50">
        <f t="shared" si="8"/>
        <v>675073.48751462018</v>
      </c>
      <c r="O47" s="50">
        <f t="shared" si="8"/>
        <v>602349.57259780494</v>
      </c>
      <c r="P47" s="50">
        <f t="shared" si="8"/>
        <v>512513.45478465036</v>
      </c>
      <c r="Q47" s="50">
        <f t="shared" si="8"/>
        <v>419017.4873259156</v>
      </c>
      <c r="R47" s="50">
        <f t="shared" si="8"/>
        <v>330846.42725475668</v>
      </c>
      <c r="S47" s="50">
        <f t="shared" si="8"/>
        <v>253191.15923403669</v>
      </c>
      <c r="T47" s="50">
        <f t="shared" si="8"/>
        <v>188305.86124372447</v>
      </c>
      <c r="U47" s="50">
        <f t="shared" si="8"/>
        <v>136388.35448995145</v>
      </c>
      <c r="V47" s="50">
        <f t="shared" si="8"/>
        <v>96363.706893171446</v>
      </c>
      <c r="W47" s="50">
        <f t="shared" si="8"/>
        <v>66506.984790963412</v>
      </c>
      <c r="X47" s="50">
        <f t="shared" si="8"/>
        <v>44888.684023472626</v>
      </c>
      <c r="Y47" s="50">
        <f t="shared" si="8"/>
        <v>29658.348233436343</v>
      </c>
      <c r="Z47" s="50">
        <f t="shared" si="8"/>
        <v>19198.379515016153</v>
      </c>
      <c r="AA47" s="50">
        <f t="shared" si="8"/>
        <v>12184.589622366057</v>
      </c>
      <c r="AB47" s="50">
        <f t="shared" si="8"/>
        <v>7586.9985319876105</v>
      </c>
    </row>
    <row r="48" spans="1:32">
      <c r="B48" s="7">
        <v>2014</v>
      </c>
      <c r="C48" s="8"/>
      <c r="D48" s="8"/>
      <c r="E48" s="8"/>
      <c r="F48" s="8"/>
      <c r="G48" s="8"/>
      <c r="H48" s="8"/>
      <c r="I48" s="8"/>
      <c r="J48" s="50"/>
      <c r="K48" s="50">
        <f t="shared" ref="K48:AB48" si="9">J14-K14</f>
        <v>295470.58532984834</v>
      </c>
      <c r="L48" s="50">
        <f t="shared" si="9"/>
        <v>551579.981012973</v>
      </c>
      <c r="M48" s="50">
        <f t="shared" si="9"/>
        <v>657340.8442438324</v>
      </c>
      <c r="N48" s="50">
        <f t="shared" si="9"/>
        <v>677794.33868318889</v>
      </c>
      <c r="O48" s="50">
        <f t="shared" si="9"/>
        <v>642285.43946165591</v>
      </c>
      <c r="P48" s="50">
        <f t="shared" si="9"/>
        <v>573093.69587284117</v>
      </c>
      <c r="Q48" s="50">
        <f t="shared" si="9"/>
        <v>487620.8822069047</v>
      </c>
      <c r="R48" s="50">
        <f t="shared" si="9"/>
        <v>398665.97632219433</v>
      </c>
      <c r="S48" s="50">
        <f t="shared" si="9"/>
        <v>314777.34921272285</v>
      </c>
      <c r="T48" s="50">
        <f t="shared" si="9"/>
        <v>240893.76635890699</v>
      </c>
      <c r="U48" s="50">
        <f t="shared" si="9"/>
        <v>179159.92122192762</v>
      </c>
      <c r="V48" s="50">
        <f t="shared" si="9"/>
        <v>129764.02691141603</v>
      </c>
      <c r="W48" s="50">
        <f t="shared" si="9"/>
        <v>91683.360367036192</v>
      </c>
      <c r="X48" s="50">
        <f t="shared" si="9"/>
        <v>63276.767261295405</v>
      </c>
      <c r="Y48" s="50">
        <f t="shared" si="9"/>
        <v>42708.45867613361</v>
      </c>
      <c r="Z48" s="50">
        <f t="shared" si="9"/>
        <v>28217.854176071385</v>
      </c>
      <c r="AA48" s="50">
        <f t="shared" si="9"/>
        <v>18265.921935627426</v>
      </c>
      <c r="AB48" s="50">
        <f t="shared" si="9"/>
        <v>11592.789000015106</v>
      </c>
      <c r="AD48" s="1"/>
    </row>
    <row r="49" spans="2:32">
      <c r="B49" s="7">
        <v>2015</v>
      </c>
      <c r="C49" s="8"/>
      <c r="D49" s="8"/>
      <c r="E49" s="8"/>
      <c r="F49" s="8"/>
      <c r="G49" s="8"/>
      <c r="H49" s="8"/>
      <c r="I49" s="8"/>
      <c r="J49" s="8"/>
      <c r="K49" s="50"/>
      <c r="L49" s="50">
        <f t="shared" ref="L49:AB49" si="10">K15-L15</f>
        <v>283482.27962755039</v>
      </c>
      <c r="M49" s="50">
        <f t="shared" si="10"/>
        <v>529200.39482076559</v>
      </c>
      <c r="N49" s="50">
        <f t="shared" si="10"/>
        <v>630670.15896189632</v>
      </c>
      <c r="O49" s="50">
        <f t="shared" si="10"/>
        <v>650293.78147425363</v>
      </c>
      <c r="P49" s="50">
        <f t="shared" si="10"/>
        <v>616225.60616960283</v>
      </c>
      <c r="Q49" s="50">
        <f t="shared" si="10"/>
        <v>549841.22079308424</v>
      </c>
      <c r="R49" s="50">
        <f t="shared" si="10"/>
        <v>467836.34698423697</v>
      </c>
      <c r="S49" s="50">
        <f t="shared" si="10"/>
        <v>382490.66197772184</v>
      </c>
      <c r="T49" s="50">
        <f t="shared" si="10"/>
        <v>302005.69857173436</v>
      </c>
      <c r="U49" s="50">
        <f t="shared" si="10"/>
        <v>231119.83874555549</v>
      </c>
      <c r="V49" s="50">
        <f t="shared" si="10"/>
        <v>171890.75802312593</v>
      </c>
      <c r="W49" s="50">
        <f t="shared" si="10"/>
        <v>124499.03303042229</v>
      </c>
      <c r="X49" s="50">
        <f t="shared" si="10"/>
        <v>87963.43626471996</v>
      </c>
      <c r="Y49" s="50">
        <f t="shared" si="10"/>
        <v>60709.400939755345</v>
      </c>
      <c r="Z49" s="50">
        <f t="shared" si="10"/>
        <v>40975.622704959416</v>
      </c>
      <c r="AA49" s="50">
        <f t="shared" si="10"/>
        <v>27072.954213362842</v>
      </c>
      <c r="AB49" s="50">
        <f t="shared" si="10"/>
        <v>17524.807703040926</v>
      </c>
    </row>
    <row r="50" spans="2:32">
      <c r="B50" s="7">
        <v>2016</v>
      </c>
      <c r="C50" s="8"/>
      <c r="D50" s="8"/>
      <c r="E50" s="8"/>
      <c r="F50" s="8"/>
      <c r="G50" s="8"/>
      <c r="H50" s="8"/>
      <c r="I50" s="8"/>
      <c r="J50" s="8"/>
      <c r="K50" s="8"/>
      <c r="L50" s="50"/>
      <c r="M50" s="50">
        <f t="shared" ref="M50:AB50" si="11">L16-M16</f>
        <v>302886.40820801258</v>
      </c>
      <c r="N50" s="50">
        <f t="shared" si="11"/>
        <v>565423.72602660116</v>
      </c>
      <c r="O50" s="50">
        <f t="shared" si="11"/>
        <v>673839.01195840677</v>
      </c>
      <c r="P50" s="50">
        <f t="shared" si="11"/>
        <v>694805.85527082533</v>
      </c>
      <c r="Q50" s="50">
        <f t="shared" si="11"/>
        <v>658405.74142320175</v>
      </c>
      <c r="R50" s="50">
        <f t="shared" si="11"/>
        <v>587477.39953810233</v>
      </c>
      <c r="S50" s="50">
        <f t="shared" si="11"/>
        <v>499859.35965163587</v>
      </c>
      <c r="T50" s="50">
        <f t="shared" si="11"/>
        <v>408671.83279232495</v>
      </c>
      <c r="U50" s="50">
        <f t="shared" si="11"/>
        <v>322677.73992408195</v>
      </c>
      <c r="V50" s="50">
        <f t="shared" si="11"/>
        <v>246939.80137040361</v>
      </c>
      <c r="W50" s="50">
        <f t="shared" si="11"/>
        <v>183656.5388502595</v>
      </c>
      <c r="X50" s="50">
        <f t="shared" si="11"/>
        <v>133020.88931096147</v>
      </c>
      <c r="Y50" s="50">
        <f t="shared" si="11"/>
        <v>93984.461035307031</v>
      </c>
      <c r="Z50" s="50">
        <f t="shared" si="11"/>
        <v>64864.909437237453</v>
      </c>
      <c r="AA50" s="50">
        <f t="shared" si="11"/>
        <v>43780.370333898303</v>
      </c>
      <c r="AB50" s="50">
        <f t="shared" si="11"/>
        <v>28926.075633506887</v>
      </c>
      <c r="AD50" s="1"/>
      <c r="AE50" s="1"/>
      <c r="AF50" s="1"/>
    </row>
    <row r="51" spans="2:32">
      <c r="B51" s="7">
        <v>2017</v>
      </c>
      <c r="C51" s="8"/>
      <c r="D51" s="8"/>
      <c r="E51" s="8"/>
      <c r="F51" s="8"/>
      <c r="G51" s="8"/>
      <c r="H51" s="8"/>
      <c r="I51" s="8"/>
      <c r="J51" s="8"/>
      <c r="K51" s="8"/>
      <c r="L51" s="8"/>
      <c r="M51" s="50"/>
      <c r="N51" s="50">
        <f t="shared" ref="N51:AB51" si="12">M17-N17</f>
        <v>275937.71571297012</v>
      </c>
      <c r="O51" s="50">
        <f t="shared" si="12"/>
        <v>515116.31800442375</v>
      </c>
      <c r="P51" s="50">
        <f t="shared" si="12"/>
        <v>613885.57782490924</v>
      </c>
      <c r="Q51" s="50">
        <f t="shared" si="12"/>
        <v>632986.93956500851</v>
      </c>
      <c r="R51" s="50">
        <f t="shared" si="12"/>
        <v>599825.45065492438</v>
      </c>
      <c r="S51" s="50">
        <f t="shared" si="12"/>
        <v>535207.8114717172</v>
      </c>
      <c r="T51" s="50">
        <f t="shared" si="12"/>
        <v>455385.40569075081</v>
      </c>
      <c r="U51" s="50">
        <f t="shared" si="12"/>
        <v>372311.10066682659</v>
      </c>
      <c r="V51" s="50">
        <f t="shared" si="12"/>
        <v>293968.15457273927</v>
      </c>
      <c r="W51" s="50">
        <f t="shared" si="12"/>
        <v>224968.84264931187</v>
      </c>
      <c r="X51" s="50">
        <f t="shared" si="12"/>
        <v>167316.07768707484</v>
      </c>
      <c r="Y51" s="50">
        <f t="shared" si="12"/>
        <v>121185.63046700449</v>
      </c>
      <c r="Z51" s="50">
        <f t="shared" si="12"/>
        <v>85622.387759264209</v>
      </c>
      <c r="AA51" s="50">
        <f t="shared" si="12"/>
        <v>59093.688112104777</v>
      </c>
      <c r="AB51" s="50">
        <f t="shared" si="12"/>
        <v>39885.102320957114</v>
      </c>
      <c r="AD51" s="97"/>
      <c r="AE51" s="268"/>
      <c r="AF51" s="97"/>
    </row>
    <row r="52" spans="2:32">
      <c r="B52" s="7">
        <v>2018</v>
      </c>
      <c r="C52" s="8"/>
      <c r="D52" s="8"/>
      <c r="E52" s="8"/>
      <c r="F52" s="8"/>
      <c r="G52" s="8"/>
      <c r="H52" s="8"/>
      <c r="I52" s="8"/>
      <c r="J52" s="8"/>
      <c r="K52" s="8"/>
      <c r="L52" s="8"/>
      <c r="M52" s="8"/>
      <c r="N52" s="50"/>
      <c r="O52" s="50">
        <f t="shared" ref="O52:AB52" si="13">N18-O18</f>
        <v>308087.05549854413</v>
      </c>
      <c r="P52" s="50">
        <f t="shared" si="13"/>
        <v>575132.21504781488</v>
      </c>
      <c r="Q52" s="50">
        <f t="shared" si="13"/>
        <v>685409.022816699</v>
      </c>
      <c r="R52" s="50">
        <f t="shared" si="13"/>
        <v>706735.87289703032</v>
      </c>
      <c r="S52" s="50">
        <f t="shared" si="13"/>
        <v>669710.75855969684</v>
      </c>
      <c r="T52" s="50">
        <f t="shared" si="13"/>
        <v>597564.55651629809</v>
      </c>
      <c r="U52" s="50">
        <f t="shared" si="13"/>
        <v>508442.08952650614</v>
      </c>
      <c r="V52" s="50">
        <f t="shared" si="13"/>
        <v>415688.84643946192</v>
      </c>
      <c r="W52" s="50">
        <f t="shared" si="13"/>
        <v>328218.21010819951</v>
      </c>
      <c r="X52" s="50">
        <f t="shared" si="13"/>
        <v>251179.82922942645</v>
      </c>
      <c r="Y52" s="50">
        <f t="shared" si="13"/>
        <v>186809.97477632458</v>
      </c>
      <c r="Z52" s="50">
        <f t="shared" si="13"/>
        <v>135304.89647943113</v>
      </c>
      <c r="AA52" s="50">
        <f t="shared" si="13"/>
        <v>95598.201432332862</v>
      </c>
      <c r="AB52" s="50">
        <f t="shared" si="13"/>
        <v>65978.658705523063</v>
      </c>
    </row>
    <row r="53" spans="2:32">
      <c r="B53" s="7">
        <v>2019</v>
      </c>
      <c r="C53" s="8"/>
      <c r="D53" s="8"/>
      <c r="E53" s="8"/>
      <c r="F53" s="8"/>
      <c r="G53" s="8"/>
      <c r="H53" s="8"/>
      <c r="I53" s="8"/>
      <c r="J53" s="8"/>
      <c r="K53" s="8"/>
      <c r="L53" s="8"/>
      <c r="M53" s="8"/>
      <c r="N53" s="8"/>
      <c r="O53" s="50"/>
      <c r="P53" s="50">
        <f t="shared" ref="P53:AB53" si="14">O19-P19</f>
        <v>401106.92912009824</v>
      </c>
      <c r="Q53" s="50">
        <f t="shared" si="14"/>
        <v>748780.29601915181</v>
      </c>
      <c r="R53" s="50">
        <f t="shared" si="14"/>
        <v>892352.6757342536</v>
      </c>
      <c r="S53" s="50">
        <f t="shared" si="14"/>
        <v>920118.68274705671</v>
      </c>
      <c r="T53" s="50">
        <f t="shared" si="14"/>
        <v>871914.67791427718</v>
      </c>
      <c r="U53" s="50">
        <f t="shared" si="14"/>
        <v>777985.57238117512</v>
      </c>
      <c r="V53" s="50">
        <f t="shared" si="14"/>
        <v>661954.60512084514</v>
      </c>
      <c r="W53" s="50">
        <f t="shared" si="14"/>
        <v>541196.63156570541</v>
      </c>
      <c r="X53" s="50">
        <f t="shared" si="14"/>
        <v>427316.2276316965</v>
      </c>
      <c r="Y53" s="50">
        <f t="shared" si="14"/>
        <v>327017.86122137785</v>
      </c>
      <c r="Z53" s="50">
        <f t="shared" si="14"/>
        <v>243212.99442549481</v>
      </c>
      <c r="AA53" s="50">
        <f t="shared" si="14"/>
        <v>176157.13011361443</v>
      </c>
      <c r="AB53" s="50">
        <f t="shared" si="14"/>
        <v>124461.90231484352</v>
      </c>
    </row>
    <row r="54" spans="2:32">
      <c r="B54" s="7">
        <v>2020</v>
      </c>
      <c r="C54" s="8"/>
      <c r="D54" s="8"/>
      <c r="E54" s="8"/>
      <c r="F54" s="8"/>
      <c r="G54" s="8"/>
      <c r="H54" s="8"/>
      <c r="I54" s="8"/>
      <c r="J54" s="8"/>
      <c r="K54" s="8"/>
      <c r="L54" s="8"/>
      <c r="M54" s="8"/>
      <c r="N54" s="8"/>
      <c r="O54" s="8"/>
      <c r="P54" s="50"/>
      <c r="Q54" s="50">
        <f t="shared" ref="Q54:AB54" si="15">P20-Q20</f>
        <v>517853.21208598651</v>
      </c>
      <c r="R54" s="50">
        <f t="shared" si="15"/>
        <v>966720.47598587535</v>
      </c>
      <c r="S54" s="50">
        <f t="shared" si="15"/>
        <v>1152081.0683979616</v>
      </c>
      <c r="T54" s="50">
        <f t="shared" si="15"/>
        <v>1187928.6563464534</v>
      </c>
      <c r="U54" s="50">
        <f t="shared" si="15"/>
        <v>1125694.3818281265</v>
      </c>
      <c r="V54" s="50">
        <f t="shared" si="15"/>
        <v>1004426.2473798268</v>
      </c>
      <c r="W54" s="50">
        <f t="shared" si="15"/>
        <v>854623.27781004785</v>
      </c>
      <c r="X54" s="50">
        <f t="shared" si="15"/>
        <v>698717.45831272355</v>
      </c>
      <c r="Y54" s="50">
        <f t="shared" si="15"/>
        <v>551690.99556812597</v>
      </c>
      <c r="Z54" s="50">
        <f t="shared" si="15"/>
        <v>422199.76158096886</v>
      </c>
      <c r="AA54" s="50">
        <f t="shared" si="15"/>
        <v>314002.62932526553</v>
      </c>
      <c r="AB54" s="50">
        <f t="shared" si="15"/>
        <v>227429.46839961078</v>
      </c>
    </row>
    <row r="55" spans="2:32">
      <c r="B55" s="7">
        <v>2021</v>
      </c>
      <c r="C55" s="8"/>
      <c r="D55" s="8"/>
      <c r="E55" s="8"/>
      <c r="F55" s="8"/>
      <c r="G55" s="8"/>
      <c r="H55" s="8"/>
      <c r="I55" s="8"/>
      <c r="J55" s="8"/>
      <c r="K55" s="8"/>
      <c r="L55" s="8"/>
      <c r="M55" s="8"/>
      <c r="N55" s="8"/>
      <c r="O55" s="8"/>
      <c r="P55" s="8"/>
      <c r="Q55" s="50"/>
      <c r="R55" s="50">
        <f t="shared" ref="R55:AB55" si="16">Q21-R21</f>
        <v>269283.29900289886</v>
      </c>
      <c r="S55" s="50">
        <f t="shared" si="16"/>
        <v>523335.4462565165</v>
      </c>
      <c r="T55" s="50">
        <f t="shared" si="16"/>
        <v>664799.27458271105</v>
      </c>
      <c r="U55" s="50">
        <f t="shared" si="16"/>
        <v>744053.84811223485</v>
      </c>
      <c r="V55" s="50">
        <f t="shared" si="16"/>
        <v>777419.49846627098</v>
      </c>
      <c r="W55" s="50">
        <f t="shared" si="16"/>
        <v>775733.16272966377</v>
      </c>
      <c r="X55" s="50">
        <f t="shared" si="16"/>
        <v>747795.09333592933</v>
      </c>
      <c r="Y55" s="50">
        <f t="shared" si="16"/>
        <v>701142.390246558</v>
      </c>
      <c r="Z55" s="50">
        <f t="shared" si="16"/>
        <v>642219.20010909531</v>
      </c>
      <c r="AA55" s="50">
        <f t="shared" si="16"/>
        <v>576406.27151995013</v>
      </c>
      <c r="AB55" s="50">
        <f t="shared" si="16"/>
        <v>508042.8172047832</v>
      </c>
    </row>
    <row r="56" spans="2:32">
      <c r="B56" s="7">
        <v>2022</v>
      </c>
      <c r="C56" s="8"/>
      <c r="D56" s="8"/>
      <c r="E56" s="8"/>
      <c r="F56" s="8"/>
      <c r="G56" s="8"/>
      <c r="H56" s="8"/>
      <c r="I56" s="8"/>
      <c r="J56" s="8"/>
      <c r="K56" s="8"/>
      <c r="L56" s="8"/>
      <c r="M56" s="8"/>
      <c r="N56" s="8"/>
      <c r="O56" s="8"/>
      <c r="P56" s="8"/>
      <c r="Q56" s="51"/>
      <c r="R56" s="50"/>
      <c r="S56" s="50">
        <f t="shared" ref="S56:AB56" si="17">R22-S22</f>
        <v>248377.48507659696</v>
      </c>
      <c r="T56" s="50">
        <f t="shared" si="17"/>
        <v>482706.28915323969</v>
      </c>
      <c r="U56" s="50">
        <f t="shared" si="17"/>
        <v>613187.57053634338</v>
      </c>
      <c r="V56" s="50">
        <f t="shared" si="17"/>
        <v>686289.21377590206</v>
      </c>
      <c r="W56" s="50">
        <f t="shared" si="17"/>
        <v>717064.52124415897</v>
      </c>
      <c r="X56" s="50">
        <f t="shared" si="17"/>
        <v>715509.10421382543</v>
      </c>
      <c r="Y56" s="50">
        <f t="shared" si="17"/>
        <v>689740.00735707488</v>
      </c>
      <c r="Z56" s="50">
        <f t="shared" si="17"/>
        <v>646709.18773970706</v>
      </c>
      <c r="AA56" s="50">
        <f t="shared" si="17"/>
        <v>592360.50056443783</v>
      </c>
      <c r="AB56" s="50">
        <f t="shared" si="17"/>
        <v>531656.95991032012</v>
      </c>
    </row>
    <row r="57" spans="2:32">
      <c r="B57" s="7">
        <v>2023</v>
      </c>
      <c r="C57" s="8"/>
      <c r="D57" s="8"/>
      <c r="E57" s="8"/>
      <c r="F57" s="8"/>
      <c r="G57" s="8"/>
      <c r="H57" s="8"/>
      <c r="I57" s="8"/>
      <c r="J57" s="8"/>
      <c r="K57" s="8"/>
      <c r="L57" s="8"/>
      <c r="M57" s="8"/>
      <c r="N57" s="8"/>
      <c r="O57" s="8"/>
      <c r="P57" s="8"/>
      <c r="Q57" s="51"/>
      <c r="R57" s="51"/>
      <c r="S57" s="50"/>
      <c r="T57" s="50">
        <f t="shared" ref="T57:AB57" si="18">S23-T23</f>
        <v>229724.02061362937</v>
      </c>
      <c r="U57" s="50">
        <f t="shared" si="18"/>
        <v>446454.43400624953</v>
      </c>
      <c r="V57" s="50">
        <f t="shared" si="18"/>
        <v>567136.40550177824</v>
      </c>
      <c r="W57" s="50">
        <f t="shared" si="18"/>
        <v>634748.02252606489</v>
      </c>
      <c r="X57" s="50">
        <f t="shared" si="18"/>
        <v>663212.06533191074</v>
      </c>
      <c r="Y57" s="50">
        <f t="shared" si="18"/>
        <v>661773.46209527459</v>
      </c>
      <c r="Z57" s="50">
        <f t="shared" si="18"/>
        <v>637939.65712825209</v>
      </c>
      <c r="AA57" s="50">
        <f t="shared" si="18"/>
        <v>598140.5066949795</v>
      </c>
      <c r="AB57" s="50">
        <f t="shared" si="18"/>
        <v>547873.47492627846</v>
      </c>
    </row>
    <row r="58" spans="2:32">
      <c r="B58" s="7">
        <v>2024</v>
      </c>
      <c r="C58" s="8"/>
      <c r="D58" s="8"/>
      <c r="E58" s="8"/>
      <c r="F58" s="8"/>
      <c r="G58" s="8"/>
      <c r="H58" s="8"/>
      <c r="I58" s="8"/>
      <c r="J58" s="8"/>
      <c r="K58" s="8"/>
      <c r="L58" s="8"/>
      <c r="M58" s="8"/>
      <c r="N58" s="8"/>
      <c r="O58" s="8"/>
      <c r="P58" s="8"/>
      <c r="Q58" s="51"/>
      <c r="R58" s="51"/>
      <c r="S58" s="51"/>
      <c r="T58" s="50"/>
      <c r="U58" s="50">
        <f t="shared" ref="U58:AB58" si="19">T24-U24</f>
        <v>217221.02657297626</v>
      </c>
      <c r="V58" s="50">
        <f t="shared" si="19"/>
        <v>422155.63794263825</v>
      </c>
      <c r="W58" s="50">
        <f t="shared" si="19"/>
        <v>536269.35433627293</v>
      </c>
      <c r="X58" s="50">
        <f t="shared" si="19"/>
        <v>600201.1313400194</v>
      </c>
      <c r="Y58" s="50">
        <f t="shared" si="19"/>
        <v>627115.98587803077</v>
      </c>
      <c r="Z58" s="50">
        <f t="shared" si="19"/>
        <v>625755.68027716782</v>
      </c>
      <c r="AA58" s="50">
        <f t="shared" si="19"/>
        <v>603219.05755810067</v>
      </c>
      <c r="AB58" s="50">
        <f t="shared" si="19"/>
        <v>565586.02166244155</v>
      </c>
    </row>
    <row r="59" spans="2:32">
      <c r="B59" s="7">
        <v>2025</v>
      </c>
      <c r="C59" s="8"/>
      <c r="D59" s="8"/>
      <c r="E59" s="8"/>
      <c r="F59" s="8"/>
      <c r="G59" s="8"/>
      <c r="H59" s="8"/>
      <c r="I59" s="8"/>
      <c r="J59" s="8"/>
      <c r="K59" s="8"/>
      <c r="L59" s="8"/>
      <c r="M59" s="8"/>
      <c r="N59" s="8"/>
      <c r="O59" s="8"/>
      <c r="P59" s="8"/>
      <c r="Q59" s="51"/>
      <c r="R59" s="51"/>
      <c r="S59" s="51"/>
      <c r="T59" s="51"/>
      <c r="U59" s="50"/>
      <c r="V59" s="50">
        <f t="shared" ref="V59:AB59" si="20">U25-V25</f>
        <v>206080.6215568427</v>
      </c>
      <c r="W59" s="50">
        <f t="shared" si="20"/>
        <v>400504.94942172151</v>
      </c>
      <c r="X59" s="50">
        <f t="shared" si="20"/>
        <v>508766.22584406286</v>
      </c>
      <c r="Y59" s="50">
        <f t="shared" si="20"/>
        <v>569419.19554052688</v>
      </c>
      <c r="Z59" s="50">
        <f t="shared" si="20"/>
        <v>594953.6939259395</v>
      </c>
      <c r="AA59" s="50">
        <f t="shared" si="20"/>
        <v>593663.15300475899</v>
      </c>
      <c r="AB59" s="50">
        <f t="shared" si="20"/>
        <v>572282.34429111984</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1">V26-W26</f>
        <v>197568.12040823419</v>
      </c>
      <c r="X60" s="50">
        <f t="shared" si="21"/>
        <v>383961.42962728254</v>
      </c>
      <c r="Y60" s="50">
        <f t="shared" si="21"/>
        <v>487750.79484840017</v>
      </c>
      <c r="Z60" s="50">
        <f t="shared" si="21"/>
        <v>545898.39324742183</v>
      </c>
      <c r="AA60" s="50">
        <f t="shared" si="21"/>
        <v>570378.1469159713</v>
      </c>
      <c r="AB60" s="50">
        <f t="shared" si="21"/>
        <v>569140.91392345959</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192231.57798900083</v>
      </c>
      <c r="Y61" s="50">
        <f>X27-Y27</f>
        <v>373590.1893061148</v>
      </c>
      <c r="Z61" s="50">
        <f>Y27-Z27</f>
        <v>474576.08426581882</v>
      </c>
      <c r="AA61" s="50">
        <f>Z27-AA27</f>
        <v>531153.04907885659</v>
      </c>
      <c r="AB61" s="50">
        <f>AA27-AB27</f>
        <v>554971.57641395368</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190070.53246326745</v>
      </c>
      <c r="Z62" s="50">
        <f>Y28-Z28</f>
        <v>369390.33090873901</v>
      </c>
      <c r="AA62" s="50">
        <f>Z28-AA28</f>
        <v>469240.95392848458</v>
      </c>
      <c r="AB62" s="50">
        <f>AA28-AB28</f>
        <v>525181.88694098406</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190713.8121099323</v>
      </c>
      <c r="AA63" s="50">
        <f>Z29-AA29</f>
        <v>370640.50513863564</v>
      </c>
      <c r="AB63" s="50">
        <f>AA29-AB29</f>
        <v>470829.06520029437</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193584.12208320387</v>
      </c>
      <c r="AB64" s="50">
        <f>AA30-AB30</f>
        <v>376218.77514765225</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198032.69843538385</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2">ROUND(SUM(C41:C66),0)</f>
        <v>0</v>
      </c>
      <c r="D67" s="90">
        <f t="shared" si="22"/>
        <v>343106</v>
      </c>
      <c r="E67" s="90">
        <f t="shared" si="22"/>
        <v>1173908</v>
      </c>
      <c r="F67" s="90">
        <f t="shared" si="22"/>
        <v>2269067</v>
      </c>
      <c r="G67" s="90">
        <f t="shared" si="22"/>
        <v>3211385</v>
      </c>
      <c r="H67" s="90">
        <f t="shared" si="22"/>
        <v>3905309</v>
      </c>
      <c r="I67" s="90">
        <f t="shared" si="22"/>
        <v>4450951</v>
      </c>
      <c r="J67" s="90">
        <f t="shared" si="22"/>
        <v>4869295</v>
      </c>
      <c r="K67" s="90">
        <f t="shared" si="22"/>
        <v>5155756</v>
      </c>
      <c r="L67" s="90">
        <f t="shared" si="22"/>
        <v>5324036</v>
      </c>
      <c r="M67" s="90">
        <f t="shared" si="22"/>
        <v>5425242</v>
      </c>
      <c r="N67" s="90">
        <f t="shared" si="22"/>
        <v>5459940</v>
      </c>
      <c r="O67" s="90">
        <f t="shared" si="22"/>
        <v>5476260</v>
      </c>
      <c r="P67" s="90">
        <f t="shared" si="22"/>
        <v>5587179</v>
      </c>
      <c r="Q67" s="90">
        <f t="shared" si="22"/>
        <v>5895727</v>
      </c>
      <c r="R67" s="90">
        <f t="shared" si="22"/>
        <v>6090840</v>
      </c>
      <c r="S67" s="90">
        <f t="shared" si="22"/>
        <v>6118734</v>
      </c>
      <c r="T67" s="90">
        <f t="shared" si="22"/>
        <v>6060731</v>
      </c>
      <c r="U67" s="90">
        <f t="shared" si="22"/>
        <v>5967881</v>
      </c>
      <c r="V67" s="90">
        <f t="shared" si="22"/>
        <v>5875508</v>
      </c>
      <c r="W67" s="90">
        <f t="shared" si="22"/>
        <v>5804943</v>
      </c>
      <c r="X67" s="90">
        <f t="shared" si="22"/>
        <v>5767213</v>
      </c>
      <c r="Y67" s="90">
        <f t="shared" si="22"/>
        <v>5765869</v>
      </c>
      <c r="Z67" s="90">
        <f t="shared" si="22"/>
        <v>5799576</v>
      </c>
      <c r="AA67" s="90">
        <f t="shared" si="22"/>
        <v>5864262</v>
      </c>
      <c r="AB67" s="267">
        <f t="shared" si="22"/>
        <v>5954732</v>
      </c>
      <c r="AD67" s="1"/>
      <c r="AE67" s="1"/>
      <c r="AF67" s="1"/>
    </row>
    <row r="68" spans="1:32">
      <c r="R68" s="97"/>
      <c r="S68" s="97"/>
      <c r="T68" s="97"/>
      <c r="U68" s="97"/>
      <c r="V68" s="97"/>
      <c r="W68" s="97"/>
      <c r="X68" s="97"/>
      <c r="Y68" s="97"/>
      <c r="Z68" s="97"/>
      <c r="AA68" s="97"/>
      <c r="AB68" s="97"/>
      <c r="AD68" s="97"/>
      <c r="AE68" s="268"/>
      <c r="AF68" s="97"/>
    </row>
    <row r="69" spans="1:32" ht="21">
      <c r="B69" s="52" t="s">
        <v>7652</v>
      </c>
      <c r="Q69" s="46"/>
      <c r="R69" s="46"/>
      <c r="S69" s="46"/>
      <c r="T69" s="46"/>
      <c r="U69" s="46"/>
      <c r="V69" s="46"/>
      <c r="W69" s="46"/>
      <c r="X69" s="46"/>
      <c r="Y69" s="46"/>
      <c r="Z69" s="46"/>
      <c r="AA69" s="46"/>
      <c r="AB69" s="46"/>
    </row>
    <row r="70" spans="1:32">
      <c r="B70" s="7" t="s">
        <v>7761</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130159.90514245685</v>
      </c>
      <c r="E71" s="91">
        <f>E67*Outflow_routing!D4</f>
        <v>445331.046166407</v>
      </c>
      <c r="F71" s="91">
        <f>F67*Outflow_routing!E4</f>
        <v>860788.05232749972</v>
      </c>
      <c r="G71" s="91">
        <f>G67*Outflow_routing!F4</f>
        <v>1218263.6473157241</v>
      </c>
      <c r="H71" s="91">
        <f>H67*Outflow_routing!G4</f>
        <v>1481509.0642308295</v>
      </c>
      <c r="I71" s="91">
        <f>I67*Outflow_routing!H4</f>
        <v>1688502.561755619</v>
      </c>
      <c r="J71" s="91">
        <f>J67*Outflow_routing!I4</f>
        <v>1847204.5819969322</v>
      </c>
      <c r="K71" s="91">
        <f>K67*Outflow_routing!J4</f>
        <v>1955875.7698718552</v>
      </c>
      <c r="L71" s="91">
        <f>L67*Outflow_routing!K4</f>
        <v>2019714.0846707006</v>
      </c>
      <c r="M71" s="91">
        <f>M67*Outflow_routing!L4</f>
        <v>2058107.3606840826</v>
      </c>
      <c r="N71" s="91">
        <f>N67*Outflow_routing!M4</f>
        <v>2071270.314373709</v>
      </c>
      <c r="O71" s="91">
        <f>O67*Outflow_routing!N4</f>
        <v>2077461.4321388456</v>
      </c>
      <c r="P71" s="91">
        <f>P67*Outflow_routing!O4</f>
        <v>2119539.4095525201</v>
      </c>
      <c r="Q71" s="91">
        <f>Q67*Outflow_routing!P4</f>
        <v>2236589.471084218</v>
      </c>
      <c r="R71" s="91">
        <f>R67*Outflow_routing!Q4</f>
        <v>2310607.0912134498</v>
      </c>
      <c r="S71" s="91">
        <f>S67*Outflow_routing!R4</f>
        <v>2321188.8950701114</v>
      </c>
      <c r="T71" s="91">
        <f>T67*Outflow_routing!S4</f>
        <v>2299185.0100375619</v>
      </c>
      <c r="U71" s="91">
        <f>U67*Outflow_routing!T4</f>
        <v>2263961.6470171623</v>
      </c>
      <c r="V71" s="91">
        <f>V67*Outflow_routing!U4</f>
        <v>2228919.2376226191</v>
      </c>
      <c r="W71" s="91">
        <f>W67*Outflow_routing!V4</f>
        <v>2202149.8610848216</v>
      </c>
      <c r="X71" s="91">
        <f>X67*Outflow_routing!W4</f>
        <v>2187836.694830006</v>
      </c>
      <c r="Y71" s="91">
        <f>Y67*Outflow_routing!X4</f>
        <v>2187326.8380728769</v>
      </c>
      <c r="Z71" s="91">
        <f>Z67*Outflow_routing!Y4</f>
        <v>2200113.8482756619</v>
      </c>
      <c r="AA71" s="91">
        <f>AA67*Outflow_routing!Z4</f>
        <v>2224652.9808587269</v>
      </c>
      <c r="AB71" s="91">
        <f>AB67*Outflow_routing!AA4</f>
        <v>2258973.4725383767</v>
      </c>
    </row>
    <row r="72" spans="1:32">
      <c r="B72" s="7" t="s">
        <v>6907</v>
      </c>
      <c r="C72" s="91">
        <f>C67*Outflow_routing!B5</f>
        <v>0</v>
      </c>
      <c r="D72" s="91">
        <f>D67*Outflow_routing!C5</f>
        <v>29341.64407063026</v>
      </c>
      <c r="E72" s="91">
        <f>E67*Outflow_routing!D5</f>
        <v>100389.93986600476</v>
      </c>
      <c r="F72" s="91">
        <f>F67*Outflow_routing!E5</f>
        <v>194045.44451689214</v>
      </c>
      <c r="G72" s="91">
        <f>G67*Outflow_routing!F5</f>
        <v>274630.33477631101</v>
      </c>
      <c r="H72" s="91">
        <f>H67*Outflow_routing!G5</f>
        <v>333973.13560191018</v>
      </c>
      <c r="I72" s="91">
        <f>I67*Outflow_routing!H5</f>
        <v>380635.19733789505</v>
      </c>
      <c r="J72" s="91">
        <f>J67*Outflow_routing!I5</f>
        <v>416411.02389611246</v>
      </c>
      <c r="K72" s="91">
        <f>K67*Outflow_routing!J5</f>
        <v>440908.51651389478</v>
      </c>
      <c r="L72" s="91">
        <f>L67*Outflow_routing!K5</f>
        <v>455299.4390398945</v>
      </c>
      <c r="M72" s="91">
        <f>M67*Outflow_routing!L5</f>
        <v>463954.34577370912</v>
      </c>
      <c r="N72" s="91">
        <f>N67*Outflow_routing!M5</f>
        <v>466921.63974689157</v>
      </c>
      <c r="O72" s="91">
        <f>O67*Outflow_routing!N5</f>
        <v>468317.288995907</v>
      </c>
      <c r="P72" s="91">
        <f>P67*Outflow_routing!O5</f>
        <v>477802.82937896717</v>
      </c>
      <c r="Q72" s="91">
        <f>Q67*Outflow_routing!P5</f>
        <v>504189.15195771784</v>
      </c>
      <c r="R72" s="91">
        <f>R67*Outflow_routing!Q5</f>
        <v>520874.77156085178</v>
      </c>
      <c r="S72" s="91">
        <f>S67*Outflow_routing!R5</f>
        <v>523260.20294271671</v>
      </c>
      <c r="T72" s="91">
        <f>T67*Outflow_routing!S5</f>
        <v>518299.91842123133</v>
      </c>
      <c r="U72" s="91">
        <f>U67*Outflow_routing!T5</f>
        <v>510359.59778574837</v>
      </c>
      <c r="V72" s="91">
        <f>V67*Outflow_routing!U5</f>
        <v>502460.06910441862</v>
      </c>
      <c r="W72" s="91">
        <f>W67*Outflow_routing!V5</f>
        <v>496425.51093917515</v>
      </c>
      <c r="X72" s="91">
        <f>X67*Outflow_routing!W5</f>
        <v>493198.92722806288</v>
      </c>
      <c r="Y72" s="91">
        <f>Y67*Outflow_routing!X5</f>
        <v>493083.99140755576</v>
      </c>
      <c r="Z72" s="91">
        <f>Z67*Outflow_routing!Y5</f>
        <v>495966.53731665888</v>
      </c>
      <c r="AA72" s="91">
        <f>AA67*Outflow_routing!Z5</f>
        <v>501498.33678490715</v>
      </c>
      <c r="AB72" s="91">
        <f>AB67*Outflow_routing!AA5</f>
        <v>509235.12523824204</v>
      </c>
    </row>
    <row r="73" spans="1:32">
      <c r="B73" s="7" t="s">
        <v>6908</v>
      </c>
      <c r="C73" s="91">
        <f>C67*Outflow_routing!B6</f>
        <v>0</v>
      </c>
      <c r="D73" s="91">
        <f>D67*Outflow_routing!C6</f>
        <v>4745.1271014271306</v>
      </c>
      <c r="E73" s="91">
        <f>E67*Outflow_routing!D6</f>
        <v>16235.048834418867</v>
      </c>
      <c r="F73" s="91">
        <f>F67*Outflow_routing!E6</f>
        <v>31381.005626989776</v>
      </c>
      <c r="G73" s="91">
        <f>G67*Outflow_routing!F6</f>
        <v>44413.184253894033</v>
      </c>
      <c r="H73" s="91">
        <f>H67*Outflow_routing!G6</f>
        <v>54010.094767644063</v>
      </c>
      <c r="I73" s="91">
        <f>I67*Outflow_routing!H6</f>
        <v>61556.277702005173</v>
      </c>
      <c r="J73" s="91">
        <f>J67*Outflow_routing!I6</f>
        <v>67341.94001079438</v>
      </c>
      <c r="K73" s="91">
        <f>K67*Outflow_routing!J6</f>
        <v>71303.671529922343</v>
      </c>
      <c r="L73" s="91">
        <f>L67*Outflow_routing!K6</f>
        <v>73630.969766118025</v>
      </c>
      <c r="M73" s="91">
        <f>M67*Outflow_routing!L6</f>
        <v>75030.640227803437</v>
      </c>
      <c r="N73" s="91">
        <f>N67*Outflow_routing!M6</f>
        <v>75510.510647339441</v>
      </c>
      <c r="O73" s="91">
        <f>O67*Outflow_routing!N6</f>
        <v>75736.214873716395</v>
      </c>
      <c r="P73" s="91">
        <f>P67*Outflow_routing!O6</f>
        <v>77270.215307877254</v>
      </c>
      <c r="Q73" s="91">
        <f>Q67*Outflow_routing!P6</f>
        <v>81537.408177984849</v>
      </c>
      <c r="R73" s="91">
        <f>R67*Outflow_routing!Q6</f>
        <v>84235.804545698484</v>
      </c>
      <c r="S73" s="91">
        <f>S67*Outflow_routing!R6</f>
        <v>84621.576217914087</v>
      </c>
      <c r="T73" s="91">
        <f>T67*Outflow_routing!S6</f>
        <v>83819.39960991517</v>
      </c>
      <c r="U73" s="91">
        <f>U67*Outflow_routing!T6</f>
        <v>82535.291924921286</v>
      </c>
      <c r="V73" s="91">
        <f>V67*Outflow_routing!U6</f>
        <v>81257.781109779244</v>
      </c>
      <c r="W73" s="91">
        <f>W67*Outflow_routing!V6</f>
        <v>80281.873099099728</v>
      </c>
      <c r="X73" s="91">
        <f>X67*Outflow_routing!W6</f>
        <v>79760.070374761344</v>
      </c>
      <c r="Y73" s="91">
        <f>Y67*Outflow_routing!X6</f>
        <v>79741.482967883232</v>
      </c>
      <c r="Z73" s="91">
        <f>Z67*Outflow_routing!Y6</f>
        <v>80207.647940829804</v>
      </c>
      <c r="AA73" s="91">
        <f>AA67*Outflow_routing!Z6</f>
        <v>81102.249876333459</v>
      </c>
      <c r="AB73" s="91">
        <f>AB67*Outflow_routing!AA6</f>
        <v>82353.442361647365</v>
      </c>
    </row>
    <row r="75" spans="1:32" ht="21">
      <c r="A75" s="293" t="s">
        <v>7792</v>
      </c>
      <c r="B75" s="52" t="s">
        <v>7805</v>
      </c>
      <c r="C75" s="162"/>
      <c r="D75" s="162"/>
      <c r="E75" s="162"/>
      <c r="F75" s="162"/>
      <c r="G75" s="162"/>
      <c r="H75" s="162"/>
      <c r="I75" s="162"/>
      <c r="J75" s="162"/>
      <c r="K75" s="162"/>
      <c r="L75" s="162"/>
      <c r="M75" s="162"/>
      <c r="N75" s="162"/>
      <c r="O75" s="162"/>
    </row>
    <row r="76" spans="1:32">
      <c r="A76" s="1" t="s">
        <v>7762</v>
      </c>
      <c r="B76" s="163">
        <v>2007</v>
      </c>
      <c r="C76" s="164">
        <f>((VLOOKUP($B$76,Energy_demand!$A$34:$E$66,4,FALSE )))*C7</f>
        <v>363029399.47868991</v>
      </c>
      <c r="D76" s="164">
        <f>((VLOOKUP($B$76,Energy_demand!$A$34:$E$66,4,FALSE )))*D7</f>
        <v>343246537.87213731</v>
      </c>
      <c r="E76" s="164">
        <f>((VLOOKUP($B$76,Energy_demand!$A$34:$E$66,4,FALSE )))*E7</f>
        <v>306316193.63112551</v>
      </c>
      <c r="F76" s="164">
        <f>((VLOOKUP($B$76,Energy_demand!$A$34:$E$66,4,FALSE )))*F7</f>
        <v>262304763.74380517</v>
      </c>
      <c r="G76" s="164">
        <f>((VLOOKUP($B$76,Energy_demand!$A$34:$E$66,4,FALSE )))*G7</f>
        <v>216923895.84825626</v>
      </c>
      <c r="H76" s="164">
        <f>((VLOOKUP($B$76,Energy_demand!$A$34:$E$66,4,FALSE )))*H7</f>
        <v>173920481.66207212</v>
      </c>
      <c r="I76" s="164">
        <f>((VLOOKUP($B$76,Energy_demand!$A$34:$E$66,4,FALSE )))*I7</f>
        <v>135549713.68737304</v>
      </c>
      <c r="J76" s="164">
        <f>((VLOOKUP($B$76,Energy_demand!$A$34:$E$66,4,FALSE )))*J7</f>
        <v>102901670.50434226</v>
      </c>
      <c r="K76" s="164">
        <f>((VLOOKUP($B$76,Energy_demand!$A$34:$E$66,4,FALSE )))*K7</f>
        <v>76209491.22017169</v>
      </c>
      <c r="L76" s="164">
        <f>((VLOOKUP($B$76,Energy_demand!$A$34:$E$66,4,FALSE )))*L7</f>
        <v>55133969.508252256</v>
      </c>
      <c r="M76" s="164">
        <f>((VLOOKUP($B$76,Energy_demand!$A$34:$E$66,4,FALSE )))*M7</f>
        <v>39005230.207724497</v>
      </c>
      <c r="N76" s="164">
        <f>((VLOOKUP($B$76,Energy_demand!$A$34:$E$66,4,FALSE )))*N7</f>
        <v>27009802.903116219</v>
      </c>
      <c r="O76" s="164">
        <f>((VLOOKUP($B$76,Energy_demand!$A$34:$E$66,4,FALSE )))*O7</f>
        <v>18321615.60680135</v>
      </c>
      <c r="P76" s="164">
        <f>((VLOOKUP($B$76,Energy_demand!$A$34:$E$66,4,FALSE )))*P7</f>
        <v>12183071.467999937</v>
      </c>
      <c r="Q76" s="164">
        <f>((VLOOKUP($B$76,Energy_demand!$A$34:$E$66,4,FALSE )))*Q7</f>
        <v>7946455.0608445434</v>
      </c>
      <c r="R76" s="164">
        <f>((VLOOKUP($B$76,Energy_demand!$A$34:$E$66,4,FALSE )))*R7</f>
        <v>5086963.898717788</v>
      </c>
      <c r="S76" s="164">
        <f>((VLOOKUP($B$76,Energy_demand!$A$34:$E$66,4,FALSE )))*S7</f>
        <v>3197672.9448452666</v>
      </c>
      <c r="T76" s="164">
        <f>((VLOOKUP($B$76,Energy_demand!$A$34:$E$66,4,FALSE )))*T7</f>
        <v>1974701.10362048</v>
      </c>
      <c r="U76" s="164">
        <f>((VLOOKUP($B$76,Energy_demand!$A$34:$E$66,4,FALSE )))*U7</f>
        <v>1198520.4893463321</v>
      </c>
      <c r="V76" s="164">
        <f>((VLOOKUP($B$76,Energy_demand!$A$34:$E$66,4,FALSE )))*V7</f>
        <v>715214.82509601093</v>
      </c>
      <c r="W76" s="164">
        <f>((VLOOKUP($B$76,Energy_demand!$A$34:$E$66,4,FALSE )))*W7</f>
        <v>419789.84338469343</v>
      </c>
      <c r="X76" s="164">
        <f>((VLOOKUP($B$76,Energy_demand!$A$34:$E$66,4,FALSE )))*X7</f>
        <v>242425.29851273773</v>
      </c>
      <c r="Y76" s="164">
        <f>((VLOOKUP($B$76,Energy_demand!$A$34:$E$66,4,FALSE )))*Y7</f>
        <v>137787.83067158377</v>
      </c>
      <c r="Z76" s="164">
        <f>((VLOOKUP($B$76,Energy_demand!$A$34:$E$66,4,FALSE )))*Z7</f>
        <v>77100.680438851457</v>
      </c>
      <c r="AA76" s="164">
        <f>((VLOOKUP($B$76,Energy_demand!$A$34:$E$66,4,FALSE )))*AA7</f>
        <v>42485.391476086945</v>
      </c>
      <c r="AB76" s="164">
        <f>((VLOOKUP($B$76,Energy_demand!$A$34:$E$66,4,FALSE )))*AB7</f>
        <v>23060.444260819226</v>
      </c>
    </row>
    <row r="77" spans="1:32">
      <c r="B77" s="163">
        <v>2008</v>
      </c>
      <c r="C77" s="164">
        <f>((VLOOKUP($B$76,Energy_demand!$A$34:$E$66,4,FALSE )))*C8</f>
        <v>0</v>
      </c>
      <c r="D77" s="164">
        <f>((VLOOKUP($B$76,Energy_demand!$A$34:$E$66,4,FALSE )))*D8</f>
        <v>564376170.58915019</v>
      </c>
      <c r="E77" s="164">
        <f>((VLOOKUP($B$76,Energy_demand!$A$34:$E$66,4,FALSE )))*E8</f>
        <v>533621152.69573951</v>
      </c>
      <c r="F77" s="164">
        <f>((VLOOKUP($B$76,Energy_demand!$A$34:$E$66,4,FALSE )))*F8</f>
        <v>476208154.48895156</v>
      </c>
      <c r="G77" s="164">
        <f>((VLOOKUP($B$76,Energy_demand!$A$34:$E$66,4,FALSE )))*G8</f>
        <v>407786692.48717546</v>
      </c>
      <c r="H77" s="164">
        <f>((VLOOKUP($B$76,Energy_demand!$A$34:$E$66,4,FALSE )))*H8</f>
        <v>337236261.92237651</v>
      </c>
      <c r="I77" s="164">
        <f>((VLOOKUP($B$76,Energy_demand!$A$34:$E$66,4,FALSE )))*I8</f>
        <v>270381890.74607617</v>
      </c>
      <c r="J77" s="164">
        <f>((VLOOKUP($B$76,Energy_demand!$A$34:$E$66,4,FALSE )))*J8</f>
        <v>210729567.48183686</v>
      </c>
      <c r="K77" s="164">
        <f>((VLOOKUP($B$76,Energy_demand!$A$34:$E$66,4,FALSE )))*K8</f>
        <v>159973960.31798866</v>
      </c>
      <c r="L77" s="164">
        <f>((VLOOKUP($B$76,Energy_demand!$A$34:$E$66,4,FALSE )))*L8</f>
        <v>118477514.16042744</v>
      </c>
      <c r="M77" s="164">
        <f>((VLOOKUP($B$76,Energy_demand!$A$34:$E$66,4,FALSE )))*M8</f>
        <v>85712888.887592494</v>
      </c>
      <c r="N77" s="164">
        <f>((VLOOKUP($B$76,Energy_demand!$A$34:$E$66,4,FALSE )))*N8</f>
        <v>60638676.892822854</v>
      </c>
      <c r="O77" s="164">
        <f>((VLOOKUP($B$76,Energy_demand!$A$34:$E$66,4,FALSE )))*O8</f>
        <v>41990233.167667337</v>
      </c>
      <c r="P77" s="164">
        <f>((VLOOKUP($B$76,Energy_demand!$A$34:$E$66,4,FALSE )))*P8</f>
        <v>28483321.929357782</v>
      </c>
      <c r="Q77" s="164">
        <f>((VLOOKUP($B$76,Energy_demand!$A$34:$E$66,4,FALSE )))*Q8</f>
        <v>18940160.854733627</v>
      </c>
      <c r="R77" s="164">
        <f>((VLOOKUP($B$76,Energy_demand!$A$34:$E$66,4,FALSE )))*R8</f>
        <v>12353792.512227306</v>
      </c>
      <c r="S77" s="164">
        <f>((VLOOKUP($B$76,Energy_demand!$A$34:$E$66,4,FALSE )))*S8</f>
        <v>7908343.5369319897</v>
      </c>
      <c r="T77" s="164">
        <f>((VLOOKUP($B$76,Energy_demand!$A$34:$E$66,4,FALSE )))*T8</f>
        <v>4971196.3108217604</v>
      </c>
      <c r="U77" s="164">
        <f>((VLOOKUP($B$76,Energy_demand!$A$34:$E$66,4,FALSE )))*U8</f>
        <v>3069928.3543423191</v>
      </c>
      <c r="V77" s="164">
        <f>((VLOOKUP($B$76,Energy_demand!$A$34:$E$66,4,FALSE )))*V8</f>
        <v>1863255.1664445112</v>
      </c>
      <c r="W77" s="164">
        <f>((VLOOKUP($B$76,Energy_demand!$A$34:$E$66,4,FALSE )))*W8</f>
        <v>1111893.9808068355</v>
      </c>
      <c r="X77" s="164">
        <f>((VLOOKUP($B$76,Energy_demand!$A$34:$E$66,4,FALSE )))*X8</f>
        <v>652617.62436289876</v>
      </c>
      <c r="Y77" s="164">
        <f>((VLOOKUP($B$76,Energy_demand!$A$34:$E$66,4,FALSE )))*Y8</f>
        <v>376881.49176078482</v>
      </c>
      <c r="Z77" s="164">
        <f>((VLOOKUP($B$76,Energy_demand!$A$34:$E$66,4,FALSE )))*Z8</f>
        <v>214209.00990356156</v>
      </c>
      <c r="AA77" s="164">
        <f>((VLOOKUP($B$76,Energy_demand!$A$34:$E$66,4,FALSE )))*AA8</f>
        <v>119862.98310379976</v>
      </c>
      <c r="AB77" s="164">
        <f>((VLOOKUP($B$76,Energy_demand!$A$34:$E$66,4,FALSE )))*AB8</f>
        <v>66049.03785116825</v>
      </c>
    </row>
    <row r="78" spans="1:32">
      <c r="B78" s="163">
        <v>2009</v>
      </c>
      <c r="C78" s="164">
        <f>((VLOOKUP($B$76,Energy_demand!$A$34:$E$66,4,FALSE )))*C9</f>
        <v>0</v>
      </c>
      <c r="D78" s="164">
        <f>((VLOOKUP($B$76,Energy_demand!$A$34:$E$66,4,FALSE )))*D9</f>
        <v>0</v>
      </c>
      <c r="E78" s="164">
        <f>((VLOOKUP($B$76,Energy_demand!$A$34:$E$66,4,FALSE )))*E9</f>
        <v>539616211.89365923</v>
      </c>
      <c r="F78" s="164">
        <f>((VLOOKUP($B$76,Energy_demand!$A$34:$E$66,4,FALSE )))*F9</f>
        <v>510210458.92744237</v>
      </c>
      <c r="G78" s="164">
        <f>((VLOOKUP($B$76,Energy_demand!$A$34:$E$66,4,FALSE )))*G9</f>
        <v>455316247.90243864</v>
      </c>
      <c r="H78" s="164">
        <f>((VLOOKUP($B$76,Energy_demand!$A$34:$E$66,4,FALSE )))*H9</f>
        <v>389896529.52722383</v>
      </c>
      <c r="I78" s="164">
        <f>((VLOOKUP($B$76,Energy_demand!$A$34:$E$66,4,FALSE )))*I9</f>
        <v>322441243.36745894</v>
      </c>
      <c r="J78" s="164">
        <f>((VLOOKUP($B$76,Energy_demand!$A$34:$E$66,4,FALSE )))*J9</f>
        <v>258519865.38824955</v>
      </c>
      <c r="K78" s="164">
        <f>((VLOOKUP($B$76,Energy_demand!$A$34:$E$66,4,FALSE )))*K9</f>
        <v>201484571.57543236</v>
      </c>
      <c r="L78" s="164">
        <f>((VLOOKUP($B$76,Energy_demand!$A$34:$E$66,4,FALSE )))*L9</f>
        <v>152955682.69352287</v>
      </c>
      <c r="M78" s="164">
        <f>((VLOOKUP($B$76,Energy_demand!$A$34:$E$66,4,FALSE )))*M9</f>
        <v>113279742.69198582</v>
      </c>
      <c r="N78" s="164">
        <f>((VLOOKUP($B$76,Energy_demand!$A$34:$E$66,4,FALSE )))*N9</f>
        <v>81952546.585555553</v>
      </c>
      <c r="O78" s="164">
        <f>((VLOOKUP($B$76,Energy_demand!$A$34:$E$66,4,FALSE )))*O9</f>
        <v>57978374.751348324</v>
      </c>
      <c r="P78" s="164">
        <f>((VLOOKUP($B$76,Energy_demand!$A$34:$E$66,4,FALSE )))*P9</f>
        <v>40148063.896487504</v>
      </c>
      <c r="Q78" s="164">
        <f>((VLOOKUP($B$76,Energy_demand!$A$34:$E$66,4,FALSE )))*Q9</f>
        <v>27233719.427988764</v>
      </c>
      <c r="R78" s="164">
        <f>((VLOOKUP($B$76,Energy_demand!$A$34:$E$66,4,FALSE )))*R9</f>
        <v>18109229.952814762</v>
      </c>
      <c r="S78" s="164">
        <f>((VLOOKUP($B$76,Energy_demand!$A$34:$E$66,4,FALSE )))*S9</f>
        <v>11811814.64662021</v>
      </c>
      <c r="T78" s="164">
        <f>((VLOOKUP($B$76,Energy_demand!$A$34:$E$66,4,FALSE )))*T9</f>
        <v>7561393.630950341</v>
      </c>
      <c r="U78" s="164">
        <f>((VLOOKUP($B$76,Energy_demand!$A$34:$E$66,4,FALSE )))*U9</f>
        <v>4753103.0926147718</v>
      </c>
      <c r="V78" s="164">
        <f>((VLOOKUP($B$76,Energy_demand!$A$34:$E$66,4,FALSE )))*V9</f>
        <v>2935246.3758805348</v>
      </c>
      <c r="W78" s="164">
        <f>((VLOOKUP($B$76,Energy_demand!$A$34:$E$66,4,FALSE )))*W9</f>
        <v>1781511.6000707448</v>
      </c>
      <c r="X78" s="164">
        <f>((VLOOKUP($B$76,Energy_demand!$A$34:$E$66,4,FALSE )))*X9</f>
        <v>1063113.6628678211</v>
      </c>
      <c r="Y78" s="164">
        <f>((VLOOKUP($B$76,Energy_demand!$A$34:$E$66,4,FALSE )))*Y9</f>
        <v>623986.3917467047</v>
      </c>
      <c r="Z78" s="164">
        <f>((VLOOKUP($B$76,Energy_demand!$A$34:$E$66,4,FALSE )))*Z9</f>
        <v>360347.1824554312</v>
      </c>
      <c r="AA78" s="164">
        <f>((VLOOKUP($B$76,Energy_demand!$A$34:$E$66,4,FALSE )))*AA9</f>
        <v>204811.3660734233</v>
      </c>
      <c r="AB78" s="164">
        <f>((VLOOKUP($B$76,Energy_demand!$A$34:$E$66,4,FALSE )))*AB9</f>
        <v>114604.4292076097</v>
      </c>
    </row>
    <row r="79" spans="1:32">
      <c r="B79" s="163">
        <v>2010</v>
      </c>
      <c r="C79" s="164">
        <f>((VLOOKUP($B$76,Energy_demand!$A$34:$E$66,4,FALSE )))*C10</f>
        <v>0</v>
      </c>
      <c r="D79" s="164">
        <f>((VLOOKUP($B$76,Energy_demand!$A$34:$E$66,4,FALSE )))*D10</f>
        <v>0</v>
      </c>
      <c r="E79" s="164">
        <f>((VLOOKUP($B$76,Energy_demand!$A$34:$E$66,4,FALSE )))*E10</f>
        <v>0</v>
      </c>
      <c r="F79" s="164">
        <f>((VLOOKUP($B$76,Energy_demand!$A$34:$E$66,4,FALSE )))*F10</f>
        <v>302161459.88689077</v>
      </c>
      <c r="G79" s="164">
        <f>((VLOOKUP($B$76,Energy_demand!$A$34:$E$66,4,FALSE )))*G10</f>
        <v>285695525.30319011</v>
      </c>
      <c r="H79" s="164">
        <f>((VLOOKUP($B$76,Energy_demand!$A$34:$E$66,4,FALSE )))*H10</f>
        <v>254957169.82560682</v>
      </c>
      <c r="I79" s="164">
        <f>((VLOOKUP($B$76,Energy_demand!$A$34:$E$66,4,FALSE )))*I10</f>
        <v>218324990.92891419</v>
      </c>
      <c r="J79" s="164">
        <f>((VLOOKUP($B$76,Energy_demand!$A$34:$E$66,4,FALSE )))*J10</f>
        <v>180552983.16881514</v>
      </c>
      <c r="K79" s="164">
        <f>((VLOOKUP($B$76,Energy_demand!$A$34:$E$66,4,FALSE )))*K10</f>
        <v>144759809.31215951</v>
      </c>
      <c r="L79" s="164">
        <f>((VLOOKUP($B$76,Energy_demand!$A$34:$E$66,4,FALSE )))*L10</f>
        <v>112822541.18768956</v>
      </c>
      <c r="M79" s="164">
        <f>((VLOOKUP($B$76,Energy_demand!$A$34:$E$66,4,FALSE )))*M10</f>
        <v>85648487.502778813</v>
      </c>
      <c r="N79" s="164">
        <f>((VLOOKUP($B$76,Energy_demand!$A$34:$E$66,4,FALSE )))*N10</f>
        <v>63431697.701045282</v>
      </c>
      <c r="O79" s="164">
        <f>((VLOOKUP($B$76,Energy_demand!$A$34:$E$66,4,FALSE )))*O10</f>
        <v>45889839.059579358</v>
      </c>
      <c r="P79" s="164">
        <f>((VLOOKUP($B$76,Energy_demand!$A$34:$E$66,4,FALSE )))*P10</f>
        <v>32465352.171793256</v>
      </c>
      <c r="Q79" s="164">
        <f>((VLOOKUP($B$76,Energy_demand!$A$34:$E$66,4,FALSE )))*Q10</f>
        <v>22481158.518242411</v>
      </c>
      <c r="R79" s="164">
        <f>((VLOOKUP($B$76,Energy_demand!$A$34:$E$66,4,FALSE )))*R10</f>
        <v>15249690.87128303</v>
      </c>
      <c r="S79" s="164">
        <f>((VLOOKUP($B$76,Energy_demand!$A$34:$E$66,4,FALSE )))*S10</f>
        <v>10140376.140234005</v>
      </c>
      <c r="T79" s="164">
        <f>((VLOOKUP($B$76,Energy_demand!$A$34:$E$66,4,FALSE )))*T10</f>
        <v>6614099.2039717864</v>
      </c>
      <c r="U79" s="164">
        <f>((VLOOKUP($B$76,Energy_demand!$A$34:$E$66,4,FALSE )))*U10</f>
        <v>4234049.4743283307</v>
      </c>
      <c r="V79" s="164">
        <f>((VLOOKUP($B$76,Energy_demand!$A$34:$E$66,4,FALSE )))*V10</f>
        <v>2661529.690550521</v>
      </c>
      <c r="W79" s="164">
        <f>((VLOOKUP($B$76,Energy_demand!$A$34:$E$66,4,FALSE )))*W10</f>
        <v>1643609.4959996319</v>
      </c>
      <c r="X79" s="164">
        <f>((VLOOKUP($B$76,Energy_demand!$A$34:$E$66,4,FALSE )))*X10</f>
        <v>997568.5200297304</v>
      </c>
      <c r="Y79" s="164">
        <f>((VLOOKUP($B$76,Energy_demand!$A$34:$E$66,4,FALSE )))*Y10</f>
        <v>595297.11917021684</v>
      </c>
      <c r="Z79" s="164">
        <f>((VLOOKUP($B$76,Energy_demand!$A$34:$E$66,4,FALSE )))*Z10</f>
        <v>349405.06775747804</v>
      </c>
      <c r="AA79" s="164">
        <f>((VLOOKUP($B$76,Energy_demand!$A$34:$E$66,4,FALSE )))*AA10</f>
        <v>201778.64993114438</v>
      </c>
      <c r="AB79" s="164">
        <f>((VLOOKUP($B$76,Energy_demand!$A$34:$E$66,4,FALSE )))*AB10</f>
        <v>114685.40049417516</v>
      </c>
    </row>
    <row r="80" spans="1:32">
      <c r="B80" s="163">
        <v>2011</v>
      </c>
      <c r="C80" s="164">
        <f>((VLOOKUP($B$76,Energy_demand!$A$34:$E$66,4,FALSE )))*C11</f>
        <v>0</v>
      </c>
      <c r="D80" s="164">
        <f>((VLOOKUP($B$76,Energy_demand!$A$34:$E$66,4,FALSE )))*D11</f>
        <v>0</v>
      </c>
      <c r="E80" s="164">
        <f>((VLOOKUP($B$76,Energy_demand!$A$34:$E$66,4,FALSE )))*E11</f>
        <v>0</v>
      </c>
      <c r="F80" s="164">
        <f>((VLOOKUP($B$76,Energy_demand!$A$34:$E$66,4,FALSE )))*F11</f>
        <v>0</v>
      </c>
      <c r="G80" s="164">
        <f>((VLOOKUP($B$76,Energy_demand!$A$34:$E$66,4,FALSE )))*G11</f>
        <v>283718412.20782775</v>
      </c>
      <c r="H80" s="164">
        <f>((VLOOKUP($B$76,Energy_demand!$A$34:$E$66,4,FALSE )))*H11</f>
        <v>268257509.8897284</v>
      </c>
      <c r="I80" s="164">
        <f>((VLOOKUP($B$76,Energy_demand!$A$34:$E$66,4,FALSE )))*I11</f>
        <v>239395333.31286025</v>
      </c>
      <c r="J80" s="164">
        <f>((VLOOKUP($B$76,Energy_demand!$A$34:$E$66,4,FALSE )))*J11</f>
        <v>204999074.98073122</v>
      </c>
      <c r="K80" s="164">
        <f>((VLOOKUP($B$76,Energy_demand!$A$34:$E$66,4,FALSE )))*K11</f>
        <v>169532559.58989134</v>
      </c>
      <c r="L80" s="164">
        <f>((VLOOKUP($B$76,Energy_demand!$A$34:$E$66,4,FALSE )))*L11</f>
        <v>135924095.8953802</v>
      </c>
      <c r="M80" s="164">
        <f>((VLOOKUP($B$76,Energy_demand!$A$34:$E$66,4,FALSE )))*M11</f>
        <v>105936184.77686033</v>
      </c>
      <c r="N80" s="164">
        <f>((VLOOKUP($B$76,Energy_demand!$A$34:$E$66,4,FALSE )))*N11</f>
        <v>80420755.484126642</v>
      </c>
      <c r="O80" s="164">
        <f>((VLOOKUP($B$76,Energy_demand!$A$34:$E$66,4,FALSE )))*O11</f>
        <v>59560013.252928652</v>
      </c>
      <c r="P80" s="164">
        <f>((VLOOKUP($B$76,Energy_demand!$A$34:$E$66,4,FALSE )))*P11</f>
        <v>43088858.12019296</v>
      </c>
      <c r="Q80" s="164">
        <f>((VLOOKUP($B$76,Energy_demand!$A$34:$E$66,4,FALSE )))*Q11</f>
        <v>30483762.467248894</v>
      </c>
      <c r="R80" s="164">
        <f>((VLOOKUP($B$76,Energy_demand!$A$34:$E$66,4,FALSE )))*R11</f>
        <v>21108974.658038251</v>
      </c>
      <c r="S80" s="164">
        <f>((VLOOKUP($B$76,Energy_demand!$A$34:$E$66,4,FALSE )))*S11</f>
        <v>14318894.548233338</v>
      </c>
      <c r="T80" s="164">
        <f>((VLOOKUP($B$76,Energy_demand!$A$34:$E$66,4,FALSE )))*T11</f>
        <v>9521437.3758132327</v>
      </c>
      <c r="U80" s="164">
        <f>((VLOOKUP($B$76,Energy_demand!$A$34:$E$66,4,FALSE )))*U11</f>
        <v>6210394.0225811247</v>
      </c>
      <c r="V80" s="164">
        <f>((VLOOKUP($B$76,Energy_demand!$A$34:$E$66,4,FALSE )))*V11</f>
        <v>3975615.5352026052</v>
      </c>
      <c r="W80" s="164">
        <f>((VLOOKUP($B$76,Energy_demand!$A$34:$E$66,4,FALSE )))*W11</f>
        <v>2499077.7385363891</v>
      </c>
      <c r="X80" s="164">
        <f>((VLOOKUP($B$76,Energy_demand!$A$34:$E$66,4,FALSE )))*X11</f>
        <v>1543288.4017348995</v>
      </c>
      <c r="Y80" s="164">
        <f>((VLOOKUP($B$76,Energy_demand!$A$34:$E$66,4,FALSE )))*Y11</f>
        <v>936679.86869435583</v>
      </c>
      <c r="Z80" s="164">
        <f>((VLOOKUP($B$76,Energy_demand!$A$34:$E$66,4,FALSE )))*Z11</f>
        <v>558961.9321606789</v>
      </c>
      <c r="AA80" s="164">
        <f>((VLOOKUP($B$76,Energy_demand!$A$34:$E$66,4,FALSE )))*AA11</f>
        <v>328078.40906854509</v>
      </c>
      <c r="AB80" s="164">
        <f>((VLOOKUP($B$76,Energy_demand!$A$34:$E$66,4,FALSE )))*AB11</f>
        <v>189462.67401982163</v>
      </c>
    </row>
    <row r="81" spans="1:28">
      <c r="B81" s="163">
        <v>2012</v>
      </c>
      <c r="C81" s="164">
        <f>((VLOOKUP($B$76,Energy_demand!$A$34:$E$66,4,FALSE )))*C12</f>
        <v>0</v>
      </c>
      <c r="D81" s="164">
        <f>((VLOOKUP($B$76,Energy_demand!$A$34:$E$66,4,FALSE )))*D12</f>
        <v>0</v>
      </c>
      <c r="E81" s="164">
        <f>((VLOOKUP($B$76,Energy_demand!$A$34:$E$66,4,FALSE )))*E12</f>
        <v>0</v>
      </c>
      <c r="F81" s="164">
        <f>((VLOOKUP($B$76,Energy_demand!$A$34:$E$66,4,FALSE )))*F12</f>
        <v>0</v>
      </c>
      <c r="G81" s="164">
        <f>((VLOOKUP($B$76,Energy_demand!$A$34:$E$66,4,FALSE )))*G12</f>
        <v>0</v>
      </c>
      <c r="H81" s="164">
        <f>((VLOOKUP($B$76,Energy_demand!$A$34:$E$66,4,FALSE )))*H12</f>
        <v>338730491.4962588</v>
      </c>
      <c r="I81" s="164">
        <f>((VLOOKUP($B$76,Energy_demand!$A$34:$E$66,4,FALSE )))*I12</f>
        <v>320271770.39870381</v>
      </c>
      <c r="J81" s="164">
        <f>((VLOOKUP($B$76,Energy_demand!$A$34:$E$66,4,FALSE )))*J12</f>
        <v>285813311.45888382</v>
      </c>
      <c r="K81" s="164">
        <f>((VLOOKUP($B$76,Energy_demand!$A$34:$E$66,4,FALSE )))*K12</f>
        <v>244747730.27291626</v>
      </c>
      <c r="L81" s="164">
        <f>((VLOOKUP($B$76,Energy_demand!$A$34:$E$66,4,FALSE )))*L12</f>
        <v>202404372.65818843</v>
      </c>
      <c r="M81" s="164">
        <f>((VLOOKUP($B$76,Energy_demand!$A$34:$E$66,4,FALSE )))*M12</f>
        <v>162279336.93320048</v>
      </c>
      <c r="N81" s="164">
        <f>((VLOOKUP($B$76,Energy_demand!$A$34:$E$66,4,FALSE )))*N12</f>
        <v>126476867.17779523</v>
      </c>
      <c r="O81" s="164">
        <f>((VLOOKUP($B$76,Energy_demand!$A$34:$E$66,4,FALSE )))*O12</f>
        <v>96014078.958274573</v>
      </c>
      <c r="P81" s="164">
        <f>((VLOOKUP($B$76,Energy_demand!$A$34:$E$66,4,FALSE )))*P12</f>
        <v>71108506.514233172</v>
      </c>
      <c r="Q81" s="164">
        <f>((VLOOKUP($B$76,Energy_demand!$A$34:$E$66,4,FALSE )))*Q12</f>
        <v>51443647.860168144</v>
      </c>
      <c r="R81" s="164">
        <f>((VLOOKUP($B$76,Energy_demand!$A$34:$E$66,4,FALSE )))*R12</f>
        <v>36394465.071313895</v>
      </c>
      <c r="S81" s="164">
        <f>((VLOOKUP($B$76,Energy_demand!$A$34:$E$66,4,FALSE )))*S12</f>
        <v>25201936.332780924</v>
      </c>
      <c r="T81" s="164">
        <f>((VLOOKUP($B$76,Energy_demand!$A$34:$E$66,4,FALSE )))*T12</f>
        <v>17095281.727621209</v>
      </c>
      <c r="U81" s="164">
        <f>((VLOOKUP($B$76,Energy_demand!$A$34:$E$66,4,FALSE )))*U12</f>
        <v>11367613.18013284</v>
      </c>
      <c r="V81" s="164">
        <f>((VLOOKUP($B$76,Energy_demand!$A$34:$E$66,4,FALSE )))*V12</f>
        <v>7414569.2670568693</v>
      </c>
      <c r="W81" s="164">
        <f>((VLOOKUP($B$76,Energy_demand!$A$34:$E$66,4,FALSE )))*W12</f>
        <v>4746474.4841899481</v>
      </c>
      <c r="X81" s="164">
        <f>((VLOOKUP($B$76,Energy_demand!$A$34:$E$66,4,FALSE )))*X12</f>
        <v>2983640.8010126138</v>
      </c>
      <c r="Y81" s="164">
        <f>((VLOOKUP($B$76,Energy_demand!$A$34:$E$66,4,FALSE )))*Y12</f>
        <v>1842527.0139225577</v>
      </c>
      <c r="Z81" s="164">
        <f>((VLOOKUP($B$76,Energy_demand!$A$34:$E$66,4,FALSE )))*Z12</f>
        <v>1118299.0551387859</v>
      </c>
      <c r="AA81" s="164">
        <f>((VLOOKUP($B$76,Energy_demand!$A$34:$E$66,4,FALSE )))*AA12</f>
        <v>667342.83663547668</v>
      </c>
      <c r="AB81" s="164">
        <f>((VLOOKUP($B$76,Energy_demand!$A$34:$E$66,4,FALSE )))*AB12</f>
        <v>391691.74777312134</v>
      </c>
    </row>
    <row r="82" spans="1:28">
      <c r="B82" s="163">
        <v>2013</v>
      </c>
      <c r="C82" s="164">
        <f>((VLOOKUP($B$76,Energy_demand!$A$34:$E$66,4,FALSE )))*C13</f>
        <v>0</v>
      </c>
      <c r="D82" s="164">
        <f>((VLOOKUP($B$76,Energy_demand!$A$34:$E$66,4,FALSE )))*D13</f>
        <v>0</v>
      </c>
      <c r="E82" s="164">
        <f>((VLOOKUP($B$76,Energy_demand!$A$34:$E$66,4,FALSE )))*E13</f>
        <v>0</v>
      </c>
      <c r="F82" s="164">
        <f>((VLOOKUP($B$76,Energy_demand!$A$34:$E$66,4,FALSE )))*F13</f>
        <v>0</v>
      </c>
      <c r="G82" s="164">
        <f>((VLOOKUP($B$76,Energy_demand!$A$34:$E$66,4,FALSE )))*G13</f>
        <v>0</v>
      </c>
      <c r="H82" s="164">
        <f>((VLOOKUP($B$76,Energy_demand!$A$34:$E$66,4,FALSE )))*H13</f>
        <v>0</v>
      </c>
      <c r="I82" s="164">
        <f>((VLOOKUP($B$76,Energy_demand!$A$34:$E$66,4,FALSE )))*I13</f>
        <v>328587056.57279235</v>
      </c>
      <c r="J82" s="164">
        <f>((VLOOKUP($B$76,Energy_demand!$A$34:$E$66,4,FALSE )))*J13</f>
        <v>310681090.0719564</v>
      </c>
      <c r="K82" s="164">
        <f>((VLOOKUP($B$76,Energy_demand!$A$34:$E$66,4,FALSE )))*K13</f>
        <v>277254504.98050195</v>
      </c>
      <c r="L82" s="164">
        <f>((VLOOKUP($B$76,Energy_demand!$A$34:$E$66,4,FALSE )))*L13</f>
        <v>237418650.85132873</v>
      </c>
      <c r="M82" s="164">
        <f>((VLOOKUP($B$76,Energy_demand!$A$34:$E$66,4,FALSE )))*M13</f>
        <v>196343283.87573358</v>
      </c>
      <c r="N82" s="164">
        <f>((VLOOKUP($B$76,Energy_demand!$A$34:$E$66,4,FALSE )))*N13</f>
        <v>157419810.15622184</v>
      </c>
      <c r="O82" s="164">
        <f>((VLOOKUP($B$76,Energy_demand!$A$34:$E$66,4,FALSE )))*O13</f>
        <v>122689461.24963404</v>
      </c>
      <c r="P82" s="164">
        <f>((VLOOKUP($B$76,Energy_demand!$A$34:$E$66,4,FALSE )))*P13</f>
        <v>93138894.745162219</v>
      </c>
      <c r="Q82" s="164">
        <f>((VLOOKUP($B$76,Energy_demand!$A$34:$E$66,4,FALSE )))*Q13</f>
        <v>68979130.723037288</v>
      </c>
      <c r="R82" s="164">
        <f>((VLOOKUP($B$76,Energy_demand!$A$34:$E$66,4,FALSE )))*R13</f>
        <v>49903144.990201078</v>
      </c>
      <c r="S82" s="164">
        <f>((VLOOKUP($B$76,Energy_demand!$A$34:$E$66,4,FALSE )))*S13</f>
        <v>35304616.659986794</v>
      </c>
      <c r="T82" s="164">
        <f>((VLOOKUP($B$76,Energy_demand!$A$34:$E$66,4,FALSE )))*T13</f>
        <v>24447253.162666216</v>
      </c>
      <c r="U82" s="164">
        <f>((VLOOKUP($B$76,Energy_demand!$A$34:$E$66,4,FALSE )))*U13</f>
        <v>16583355.928037953</v>
      </c>
      <c r="V82" s="164">
        <f>((VLOOKUP($B$76,Energy_demand!$A$34:$E$66,4,FALSE )))*V13</f>
        <v>11027204.957600294</v>
      </c>
      <c r="W82" s="164">
        <f>((VLOOKUP($B$76,Energy_demand!$A$34:$E$66,4,FALSE )))*W13</f>
        <v>7192536.6991775855</v>
      </c>
      <c r="X82" s="164">
        <f>((VLOOKUP($B$76,Energy_demand!$A$34:$E$66,4,FALSE )))*X13</f>
        <v>4604339.1988969017</v>
      </c>
      <c r="Y82" s="164">
        <f>((VLOOKUP($B$76,Energy_demand!$A$34:$E$66,4,FALSE )))*Y13</f>
        <v>2894294.3528485131</v>
      </c>
      <c r="Z82" s="164">
        <f>((VLOOKUP($B$76,Energy_demand!$A$34:$E$66,4,FALSE )))*Z13</f>
        <v>1787351.7246301884</v>
      </c>
      <c r="AA82" s="164">
        <f>((VLOOKUP($B$76,Energy_demand!$A$34:$E$66,4,FALSE )))*AA13</f>
        <v>1084811.093542333</v>
      </c>
      <c r="AB82" s="164">
        <f>((VLOOKUP($B$76,Energy_demand!$A$34:$E$66,4,FALSE )))*AB13</f>
        <v>647358.9591724457</v>
      </c>
    </row>
    <row r="83" spans="1:28">
      <c r="B83" s="163">
        <v>2014</v>
      </c>
      <c r="C83" s="164">
        <f>((VLOOKUP($B$76,Energy_demand!$A$34:$E$66,4,FALSE )))*C14</f>
        <v>0</v>
      </c>
      <c r="D83" s="164">
        <f>((VLOOKUP($B$76,Energy_demand!$A$34:$E$66,4,FALSE )))*D14</f>
        <v>0</v>
      </c>
      <c r="E83" s="164">
        <f>((VLOOKUP($B$76,Energy_demand!$A$34:$E$66,4,FALSE )))*E14</f>
        <v>0</v>
      </c>
      <c r="F83" s="164">
        <f>((VLOOKUP($B$76,Energy_demand!$A$34:$E$66,4,FALSE )))*F14</f>
        <v>0</v>
      </c>
      <c r="G83" s="164">
        <f>((VLOOKUP($B$76,Energy_demand!$A$34:$E$66,4,FALSE )))*G14</f>
        <v>0</v>
      </c>
      <c r="H83" s="164">
        <f>((VLOOKUP($B$76,Energy_demand!$A$34:$E$66,4,FALSE )))*H14</f>
        <v>0</v>
      </c>
      <c r="I83" s="164">
        <f>((VLOOKUP($B$76,Energy_demand!$A$34:$E$66,4,FALSE )))*I14</f>
        <v>0</v>
      </c>
      <c r="J83" s="164">
        <f>((VLOOKUP($B$76,Energy_demand!$A$34:$E$66,4,FALSE )))*J14</f>
        <v>312627715.25699621</v>
      </c>
      <c r="K83" s="164">
        <f>((VLOOKUP($B$76,Energy_demand!$A$34:$E$66,4,FALSE )))*K14</f>
        <v>295591434.35472476</v>
      </c>
      <c r="L83" s="164">
        <f>((VLOOKUP($B$76,Energy_demand!$A$34:$E$66,4,FALSE )))*L14</f>
        <v>263788365.07080138</v>
      </c>
      <c r="M83" s="164">
        <f>((VLOOKUP($B$76,Energy_demand!$A$34:$E$66,4,FALSE )))*M14</f>
        <v>225887322.37116143</v>
      </c>
      <c r="N83" s="164">
        <f>((VLOOKUP($B$76,Energy_demand!$A$34:$E$66,4,FALSE )))*N14</f>
        <v>186806969.46603036</v>
      </c>
      <c r="O83" s="164">
        <f>((VLOOKUP($B$76,Energy_demand!$A$34:$E$66,4,FALSE )))*O14</f>
        <v>149773993.22613707</v>
      </c>
      <c r="P83" s="164">
        <f>((VLOOKUP($B$76,Energy_demand!$A$34:$E$66,4,FALSE )))*P14</f>
        <v>116730483.41174625</v>
      </c>
      <c r="Q83" s="164">
        <f>((VLOOKUP($B$76,Energy_demand!$A$34:$E$66,4,FALSE )))*Q14</f>
        <v>88615176.049368843</v>
      </c>
      <c r="R83" s="164">
        <f>((VLOOKUP($B$76,Energy_demand!$A$34:$E$66,4,FALSE )))*R14</f>
        <v>65628842.058724068</v>
      </c>
      <c r="S83" s="164">
        <f>((VLOOKUP($B$76,Energy_demand!$A$34:$E$66,4,FALSE )))*S14</f>
        <v>47479369.288452312</v>
      </c>
      <c r="T83" s="164">
        <f>((VLOOKUP($B$76,Energy_demand!$A$34:$E$66,4,FALSE )))*T14</f>
        <v>33589885.613740452</v>
      </c>
      <c r="U83" s="164">
        <f>((VLOOKUP($B$76,Energy_demand!$A$34:$E$66,4,FALSE )))*U14</f>
        <v>23259859.899139311</v>
      </c>
      <c r="V83" s="164">
        <f>((VLOOKUP($B$76,Energy_demand!$A$34:$E$66,4,FALSE )))*V14</f>
        <v>15777908.993586781</v>
      </c>
      <c r="W83" s="164">
        <f>((VLOOKUP($B$76,Energy_demand!$A$34:$E$66,4,FALSE )))*W14</f>
        <v>10491618.043395123</v>
      </c>
      <c r="X83" s="164">
        <f>((VLOOKUP($B$76,Energy_demand!$A$34:$E$66,4,FALSE )))*X14</f>
        <v>6843198.0815648884</v>
      </c>
      <c r="Y83" s="164">
        <f>((VLOOKUP($B$76,Energy_demand!$A$34:$E$66,4,FALSE )))*Y14</f>
        <v>4380708.2939692251</v>
      </c>
      <c r="Z83" s="164">
        <f>((VLOOKUP($B$76,Energy_demand!$A$34:$E$66,4,FALSE )))*Z14</f>
        <v>2753719.6390199484</v>
      </c>
      <c r="AA83" s="164">
        <f>((VLOOKUP($B$76,Energy_demand!$A$34:$E$66,4,FALSE )))*AA14</f>
        <v>1700540.7694992435</v>
      </c>
      <c r="AB83" s="164">
        <f>((VLOOKUP($B$76,Energy_demand!$A$34:$E$66,4,FALSE )))*AB14</f>
        <v>1032122.2545917674</v>
      </c>
    </row>
    <row r="84" spans="1:28">
      <c r="B84" s="163">
        <v>2015</v>
      </c>
      <c r="C84" s="164">
        <f>((VLOOKUP($B$76,Energy_demand!$A$34:$E$66,4,FALSE )))*C15</f>
        <v>0</v>
      </c>
      <c r="D84" s="164">
        <f>((VLOOKUP($B$76,Energy_demand!$A$34:$E$66,4,FALSE )))*D15</f>
        <v>0</v>
      </c>
      <c r="E84" s="164">
        <f>((VLOOKUP($B$76,Energy_demand!$A$34:$E$66,4,FALSE )))*E15</f>
        <v>0</v>
      </c>
      <c r="F84" s="164">
        <f>((VLOOKUP($B$76,Energy_demand!$A$34:$E$66,4,FALSE )))*F15</f>
        <v>0</v>
      </c>
      <c r="G84" s="164">
        <f>((VLOOKUP($B$76,Energy_demand!$A$34:$E$66,4,FALSE )))*G15</f>
        <v>0</v>
      </c>
      <c r="H84" s="164">
        <f>((VLOOKUP($B$76,Energy_demand!$A$34:$E$66,4,FALSE )))*H15</f>
        <v>0</v>
      </c>
      <c r="I84" s="164">
        <f>((VLOOKUP($B$76,Energy_demand!$A$34:$E$66,4,FALSE )))*I15</f>
        <v>0</v>
      </c>
      <c r="J84" s="164">
        <f>((VLOOKUP($B$76,Energy_demand!$A$34:$E$66,4,FALSE )))*J15</f>
        <v>0</v>
      </c>
      <c r="K84" s="164">
        <f>((VLOOKUP($B$76,Energy_demand!$A$34:$E$66,4,FALSE )))*K15</f>
        <v>299943283.00690287</v>
      </c>
      <c r="L84" s="164">
        <f>((VLOOKUP($B$76,Energy_demand!$A$34:$E$66,4,FALSE )))*L15</f>
        <v>283598225.3722831</v>
      </c>
      <c r="M84" s="164">
        <f>((VLOOKUP($B$76,Energy_demand!$A$34:$E$66,4,FALSE )))*M15</f>
        <v>253085521.13915291</v>
      </c>
      <c r="N84" s="164">
        <f>((VLOOKUP($B$76,Energy_demand!$A$34:$E$66,4,FALSE )))*N15</f>
        <v>216722260.23194388</v>
      </c>
      <c r="O84" s="164">
        <f>((VLOOKUP($B$76,Energy_demand!$A$34:$E$66,4,FALSE )))*O15</f>
        <v>179227537.9812395</v>
      </c>
      <c r="P84" s="164">
        <f>((VLOOKUP($B$76,Energy_demand!$A$34:$E$66,4,FALSE )))*P15</f>
        <v>143697122.95140427</v>
      </c>
      <c r="Q84" s="164">
        <f>((VLOOKUP($B$76,Energy_demand!$A$34:$E$66,4,FALSE )))*Q15</f>
        <v>111994307.32723066</v>
      </c>
      <c r="R84" s="164">
        <f>((VLOOKUP($B$76,Energy_demand!$A$34:$E$66,4,FALSE )))*R15</f>
        <v>85019739.234036282</v>
      </c>
      <c r="S84" s="164">
        <f>((VLOOKUP($B$76,Energy_demand!$A$34:$E$66,4,FALSE )))*S15</f>
        <v>62966043.592306487</v>
      </c>
      <c r="T84" s="164">
        <f>((VLOOKUP($B$76,Energy_demand!$A$34:$E$66,4,FALSE )))*T15</f>
        <v>45552960.292623349</v>
      </c>
      <c r="U84" s="164">
        <f>((VLOOKUP($B$76,Energy_demand!$A$34:$E$66,4,FALSE )))*U15</f>
        <v>32227022.989722531</v>
      </c>
      <c r="V84" s="164">
        <f>((VLOOKUP($B$76,Energy_demand!$A$34:$E$66,4,FALSE )))*V15</f>
        <v>22316123.619088907</v>
      </c>
      <c r="W84" s="164">
        <f>((VLOOKUP($B$76,Energy_demand!$A$34:$E$66,4,FALSE )))*W15</f>
        <v>15137742.405948289</v>
      </c>
      <c r="X84" s="164">
        <f>((VLOOKUP($B$76,Energy_demand!$A$34:$E$66,4,FALSE )))*X15</f>
        <v>10065935.316718431</v>
      </c>
      <c r="Y84" s="164">
        <f>((VLOOKUP($B$76,Energy_demand!$A$34:$E$66,4,FALSE )))*Y15</f>
        <v>6565544.8915135115</v>
      </c>
      <c r="Z84" s="164">
        <f>((VLOOKUP($B$76,Energy_demand!$A$34:$E$66,4,FALSE )))*Z15</f>
        <v>4202967.1825754521</v>
      </c>
      <c r="AA84" s="164">
        <f>((VLOOKUP($B$76,Energy_demand!$A$34:$E$66,4,FALSE )))*AA15</f>
        <v>2641991.3165064235</v>
      </c>
      <c r="AB84" s="164">
        <f>((VLOOKUP($B$76,Energy_demand!$A$34:$E$66,4,FALSE )))*AB15</f>
        <v>1631543.7064541364</v>
      </c>
    </row>
    <row r="85" spans="1:28">
      <c r="A85" s="21"/>
      <c r="B85" s="163">
        <v>2016</v>
      </c>
      <c r="C85" s="164">
        <f>((VLOOKUP($B$76,Energy_demand!$A$34:$E$66,4,FALSE )))*C16</f>
        <v>0</v>
      </c>
      <c r="D85" s="164">
        <f>((VLOOKUP($B$76,Energy_demand!$A$34:$E$66,4,FALSE )))*D16</f>
        <v>0</v>
      </c>
      <c r="E85" s="164">
        <f>((VLOOKUP($B$76,Energy_demand!$A$34:$E$66,4,FALSE )))*E16</f>
        <v>0</v>
      </c>
      <c r="F85" s="164">
        <f>((VLOOKUP($B$76,Energy_demand!$A$34:$E$66,4,FALSE )))*F16</f>
        <v>0</v>
      </c>
      <c r="G85" s="164">
        <f>((VLOOKUP($B$76,Energy_demand!$A$34:$E$66,4,FALSE )))*G16</f>
        <v>0</v>
      </c>
      <c r="H85" s="164">
        <f>((VLOOKUP($B$76,Energy_demand!$A$34:$E$66,4,FALSE )))*H16</f>
        <v>0</v>
      </c>
      <c r="I85" s="164">
        <f>((VLOOKUP($B$76,Energy_demand!$A$34:$E$66,4,FALSE )))*I16</f>
        <v>0</v>
      </c>
      <c r="J85" s="164">
        <f>((VLOOKUP($B$76,Energy_demand!$A$34:$E$66,4,FALSE )))*J16</f>
        <v>0</v>
      </c>
      <c r="K85" s="164">
        <f>((VLOOKUP($B$76,Energy_demand!$A$34:$E$66,4,FALSE )))*K16</f>
        <v>0</v>
      </c>
      <c r="L85" s="164">
        <f>((VLOOKUP($B$76,Energy_demand!$A$34:$E$66,4,FALSE )))*L16</f>
        <v>320474153.71232688</v>
      </c>
      <c r="M85" s="164">
        <f>((VLOOKUP($B$76,Energy_demand!$A$34:$E$66,4,FALSE )))*M16</f>
        <v>303010290.34348655</v>
      </c>
      <c r="N85" s="164">
        <f>((VLOOKUP($B$76,Energy_demand!$A$34:$E$66,4,FALSE )))*N16</f>
        <v>270409016.63414359</v>
      </c>
      <c r="O85" s="164">
        <f>((VLOOKUP($B$76,Energy_demand!$A$34:$E$66,4,FALSE )))*O16</f>
        <v>231556720.46457025</v>
      </c>
      <c r="P85" s="164">
        <f>((VLOOKUP($B$76,Energy_demand!$A$34:$E$66,4,FALSE )))*P16</f>
        <v>191495515.35434711</v>
      </c>
      <c r="Q85" s="164">
        <f>((VLOOKUP($B$76,Energy_demand!$A$34:$E$66,4,FALSE )))*Q16</f>
        <v>153533072.67656884</v>
      </c>
      <c r="R85" s="164">
        <f>((VLOOKUP($B$76,Energy_demand!$A$34:$E$66,4,FALSE )))*R16</f>
        <v>119660225.43157433</v>
      </c>
      <c r="S85" s="164">
        <f>((VLOOKUP($B$76,Energy_demand!$A$34:$E$66,4,FALSE )))*S16</f>
        <v>90839270.367136165</v>
      </c>
      <c r="T85" s="164">
        <f>((VLOOKUP($B$76,Energy_demand!$A$34:$E$66,4,FALSE )))*T16</f>
        <v>67276017.420911908</v>
      </c>
      <c r="U85" s="164">
        <f>((VLOOKUP($B$76,Energy_demand!$A$34:$E$66,4,FALSE )))*U16</f>
        <v>48671022.909800343</v>
      </c>
      <c r="V85" s="164">
        <f>((VLOOKUP($B$76,Energy_demand!$A$34:$E$66,4,FALSE )))*V16</f>
        <v>34432936.173007563</v>
      </c>
      <c r="W85" s="164">
        <f>((VLOOKUP($B$76,Energy_demand!$A$34:$E$66,4,FALSE )))*W16</f>
        <v>23843643.902512722</v>
      </c>
      <c r="X85" s="164">
        <f>((VLOOKUP($B$76,Energy_demand!$A$34:$E$66,4,FALSE )))*X16</f>
        <v>16173908.407043189</v>
      </c>
      <c r="Y85" s="164">
        <f>((VLOOKUP($B$76,Energy_demand!$A$34:$E$66,4,FALSE )))*Y16</f>
        <v>10754940.29941028</v>
      </c>
      <c r="Z85" s="164">
        <f>((VLOOKUP($B$76,Energy_demand!$A$34:$E$66,4,FALSE )))*Z16</f>
        <v>7014951.0323245348</v>
      </c>
      <c r="AA85" s="164">
        <f>((VLOOKUP($B$76,Energy_demand!$A$34:$E$66,4,FALSE )))*AA16</f>
        <v>4490656.8248956334</v>
      </c>
      <c r="AB85" s="164">
        <f>((VLOOKUP($B$76,Energy_demand!$A$34:$E$66,4,FALSE )))*AB16</f>
        <v>2822833.4463260071</v>
      </c>
    </row>
    <row r="86" spans="1:28">
      <c r="B86" s="163">
        <v>2017</v>
      </c>
      <c r="C86" s="164">
        <f>((VLOOKUP($B$76,Energy_demand!$A$34:$E$66,4,FALSE )))*C17</f>
        <v>0</v>
      </c>
      <c r="D86" s="164">
        <f>((VLOOKUP($B$76,Energy_demand!$A$34:$E$66,4,FALSE )))*D17</f>
        <v>0</v>
      </c>
      <c r="E86" s="164">
        <f>((VLOOKUP($B$76,Energy_demand!$A$34:$E$66,4,FALSE )))*E17</f>
        <v>0</v>
      </c>
      <c r="F86" s="164">
        <f>((VLOOKUP($B$76,Energy_demand!$A$34:$E$66,4,FALSE )))*F17</f>
        <v>0</v>
      </c>
      <c r="G86" s="164">
        <f>((VLOOKUP($B$76,Energy_demand!$A$34:$E$66,4,FALSE )))*G17</f>
        <v>0</v>
      </c>
      <c r="H86" s="164">
        <f>((VLOOKUP($B$76,Energy_demand!$A$34:$E$66,4,FALSE )))*H17</f>
        <v>0</v>
      </c>
      <c r="I86" s="164">
        <f>((VLOOKUP($B$76,Energy_demand!$A$34:$E$66,4,FALSE )))*I17</f>
        <v>0</v>
      </c>
      <c r="J86" s="164">
        <f>((VLOOKUP($B$76,Energy_demand!$A$34:$E$66,4,FALSE )))*J17</f>
        <v>0</v>
      </c>
      <c r="K86" s="164">
        <f>((VLOOKUP($B$76,Energy_demand!$A$34:$E$66,4,FALSE )))*K17</f>
        <v>0</v>
      </c>
      <c r="L86" s="164">
        <f>((VLOOKUP($B$76,Energy_demand!$A$34:$E$66,4,FALSE )))*L17</f>
        <v>0</v>
      </c>
      <c r="M86" s="164">
        <f>((VLOOKUP($B$76,Energy_demand!$A$34:$E$66,4,FALSE )))*M17</f>
        <v>291960627.89220679</v>
      </c>
      <c r="N86" s="164">
        <f>((VLOOKUP($B$76,Energy_demand!$A$34:$E$66,4,FALSE )))*N17</f>
        <v>276050575.69134432</v>
      </c>
      <c r="O86" s="164">
        <f>((VLOOKUP($B$76,Energy_demand!$A$34:$E$66,4,FALSE )))*O17</f>
        <v>246349932.96553645</v>
      </c>
      <c r="P86" s="164">
        <f>((VLOOKUP($B$76,Energy_demand!$A$34:$E$66,4,FALSE )))*P17</f>
        <v>210954439.59010205</v>
      </c>
      <c r="Q86" s="164">
        <f>((VLOOKUP($B$76,Energy_demand!$A$34:$E$66,4,FALSE )))*Q17</f>
        <v>174457597.44975775</v>
      </c>
      <c r="R86" s="164">
        <f>((VLOOKUP($B$76,Energy_demand!$A$34:$E$66,4,FALSE )))*R17</f>
        <v>139872784.68986455</v>
      </c>
      <c r="S86" s="164">
        <f>((VLOOKUP($B$76,Energy_demand!$A$34:$E$66,4,FALSE )))*S17</f>
        <v>109013704.05703844</v>
      </c>
      <c r="T86" s="164">
        <f>((VLOOKUP($B$76,Energy_demand!$A$34:$E$66,4,FALSE )))*T17</f>
        <v>82757033.933744267</v>
      </c>
      <c r="U86" s="164">
        <f>((VLOOKUP($B$76,Energy_demand!$A$34:$E$66,4,FALSE )))*U17</f>
        <v>61290272.743579954</v>
      </c>
      <c r="V86" s="164">
        <f>((VLOOKUP($B$76,Energy_demand!$A$34:$E$66,4,FALSE )))*V17</f>
        <v>44340619.186584681</v>
      </c>
      <c r="W86" s="164">
        <f>((VLOOKUP($B$76,Energy_demand!$A$34:$E$66,4,FALSE )))*W17</f>
        <v>31369336.8054501</v>
      </c>
      <c r="X86" s="164">
        <f>((VLOOKUP($B$76,Energy_demand!$A$34:$E$66,4,FALSE )))*X17</f>
        <v>21722204.940323193</v>
      </c>
      <c r="Y86" s="164">
        <f>((VLOOKUP($B$76,Energy_demand!$A$34:$E$66,4,FALSE )))*Y17</f>
        <v>14734868.317119256</v>
      </c>
      <c r="Z86" s="164">
        <f>((VLOOKUP($B$76,Energy_demand!$A$34:$E$66,4,FALSE )))*Z17</f>
        <v>9798041.7028502617</v>
      </c>
      <c r="AA86" s="164">
        <f>((VLOOKUP($B$76,Energy_demand!$A$34:$E$66,4,FALSE )))*AA17</f>
        <v>6390810.2550729252</v>
      </c>
      <c r="AB86" s="164">
        <f>((VLOOKUP($B$76,Energy_demand!$A$34:$E$66,4,FALSE )))*AB17</f>
        <v>4091109.9102920331</v>
      </c>
    </row>
    <row r="87" spans="1:28">
      <c r="B87" s="163">
        <v>2018</v>
      </c>
      <c r="C87" s="164">
        <f>((VLOOKUP($B$76,Energy_demand!$A$34:$E$66,4,FALSE )))*C18</f>
        <v>0</v>
      </c>
      <c r="D87" s="164">
        <f>((VLOOKUP($B$76,Energy_demand!$A$34:$E$66,4,FALSE )))*D18</f>
        <v>0</v>
      </c>
      <c r="E87" s="164">
        <f>((VLOOKUP($B$76,Energy_demand!$A$34:$E$66,4,FALSE )))*E18</f>
        <v>0</v>
      </c>
      <c r="F87" s="164">
        <f>((VLOOKUP($B$76,Energy_demand!$A$34:$E$66,4,FALSE )))*F18</f>
        <v>0</v>
      </c>
      <c r="G87" s="164">
        <f>((VLOOKUP($B$76,Energy_demand!$A$34:$E$66,4,FALSE )))*G18</f>
        <v>0</v>
      </c>
      <c r="H87" s="164">
        <f>((VLOOKUP($B$76,Energy_demand!$A$34:$E$66,4,FALSE )))*H18</f>
        <v>0</v>
      </c>
      <c r="I87" s="164">
        <f>((VLOOKUP($B$76,Energy_demand!$A$34:$E$66,4,FALSE )))*I18</f>
        <v>0</v>
      </c>
      <c r="J87" s="164">
        <f>((VLOOKUP($B$76,Energy_demand!$A$34:$E$66,4,FALSE )))*J18</f>
        <v>0</v>
      </c>
      <c r="K87" s="164">
        <f>((VLOOKUP($B$76,Energy_demand!$A$34:$E$66,4,FALSE )))*K18</f>
        <v>0</v>
      </c>
      <c r="L87" s="164">
        <f>((VLOOKUP($B$76,Energy_demand!$A$34:$E$66,4,FALSE )))*L18</f>
        <v>0</v>
      </c>
      <c r="M87" s="164">
        <f>((VLOOKUP($B$76,Energy_demand!$A$34:$E$66,4,FALSE )))*M18</f>
        <v>0</v>
      </c>
      <c r="N87" s="164">
        <f>((VLOOKUP($B$76,Energy_demand!$A$34:$E$66,4,FALSE )))*N18</f>
        <v>325976787.68342519</v>
      </c>
      <c r="O87" s="164">
        <f>((VLOOKUP($B$76,Energy_demand!$A$34:$E$66,4,FALSE )))*O18</f>
        <v>308213064.72613806</v>
      </c>
      <c r="P87" s="164">
        <f>((VLOOKUP($B$76,Energy_demand!$A$34:$E$66,4,FALSE )))*P18</f>
        <v>275052017.7117219</v>
      </c>
      <c r="Q87" s="164">
        <f>((VLOOKUP($B$76,Energy_demand!$A$34:$E$66,4,FALSE )))*Q18</f>
        <v>235532616.37225774</v>
      </c>
      <c r="R87" s="164">
        <f>((VLOOKUP($B$76,Energy_demand!$A$34:$E$66,4,FALSE )))*R18</f>
        <v>194783548.77574959</v>
      </c>
      <c r="S87" s="164">
        <f>((VLOOKUP($B$76,Energy_demand!$A$34:$E$66,4,FALSE )))*S18</f>
        <v>156169279.97007665</v>
      </c>
      <c r="T87" s="164">
        <f>((VLOOKUP($B$76,Energy_demand!$A$34:$E$66,4,FALSE )))*T18</f>
        <v>121714826.13438205</v>
      </c>
      <c r="U87" s="164">
        <f>((VLOOKUP($B$76,Energy_demand!$A$34:$E$66,4,FALSE )))*U18</f>
        <v>92399006.930106163</v>
      </c>
      <c r="V87" s="164">
        <f>((VLOOKUP($B$76,Energy_demand!$A$34:$E$66,4,FALSE )))*V18</f>
        <v>68431166.111101791</v>
      </c>
      <c r="W87" s="164">
        <f>((VLOOKUP($B$76,Energy_demand!$A$34:$E$66,4,FALSE )))*W18</f>
        <v>49506718.459563695</v>
      </c>
      <c r="X87" s="164">
        <f>((VLOOKUP($B$76,Energy_demand!$A$34:$E$66,4,FALSE )))*X18</f>
        <v>35024159.652702995</v>
      </c>
      <c r="Y87" s="164">
        <f>((VLOOKUP($B$76,Energy_demand!$A$34:$E$66,4,FALSE )))*Y18</f>
        <v>24253046.169163253</v>
      </c>
      <c r="Z87" s="164">
        <f>((VLOOKUP($B$76,Energy_demand!$A$34:$E$66,4,FALSE )))*Z18</f>
        <v>16451619.095456202</v>
      </c>
      <c r="AA87" s="164">
        <f>((VLOOKUP($B$76,Energy_demand!$A$34:$E$66,4,FALSE )))*AA18</f>
        <v>10939605.737053629</v>
      </c>
      <c r="AB87" s="164">
        <f>((VLOOKUP($B$76,Energy_demand!$A$34:$E$66,4,FALSE )))*AB18</f>
        <v>7135399.7718216674</v>
      </c>
    </row>
    <row r="88" spans="1:28">
      <c r="B88" s="163">
        <v>2019</v>
      </c>
      <c r="C88" s="164">
        <f>((VLOOKUP($B$76,Energy_demand!$A$34:$E$66,4,FALSE )))*C19</f>
        <v>0</v>
      </c>
      <c r="D88" s="164">
        <f>((VLOOKUP($B$76,Energy_demand!$A$34:$E$66,4,FALSE )))*D19</f>
        <v>0</v>
      </c>
      <c r="E88" s="164">
        <f>((VLOOKUP($B$76,Energy_demand!$A$34:$E$66,4,FALSE )))*E19</f>
        <v>0</v>
      </c>
      <c r="F88" s="164">
        <f>((VLOOKUP($B$76,Energy_demand!$A$34:$E$66,4,FALSE )))*F19</f>
        <v>0</v>
      </c>
      <c r="G88" s="164">
        <f>((VLOOKUP($B$76,Energy_demand!$A$34:$E$66,4,FALSE )))*G19</f>
        <v>0</v>
      </c>
      <c r="H88" s="164">
        <f>((VLOOKUP($B$76,Energy_demand!$A$34:$E$66,4,FALSE )))*H19</f>
        <v>0</v>
      </c>
      <c r="I88" s="164">
        <f>((VLOOKUP($B$76,Energy_demand!$A$34:$E$66,4,FALSE )))*I19</f>
        <v>0</v>
      </c>
      <c r="J88" s="164">
        <f>((VLOOKUP($B$76,Energy_demand!$A$34:$E$66,4,FALSE )))*J19</f>
        <v>0</v>
      </c>
      <c r="K88" s="164">
        <f>((VLOOKUP($B$76,Energy_demand!$A$34:$E$66,4,FALSE )))*K19</f>
        <v>0</v>
      </c>
      <c r="L88" s="164">
        <f>((VLOOKUP($B$76,Energy_demand!$A$34:$E$66,4,FALSE )))*L19</f>
        <v>0</v>
      </c>
      <c r="M88" s="164">
        <f>((VLOOKUP($B$76,Energy_demand!$A$34:$E$66,4,FALSE )))*M19</f>
        <v>0</v>
      </c>
      <c r="N88" s="164">
        <f>((VLOOKUP($B$76,Energy_demand!$A$34:$E$66,4,FALSE )))*N19</f>
        <v>0</v>
      </c>
      <c r="O88" s="164">
        <f>((VLOOKUP($B$76,Energy_demand!$A$34:$E$66,4,FALSE )))*O19</f>
        <v>424398058.72580945</v>
      </c>
      <c r="P88" s="164">
        <f>((VLOOKUP($B$76,Energy_demand!$A$34:$E$66,4,FALSE )))*P19</f>
        <v>401270983.96569735</v>
      </c>
      <c r="Q88" s="164">
        <f>((VLOOKUP($B$76,Energy_demand!$A$34:$E$66,4,FALSE )))*Q19</f>
        <v>358097713.62872761</v>
      </c>
      <c r="R88" s="164">
        <f>((VLOOKUP($B$76,Energy_demand!$A$34:$E$66,4,FALSE )))*R19</f>
        <v>306646328.60936558</v>
      </c>
      <c r="S88" s="164">
        <f>((VLOOKUP($B$76,Energy_demand!$A$34:$E$66,4,FALSE )))*S19</f>
        <v>253594007.59674218</v>
      </c>
      <c r="T88" s="164">
        <f>((VLOOKUP($B$76,Energy_demand!$A$34:$E$66,4,FALSE )))*T19</f>
        <v>203321039.27680364</v>
      </c>
      <c r="U88" s="164">
        <f>((VLOOKUP($B$76,Energy_demand!$A$34:$E$66,4,FALSE )))*U19</f>
        <v>158463847.36985269</v>
      </c>
      <c r="V88" s="164">
        <f>((VLOOKUP($B$76,Energy_demand!$A$34:$E$66,4,FALSE )))*V19</f>
        <v>120296783.85386327</v>
      </c>
      <c r="W88" s="164">
        <f>((VLOOKUP($B$76,Energy_demand!$A$34:$E$66,4,FALSE )))*W19</f>
        <v>89092399.064007625</v>
      </c>
      <c r="X88" s="164">
        <f>((VLOOKUP($B$76,Energy_demand!$A$34:$E$66,4,FALSE )))*X19</f>
        <v>64454145.209040426</v>
      </c>
      <c r="Y88" s="164">
        <f>((VLOOKUP($B$76,Energy_demand!$A$34:$E$66,4,FALSE )))*Y19</f>
        <v>45598907.427560262</v>
      </c>
      <c r="Z88" s="164">
        <f>((VLOOKUP($B$76,Energy_demand!$A$34:$E$66,4,FALSE )))*Z19</f>
        <v>31575701.4035502</v>
      </c>
      <c r="AA88" s="164">
        <f>((VLOOKUP($B$76,Energy_demand!$A$34:$E$66,4,FALSE )))*AA19</f>
        <v>21418811.003772222</v>
      </c>
      <c r="AB88" s="164">
        <f>((VLOOKUP($B$76,Energy_demand!$A$34:$E$66,4,FALSE )))*AB19</f>
        <v>14242570.67819236</v>
      </c>
    </row>
    <row r="89" spans="1:28">
      <c r="B89" s="163">
        <v>2020</v>
      </c>
      <c r="C89" s="164">
        <f>((VLOOKUP($B$76,Energy_demand!$A$34:$E$66,4,FALSE )))*C20</f>
        <v>0</v>
      </c>
      <c r="D89" s="164">
        <f>((VLOOKUP($B$76,Energy_demand!$A$34:$E$66,4,FALSE )))*D20</f>
        <v>0</v>
      </c>
      <c r="E89" s="164">
        <f>((VLOOKUP($B$76,Energy_demand!$A$34:$E$66,4,FALSE )))*E20</f>
        <v>0</v>
      </c>
      <c r="F89" s="164">
        <f>((VLOOKUP($B$76,Energy_demand!$A$34:$E$66,4,FALSE )))*F20</f>
        <v>0</v>
      </c>
      <c r="G89" s="164">
        <f>((VLOOKUP($B$76,Energy_demand!$A$34:$E$66,4,FALSE )))*G20</f>
        <v>0</v>
      </c>
      <c r="H89" s="164">
        <f>((VLOOKUP($B$76,Energy_demand!$A$34:$E$66,4,FALSE )))*H20</f>
        <v>0</v>
      </c>
      <c r="I89" s="164">
        <f>((VLOOKUP($B$76,Energy_demand!$A$34:$E$66,4,FALSE )))*I20</f>
        <v>0</v>
      </c>
      <c r="J89" s="164">
        <f>((VLOOKUP($B$76,Energy_demand!$A$34:$E$66,4,FALSE )))*J20</f>
        <v>0</v>
      </c>
      <c r="K89" s="164">
        <f>((VLOOKUP($B$76,Energy_demand!$A$34:$E$66,4,FALSE )))*K20</f>
        <v>0</v>
      </c>
      <c r="L89" s="164">
        <f>((VLOOKUP($B$76,Energy_demand!$A$34:$E$66,4,FALSE )))*L20</f>
        <v>0</v>
      </c>
      <c r="M89" s="164">
        <f>((VLOOKUP($B$76,Energy_demand!$A$34:$E$66,4,FALSE )))*M20</f>
        <v>0</v>
      </c>
      <c r="N89" s="164">
        <f>((VLOOKUP($B$76,Energy_demand!$A$34:$E$66,4,FALSE )))*N20</f>
        <v>0</v>
      </c>
      <c r="O89" s="164">
        <f>((VLOOKUP($B$76,Energy_demand!$A$34:$E$66,4,FALSE )))*O20</f>
        <v>0</v>
      </c>
      <c r="P89" s="164">
        <f>((VLOOKUP($B$76,Energy_demand!$A$34:$E$66,4,FALSE )))*P20</f>
        <v>547923463.69168079</v>
      </c>
      <c r="Q89" s="164">
        <f>((VLOOKUP($B$76,Energy_demand!$A$34:$E$66,4,FALSE )))*Q20</f>
        <v>518065016.77591866</v>
      </c>
      <c r="R89" s="164">
        <f>((VLOOKUP($B$76,Energy_demand!$A$34:$E$66,4,FALSE )))*R20</f>
        <v>462325723.59217447</v>
      </c>
      <c r="S89" s="164">
        <f>((VLOOKUP($B$76,Energy_demand!$A$34:$E$66,4,FALSE )))*S20</f>
        <v>395898885.59912723</v>
      </c>
      <c r="T89" s="164">
        <f>((VLOOKUP($B$76,Energy_demand!$A$34:$E$66,4,FALSE )))*T20</f>
        <v>327405142.78278726</v>
      </c>
      <c r="U89" s="164">
        <f>((VLOOKUP($B$76,Energy_demand!$A$34:$E$66,4,FALSE )))*U20</f>
        <v>262499711.74800649</v>
      </c>
      <c r="V89" s="164">
        <f>((VLOOKUP($B$76,Energy_demand!$A$34:$E$66,4,FALSE )))*V20</f>
        <v>204586374.3615641</v>
      </c>
      <c r="W89" s="164">
        <f>((VLOOKUP($B$76,Energy_demand!$A$34:$E$66,4,FALSE )))*W20</f>
        <v>155310395.80641168</v>
      </c>
      <c r="X89" s="164">
        <f>((VLOOKUP($B$76,Energy_demand!$A$34:$E$66,4,FALSE )))*X20</f>
        <v>115023654.98634601</v>
      </c>
      <c r="Y89" s="164">
        <f>((VLOOKUP($B$76,Energy_demand!$A$34:$E$66,4,FALSE )))*Y20</f>
        <v>83214184.810964286</v>
      </c>
      <c r="Z89" s="164">
        <f>((VLOOKUP($B$76,Energy_demand!$A$34:$E$66,4,FALSE )))*Z20</f>
        <v>58870936.811723225</v>
      </c>
      <c r="AA89" s="164">
        <f>((VLOOKUP($B$76,Energy_demand!$A$34:$E$66,4,FALSE )))*AA20</f>
        <v>40766132.940078259</v>
      </c>
      <c r="AB89" s="164">
        <f>((VLOOKUP($B$76,Energy_demand!$A$34:$E$66,4,FALSE )))*AB20</f>
        <v>27652975.483864188</v>
      </c>
    </row>
    <row r="90" spans="1:28">
      <c r="B90" s="163">
        <v>2021</v>
      </c>
      <c r="C90" s="164">
        <f>((VLOOKUP($B$76,Energy_demand!$A$34:$E$66,4,FALSE )))*C21</f>
        <v>0</v>
      </c>
      <c r="D90" s="164">
        <f>((VLOOKUP($B$76,Energy_demand!$A$34:$E$66,4,FALSE )))*D21</f>
        <v>0</v>
      </c>
      <c r="E90" s="164">
        <f>((VLOOKUP($B$76,Energy_demand!$A$34:$E$66,4,FALSE )))*E21</f>
        <v>0</v>
      </c>
      <c r="F90" s="164">
        <f>((VLOOKUP($B$76,Energy_demand!$A$34:$E$66,4,FALSE )))*F21</f>
        <v>0</v>
      </c>
      <c r="G90" s="164">
        <f>((VLOOKUP($B$76,Energy_demand!$A$34:$E$66,4,FALSE )))*G21</f>
        <v>0</v>
      </c>
      <c r="H90" s="164">
        <f>((VLOOKUP($B$76,Energy_demand!$A$34:$E$66,4,FALSE )))*H21</f>
        <v>0</v>
      </c>
      <c r="I90" s="164">
        <f>((VLOOKUP($B$76,Energy_demand!$A$34:$E$66,4,FALSE )))*I21</f>
        <v>0</v>
      </c>
      <c r="J90" s="164">
        <f>((VLOOKUP($B$76,Energy_demand!$A$34:$E$66,4,FALSE )))*J21</f>
        <v>0</v>
      </c>
      <c r="K90" s="164">
        <f>((VLOOKUP($B$76,Energy_demand!$A$34:$E$66,4,FALSE )))*K21</f>
        <v>0</v>
      </c>
      <c r="L90" s="164">
        <f>((VLOOKUP($B$76,Energy_demand!$A$34:$E$66,4,FALSE )))*L21</f>
        <v>0</v>
      </c>
      <c r="M90" s="164">
        <f>((VLOOKUP($B$76,Energy_demand!$A$34:$E$66,4,FALSE )))*M21</f>
        <v>0</v>
      </c>
      <c r="N90" s="164">
        <f>((VLOOKUP($B$76,Energy_demand!$A$34:$E$66,4,FALSE )))*N21</f>
        <v>0</v>
      </c>
      <c r="O90" s="164">
        <f>((VLOOKUP($B$76,Energy_demand!$A$34:$E$66,4,FALSE )))*O21</f>
        <v>0</v>
      </c>
      <c r="P90" s="164">
        <f>((VLOOKUP($B$76,Energy_demand!$A$34:$E$66,4,FALSE )))*P21</f>
        <v>0</v>
      </c>
      <c r="Q90" s="164">
        <f>((VLOOKUP($B$76,Energy_demand!$A$34:$E$66,4,FALSE )))*Q21</f>
        <v>537900904.6066246</v>
      </c>
      <c r="R90" s="164">
        <f>((VLOOKUP($B$76,Energy_demand!$A$34:$E$66,4,FALSE )))*R21</f>
        <v>522374533.61784279</v>
      </c>
      <c r="S90" s="164">
        <f>((VLOOKUP($B$76,Energy_demand!$A$34:$E$66,4,FALSE )))*S21</f>
        <v>492199991.34119427</v>
      </c>
      <c r="T90" s="164">
        <f>((VLOOKUP($B$76,Energy_demand!$A$34:$E$66,4,FALSE )))*T21</f>
        <v>453868909.50855124</v>
      </c>
      <c r="U90" s="164">
        <f>((VLOOKUP($B$76,Energy_demand!$A$34:$E$66,4,FALSE )))*U21</f>
        <v>410968157.31115294</v>
      </c>
      <c r="V90" s="164">
        <f>((VLOOKUP($B$76,Energy_demand!$A$34:$E$66,4,FALSE )))*V21</f>
        <v>366143604.16658503</v>
      </c>
      <c r="W90" s="164">
        <f>((VLOOKUP($B$76,Energy_demand!$A$34:$E$66,4,FALSE )))*W21</f>
        <v>321416281.98418653</v>
      </c>
      <c r="X90" s="164">
        <f>((VLOOKUP($B$76,Energy_demand!$A$34:$E$66,4,FALSE )))*X21</f>
        <v>278299816.58987564</v>
      </c>
      <c r="Y90" s="164">
        <f>((VLOOKUP($B$76,Energy_demand!$A$34:$E$66,4,FALSE )))*Y21</f>
        <v>237873258.73337778</v>
      </c>
      <c r="Z90" s="164">
        <f>((VLOOKUP($B$76,Energy_demand!$A$34:$E$66,4,FALSE )))*Z21</f>
        <v>200844101.73056948</v>
      </c>
      <c r="AA90" s="164">
        <f>((VLOOKUP($B$76,Energy_demand!$A$34:$E$66,4,FALSE )))*AA21</f>
        <v>167609595.00468856</v>
      </c>
      <c r="AB90" s="164">
        <f>((VLOOKUP($B$76,Energy_demand!$A$34:$E$66,4,FALSE )))*AB21</f>
        <v>138316797.09514418</v>
      </c>
    </row>
    <row r="91" spans="1:28">
      <c r="B91" s="163">
        <v>2022</v>
      </c>
      <c r="C91" s="164">
        <f>((VLOOKUP($B$76,Energy_demand!$A$34:$E$66,4,FALSE )))*C22</f>
        <v>0</v>
      </c>
      <c r="D91" s="164">
        <f>((VLOOKUP($B$76,Energy_demand!$A$34:$E$66,4,FALSE )))*D22</f>
        <v>0</v>
      </c>
      <c r="E91" s="164">
        <f>((VLOOKUP($B$76,Energy_demand!$A$34:$E$66,4,FALSE )))*E22</f>
        <v>0</v>
      </c>
      <c r="F91" s="164">
        <f>((VLOOKUP($B$76,Energy_demand!$A$34:$E$66,4,FALSE )))*F22</f>
        <v>0</v>
      </c>
      <c r="G91" s="164">
        <f>((VLOOKUP($B$76,Energy_demand!$A$34:$E$66,4,FALSE )))*G22</f>
        <v>0</v>
      </c>
      <c r="H91" s="164">
        <f>((VLOOKUP($B$76,Energy_demand!$A$34:$E$66,4,FALSE )))*H22</f>
        <v>0</v>
      </c>
      <c r="I91" s="164">
        <f>((VLOOKUP($B$76,Energy_demand!$A$34:$E$66,4,FALSE )))*I22</f>
        <v>0</v>
      </c>
      <c r="J91" s="164">
        <f>((VLOOKUP($B$76,Energy_demand!$A$34:$E$66,4,FALSE )))*J22</f>
        <v>0</v>
      </c>
      <c r="K91" s="164">
        <f>((VLOOKUP($B$76,Energy_demand!$A$34:$E$66,4,FALSE )))*K22</f>
        <v>0</v>
      </c>
      <c r="L91" s="164">
        <f>((VLOOKUP($B$76,Energy_demand!$A$34:$E$66,4,FALSE )))*L22</f>
        <v>0</v>
      </c>
      <c r="M91" s="164">
        <f>((VLOOKUP($B$76,Energy_demand!$A$34:$E$66,4,FALSE )))*M22</f>
        <v>0</v>
      </c>
      <c r="N91" s="164">
        <f>((VLOOKUP($B$76,Energy_demand!$A$34:$E$66,4,FALSE )))*N22</f>
        <v>0</v>
      </c>
      <c r="O91" s="164">
        <f>((VLOOKUP($B$76,Energy_demand!$A$34:$E$66,4,FALSE )))*O22</f>
        <v>0</v>
      </c>
      <c r="P91" s="164">
        <f>((VLOOKUP($B$76,Energy_demand!$A$34:$E$66,4,FALSE )))*P22</f>
        <v>0</v>
      </c>
      <c r="Q91" s="164">
        <f>((VLOOKUP($B$76,Energy_demand!$A$34:$E$66,4,FALSE )))*Q22</f>
        <v>0</v>
      </c>
      <c r="R91" s="164">
        <f>((VLOOKUP($B$76,Energy_demand!$A$34:$E$66,4,FALSE )))*R22</f>
        <v>496140957.87344509</v>
      </c>
      <c r="S91" s="164">
        <f>((VLOOKUP($B$76,Energy_demand!$A$34:$E$66,4,FALSE )))*S22</f>
        <v>481819976.98514146</v>
      </c>
      <c r="T91" s="164">
        <f>((VLOOKUP($B$76,Energy_demand!$A$34:$E$66,4,FALSE )))*T22</f>
        <v>453988035.85933584</v>
      </c>
      <c r="U91" s="164">
        <f>((VLOOKUP($B$76,Energy_demand!$A$34:$E$66,4,FALSE )))*U22</f>
        <v>418632788.27766317</v>
      </c>
      <c r="V91" s="164">
        <f>((VLOOKUP($B$76,Energy_demand!$A$34:$E$66,4,FALSE )))*V22</f>
        <v>379062636.77499115</v>
      </c>
      <c r="W91" s="164">
        <f>((VLOOKUP($B$76,Energy_demand!$A$34:$E$66,4,FALSE )))*W22</f>
        <v>337718038.64746237</v>
      </c>
      <c r="X91" s="164">
        <f>((VLOOKUP($B$76,Energy_demand!$A$34:$E$66,4,FALSE )))*X22</f>
        <v>296463122.95454663</v>
      </c>
      <c r="Y91" s="164">
        <f>((VLOOKUP($B$76,Energy_demand!$A$34:$E$66,4,FALSE )))*Y22</f>
        <v>256694005.15301618</v>
      </c>
      <c r="Z91" s="164">
        <f>((VLOOKUP($B$76,Energy_demand!$A$34:$E$66,4,FALSE )))*Z22</f>
        <v>219405963.86757296</v>
      </c>
      <c r="AA91" s="164">
        <f>((VLOOKUP($B$76,Energy_demand!$A$34:$E$66,4,FALSE )))*AA22</f>
        <v>185251566.15735719</v>
      </c>
      <c r="AB91" s="164">
        <f>((VLOOKUP($B$76,Energy_demand!$A$34:$E$66,4,FALSE )))*AB22</f>
        <v>154597220.97924548</v>
      </c>
    </row>
    <row r="92" spans="1:28">
      <c r="B92" s="163">
        <v>2023</v>
      </c>
      <c r="C92" s="164">
        <f>((VLOOKUP($B$76,Energy_demand!$A$34:$E$66,4,FALSE )))*C23</f>
        <v>0</v>
      </c>
      <c r="D92" s="164">
        <f>((VLOOKUP($B$76,Energy_demand!$A$34:$E$66,4,FALSE )))*D23</f>
        <v>0</v>
      </c>
      <c r="E92" s="164">
        <f>((VLOOKUP($B$76,Energy_demand!$A$34:$E$66,4,FALSE )))*E23</f>
        <v>0</v>
      </c>
      <c r="F92" s="164">
        <f>((VLOOKUP($B$76,Energy_demand!$A$34:$E$66,4,FALSE )))*F23</f>
        <v>0</v>
      </c>
      <c r="G92" s="164">
        <f>((VLOOKUP($B$76,Energy_demand!$A$34:$E$66,4,FALSE )))*G23</f>
        <v>0</v>
      </c>
      <c r="H92" s="164">
        <f>((VLOOKUP($B$76,Energy_demand!$A$34:$E$66,4,FALSE )))*H23</f>
        <v>0</v>
      </c>
      <c r="I92" s="164">
        <f>((VLOOKUP($B$76,Energy_demand!$A$34:$E$66,4,FALSE )))*I23</f>
        <v>0</v>
      </c>
      <c r="J92" s="164">
        <f>((VLOOKUP($B$76,Energy_demand!$A$34:$E$66,4,FALSE )))*J23</f>
        <v>0</v>
      </c>
      <c r="K92" s="164">
        <f>((VLOOKUP($B$76,Energy_demand!$A$34:$E$66,4,FALSE )))*K23</f>
        <v>0</v>
      </c>
      <c r="L92" s="164">
        <f>((VLOOKUP($B$76,Energy_demand!$A$34:$E$66,4,FALSE )))*L23</f>
        <v>0</v>
      </c>
      <c r="M92" s="164">
        <f>((VLOOKUP($B$76,Energy_demand!$A$34:$E$66,4,FALSE )))*M23</f>
        <v>0</v>
      </c>
      <c r="N92" s="164">
        <f>((VLOOKUP($B$76,Energy_demand!$A$34:$E$66,4,FALSE )))*N23</f>
        <v>0</v>
      </c>
      <c r="O92" s="164">
        <f>((VLOOKUP($B$76,Energy_demand!$A$34:$E$66,4,FALSE )))*O23</f>
        <v>0</v>
      </c>
      <c r="P92" s="164">
        <f>((VLOOKUP($B$76,Energy_demand!$A$34:$E$66,4,FALSE )))*P23</f>
        <v>0</v>
      </c>
      <c r="Q92" s="164">
        <f>((VLOOKUP($B$76,Energy_demand!$A$34:$E$66,4,FALSE )))*Q23</f>
        <v>0</v>
      </c>
      <c r="R92" s="164">
        <f>((VLOOKUP($B$76,Energy_demand!$A$34:$E$66,4,FALSE )))*R23</f>
        <v>0</v>
      </c>
      <c r="S92" s="164">
        <f>((VLOOKUP($B$76,Energy_demand!$A$34:$E$66,4,FALSE )))*S23</f>
        <v>458880142.04925454</v>
      </c>
      <c r="T92" s="164">
        <f>((VLOOKUP($B$76,Energy_demand!$A$34:$E$66,4,FALSE )))*T23</f>
        <v>445634685.00721431</v>
      </c>
      <c r="U92" s="164">
        <f>((VLOOKUP($B$76,Energy_demand!$A$34:$E$66,4,FALSE )))*U23</f>
        <v>419892957.99467862</v>
      </c>
      <c r="V92" s="164">
        <f>((VLOOKUP($B$76,Energy_demand!$A$34:$E$66,4,FALSE )))*V23</f>
        <v>387192934.39250934</v>
      </c>
      <c r="W92" s="164">
        <f>((VLOOKUP($B$76,Energy_demand!$A$34:$E$66,4,FALSE )))*W23</f>
        <v>350594551.50494218</v>
      </c>
      <c r="X92" s="164">
        <f>((VLOOKUP($B$76,Energy_demand!$A$34:$E$66,4,FALSE )))*X23</f>
        <v>312354985.1868372</v>
      </c>
      <c r="Y92" s="164">
        <f>((VLOOKUP($B$76,Energy_demand!$A$34:$E$66,4,FALSE )))*Y23</f>
        <v>274198366.03864729</v>
      </c>
      <c r="Z92" s="164">
        <f>((VLOOKUP($B$76,Energy_demand!$A$34:$E$66,4,FALSE )))*Z23</f>
        <v>237415959.47386849</v>
      </c>
      <c r="AA92" s="164">
        <f>((VLOOKUP($B$76,Energy_demand!$A$34:$E$66,4,FALSE )))*AA23</f>
        <v>202928297.42890742</v>
      </c>
      <c r="AB92" s="164">
        <f>((VLOOKUP($B$76,Energy_demand!$A$34:$E$66,4,FALSE )))*AB23</f>
        <v>171338938.34828031</v>
      </c>
    </row>
    <row r="93" spans="1:28">
      <c r="B93" s="163">
        <v>2024</v>
      </c>
      <c r="C93" s="164">
        <f>((VLOOKUP($B$76,Energy_demand!$A$34:$E$66,4,FALSE )))*C24</f>
        <v>0</v>
      </c>
      <c r="D93" s="164">
        <f>((VLOOKUP($B$76,Energy_demand!$A$34:$E$66,4,FALSE )))*D24</f>
        <v>0</v>
      </c>
      <c r="E93" s="164">
        <f>((VLOOKUP($B$76,Energy_demand!$A$34:$E$66,4,FALSE )))*E24</f>
        <v>0</v>
      </c>
      <c r="F93" s="164">
        <f>((VLOOKUP($B$76,Energy_demand!$A$34:$E$66,4,FALSE )))*F24</f>
        <v>0</v>
      </c>
      <c r="G93" s="164">
        <f>((VLOOKUP($B$76,Energy_demand!$A$34:$E$66,4,FALSE )))*G24</f>
        <v>0</v>
      </c>
      <c r="H93" s="164">
        <f>((VLOOKUP($B$76,Energy_demand!$A$34:$E$66,4,FALSE )))*H24</f>
        <v>0</v>
      </c>
      <c r="I93" s="164">
        <f>((VLOOKUP($B$76,Energy_demand!$A$34:$E$66,4,FALSE )))*I24</f>
        <v>0</v>
      </c>
      <c r="J93" s="164">
        <f>((VLOOKUP($B$76,Energy_demand!$A$34:$E$66,4,FALSE )))*J24</f>
        <v>0</v>
      </c>
      <c r="K93" s="164">
        <f>((VLOOKUP($B$76,Energy_demand!$A$34:$E$66,4,FALSE )))*K24</f>
        <v>0</v>
      </c>
      <c r="L93" s="164">
        <f>((VLOOKUP($B$76,Energy_demand!$A$34:$E$66,4,FALSE )))*L24</f>
        <v>0</v>
      </c>
      <c r="M93" s="164">
        <f>((VLOOKUP($B$76,Energy_demand!$A$34:$E$66,4,FALSE )))*M24</f>
        <v>0</v>
      </c>
      <c r="N93" s="164">
        <f>((VLOOKUP($B$76,Energy_demand!$A$34:$E$66,4,FALSE )))*N24</f>
        <v>0</v>
      </c>
      <c r="O93" s="164">
        <f>((VLOOKUP($B$76,Energy_demand!$A$34:$E$66,4,FALSE )))*O24</f>
        <v>0</v>
      </c>
      <c r="P93" s="164">
        <f>((VLOOKUP($B$76,Energy_demand!$A$34:$E$66,4,FALSE )))*P24</f>
        <v>0</v>
      </c>
      <c r="Q93" s="164">
        <f>((VLOOKUP($B$76,Energy_demand!$A$34:$E$66,4,FALSE )))*Q24</f>
        <v>0</v>
      </c>
      <c r="R93" s="164">
        <f>((VLOOKUP($B$76,Energy_demand!$A$34:$E$66,4,FALSE )))*R24</f>
        <v>0</v>
      </c>
      <c r="S93" s="164">
        <f>((VLOOKUP($B$76,Energy_demand!$A$34:$E$66,4,FALSE )))*S24</f>
        <v>0</v>
      </c>
      <c r="T93" s="164">
        <f>((VLOOKUP($B$76,Energy_demand!$A$34:$E$66,4,FALSE )))*T24</f>
        <v>433905062.53388381</v>
      </c>
      <c r="U93" s="164">
        <f>((VLOOKUP($B$76,Energy_demand!$A$34:$E$66,4,FALSE )))*U24</f>
        <v>421380504.72571552</v>
      </c>
      <c r="V93" s="164">
        <f>((VLOOKUP($B$76,Energy_demand!$A$34:$E$66,4,FALSE )))*V24</f>
        <v>397039800.81287205</v>
      </c>
      <c r="W93" s="164">
        <f>((VLOOKUP($B$76,Energy_demand!$A$34:$E$66,4,FALSE )))*W24</f>
        <v>366119513.60542136</v>
      </c>
      <c r="X93" s="164">
        <f>((VLOOKUP($B$76,Energy_demand!$A$34:$E$66,4,FALSE )))*X24</f>
        <v>331513039.80040687</v>
      </c>
      <c r="Y93" s="164">
        <f>((VLOOKUP($B$76,Energy_demand!$A$34:$E$66,4,FALSE )))*Y24</f>
        <v>295354705.86068064</v>
      </c>
      <c r="Z93" s="164">
        <f>((VLOOKUP($B$76,Energy_demand!$A$34:$E$66,4,FALSE )))*Z24</f>
        <v>259274804.59574461</v>
      </c>
      <c r="AA93" s="164">
        <f>((VLOOKUP($B$76,Energy_demand!$A$34:$E$66,4,FALSE )))*AA24</f>
        <v>224494322.81380692</v>
      </c>
      <c r="AB93" s="164">
        <f>((VLOOKUP($B$76,Energy_demand!$A$34:$E$66,4,FALSE )))*AB24</f>
        <v>191883691.44187874</v>
      </c>
    </row>
    <row r="94" spans="1:28">
      <c r="B94" s="163">
        <v>2025</v>
      </c>
      <c r="C94" s="164">
        <f>((VLOOKUP($B$76,Energy_demand!$A$34:$E$66,4,FALSE )))*C25</f>
        <v>0</v>
      </c>
      <c r="D94" s="164">
        <f>((VLOOKUP($B$76,Energy_demand!$A$34:$E$66,4,FALSE )))*D25</f>
        <v>0</v>
      </c>
      <c r="E94" s="164">
        <f>((VLOOKUP($B$76,Energy_demand!$A$34:$E$66,4,FALSE )))*E25</f>
        <v>0</v>
      </c>
      <c r="F94" s="164">
        <f>((VLOOKUP($B$76,Energy_demand!$A$34:$E$66,4,FALSE )))*F25</f>
        <v>0</v>
      </c>
      <c r="G94" s="164">
        <f>((VLOOKUP($B$76,Energy_demand!$A$34:$E$66,4,FALSE )))*G25</f>
        <v>0</v>
      </c>
      <c r="H94" s="164">
        <f>((VLOOKUP($B$76,Energy_demand!$A$34:$E$66,4,FALSE )))*H25</f>
        <v>0</v>
      </c>
      <c r="I94" s="164">
        <f>((VLOOKUP($B$76,Energy_demand!$A$34:$E$66,4,FALSE )))*I25</f>
        <v>0</v>
      </c>
      <c r="J94" s="164">
        <f>((VLOOKUP($B$76,Energy_demand!$A$34:$E$66,4,FALSE )))*J25</f>
        <v>0</v>
      </c>
      <c r="K94" s="164">
        <f>((VLOOKUP($B$76,Energy_demand!$A$34:$E$66,4,FALSE )))*K25</f>
        <v>0</v>
      </c>
      <c r="L94" s="164">
        <f>((VLOOKUP($B$76,Energy_demand!$A$34:$E$66,4,FALSE )))*L25</f>
        <v>0</v>
      </c>
      <c r="M94" s="164">
        <f>((VLOOKUP($B$76,Energy_demand!$A$34:$E$66,4,FALSE )))*M25</f>
        <v>0</v>
      </c>
      <c r="N94" s="164">
        <f>((VLOOKUP($B$76,Energy_demand!$A$34:$E$66,4,FALSE )))*N25</f>
        <v>0</v>
      </c>
      <c r="O94" s="164">
        <f>((VLOOKUP($B$76,Energy_demand!$A$34:$E$66,4,FALSE )))*O25</f>
        <v>0</v>
      </c>
      <c r="P94" s="164">
        <f>((VLOOKUP($B$76,Energy_demand!$A$34:$E$66,4,FALSE )))*P25</f>
        <v>0</v>
      </c>
      <c r="Q94" s="164">
        <f>((VLOOKUP($B$76,Energy_demand!$A$34:$E$66,4,FALSE )))*Q25</f>
        <v>0</v>
      </c>
      <c r="R94" s="164">
        <f>((VLOOKUP($B$76,Energy_demand!$A$34:$E$66,4,FALSE )))*R25</f>
        <v>0</v>
      </c>
      <c r="S94" s="164">
        <f>((VLOOKUP($B$76,Energy_demand!$A$34:$E$66,4,FALSE )))*S25</f>
        <v>0</v>
      </c>
      <c r="T94" s="164">
        <f>((VLOOKUP($B$76,Energy_demand!$A$34:$E$66,4,FALSE )))*T25</f>
        <v>0</v>
      </c>
      <c r="U94" s="164">
        <f>((VLOOKUP($B$76,Energy_demand!$A$34:$E$66,4,FALSE )))*U25</f>
        <v>411651792.62055802</v>
      </c>
      <c r="V94" s="164">
        <f>((VLOOKUP($B$76,Energy_demand!$A$34:$E$66,4,FALSE )))*V25</f>
        <v>399769569.71353757</v>
      </c>
      <c r="W94" s="164">
        <f>((VLOOKUP($B$76,Energy_demand!$A$34:$E$66,4,FALSE )))*W25</f>
        <v>376677203.97607678</v>
      </c>
      <c r="X94" s="164">
        <f>((VLOOKUP($B$76,Energy_demand!$A$34:$E$66,4,FALSE )))*X25</f>
        <v>347342695.6784336</v>
      </c>
      <c r="Y94" s="164">
        <f>((VLOOKUP($B$76,Energy_demand!$A$34:$E$66,4,FALSE )))*Y25</f>
        <v>314511050.6754483</v>
      </c>
      <c r="Z94" s="164">
        <f>((VLOOKUP($B$76,Energy_demand!$A$34:$E$66,4,FALSE )))*Z25</f>
        <v>280207134.28982484</v>
      </c>
      <c r="AA94" s="164">
        <f>((VLOOKUP($B$76,Energy_demand!$A$34:$E$66,4,FALSE )))*AA25</f>
        <v>245977628.0781433</v>
      </c>
      <c r="AB94" s="164">
        <f>((VLOOKUP($B$76,Energy_demand!$A$34:$E$66,4,FALSE )))*AB25</f>
        <v>212980899.27730507</v>
      </c>
    </row>
    <row r="95" spans="1:28">
      <c r="B95" s="163">
        <v>2026</v>
      </c>
      <c r="C95" s="164">
        <f>((VLOOKUP($B$76,Energy_demand!$A$34:$E$66,4,FALSE )))*C26</f>
        <v>0</v>
      </c>
      <c r="D95" s="164">
        <f>((VLOOKUP($B$76,Energy_demand!$A$34:$E$66,4,FALSE )))*D26</f>
        <v>0</v>
      </c>
      <c r="E95" s="164">
        <f>((VLOOKUP($B$76,Energy_demand!$A$34:$E$66,4,FALSE )))*E26</f>
        <v>0</v>
      </c>
      <c r="F95" s="164">
        <f>((VLOOKUP($B$76,Energy_demand!$A$34:$E$66,4,FALSE )))*F26</f>
        <v>0</v>
      </c>
      <c r="G95" s="164">
        <f>((VLOOKUP($B$76,Energy_demand!$A$34:$E$66,4,FALSE )))*G26</f>
        <v>0</v>
      </c>
      <c r="H95" s="164">
        <f>((VLOOKUP($B$76,Energy_demand!$A$34:$E$66,4,FALSE )))*H26</f>
        <v>0</v>
      </c>
      <c r="I95" s="164">
        <f>((VLOOKUP($B$76,Energy_demand!$A$34:$E$66,4,FALSE )))*I26</f>
        <v>0</v>
      </c>
      <c r="J95" s="164">
        <f>((VLOOKUP($B$76,Energy_demand!$A$34:$E$66,4,FALSE )))*J26</f>
        <v>0</v>
      </c>
      <c r="K95" s="164">
        <f>((VLOOKUP($B$76,Energy_demand!$A$34:$E$66,4,FALSE )))*K26</f>
        <v>0</v>
      </c>
      <c r="L95" s="164">
        <f>((VLOOKUP($B$76,Energy_demand!$A$34:$E$66,4,FALSE )))*L26</f>
        <v>0</v>
      </c>
      <c r="M95" s="164">
        <f>((VLOOKUP($B$76,Energy_demand!$A$34:$E$66,4,FALSE )))*M26</f>
        <v>0</v>
      </c>
      <c r="N95" s="164">
        <f>((VLOOKUP($B$76,Energy_demand!$A$34:$E$66,4,FALSE )))*N26</f>
        <v>0</v>
      </c>
      <c r="O95" s="164">
        <f>((VLOOKUP($B$76,Energy_demand!$A$34:$E$66,4,FALSE )))*O26</f>
        <v>0</v>
      </c>
      <c r="P95" s="164">
        <f>((VLOOKUP($B$76,Energy_demand!$A$34:$E$66,4,FALSE )))*P26</f>
        <v>0</v>
      </c>
      <c r="Q95" s="164">
        <f>((VLOOKUP($B$76,Energy_demand!$A$34:$E$66,4,FALSE )))*Q26</f>
        <v>0</v>
      </c>
      <c r="R95" s="164">
        <f>((VLOOKUP($B$76,Energy_demand!$A$34:$E$66,4,FALSE )))*R26</f>
        <v>0</v>
      </c>
      <c r="S95" s="164">
        <f>((VLOOKUP($B$76,Energy_demand!$A$34:$E$66,4,FALSE )))*S26</f>
        <v>0</v>
      </c>
      <c r="T95" s="164">
        <f>((VLOOKUP($B$76,Energy_demand!$A$34:$E$66,4,FALSE )))*T26</f>
        <v>0</v>
      </c>
      <c r="U95" s="164">
        <f>((VLOOKUP($B$76,Energy_demand!$A$34:$E$66,4,FALSE )))*U26</f>
        <v>0</v>
      </c>
      <c r="V95" s="164">
        <f>((VLOOKUP($B$76,Energy_demand!$A$34:$E$66,4,FALSE )))*V26</f>
        <v>394647834.01912856</v>
      </c>
      <c r="W95" s="164">
        <f>((VLOOKUP($B$76,Energy_demand!$A$34:$E$66,4,FALSE )))*W26</f>
        <v>383256425.99504036</v>
      </c>
      <c r="X95" s="164">
        <f>((VLOOKUP($B$76,Energy_demand!$A$34:$E$66,4,FALSE )))*X26</f>
        <v>361117928.64355016</v>
      </c>
      <c r="Y95" s="164">
        <f>((VLOOKUP($B$76,Energy_demand!$A$34:$E$66,4,FALSE )))*Y26</f>
        <v>332995130.76142842</v>
      </c>
      <c r="Z95" s="164">
        <f>((VLOOKUP($B$76,Energy_demand!$A$34:$E$66,4,FALSE )))*Z26</f>
        <v>301519651.19353986</v>
      </c>
      <c r="AA95" s="164">
        <f>((VLOOKUP($B$76,Energy_demand!$A$34:$E$66,4,FALSE )))*AA26</f>
        <v>268632714.84916621</v>
      </c>
      <c r="AB95" s="164">
        <f>((VLOOKUP($B$76,Energy_demand!$A$34:$E$66,4,FALSE )))*AB26</f>
        <v>235817115.0433467</v>
      </c>
    </row>
    <row r="96" spans="1:28">
      <c r="B96" s="163">
        <v>2027</v>
      </c>
      <c r="C96" s="164">
        <f>((VLOOKUP($B$76,Energy_demand!$A$34:$E$66,4,FALSE )))*C27</f>
        <v>0</v>
      </c>
      <c r="D96" s="164">
        <f>((VLOOKUP($B$76,Energy_demand!$A$34:$E$66,4,FALSE )))*D27</f>
        <v>0</v>
      </c>
      <c r="E96" s="164">
        <f>((VLOOKUP($B$76,Energy_demand!$A$34:$E$66,4,FALSE )))*E27</f>
        <v>0</v>
      </c>
      <c r="F96" s="164">
        <f>((VLOOKUP($B$76,Energy_demand!$A$34:$E$66,4,FALSE )))*F27</f>
        <v>0</v>
      </c>
      <c r="G96" s="164">
        <f>((VLOOKUP($B$76,Energy_demand!$A$34:$E$66,4,FALSE )))*G27</f>
        <v>0</v>
      </c>
      <c r="H96" s="164">
        <f>((VLOOKUP($B$76,Energy_demand!$A$34:$E$66,4,FALSE )))*H27</f>
        <v>0</v>
      </c>
      <c r="I96" s="164">
        <f>((VLOOKUP($B$76,Energy_demand!$A$34:$E$66,4,FALSE )))*I27</f>
        <v>0</v>
      </c>
      <c r="J96" s="164">
        <f>((VLOOKUP($B$76,Energy_demand!$A$34:$E$66,4,FALSE )))*J27</f>
        <v>0</v>
      </c>
      <c r="K96" s="164">
        <f>((VLOOKUP($B$76,Energy_demand!$A$34:$E$66,4,FALSE )))*K27</f>
        <v>0</v>
      </c>
      <c r="L96" s="164">
        <f>((VLOOKUP($B$76,Energy_demand!$A$34:$E$66,4,FALSE )))*L27</f>
        <v>0</v>
      </c>
      <c r="M96" s="164">
        <f>((VLOOKUP($B$76,Energy_demand!$A$34:$E$66,4,FALSE )))*M27</f>
        <v>0</v>
      </c>
      <c r="N96" s="164">
        <f>((VLOOKUP($B$76,Energy_demand!$A$34:$E$66,4,FALSE )))*N27</f>
        <v>0</v>
      </c>
      <c r="O96" s="164">
        <f>((VLOOKUP($B$76,Energy_demand!$A$34:$E$66,4,FALSE )))*O27</f>
        <v>0</v>
      </c>
      <c r="P96" s="164">
        <f>((VLOOKUP($B$76,Energy_demand!$A$34:$E$66,4,FALSE )))*P27</f>
        <v>0</v>
      </c>
      <c r="Q96" s="164">
        <f>((VLOOKUP($B$76,Energy_demand!$A$34:$E$66,4,FALSE )))*Q27</f>
        <v>0</v>
      </c>
      <c r="R96" s="164">
        <f>((VLOOKUP($B$76,Energy_demand!$A$34:$E$66,4,FALSE )))*R27</f>
        <v>0</v>
      </c>
      <c r="S96" s="164">
        <f>((VLOOKUP($B$76,Energy_demand!$A$34:$E$66,4,FALSE )))*S27</f>
        <v>0</v>
      </c>
      <c r="T96" s="164">
        <f>((VLOOKUP($B$76,Energy_demand!$A$34:$E$66,4,FALSE )))*T27</f>
        <v>0</v>
      </c>
      <c r="U96" s="164">
        <f>((VLOOKUP($B$76,Energy_demand!$A$34:$E$66,4,FALSE )))*U27</f>
        <v>0</v>
      </c>
      <c r="V96" s="164">
        <f>((VLOOKUP($B$76,Energy_demand!$A$34:$E$66,4,FALSE )))*V27</f>
        <v>0</v>
      </c>
      <c r="W96" s="164">
        <f>((VLOOKUP($B$76,Energy_demand!$A$34:$E$66,4,FALSE )))*W27</f>
        <v>383987941.61062807</v>
      </c>
      <c r="X96" s="164">
        <f>((VLOOKUP($B$76,Energy_demand!$A$34:$E$66,4,FALSE )))*X27</f>
        <v>372904228.63374549</v>
      </c>
      <c r="Y96" s="164">
        <f>((VLOOKUP($B$76,Energy_demand!$A$34:$E$66,4,FALSE )))*Y27</f>
        <v>351363717.58677739</v>
      </c>
      <c r="Z96" s="164">
        <f>((VLOOKUP($B$76,Energy_demand!$A$34:$E$66,4,FALSE )))*Z27</f>
        <v>324000548.85704803</v>
      </c>
      <c r="AA96" s="164">
        <f>((VLOOKUP($B$76,Energy_demand!$A$34:$E$66,4,FALSE )))*AA27</f>
        <v>293375258.23428208</v>
      </c>
      <c r="AB96" s="164">
        <f>((VLOOKUP($B$76,Energy_demand!$A$34:$E$66,4,FALSE )))*AB27</f>
        <v>261376635.90776581</v>
      </c>
    </row>
    <row r="97" spans="1:28">
      <c r="B97" s="163">
        <v>2028</v>
      </c>
      <c r="C97" s="164">
        <f>((VLOOKUP($B$76,Energy_demand!$A$34:$E$66,4,FALSE )))*C28</f>
        <v>0</v>
      </c>
      <c r="D97" s="164">
        <f>((VLOOKUP($B$76,Energy_demand!$A$34:$E$66,4,FALSE )))*D28</f>
        <v>0</v>
      </c>
      <c r="E97" s="164">
        <f>((VLOOKUP($B$76,Energy_demand!$A$34:$E$66,4,FALSE )))*E28</f>
        <v>0</v>
      </c>
      <c r="F97" s="164">
        <f>((VLOOKUP($B$76,Energy_demand!$A$34:$E$66,4,FALSE )))*F28</f>
        <v>0</v>
      </c>
      <c r="G97" s="164">
        <f>((VLOOKUP($B$76,Energy_demand!$A$34:$E$66,4,FALSE )))*G28</f>
        <v>0</v>
      </c>
      <c r="H97" s="164">
        <f>((VLOOKUP($B$76,Energy_demand!$A$34:$E$66,4,FALSE )))*H28</f>
        <v>0</v>
      </c>
      <c r="I97" s="164">
        <f>((VLOOKUP($B$76,Energy_demand!$A$34:$E$66,4,FALSE )))*I28</f>
        <v>0</v>
      </c>
      <c r="J97" s="164">
        <f>((VLOOKUP($B$76,Energy_demand!$A$34:$E$66,4,FALSE )))*J28</f>
        <v>0</v>
      </c>
      <c r="K97" s="164">
        <f>((VLOOKUP($B$76,Energy_demand!$A$34:$E$66,4,FALSE )))*K28</f>
        <v>0</v>
      </c>
      <c r="L97" s="164">
        <f>((VLOOKUP($B$76,Energy_demand!$A$34:$E$66,4,FALSE )))*L28</f>
        <v>0</v>
      </c>
      <c r="M97" s="164">
        <f>((VLOOKUP($B$76,Energy_demand!$A$34:$E$66,4,FALSE )))*M28</f>
        <v>0</v>
      </c>
      <c r="N97" s="164">
        <f>((VLOOKUP($B$76,Energy_demand!$A$34:$E$66,4,FALSE )))*N28</f>
        <v>0</v>
      </c>
      <c r="O97" s="164">
        <f>((VLOOKUP($B$76,Energy_demand!$A$34:$E$66,4,FALSE )))*O28</f>
        <v>0</v>
      </c>
      <c r="P97" s="164">
        <f>((VLOOKUP($B$76,Energy_demand!$A$34:$E$66,4,FALSE )))*P28</f>
        <v>0</v>
      </c>
      <c r="Q97" s="164">
        <f>((VLOOKUP($B$76,Energy_demand!$A$34:$E$66,4,FALSE )))*Q28</f>
        <v>0</v>
      </c>
      <c r="R97" s="164">
        <f>((VLOOKUP($B$76,Energy_demand!$A$34:$E$66,4,FALSE )))*R28</f>
        <v>0</v>
      </c>
      <c r="S97" s="164">
        <f>((VLOOKUP($B$76,Energy_demand!$A$34:$E$66,4,FALSE )))*S28</f>
        <v>0</v>
      </c>
      <c r="T97" s="164">
        <f>((VLOOKUP($B$76,Energy_demand!$A$34:$E$66,4,FALSE )))*T28</f>
        <v>0</v>
      </c>
      <c r="U97" s="164">
        <f>((VLOOKUP($B$76,Energy_demand!$A$34:$E$66,4,FALSE )))*U28</f>
        <v>0</v>
      </c>
      <c r="V97" s="164">
        <f>((VLOOKUP($B$76,Energy_demand!$A$34:$E$66,4,FALSE )))*V28</f>
        <v>0</v>
      </c>
      <c r="W97" s="164">
        <f>((VLOOKUP($B$76,Energy_demand!$A$34:$E$66,4,FALSE )))*W28</f>
        <v>0</v>
      </c>
      <c r="X97" s="164">
        <f>((VLOOKUP($B$76,Energy_demand!$A$34:$E$66,4,FALSE )))*X28</f>
        <v>379671192.8650046</v>
      </c>
      <c r="Y97" s="164">
        <f>((VLOOKUP($B$76,Energy_demand!$A$34:$E$66,4,FALSE )))*Y28</f>
        <v>368712081.72819316</v>
      </c>
      <c r="Z97" s="164">
        <f>((VLOOKUP($B$76,Energy_demand!$A$34:$E$66,4,FALSE )))*Z28</f>
        <v>347413726.65532166</v>
      </c>
      <c r="AA97" s="164">
        <f>((VLOOKUP($B$76,Energy_demand!$A$34:$E$66,4,FALSE )))*AA28</f>
        <v>320358171.55479872</v>
      </c>
      <c r="AB97" s="164">
        <f>((VLOOKUP($B$76,Energy_demand!$A$34:$E$66,4,FALSE )))*AB28</f>
        <v>290077166.96436399</v>
      </c>
    </row>
    <row r="98" spans="1:28">
      <c r="B98" s="163">
        <v>2029</v>
      </c>
      <c r="C98" s="164">
        <f>((VLOOKUP($B$76,Energy_demand!$A$34:$E$66,4,FALSE )))*C29</f>
        <v>0</v>
      </c>
      <c r="D98" s="164">
        <f>((VLOOKUP($B$76,Energy_demand!$A$34:$E$66,4,FALSE )))*D29</f>
        <v>0</v>
      </c>
      <c r="E98" s="164">
        <f>((VLOOKUP($B$76,Energy_demand!$A$34:$E$66,4,FALSE )))*E29</f>
        <v>0</v>
      </c>
      <c r="F98" s="164">
        <f>((VLOOKUP($B$76,Energy_demand!$A$34:$E$66,4,FALSE )))*F29</f>
        <v>0</v>
      </c>
      <c r="G98" s="164">
        <f>((VLOOKUP($B$76,Energy_demand!$A$34:$E$66,4,FALSE )))*G29</f>
        <v>0</v>
      </c>
      <c r="H98" s="164">
        <f>((VLOOKUP($B$76,Energy_demand!$A$34:$E$66,4,FALSE )))*H29</f>
        <v>0</v>
      </c>
      <c r="I98" s="164">
        <f>((VLOOKUP($B$76,Energy_demand!$A$34:$E$66,4,FALSE )))*I29</f>
        <v>0</v>
      </c>
      <c r="J98" s="164">
        <f>((VLOOKUP($B$76,Energy_demand!$A$34:$E$66,4,FALSE )))*J29</f>
        <v>0</v>
      </c>
      <c r="K98" s="164">
        <f>((VLOOKUP($B$76,Energy_demand!$A$34:$E$66,4,FALSE )))*K29</f>
        <v>0</v>
      </c>
      <c r="L98" s="164">
        <f>((VLOOKUP($B$76,Energy_demand!$A$34:$E$66,4,FALSE )))*L29</f>
        <v>0</v>
      </c>
      <c r="M98" s="164">
        <f>((VLOOKUP($B$76,Energy_demand!$A$34:$E$66,4,FALSE )))*M29</f>
        <v>0</v>
      </c>
      <c r="N98" s="164">
        <f>((VLOOKUP($B$76,Energy_demand!$A$34:$E$66,4,FALSE )))*N29</f>
        <v>0</v>
      </c>
      <c r="O98" s="164">
        <f>((VLOOKUP($B$76,Energy_demand!$A$34:$E$66,4,FALSE )))*O29</f>
        <v>0</v>
      </c>
      <c r="P98" s="164">
        <f>((VLOOKUP($B$76,Energy_demand!$A$34:$E$66,4,FALSE )))*P29</f>
        <v>0</v>
      </c>
      <c r="Q98" s="164">
        <f>((VLOOKUP($B$76,Energy_demand!$A$34:$E$66,4,FALSE )))*Q29</f>
        <v>0</v>
      </c>
      <c r="R98" s="164">
        <f>((VLOOKUP($B$76,Energy_demand!$A$34:$E$66,4,FALSE )))*R29</f>
        <v>0</v>
      </c>
      <c r="S98" s="164">
        <f>((VLOOKUP($B$76,Energy_demand!$A$34:$E$66,4,FALSE )))*S29</f>
        <v>0</v>
      </c>
      <c r="T98" s="164">
        <f>((VLOOKUP($B$76,Energy_demand!$A$34:$E$66,4,FALSE )))*T29</f>
        <v>0</v>
      </c>
      <c r="U98" s="164">
        <f>((VLOOKUP($B$76,Energy_demand!$A$34:$E$66,4,FALSE )))*U29</f>
        <v>0</v>
      </c>
      <c r="V98" s="164">
        <f>((VLOOKUP($B$76,Energy_demand!$A$34:$E$66,4,FALSE )))*V29</f>
        <v>0</v>
      </c>
      <c r="W98" s="164">
        <f>((VLOOKUP($B$76,Energy_demand!$A$34:$E$66,4,FALSE )))*W29</f>
        <v>0</v>
      </c>
      <c r="X98" s="164">
        <f>((VLOOKUP($B$76,Energy_demand!$A$34:$E$66,4,FALSE )))*X29</f>
        <v>0</v>
      </c>
      <c r="Y98" s="164">
        <f>((VLOOKUP($B$76,Energy_demand!$A$34:$E$66,4,FALSE )))*Y29</f>
        <v>380956161.9111253</v>
      </c>
      <c r="Z98" s="164">
        <f>((VLOOKUP($B$76,Energy_demand!$A$34:$E$66,4,FALSE )))*Z29</f>
        <v>369959960.47394753</v>
      </c>
      <c r="AA98" s="164">
        <f>((VLOOKUP($B$76,Energy_demand!$A$34:$E$66,4,FALSE )))*AA29</f>
        <v>348589522.69499713</v>
      </c>
      <c r="AB98" s="164">
        <f>((VLOOKUP($B$76,Energy_demand!$A$34:$E$66,4,FALSE )))*AB29</f>
        <v>321442400.07109308</v>
      </c>
    </row>
    <row r="99" spans="1:28">
      <c r="B99" s="163">
        <v>2030</v>
      </c>
      <c r="C99" s="164">
        <f>((VLOOKUP($B$76,Energy_demand!$A$34:$E$66,4,FALSE )))*C30</f>
        <v>0</v>
      </c>
      <c r="D99" s="164">
        <f>((VLOOKUP($B$76,Energy_demand!$A$34:$E$66,4,FALSE )))*D30</f>
        <v>0</v>
      </c>
      <c r="E99" s="164">
        <f>((VLOOKUP($B$76,Energy_demand!$A$34:$E$66,4,FALSE )))*E30</f>
        <v>0</v>
      </c>
      <c r="F99" s="164">
        <f>((VLOOKUP($B$76,Energy_demand!$A$34:$E$66,4,FALSE )))*F30</f>
        <v>0</v>
      </c>
      <c r="G99" s="164">
        <f>((VLOOKUP($B$76,Energy_demand!$A$34:$E$66,4,FALSE )))*G30</f>
        <v>0</v>
      </c>
      <c r="H99" s="164">
        <f>((VLOOKUP($B$76,Energy_demand!$A$34:$E$66,4,FALSE )))*H30</f>
        <v>0</v>
      </c>
      <c r="I99" s="164">
        <f>((VLOOKUP($B$76,Energy_demand!$A$34:$E$66,4,FALSE )))*I30</f>
        <v>0</v>
      </c>
      <c r="J99" s="164">
        <f>((VLOOKUP($B$76,Energy_demand!$A$34:$E$66,4,FALSE )))*J30</f>
        <v>0</v>
      </c>
      <c r="K99" s="164">
        <f>((VLOOKUP($B$76,Energy_demand!$A$34:$E$66,4,FALSE )))*K30</f>
        <v>0</v>
      </c>
      <c r="L99" s="164">
        <f>((VLOOKUP($B$76,Energy_demand!$A$34:$E$66,4,FALSE )))*L30</f>
        <v>0</v>
      </c>
      <c r="M99" s="164">
        <f>((VLOOKUP($B$76,Energy_demand!$A$34:$E$66,4,FALSE )))*M30</f>
        <v>0</v>
      </c>
      <c r="N99" s="164">
        <f>((VLOOKUP($B$76,Energy_demand!$A$34:$E$66,4,FALSE )))*N30</f>
        <v>0</v>
      </c>
      <c r="O99" s="164">
        <f>((VLOOKUP($B$76,Energy_demand!$A$34:$E$66,4,FALSE )))*O30</f>
        <v>0</v>
      </c>
      <c r="P99" s="164">
        <f>((VLOOKUP($B$76,Energy_demand!$A$34:$E$66,4,FALSE )))*P30</f>
        <v>0</v>
      </c>
      <c r="Q99" s="164">
        <f>((VLOOKUP($B$76,Energy_demand!$A$34:$E$66,4,FALSE )))*Q30</f>
        <v>0</v>
      </c>
      <c r="R99" s="164">
        <f>((VLOOKUP($B$76,Energy_demand!$A$34:$E$66,4,FALSE )))*R30</f>
        <v>0</v>
      </c>
      <c r="S99" s="164">
        <f>((VLOOKUP($B$76,Energy_demand!$A$34:$E$66,4,FALSE )))*S30</f>
        <v>0</v>
      </c>
      <c r="T99" s="164">
        <f>((VLOOKUP($B$76,Energy_demand!$A$34:$E$66,4,FALSE )))*T30</f>
        <v>0</v>
      </c>
      <c r="U99" s="164">
        <f>((VLOOKUP($B$76,Energy_demand!$A$34:$E$66,4,FALSE )))*U30</f>
        <v>0</v>
      </c>
      <c r="V99" s="164">
        <f>((VLOOKUP($B$76,Energy_demand!$A$34:$E$66,4,FALSE )))*V30</f>
        <v>0</v>
      </c>
      <c r="W99" s="164">
        <f>((VLOOKUP($B$76,Energy_demand!$A$34:$E$66,4,FALSE )))*W30</f>
        <v>0</v>
      </c>
      <c r="X99" s="164">
        <f>((VLOOKUP($B$76,Energy_demand!$A$34:$E$66,4,FALSE )))*X30</f>
        <v>0</v>
      </c>
      <c r="Y99" s="164">
        <f>((VLOOKUP($B$76,Energy_demand!$A$34:$E$66,4,FALSE )))*Y30</f>
        <v>0</v>
      </c>
      <c r="Z99" s="164">
        <f>((VLOOKUP($B$76,Energy_demand!$A$34:$E$66,4,FALSE )))*Z30</f>
        <v>386689686.18404293</v>
      </c>
      <c r="AA99" s="164">
        <f>((VLOOKUP($B$76,Energy_demand!$A$34:$E$66,4,FALSE )))*AA30</f>
        <v>375527988.04631662</v>
      </c>
      <c r="AB99" s="164">
        <f>((VLOOKUP($B$76,Energy_demand!$A$34:$E$66,4,FALSE )))*AB30</f>
        <v>353835917.65978795</v>
      </c>
    </row>
    <row r="100" spans="1:28">
      <c r="B100" s="163">
        <v>2031</v>
      </c>
      <c r="C100" s="164">
        <f>((VLOOKUP($B$76,Energy_demand!$A$34:$E$66,4,FALSE )))*C31</f>
        <v>0</v>
      </c>
      <c r="D100" s="164">
        <f>((VLOOKUP($B$76,Energy_demand!$A$34:$E$66,4,FALSE )))*D31</f>
        <v>0</v>
      </c>
      <c r="E100" s="164">
        <f>((VLOOKUP($B$76,Energy_demand!$A$34:$E$66,4,FALSE )))*E31</f>
        <v>0</v>
      </c>
      <c r="F100" s="164">
        <f>((VLOOKUP($B$76,Energy_demand!$A$34:$E$66,4,FALSE )))*F31</f>
        <v>0</v>
      </c>
      <c r="G100" s="164">
        <f>((VLOOKUP($B$76,Energy_demand!$A$34:$E$66,4,FALSE )))*G31</f>
        <v>0</v>
      </c>
      <c r="H100" s="164">
        <f>((VLOOKUP($B$76,Energy_demand!$A$34:$E$66,4,FALSE )))*H31</f>
        <v>0</v>
      </c>
      <c r="I100" s="164">
        <f>((VLOOKUP($B$76,Energy_demand!$A$34:$E$66,4,FALSE )))*I31</f>
        <v>0</v>
      </c>
      <c r="J100" s="164">
        <f>((VLOOKUP($B$76,Energy_demand!$A$34:$E$66,4,FALSE )))*J31</f>
        <v>0</v>
      </c>
      <c r="K100" s="164">
        <f>((VLOOKUP($B$76,Energy_demand!$A$34:$E$66,4,FALSE )))*K31</f>
        <v>0</v>
      </c>
      <c r="L100" s="164">
        <f>((VLOOKUP($B$76,Energy_demand!$A$34:$E$66,4,FALSE )))*L31</f>
        <v>0</v>
      </c>
      <c r="M100" s="164">
        <f>((VLOOKUP($B$76,Energy_demand!$A$34:$E$66,4,FALSE )))*M31</f>
        <v>0</v>
      </c>
      <c r="N100" s="164">
        <f>((VLOOKUP($B$76,Energy_demand!$A$34:$E$66,4,FALSE )))*N31</f>
        <v>0</v>
      </c>
      <c r="O100" s="164">
        <f>((VLOOKUP($B$76,Energy_demand!$A$34:$E$66,4,FALSE )))*O31</f>
        <v>0</v>
      </c>
      <c r="P100" s="164">
        <f>((VLOOKUP($B$76,Energy_demand!$A$34:$E$66,4,FALSE )))*P31</f>
        <v>0</v>
      </c>
      <c r="Q100" s="164">
        <f>((VLOOKUP($B$76,Energy_demand!$A$34:$E$66,4,FALSE )))*Q31</f>
        <v>0</v>
      </c>
      <c r="R100" s="164">
        <f>((VLOOKUP($B$76,Energy_demand!$A$34:$E$66,4,FALSE )))*R31</f>
        <v>0</v>
      </c>
      <c r="S100" s="164">
        <f>((VLOOKUP($B$76,Energy_demand!$A$34:$E$66,4,FALSE )))*S31</f>
        <v>0</v>
      </c>
      <c r="T100" s="164">
        <f>((VLOOKUP($B$76,Energy_demand!$A$34:$E$66,4,FALSE )))*T31</f>
        <v>0</v>
      </c>
      <c r="U100" s="164">
        <f>((VLOOKUP($B$76,Energy_demand!$A$34:$E$66,4,FALSE )))*U31</f>
        <v>0</v>
      </c>
      <c r="V100" s="164">
        <f>((VLOOKUP($B$76,Energy_demand!$A$34:$E$66,4,FALSE )))*V31</f>
        <v>0</v>
      </c>
      <c r="W100" s="164">
        <f>((VLOOKUP($B$76,Energy_demand!$A$34:$E$66,4,FALSE )))*W31</f>
        <v>0</v>
      </c>
      <c r="X100" s="164">
        <f>((VLOOKUP($B$76,Energy_demand!$A$34:$E$66,4,FALSE )))*X31</f>
        <v>0</v>
      </c>
      <c r="Y100" s="164">
        <f>((VLOOKUP($B$76,Energy_demand!$A$34:$E$66,4,FALSE )))*Y31</f>
        <v>0</v>
      </c>
      <c r="Z100" s="164">
        <f>((VLOOKUP($B$76,Energy_demand!$A$34:$E$66,4,FALSE )))*Z31</f>
        <v>0</v>
      </c>
      <c r="AA100" s="164">
        <f>((VLOOKUP($B$76,Energy_demand!$A$34:$E$66,4,FALSE )))*AA31</f>
        <v>395575841.59326982</v>
      </c>
      <c r="AB100" s="164">
        <f>((VLOOKUP($B$76,Energy_demand!$A$34:$E$66,4,FALSE )))*AB31</f>
        <v>384157646.86971134</v>
      </c>
    </row>
    <row r="101" spans="1:28">
      <c r="B101" s="163">
        <v>2032</v>
      </c>
      <c r="C101" s="164">
        <f>((VLOOKUP($B$76,Energy_demand!$A$34:$E$66,4,FALSE )))*C32</f>
        <v>0</v>
      </c>
      <c r="D101" s="164">
        <f>((VLOOKUP($B$76,Energy_demand!$A$34:$E$66,4,FALSE )))*D32</f>
        <v>0</v>
      </c>
      <c r="E101" s="164">
        <f>((VLOOKUP($B$76,Energy_demand!$A$34:$E$66,4,FALSE )))*E32</f>
        <v>0</v>
      </c>
      <c r="F101" s="164">
        <f>((VLOOKUP($B$76,Energy_demand!$A$34:$E$66,4,FALSE )))*F32</f>
        <v>0</v>
      </c>
      <c r="G101" s="164">
        <f>((VLOOKUP($B$76,Energy_demand!$A$34:$E$66,4,FALSE )))*G32</f>
        <v>0</v>
      </c>
      <c r="H101" s="164">
        <f>((VLOOKUP($B$76,Energy_demand!$A$34:$E$66,4,FALSE )))*H32</f>
        <v>0</v>
      </c>
      <c r="I101" s="164">
        <f>((VLOOKUP($B$76,Energy_demand!$A$34:$E$66,4,FALSE )))*I32</f>
        <v>0</v>
      </c>
      <c r="J101" s="164">
        <f>((VLOOKUP($B$76,Energy_demand!$A$34:$E$66,4,FALSE )))*J32</f>
        <v>0</v>
      </c>
      <c r="K101" s="164">
        <f>((VLOOKUP($B$76,Energy_demand!$A$34:$E$66,4,FALSE )))*K32</f>
        <v>0</v>
      </c>
      <c r="L101" s="164">
        <f>((VLOOKUP($B$76,Energy_demand!$A$34:$E$66,4,FALSE )))*L32</f>
        <v>0</v>
      </c>
      <c r="M101" s="164">
        <f>((VLOOKUP($B$76,Energy_demand!$A$34:$E$66,4,FALSE )))*M32</f>
        <v>0</v>
      </c>
      <c r="N101" s="164">
        <f>((VLOOKUP($B$76,Energy_demand!$A$34:$E$66,4,FALSE )))*N32</f>
        <v>0</v>
      </c>
      <c r="O101" s="164">
        <f>((VLOOKUP($B$76,Energy_demand!$A$34:$E$66,4,FALSE )))*O32</f>
        <v>0</v>
      </c>
      <c r="P101" s="164">
        <f>((VLOOKUP($B$76,Energy_demand!$A$34:$E$66,4,FALSE )))*P32</f>
        <v>0</v>
      </c>
      <c r="Q101" s="164">
        <f>((VLOOKUP($B$76,Energy_demand!$A$34:$E$66,4,FALSE )))*Q32</f>
        <v>0</v>
      </c>
      <c r="R101" s="164">
        <f>((VLOOKUP($B$76,Energy_demand!$A$34:$E$66,4,FALSE )))*R32</f>
        <v>0</v>
      </c>
      <c r="S101" s="164">
        <f>((VLOOKUP($B$76,Energy_demand!$A$34:$E$66,4,FALSE )))*S32</f>
        <v>0</v>
      </c>
      <c r="T101" s="164">
        <f>((VLOOKUP($B$76,Energy_demand!$A$34:$E$66,4,FALSE )))*T32</f>
        <v>0</v>
      </c>
      <c r="U101" s="164">
        <f>((VLOOKUP($B$76,Energy_demand!$A$34:$E$66,4,FALSE )))*U32</f>
        <v>0</v>
      </c>
      <c r="V101" s="164">
        <f>((VLOOKUP($B$76,Energy_demand!$A$34:$E$66,4,FALSE )))*V32</f>
        <v>0</v>
      </c>
      <c r="W101" s="164">
        <f>((VLOOKUP($B$76,Energy_demand!$A$34:$E$66,4,FALSE )))*W32</f>
        <v>0</v>
      </c>
      <c r="X101" s="164">
        <f>((VLOOKUP($B$76,Energy_demand!$A$34:$E$66,4,FALSE )))*X32</f>
        <v>0</v>
      </c>
      <c r="Y101" s="164">
        <f>((VLOOKUP($B$76,Energy_demand!$A$34:$E$66,4,FALSE )))*Y32</f>
        <v>0</v>
      </c>
      <c r="Z101" s="164">
        <f>((VLOOKUP($B$76,Energy_demand!$A$34:$E$66,4,FALSE )))*Z32</f>
        <v>0</v>
      </c>
      <c r="AA101" s="164">
        <f>((VLOOKUP($B$76,Energy_demand!$A$34:$E$66,4,FALSE )))*AA32</f>
        <v>0</v>
      </c>
      <c r="AB101" s="164">
        <f>((VLOOKUP($B$76,Energy_demand!$A$34:$E$66,4,FALSE )))*AB32</f>
        <v>406370135.09871495</v>
      </c>
    </row>
    <row r="103" spans="1:28" ht="21">
      <c r="B103" s="52" t="s">
        <v>7763</v>
      </c>
    </row>
    <row r="104" spans="1:28">
      <c r="A104" s="1" t="s">
        <v>7762</v>
      </c>
      <c r="B104" s="163">
        <v>2007</v>
      </c>
      <c r="C104" s="164">
        <f>(C76*Emissions_factors!$E$20)/1000</f>
        <v>76624.61534796709</v>
      </c>
      <c r="D104" s="164">
        <f>(D76*Emissions_factors!$E$20)/1000</f>
        <v>72449.04674867203</v>
      </c>
      <c r="E104" s="164">
        <f>(E76*Emissions_factors!$E$20)/1000</f>
        <v>64654.158989721662</v>
      </c>
      <c r="F104" s="164">
        <f>(F76*Emissions_factors!$E$20)/1000</f>
        <v>55364.666483404959</v>
      </c>
      <c r="G104" s="164">
        <f>(G76*Emissions_factors!$E$20)/1000</f>
        <v>45786.126696691455</v>
      </c>
      <c r="H104" s="164">
        <f>(H76*Emissions_factors!$E$20)/1000</f>
        <v>36709.396064413566</v>
      </c>
      <c r="I104" s="164">
        <f>(I76*Emissions_factors!$E$20)/1000</f>
        <v>28610.47806799383</v>
      </c>
      <c r="J104" s="164">
        <f>(J76*Emissions_factors!$E$20)/1000</f>
        <v>21719.455593351522</v>
      </c>
      <c r="K104" s="164">
        <f>(K76*Emissions_factors!$E$20)/1000</f>
        <v>16085.537311841639</v>
      </c>
      <c r="L104" s="164">
        <f>(L76*Emissions_factors!$E$20)/1000</f>
        <v>11637.126944106803</v>
      </c>
      <c r="M104" s="164">
        <f>(M76*Emissions_factors!$E$20)/1000</f>
        <v>8232.8339399444103</v>
      </c>
      <c r="N104" s="164">
        <f>(N76*Emissions_factors!$E$20)/1000</f>
        <v>5700.9590987607407</v>
      </c>
      <c r="O104" s="164">
        <f>(O76*Emissions_factors!$E$20)/1000</f>
        <v>3867.1434061275609</v>
      </c>
      <c r="P104" s="164">
        <f>(P76*Emissions_factors!$E$20)/1000</f>
        <v>2571.4808947507468</v>
      </c>
      <c r="Q104" s="164">
        <f>(Q76*Emissions_factors!$E$20)/1000</f>
        <v>1677.2582696924578</v>
      </c>
      <c r="R104" s="164">
        <f>(R76*Emissions_factors!$E$20)/1000</f>
        <v>1073.7054701023635</v>
      </c>
      <c r="S104" s="164">
        <f>(S76*Emissions_factors!$E$20)/1000</f>
        <v>674.93282846849047</v>
      </c>
      <c r="T104" s="164">
        <f>(T76*Emissions_factors!$E$20)/1000</f>
        <v>416.80016194117479</v>
      </c>
      <c r="U104" s="164">
        <f>(U76*Emissions_factors!$E$20)/1000</f>
        <v>252.97171968633032</v>
      </c>
      <c r="V104" s="164">
        <f>(V76*Emissions_factors!$E$20)/1000</f>
        <v>150.96039313301503</v>
      </c>
      <c r="W104" s="164">
        <f>(W76*Emissions_factors!$E$20)/1000</f>
        <v>88.605042243207251</v>
      </c>
      <c r="X104" s="164">
        <f>(X76*Emissions_factors!$E$20)/1000</f>
        <v>51.168707757083553</v>
      </c>
      <c r="Y104" s="164">
        <f>(Y76*Emissions_factors!$E$20)/1000</f>
        <v>29.082877419851187</v>
      </c>
      <c r="Z104" s="164">
        <f>(Z76*Emissions_factors!$E$20)/1000</f>
        <v>16.273640620228377</v>
      </c>
      <c r="AA104" s="164">
        <f>(AA76*Emissions_factors!$E$20)/1000</f>
        <v>8.9673915788576721</v>
      </c>
      <c r="AB104" s="164">
        <f>(AB76*Emissions_factors!$E$20)/1000</f>
        <v>4.8673679701311139</v>
      </c>
    </row>
    <row r="105" spans="1:28">
      <c r="B105" s="163">
        <v>2008</v>
      </c>
      <c r="C105" s="164">
        <f>(C77*Emissions_factors!$E$20)/1000</f>
        <v>0</v>
      </c>
      <c r="D105" s="164">
        <f>(D77*Emissions_factors!$E$20)/1000</f>
        <v>119122.87832625194</v>
      </c>
      <c r="E105" s="164">
        <f>(E77*Emissions_factors!$E$20)/1000</f>
        <v>112631.41669948974</v>
      </c>
      <c r="F105" s="164">
        <f>(F77*Emissions_factors!$E$20)/1000</f>
        <v>100513.25516798301</v>
      </c>
      <c r="G105" s="164">
        <f>(G77*Emissions_factors!$E$20)/1000</f>
        <v>86071.537183268127</v>
      </c>
      <c r="H105" s="164">
        <f>(H77*Emissions_factors!$E$20)/1000</f>
        <v>71180.457803956015</v>
      </c>
      <c r="I105" s="164">
        <f>(I77*Emissions_factors!$E$20)/1000</f>
        <v>57069.505679774302</v>
      </c>
      <c r="J105" s="164">
        <f>(J77*Emissions_factors!$E$20)/1000</f>
        <v>44478.689808391311</v>
      </c>
      <c r="K105" s="164">
        <f>(K77*Emissions_factors!$E$20)/1000</f>
        <v>33765.703804317869</v>
      </c>
      <c r="L105" s="164">
        <f>(L77*Emissions_factors!$E$20)/1000</f>
        <v>25007.04891384142</v>
      </c>
      <c r="M105" s="164">
        <f>(M77*Emissions_factors!$E$20)/1000</f>
        <v>18091.419457504151</v>
      </c>
      <c r="N105" s="164">
        <f>(N77*Emissions_factors!$E$20)/1000</f>
        <v>12799.005531768122</v>
      </c>
      <c r="O105" s="164">
        <f>(O77*Emissions_factors!$E$20)/1000</f>
        <v>8862.8785146995451</v>
      </c>
      <c r="P105" s="164">
        <f>(P77*Emissions_factors!$E$20)/1000</f>
        <v>6011.9747596295474</v>
      </c>
      <c r="Q105" s="164">
        <f>(Q77*Emissions_factors!$E$20)/1000</f>
        <v>3997.6997516086271</v>
      </c>
      <c r="R105" s="164">
        <f>(R77*Emissions_factors!$E$20)/1000</f>
        <v>2607.5149855558175</v>
      </c>
      <c r="S105" s="164">
        <f>(S77*Emissions_factors!$E$20)/1000</f>
        <v>1669.2140703402349</v>
      </c>
      <c r="T105" s="164">
        <f>(T77*Emissions_factors!$E$20)/1000</f>
        <v>1049.2704053251489</v>
      </c>
      <c r="U105" s="164">
        <f>(U77*Emissions_factors!$E$20)/1000</f>
        <v>647.96977775103335</v>
      </c>
      <c r="V105" s="164">
        <f>(V77*Emissions_factors!$E$20)/1000</f>
        <v>393.27726798144295</v>
      </c>
      <c r="W105" s="164">
        <f>(W77*Emissions_factors!$E$20)/1000</f>
        <v>234.68746252889875</v>
      </c>
      <c r="X105" s="164">
        <f>(X77*Emissions_factors!$E$20)/1000</f>
        <v>137.74800197427706</v>
      </c>
      <c r="Y105" s="164">
        <f>(Y77*Emissions_factors!$E$20)/1000</f>
        <v>79.548376465948849</v>
      </c>
      <c r="Z105" s="164">
        <f>(Z77*Emissions_factors!$E$20)/1000</f>
        <v>45.213095720344739</v>
      </c>
      <c r="AA105" s="164">
        <f>(AA77*Emissions_factors!$E$20)/1000</f>
        <v>25.29947984371902</v>
      </c>
      <c r="AB105" s="164">
        <f>(AB77*Emissions_factors!$E$20)/1000</f>
        <v>13.940970419246083</v>
      </c>
    </row>
    <row r="106" spans="1:28">
      <c r="B106" s="163">
        <v>2009</v>
      </c>
      <c r="C106" s="164">
        <f>(C78*Emissions_factors!$E$20)/1000</f>
        <v>0</v>
      </c>
      <c r="D106" s="164">
        <f>(D78*Emissions_factors!$E$20)/1000</f>
        <v>0</v>
      </c>
      <c r="E106" s="164">
        <f>(E78*Emissions_factors!$E$20)/1000</f>
        <v>113896.79384439465</v>
      </c>
      <c r="F106" s="164">
        <f>(F78*Emissions_factors!$E$20)/1000</f>
        <v>107690.12156581527</v>
      </c>
      <c r="G106" s="164">
        <f>(G78*Emissions_factors!$E$20)/1000</f>
        <v>96103.600444767726</v>
      </c>
      <c r="H106" s="164">
        <f>(H78*Emissions_factors!$E$20)/1000</f>
        <v>82295.460487311138</v>
      </c>
      <c r="I106" s="164">
        <f>(I78*Emissions_factors!$E$20)/1000</f>
        <v>68057.673237569557</v>
      </c>
      <c r="J106" s="164">
        <f>(J78*Emissions_factors!$E$20)/1000</f>
        <v>54565.787987497839</v>
      </c>
      <c r="K106" s="164">
        <f>(K78*Emissions_factors!$E$20)/1000</f>
        <v>42527.34852242651</v>
      </c>
      <c r="L106" s="164">
        <f>(L78*Emissions_factors!$E$20)/1000</f>
        <v>32284.355946121876</v>
      </c>
      <c r="M106" s="164">
        <f>(M78*Emissions_factors!$E$20)/1000</f>
        <v>23909.955289997448</v>
      </c>
      <c r="N106" s="164">
        <f>(N78*Emissions_factors!$E$20)/1000</f>
        <v>17297.724007813213</v>
      </c>
      <c r="O106" s="164">
        <f>(O78*Emissions_factors!$E$20)/1000</f>
        <v>12237.495558767092</v>
      </c>
      <c r="P106" s="164">
        <f>(P78*Emissions_factors!$E$20)/1000</f>
        <v>8474.0518466316189</v>
      </c>
      <c r="Q106" s="164">
        <f>(Q78*Emissions_factors!$E$20)/1000</f>
        <v>5748.2211596655879</v>
      </c>
      <c r="R106" s="164">
        <f>(R78*Emissions_factors!$E$20)/1000</f>
        <v>3822.3151661406118</v>
      </c>
      <c r="S106" s="164">
        <f>(S78*Emissions_factors!$E$20)/1000</f>
        <v>2493.1197174621279</v>
      </c>
      <c r="T106" s="164">
        <f>(T78*Emissions_factors!$E$20)/1000</f>
        <v>1595.9833536846884</v>
      </c>
      <c r="U106" s="164">
        <f>(U78*Emissions_factors!$E$20)/1000</f>
        <v>1003.2374697581998</v>
      </c>
      <c r="V106" s="164">
        <f>(V78*Emissions_factors!$E$20)/1000</f>
        <v>619.54245255710453</v>
      </c>
      <c r="W106" s="164">
        <f>(W78*Emissions_factors!$E$20)/1000</f>
        <v>376.02365342693213</v>
      </c>
      <c r="X106" s="164">
        <f>(X78*Emissions_factors!$E$20)/1000</f>
        <v>224.39140082151098</v>
      </c>
      <c r="Y106" s="164">
        <f>(Y78*Emissions_factors!$E$20)/1000</f>
        <v>131.70480770597698</v>
      </c>
      <c r="Z106" s="164">
        <f>(Z78*Emissions_factors!$E$20)/1000</f>
        <v>76.058479800867858</v>
      </c>
      <c r="AA106" s="164">
        <f>(AA78*Emissions_factors!$E$20)/1000</f>
        <v>43.229535037117458</v>
      </c>
      <c r="AB106" s="164">
        <f>(AB78*Emissions_factors!$E$20)/1000</f>
        <v>24.189556872850183</v>
      </c>
    </row>
    <row r="107" spans="1:28">
      <c r="B107" s="163">
        <v>2010</v>
      </c>
      <c r="C107" s="164">
        <f>(C79*Emissions_factors!$E$20)/1000</f>
        <v>0</v>
      </c>
      <c r="D107" s="164">
        <f>(D79*Emissions_factors!$E$20)/1000</f>
        <v>0</v>
      </c>
      <c r="E107" s="164">
        <f>(E79*Emissions_factors!$E$20)/1000</f>
        <v>0</v>
      </c>
      <c r="F107" s="164">
        <f>(F79*Emissions_factors!$E$20)/1000</f>
        <v>63777.219338326038</v>
      </c>
      <c r="G107" s="164">
        <f>(G79*Emissions_factors!$E$20)/1000</f>
        <v>60301.754525744342</v>
      </c>
      <c r="H107" s="164">
        <f>(H79*Emissions_factors!$E$20)/1000</f>
        <v>53813.809835090833</v>
      </c>
      <c r="I107" s="164">
        <f>(I79*Emissions_factors!$E$20)/1000</f>
        <v>46081.855835365925</v>
      </c>
      <c r="J107" s="164">
        <f>(J79*Emissions_factors!$E$20)/1000</f>
        <v>38109.318157441812</v>
      </c>
      <c r="K107" s="164">
        <f>(K79*Emissions_factors!$E$20)/1000</f>
        <v>30554.452951517509</v>
      </c>
      <c r="L107" s="164">
        <f>(L79*Emissions_factors!$E$20)/1000</f>
        <v>23813.453768485637</v>
      </c>
      <c r="M107" s="164">
        <f>(M79*Emissions_factors!$E$20)/1000</f>
        <v>18077.826257211524</v>
      </c>
      <c r="N107" s="164">
        <f>(N79*Emissions_factors!$E$20)/1000</f>
        <v>13388.528433759628</v>
      </c>
      <c r="O107" s="164">
        <f>(O79*Emissions_factors!$E$20)/1000</f>
        <v>9685.9683303054153</v>
      </c>
      <c r="P107" s="164">
        <f>(P79*Emissions_factors!$E$20)/1000</f>
        <v>6852.461882900403</v>
      </c>
      <c r="Q107" s="164">
        <f>(Q79*Emissions_factors!$E$20)/1000</f>
        <v>4745.0981284454256</v>
      </c>
      <c r="R107" s="164">
        <f>(R79*Emissions_factors!$E$20)/1000</f>
        <v>3218.7522522017093</v>
      </c>
      <c r="S107" s="164">
        <f>(S79*Emissions_factors!$E$20)/1000</f>
        <v>2140.3291919191911</v>
      </c>
      <c r="T107" s="164">
        <f>(T79*Emissions_factors!$E$20)/1000</f>
        <v>1396.0379189823252</v>
      </c>
      <c r="U107" s="164">
        <f>(U79*Emissions_factors!$E$20)/1000</f>
        <v>893.68082254648084</v>
      </c>
      <c r="V107" s="164">
        <f>(V79*Emissions_factors!$E$20)/1000</f>
        <v>561.76907178449846</v>
      </c>
      <c r="W107" s="164">
        <f>(W79*Emissions_factors!$E$20)/1000</f>
        <v>346.91665632064235</v>
      </c>
      <c r="X107" s="164">
        <f>(X79*Emissions_factors!$E$20)/1000</f>
        <v>210.55678752267519</v>
      </c>
      <c r="Y107" s="164">
        <f>(Y79*Emissions_factors!$E$20)/1000</f>
        <v>125.64936294325767</v>
      </c>
      <c r="Z107" s="164">
        <f>(Z79*Emissions_factors!$E$20)/1000</f>
        <v>73.748927651570895</v>
      </c>
      <c r="AA107" s="164">
        <f>(AA79*Emissions_factors!$E$20)/1000</f>
        <v>42.589419640966646</v>
      </c>
      <c r="AB107" s="164">
        <f>(AB79*Emissions_factors!$E$20)/1000</f>
        <v>24.206647482305556</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59884.445264706199</v>
      </c>
      <c r="H108" s="164">
        <f>(H80*Emissions_factors!$E$20)/1000</f>
        <v>56621.112612424979</v>
      </c>
      <c r="I108" s="164">
        <f>(I80*Emissions_factors!$E$20)/1000</f>
        <v>50529.173002345415</v>
      </c>
      <c r="J108" s="164">
        <f>(J80*Emissions_factors!$E$20)/1000</f>
        <v>43269.154756182936</v>
      </c>
      <c r="K108" s="164">
        <f>(K80*Emissions_factors!$E$20)/1000</f>
        <v>35783.237352638367</v>
      </c>
      <c r="L108" s="164">
        <f>(L80*Emissions_factors!$E$20)/1000</f>
        <v>28689.4989206379</v>
      </c>
      <c r="M108" s="164">
        <f>(M80*Emissions_factors!$E$20)/1000</f>
        <v>22359.950520851911</v>
      </c>
      <c r="N108" s="164">
        <f>(N80*Emissions_factors!$E$20)/1000</f>
        <v>16974.408860034611</v>
      </c>
      <c r="O108" s="164">
        <f>(O80*Emissions_factors!$E$20)/1000</f>
        <v>12571.331997295652</v>
      </c>
      <c r="P108" s="164">
        <f>(P80*Emissions_factors!$E$20)/1000</f>
        <v>9094.7652834291293</v>
      </c>
      <c r="Q108" s="164">
        <f>(Q80*Emissions_factors!$E$20)/1000</f>
        <v>6434.2077439622244</v>
      </c>
      <c r="R108" s="164">
        <f>(R80*Emissions_factors!$E$20)/1000</f>
        <v>4455.4712810721339</v>
      </c>
      <c r="S108" s="164">
        <f>(S80*Emissions_factors!$E$20)/1000</f>
        <v>3022.2890722956108</v>
      </c>
      <c r="T108" s="164">
        <f>(T80*Emissions_factors!$E$20)/1000</f>
        <v>2009.6897869128991</v>
      </c>
      <c r="U108" s="164">
        <f>(U80*Emissions_factors!$E$20)/1000</f>
        <v>1310.8278663461981</v>
      </c>
      <c r="V108" s="164">
        <f>(V80*Emissions_factors!$E$20)/1000</f>
        <v>839.13317101521397</v>
      </c>
      <c r="W108" s="164">
        <f>(W80*Emissions_factors!$E$20)/1000</f>
        <v>527.48033827287566</v>
      </c>
      <c r="X108" s="164">
        <f>(X80*Emissions_factors!$E$20)/1000</f>
        <v>325.74188295418526</v>
      </c>
      <c r="Y108" s="164">
        <f>(Y80*Emissions_factors!$E$20)/1000</f>
        <v>197.70501988531768</v>
      </c>
      <c r="Z108" s="164">
        <f>(Z80*Emissions_factors!$E$20)/1000</f>
        <v>117.9800950211545</v>
      </c>
      <c r="AA108" s="164">
        <f>(AA80*Emissions_factors!$E$20)/1000</f>
        <v>69.247509802097824</v>
      </c>
      <c r="AB108" s="164">
        <f>(AB80*Emissions_factors!$E$20)/1000</f>
        <v>39.989886605363751</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71495.844840115358</v>
      </c>
      <c r="I109" s="164">
        <f>(I81*Emissions_factors!$E$20)/1000</f>
        <v>67599.762578054419</v>
      </c>
      <c r="J109" s="164">
        <f>(J81*Emissions_factors!$E$20)/1000</f>
        <v>60326.615649626612</v>
      </c>
      <c r="K109" s="164">
        <f>(K81*Emissions_factors!$E$20)/1000</f>
        <v>51658.903428704434</v>
      </c>
      <c r="L109" s="164">
        <f>(L81*Emissions_factors!$E$20)/1000</f>
        <v>42721.490936963834</v>
      </c>
      <c r="M109" s="164">
        <f>(M81*Emissions_factors!$E$20)/1000</f>
        <v>34252.299646490625</v>
      </c>
      <c r="N109" s="164">
        <f>(N81*Emissions_factors!$E$20)/1000</f>
        <v>26695.47235521724</v>
      </c>
      <c r="O109" s="164">
        <f>(O81*Emissions_factors!$E$20)/1000</f>
        <v>20265.691645723015</v>
      </c>
      <c r="P109" s="164">
        <f>(P81*Emissions_factors!$E$20)/1000</f>
        <v>15008.872469959195</v>
      </c>
      <c r="Q109" s="164">
        <f>(Q81*Emissions_factors!$E$20)/1000</f>
        <v>10858.210753845689</v>
      </c>
      <c r="R109" s="164">
        <f>(R81*Emissions_factors!$E$20)/1000</f>
        <v>7681.7797426022244</v>
      </c>
      <c r="S109" s="164">
        <f>(S81*Emissions_factors!$E$20)/1000</f>
        <v>5319.3727017600695</v>
      </c>
      <c r="T109" s="164">
        <f>(T81*Emissions_factors!$E$20)/1000</f>
        <v>3608.3011142490086</v>
      </c>
      <c r="U109" s="164">
        <f>(U81*Emissions_factors!$E$20)/1000</f>
        <v>2399.3621139306383</v>
      </c>
      <c r="V109" s="164">
        <f>(V81*Emissions_factors!$E$20)/1000</f>
        <v>1564.9931351976934</v>
      </c>
      <c r="W109" s="164">
        <f>(W81*Emissions_factors!$E$20)/1000</f>
        <v>1001.8383693779723</v>
      </c>
      <c r="X109" s="164">
        <f>(X81*Emissions_factors!$E$20)/1000</f>
        <v>629.75706386973241</v>
      </c>
      <c r="Y109" s="164">
        <f>(Y81*Emissions_factors!$E$20)/1000</f>
        <v>388.90217682863431</v>
      </c>
      <c r="Z109" s="164">
        <f>(Z81*Emissions_factors!$E$20)/1000</f>
        <v>236.03938156814354</v>
      </c>
      <c r="AA109" s="164">
        <f>(AA81*Emissions_factors!$E$20)/1000</f>
        <v>140.85605252865005</v>
      </c>
      <c r="AB109" s="164">
        <f>(AB81*Emissions_factors!$E$20)/1000</f>
        <v>82.674377202472726</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69354.870030819278</v>
      </c>
      <c r="J110" s="164">
        <f>(J82*Emissions_factors!$E$20)/1000</f>
        <v>65575.457681487838</v>
      </c>
      <c r="K110" s="164">
        <f>(K82*Emissions_factors!$E$20)/1000</f>
        <v>58520.108366234548</v>
      </c>
      <c r="L110" s="164">
        <f>(L82*Emissions_factors!$E$20)/1000</f>
        <v>50111.954635189955</v>
      </c>
      <c r="M110" s="164">
        <f>(M82*Emissions_factors!$E$20)/1000</f>
        <v>41442.176927651089</v>
      </c>
      <c r="N110" s="164">
        <f>(N82*Emissions_factors!$E$20)/1000</f>
        <v>33226.599329673743</v>
      </c>
      <c r="O110" s="164">
        <f>(O82*Emissions_factors!$E$20)/1000</f>
        <v>25896.064585960259</v>
      </c>
      <c r="P110" s="164">
        <f>(P82*Emissions_factors!$E$20)/1000</f>
        <v>19658.826513861393</v>
      </c>
      <c r="Q110" s="164">
        <f>(Q82*Emissions_factors!$E$20)/1000</f>
        <v>14559.425121711482</v>
      </c>
      <c r="R110" s="164">
        <f>(R82*Emissions_factors!$E$20)/1000</f>
        <v>10533.056813081741</v>
      </c>
      <c r="S110" s="164">
        <f>(S82*Emissions_factors!$E$20)/1000</f>
        <v>7451.7454384234125</v>
      </c>
      <c r="T110" s="164">
        <f>(T82*Emissions_factors!$E$20)/1000</f>
        <v>5160.0817250439577</v>
      </c>
      <c r="U110" s="164">
        <f>(U82*Emissions_factors!$E$20)/1000</f>
        <v>3500.248935730971</v>
      </c>
      <c r="V110" s="164">
        <f>(V82*Emissions_factors!$E$20)/1000</f>
        <v>2327.5121504006938</v>
      </c>
      <c r="W110" s="164">
        <f>(W82*Emissions_factors!$E$20)/1000</f>
        <v>1518.1287210954129</v>
      </c>
      <c r="X110" s="164">
        <f>(X82*Emissions_factors!$E$20)/1000</f>
        <v>971.83787471116909</v>
      </c>
      <c r="Y110" s="164">
        <f>(Y82*Emissions_factors!$E$20)/1000</f>
        <v>610.89870905573571</v>
      </c>
      <c r="Z110" s="164">
        <f>(Z82*Emissions_factors!$E$20)/1000</f>
        <v>377.25632851769393</v>
      </c>
      <c r="AA110" s="164">
        <f>(AA82*Emissions_factors!$E$20)/1000</f>
        <v>228.97107751398025</v>
      </c>
      <c r="AB110" s="164">
        <f>(AB82*Emissions_factors!$E$20)/1000</f>
        <v>136.6380555125281</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65986.331859294194</v>
      </c>
      <c r="K111" s="164">
        <f>(K83*Emissions_factors!$E$20)/1000</f>
        <v>62390.484049251754</v>
      </c>
      <c r="L111" s="164">
        <f>(L83*Emissions_factors!$E$20)/1000</f>
        <v>55677.81021549405</v>
      </c>
      <c r="M111" s="164">
        <f>(M83*Emissions_factors!$E$20)/1000</f>
        <v>47678.037132881043</v>
      </c>
      <c r="N111" s="164">
        <f>(N83*Emissions_factors!$E$20)/1000</f>
        <v>39429.347045195027</v>
      </c>
      <c r="O111" s="164">
        <f>(O83*Emissions_factors!$E$20)/1000</f>
        <v>31612.796750240756</v>
      </c>
      <c r="P111" s="164">
        <f>(P83*Emissions_factors!$E$20)/1000</f>
        <v>24638.30313371728</v>
      </c>
      <c r="Q111" s="164">
        <f>(Q83*Emissions_factors!$E$20)/1000</f>
        <v>18704.005208740284</v>
      </c>
      <c r="R111" s="164">
        <f>(R83*Emissions_factors!$E$20)/1000</f>
        <v>13852.279693334889</v>
      </c>
      <c r="S111" s="164">
        <f>(S83*Emissions_factors!$E$20)/1000</f>
        <v>10021.47047571363</v>
      </c>
      <c r="T111" s="164">
        <f>(T83*Emissions_factors!$E$20)/1000</f>
        <v>7089.8171564921968</v>
      </c>
      <c r="U111" s="164">
        <f>(U83*Emissions_factors!$E$20)/1000</f>
        <v>4909.4586289113349</v>
      </c>
      <c r="V111" s="164">
        <f>(V83*Emissions_factors!$E$20)/1000</f>
        <v>3330.2432512763617</v>
      </c>
      <c r="W111" s="164">
        <f>(W83*Emissions_factors!$E$20)/1000</f>
        <v>2214.4658204194084</v>
      </c>
      <c r="X111" s="164">
        <f>(X83*Emissions_factors!$E$20)/1000</f>
        <v>1444.3938190759011</v>
      </c>
      <c r="Y111" s="164">
        <f>(Y83*Emissions_factors!$E$20)/1000</f>
        <v>924.63609960808446</v>
      </c>
      <c r="Z111" s="164">
        <f>(Z83*Emissions_factors!$E$20)/1000</f>
        <v>581.22760420794054</v>
      </c>
      <c r="AA111" s="164">
        <f>(AA83*Emissions_factors!$E$20)/1000</f>
        <v>358.93314021820532</v>
      </c>
      <c r="AB111" s="164">
        <f>(AB83*Emissions_factors!$E$20)/1000</f>
        <v>217.85004427668434</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63309.028744266994</v>
      </c>
      <c r="L112" s="164">
        <f>(L84*Emissions_factors!$E$20)/1000</f>
        <v>59859.077429327794</v>
      </c>
      <c r="M112" s="164">
        <f>(M84*Emissions_factors!$E$20)/1000</f>
        <v>53418.760946841008</v>
      </c>
      <c r="N112" s="164">
        <f>(N84*Emissions_factors!$E$20)/1000</f>
        <v>45743.567467156397</v>
      </c>
      <c r="O112" s="164">
        <f>(O84*Emissions_factors!$E$20)/1000</f>
        <v>37829.556441700217</v>
      </c>
      <c r="P112" s="164">
        <f>(P84*Emissions_factors!$E$20)/1000</f>
        <v>30330.1517413529</v>
      </c>
      <c r="Q112" s="164">
        <f>(Q84*Emissions_factors!$E$20)/1000</f>
        <v>23638.638447558576</v>
      </c>
      <c r="R112" s="164">
        <f>(R84*Emissions_factors!$E$20)/1000</f>
        <v>17945.116360128039</v>
      </c>
      <c r="S112" s="164">
        <f>(S84*Emissions_factors!$E$20)/1000</f>
        <v>13290.24282102813</v>
      </c>
      <c r="T112" s="164">
        <f>(T84*Emissions_factors!$E$20)/1000</f>
        <v>9614.8633289640093</v>
      </c>
      <c r="U112" s="164">
        <f>(U84*Emissions_factors!$E$20)/1000</f>
        <v>6802.1577424407351</v>
      </c>
      <c r="V112" s="164">
        <f>(V84*Emissions_factors!$E$20)/1000</f>
        <v>4710.2642122810958</v>
      </c>
      <c r="W112" s="164">
        <f>(W84*Emissions_factors!$E$20)/1000</f>
        <v>3195.1232896235056</v>
      </c>
      <c r="X112" s="164">
        <f>(X84*Emissions_factors!$E$20)/1000</f>
        <v>2124.6169672997594</v>
      </c>
      <c r="Y112" s="164">
        <f>(Y84*Emissions_factors!$E$20)/1000</f>
        <v>1385.7895602517569</v>
      </c>
      <c r="Z112" s="164">
        <f>(Z84*Emissions_factors!$E$20)/1000</f>
        <v>887.12028322620074</v>
      </c>
      <c r="AA112" s="164">
        <f>(AA84*Emissions_factors!$E$20)/1000</f>
        <v>557.64510717501082</v>
      </c>
      <c r="AB112" s="164">
        <f>(AB84*Emissions_factors!$E$20)/1000</f>
        <v>344.36993012127459</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67642.479624060841</v>
      </c>
      <c r="M113" s="164">
        <f>(M85*Emissions_factors!$E$20)/1000</f>
        <v>63956.381982799707</v>
      </c>
      <c r="N113" s="164">
        <f>(N85*Emissions_factors!$E$20)/1000</f>
        <v>57075.231140968688</v>
      </c>
      <c r="O113" s="164">
        <f>(O85*Emissions_factors!$E$20)/1000</f>
        <v>48874.676988456842</v>
      </c>
      <c r="P113" s="164">
        <f>(P85*Emissions_factors!$E$20)/1000</f>
        <v>40418.958425842044</v>
      </c>
      <c r="Q113" s="164">
        <f>(Q85*Emissions_factors!$E$20)/1000</f>
        <v>32406.225649843385</v>
      </c>
      <c r="R113" s="164">
        <f>(R85*Emissions_factors!$E$20)/1000</f>
        <v>25256.683781842396</v>
      </c>
      <c r="S113" s="164">
        <f>(S85*Emissions_factors!$E$20)/1000</f>
        <v>19173.444796391432</v>
      </c>
      <c r="T113" s="164">
        <f>(T85*Emissions_factors!$E$20)/1000</f>
        <v>14199.948997031877</v>
      </c>
      <c r="U113" s="164">
        <f>(U85*Emissions_factors!$E$20)/1000</f>
        <v>10272.992805571557</v>
      </c>
      <c r="V113" s="164">
        <f>(V85*Emissions_factors!$E$20)/1000</f>
        <v>7267.7598380367062</v>
      </c>
      <c r="W113" s="164">
        <f>(W85*Emissions_factors!$E$20)/1000</f>
        <v>5032.6779185033602</v>
      </c>
      <c r="X113" s="164">
        <f>(X85*Emissions_factors!$E$20)/1000</f>
        <v>3413.826847474606</v>
      </c>
      <c r="Y113" s="164">
        <f>(Y85*Emissions_factors!$E$20)/1000</f>
        <v>2270.0452489965278</v>
      </c>
      <c r="Z113" s="164">
        <f>(Z85*Emissions_factors!$E$20)/1000</f>
        <v>1480.6457143927396</v>
      </c>
      <c r="AA113" s="164">
        <f>(AA85*Emissions_factors!$E$20)/1000</f>
        <v>947.84293603072138</v>
      </c>
      <c r="AB113" s="164">
        <f>(AB85*Emissions_factors!$E$20)/1000</f>
        <v>595.81545551603028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61624.129729208093</v>
      </c>
      <c r="N114" s="164">
        <f>(N86*Emissions_factors!$E$20)/1000</f>
        <v>58265.995011172046</v>
      </c>
      <c r="O114" s="164">
        <f>(O86*Emissions_factors!$E$20)/1000</f>
        <v>51997.08035103578</v>
      </c>
      <c r="P114" s="164">
        <f>(P86*Emissions_factors!$E$20)/1000</f>
        <v>44526.153564282838</v>
      </c>
      <c r="Q114" s="164">
        <f>(Q86*Emissions_factors!$E$20)/1000</f>
        <v>36822.765093720373</v>
      </c>
      <c r="R114" s="164">
        <f>(R86*Emissions_factors!$E$20)/1000</f>
        <v>29522.948664489712</v>
      </c>
      <c r="S114" s="164">
        <f>(S86*Emissions_factors!$E$20)/1000</f>
        <v>23009.522515319106</v>
      </c>
      <c r="T114" s="164">
        <f>(T86*Emissions_factors!$E$20)/1000</f>
        <v>17467.5271523954</v>
      </c>
      <c r="U114" s="164">
        <f>(U86*Emissions_factors!$E$20)/1000</f>
        <v>12936.537867987421</v>
      </c>
      <c r="V114" s="164">
        <f>(V86*Emissions_factors!$E$20)/1000</f>
        <v>9358.9744917124281</v>
      </c>
      <c r="W114" s="164">
        <f>(W86*Emissions_factors!$E$20)/1000</f>
        <v>6621.1259195263528</v>
      </c>
      <c r="X114" s="164">
        <f>(X86*Emissions_factors!$E$20)/1000</f>
        <v>4584.9057967540166</v>
      </c>
      <c r="Y114" s="164">
        <f>(Y86*Emissions_factors!$E$20)/1000</f>
        <v>3110.0886556943615</v>
      </c>
      <c r="Z114" s="164">
        <f>(Z86*Emissions_factors!$E$20)/1000</f>
        <v>2068.0726622206048</v>
      </c>
      <c r="AA114" s="164">
        <f>(AA86*Emissions_factors!$E$20)/1000</f>
        <v>1348.9083205382424</v>
      </c>
      <c r="AB114" s="164">
        <f>(AB86*Emissions_factors!$E$20)/1000</f>
        <v>863.51056876533949</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68803.920576340563</v>
      </c>
      <c r="O115" s="164">
        <f>(O87*Emissions_factors!$E$20)/1000</f>
        <v>65054.53157174596</v>
      </c>
      <c r="P115" s="164">
        <f>(P87*Emissions_factors!$E$20)/1000</f>
        <v>58055.22937841314</v>
      </c>
      <c r="Q115" s="164">
        <f>(Q87*Emissions_factors!$E$20)/1000</f>
        <v>49713.869337692442</v>
      </c>
      <c r="R115" s="164">
        <f>(R87*Emissions_factors!$E$20)/1000</f>
        <v>41112.96364009747</v>
      </c>
      <c r="S115" s="164">
        <f>(S87*Emissions_factors!$E$20)/1000</f>
        <v>32962.64992328408</v>
      </c>
      <c r="T115" s="164">
        <f>(T87*Emissions_factors!$E$20)/1000</f>
        <v>25690.348352184021</v>
      </c>
      <c r="U115" s="164">
        <f>(U87*Emissions_factors!$E$20)/1000</f>
        <v>19502.658392737507</v>
      </c>
      <c r="V115" s="164">
        <f>(V87*Emissions_factors!$E$20)/1000</f>
        <v>14443.766231070256</v>
      </c>
      <c r="W115" s="164">
        <f>(W87*Emissions_factors!$E$20)/1000</f>
        <v>10449.383065260108</v>
      </c>
      <c r="X115" s="164">
        <f>(X87*Emissions_factors!$E$20)/1000</f>
        <v>7392.5493778960208</v>
      </c>
      <c r="Y115" s="164">
        <f>(Y87*Emissions_factors!$E$20)/1000</f>
        <v>5119.0904549252882</v>
      </c>
      <c r="Z115" s="164">
        <f>(Z87*Emissions_factors!$E$20)/1000</f>
        <v>3472.4432424779402</v>
      </c>
      <c r="AA115" s="164">
        <f>(AA87*Emissions_factors!$E$20)/1000</f>
        <v>2309.0225829199098</v>
      </c>
      <c r="AB115" s="164">
        <f>(AB87*Emissions_factors!$E$20)/1000</f>
        <v>1506.0688298383993</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89577.698255256604</v>
      </c>
      <c r="P116" s="164">
        <f>(P88*Emissions_factors!$E$20)/1000</f>
        <v>84696.266585639751</v>
      </c>
      <c r="Q116" s="164">
        <f>(Q88*Emissions_factors!$E$20)/1000</f>
        <v>75583.684415615542</v>
      </c>
      <c r="R116" s="164">
        <f>(R88*Emissions_factors!$E$20)/1000</f>
        <v>64723.840579578791</v>
      </c>
      <c r="S116" s="164">
        <f>(S88*Emissions_factors!$E$20)/1000</f>
        <v>53526.087183444375</v>
      </c>
      <c r="T116" s="164">
        <f>(T88*Emissions_factors!$E$20)/1000</f>
        <v>42914.971760154949</v>
      </c>
      <c r="U116" s="164">
        <f>(U88*Emissions_factors!$E$20)/1000</f>
        <v>33446.964264354807</v>
      </c>
      <c r="V116" s="164">
        <f>(V88*Emissions_factors!$E$20)/1000</f>
        <v>25391.042168034921</v>
      </c>
      <c r="W116" s="164">
        <f>(W88*Emissions_factors!$E$20)/1000</f>
        <v>18804.732670440088</v>
      </c>
      <c r="X116" s="164">
        <f>(X88*Emissions_factors!$E$20)/1000</f>
        <v>13604.336429272164</v>
      </c>
      <c r="Y116" s="164">
        <f>(Y88*Emissions_factors!$E$20)/1000</f>
        <v>9624.5613907351453</v>
      </c>
      <c r="Z116" s="164">
        <f>(Z88*Emissions_factors!$E$20)/1000</f>
        <v>6664.6832952473405</v>
      </c>
      <c r="AA116" s="164">
        <f>(AA88*Emissions_factors!$E$20)/1000</f>
        <v>4520.8684385662036</v>
      </c>
      <c r="AB116" s="164">
        <f>(AB88*Emissions_factors!$E$20)/1000</f>
        <v>3006.1793930460617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115650.20548140307</v>
      </c>
      <c r="Q117" s="164">
        <f>(Q89*Emissions_factors!$E$20)/1000</f>
        <v>109347.98309089315</v>
      </c>
      <c r="R117" s="164">
        <f>(R89*Emissions_factors!$E$20)/1000</f>
        <v>97583.090478600265</v>
      </c>
      <c r="S117" s="164">
        <f>(S89*Emissions_factors!$E$20)/1000</f>
        <v>83562.377783407792</v>
      </c>
      <c r="T117" s="164">
        <f>(T89*Emissions_factors!$E$20)/1000</f>
        <v>69105.403487162897</v>
      </c>
      <c r="U117" s="164">
        <f>(U89*Emissions_factors!$E$20)/1000</f>
        <v>55405.81415865173</v>
      </c>
      <c r="V117" s="164">
        <f>(V89*Emissions_factors!$E$20)/1000</f>
        <v>43182.046036495332</v>
      </c>
      <c r="W117" s="164">
        <f>(W89*Emissions_factors!$E$20)/1000</f>
        <v>32781.365242859312</v>
      </c>
      <c r="X117" s="164">
        <f>(X89*Emissions_factors!$E$20)/1000</f>
        <v>24278.042857968052</v>
      </c>
      <c r="Y117" s="164">
        <f>(Y89*Emissions_factors!$E$20)/1000</f>
        <v>17564.017988050233</v>
      </c>
      <c r="Z117" s="164">
        <f>(Z89*Emissions_factors!$E$20)/1000</f>
        <v>12425.888632850421</v>
      </c>
      <c r="AA117" s="164">
        <f>(AA89*Emissions_factors!$E$20)/1000</f>
        <v>8604.5076796623198</v>
      </c>
      <c r="AB117" s="164">
        <f>(AB89*Emissions_factors!$E$20)/1000</f>
        <v>5836.7135353792146</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113534.74393532026</v>
      </c>
      <c r="R118" s="164">
        <f>(R90*Emissions_factors!$E$20)/1000</f>
        <v>110257.5928107181</v>
      </c>
      <c r="S118" s="164">
        <f>(S90*Emissions_factors!$E$20)/1000</f>
        <v>103888.65217238588</v>
      </c>
      <c r="T118" s="164">
        <f>(T90*Emissions_factors!$E$20)/1000</f>
        <v>95798.110729969922</v>
      </c>
      <c r="U118" s="164">
        <f>(U90*Emissions_factors!$E$20)/1000</f>
        <v>86743.04896366506</v>
      </c>
      <c r="V118" s="164">
        <f>(V90*Emissions_factors!$E$20)/1000</f>
        <v>77281.930531441103</v>
      </c>
      <c r="W118" s="164">
        <f>(W90*Emissions_factors!$E$20)/1000</f>
        <v>67841.334638402259</v>
      </c>
      <c r="X118" s="164">
        <f>(X90*Emissions_factors!$E$20)/1000</f>
        <v>58740.742287625049</v>
      </c>
      <c r="Y118" s="164">
        <f>(Y90*Emissions_factors!$E$20)/1000</f>
        <v>50207.908720854051</v>
      </c>
      <c r="Z118" s="164">
        <f>(Z90*Emissions_factors!$E$20)/1000</f>
        <v>42392.164552271301</v>
      </c>
      <c r="AA118" s="164">
        <f>(AA90*Emissions_factors!$E$20)/1000</f>
        <v>35377.357217639619</v>
      </c>
      <c r="AB118" s="164">
        <f>(AB90*Emissions_factors!$E$20)/1000</f>
        <v>29194.526362872082</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104720.47197834807</v>
      </c>
      <c r="S119" s="164">
        <f>(S91*Emissions_factors!$E$20)/1000</f>
        <v>101697.74254225381</v>
      </c>
      <c r="T119" s="164">
        <f>(T91*Emissions_factors!$E$20)/1000</f>
        <v>95823.254728830027</v>
      </c>
      <c r="U119" s="164">
        <f>(U91*Emissions_factors!$E$20)/1000</f>
        <v>88360.822621766376</v>
      </c>
      <c r="V119" s="164">
        <f>(V91*Emissions_factors!$E$20)/1000</f>
        <v>80008.750744097386</v>
      </c>
      <c r="W119" s="164">
        <f>(W91*Emissions_factors!$E$20)/1000</f>
        <v>71282.146417319876</v>
      </c>
      <c r="X119" s="164">
        <f>(X91*Emissions_factors!$E$20)/1000</f>
        <v>62574.471362016156</v>
      </c>
      <c r="Y119" s="164">
        <f>(Y91*Emissions_factors!$E$20)/1000</f>
        <v>54180.403667647122</v>
      </c>
      <c r="Z119" s="164">
        <f>(Z91*Emissions_factors!$E$20)/1000</f>
        <v>46310.016793528623</v>
      </c>
      <c r="AA119" s="164">
        <f>(AA91*Emissions_factors!$E$20)/1000</f>
        <v>39101.048068833377</v>
      </c>
      <c r="AB119" s="164">
        <f>(AB91*Emissions_factors!$E$20)/1000</f>
        <v>32630.835432089345</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96855.831582336163</v>
      </c>
      <c r="T120" s="164">
        <f>(T92*Emissions_factors!$E$20)/1000</f>
        <v>94060.112964472719</v>
      </c>
      <c r="U120" s="164">
        <f>(U92*Emissions_factors!$E$20)/1000</f>
        <v>88626.806643936812</v>
      </c>
      <c r="V120" s="164">
        <f>(V92*Emissions_factors!$E$20)/1000</f>
        <v>81724.812662226948</v>
      </c>
      <c r="W120" s="164">
        <f>(W92*Emissions_factors!$E$20)/1000</f>
        <v>73999.991986148147</v>
      </c>
      <c r="X120" s="164">
        <f>(X92*Emissions_factors!$E$20)/1000</f>
        <v>65928.766723385736</v>
      </c>
      <c r="Y120" s="164">
        <f>(Y92*Emissions_factors!$E$20)/1000</f>
        <v>57875.049119777286</v>
      </c>
      <c r="Z120" s="164">
        <f>(Z92*Emissions_factors!$E$20)/1000</f>
        <v>50111.38656614942</v>
      </c>
      <c r="AA120" s="164">
        <f>(AA92*Emissions_factors!$E$20)/1000</f>
        <v>42832.075738319494</v>
      </c>
      <c r="AB120" s="164">
        <f>(AB92*Emissions_factors!$E$20)/1000</f>
        <v>36164.509717171524</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91584.341549026867</v>
      </c>
      <c r="U121" s="164">
        <f>(U93*Emissions_factors!$E$20)/1000</f>
        <v>88940.783132456781</v>
      </c>
      <c r="V121" s="164">
        <f>(V93*Emissions_factors!$E$20)/1000</f>
        <v>83803.190757572898</v>
      </c>
      <c r="W121" s="164">
        <f>(W93*Emissions_factors!$E$20)/1000</f>
        <v>77276.845736696283</v>
      </c>
      <c r="X121" s="164">
        <f>(X93*Emissions_factors!$E$20)/1000</f>
        <v>69972.457310671874</v>
      </c>
      <c r="Y121" s="164">
        <f>(Y93*Emissions_factors!$E$20)/1000</f>
        <v>62340.517766013865</v>
      </c>
      <c r="Z121" s="164">
        <f>(Z93*Emissions_factors!$E$20)/1000</f>
        <v>54725.133006023818</v>
      </c>
      <c r="AA121" s="164">
        <f>(AA93*Emissions_factors!$E$20)/1000</f>
        <v>47384.016716310223</v>
      </c>
      <c r="AB121" s="164">
        <f>(AB93*Emissions_factors!$E$20)/1000</f>
        <v>40500.890752637351</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86887.343868421187</v>
      </c>
      <c r="V122" s="164">
        <f>(V94*Emissions_factors!$E$20)/1000</f>
        <v>84379.363079436371</v>
      </c>
      <c r="W122" s="164">
        <f>(W94*Emissions_factors!$E$20)/1000</f>
        <v>79505.257443230526</v>
      </c>
      <c r="X122" s="164">
        <f>(X94*Emissions_factors!$E$20)/1000</f>
        <v>73313.622776846969</v>
      </c>
      <c r="Y122" s="164">
        <f>(Y94*Emissions_factors!$E$20)/1000</f>
        <v>66383.847466066873</v>
      </c>
      <c r="Z122" s="164">
        <f>(Z94*Emissions_factors!$E$20)/1000</f>
        <v>59143.319834553331</v>
      </c>
      <c r="AA122" s="164">
        <f>(AA94*Emissions_factors!$E$20)/1000</f>
        <v>51918.497958453707</v>
      </c>
      <c r="AB122" s="164">
        <f>(AB94*Emissions_factors!$E$20)/1000</f>
        <v>44953.878410460784</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83298.318326417459</v>
      </c>
      <c r="W123" s="164">
        <f>(W95*Emissions_factors!$E$20)/1000</f>
        <v>80893.933834773168</v>
      </c>
      <c r="X123" s="164">
        <f>(X95*Emissions_factors!$E$20)/1000</f>
        <v>76221.161198794143</v>
      </c>
      <c r="Y123" s="164">
        <f>(Y95*Emissions_factors!$E$20)/1000</f>
        <v>70285.2822498147</v>
      </c>
      <c r="Z123" s="164">
        <f>(Z95*Emissions_factors!$E$20)/1000</f>
        <v>63641.752777420465</v>
      </c>
      <c r="AA123" s="164">
        <f>(AA95*Emissions_factors!$E$20)/1000</f>
        <v>56700.307123213512</v>
      </c>
      <c r="AB123" s="164">
        <f>(AB95*Emissions_factors!$E$20)/1000</f>
        <v>49773.918472199191</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81048.334835755275</v>
      </c>
      <c r="X124" s="164">
        <f>(X96*Emissions_factors!$E$20)/1000</f>
        <v>78708.89553772466</v>
      </c>
      <c r="Y124" s="164">
        <f>(Y96*Emissions_factors!$E$20)/1000</f>
        <v>74162.339871041098</v>
      </c>
      <c r="Z124" s="164">
        <f>(Z96*Emissions_factors!$E$20)/1000</f>
        <v>68386.795847257134</v>
      </c>
      <c r="AA124" s="164">
        <f>(AA96*Emissions_factors!$E$20)/1000</f>
        <v>61922.715755509918</v>
      </c>
      <c r="AB124" s="164">
        <f>(AB96*Emissions_factors!$E$20)/1000</f>
        <v>55168.766541052129</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80137.198678016532</v>
      </c>
      <c r="Y125" s="164">
        <f>(Y97*Emissions_factors!$E$20)/1000</f>
        <v>77824.05909036973</v>
      </c>
      <c r="Z125" s="164">
        <f>(Z97*Emissions_factors!$E$20)/1000</f>
        <v>73328.615285138745</v>
      </c>
      <c r="AA125" s="164">
        <f>(AA97*Emissions_factors!$E$20)/1000</f>
        <v>67617.999270071377</v>
      </c>
      <c r="AB125" s="164">
        <f>(AB97*Emissions_factors!$E$20)/1000</f>
        <v>61226.587631168317</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80408.417094581222</v>
      </c>
      <c r="Z126" s="164">
        <f>(Z98*Emissions_factors!$E$20)/1000</f>
        <v>78087.448857236101</v>
      </c>
      <c r="AA126" s="164">
        <f>(AA98*Emissions_factors!$E$20)/1000</f>
        <v>73576.790555233049</v>
      </c>
      <c r="AB126" s="164">
        <f>(AB98*Emissions_factors!$E$20)/1000</f>
        <v>67846.847383005617</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81618.592062865937</v>
      </c>
      <c r="AA127" s="164">
        <f>(AA99*Emissions_factors!$E$20)/1000</f>
        <v>79262.692436936049</v>
      </c>
      <c r="AB127" s="164">
        <f>(AB99*Emissions_factors!$E$20)/1000</f>
        <v>74684.147140451445</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83494.19288509147</v>
      </c>
      <c r="AB128" s="164">
        <f>(AB100*Emissions_factors!$E$20)/1000</f>
        <v>81084.154524789978</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85772.544415285767</v>
      </c>
    </row>
    <row r="131" spans="1:28">
      <c r="B131" s="307" t="s">
        <v>7803</v>
      </c>
      <c r="C131" s="298">
        <f t="shared" ref="C131:AB131" si="23">SUM(C104:C129)</f>
        <v>76624.61534796709</v>
      </c>
      <c r="D131" s="298">
        <f t="shared" si="23"/>
        <v>191571.92507492396</v>
      </c>
      <c r="E131" s="298">
        <f t="shared" si="23"/>
        <v>291182.36953360605</v>
      </c>
      <c r="F131" s="298">
        <f t="shared" si="23"/>
        <v>327345.26255552925</v>
      </c>
      <c r="G131" s="298">
        <f t="shared" si="23"/>
        <v>348147.46411517786</v>
      </c>
      <c r="H131" s="298">
        <f t="shared" si="23"/>
        <v>372116.08164331189</v>
      </c>
      <c r="I131" s="298">
        <f t="shared" si="23"/>
        <v>387303.31843192264</v>
      </c>
      <c r="J131" s="298">
        <f t="shared" si="23"/>
        <v>394030.81149327406</v>
      </c>
      <c r="K131" s="298">
        <f t="shared" si="23"/>
        <v>394594.80453119968</v>
      </c>
      <c r="L131" s="298">
        <f t="shared" si="23"/>
        <v>397444.2973342301</v>
      </c>
      <c r="M131" s="298">
        <f t="shared" si="23"/>
        <v>393043.77183138102</v>
      </c>
      <c r="N131" s="298">
        <f t="shared" si="23"/>
        <v>395400.75885786</v>
      </c>
      <c r="O131" s="298">
        <f t="shared" si="23"/>
        <v>418332.91439731477</v>
      </c>
      <c r="P131" s="298">
        <f t="shared" si="23"/>
        <v>465987.70196181303</v>
      </c>
      <c r="Q131" s="298">
        <f t="shared" si="23"/>
        <v>507772.03610831557</v>
      </c>
      <c r="R131" s="298">
        <f t="shared" si="23"/>
        <v>538367.58369789436</v>
      </c>
      <c r="S131" s="298">
        <f t="shared" si="23"/>
        <v>560759.02481623355</v>
      </c>
      <c r="T131" s="298">
        <f t="shared" si="23"/>
        <v>578584.86467282404</v>
      </c>
      <c r="U131" s="298">
        <f t="shared" si="23"/>
        <v>592843.68779665115</v>
      </c>
      <c r="V131" s="298">
        <f t="shared" si="23"/>
        <v>604637.64997216896</v>
      </c>
      <c r="W131" s="298">
        <f t="shared" si="23"/>
        <v>615040.39906222362</v>
      </c>
      <c r="X131" s="298">
        <f t="shared" si="23"/>
        <v>624991.18969043228</v>
      </c>
      <c r="Y131" s="298">
        <f t="shared" si="23"/>
        <v>635229.54577473202</v>
      </c>
      <c r="Z131" s="298">
        <f t="shared" si="23"/>
        <v>646267.87696596805</v>
      </c>
      <c r="AA131" s="298">
        <f t="shared" si="23"/>
        <v>658394.58239666792</v>
      </c>
      <c r="AB131" s="298">
        <f t="shared" si="23"/>
        <v>671698.62140219146</v>
      </c>
    </row>
    <row r="132" spans="1:28">
      <c r="A132" s="1"/>
      <c r="B132" s="307" t="s">
        <v>7801</v>
      </c>
      <c r="C132" s="164">
        <f>(C148*Emissions_factors!$D$9)/1000</f>
        <v>423711.26641910139</v>
      </c>
      <c r="D132" s="164">
        <f>D148*(Emissions_factors!$D$9/1000)</f>
        <v>658713.9838274417</v>
      </c>
      <c r="E132" s="164">
        <f>E148*(Emissions_factors!$D$9/1000)</f>
        <v>629815.29553823906</v>
      </c>
      <c r="F132" s="164">
        <f>F148*(Emissions_factors!$D$9/1000)</f>
        <v>352668.99875208153</v>
      </c>
      <c r="G132" s="164">
        <f>G148*(Emissions_factors!$D$9/1000)</f>
        <v>331143.11930555379</v>
      </c>
      <c r="H132" s="164">
        <f>H148*(Emissions_factors!$D$9/1000)</f>
        <v>395350.69537823874</v>
      </c>
      <c r="I132" s="164">
        <f>I148*(Emissions_factors!$D$9/1000)</f>
        <v>383511.74331696361</v>
      </c>
      <c r="J132" s="164">
        <f>J148*(Emissions_factors!$D$9/1000)</f>
        <v>364884.73203401762</v>
      </c>
      <c r="K132" s="164">
        <f>K148*(Emissions_factors!$D$9/1000)</f>
        <v>350080.04442411009</v>
      </c>
      <c r="L132" s="164">
        <f>L148*(Emissions_factors!$D$9/1000)</f>
        <v>374042.73515872832</v>
      </c>
      <c r="M132" s="164">
        <f>M148*(Emissions_factors!$D$9/1000)</f>
        <v>340763.05546153057</v>
      </c>
      <c r="N132" s="164">
        <f>N148*(Emissions_factors!$D$9/1000)</f>
        <v>380465.15717711829</v>
      </c>
      <c r="O132" s="164">
        <f>O148*(Emissions_factors!$D$9/1000)</f>
        <v>495337.95110463665</v>
      </c>
      <c r="P132" s="164">
        <f>P148*(Emissions_factors!$D$9/1000)</f>
        <v>639511.138863481</v>
      </c>
      <c r="Q132" s="164">
        <f>Q148*(Emissions_factors!$D$9/1000)</f>
        <v>627813.26753739105</v>
      </c>
      <c r="R132" s="164">
        <f>R148*(Emissions_factors!$D$9/1000)</f>
        <v>579072.97283586417</v>
      </c>
      <c r="S132" s="164">
        <f>S148*(Emissions_factors!$D$9/1000)</f>
        <v>535583.85739962675</v>
      </c>
      <c r="T132" s="164">
        <f>T148*(Emissions_factors!$D$9/1000)</f>
        <v>506434.08995497465</v>
      </c>
      <c r="U132" s="164">
        <f>U148*(Emissions_factors!$D$9/1000)</f>
        <v>480461.09385471029</v>
      </c>
      <c r="V132" s="164">
        <f>V148*(Emissions_factors!$D$9/1000)</f>
        <v>460614.8531824791</v>
      </c>
      <c r="W132" s="164">
        <f>W148*(Emissions_factors!$D$9/1000)</f>
        <v>448173.11562958913</v>
      </c>
      <c r="X132" s="164">
        <f>X148*(Emissions_factors!$D$9/1000)</f>
        <v>443134.80446127127</v>
      </c>
      <c r="Y132" s="164">
        <f>Y148*(Emissions_factors!$D$9/1000)</f>
        <v>444634.56140278344</v>
      </c>
      <c r="Z132" s="164">
        <f>Z148*(Emissions_factors!$D$9/1000)</f>
        <v>451326.46799274872</v>
      </c>
      <c r="AA132" s="164">
        <f>AA148*(Emissions_factors!$D$9/1000)</f>
        <v>461697.98106427205</v>
      </c>
      <c r="AB132" s="164">
        <f>AB148*(Emissions_factors!$D$9/1000)</f>
        <v>474296.58541383542</v>
      </c>
    </row>
    <row r="133" spans="1:28">
      <c r="B133" s="307" t="s">
        <v>7802</v>
      </c>
      <c r="C133" s="50">
        <f>(C182*Emissions_factors!$E$30)+(C183*Emissions_factors!$G$30)+(C184*Emissions_factors!$I$30)</f>
        <v>0</v>
      </c>
      <c r="D133" s="50">
        <f>(D182*Emissions_factors!$E$30)+(D183*Emissions_factors!$G$30)+(D184*Emissions_factors!$I$30)</f>
        <v>9912.1102149779781</v>
      </c>
      <c r="E133" s="50">
        <f>(E182*Emissions_factors!$E$30)+(E183*Emissions_factors!$G$30)+(E184*Emissions_factors!$I$30)</f>
        <v>33913.442138127488</v>
      </c>
      <c r="F133" s="50">
        <f>(F182*Emissions_factors!$E$30)+(F183*Emissions_factors!$G$30)+(F184*Emissions_factors!$I$30)</f>
        <v>65551.876647943907</v>
      </c>
      <c r="G133" s="50">
        <f>(G182*Emissions_factors!$E$30)+(G183*Emissions_factors!$G$30)+(G184*Emissions_factors!$I$30)</f>
        <v>92774.833616220814</v>
      </c>
      <c r="H133" s="50">
        <f>(H182*Emissions_factors!$E$30)+(H183*Emissions_factors!$G$30)+(H184*Emissions_factors!$I$30)</f>
        <v>112821.84873346848</v>
      </c>
      <c r="I133" s="50">
        <f>(I182*Emissions_factors!$E$30)+(I183*Emissions_factors!$G$30)+(I184*Emissions_factors!$I$30)</f>
        <v>128585.09286770401</v>
      </c>
      <c r="J133" s="50">
        <f>(J182*Emissions_factors!$E$30)+(J183*Emissions_factors!$G$30)+(J184*Emissions_factors!$I$30)</f>
        <v>140670.78019399603</v>
      </c>
      <c r="K133" s="50">
        <f>(K182*Emissions_factors!$E$30)+(K183*Emissions_factors!$G$30)+(K184*Emissions_factors!$I$30)</f>
        <v>148946.45303064946</v>
      </c>
      <c r="L133" s="50">
        <f>(L182*Emissions_factors!$E$30)+(L183*Emissions_factors!$G$30)+(L184*Emissions_factors!$I$30)</f>
        <v>153807.95328706145</v>
      </c>
      <c r="M133" s="50">
        <f>(M182*Emissions_factors!$E$30)+(M183*Emissions_factors!$G$30)+(M184*Emissions_factors!$I$30)</f>
        <v>156731.72910682869</v>
      </c>
      <c r="N133" s="50">
        <f>(N182*Emissions_factors!$E$30)+(N183*Emissions_factors!$G$30)+(N184*Emissions_factors!$I$30)</f>
        <v>157734.13186352578</v>
      </c>
      <c r="O133" s="50">
        <f>(O182*Emissions_factors!$E$30)+(O183*Emissions_factors!$G$30)+(O184*Emissions_factors!$I$30)</f>
        <v>158205.6060980435</v>
      </c>
      <c r="P133" s="50">
        <f>(P182*Emissions_factors!$E$30)+(P183*Emissions_factors!$G$30)+(P184*Emissions_factors!$I$30)</f>
        <v>161409.98419966557</v>
      </c>
      <c r="Q133" s="50">
        <f>(Q182*Emissions_factors!$E$30)+(Q183*Emissions_factors!$G$30)+(Q184*Emissions_factors!$I$30)</f>
        <v>170323.73616731117</v>
      </c>
      <c r="R133" s="50">
        <f>(R182*Emissions_factors!$E$30)+(R183*Emissions_factors!$G$30)+(R184*Emissions_factors!$I$30)</f>
        <v>175960.42442217996</v>
      </c>
      <c r="S133" s="50">
        <f>(S182*Emissions_factors!$E$30)+(S183*Emissions_factors!$G$30)+(S184*Emissions_factors!$I$30)</f>
        <v>176766.2640237509</v>
      </c>
      <c r="T133" s="50">
        <f>(T182*Emissions_factors!$E$30)+(T183*Emissions_factors!$G$30)+(T184*Emissions_factors!$I$30)</f>
        <v>175090.59490458842</v>
      </c>
      <c r="U133" s="50">
        <f>(U182*Emissions_factors!$E$30)+(U183*Emissions_factors!$G$30)+(U184*Emissions_factors!$I$30)</f>
        <v>172408.21851519062</v>
      </c>
      <c r="V133" s="50">
        <f>(V182*Emissions_factors!$E$30)+(V183*Emissions_factors!$G$30)+(V184*Emissions_factors!$I$30)</f>
        <v>169739.62234698559</v>
      </c>
      <c r="W133" s="50">
        <f>(W182*Emissions_factors!$E$30)+(W183*Emissions_factors!$G$30)+(W184*Emissions_factors!$I$30)</f>
        <v>167701.04518039589</v>
      </c>
      <c r="X133" s="50">
        <f>(X182*Emissions_factors!$E$30)+(X183*Emissions_factors!$G$30)+(X184*Emissions_factors!$I$30)</f>
        <v>166611.04990659974</v>
      </c>
      <c r="Y133" s="50">
        <f>(Y182*Emissions_factors!$E$30)+(Y183*Emissions_factors!$G$30)+(Y184*Emissions_factors!$I$30)</f>
        <v>166572.22261669821</v>
      </c>
      <c r="Z133" s="50">
        <f>(Z182*Emissions_factors!$E$30)+(Z183*Emissions_factors!$G$30)+(Z184*Emissions_factors!$I$30)</f>
        <v>167545.99602496353</v>
      </c>
      <c r="AA133" s="50">
        <f>(AA182*Emissions_factors!$E$30)+(AA183*Emissions_factors!$G$30)+(AA184*Emissions_factors!$I$30)</f>
        <v>169414.73268758692</v>
      </c>
      <c r="AB133" s="50">
        <f>(AB182*Emissions_factors!$E$30)+(AB183*Emissions_factors!$G$30)+(AB184*Emissions_factors!$I$30)</f>
        <v>172028.35241778419</v>
      </c>
    </row>
    <row r="134" spans="1:28">
      <c r="B134" s="307" t="s">
        <v>7804</v>
      </c>
      <c r="C134" s="306">
        <f>SUM(C131:C133)</f>
        <v>500335.88176706847</v>
      </c>
      <c r="D134" s="306">
        <f t="shared" ref="D134:AB134" si="24">SUM(D131:D133)</f>
        <v>860198.01911734371</v>
      </c>
      <c r="E134" s="306">
        <f t="shared" si="24"/>
        <v>954911.10720997257</v>
      </c>
      <c r="F134" s="306">
        <f t="shared" si="24"/>
        <v>745566.13795555464</v>
      </c>
      <c r="G134" s="306">
        <f t="shared" si="24"/>
        <v>772065.41703695245</v>
      </c>
      <c r="H134" s="306">
        <f t="shared" si="24"/>
        <v>880288.62575501902</v>
      </c>
      <c r="I134" s="306">
        <f t="shared" si="24"/>
        <v>899400.15461659024</v>
      </c>
      <c r="J134" s="306">
        <f t="shared" si="24"/>
        <v>899586.32372128766</v>
      </c>
      <c r="K134" s="306">
        <f t="shared" si="24"/>
        <v>893621.30198595917</v>
      </c>
      <c r="L134" s="306">
        <f t="shared" si="24"/>
        <v>925294.9857800199</v>
      </c>
      <c r="M134" s="306">
        <f t="shared" si="24"/>
        <v>890538.55639974028</v>
      </c>
      <c r="N134" s="306">
        <f t="shared" si="24"/>
        <v>933600.04789850418</v>
      </c>
      <c r="O134" s="306">
        <f t="shared" si="24"/>
        <v>1071876.4715999949</v>
      </c>
      <c r="P134" s="306">
        <f t="shared" si="24"/>
        <v>1266908.8250249596</v>
      </c>
      <c r="Q134" s="306">
        <f t="shared" si="24"/>
        <v>1305909.0398130179</v>
      </c>
      <c r="R134" s="306">
        <f t="shared" si="24"/>
        <v>1293400.9809559386</v>
      </c>
      <c r="S134" s="306">
        <f t="shared" si="24"/>
        <v>1273109.1462396113</v>
      </c>
      <c r="T134" s="306">
        <f t="shared" si="24"/>
        <v>1260109.5495323869</v>
      </c>
      <c r="U134" s="306">
        <f t="shared" si="24"/>
        <v>1245713.0001665519</v>
      </c>
      <c r="V134" s="306">
        <f t="shared" si="24"/>
        <v>1234992.1255016336</v>
      </c>
      <c r="W134" s="306">
        <f t="shared" si="24"/>
        <v>1230914.5598722086</v>
      </c>
      <c r="X134" s="306">
        <f t="shared" si="24"/>
        <v>1234737.0440583033</v>
      </c>
      <c r="Y134" s="306">
        <f t="shared" si="24"/>
        <v>1246436.3297942136</v>
      </c>
      <c r="Z134" s="306">
        <f t="shared" si="24"/>
        <v>1265140.3409836802</v>
      </c>
      <c r="AA134" s="306">
        <f t="shared" si="24"/>
        <v>1289507.2961485269</v>
      </c>
      <c r="AB134" s="306">
        <f t="shared" si="24"/>
        <v>1318023.5592338112</v>
      </c>
    </row>
    <row r="137" spans="1:28" ht="21">
      <c r="A137" s="293" t="s">
        <v>7793</v>
      </c>
      <c r="B137" s="291" t="s">
        <v>7794</v>
      </c>
    </row>
    <row r="138" spans="1:28">
      <c r="B138" s="294" t="s">
        <v>437</v>
      </c>
      <c r="C138" s="302">
        <f>C38*(BOM_average!B6*BOM_average!B17)/1000000</f>
        <v>2628.9155075792037</v>
      </c>
      <c r="D138" s="302">
        <f>D38*(BOM_average!C6*BOM_average!C17)/1000000</f>
        <v>4086.9892881969658</v>
      </c>
      <c r="E138" s="302">
        <f>E38*(BOM_average!D6*BOM_average!D17)/1000000</f>
        <v>3907.6874479739195</v>
      </c>
      <c r="F138" s="302">
        <f>F38*(BOM_average!E6*BOM_average!E17)/1000000</f>
        <v>2188.1339330371452</v>
      </c>
      <c r="G138" s="302">
        <f>G38*(BOM_average!F6*BOM_average!F17)/1000000</f>
        <v>2054.5766670963258</v>
      </c>
      <c r="H138" s="302">
        <f>H38*(BOM_average!G6*BOM_average!G17)/1000000</f>
        <v>2452.9524144964271</v>
      </c>
      <c r="I138" s="302">
        <f>I38*(BOM_average!H6*BOM_average!H17)/1000000</f>
        <v>2379.4976656283898</v>
      </c>
      <c r="J138" s="302">
        <f>J38*(BOM_average!I6*BOM_average!I17)/1000000</f>
        <v>2263.926420059589</v>
      </c>
      <c r="K138" s="302">
        <f>K38*(BOM_average!J6*BOM_average!J17)/1000000</f>
        <v>2172.0707722938891</v>
      </c>
      <c r="L138" s="302">
        <f>L38*(BOM_average!K6*BOM_average!K17)/1000000</f>
        <v>2320.747227862224</v>
      </c>
      <c r="M138" s="302">
        <f>M38*(BOM_average!L6*BOM_average!L17)/1000000</f>
        <v>2114.2635372522741</v>
      </c>
      <c r="N138" s="302">
        <f>N38*(BOM_average!M6*BOM_average!M17)/1000000</f>
        <v>2360.5951294369324</v>
      </c>
      <c r="O138" s="302">
        <f>O38*(BOM_average!N6*BOM_average!N17)/1000000</f>
        <v>3073.3230960714045</v>
      </c>
      <c r="P138" s="302">
        <f>P38*(BOM_average!O6*BOM_average!O17)/1000000</f>
        <v>3967.8452839743782</v>
      </c>
      <c r="Q138" s="302">
        <f>Q38*(BOM_average!P6*BOM_average!P17)/1000000</f>
        <v>3895.2658701798773</v>
      </c>
      <c r="R138" s="302">
        <f>R38*(BOM_average!Q6*BOM_average!Q17)/1000000</f>
        <v>3592.8568319031256</v>
      </c>
      <c r="S138" s="302">
        <f>S38*(BOM_average!R6*BOM_average!R17)/1000000</f>
        <v>3323.0287224278845</v>
      </c>
      <c r="T138" s="302">
        <f>T38*(BOM_average!S6*BOM_average!S17)/1000000</f>
        <v>3142.169062204041</v>
      </c>
      <c r="U138" s="302">
        <f>U38*(BOM_average!T6*BOM_average!T17)/1000000</f>
        <v>2981.0196719521859</v>
      </c>
      <c r="V138" s="302">
        <f>V38*(BOM_average!U6*BOM_average!U17)/1000000</f>
        <v>2857.8837206443177</v>
      </c>
      <c r="W138" s="302">
        <f>W38*(BOM_average!V6*BOM_average!V17)/1000000</f>
        <v>2780.6889906800916</v>
      </c>
      <c r="X138" s="302">
        <f>X38*(BOM_average!W6*BOM_average!W17)/1000000</f>
        <v>2749.4288014612871</v>
      </c>
      <c r="Y138" s="302">
        <f>Y38*(BOM_average!X6*BOM_average!X17)/1000000</f>
        <v>2758.7340397063354</v>
      </c>
      <c r="Z138" s="302">
        <f>Z38*(BOM_average!Y6*BOM_average!Y17)/1000000</f>
        <v>2800.2539576408049</v>
      </c>
      <c r="AA138" s="302">
        <f>AA38*(BOM_average!Z6*BOM_average!Z17)/1000000</f>
        <v>2864.603984915791</v>
      </c>
      <c r="AB138" s="302">
        <f>AB38*(BOM_average!AA6*BOM_average!AA17)/1000000</f>
        <v>2942.7719945331273</v>
      </c>
    </row>
    <row r="139" spans="1:28">
      <c r="B139" s="294" t="s">
        <v>217</v>
      </c>
      <c r="C139" s="302">
        <f>C38*(BOM_average!B7*BOM_average!B17)/1000000</f>
        <v>304.54238345884499</v>
      </c>
      <c r="D139" s="302">
        <f>D38*(BOM_average!C7*BOM_average!C17)/1000000</f>
        <v>473.45053707884267</v>
      </c>
      <c r="E139" s="302">
        <f>E38*(BOM_average!D7*BOM_average!D17)/1000000</f>
        <v>452.67961096019928</v>
      </c>
      <c r="F139" s="302">
        <f>F38*(BOM_average!E7*BOM_average!E17)/1000000</f>
        <v>253.48076854243757</v>
      </c>
      <c r="G139" s="302">
        <f>G38*(BOM_average!F7*BOM_average!F17)/1000000</f>
        <v>238.00904722594768</v>
      </c>
      <c r="H139" s="302">
        <f>H38*(BOM_average!G7*BOM_average!G17)/1000000</f>
        <v>284.1582289990597</v>
      </c>
      <c r="I139" s="302">
        <f>I38*(BOM_average!H7*BOM_average!H17)/1000000</f>
        <v>275.64898469959491</v>
      </c>
      <c r="J139" s="302">
        <f>J38*(BOM_average!I7*BOM_average!I17)/1000000</f>
        <v>262.26082426486107</v>
      </c>
      <c r="K139" s="302">
        <f>K38*(BOM_average!J7*BOM_average!J17)/1000000</f>
        <v>251.61995816472472</v>
      </c>
      <c r="L139" s="302">
        <f>L38*(BOM_average!K7*BOM_average!K17)/1000000</f>
        <v>268.84313708107095</v>
      </c>
      <c r="M139" s="302">
        <f>M38*(BOM_average!L7*BOM_average!L17)/1000000</f>
        <v>244.9233743110465</v>
      </c>
      <c r="N139" s="302">
        <f>N38*(BOM_average!M7*BOM_average!M17)/1000000</f>
        <v>273.45925155352495</v>
      </c>
      <c r="O139" s="302">
        <f>O38*(BOM_average!N7*BOM_average!N17)/1000000</f>
        <v>356.02404798416825</v>
      </c>
      <c r="P139" s="302">
        <f>P38*(BOM_average!O7*BOM_average!O17)/1000000</f>
        <v>459.64849630721307</v>
      </c>
      <c r="Q139" s="302">
        <f>Q38*(BOM_average!P7*BOM_average!P17)/1000000</f>
        <v>451.24065375643562</v>
      </c>
      <c r="R139" s="302">
        <f>R38*(BOM_average!Q7*BOM_average!Q17)/1000000</f>
        <v>416.20857720974413</v>
      </c>
      <c r="S139" s="302">
        <f>S38*(BOM_average!R7*BOM_average!R17)/1000000</f>
        <v>384.95078465350758</v>
      </c>
      <c r="T139" s="302">
        <f>T38*(BOM_average!S7*BOM_average!S17)/1000000</f>
        <v>363.99939544478963</v>
      </c>
      <c r="U139" s="302">
        <f>U38*(BOM_average!T7*BOM_average!T17)/1000000</f>
        <v>345.33130997047516</v>
      </c>
      <c r="V139" s="302">
        <f>V38*(BOM_average!U7*BOM_average!U17)/1000000</f>
        <v>331.06682866909551</v>
      </c>
      <c r="W139" s="302">
        <f>W38*(BOM_average!V7*BOM_average!V17)/1000000</f>
        <v>322.12433242454506</v>
      </c>
      <c r="X139" s="302">
        <f>X38*(BOM_average!W7*BOM_average!W17)/1000000</f>
        <v>318.50304733393546</v>
      </c>
      <c r="Y139" s="302">
        <f>Y38*(BOM_average!X7*BOM_average!X17)/1000000</f>
        <v>319.5809973196346</v>
      </c>
      <c r="Z139" s="302">
        <f>Z38*(BOM_average!Y7*BOM_average!Y17)/1000000</f>
        <v>324.39080377112555</v>
      </c>
      <c r="AA139" s="302">
        <f>AA38*(BOM_average!Z7*BOM_average!Z17)/1000000</f>
        <v>331.84532660590912</v>
      </c>
      <c r="AB139" s="302">
        <f>AB38*(BOM_average!AA7*BOM_average!AA17)/1000000</f>
        <v>340.90057082751537</v>
      </c>
    </row>
    <row r="140" spans="1:28">
      <c r="B140" s="294" t="s">
        <v>313</v>
      </c>
      <c r="C140" s="302">
        <f>C38*(BOM_average!B8*BOM_average!B17)/1000000</f>
        <v>1967.7010593218165</v>
      </c>
      <c r="D140" s="302">
        <f>D38*(BOM_average!C8*BOM_average!C17)/1000000</f>
        <v>3059.0458798074546</v>
      </c>
      <c r="E140" s="302">
        <f>E38*(BOM_average!D8*BOM_average!D17)/1000000</f>
        <v>2924.841330468354</v>
      </c>
      <c r="F140" s="302">
        <f>F38*(BOM_average!E8*BOM_average!E17)/1000000</f>
        <v>1637.7831259932514</v>
      </c>
      <c r="G140" s="302">
        <f>G38*(BOM_average!F8*BOM_average!F17)/1000000</f>
        <v>1537.8176562342508</v>
      </c>
      <c r="H140" s="302">
        <f>H38*(BOM_average!G8*BOM_average!G17)/1000000</f>
        <v>1835.9955086252271</v>
      </c>
      <c r="I140" s="302">
        <f>I38*(BOM_average!H8*BOM_average!H17)/1000000</f>
        <v>1781.0158081581894</v>
      </c>
      <c r="J140" s="302">
        <f>J38*(BOM_average!I8*BOM_average!I17)/1000000</f>
        <v>1694.5125859446016</v>
      </c>
      <c r="K140" s="302">
        <f>K38*(BOM_average!J8*BOM_average!J17)/1000000</f>
        <v>1625.7601080151398</v>
      </c>
      <c r="L140" s="302">
        <f>L38*(BOM_average!K8*BOM_average!K17)/1000000</f>
        <v>1737.0420485242953</v>
      </c>
      <c r="M140" s="302">
        <f>M38*(BOM_average!L8*BOM_average!L17)/1000000</f>
        <v>1582.4923204807303</v>
      </c>
      <c r="N140" s="302">
        <f>N38*(BOM_average!M8*BOM_average!M17)/1000000</f>
        <v>1766.8675632334034</v>
      </c>
      <c r="O140" s="302">
        <f>O38*(BOM_average!N8*BOM_average!N17)/1000000</f>
        <v>2300.3330058890124</v>
      </c>
      <c r="P140" s="302">
        <f>P38*(BOM_average!O8*BOM_average!O17)/1000000</f>
        <v>2969.8685050897298</v>
      </c>
      <c r="Q140" s="302">
        <f>Q38*(BOM_average!P8*BOM_average!P17)/1000000</f>
        <v>2915.5439788747722</v>
      </c>
      <c r="R140" s="302">
        <f>R38*(BOM_average!Q8*BOM_average!Q17)/1000000</f>
        <v>2689.1956678506576</v>
      </c>
      <c r="S140" s="302">
        <f>S38*(BOM_average!R8*BOM_average!R17)/1000000</f>
        <v>2487.2336590609016</v>
      </c>
      <c r="T140" s="302">
        <f>T38*(BOM_average!S8*BOM_average!S17)/1000000</f>
        <v>2351.8631064565902</v>
      </c>
      <c r="U140" s="302">
        <f>U38*(BOM_average!T8*BOM_average!T17)/1000000</f>
        <v>2231.245374546435</v>
      </c>
      <c r="V140" s="302">
        <f>V38*(BOM_average!U8*BOM_average!U17)/1000000</f>
        <v>2139.0800915122127</v>
      </c>
      <c r="W140" s="302">
        <f>W38*(BOM_average!V8*BOM_average!V17)/1000000</f>
        <v>2081.3010752270752</v>
      </c>
      <c r="X140" s="302">
        <f>X38*(BOM_average!W8*BOM_average!W17)/1000000</f>
        <v>2057.9033253704879</v>
      </c>
      <c r="Y140" s="302">
        <f>Y38*(BOM_average!X8*BOM_average!X17)/1000000</f>
        <v>2064.8681468336486</v>
      </c>
      <c r="Z140" s="302">
        <f>Z38*(BOM_average!Y8*BOM_average!Y17)/1000000</f>
        <v>2095.9451389496262</v>
      </c>
      <c r="AA140" s="302">
        <f>AA38*(BOM_average!Z8*BOM_average!Z17)/1000000</f>
        <v>2144.110101448925</v>
      </c>
      <c r="AB140" s="302">
        <f>AB38*(BOM_average!AA8*BOM_average!AA17)/1000000</f>
        <v>2202.6176019317936</v>
      </c>
    </row>
    <row r="141" spans="1:28">
      <c r="B141" s="294" t="s">
        <v>6911</v>
      </c>
      <c r="C141" s="302">
        <f>C38*(BOM_average!B9*BOM_average!B17)/1000000</f>
        <v>4821.4068346299209</v>
      </c>
      <c r="D141" s="302">
        <f>D38*(BOM_average!C9*BOM_average!C17)/1000000</f>
        <v>7495.5007227741635</v>
      </c>
      <c r="E141" s="302">
        <f>E38*(BOM_average!D9*BOM_average!D17)/1000000</f>
        <v>7166.6627987629918</v>
      </c>
      <c r="F141" s="302">
        <f>F38*(BOM_average!E9*BOM_average!E17)/1000000</f>
        <v>4013.0174855051309</v>
      </c>
      <c r="G141" s="302">
        <f>G38*(BOM_average!F9*BOM_average!F17)/1000000</f>
        <v>3768.0746895251605</v>
      </c>
      <c r="H141" s="302">
        <f>H38*(BOM_average!G9*BOM_average!G17)/1000000</f>
        <v>4498.6921421318166</v>
      </c>
      <c r="I141" s="302">
        <f>I38*(BOM_average!H9*BOM_average!H17)/1000000</f>
        <v>4363.9768090572679</v>
      </c>
      <c r="J141" s="302">
        <f>J38*(BOM_average!I9*BOM_average!I17)/1000000</f>
        <v>4152.0202088296655</v>
      </c>
      <c r="K141" s="302">
        <f>K38*(BOM_average!J9*BOM_average!J17)/1000000</f>
        <v>3983.5577966067954</v>
      </c>
      <c r="L141" s="302">
        <f>L38*(BOM_average!K9*BOM_average!K17)/1000000</f>
        <v>4256.2290471506385</v>
      </c>
      <c r="M141" s="302">
        <f>M38*(BOM_average!L9*BOM_average!L17)/1000000</f>
        <v>3877.539859812262</v>
      </c>
      <c r="N141" s="302">
        <f>N38*(BOM_average!M9*BOM_average!M17)/1000000</f>
        <v>4329.3097317310539</v>
      </c>
      <c r="O141" s="302">
        <f>O38*(BOM_average!N9*BOM_average!N17)/1000000</f>
        <v>5636.4462599520157</v>
      </c>
      <c r="P141" s="302">
        <f>P38*(BOM_average!O9*BOM_average!O17)/1000000</f>
        <v>7276.9917160724117</v>
      </c>
      <c r="Q141" s="302">
        <f>Q38*(BOM_average!P9*BOM_average!P17)/1000000</f>
        <v>7143.8817394629041</v>
      </c>
      <c r="R141" s="302">
        <f>R38*(BOM_average!Q9*BOM_average!Q17)/1000000</f>
        <v>6589.2663477556216</v>
      </c>
      <c r="S141" s="302">
        <f>S38*(BOM_average!R9*BOM_average!R17)/1000000</f>
        <v>6094.404079474828</v>
      </c>
      <c r="T141" s="302">
        <f>T38*(BOM_average!S9*BOM_average!S17)/1000000</f>
        <v>5762.7091279261367</v>
      </c>
      <c r="U141" s="302">
        <f>U38*(BOM_average!T9*BOM_average!T17)/1000000</f>
        <v>5467.162630019784</v>
      </c>
      <c r="V141" s="302">
        <f>V38*(BOM_average!U9*BOM_average!U17)/1000000</f>
        <v>5241.3324291202871</v>
      </c>
      <c r="W141" s="302">
        <f>W38*(BOM_average!V9*BOM_average!V17)/1000000</f>
        <v>5099.7580051519581</v>
      </c>
      <c r="X141" s="302">
        <f>X38*(BOM_average!W9*BOM_average!W17)/1000000</f>
        <v>5042.4271059591765</v>
      </c>
      <c r="Y141" s="302">
        <f>Y38*(BOM_average!X9*BOM_average!X17)/1000000</f>
        <v>5059.4928272207335</v>
      </c>
      <c r="Z141" s="302">
        <f>Z38*(BOM_average!Y9*BOM_average!Y17)/1000000</f>
        <v>5135.6399744095243</v>
      </c>
      <c r="AA141" s="302">
        <f>AA38*(BOM_average!Z9*BOM_average!Z17)/1000000</f>
        <v>5253.6573319159788</v>
      </c>
      <c r="AB141" s="302">
        <f>AB38*(BOM_average!AA9*BOM_average!AA17)/1000000</f>
        <v>5397.016741806442</v>
      </c>
    </row>
    <row r="142" spans="1:28">
      <c r="B142" s="294" t="s">
        <v>441</v>
      </c>
      <c r="C142" s="302">
        <f>C38*(BOM_average!B10*BOM_average!B17)/1000000</f>
        <v>2381.2662721592374</v>
      </c>
      <c r="D142" s="302">
        <f>D38*(BOM_average!C10*BOM_average!C17)/1000000</f>
        <v>3701.986510635817</v>
      </c>
      <c r="E142" s="302">
        <f>E38*(BOM_average!D10*BOM_average!D17)/1000000</f>
        <v>3539.575271694026</v>
      </c>
      <c r="F142" s="302">
        <f>F38*(BOM_average!E10*BOM_average!E17)/1000000</f>
        <v>1982.0072264348005</v>
      </c>
      <c r="G142" s="302">
        <f>G38*(BOM_average!F10*BOM_average!F17)/1000000</f>
        <v>1861.0313290087424</v>
      </c>
      <c r="H142" s="302">
        <f>H38*(BOM_average!G10*BOM_average!G17)/1000000</f>
        <v>2221.8792635259033</v>
      </c>
      <c r="I142" s="302">
        <f>I38*(BOM_average!H10*BOM_average!H17)/1000000</f>
        <v>2155.3441027323747</v>
      </c>
      <c r="J142" s="302">
        <f>J38*(BOM_average!I10*BOM_average!I17)/1000000</f>
        <v>2050.6599056514888</v>
      </c>
      <c r="K142" s="302">
        <f>K38*(BOM_average!J10*BOM_average!J17)/1000000</f>
        <v>1967.4572483956013</v>
      </c>
      <c r="L142" s="302">
        <f>L38*(BOM_average!K10*BOM_average!K17)/1000000</f>
        <v>2102.1280767612752</v>
      </c>
      <c r="M142" s="302">
        <f>M38*(BOM_average!L10*BOM_average!L17)/1000000</f>
        <v>1915.0955735169223</v>
      </c>
      <c r="N142" s="302">
        <f>N38*(BOM_average!M10*BOM_average!M17)/1000000</f>
        <v>2138.2222242386702</v>
      </c>
      <c r="O142" s="302">
        <f>O38*(BOM_average!N10*BOM_average!N17)/1000000</f>
        <v>2783.8097538790339</v>
      </c>
      <c r="P142" s="302">
        <f>P38*(BOM_average!O10*BOM_average!O17)/1000000</f>
        <v>3594.0661160977288</v>
      </c>
      <c r="Q142" s="302">
        <f>Q38*(BOM_average!P10*BOM_average!P17)/1000000</f>
        <v>3528.3238320175983</v>
      </c>
      <c r="R142" s="302">
        <f>R38*(BOM_average!Q10*BOM_average!Q17)/1000000</f>
        <v>3254.4023456980744</v>
      </c>
      <c r="S142" s="302">
        <f>S38*(BOM_average!R10*BOM_average!R17)/1000000</f>
        <v>3009.992597830008</v>
      </c>
      <c r="T142" s="302">
        <f>T38*(BOM_average!S10*BOM_average!S17)/1000000</f>
        <v>2846.170288728184</v>
      </c>
      <c r="U142" s="302">
        <f>U38*(BOM_average!T10*BOM_average!T17)/1000000</f>
        <v>2700.2015017209787</v>
      </c>
      <c r="V142" s="302">
        <f>V38*(BOM_average!U10*BOM_average!U17)/1000000</f>
        <v>2588.6652097046272</v>
      </c>
      <c r="W142" s="302">
        <f>W38*(BOM_average!V10*BOM_average!V17)/1000000</f>
        <v>2518.7423817087129</v>
      </c>
      <c r="X142" s="302">
        <f>X38*(BOM_average!W10*BOM_average!W17)/1000000</f>
        <v>2490.4269664610774</v>
      </c>
      <c r="Y142" s="302">
        <f>Y38*(BOM_average!X10*BOM_average!X17)/1000000</f>
        <v>2498.8556321688402</v>
      </c>
      <c r="Z142" s="302">
        <f>Z38*(BOM_average!Y10*BOM_average!Y17)/1000000</f>
        <v>2536.4642886338838</v>
      </c>
      <c r="AA142" s="302">
        <f>AA38*(BOM_average!Z10*BOM_average!Z17)/1000000</f>
        <v>2594.752411291563</v>
      </c>
      <c r="AB142" s="302">
        <f>AB38*(BOM_average!AA10*BOM_average!AA17)/1000000</f>
        <v>2665.5568340000677</v>
      </c>
    </row>
    <row r="143" spans="1:28">
      <c r="B143" s="294" t="s">
        <v>6912</v>
      </c>
      <c r="C143" s="302">
        <f>C38*(BOM_average!B11*BOM_average!B17)/1000000</f>
        <v>2119.2869079587203</v>
      </c>
      <c r="D143" s="302">
        <f>D38*(BOM_average!C11*BOM_average!C17)/1000000</f>
        <v>3294.7056938391952</v>
      </c>
      <c r="E143" s="302">
        <f>E38*(BOM_average!D11*BOM_average!D17)/1000000</f>
        <v>3150.1624243951655</v>
      </c>
      <c r="F143" s="302">
        <f>F38*(BOM_average!E11*BOM_average!E17)/1000000</f>
        <v>1763.9530763832029</v>
      </c>
      <c r="G143" s="302">
        <f>G38*(BOM_average!F11*BOM_average!F17)/1000000</f>
        <v>1656.2865635739804</v>
      </c>
      <c r="H143" s="302">
        <f>H38*(BOM_average!G11*BOM_average!G17)/1000000</f>
        <v>1977.4351525945308</v>
      </c>
      <c r="I143" s="302">
        <f>I38*(BOM_average!H11*BOM_average!H17)/1000000</f>
        <v>1918.2199792066365</v>
      </c>
      <c r="J143" s="302">
        <f>J38*(BOM_average!I11*BOM_average!I17)/1000000</f>
        <v>1825.0528055320513</v>
      </c>
      <c r="K143" s="302">
        <f>K38*(BOM_average!J11*BOM_average!J17)/1000000</f>
        <v>1751.0038407894863</v>
      </c>
      <c r="L143" s="302">
        <f>L38*(BOM_average!K11*BOM_average!K17)/1000000</f>
        <v>1870.8586116633596</v>
      </c>
      <c r="M143" s="302">
        <f>M38*(BOM_average!L11*BOM_average!L17)/1000000</f>
        <v>1704.4028313406131</v>
      </c>
      <c r="N143" s="302">
        <f>N38*(BOM_average!M11*BOM_average!M17)/1000000</f>
        <v>1902.9817954908501</v>
      </c>
      <c r="O143" s="302">
        <f>O38*(BOM_average!N11*BOM_average!N17)/1000000</f>
        <v>2477.5438322964278</v>
      </c>
      <c r="P143" s="302">
        <f>P38*(BOM_average!O11*BOM_average!O17)/1000000</f>
        <v>3198.6583588895755</v>
      </c>
      <c r="Q143" s="302">
        <f>Q38*(BOM_average!P11*BOM_average!P17)/1000000</f>
        <v>3140.1488324333059</v>
      </c>
      <c r="R143" s="302">
        <f>R38*(BOM_average!Q11*BOM_average!Q17)/1000000</f>
        <v>2896.363319425905</v>
      </c>
      <c r="S143" s="302">
        <f>S38*(BOM_average!R11*BOM_average!R17)/1000000</f>
        <v>2678.8427569880869</v>
      </c>
      <c r="T143" s="302">
        <f>T38*(BOM_average!S11*BOM_average!S17)/1000000</f>
        <v>2533.0436588484872</v>
      </c>
      <c r="U143" s="302">
        <f>U38*(BOM_average!T11*BOM_average!T17)/1000000</f>
        <v>2403.1338949166784</v>
      </c>
      <c r="V143" s="302">
        <f>V38*(BOM_average!U11*BOM_average!U17)/1000000</f>
        <v>2303.8684720632409</v>
      </c>
      <c r="W143" s="302">
        <f>W38*(BOM_average!V11*BOM_average!V17)/1000000</f>
        <v>2241.6383318761796</v>
      </c>
      <c r="X143" s="302">
        <f>X38*(BOM_average!W11*BOM_average!W17)/1000000</f>
        <v>2216.4380888251094</v>
      </c>
      <c r="Y143" s="302">
        <f>Y38*(BOM_average!X11*BOM_average!X17)/1000000</f>
        <v>2223.9394594592409</v>
      </c>
      <c r="Z143" s="302">
        <f>Z38*(BOM_average!Y11*BOM_average!Y17)/1000000</f>
        <v>2257.4105307981094</v>
      </c>
      <c r="AA143" s="302">
        <f>AA38*(BOM_average!Z11*BOM_average!Z17)/1000000</f>
        <v>2309.28597903427</v>
      </c>
      <c r="AB143" s="302">
        <f>AB38*(BOM_average!AA11*BOM_average!AA17)/1000000</f>
        <v>2372.3007236792046</v>
      </c>
    </row>
    <row r="144" spans="1:28">
      <c r="B144" s="294" t="s">
        <v>443</v>
      </c>
      <c r="C144" s="302">
        <f>C38*(BOM_average!B12*BOM_average!B17)/1000000</f>
        <v>1401.9097686808434</v>
      </c>
      <c r="D144" s="302">
        <f>D38*(BOM_average!C12*BOM_average!C17)/1000000</f>
        <v>2179.4501158743205</v>
      </c>
      <c r="E144" s="302">
        <f>E38*(BOM_average!D12*BOM_average!D17)/1000000</f>
        <v>2083.8346422592681</v>
      </c>
      <c r="F144" s="302">
        <f>F38*(BOM_average!E12*BOM_average!E17)/1000000</f>
        <v>1166.8561911035054</v>
      </c>
      <c r="G144" s="302">
        <f>G38*(BOM_average!F12*BOM_average!F17)/1000000</f>
        <v>1095.6347177389418</v>
      </c>
      <c r="H144" s="302">
        <f>H38*(BOM_average!G12*BOM_average!G17)/1000000</f>
        <v>1308.074733508033</v>
      </c>
      <c r="I144" s="302">
        <f>I38*(BOM_average!H12*BOM_average!H17)/1000000</f>
        <v>1268.9038549852296</v>
      </c>
      <c r="J144" s="302">
        <f>J38*(BOM_average!I12*BOM_average!I17)/1000000</f>
        <v>1207.2737045774256</v>
      </c>
      <c r="K144" s="302">
        <f>K38*(BOM_average!J12*BOM_average!J17)/1000000</f>
        <v>1158.2902627208937</v>
      </c>
      <c r="L144" s="302">
        <f>L38*(BOM_average!K12*BOM_average!K17)/1000000</f>
        <v>1237.5742773015002</v>
      </c>
      <c r="M144" s="302">
        <f>M38*(BOM_average!L12*BOM_average!L17)/1000000</f>
        <v>1127.4636624472719</v>
      </c>
      <c r="N144" s="302">
        <f>N38*(BOM_average!M12*BOM_average!M17)/1000000</f>
        <v>1258.8237858223949</v>
      </c>
      <c r="O144" s="302">
        <f>O38*(BOM_average!N12*BOM_average!N17)/1000000</f>
        <v>1638.896974160418</v>
      </c>
      <c r="P144" s="302">
        <f>P38*(BOM_average!O12*BOM_average!O17)/1000000</f>
        <v>2115.9147367729952</v>
      </c>
      <c r="Q144" s="302">
        <f>Q38*(BOM_average!P12*BOM_average!P17)/1000000</f>
        <v>2077.2106441879373</v>
      </c>
      <c r="R144" s="302">
        <f>R38*(BOM_average!Q12*BOM_average!Q17)/1000000</f>
        <v>1915.9463571938131</v>
      </c>
      <c r="S144" s="302">
        <f>S38*(BOM_average!R12*BOM_average!R17)/1000000</f>
        <v>1772.0563533319721</v>
      </c>
      <c r="T144" s="302">
        <f>T38*(BOM_average!S12*BOM_average!S17)/1000000</f>
        <v>1675.6101481583485</v>
      </c>
      <c r="U144" s="302">
        <f>U38*(BOM_average!T12*BOM_average!T17)/1000000</f>
        <v>1589.674748652463</v>
      </c>
      <c r="V144" s="302">
        <f>V38*(BOM_average!U12*BOM_average!U17)/1000000</f>
        <v>1524.0106021568349</v>
      </c>
      <c r="W144" s="302">
        <f>W38*(BOM_average!V12*BOM_average!V17)/1000000</f>
        <v>1482.8453209922145</v>
      </c>
      <c r="X144" s="302">
        <f>X38*(BOM_average!W12*BOM_average!W17)/1000000</f>
        <v>1466.1753426264936</v>
      </c>
      <c r="Y144" s="302">
        <f>Y38*(BOM_average!X12*BOM_average!X17)/1000000</f>
        <v>1471.1375045362342</v>
      </c>
      <c r="Z144" s="302">
        <f>Z38*(BOM_average!Y12*BOM_average!Y17)/1000000</f>
        <v>1493.2786415866065</v>
      </c>
      <c r="AA144" s="302">
        <f>AA38*(BOM_average!Z12*BOM_average!Z17)/1000000</f>
        <v>1527.5942867990889</v>
      </c>
      <c r="AB144" s="302">
        <f>AB38*(BOM_average!AA12*BOM_average!AA17)/1000000</f>
        <v>1569.2785843601737</v>
      </c>
    </row>
    <row r="145" spans="2:28">
      <c r="B145" s="294" t="s">
        <v>445</v>
      </c>
      <c r="C145" s="302">
        <f>C38*(BOM_average!B13*BOM_average!B17)/1000000</f>
        <v>0</v>
      </c>
      <c r="D145" s="302">
        <f>D38*(BOM_average!C13*BOM_average!C17)/1000000</f>
        <v>0</v>
      </c>
      <c r="E145" s="302">
        <f>E38*(BOM_average!D13*BOM_average!D17)/1000000</f>
        <v>0</v>
      </c>
      <c r="F145" s="302">
        <f>F38*(BOM_average!E13*BOM_average!E17)/1000000</f>
        <v>0</v>
      </c>
      <c r="G145" s="302">
        <f>G38*(BOM_average!F13*BOM_average!F17)/1000000</f>
        <v>0</v>
      </c>
      <c r="H145" s="302">
        <f>H38*(BOM_average!G13*BOM_average!G17)/1000000</f>
        <v>0</v>
      </c>
      <c r="I145" s="302">
        <f>I38*(BOM_average!H13*BOM_average!H17)/1000000</f>
        <v>0</v>
      </c>
      <c r="J145" s="302">
        <f>J38*(BOM_average!I13*BOM_average!I17)/1000000</f>
        <v>0</v>
      </c>
      <c r="K145" s="302">
        <f>K38*(BOM_average!J13*BOM_average!J17)/1000000</f>
        <v>0</v>
      </c>
      <c r="L145" s="302">
        <f>L38*(BOM_average!K13*BOM_average!K17)/1000000</f>
        <v>0</v>
      </c>
      <c r="M145" s="302">
        <f>M38*(BOM_average!L13*BOM_average!L17)/1000000</f>
        <v>0</v>
      </c>
      <c r="N145" s="302">
        <f>N38*(BOM_average!M13*BOM_average!M17)/1000000</f>
        <v>0</v>
      </c>
      <c r="O145" s="302">
        <f>O38*(BOM_average!N13*BOM_average!N17)/1000000</f>
        <v>0</v>
      </c>
      <c r="P145" s="302">
        <f>P38*(BOM_average!O13*BOM_average!O17)/1000000</f>
        <v>0</v>
      </c>
      <c r="Q145" s="302">
        <f>Q38*(BOM_average!P13*BOM_average!P17)/1000000</f>
        <v>0</v>
      </c>
      <c r="R145" s="302">
        <f>R38*(BOM_average!Q13*BOM_average!Q17)/1000000</f>
        <v>0</v>
      </c>
      <c r="S145" s="302">
        <f>S38*(BOM_average!R13*BOM_average!R17)/1000000</f>
        <v>0</v>
      </c>
      <c r="T145" s="302">
        <f>T38*(BOM_average!S13*BOM_average!S17)/1000000</f>
        <v>0</v>
      </c>
      <c r="U145" s="302">
        <f>U38*(BOM_average!T13*BOM_average!T17)/1000000</f>
        <v>0</v>
      </c>
      <c r="V145" s="302">
        <f>V38*(BOM_average!U13*BOM_average!U17)/1000000</f>
        <v>0</v>
      </c>
      <c r="W145" s="302">
        <f>W38*(BOM_average!V13*BOM_average!V17)/1000000</f>
        <v>0</v>
      </c>
      <c r="X145" s="302">
        <f>X38*(BOM_average!W13*BOM_average!W17)/1000000</f>
        <v>0</v>
      </c>
      <c r="Y145" s="302">
        <f>Y38*(BOM_average!X13*BOM_average!X17)/1000000</f>
        <v>0</v>
      </c>
      <c r="Z145" s="302">
        <f>Z38*(BOM_average!Y13*BOM_average!Y17)/1000000</f>
        <v>0</v>
      </c>
      <c r="AA145" s="302">
        <f>AA38*(BOM_average!Z13*BOM_average!Z17)/1000000</f>
        <v>0</v>
      </c>
      <c r="AB145" s="302">
        <f>AB38*(BOM_average!AA13*BOM_average!AA17)/1000000</f>
        <v>0</v>
      </c>
    </row>
    <row r="146" spans="2:28">
      <c r="B146" s="294" t="s">
        <v>6915</v>
      </c>
      <c r="C146" s="302">
        <f>C38*(BOM_average!B14*BOM_average!B17)/1000000</f>
        <v>992.18515592390816</v>
      </c>
      <c r="D146" s="302">
        <f>D38*(BOM_average!C14*BOM_average!C17)/1000000</f>
        <v>1542.4801947716758</v>
      </c>
      <c r="E146" s="302">
        <f>E38*(BOM_average!D14*BOM_average!D17)/1000000</f>
        <v>1474.8094675131326</v>
      </c>
      <c r="F146" s="302">
        <f>F38*(BOM_average!E14*BOM_average!E17)/1000000</f>
        <v>825.82875002020035</v>
      </c>
      <c r="G146" s="302">
        <f>G38*(BOM_average!F14*BOM_average!F17)/1000000</f>
        <v>775.4225896281207</v>
      </c>
      <c r="H146" s="302">
        <f>H38*(BOM_average!G14*BOM_average!G17)/1000000</f>
        <v>925.77451303947612</v>
      </c>
      <c r="I146" s="302">
        <f>I38*(BOM_average!H14*BOM_average!H17)/1000000</f>
        <v>898.05178431393563</v>
      </c>
      <c r="J146" s="302">
        <f>J38*(BOM_average!I14*BOM_average!I17)/1000000</f>
        <v>854.43376997516702</v>
      </c>
      <c r="K146" s="302">
        <f>K38*(BOM_average!J14*BOM_average!J17)/1000000</f>
        <v>819.76631492073454</v>
      </c>
      <c r="L146" s="302">
        <f>L38*(BOM_average!K14*BOM_average!K17)/1000000</f>
        <v>875.87864406368169</v>
      </c>
      <c r="M146" s="302">
        <f>M38*(BOM_average!L14*BOM_average!L17)/1000000</f>
        <v>797.94915101876131</v>
      </c>
      <c r="N146" s="302">
        <f>N38*(BOM_average!M14*BOM_average!M17)/1000000</f>
        <v>890.91773387967567</v>
      </c>
      <c r="O146" s="302">
        <f>O38*(BOM_average!N14*BOM_average!N17)/1000000</f>
        <v>1159.9100642409237</v>
      </c>
      <c r="P146" s="302">
        <f>P38*(BOM_average!O14*BOM_average!O17)/1000000</f>
        <v>1497.5137772256658</v>
      </c>
      <c r="Q146" s="302">
        <f>Q38*(BOM_average!P14*BOM_average!P17)/1000000</f>
        <v>1470.1214107593605</v>
      </c>
      <c r="R146" s="302">
        <f>R38*(BOM_average!Q14*BOM_average!Q17)/1000000</f>
        <v>1355.9885076932935</v>
      </c>
      <c r="S146" s="302">
        <f>S38*(BOM_average!R14*BOM_average!R17)/1000000</f>
        <v>1254.152049237133</v>
      </c>
      <c r="T146" s="302">
        <f>T38*(BOM_average!S14*BOM_average!S17)/1000000</f>
        <v>1185.8933814852812</v>
      </c>
      <c r="U146" s="302">
        <f>U38*(BOM_average!T14*BOM_average!T17)/1000000</f>
        <v>1125.0736128646795</v>
      </c>
      <c r="V146" s="302">
        <f>V38*(BOM_average!U14*BOM_average!U17)/1000000</f>
        <v>1078.6005852241915</v>
      </c>
      <c r="W146" s="302">
        <f>W38*(BOM_average!V14*BOM_average!V17)/1000000</f>
        <v>1049.46634147796</v>
      </c>
      <c r="X146" s="302">
        <f>X38*(BOM_average!W14*BOM_average!W17)/1000000</f>
        <v>1037.6683602857722</v>
      </c>
      <c r="Y146" s="302">
        <f>Y38*(BOM_average!X14*BOM_average!X17)/1000000</f>
        <v>1041.1802720351056</v>
      </c>
      <c r="Z146" s="302">
        <f>Z38*(BOM_average!Y14*BOM_average!Y17)/1000000</f>
        <v>1056.8504014595746</v>
      </c>
      <c r="AA146" s="302">
        <f>AA38*(BOM_average!Z14*BOM_average!Z17)/1000000</f>
        <v>1081.1368958948151</v>
      </c>
      <c r="AB146" s="302">
        <f>AB38*(BOM_average!AA14*BOM_average!AA17)/1000000</f>
        <v>1110.6384673933437</v>
      </c>
    </row>
    <row r="147" spans="2:28" ht="17" thickBot="1">
      <c r="B147" s="297" t="s">
        <v>447</v>
      </c>
      <c r="C147" s="302">
        <f>C38*(BOM_average!B15*BOM_average!$B$17)/1000000</f>
        <v>422.9293930185446</v>
      </c>
      <c r="D147" s="302">
        <f>D38*(BOM_average!C15*BOM_average!$B$17)/1000000</f>
        <v>657.49846046672928</v>
      </c>
      <c r="E147" s="302">
        <f>E38*(BOM_average!D15*BOM_average!$B$17)/1000000</f>
        <v>628.65309885886609</v>
      </c>
      <c r="F147" s="302">
        <f>F38*(BOM_average!E15*BOM_average!$B$17)/1000000</f>
        <v>352.01821948049025</v>
      </c>
      <c r="G147" s="302">
        <f>G38*(BOM_average!F15*BOM_average!$B$17)/1000000</f>
        <v>330.53206168853416</v>
      </c>
      <c r="H147" s="302">
        <f>H38*(BOM_average!G15*BOM_average!$B$17)/1000000</f>
        <v>394.62115567253238</v>
      </c>
      <c r="I147" s="302">
        <f>I38*(BOM_average!H15*BOM_average!$B$17)/1000000</f>
        <v>382.80405000157248</v>
      </c>
      <c r="J147" s="302">
        <f>J38*(BOM_average!I15*BOM_average!$B$17)/1000000</f>
        <v>364.21141109861321</v>
      </c>
      <c r="K147" s="302">
        <f>K38*(BOM_average!J15*BOM_average!$B$17)/1000000</f>
        <v>349.43404254383387</v>
      </c>
      <c r="L147" s="302">
        <f>L38*(BOM_average!K15*BOM_average!$B$17)/1000000</f>
        <v>373.35251498175802</v>
      </c>
      <c r="M147" s="302">
        <f>M38*(BOM_average!L15*BOM_average!$B$17)/1000000</f>
        <v>340.13424619901207</v>
      </c>
      <c r="N147" s="302">
        <f>N38*(BOM_average!M15*BOM_average!$B$17)/1000000</f>
        <v>379.76308571994537</v>
      </c>
      <c r="O147" s="302">
        <f>O38*(BOM_average!N15*BOM_average!$B$17)/1000000</f>
        <v>494.42390515176851</v>
      </c>
      <c r="P147" s="302">
        <f>P38*(BOM_average!O15*BOM_average!$B$17)/1000000</f>
        <v>638.33105046728872</v>
      </c>
      <c r="Q147" s="302">
        <f>Q38*(BOM_average!P15*BOM_average!$B$17)/1000000</f>
        <v>626.65476519556614</v>
      </c>
      <c r="R147" s="302">
        <f>R38*(BOM_average!Q15*BOM_average!$B$17)/1000000</f>
        <v>578.00441084489296</v>
      </c>
      <c r="S147" s="302">
        <f>S38*(BOM_average!R15*BOM_average!$B$17)/1000000</f>
        <v>534.59554577079655</v>
      </c>
      <c r="T147" s="302">
        <f>T38*(BOM_average!S15*BOM_average!$B$17)/1000000</f>
        <v>505.49956832325745</v>
      </c>
      <c r="U147" s="302">
        <f>U38*(BOM_average!T15*BOM_average!$B$17)/1000000</f>
        <v>479.57450013143688</v>
      </c>
      <c r="V147" s="302">
        <f>V38*(BOM_average!U15*BOM_average!$B$17)/1000000</f>
        <v>459.76488168030869</v>
      </c>
      <c r="W147" s="302">
        <f>W38*(BOM_average!V15*BOM_average!$B$17)/1000000</f>
        <v>447.34610283638</v>
      </c>
      <c r="X147" s="302">
        <f>X38*(BOM_average!W15*BOM_average!$B$17)/1000000</f>
        <v>442.31708885177767</v>
      </c>
      <c r="Y147" s="302">
        <f>Y38*(BOM_average!X15*BOM_average!$B$17)/1000000</f>
        <v>443.81407829534299</v>
      </c>
      <c r="Z147" s="302">
        <f>Z38*(BOM_average!Y15*BOM_average!$B$17)/1000000</f>
        <v>450.49363632586142</v>
      </c>
      <c r="AA147" s="302">
        <f>AA38*(BOM_average!Z15*BOM_average!$B$17)/1000000</f>
        <v>460.84601086877609</v>
      </c>
      <c r="AB147" s="302">
        <f>AB38*(BOM_average!AA15*BOM_average!$B$17)/1000000</f>
        <v>473.42136704344836</v>
      </c>
    </row>
    <row r="148" spans="2:28">
      <c r="B148" s="296" t="s">
        <v>7797</v>
      </c>
      <c r="C148" s="304">
        <f>C38*(BOM_average!B17)/1000000</f>
        <v>17040.143282731038</v>
      </c>
      <c r="D148" s="304">
        <f>D38*(BOM_average!C17)/1000000</f>
        <v>26491.107403445159</v>
      </c>
      <c r="E148" s="304">
        <f>E38*(BOM_average!D17)/1000000</f>
        <v>25328.906092885922</v>
      </c>
      <c r="F148" s="304">
        <f>F38*(BOM_average!E17)/1000000</f>
        <v>14183.078776500162</v>
      </c>
      <c r="G148" s="304">
        <f>G38*(BOM_average!F17)/1000000</f>
        <v>13317.385321720003</v>
      </c>
      <c r="H148" s="304">
        <f>H38*(BOM_average!G17)/1000000</f>
        <v>15899.583112593004</v>
      </c>
      <c r="I148" s="304">
        <f>I38*(BOM_average!H17)/1000000</f>
        <v>15423.463038783189</v>
      </c>
      <c r="J148" s="304">
        <f>J38*(BOM_average!I17)/1000000</f>
        <v>14674.351635933463</v>
      </c>
      <c r="K148" s="304">
        <f>K38*(BOM_average!J17)/1000000</f>
        <v>14078.960344451098</v>
      </c>
      <c r="L148" s="304">
        <f>L38*(BOM_average!K17)/1000000</f>
        <v>15042.6535853898</v>
      </c>
      <c r="M148" s="304">
        <f>M38*(BOM_average!L17)/1000000</f>
        <v>13704.26455637889</v>
      </c>
      <c r="N148" s="304">
        <f>N38*(BOM_average!M17)/1000000</f>
        <v>15300.94030110645</v>
      </c>
      <c r="O148" s="304">
        <f>O38*(BOM_average!N17)/1000000</f>
        <v>19920.710939625173</v>
      </c>
      <c r="P148" s="304">
        <f>P38*(BOM_average!O17)/1000000</f>
        <v>25718.838040896982</v>
      </c>
      <c r="Q148" s="304">
        <f>Q38*(BOM_average!P17)/1000000</f>
        <v>25248.391726867754</v>
      </c>
      <c r="R148" s="304">
        <f>R38*(BOM_average!Q17)/1000000</f>
        <v>23288.232365575128</v>
      </c>
      <c r="S148" s="304">
        <f>S38*(BOM_average!R17)/1000000</f>
        <v>21539.256548775116</v>
      </c>
      <c r="T148" s="304">
        <f>T38*(BOM_average!S17)/1000000</f>
        <v>20366.957737575114</v>
      </c>
      <c r="U148" s="304">
        <f>U38*(BOM_average!T17)/1000000</f>
        <v>19322.417244775115</v>
      </c>
      <c r="V148" s="304">
        <f>V38*(BOM_average!U17)/1000000</f>
        <v>18524.272820775117</v>
      </c>
      <c r="W148" s="304">
        <f>W38*(BOM_average!V17)/1000000</f>
        <v>18023.910882375116</v>
      </c>
      <c r="X148" s="304">
        <f>X38*(BOM_average!W17)/1000000</f>
        <v>17821.288127175114</v>
      </c>
      <c r="Y148" s="304">
        <f>Y38*(BOM_average!X17)/1000000</f>
        <v>17881.602957575116</v>
      </c>
      <c r="Z148" s="304">
        <f>Z38*(BOM_average!Y17)/1000000</f>
        <v>18150.727373575115</v>
      </c>
      <c r="AA148" s="304">
        <f>AA38*(BOM_average!Z17)/1000000</f>
        <v>18567.832328775115</v>
      </c>
      <c r="AB148" s="304">
        <f>AB38*(BOM_average!AA17)/1000000</f>
        <v>19074.502885575115</v>
      </c>
    </row>
    <row r="149" spans="2:28">
      <c r="B149" s="295" t="s">
        <v>7798</v>
      </c>
      <c r="C149" s="302">
        <f>C38*(BOM_average!B18)/1000000</f>
        <v>23619.084206513795</v>
      </c>
      <c r="D149" s="302">
        <f>D38*(BOM_average!C18)/1000000</f>
        <v>36718.922259290506</v>
      </c>
      <c r="E149" s="302">
        <f>E38*(BOM_average!D18)/1000000</f>
        <v>35108.012646409603</v>
      </c>
      <c r="F149" s="302">
        <f>F38*(BOM_average!E18)/1000000</f>
        <v>19658.950419112127</v>
      </c>
      <c r="G149" s="302">
        <f>G38*(BOM_average!F18)/1000000</f>
        <v>18459.025848865003</v>
      </c>
      <c r="H149" s="302">
        <f>H38*(BOM_average!G18)/1000000</f>
        <v>22038.171050203269</v>
      </c>
      <c r="I149" s="302">
        <f>I38*(BOM_average!H18)/1000000</f>
        <v>21378.228235806742</v>
      </c>
      <c r="J149" s="302">
        <f>J38*(BOM_average!I18)/1000000</f>
        <v>20339.89627988368</v>
      </c>
      <c r="K149" s="302">
        <f>K38*(BOM_average!J18)/1000000</f>
        <v>19514.633439306603</v>
      </c>
      <c r="L149" s="302">
        <f>L38*(BOM_average!K18)/1000000</f>
        <v>20850.394027073882</v>
      </c>
      <c r="M149" s="302">
        <f>M38*(BOM_average!L18)/1000000</f>
        <v>18995.273289367473</v>
      </c>
      <c r="N149" s="302">
        <f>N38*(BOM_average!M18)/1000000</f>
        <v>21208.40132705462</v>
      </c>
      <c r="O149" s="302">
        <f>O38*(BOM_average!N18)/1000000</f>
        <v>27611.795354646725</v>
      </c>
      <c r="P149" s="302">
        <f>P38*(BOM_average!O18)/1000000</f>
        <v>35648.491406598005</v>
      </c>
      <c r="Q149" s="302">
        <f>Q38*(BOM_average!P18)/1000000</f>
        <v>34996.412904596138</v>
      </c>
      <c r="R149" s="302">
        <f>R38*(BOM_average!Q18)/1000000</f>
        <v>32279.465737873914</v>
      </c>
      <c r="S149" s="302">
        <f>S38*(BOM_average!R18)/1000000</f>
        <v>29855.2368797739</v>
      </c>
      <c r="T149" s="302">
        <f>T38*(BOM_average!S18)/1000000</f>
        <v>28230.331274373897</v>
      </c>
      <c r="U149" s="302">
        <f>U38*(BOM_average!T18)/1000000</f>
        <v>26782.509536773898</v>
      </c>
      <c r="V149" s="302">
        <f>V38*(BOM_average!U18)/1000000</f>
        <v>25676.213653773899</v>
      </c>
      <c r="W149" s="302">
        <f>W38*(BOM_average!V18)/1000000</f>
        <v>24982.669558473895</v>
      </c>
      <c r="X149" s="302">
        <f>X38*(BOM_average!W18)/1000000</f>
        <v>24701.817230073899</v>
      </c>
      <c r="Y149" s="302">
        <f>Y38*(BOM_average!X18)/1000000</f>
        <v>24785.418701873896</v>
      </c>
      <c r="Z149" s="302">
        <f>Z38*(BOM_average!Y18)/1000000</f>
        <v>25158.447973873899</v>
      </c>
      <c r="AA149" s="302">
        <f>AA38*(BOM_average!Z18)/1000000</f>
        <v>25736.5908272739</v>
      </c>
      <c r="AB149" s="302">
        <f>AB38*(BOM_average!AA18)/1000000</f>
        <v>26438.879202873897</v>
      </c>
    </row>
    <row r="150" spans="2:28">
      <c r="B150" s="295" t="s">
        <v>7799</v>
      </c>
      <c r="C150" s="302">
        <f>C38*(BOM_average!B19)/1000000</f>
        <v>10986.308754817243</v>
      </c>
      <c r="D150" s="302">
        <f>D38*(BOM_average!C19)/1000000</f>
        <v>17079.638378758296</v>
      </c>
      <c r="E150" s="302">
        <f>E38*(BOM_average!D19)/1000000</f>
        <v>16330.331156324502</v>
      </c>
      <c r="F150" s="302">
        <f>F38*(BOM_average!E19)/1000000</f>
        <v>9144.2706758480381</v>
      </c>
      <c r="G150" s="302">
        <f>G38*(BOM_average!F19)/1000000</f>
        <v>8586.1312621449997</v>
      </c>
      <c r="H150" s="302">
        <f>H38*(BOM_average!G19)/1000000</f>
        <v>10250.954246661073</v>
      </c>
      <c r="I150" s="302">
        <f>I38*(BOM_average!H19)/1000000</f>
        <v>9943.9848715536446</v>
      </c>
      <c r="J150" s="302">
        <f>J38*(BOM_average!I19)/1000000</f>
        <v>9461.0095217042181</v>
      </c>
      <c r="K150" s="302">
        <f>K38*(BOM_average!J19)/1000000</f>
        <v>9077.1422942036334</v>
      </c>
      <c r="L150" s="302">
        <f>L38*(BOM_average!K19)/1000000</f>
        <v>9698.4652088186012</v>
      </c>
      <c r="M150" s="302">
        <f>M38*(BOM_average!L19)/1000000</f>
        <v>8835.5643010735766</v>
      </c>
      <c r="N150" s="302">
        <f>N38*(BOM_average!M19)/1000000</f>
        <v>9864.9906633907176</v>
      </c>
      <c r="O150" s="302">
        <f>O38*(BOM_average!N19)/1000000</f>
        <v>12843.500043804299</v>
      </c>
      <c r="P150" s="302">
        <f>P38*(BOM_average!O19)/1000000</f>
        <v>16581.732374209703</v>
      </c>
      <c r="Q150" s="302">
        <f>Q38*(BOM_average!P19)/1000000</f>
        <v>16278.421047964654</v>
      </c>
      <c r="R150" s="302">
        <f>R38*(BOM_average!Q19)/1000000</f>
        <v>15014.645527154904</v>
      </c>
      <c r="S150" s="302">
        <f>S38*(BOM_average!R19)/1000000</f>
        <v>13887.026585854897</v>
      </c>
      <c r="T150" s="302">
        <f>T38*(BOM_average!S19)/1000000</f>
        <v>13131.209191654898</v>
      </c>
      <c r="U150" s="302">
        <f>U38*(BOM_average!T19)/1000000</f>
        <v>12457.761546854896</v>
      </c>
      <c r="V150" s="302">
        <f>V38*(BOM_average!U19)/1000000</f>
        <v>11943.173087854897</v>
      </c>
      <c r="W150" s="302">
        <f>W38*(BOM_average!V19)/1000000</f>
        <v>11620.574230954897</v>
      </c>
      <c r="X150" s="302">
        <f>X38*(BOM_average!W19)/1000000</f>
        <v>11489.937057754896</v>
      </c>
      <c r="Y150" s="302">
        <f>Y38*(BOM_average!X19)/1000000</f>
        <v>11528.823899154897</v>
      </c>
      <c r="Z150" s="302">
        <f>Z38*(BOM_average!Y19)/1000000</f>
        <v>11702.336755154898</v>
      </c>
      <c r="AA150" s="302">
        <f>AA38*(BOM_average!Z19)/1000000</f>
        <v>11971.257253354897</v>
      </c>
      <c r="AB150" s="302">
        <f>AB38*(BOM_average!AA19)/1000000</f>
        <v>12297.923472154898</v>
      </c>
    </row>
    <row r="152" spans="2:28">
      <c r="B152" s="291" t="s">
        <v>7795</v>
      </c>
    </row>
    <row r="153" spans="2:28">
      <c r="B153" s="294" t="s">
        <v>437</v>
      </c>
      <c r="C153" s="299">
        <f>C$5*(BOM_average!B6*BOM_average!B17)/1000000</f>
        <v>2628.9155075792037</v>
      </c>
      <c r="D153" s="299">
        <f>D$5*(BOM_average!C6*BOM_average!C17)/1000000</f>
        <v>6572.6452124814787</v>
      </c>
      <c r="E153" s="299">
        <f>E$5*(BOM_average!D6*BOM_average!D17)/1000000</f>
        <v>9990.1821795360756</v>
      </c>
      <c r="F153" s="299">
        <f>F$5*(BOM_average!E6*BOM_average!E17)/1000000</f>
        <v>11230.895802559007</v>
      </c>
      <c r="G153" s="299">
        <f>G$5*(BOM_average!F6*BOM_average!F17)/1000000</f>
        <v>11944.599162575822</v>
      </c>
      <c r="H153" s="299">
        <f>H$5*(BOM_average!G6*BOM_average!G17)/1000000</f>
        <v>12766.939055061532</v>
      </c>
      <c r="I153" s="299">
        <f>I$5*(BOM_average!H6*BOM_average!H17)/1000000</f>
        <v>13287.998262822406</v>
      </c>
      <c r="J153" s="299">
        <f>J$5*(BOM_average!I6*BOM_average!I17)/1000000</f>
        <v>13518.811963667158</v>
      </c>
      <c r="K153" s="299">
        <f>K$5*(BOM_average!J6*BOM_average!J17)/1000000</f>
        <v>13538.161838835651</v>
      </c>
      <c r="L153" s="299">
        <f>L$5*(BOM_average!K6*BOM_average!K17)/1000000</f>
        <v>13635.924977798417</v>
      </c>
      <c r="M153" s="299">
        <f>M$5*(BOM_average!L6*BOM_average!L17)/1000000</f>
        <v>13484.947137188285</v>
      </c>
      <c r="N153" s="299">
        <f>N$5*(BOM_average!M6*BOM_average!M17)/1000000</f>
        <v>13565.813176448946</v>
      </c>
      <c r="O153" s="299">
        <f>O$5*(BOM_average!N6*BOM_average!N17)/1000000</f>
        <v>14352.592972160146</v>
      </c>
      <c r="P153" s="299">
        <f>P$5*(BOM_average!O6*BOM_average!O17)/1000000</f>
        <v>15987.582126154717</v>
      </c>
      <c r="Q153" s="299">
        <f>Q$5*(BOM_average!P6*BOM_average!P17)/1000000</f>
        <v>17421.161540139528</v>
      </c>
      <c r="R153" s="299">
        <f>R$5*(BOM_average!Q6*BOM_average!Q17)/1000000</f>
        <v>18470.864943321969</v>
      </c>
      <c r="S153" s="299">
        <f>S$5*(BOM_average!R6*BOM_average!R17)/1000000</f>
        <v>19239.093449108168</v>
      </c>
      <c r="T153" s="299">
        <f>T$5*(BOM_average!S6*BOM_average!S17)/1000000</f>
        <v>19850.680715828541</v>
      </c>
      <c r="U153" s="299">
        <f>U$5*(BOM_average!T6*BOM_average!T17)/1000000</f>
        <v>20339.886938839853</v>
      </c>
      <c r="V153" s="299">
        <f>V$5*(BOM_average!U6*BOM_average!U17)/1000000</f>
        <v>20744.526391751671</v>
      </c>
      <c r="W153" s="299">
        <f>W$5*(BOM_average!V6*BOM_average!V17)/1000000</f>
        <v>21101.434640534397</v>
      </c>
      <c r="X153" s="299">
        <f>X$5*(BOM_average!W6*BOM_average!W17)/1000000</f>
        <v>21442.836385774783</v>
      </c>
      <c r="Y153" s="299">
        <f>Y$5*(BOM_average!X6*BOM_average!X17)/1000000</f>
        <v>21794.104539510659</v>
      </c>
      <c r="Z153" s="299">
        <f>Z$5*(BOM_average!Y6*BOM_average!Y17)/1000000</f>
        <v>22172.818678419368</v>
      </c>
      <c r="AA153" s="299">
        <f>AA$5*(BOM_average!Z6*BOM_average!Z17)/1000000</f>
        <v>22588.874021076223</v>
      </c>
      <c r="AB153" s="299">
        <f>AB$5*(BOM_average!AA6*BOM_average!AA17)/1000000</f>
        <v>23045.322765792775</v>
      </c>
    </row>
    <row r="154" spans="2:28">
      <c r="B154" s="294" t="s">
        <v>217</v>
      </c>
      <c r="C154" s="299">
        <f>C5*(BOM_average!B7*BOM_average!B17)/1000000</f>
        <v>304.54238345884499</v>
      </c>
      <c r="D154" s="299">
        <f>D5*(BOM_average!C7*BOM_average!C17)/1000000</f>
        <v>761.39725026068402</v>
      </c>
      <c r="E154" s="299">
        <f>E5*(BOM_average!D7*BOM_average!D17)/1000000</f>
        <v>1157.2961867251388</v>
      </c>
      <c r="F154" s="299">
        <f>F5*(BOM_average!E7*BOM_average!E17)/1000000</f>
        <v>1301.0246111860681</v>
      </c>
      <c r="G154" s="299">
        <f>G5*(BOM_average!F7*BOM_average!F17)/1000000</f>
        <v>1383.7024004552457</v>
      </c>
      <c r="H154" s="299">
        <f>H5*(BOM_average!G7*BOM_average!G17)/1000000</f>
        <v>1478.9650097513122</v>
      </c>
      <c r="I154" s="299">
        <f>I5*(BOM_average!H7*BOM_average!H17)/1000000</f>
        <v>1539.3262547579259</v>
      </c>
      <c r="J154" s="299">
        <f>J5*(BOM_average!I7*BOM_average!I17)/1000000</f>
        <v>1566.0644874578979</v>
      </c>
      <c r="K154" s="299">
        <f>K5*(BOM_average!J7*BOM_average!J17)/1000000</f>
        <v>1568.3060418503669</v>
      </c>
      <c r="L154" s="299">
        <f>L5*(BOM_average!K7*BOM_average!K17)/1000000</f>
        <v>1579.6312515302911</v>
      </c>
      <c r="M154" s="299">
        <f>M5*(BOM_average!L7*BOM_average!L17)/1000000</f>
        <v>1562.1414724573915</v>
      </c>
      <c r="N154" s="299">
        <f>N5*(BOM_average!M7*BOM_average!M17)/1000000</f>
        <v>1571.5092654755842</v>
      </c>
      <c r="O154" s="299">
        <f>O5*(BOM_average!N7*BOM_average!N17)/1000000</f>
        <v>1662.6524739782383</v>
      </c>
      <c r="P154" s="299">
        <f>P5*(BOM_average!O7*BOM_average!O17)/1000000</f>
        <v>1852.05509739894</v>
      </c>
      <c r="Q154" s="299">
        <f>Q5*(BOM_average!P7*BOM_average!P17)/1000000</f>
        <v>2018.125741492973</v>
      </c>
      <c r="R154" s="299">
        <f>R5*(BOM_average!Q7*BOM_average!Q17)/1000000</f>
        <v>2139.7269018986235</v>
      </c>
      <c r="S154" s="299">
        <f>S5*(BOM_average!R7*BOM_average!R17)/1000000</f>
        <v>2228.7210667999493</v>
      </c>
      <c r="T154" s="299">
        <f>T5*(BOM_average!S7*BOM_average!S17)/1000000</f>
        <v>2299.5693855698487</v>
      </c>
      <c r="U154" s="299">
        <f>U5*(BOM_average!T7*BOM_average!T17)/1000000</f>
        <v>2356.2406740647584</v>
      </c>
      <c r="V154" s="299">
        <f>V5*(BOM_average!U7*BOM_average!U17)/1000000</f>
        <v>2403.1154644777534</v>
      </c>
      <c r="W154" s="299">
        <f>W5*(BOM_average!V7*BOM_average!V17)/1000000</f>
        <v>2444.4609122287557</v>
      </c>
      <c r="X154" s="299">
        <f>X5*(BOM_average!W7*BOM_average!W17)/1000000</f>
        <v>2484.0100346378881</v>
      </c>
      <c r="Y154" s="299">
        <f>Y5*(BOM_average!X7*BOM_average!X17)/1000000</f>
        <v>2524.7021148753461</v>
      </c>
      <c r="Z154" s="299">
        <f>Z5*(BOM_average!Y7*BOM_average!Y17)/1000000</f>
        <v>2568.5736300230601</v>
      </c>
      <c r="AA154" s="299">
        <f>AA5*(BOM_average!Z7*BOM_average!Z17)/1000000</f>
        <v>2616.7708753655629</v>
      </c>
      <c r="AB154" s="299">
        <f>AB5*(BOM_average!AA7*BOM_average!AA17)/1000000</f>
        <v>2669.6474277849979</v>
      </c>
    </row>
    <row r="155" spans="2:28">
      <c r="B155" s="294" t="s">
        <v>313</v>
      </c>
      <c r="C155" s="299">
        <f>C5*(BOM_average!B8*BOM_average!B17)/1000000</f>
        <v>1967.7010593218165</v>
      </c>
      <c r="D155" s="299">
        <f>D5*(BOM_average!C8*BOM_average!C17)/1000000</f>
        <v>4919.5194405678803</v>
      </c>
      <c r="E155" s="299">
        <f>E5*(BOM_average!D8*BOM_average!D17)/1000000</f>
        <v>7477.4910037304899</v>
      </c>
      <c r="F155" s="299">
        <f>F5*(BOM_average!E8*BOM_average!E17)/1000000</f>
        <v>8406.145235218255</v>
      </c>
      <c r="G155" s="299">
        <f>G5*(BOM_average!F8*BOM_average!F17)/1000000</f>
        <v>8940.3407441639956</v>
      </c>
      <c r="H155" s="299">
        <f>H5*(BOM_average!G8*BOM_average!G17)/1000000</f>
        <v>9555.8489538807626</v>
      </c>
      <c r="I155" s="299">
        <f>I5*(BOM_average!H8*BOM_average!H17)/1000000</f>
        <v>9945.8534070952282</v>
      </c>
      <c r="J155" s="299">
        <f>J5*(BOM_average!I8*BOM_average!I17)/1000000</f>
        <v>10118.613757265794</v>
      </c>
      <c r="K155" s="299">
        <f>K5*(BOM_average!J8*BOM_average!J17)/1000000</f>
        <v>10133.096828234417</v>
      </c>
      <c r="L155" s="299">
        <f>L5*(BOM_average!K8*BOM_average!K17)/1000000</f>
        <v>10206.270968500645</v>
      </c>
      <c r="M155" s="299">
        <f>M5*(BOM_average!L8*BOM_average!L17)/1000000</f>
        <v>10093.266478228441</v>
      </c>
      <c r="N155" s="299">
        <f>N5*(BOM_average!M8*BOM_average!M17)/1000000</f>
        <v>10153.79341059185</v>
      </c>
      <c r="O155" s="299">
        <f>O5*(BOM_average!N8*BOM_average!N17)/1000000</f>
        <v>10742.685458666654</v>
      </c>
      <c r="P155" s="299">
        <f>P5*(BOM_average!O8*BOM_average!O17)/1000000</f>
        <v>11966.448596363414</v>
      </c>
      <c r="Q155" s="299">
        <f>Q5*(BOM_average!P8*BOM_average!P17)/1000000</f>
        <v>13039.459776596213</v>
      </c>
      <c r="R155" s="299">
        <f>R5*(BOM_average!Q8*BOM_average!Q17)/1000000</f>
        <v>13825.145924538559</v>
      </c>
      <c r="S155" s="299">
        <f>S5*(BOM_average!R8*BOM_average!R17)/1000000</f>
        <v>14400.152629880982</v>
      </c>
      <c r="T155" s="299">
        <f>T5*(BOM_average!S8*BOM_average!S17)/1000000</f>
        <v>14857.915882113291</v>
      </c>
      <c r="U155" s="299">
        <f>U5*(BOM_average!T8*BOM_average!T17)/1000000</f>
        <v>15224.07888753167</v>
      </c>
      <c r="V155" s="299">
        <f>V5*(BOM_average!U8*BOM_average!U17)/1000000</f>
        <v>15526.945022956144</v>
      </c>
      <c r="W155" s="299">
        <f>W5*(BOM_average!V8*BOM_average!V17)/1000000</f>
        <v>15794.085118248577</v>
      </c>
      <c r="X155" s="299">
        <f>X5*(BOM_average!W8*BOM_average!W17)/1000000</f>
        <v>16049.618844542589</v>
      </c>
      <c r="Y155" s="299">
        <f>Y5*(BOM_average!X8*BOM_average!X17)/1000000</f>
        <v>16312.537419224576</v>
      </c>
      <c r="Z155" s="299">
        <f>Z5*(BOM_average!Y8*BOM_average!Y17)/1000000</f>
        <v>16595.998873258533</v>
      </c>
      <c r="AA155" s="299">
        <f>AA5*(BOM_average!Z8*BOM_average!Z17)/1000000</f>
        <v>16907.409618914735</v>
      </c>
      <c r="AB155" s="299">
        <f>AB5*(BOM_average!AA8*BOM_average!AA17)/1000000</f>
        <v>17249.054177636943</v>
      </c>
    </row>
    <row r="156" spans="2:28">
      <c r="B156" s="294" t="s">
        <v>6911</v>
      </c>
      <c r="C156" s="299">
        <f>C5*(BOM_average!B9*BOM_average!B17)/1000000</f>
        <v>4821.4068346299209</v>
      </c>
      <c r="D156" s="299">
        <f>D5*(BOM_average!C9*BOM_average!C17)/1000000</f>
        <v>12054.170800733158</v>
      </c>
      <c r="E156" s="299">
        <f>E5*(BOM_average!D9*BOM_average!D17)/1000000</f>
        <v>18321.902130649632</v>
      </c>
      <c r="F156" s="299">
        <f>F5*(BOM_average!E9*BOM_average!E17)/1000000</f>
        <v>20597.359491152496</v>
      </c>
      <c r="G156" s="299">
        <f>G5*(BOM_average!F9*BOM_average!F17)/1000000</f>
        <v>21906.284881855539</v>
      </c>
      <c r="H156" s="299">
        <f>H5*(BOM_average!G9*BOM_average!G17)/1000000</f>
        <v>23414.448672813731</v>
      </c>
      <c r="I156" s="299">
        <f>I5*(BOM_average!H9*BOM_average!H17)/1000000</f>
        <v>24370.066462089319</v>
      </c>
      <c r="J156" s="299">
        <f>J5*(BOM_average!I9*BOM_average!I17)/1000000</f>
        <v>24793.376664174841</v>
      </c>
      <c r="K156" s="299">
        <f>K5*(BOM_average!J9*BOM_average!J17)/1000000</f>
        <v>24828.864157065971</v>
      </c>
      <c r="L156" s="299">
        <f>L5*(BOM_average!K9*BOM_average!K17)/1000000</f>
        <v>25008.160853749843</v>
      </c>
      <c r="M156" s="299">
        <f>M5*(BOM_average!L9*BOM_average!L17)/1000000</f>
        <v>24731.268884229808</v>
      </c>
      <c r="N156" s="299">
        <f>N5*(BOM_average!M9*BOM_average!M17)/1000000</f>
        <v>24879.576455643477</v>
      </c>
      <c r="O156" s="299">
        <f>O5*(BOM_average!N9*BOM_average!N17)/1000000</f>
        <v>26322.523356543996</v>
      </c>
      <c r="P156" s="299">
        <f>P5*(BOM_average!O9*BOM_average!O17)/1000000</f>
        <v>29321.078410477279</v>
      </c>
      <c r="Q156" s="299">
        <f>Q5*(BOM_average!P9*BOM_average!P17)/1000000</f>
        <v>31950.249855753522</v>
      </c>
      <c r="R156" s="299">
        <f>R5*(BOM_average!Q9*BOM_average!Q17)/1000000</f>
        <v>33875.396231834085</v>
      </c>
      <c r="S156" s="299">
        <f>S5*(BOM_average!R9*BOM_average!R17)/1000000</f>
        <v>35284.320237826898</v>
      </c>
      <c r="T156" s="299">
        <f>T5*(BOM_average!S9*BOM_average!S17)/1000000</f>
        <v>36405.96565367881</v>
      </c>
      <c r="U156" s="299">
        <f>U5*(BOM_average!T9*BOM_average!T17)/1000000</f>
        <v>37303.165362216481</v>
      </c>
      <c r="V156" s="299">
        <f>V5*(BOM_average!U9*BOM_average!U17)/1000000</f>
        <v>38045.270393057297</v>
      </c>
      <c r="W156" s="299">
        <f>W5*(BOM_average!V9*BOM_average!V17)/1000000</f>
        <v>38699.836835020047</v>
      </c>
      <c r="X156" s="299">
        <f>X5*(BOM_average!W9*BOM_average!W17)/1000000</f>
        <v>39325.964492265419</v>
      </c>
      <c r="Y156" s="299">
        <f>Y5*(BOM_average!X9*BOM_average!X17)/1000000</f>
        <v>39970.187051844565</v>
      </c>
      <c r="Z156" s="299">
        <f>Z5*(BOM_average!Y9*BOM_average!Y17)/1000000</f>
        <v>40664.745295516237</v>
      </c>
      <c r="AA156" s="299">
        <f>AA5*(BOM_average!Z9*BOM_average!Z17)/1000000</f>
        <v>41427.786963035331</v>
      </c>
      <c r="AB156" s="299">
        <f>AB5*(BOM_average!AA9*BOM_average!AA17)/1000000</f>
        <v>42264.909758001508</v>
      </c>
    </row>
    <row r="157" spans="2:28">
      <c r="B157" s="294" t="s">
        <v>441</v>
      </c>
      <c r="C157" s="299">
        <f>C5*(BOM_average!B10*BOM_average!B17)/1000000</f>
        <v>2381.2662721592374</v>
      </c>
      <c r="D157" s="299">
        <f>D5*(BOM_average!C10*BOM_average!C17)/1000000</f>
        <v>5953.4885462192788</v>
      </c>
      <c r="E157" s="299">
        <f>E5*(BOM_average!D10*BOM_average!D17)/1000000</f>
        <v>9049.0865180986784</v>
      </c>
      <c r="F157" s="299">
        <f>F5*(BOM_average!E10*BOM_average!E17)/1000000</f>
        <v>10172.922371854807</v>
      </c>
      <c r="G157" s="299">
        <f>G5*(BOM_average!F10*BOM_average!F17)/1000000</f>
        <v>10819.393410819363</v>
      </c>
      <c r="H157" s="299">
        <f>H5*(BOM_average!G10*BOM_average!G17)/1000000</f>
        <v>11564.267197969129</v>
      </c>
      <c r="I157" s="299">
        <f>I5*(BOM_average!H10*BOM_average!H17)/1000000</f>
        <v>12036.241559131287</v>
      </c>
      <c r="J157" s="299">
        <f>J5*(BOM_average!I10*BOM_average!I17)/1000000</f>
        <v>12245.312135720482</v>
      </c>
      <c r="K157" s="299">
        <f>K5*(BOM_average!J10*BOM_average!J17)/1000000</f>
        <v>12262.839212941635</v>
      </c>
      <c r="L157" s="299">
        <f>L5*(BOM_average!K10*BOM_average!K17)/1000000</f>
        <v>12351.392863601492</v>
      </c>
      <c r="M157" s="299">
        <f>M5*(BOM_average!L10*BOM_average!L17)/1000000</f>
        <v>12214.637445387461</v>
      </c>
      <c r="N157" s="299">
        <f>N5*(BOM_average!M10*BOM_average!M17)/1000000</f>
        <v>12287.88573781046</v>
      </c>
      <c r="O157" s="299">
        <f>O5*(BOM_average!N10*BOM_average!N17)/1000000</f>
        <v>13000.549262272161</v>
      </c>
      <c r="P157" s="299">
        <f>P5*(BOM_average!O10*BOM_average!O17)/1000000</f>
        <v>14481.519082918305</v>
      </c>
      <c r="Q157" s="299">
        <f>Q5*(BOM_average!P10*BOM_average!P17)/1000000</f>
        <v>15780.052374361867</v>
      </c>
      <c r="R157" s="299">
        <f>R5*(BOM_average!Q10*BOM_average!Q17)/1000000</f>
        <v>16730.871562944631</v>
      </c>
      <c r="S157" s="299">
        <f>S5*(BOM_average!R10*BOM_average!R17)/1000000</f>
        <v>17426.731367060016</v>
      </c>
      <c r="T157" s="299">
        <f>T5*(BOM_average!S10*BOM_average!S17)/1000000</f>
        <v>17980.705858261656</v>
      </c>
      <c r="U157" s="299">
        <f>U5*(BOM_average!T10*BOM_average!T17)/1000000</f>
        <v>18423.827851200844</v>
      </c>
      <c r="V157" s="299">
        <f>V5*(BOM_average!U10*BOM_average!U17)/1000000</f>
        <v>18790.349437317225</v>
      </c>
      <c r="W157" s="299">
        <f>W5*(BOM_average!V10*BOM_average!V17)/1000000</f>
        <v>19113.636196679199</v>
      </c>
      <c r="X157" s="299">
        <f>X5*(BOM_average!W10*BOM_average!W17)/1000000</f>
        <v>19422.87719695229</v>
      </c>
      <c r="Y157" s="299">
        <f>Y5*(BOM_average!X10*BOM_average!X17)/1000000</f>
        <v>19741.055169794457</v>
      </c>
      <c r="Z157" s="299">
        <f>Z5*(BOM_average!Y10*BOM_average!Y17)/1000000</f>
        <v>20084.093659686267</v>
      </c>
      <c r="AA157" s="299">
        <f>AA5*(BOM_average!Z10*BOM_average!Z17)/1000000</f>
        <v>20460.955735307987</v>
      </c>
      <c r="AB157" s="299">
        <f>AB5*(BOM_average!AA10*BOM_average!AA17)/1000000</f>
        <v>20874.406071627021</v>
      </c>
    </row>
    <row r="158" spans="2:28">
      <c r="B158" s="294" t="s">
        <v>6912</v>
      </c>
      <c r="C158" s="299">
        <f>C5*(BOM_average!B11*BOM_average!B17)/1000000</f>
        <v>2119.2869079587203</v>
      </c>
      <c r="D158" s="299">
        <f>D5*(BOM_average!C11*BOM_average!C17)/1000000</f>
        <v>5298.5046150441558</v>
      </c>
      <c r="E158" s="299">
        <f>E5*(BOM_average!D11*BOM_average!D17)/1000000</f>
        <v>8053.5347142857736</v>
      </c>
      <c r="F158" s="299">
        <f>F5*(BOM_average!E11*BOM_average!E17)/1000000</f>
        <v>9053.7297111268108</v>
      </c>
      <c r="G158" s="299">
        <f>G5*(BOM_average!F11*BOM_average!F17)/1000000</f>
        <v>9629.078056362363</v>
      </c>
      <c r="H158" s="299">
        <f>H5*(BOM_average!G11*BOM_average!G17)/1000000</f>
        <v>10292.003191465679</v>
      </c>
      <c r="I158" s="299">
        <f>I5*(BOM_average!H11*BOM_average!H17)/1000000</f>
        <v>10712.052430056774</v>
      </c>
      <c r="J158" s="299">
        <f>J5*(BOM_average!I11*BOM_average!I17)/1000000</f>
        <v>10898.121724778315</v>
      </c>
      <c r="K158" s="299">
        <f>K5*(BOM_average!J11*BOM_average!J17)/1000000</f>
        <v>10913.720528542452</v>
      </c>
      <c r="L158" s="299">
        <f>L5*(BOM_average!K11*BOM_average!K17)/1000000</f>
        <v>10992.531787362834</v>
      </c>
      <c r="M158" s="299">
        <f>M5*(BOM_average!L11*BOM_average!L17)/1000000</f>
        <v>10870.821766605424</v>
      </c>
      <c r="N158" s="299">
        <f>N5*(BOM_average!M11*BOM_average!M17)/1000000</f>
        <v>10936.011514168446</v>
      </c>
      <c r="O158" s="299">
        <f>O5*(BOM_average!N11*BOM_average!N17)/1000000</f>
        <v>11570.270057544987</v>
      </c>
      <c r="P158" s="299">
        <f>P5*(BOM_average!O11*BOM_average!O17)/1000000</f>
        <v>12888.308274720668</v>
      </c>
      <c r="Q158" s="299">
        <f>Q5*(BOM_average!P11*BOM_average!P17)/1000000</f>
        <v>14043.981051125264</v>
      </c>
      <c r="R158" s="299">
        <f>R5*(BOM_average!Q11*BOM_average!Q17)/1000000</f>
        <v>14890.194127654591</v>
      </c>
      <c r="S158" s="299">
        <f>S5*(BOM_average!R11*BOM_average!R17)/1000000</f>
        <v>15509.497642712247</v>
      </c>
      <c r="T158" s="299">
        <f>T5*(BOM_average!S11*BOM_average!S17)/1000000</f>
        <v>16002.525617060599</v>
      </c>
      <c r="U158" s="299">
        <f>U5*(BOM_average!T11*BOM_average!T17)/1000000</f>
        <v>16396.896733488946</v>
      </c>
      <c r="V158" s="299">
        <f>V5*(BOM_average!U11*BOM_average!U17)/1000000</f>
        <v>16723.094776951079</v>
      </c>
      <c r="W158" s="299">
        <f>W5*(BOM_average!V11*BOM_average!V17)/1000000</f>
        <v>17010.814552199474</v>
      </c>
      <c r="X158" s="299">
        <f>X5*(BOM_average!W11*BOM_average!W17)/1000000</f>
        <v>17286.033838234442</v>
      </c>
      <c r="Y158" s="299">
        <f>Y5*(BOM_average!X11*BOM_average!X17)/1000000</f>
        <v>17569.206879455829</v>
      </c>
      <c r="Z158" s="299">
        <f>Z5*(BOM_average!Y11*BOM_average!Y17)/1000000</f>
        <v>17874.505362474461</v>
      </c>
      <c r="AA158" s="299">
        <f>AA5*(BOM_average!Z11*BOM_average!Z17)/1000000</f>
        <v>18209.906267576538</v>
      </c>
      <c r="AB158" s="299">
        <f>AB5*(BOM_average!AA11*BOM_average!AA17)/1000000</f>
        <v>18577.870108956417</v>
      </c>
    </row>
    <row r="159" spans="2:28">
      <c r="B159" s="294" t="s">
        <v>443</v>
      </c>
      <c r="C159" s="299">
        <f>C5*(BOM_average!B12*BOM_average!B17)/1000000</f>
        <v>1401.9097686808434</v>
      </c>
      <c r="D159" s="299">
        <f>D5*(BOM_average!C12*BOM_average!C17)/1000000</f>
        <v>3504.9645007176237</v>
      </c>
      <c r="E159" s="299">
        <f>E5*(BOM_average!D12*BOM_average!D17)/1000000</f>
        <v>5327.4188341220215</v>
      </c>
      <c r="F159" s="299">
        <f>F5*(BOM_average!E12*BOM_average!E17)/1000000</f>
        <v>5989.0485225759203</v>
      </c>
      <c r="G159" s="299">
        <f>G5*(BOM_average!F12*BOM_average!F17)/1000000</f>
        <v>6369.6418544891421</v>
      </c>
      <c r="H159" s="299">
        <f>H5*(BOM_average!G12*BOM_average!G17)/1000000</f>
        <v>6808.1672940203862</v>
      </c>
      <c r="I159" s="299">
        <f>I5*(BOM_average!H12*BOM_average!H17)/1000000</f>
        <v>7086.0301585038933</v>
      </c>
      <c r="J159" s="299">
        <f>J5*(BOM_average!I12*BOM_average!I17)/1000000</f>
        <v>7209.1151268213425</v>
      </c>
      <c r="K159" s="299">
        <f>K5*(BOM_average!J12*BOM_average!J17)/1000000</f>
        <v>7219.4337463978409</v>
      </c>
      <c r="L159" s="299">
        <f>L5*(BOM_average!K12*BOM_average!K17)/1000000</f>
        <v>7271.5674491104883</v>
      </c>
      <c r="M159" s="299">
        <f>M5*(BOM_average!L12*BOM_average!L17)/1000000</f>
        <v>7191.0561854371308</v>
      </c>
      <c r="N159" s="299">
        <f>N5*(BOM_average!M12*BOM_average!M17)/1000000</f>
        <v>7234.1792489464797</v>
      </c>
      <c r="O159" s="299">
        <f>O5*(BOM_average!N12*BOM_average!N17)/1000000</f>
        <v>7653.7417180438324</v>
      </c>
      <c r="P159" s="299">
        <f>P5*(BOM_average!O12*BOM_average!O17)/1000000</f>
        <v>8525.6249185742545</v>
      </c>
      <c r="Q159" s="299">
        <f>Q5*(BOM_average!P12*BOM_average!P17)/1000000</f>
        <v>9290.10326671855</v>
      </c>
      <c r="R159" s="299">
        <f>R5*(BOM_average!Q12*BOM_average!Q17)/1000000</f>
        <v>9849.8738074211215</v>
      </c>
      <c r="S159" s="299">
        <f>S5*(BOM_average!R12*BOM_average!R17)/1000000</f>
        <v>10259.543514848307</v>
      </c>
      <c r="T159" s="299">
        <f>T5*(BOM_average!S12*BOM_average!S17)/1000000</f>
        <v>10585.681863967644</v>
      </c>
      <c r="U159" s="299">
        <f>U5*(BOM_average!T12*BOM_average!T17)/1000000</f>
        <v>10846.558632719541</v>
      </c>
      <c r="V159" s="299">
        <f>V5*(BOM_average!U12*BOM_average!U17)/1000000</f>
        <v>11062.33886612579</v>
      </c>
      <c r="W159" s="299">
        <f>W5*(BOM_average!V12*BOM_average!V17)/1000000</f>
        <v>11252.665698254381</v>
      </c>
      <c r="X159" s="299">
        <f>X5*(BOM_average!W12*BOM_average!W17)/1000000</f>
        <v>11434.723448044107</v>
      </c>
      <c r="Y159" s="299">
        <f>Y5*(BOM_average!X12*BOM_average!X17)/1000000</f>
        <v>11622.042612440635</v>
      </c>
      <c r="Z159" s="299">
        <f>Z5*(BOM_average!Y12*BOM_average!Y17)/1000000</f>
        <v>11823.997772027549</v>
      </c>
      <c r="AA159" s="299">
        <f>AA5*(BOM_average!Z12*BOM_average!Z17)/1000000</f>
        <v>12045.865704831367</v>
      </c>
      <c r="AB159" s="299">
        <f>AB5*(BOM_average!AA12*BOM_average!AA17)/1000000</f>
        <v>12289.27404270887</v>
      </c>
    </row>
    <row r="160" spans="2:28">
      <c r="B160" s="294" t="s">
        <v>445</v>
      </c>
      <c r="C160" s="299">
        <f>C5*(BOM_average!B13*BOM_average!B17)/1000000</f>
        <v>0</v>
      </c>
      <c r="D160" s="299">
        <f>D5*(BOM_average!C13*BOM_average!C17)/1000000</f>
        <v>0</v>
      </c>
      <c r="E160" s="299">
        <f>E5*(BOM_average!D13*BOM_average!D17)/1000000</f>
        <v>0</v>
      </c>
      <c r="F160" s="299">
        <f>F5*(BOM_average!E13*BOM_average!E17)/1000000</f>
        <v>0</v>
      </c>
      <c r="G160" s="299">
        <f>G5*(BOM_average!F13*BOM_average!F17)/1000000</f>
        <v>0</v>
      </c>
      <c r="H160" s="299">
        <f>H5*(BOM_average!G13*BOM_average!G17)/1000000</f>
        <v>0</v>
      </c>
      <c r="I160" s="299">
        <f>I5*(BOM_average!H13*BOM_average!H17)/1000000</f>
        <v>0</v>
      </c>
      <c r="J160" s="299">
        <f>J5*(BOM_average!I13*BOM_average!I17)/1000000</f>
        <v>0</v>
      </c>
      <c r="K160" s="299">
        <f>K5*(BOM_average!J13*BOM_average!J17)/1000000</f>
        <v>0</v>
      </c>
      <c r="L160" s="299">
        <f>L5*(BOM_average!K13*BOM_average!K17)/1000000</f>
        <v>0</v>
      </c>
      <c r="M160" s="299">
        <f>M5*(BOM_average!L13*BOM_average!L17)/1000000</f>
        <v>0</v>
      </c>
      <c r="N160" s="299">
        <f>N5*(BOM_average!M13*BOM_average!M17)/1000000</f>
        <v>0</v>
      </c>
      <c r="O160" s="299">
        <f>O5*(BOM_average!N13*BOM_average!N17)/1000000</f>
        <v>0</v>
      </c>
      <c r="P160" s="299">
        <f>P5*(BOM_average!O13*BOM_average!O17)/1000000</f>
        <v>0</v>
      </c>
      <c r="Q160" s="299">
        <f>Q5*(BOM_average!P13*BOM_average!P17)/1000000</f>
        <v>0</v>
      </c>
      <c r="R160" s="299">
        <f>R5*(BOM_average!Q13*BOM_average!Q17)/1000000</f>
        <v>0</v>
      </c>
      <c r="S160" s="299">
        <f>S5*(BOM_average!R13*BOM_average!R17)/1000000</f>
        <v>0</v>
      </c>
      <c r="T160" s="299">
        <f>T5*(BOM_average!S13*BOM_average!S17)/1000000</f>
        <v>0</v>
      </c>
      <c r="U160" s="299">
        <f>U5*(BOM_average!T13*BOM_average!T17)/1000000</f>
        <v>0</v>
      </c>
      <c r="V160" s="299">
        <f>V5*(BOM_average!U13*BOM_average!U17)/1000000</f>
        <v>0</v>
      </c>
      <c r="W160" s="299">
        <f>W5*(BOM_average!V13*BOM_average!V17)/1000000</f>
        <v>0</v>
      </c>
      <c r="X160" s="299">
        <f>X5*(BOM_average!W13*BOM_average!W17)/1000000</f>
        <v>0</v>
      </c>
      <c r="Y160" s="299">
        <f>Y5*(BOM_average!X13*BOM_average!X17)/1000000</f>
        <v>0</v>
      </c>
      <c r="Z160" s="299">
        <f>Z5*(BOM_average!Y13*BOM_average!Y17)/1000000</f>
        <v>0</v>
      </c>
      <c r="AA160" s="299">
        <f>AA5*(BOM_average!Z13*BOM_average!Z17)/1000000</f>
        <v>0</v>
      </c>
      <c r="AB160" s="299">
        <f>AB5*(BOM_average!AA13*BOM_average!AA17)/1000000</f>
        <v>0</v>
      </c>
    </row>
    <row r="161" spans="2:28">
      <c r="B161" s="294" t="s">
        <v>6915</v>
      </c>
      <c r="C161" s="299">
        <f>C5*(BOM_average!B14*BOM_average!B17)/1000000</f>
        <v>992.18515592390816</v>
      </c>
      <c r="D161" s="299">
        <f>D5*(BOM_average!C14*BOM_average!C17)/1000000</f>
        <v>2480.5974159981597</v>
      </c>
      <c r="E161" s="299">
        <f>E5*(BOM_average!D14*BOM_average!D17)/1000000</f>
        <v>3770.4180430806859</v>
      </c>
      <c r="F161" s="299">
        <f>F5*(BOM_average!E14*BOM_average!E17)/1000000</f>
        <v>4238.6786760173027</v>
      </c>
      <c r="G161" s="299">
        <f>G5*(BOM_average!F14*BOM_average!F17)/1000000</f>
        <v>4508.0391318783459</v>
      </c>
      <c r="H161" s="299">
        <f>H5*(BOM_average!G14*BOM_average!G17)/1000000</f>
        <v>4818.4003557731776</v>
      </c>
      <c r="I161" s="299">
        <f>I5*(BOM_average!H14*BOM_average!H17)/1000000</f>
        <v>5015.0545311574106</v>
      </c>
      <c r="J161" s="299">
        <f>J5*(BOM_average!I14*BOM_average!I17)/1000000</f>
        <v>5102.1664703208362</v>
      </c>
      <c r="K161" s="299">
        <f>K5*(BOM_average!J14*BOM_average!J17)/1000000</f>
        <v>5109.4693520056253</v>
      </c>
      <c r="L161" s="299">
        <f>L5*(BOM_average!K14*BOM_average!K17)/1000000</f>
        <v>5146.3663671419936</v>
      </c>
      <c r="M161" s="299">
        <f>M5*(BOM_average!L14*BOM_average!L17)/1000000</f>
        <v>5089.3854668829508</v>
      </c>
      <c r="N161" s="299">
        <f>N5*(BOM_average!M14*BOM_average!M17)/1000000</f>
        <v>5119.9053080651702</v>
      </c>
      <c r="O161" s="299">
        <f>O5*(BOM_average!N14*BOM_average!N17)/1000000</f>
        <v>5416.8457125912664</v>
      </c>
      <c r="P161" s="299">
        <f>P5*(BOM_average!O14*BOM_average!O17)/1000000</f>
        <v>6033.9107966584952</v>
      </c>
      <c r="Q161" s="299">
        <f>Q5*(BOM_average!P14*BOM_average!P17)/1000000</f>
        <v>6574.9613592547812</v>
      </c>
      <c r="R161" s="299">
        <f>R5*(BOM_average!Q14*BOM_average!Q17)/1000000</f>
        <v>6971.1323779724853</v>
      </c>
      <c r="S161" s="299">
        <f>S5*(BOM_average!R14*BOM_average!R17)/1000000</f>
        <v>7261.0712967400013</v>
      </c>
      <c r="T161" s="299">
        <f>T5*(BOM_average!S14*BOM_average!S17)/1000000</f>
        <v>7491.8918787794755</v>
      </c>
      <c r="U161" s="299">
        <f>U5*(BOM_average!T14*BOM_average!T17)/1000000</f>
        <v>7676.5243446225413</v>
      </c>
      <c r="V161" s="299">
        <f>V5*(BOM_average!U14*BOM_average!U17)/1000000</f>
        <v>7829.2402677942118</v>
      </c>
      <c r="W161" s="299">
        <f>W5*(BOM_average!V14*BOM_average!V17)/1000000</f>
        <v>7963.9418454782744</v>
      </c>
      <c r="X161" s="299">
        <f>X5*(BOM_average!W14*BOM_average!W17)/1000000</f>
        <v>8092.7910773601861</v>
      </c>
      <c r="Y161" s="299">
        <f>Y5*(BOM_average!X14*BOM_average!X17)/1000000</f>
        <v>8225.3640135693313</v>
      </c>
      <c r="Z161" s="299">
        <f>Z5*(BOM_average!Y14*BOM_average!Y17)/1000000</f>
        <v>8368.2954032927446</v>
      </c>
      <c r="AA161" s="299">
        <f>AA5*(BOM_average!Z14*BOM_average!Z17)/1000000</f>
        <v>8525.3198241373266</v>
      </c>
      <c r="AB161" s="299">
        <f>AB5*(BOM_average!AA14*BOM_average!AA17)/1000000</f>
        <v>8697.5892134129426</v>
      </c>
    </row>
    <row r="162" spans="2:28" ht="17" thickBot="1">
      <c r="B162" s="297" t="s">
        <v>447</v>
      </c>
      <c r="C162" s="300">
        <f>C5*(BOM_average!B15*BOM_average!B17)/1000000</f>
        <v>422.9293930185446</v>
      </c>
      <c r="D162" s="300">
        <f>D5*(BOM_average!C15*BOM_average!C17)/1000000</f>
        <v>1057.3808257537871</v>
      </c>
      <c r="E162" s="300">
        <f>E5*(BOM_average!D15*BOM_average!D17)/1000000</f>
        <v>1607.1804792336327</v>
      </c>
      <c r="F162" s="300">
        <f>F5*(BOM_average!E15*BOM_average!E17)/1000000</f>
        <v>1806.7815154716222</v>
      </c>
      <c r="G162" s="300">
        <f>G5*(BOM_average!F15*BOM_average!F17)/1000000</f>
        <v>1921.5992522824779</v>
      </c>
      <c r="H162" s="300">
        <f>H5*(BOM_average!G15*BOM_average!G17)/1000000</f>
        <v>2053.893999139586</v>
      </c>
      <c r="I162" s="300">
        <f>I5*(BOM_average!H15*BOM_average!H17)/1000000</f>
        <v>2137.7199166442365</v>
      </c>
      <c r="J162" s="300">
        <f>J5*(BOM_average!I15*BOM_average!I17)/1000000</f>
        <v>2174.8522999852762</v>
      </c>
      <c r="K162" s="300">
        <f>K5*(BOM_average!J15*BOM_average!J17)/1000000</f>
        <v>2177.9652303690796</v>
      </c>
      <c r="L162" s="300">
        <f>L5*(BOM_average!K15*BOM_average!K17)/1000000</f>
        <v>2193.6929724368283</v>
      </c>
      <c r="M162" s="300">
        <f>M5*(BOM_average!L15*BOM_average!L17)/1000000</f>
        <v>2169.4042623948335</v>
      </c>
      <c r="N162" s="300">
        <f>N5*(BOM_average!M15*BOM_average!M17)/1000000</f>
        <v>2182.413666767749</v>
      </c>
      <c r="O162" s="300">
        <f>O5*(BOM_average!N15*BOM_average!N17)/1000000</f>
        <v>2308.9876477420567</v>
      </c>
      <c r="P162" s="300">
        <f>P5*(BOM_average!O15*BOM_average!O17)/1000000</f>
        <v>2572.0181515742511</v>
      </c>
      <c r="Q162" s="300">
        <f>Q5*(BOM_average!P15*BOM_average!P17)/1000000</f>
        <v>2802.6466634653707</v>
      </c>
      <c r="R162" s="300">
        <f>R5*(BOM_average!Q15*BOM_average!Q17)/1000000</f>
        <v>2971.5187408971228</v>
      </c>
      <c r="S162" s="300">
        <f>S5*(BOM_average!R15*BOM_average!R17)/1000000</f>
        <v>3095.1082646817367</v>
      </c>
      <c r="T162" s="300">
        <f>T5*(BOM_average!S15*BOM_average!S17)/1000000</f>
        <v>3193.4979735735601</v>
      </c>
      <c r="U162" s="300">
        <f>U5*(BOM_average!T15*BOM_average!T17)/1000000</f>
        <v>3272.1995105239012</v>
      </c>
      <c r="V162" s="300">
        <f>V5*(BOM_average!U15*BOM_average!U17)/1000000</f>
        <v>3337.2962843524888</v>
      </c>
      <c r="W162" s="300">
        <f>W5*(BOM_average!V15*BOM_average!V17)/1000000</f>
        <v>3394.7142533156634</v>
      </c>
      <c r="X162" s="300">
        <f>X5*(BOM_average!W15*BOM_average!W17)/1000000</f>
        <v>3449.6375981221863</v>
      </c>
      <c r="Y162" s="300">
        <f>Y5*(BOM_average!X15*BOM_average!X17)/1000000</f>
        <v>3506.1482111936043</v>
      </c>
      <c r="Z162" s="300">
        <f>Z5*(BOM_average!Y15*BOM_average!Y17)/1000000</f>
        <v>3567.0742243858999</v>
      </c>
      <c r="AA162" s="300">
        <f>AA5*(BOM_average!Z15*BOM_average!Z17)/1000000</f>
        <v>3634.0075408141702</v>
      </c>
      <c r="AB162" s="300">
        <f>AB5*(BOM_average!AA15*BOM_average!AA17)/1000000</f>
        <v>3707.4391859128791</v>
      </c>
    </row>
    <row r="163" spans="2:28">
      <c r="B163" s="296" t="s">
        <v>7756</v>
      </c>
      <c r="C163" s="301">
        <f>C5*(BOM_average!B17)/1000000</f>
        <v>17040.143282731038</v>
      </c>
      <c r="D163" s="301">
        <f>D5*(BOM_average!C17)/1000000</f>
        <v>42602.668607776199</v>
      </c>
      <c r="E163" s="301">
        <f>E5*(BOM_average!D17)/1000000</f>
        <v>64754.510089462121</v>
      </c>
      <c r="F163" s="301">
        <f>F5*(BOM_average!E17)/1000000</f>
        <v>72796.585937162279</v>
      </c>
      <c r="G163" s="301">
        <f>G5*(BOM_average!F17)/1000000</f>
        <v>77422.67889488228</v>
      </c>
      <c r="H163" s="301">
        <f>H5*(BOM_average!G17)/1000000</f>
        <v>82752.933729875294</v>
      </c>
      <c r="I163" s="301">
        <f>I5*(BOM_average!H17)/1000000</f>
        <v>86130.342982258473</v>
      </c>
      <c r="J163" s="301">
        <f>J5*(BOM_average!I17)/1000000</f>
        <v>87626.434630191929</v>
      </c>
      <c r="K163" s="301">
        <f>K5*(BOM_average!J17)/1000000</f>
        <v>87751.856936243028</v>
      </c>
      <c r="L163" s="301">
        <f>L5*(BOM_average!K17)/1000000</f>
        <v>88385.539491232819</v>
      </c>
      <c r="M163" s="301">
        <f>M5*(BOM_average!L17)/1000000</f>
        <v>87406.929098811728</v>
      </c>
      <c r="N163" s="301">
        <f>N5*(BOM_average!M17)/1000000</f>
        <v>87931.087783918148</v>
      </c>
      <c r="O163" s="301">
        <f>O5*(BOM_average!N17)/1000000</f>
        <v>93030.848659543321</v>
      </c>
      <c r="P163" s="301">
        <f>P5*(BOM_average!O17)/1000000</f>
        <v>103628.54545484032</v>
      </c>
      <c r="Q163" s="301">
        <f>Q5*(BOM_average!P17)/1000000</f>
        <v>112920.74162890806</v>
      </c>
      <c r="R163" s="301">
        <f>R5*(BOM_average!Q17)/1000000</f>
        <v>119724.72461848317</v>
      </c>
      <c r="S163" s="301">
        <f>S5*(BOM_average!R17)/1000000</f>
        <v>124704.23946965829</v>
      </c>
      <c r="T163" s="301">
        <f>T5*(BOM_average!S17)/1000000</f>
        <v>128668.4348288334</v>
      </c>
      <c r="U163" s="301">
        <f>U5*(BOM_average!T17)/1000000</f>
        <v>131839.37893520852</v>
      </c>
      <c r="V163" s="301">
        <f>V5*(BOM_average!U17)/1000000</f>
        <v>134462.17690478364</v>
      </c>
      <c r="W163" s="301">
        <f>W5*(BOM_average!V17)/1000000</f>
        <v>136775.59005195874</v>
      </c>
      <c r="X163" s="301">
        <f>X5*(BOM_average!W17)/1000000</f>
        <v>138988.49291593386</v>
      </c>
      <c r="Y163" s="301">
        <f>Y5*(BOM_average!X17)/1000000</f>
        <v>141265.34801190899</v>
      </c>
      <c r="Z163" s="301">
        <f>Z5*(BOM_average!Y17)/1000000</f>
        <v>143720.1028990841</v>
      </c>
      <c r="AA163" s="301">
        <f>AA5*(BOM_average!Z17)/1000000</f>
        <v>146416.89655105924</v>
      </c>
      <c r="AB163" s="301">
        <f>AB5*(BOM_average!AA17)/1000000</f>
        <v>149375.51275183435</v>
      </c>
    </row>
    <row r="164" spans="2:28">
      <c r="B164" s="295" t="s">
        <v>7757</v>
      </c>
      <c r="C164" s="299">
        <f>C5*(BOM_average!B18)/1000000</f>
        <v>23619.084206513795</v>
      </c>
      <c r="D164" s="299">
        <f>D5*(BOM_average!C18)/1000000</f>
        <v>59050.912928004305</v>
      </c>
      <c r="E164" s="299">
        <f>E5*(BOM_average!D18)/1000000</f>
        <v>89755.244494013896</v>
      </c>
      <c r="F164" s="299">
        <f>F5*(BOM_average!E18)/1000000</f>
        <v>100902.24387602601</v>
      </c>
      <c r="G164" s="299">
        <f>G5*(BOM_average!F18)/1000000</f>
        <v>107314.40117439102</v>
      </c>
      <c r="H164" s="299">
        <f>H5*(BOM_average!G18)/1000000</f>
        <v>114702.58657289429</v>
      </c>
      <c r="I164" s="299">
        <f>I5*(BOM_average!H18)/1000000</f>
        <v>119383.96232240103</v>
      </c>
      <c r="J164" s="299">
        <f>J5*(BOM_average!I18)/1000000</f>
        <v>121457.67226878471</v>
      </c>
      <c r="K164" s="299">
        <f>K5*(BOM_average!J18)/1000000</f>
        <v>121631.51822529132</v>
      </c>
      <c r="L164" s="299">
        <f>L5*(BOM_average!K18)/1000000</f>
        <v>122509.85600556519</v>
      </c>
      <c r="M164" s="299">
        <f>M5*(BOM_average!L18)/1000000</f>
        <v>121153.41898033267</v>
      </c>
      <c r="N164" s="299">
        <f>N5*(BOM_average!M18)/1000000</f>
        <v>121879.94738538726</v>
      </c>
      <c r="O164" s="299">
        <f>O5*(BOM_average!N18)/1000000</f>
        <v>128948.64860203399</v>
      </c>
      <c r="P164" s="299">
        <f>P5*(BOM_average!O18)/1000000</f>
        <v>143637.95542593201</v>
      </c>
      <c r="Q164" s="299">
        <f>Q5*(BOM_average!P18)/1000000</f>
        <v>156517.72763542813</v>
      </c>
      <c r="R164" s="299">
        <f>R5*(BOM_average!Q18)/1000000</f>
        <v>165948.62528130205</v>
      </c>
      <c r="S164" s="299">
        <f>S5*(BOM_average!R18)/1000000</f>
        <v>172850.65530687594</v>
      </c>
      <c r="T164" s="299">
        <f>T5*(BOM_average!S18)/1000000</f>
        <v>178345.36638094985</v>
      </c>
      <c r="U164" s="299">
        <f>U5*(BOM_average!T18)/1000000</f>
        <v>182740.56392242375</v>
      </c>
      <c r="V164" s="299">
        <f>V5*(BOM_average!U18)/1000000</f>
        <v>186375.98441579766</v>
      </c>
      <c r="W164" s="299">
        <f>W5*(BOM_average!V18)/1000000</f>
        <v>189582.57129837159</v>
      </c>
      <c r="X164" s="299">
        <f>X5*(BOM_average!W18)/1000000</f>
        <v>192649.84240154547</v>
      </c>
      <c r="Y164" s="299">
        <f>Y5*(BOM_average!X18)/1000000</f>
        <v>195805.75672371936</v>
      </c>
      <c r="Z164" s="299">
        <f>Z5*(BOM_average!Y18)/1000000</f>
        <v>199208.25524879328</v>
      </c>
      <c r="AA164" s="299">
        <f>AA5*(BOM_average!Z18)/1000000</f>
        <v>202946.2400354672</v>
      </c>
      <c r="AB164" s="299">
        <f>AB5*(BOM_average!AA18)/1000000</f>
        <v>207047.13308674109</v>
      </c>
    </row>
    <row r="165" spans="2:28">
      <c r="B165" s="295" t="s">
        <v>7758</v>
      </c>
      <c r="C165" s="299">
        <f>C5*(BOM_average!B19)/1000000</f>
        <v>10986.308754817243</v>
      </c>
      <c r="D165" s="299">
        <f>D5*(BOM_average!C19)/1000000</f>
        <v>27467.261474175542</v>
      </c>
      <c r="E165" s="299">
        <f>E5*(BOM_average!D19)/1000000</f>
        <v>41749.240561300045</v>
      </c>
      <c r="F165" s="299">
        <f>F5*(BOM_average!E19)/1000000</f>
        <v>46934.216228848083</v>
      </c>
      <c r="G165" s="299">
        <f>G5*(BOM_average!F19)/1000000</f>
        <v>49916.80180449308</v>
      </c>
      <c r="H165" s="299">
        <f>H5*(BOM_average!G19)/1000000</f>
        <v>53353.382377054157</v>
      </c>
      <c r="I165" s="299">
        <f>I5*(BOM_average!H19)/1000000</f>
        <v>55530.902848707796</v>
      </c>
      <c r="J165" s="299">
        <f>J5*(BOM_average!I19)/1000000</f>
        <v>56495.479524912007</v>
      </c>
      <c r="K165" s="299">
        <f>K5*(BOM_average!J19)/1000000</f>
        <v>56576.34317471565</v>
      </c>
      <c r="L165" s="299">
        <f>L5*(BOM_average!K19)/1000000</f>
        <v>56984.897967134246</v>
      </c>
      <c r="M165" s="299">
        <f>M5*(BOM_average!L19)/1000000</f>
        <v>56353.957502407822</v>
      </c>
      <c r="N165" s="299">
        <f>N5*(BOM_average!M19)/1000000</f>
        <v>56691.898859798537</v>
      </c>
      <c r="O165" s="299">
        <f>O5*(BOM_average!N19)/1000000</f>
        <v>59979.872829602835</v>
      </c>
      <c r="P165" s="299">
        <f>P5*(BOM_average!O19)/1000000</f>
        <v>66812.536566712544</v>
      </c>
      <c r="Q165" s="299">
        <f>Q5*(BOM_average!P19)/1000000</f>
        <v>72803.503572377202</v>
      </c>
      <c r="R165" s="299">
        <f>R5*(BOM_average!Q19)/1000000</f>
        <v>77190.242383532095</v>
      </c>
      <c r="S165" s="299">
        <f>S5*(BOM_average!R19)/1000000</f>
        <v>80400.690012786989</v>
      </c>
      <c r="T165" s="299">
        <f>T5*(BOM_average!S19)/1000000</f>
        <v>82956.529682541906</v>
      </c>
      <c r="U165" s="299">
        <f>U5*(BOM_average!T19)/1000000</f>
        <v>85000.935672496795</v>
      </c>
      <c r="V165" s="299">
        <f>V5*(BOM_average!U19)/1000000</f>
        <v>86691.934851151687</v>
      </c>
      <c r="W165" s="299">
        <f>W5*(BOM_average!V19)/1000000</f>
        <v>88183.46404140658</v>
      </c>
      <c r="X165" s="299">
        <f>X5*(BOM_average!W19)/1000000</f>
        <v>89610.191135461486</v>
      </c>
      <c r="Y165" s="299">
        <f>Y5*(BOM_average!X19)/1000000</f>
        <v>91078.150216516384</v>
      </c>
      <c r="Z165" s="299">
        <f>Z5*(BOM_average!Y19)/1000000</f>
        <v>92660.806809271293</v>
      </c>
      <c r="AA165" s="299">
        <f>AA5*(BOM_average!Z19)/1000000</f>
        <v>94399.51329882619</v>
      </c>
      <c r="AB165" s="299">
        <f>AB5*(BOM_average!AA19)/1000000</f>
        <v>96307.024904181089</v>
      </c>
    </row>
    <row r="167" spans="2:28">
      <c r="B167" s="291" t="s">
        <v>7796</v>
      </c>
    </row>
    <row r="168" spans="2:28">
      <c r="B168" s="294" t="s">
        <v>437</v>
      </c>
      <c r="C168" s="299">
        <f>C67*(BOM_average!B6*BOM_average!B17)/1000000</f>
        <v>0</v>
      </c>
      <c r="D168" s="299">
        <f>D67*(BOM_average!C6*BOM_average!C17)/1000000</f>
        <v>143.25958329469171</v>
      </c>
      <c r="E168" s="299">
        <f>E67*(BOM_average!D6*BOM_average!D17)/1000000</f>
        <v>490.15048091932215</v>
      </c>
      <c r="F168" s="299">
        <f>F67*(BOM_average!E6*BOM_average!E17)/1000000</f>
        <v>947.42031001421196</v>
      </c>
      <c r="G168" s="299">
        <f>G67*(BOM_average!F6*BOM_average!F17)/1000000</f>
        <v>1340.8733070795133</v>
      </c>
      <c r="H168" s="299">
        <f>H67*(BOM_average!G6*BOM_average!G17)/1000000</f>
        <v>1630.6125220107172</v>
      </c>
      <c r="I168" s="299">
        <f>I67*(BOM_average!H6*BOM_average!H17)/1000000</f>
        <v>1858.4384578675142</v>
      </c>
      <c r="J168" s="299">
        <f>J67*(BOM_average!I6*BOM_average!I17)/1000000</f>
        <v>2033.1127192148369</v>
      </c>
      <c r="K168" s="299">
        <f>K67*(BOM_average!J6*BOM_average!J17)/1000000</f>
        <v>2152.7208971253972</v>
      </c>
      <c r="L168" s="299">
        <f>L67*(BOM_average!K6*BOM_average!K17)/1000000</f>
        <v>2222.9840888994577</v>
      </c>
      <c r="M168" s="299">
        <f>M67*(BOM_average!L6*BOM_average!L17)/1000000</f>
        <v>2265.2413778624091</v>
      </c>
      <c r="N168" s="299">
        <f>N67*(BOM_average!M6*BOM_average!M17)/1000000</f>
        <v>2279.729090176269</v>
      </c>
      <c r="O168" s="299">
        <f>O67*(BOM_average!N6*BOM_average!N17)/1000000</f>
        <v>2286.5433003602047</v>
      </c>
      <c r="P168" s="299">
        <f>P67*(BOM_average!O6*BOM_average!O17)/1000000</f>
        <v>2332.8561299798089</v>
      </c>
      <c r="Q168" s="299">
        <f>Q67*(BOM_average!P6*BOM_average!P17)/1000000</f>
        <v>2461.6864561950615</v>
      </c>
      <c r="R168" s="299">
        <f>R67*(BOM_average!Q6*BOM_average!Q17)/1000000</f>
        <v>2543.1534287206869</v>
      </c>
      <c r="S168" s="299">
        <f>S67*(BOM_average!R6*BOM_average!R17)/1000000</f>
        <v>2554.8002166416854</v>
      </c>
      <c r="T168" s="299">
        <f>T67*(BOM_average!S6*BOM_average!S17)/1000000</f>
        <v>2530.5817954836702</v>
      </c>
      <c r="U168" s="299">
        <f>U67*(BOM_average!T6*BOM_average!T17)/1000000</f>
        <v>2491.8134489408753</v>
      </c>
      <c r="V168" s="299">
        <f>V67*(BOM_average!U6*BOM_average!U17)/1000000</f>
        <v>2453.2442677325012</v>
      </c>
      <c r="W168" s="299">
        <f>W67*(BOM_average!V6*BOM_average!V17)/1000000</f>
        <v>2423.7807418973657</v>
      </c>
      <c r="X168" s="299">
        <f>X67*(BOM_average!W6*BOM_average!W17)/1000000</f>
        <v>2408.0270562209021</v>
      </c>
      <c r="Y168" s="299">
        <f>Y67*(BOM_average!X6*BOM_average!X17)/1000000</f>
        <v>2407.4658859704605</v>
      </c>
      <c r="Z168" s="299">
        <f>Z67*(BOM_average!Y6*BOM_average!Y17)/1000000</f>
        <v>2421.539818732097</v>
      </c>
      <c r="AA168" s="299">
        <f>AA67*(BOM_average!Z6*BOM_average!Z17)/1000000</f>
        <v>2448.5486422589383</v>
      </c>
      <c r="AB168" s="299">
        <f>AB67*(BOM_average!AA6*BOM_average!AA17)/1000000</f>
        <v>2486.3232498165762</v>
      </c>
    </row>
    <row r="169" spans="2:28">
      <c r="B169" s="294" t="s">
        <v>217</v>
      </c>
      <c r="C169" s="299">
        <f>C67*(BOM_average!B7*BOM_average!B17)/1000000</f>
        <v>0</v>
      </c>
      <c r="D169" s="299">
        <f>D67*(BOM_average!C7*BOM_average!C17)/1000000</f>
        <v>16.595670277003723</v>
      </c>
      <c r="E169" s="299">
        <f>E67*(BOM_average!D7*BOM_average!D17)/1000000</f>
        <v>56.780674495744421</v>
      </c>
      <c r="F169" s="299">
        <f>F67*(BOM_average!E7*BOM_average!E17)/1000000</f>
        <v>109.75234408150835</v>
      </c>
      <c r="G169" s="299">
        <f>G67*(BOM_average!F7*BOM_average!F17)/1000000</f>
        <v>155.3312579567702</v>
      </c>
      <c r="H169" s="299">
        <f>H67*(BOM_average!G7*BOM_average!G17)/1000000</f>
        <v>188.89561970299303</v>
      </c>
      <c r="I169" s="299">
        <f>I67*(BOM_average!H7*BOM_average!H17)/1000000</f>
        <v>215.28773969298115</v>
      </c>
      <c r="J169" s="299">
        <f>J67*(BOM_average!I7*BOM_average!I17)/1000000</f>
        <v>235.5225915648891</v>
      </c>
      <c r="K169" s="299">
        <f>K67*(BOM_average!J7*BOM_average!J17)/1000000</f>
        <v>249.37840377225581</v>
      </c>
      <c r="L169" s="299">
        <f>L67*(BOM_average!K7*BOM_average!K17)/1000000</f>
        <v>257.51792740114655</v>
      </c>
      <c r="M169" s="299">
        <f>M67*(BOM_average!L7*BOM_average!L17)/1000000</f>
        <v>262.41315338394617</v>
      </c>
      <c r="N169" s="299">
        <f>N67*(BOM_average!M7*BOM_average!M17)/1000000</f>
        <v>264.09145853533221</v>
      </c>
      <c r="O169" s="299">
        <f>O67*(BOM_average!N7*BOM_average!N17)/1000000</f>
        <v>264.88083948151416</v>
      </c>
      <c r="P169" s="299">
        <f>P67*(BOM_average!O7*BOM_average!O17)/1000000</f>
        <v>270.24587288651139</v>
      </c>
      <c r="Q169" s="299">
        <f>Q67*(BOM_average!P7*BOM_average!P17)/1000000</f>
        <v>285.17000966240261</v>
      </c>
      <c r="R169" s="299">
        <f>R67*(BOM_average!Q7*BOM_average!Q17)/1000000</f>
        <v>294.60741680409365</v>
      </c>
      <c r="S169" s="299">
        <f>S67*(BOM_average!R7*BOM_average!R17)/1000000</f>
        <v>295.95661975218184</v>
      </c>
      <c r="T169" s="299">
        <f>T67*(BOM_average!S7*BOM_average!S17)/1000000</f>
        <v>293.1510766748907</v>
      </c>
      <c r="U169" s="299">
        <f>U67*(BOM_average!T7*BOM_average!T17)/1000000</f>
        <v>288.66002147556515</v>
      </c>
      <c r="V169" s="299">
        <f>V67*(BOM_average!U7*BOM_average!U17)/1000000</f>
        <v>284.19203825610043</v>
      </c>
      <c r="W169" s="299">
        <f>W67*(BOM_average!V7*BOM_average!V17)/1000000</f>
        <v>280.77888467354353</v>
      </c>
      <c r="X169" s="299">
        <f>X67*(BOM_average!W7*BOM_average!W17)/1000000</f>
        <v>278.953924924803</v>
      </c>
      <c r="Y169" s="299">
        <f>Y67*(BOM_average!X7*BOM_average!X17)/1000000</f>
        <v>278.88891708217625</v>
      </c>
      <c r="Z169" s="299">
        <f>Z67*(BOM_average!Y7*BOM_average!Y17)/1000000</f>
        <v>280.51928862341123</v>
      </c>
      <c r="AA169" s="299">
        <f>AA67*(BOM_average!Z7*BOM_average!Z17)/1000000</f>
        <v>283.64808126340665</v>
      </c>
      <c r="AB169" s="299">
        <f>AB67*(BOM_average!AA7*BOM_average!AA17)/1000000</f>
        <v>288.02401840808068</v>
      </c>
    </row>
    <row r="170" spans="2:28">
      <c r="B170" s="294" t="s">
        <v>313</v>
      </c>
      <c r="C170" s="299">
        <f>C67*(BOM_average!B8*BOM_average!B17)/1000000</f>
        <v>0</v>
      </c>
      <c r="D170" s="299">
        <f>D67*(BOM_average!C8*BOM_average!C17)/1000000</f>
        <v>107.22749856139075</v>
      </c>
      <c r="E170" s="299">
        <f>E67*(BOM_average!D8*BOM_average!D17)/1000000</f>
        <v>366.86976730574537</v>
      </c>
      <c r="F170" s="299">
        <f>F67*(BOM_average!E8*BOM_average!E17)/1000000</f>
        <v>709.12889450548573</v>
      </c>
      <c r="G170" s="299">
        <f>G67*(BOM_average!F8*BOM_average!F17)/1000000</f>
        <v>1003.6221472885107</v>
      </c>
      <c r="H170" s="299">
        <f>H67*(BOM_average!G8*BOM_average!G17)/1000000</f>
        <v>1220.4872989084606</v>
      </c>
      <c r="I170" s="299">
        <f>I67*(BOM_average!H8*BOM_average!H17)/1000000</f>
        <v>1391.0113549437219</v>
      </c>
      <c r="J170" s="299">
        <f>J67*(BOM_average!I8*BOM_average!I17)/1000000</f>
        <v>1521.7522357740381</v>
      </c>
      <c r="K170" s="299">
        <f>K67*(BOM_average!J8*BOM_average!J17)/1000000</f>
        <v>1611.2770370465153</v>
      </c>
      <c r="L170" s="299">
        <f>L67*(BOM_average!K8*BOM_average!K17)/1000000</f>
        <v>1663.8679082580675</v>
      </c>
      <c r="M170" s="299">
        <f>M67*(BOM_average!L8*BOM_average!L17)/1000000</f>
        <v>1695.4968107529351</v>
      </c>
      <c r="N170" s="299">
        <f>N67*(BOM_average!M8*BOM_average!M17)/1000000</f>
        <v>1706.3406308699928</v>
      </c>
      <c r="O170" s="299">
        <f>O67*(BOM_average!N8*BOM_average!N17)/1000000</f>
        <v>1711.4409578142081</v>
      </c>
      <c r="P170" s="299">
        <f>P67*(BOM_average!O8*BOM_average!O17)/1000000</f>
        <v>1746.1053673929705</v>
      </c>
      <c r="Q170" s="299">
        <f>Q67*(BOM_average!P8*BOM_average!P17)/1000000</f>
        <v>1842.5327986419722</v>
      </c>
      <c r="R170" s="299">
        <f>R67*(BOM_average!Q8*BOM_average!Q17)/1000000</f>
        <v>1903.5095199083116</v>
      </c>
      <c r="S170" s="299">
        <f>S67*(BOM_average!R8*BOM_average!R17)/1000000</f>
        <v>1912.2269537184793</v>
      </c>
      <c r="T170" s="299">
        <f>T67*(BOM_average!S8*BOM_average!S17)/1000000</f>
        <v>1894.0998542242812</v>
      </c>
      <c r="U170" s="299">
        <f>U67*(BOM_average!T8*BOM_average!T17)/1000000</f>
        <v>1865.0823691280571</v>
      </c>
      <c r="V170" s="299">
        <f>V67*(BOM_average!U8*BOM_average!U17)/1000000</f>
        <v>1836.213956087739</v>
      </c>
      <c r="W170" s="299">
        <f>W67*(BOM_average!V8*BOM_average!V17)/1000000</f>
        <v>1814.1609799346418</v>
      </c>
      <c r="X170" s="299">
        <f>X67*(BOM_average!W8*BOM_average!W17)/1000000</f>
        <v>1802.3695990764777</v>
      </c>
      <c r="Y170" s="299">
        <f>Y67*(BOM_average!X8*BOM_average!X17)/1000000</f>
        <v>1801.94957215166</v>
      </c>
      <c r="Z170" s="299">
        <f>Z67*(BOM_average!Y8*BOM_average!Y17)/1000000</f>
        <v>1812.4836849156711</v>
      </c>
      <c r="AA170" s="299">
        <f>AA67*(BOM_average!Z8*BOM_average!Z17)/1000000</f>
        <v>1832.6993557927242</v>
      </c>
      <c r="AB170" s="299">
        <f>AB67*(BOM_average!AA8*BOM_average!AA17)/1000000</f>
        <v>1860.9730432095835</v>
      </c>
    </row>
    <row r="171" spans="2:28">
      <c r="B171" s="294" t="s">
        <v>6911</v>
      </c>
      <c r="C171" s="299">
        <f>C67*(BOM_average!B9*BOM_average!B17)/1000000</f>
        <v>0</v>
      </c>
      <c r="D171" s="299">
        <f>D67*(BOM_average!C9*BOM_average!C17)/1000000</f>
        <v>262.7367566709259</v>
      </c>
      <c r="E171" s="299">
        <f>E67*(BOM_average!D9*BOM_average!D17)/1000000</f>
        <v>898.93146884651765</v>
      </c>
      <c r="F171" s="299">
        <f>F67*(BOM_average!E9*BOM_average!E17)/1000000</f>
        <v>1737.5601250022671</v>
      </c>
      <c r="G171" s="299">
        <f>G67*(BOM_average!F9*BOM_average!F17)/1000000</f>
        <v>2459.1492988221175</v>
      </c>
      <c r="H171" s="299">
        <f>H67*(BOM_average!G9*BOM_average!G17)/1000000</f>
        <v>2990.5283511736229</v>
      </c>
      <c r="I171" s="299">
        <f>I67*(BOM_average!H9*BOM_average!H17)/1000000</f>
        <v>3408.3590197816839</v>
      </c>
      <c r="J171" s="299">
        <f>J67*(BOM_average!I9*BOM_average!I17)/1000000</f>
        <v>3728.7100067441438</v>
      </c>
      <c r="K171" s="299">
        <f>K67*(BOM_average!J9*BOM_average!J17)/1000000</f>
        <v>3948.0703037156636</v>
      </c>
      <c r="L171" s="299">
        <f>L67*(BOM_average!K9*BOM_average!K17)/1000000</f>
        <v>4076.932350466765</v>
      </c>
      <c r="M171" s="299">
        <f>M67*(BOM_average!L9*BOM_average!L17)/1000000</f>
        <v>4154.4318293322985</v>
      </c>
      <c r="N171" s="299">
        <f>N67*(BOM_average!M9*BOM_average!M17)/1000000</f>
        <v>4181.0021603173809</v>
      </c>
      <c r="O171" s="299">
        <f>O67*(BOM_average!N9*BOM_average!N17)/1000000</f>
        <v>4193.4993590515023</v>
      </c>
      <c r="P171" s="299">
        <f>P67*(BOM_average!O9*BOM_average!O17)/1000000</f>
        <v>4278.4366621391264</v>
      </c>
      <c r="Q171" s="299">
        <f>Q67*(BOM_average!P9*BOM_average!P17)/1000000</f>
        <v>4514.7102941866597</v>
      </c>
      <c r="R171" s="299">
        <f>R67*(BOM_average!Q9*BOM_average!Q17)/1000000</f>
        <v>4664.119971675058</v>
      </c>
      <c r="S171" s="299">
        <f>S67*(BOM_average!R9*BOM_average!R17)/1000000</f>
        <v>4685.4800734820183</v>
      </c>
      <c r="T171" s="299">
        <f>T67*(BOM_average!S9*BOM_average!S17)/1000000</f>
        <v>4641.0637120742203</v>
      </c>
      <c r="U171" s="299">
        <f>U67*(BOM_average!T9*BOM_average!T17)/1000000</f>
        <v>4569.9629214821134</v>
      </c>
      <c r="V171" s="299">
        <f>V67*(BOM_average!U9*BOM_average!U17)/1000000</f>
        <v>4499.2273982794777</v>
      </c>
      <c r="W171" s="299">
        <f>W67*(BOM_average!V9*BOM_average!V17)/1000000</f>
        <v>4445.1915631892034</v>
      </c>
      <c r="X171" s="299">
        <f>X67*(BOM_average!W9*BOM_average!W17)/1000000</f>
        <v>4416.2994487138112</v>
      </c>
      <c r="Y171" s="299">
        <f>Y67*(BOM_average!X9*BOM_average!X17)/1000000</f>
        <v>4415.2702676415893</v>
      </c>
      <c r="Z171" s="299">
        <f>Z67*(BOM_average!Y9*BOM_average!Y17)/1000000</f>
        <v>4441.0817307378529</v>
      </c>
      <c r="AA171" s="299">
        <f>AA67*(BOM_average!Z9*BOM_average!Z17)/1000000</f>
        <v>4490.6156643968843</v>
      </c>
      <c r="AB171" s="299">
        <f>AB67*(BOM_average!AA9*BOM_average!AA17)/1000000</f>
        <v>4559.893946840265</v>
      </c>
    </row>
    <row r="172" spans="2:28">
      <c r="B172" s="294" t="s">
        <v>441</v>
      </c>
      <c r="C172" s="299">
        <f>C67*(BOM_average!B10*BOM_average!B17)/1000000</f>
        <v>0</v>
      </c>
      <c r="D172" s="299">
        <f>D67*(BOM_average!C10*BOM_average!C17)/1000000</f>
        <v>129.76423657577683</v>
      </c>
      <c r="E172" s="299">
        <f>E67*(BOM_average!D10*BOM_average!D17)/1000000</f>
        <v>443.97729981462589</v>
      </c>
      <c r="F172" s="299">
        <f>F67*(BOM_average!E10*BOM_average!E17)/1000000</f>
        <v>858.17137267867145</v>
      </c>
      <c r="G172" s="299">
        <f>G67*(BOM_average!F10*BOM_average!F17)/1000000</f>
        <v>1214.5602900441879</v>
      </c>
      <c r="H172" s="299">
        <f>H67*(BOM_average!G10*BOM_average!G17)/1000000</f>
        <v>1477.0054763761361</v>
      </c>
      <c r="I172" s="299">
        <f>I67*(BOM_average!H10*BOM_average!H17)/1000000</f>
        <v>1683.3697415702159</v>
      </c>
      <c r="J172" s="299">
        <f>J67*(BOM_average!I10*BOM_average!I17)/1000000</f>
        <v>1841.5893290622937</v>
      </c>
      <c r="K172" s="299">
        <f>K67*(BOM_average!J10*BOM_average!J17)/1000000</f>
        <v>1949.9301711744504</v>
      </c>
      <c r="L172" s="299">
        <f>L67*(BOM_average!K10*BOM_average!K17)/1000000</f>
        <v>2013.5744261014165</v>
      </c>
      <c r="M172" s="299">
        <f>M67*(BOM_average!L10*BOM_average!L17)/1000000</f>
        <v>2051.8509917309543</v>
      </c>
      <c r="N172" s="299">
        <f>N67*(BOM_average!M10*BOM_average!M17)/1000000</f>
        <v>2064.9739318156694</v>
      </c>
      <c r="O172" s="299">
        <f>O67*(BOM_average!N10*BOM_average!N17)/1000000</f>
        <v>2071.1462294173339</v>
      </c>
      <c r="P172" s="299">
        <f>P67*(BOM_average!O10*BOM_average!O17)/1000000</f>
        <v>2113.0962954515876</v>
      </c>
      <c r="Q172" s="299">
        <f>Q67*(BOM_average!P10*BOM_average!P17)/1000000</f>
        <v>2229.7905405740357</v>
      </c>
      <c r="R172" s="299">
        <f>R67*(BOM_average!Q10*BOM_average!Q17)/1000000</f>
        <v>2303.5831571153071</v>
      </c>
      <c r="S172" s="299">
        <f>S67*(BOM_average!R10*BOM_average!R17)/1000000</f>
        <v>2314.1327937146229</v>
      </c>
      <c r="T172" s="299">
        <f>T67*(BOM_average!S10*BOM_average!S17)/1000000</f>
        <v>2292.1957975265505</v>
      </c>
      <c r="U172" s="299">
        <f>U67*(BOM_average!T10*BOM_average!T17)/1000000</f>
        <v>2257.0795087817869</v>
      </c>
      <c r="V172" s="299">
        <f>V67*(BOM_average!U10*BOM_average!U17)/1000000</f>
        <v>2222.1436235882484</v>
      </c>
      <c r="W172" s="299">
        <f>W67*(BOM_average!V10*BOM_average!V17)/1000000</f>
        <v>2195.455622346738</v>
      </c>
      <c r="X172" s="299">
        <f>X67*(BOM_average!W10*BOM_average!W17)/1000000</f>
        <v>2181.185966187988</v>
      </c>
      <c r="Y172" s="299">
        <f>Y67*(BOM_average!X10*BOM_average!X17)/1000000</f>
        <v>2180.6776593266745</v>
      </c>
      <c r="Z172" s="299">
        <f>Z67*(BOM_average!Y10*BOM_average!Y17)/1000000</f>
        <v>2193.4257987420724</v>
      </c>
      <c r="AA172" s="299">
        <f>AA67*(BOM_average!Z10*BOM_average!Z17)/1000000</f>
        <v>2217.8903356698465</v>
      </c>
      <c r="AB172" s="299">
        <f>AB67*(BOM_average!AA10*BOM_average!AA17)/1000000</f>
        <v>2252.1064976810339</v>
      </c>
    </row>
    <row r="173" spans="2:28">
      <c r="B173" s="294" t="s">
        <v>6912</v>
      </c>
      <c r="C173" s="299">
        <f>C67*(BOM_average!B11*BOM_average!B17)/1000000</f>
        <v>0</v>
      </c>
      <c r="D173" s="299">
        <f>D67*(BOM_average!C11*BOM_average!C17)/1000000</f>
        <v>115.48798675376024</v>
      </c>
      <c r="E173" s="299">
        <f>E67*(BOM_average!D11*BOM_average!D17)/1000000</f>
        <v>395.13232515354781</v>
      </c>
      <c r="F173" s="299">
        <f>F67*(BOM_average!E11*BOM_average!E17)/1000000</f>
        <v>763.75807954216623</v>
      </c>
      <c r="G173" s="299">
        <f>G67*(BOM_average!F11*BOM_average!F17)/1000000</f>
        <v>1080.9382183384271</v>
      </c>
      <c r="H173" s="299">
        <f>H67*(BOM_average!G11*BOM_average!G17)/1000000</f>
        <v>1314.5100174912145</v>
      </c>
      <c r="I173" s="299">
        <f>I67*(BOM_average!H11*BOM_average!H17)/1000000</f>
        <v>1498.1707406155413</v>
      </c>
      <c r="J173" s="299">
        <f>J67*(BOM_average!I11*BOM_average!I17)/1000000</f>
        <v>1638.9835108105103</v>
      </c>
      <c r="K173" s="299">
        <f>K67*(BOM_average!J11*BOM_average!J17)/1000000</f>
        <v>1735.4050370253503</v>
      </c>
      <c r="L173" s="299">
        <f>L67*(BOM_average!K11*BOM_average!K17)/1000000</f>
        <v>1792.0473528429775</v>
      </c>
      <c r="M173" s="299">
        <f>M67*(BOM_average!L11*BOM_average!L17)/1000000</f>
        <v>1826.1128520980212</v>
      </c>
      <c r="N173" s="299">
        <f>N67*(BOM_average!M11*BOM_average!M17)/1000000</f>
        <v>1837.7920479278291</v>
      </c>
      <c r="O173" s="299">
        <f>O67*(BOM_average!N11*BOM_average!N17)/1000000</f>
        <v>1843.2852889198878</v>
      </c>
      <c r="P173" s="299">
        <f>P67*(BOM_average!O11*BOM_average!O17)/1000000</f>
        <v>1880.6201417138941</v>
      </c>
      <c r="Q173" s="299">
        <f>Q67*(BOM_average!P11*BOM_average!P17)/1000000</f>
        <v>1984.4760560287102</v>
      </c>
      <c r="R173" s="299">
        <f>R67*(BOM_average!Q11*BOM_average!Q17)/1000000</f>
        <v>2050.1502428965773</v>
      </c>
      <c r="S173" s="299">
        <f>S67*(BOM_average!R11*BOM_average!R17)/1000000</f>
        <v>2059.5392419304308</v>
      </c>
      <c r="T173" s="299">
        <f>T67*(BOM_average!S11*BOM_average!S17)/1000000</f>
        <v>2040.015684500137</v>
      </c>
      <c r="U173" s="299">
        <f>U67*(BOM_average!T11*BOM_average!T17)/1000000</f>
        <v>2008.7627784883314</v>
      </c>
      <c r="V173" s="299">
        <f>V67*(BOM_average!U11*BOM_average!U17)/1000000</f>
        <v>1977.6704286011097</v>
      </c>
      <c r="W173" s="299">
        <f>W67*(BOM_average!V11*BOM_average!V17)/1000000</f>
        <v>1953.9185566277861</v>
      </c>
      <c r="X173" s="299">
        <f>X67*(BOM_average!W11*BOM_average!W17)/1000000</f>
        <v>1941.2188027901402</v>
      </c>
      <c r="Y173" s="299">
        <f>Y67*(BOM_average!X11*BOM_average!X17)/1000000</f>
        <v>1940.766418237853</v>
      </c>
      <c r="Z173" s="299">
        <f>Z67*(BOM_average!Y11*BOM_average!Y17)/1000000</f>
        <v>1952.1120477794786</v>
      </c>
      <c r="AA173" s="299">
        <f>AA67*(BOM_average!Z11*BOM_average!Z17)/1000000</f>
        <v>1973.8850739321945</v>
      </c>
      <c r="AB173" s="299">
        <f>AB67*(BOM_average!AA11*BOM_average!AA17)/1000000</f>
        <v>2004.336882299325</v>
      </c>
    </row>
    <row r="174" spans="2:28">
      <c r="B174" s="294" t="s">
        <v>443</v>
      </c>
      <c r="C174" s="299">
        <f>C67*(BOM_average!B12*BOM_average!B17)/1000000</f>
        <v>0</v>
      </c>
      <c r="D174" s="299">
        <f>D67*(BOM_average!C12*BOM_average!C17)/1000000</f>
        <v>76.395383837540265</v>
      </c>
      <c r="E174" s="299">
        <f>E67*(BOM_average!D12*BOM_average!D17)/1000000</f>
        <v>261.38030885487058</v>
      </c>
      <c r="F174" s="299">
        <f>F67*(BOM_average!E12*BOM_average!E17)/1000000</f>
        <v>505.22650264960674</v>
      </c>
      <c r="G174" s="299">
        <f>G67*(BOM_average!F12*BOM_average!F17)/1000000</f>
        <v>715.0413858257192</v>
      </c>
      <c r="H174" s="299">
        <f>H67*(BOM_average!G12*BOM_average!G17)/1000000</f>
        <v>869.54929397679007</v>
      </c>
      <c r="I174" s="299">
        <f>I67*(BOM_average!H12*BOM_average!H17)/1000000</f>
        <v>991.04099050172147</v>
      </c>
      <c r="J174" s="299">
        <f>J67*(BOM_average!I12*BOM_average!I17)/1000000</f>
        <v>1084.1887362599768</v>
      </c>
      <c r="K174" s="299">
        <f>K67*(BOM_average!J12*BOM_average!J17)/1000000</f>
        <v>1147.9716431443962</v>
      </c>
      <c r="L174" s="299">
        <f>L67*(BOM_average!K12*BOM_average!K17)/1000000</f>
        <v>1185.4405745888516</v>
      </c>
      <c r="M174" s="299">
        <f>M67*(BOM_average!L12*BOM_average!L17)/1000000</f>
        <v>1207.9749261206293</v>
      </c>
      <c r="N174" s="299">
        <f>N67*(BOM_average!M12*BOM_average!M17)/1000000</f>
        <v>1215.7007223130447</v>
      </c>
      <c r="O174" s="299">
        <f>O67*(BOM_average!N12*BOM_average!N17)/1000000</f>
        <v>1219.3345050630658</v>
      </c>
      <c r="P174" s="299">
        <f>P67*(BOM_average!O12*BOM_average!O17)/1000000</f>
        <v>1244.0315362425733</v>
      </c>
      <c r="Q174" s="299">
        <f>Q67*(BOM_average!P12*BOM_average!P17)/1000000</f>
        <v>1312.7322960436418</v>
      </c>
      <c r="R174" s="299">
        <f>R67*(BOM_average!Q12*BOM_average!Q17)/1000000</f>
        <v>1356.175816491241</v>
      </c>
      <c r="S174" s="299">
        <f>S67*(BOM_average!R12*BOM_average!R17)/1000000</f>
        <v>1362.3866459047879</v>
      </c>
      <c r="T174" s="299">
        <f>T67*(BOM_average!S12*BOM_average!S17)/1000000</f>
        <v>1349.471799039012</v>
      </c>
      <c r="U174" s="299">
        <f>U67*(BOM_average!T12*BOM_average!T17)/1000000</f>
        <v>1328.7979799005661</v>
      </c>
      <c r="V174" s="299">
        <f>V67*(BOM_average!U12*BOM_average!U17)/1000000</f>
        <v>1308.2303687505857</v>
      </c>
      <c r="W174" s="299">
        <f>W67*(BOM_average!V12*BOM_average!V17)/1000000</f>
        <v>1292.5184888636238</v>
      </c>
      <c r="X174" s="299">
        <f>X67*(BOM_average!W12*BOM_average!W17)/1000000</f>
        <v>1284.1175928367679</v>
      </c>
      <c r="Y174" s="299">
        <f>Y67*(BOM_average!X12*BOM_average!X17)/1000000</f>
        <v>1283.8183401397073</v>
      </c>
      <c r="Z174" s="299">
        <f>Z67*(BOM_average!Y12*BOM_average!Y17)/1000000</f>
        <v>1291.3234819996921</v>
      </c>
      <c r="AA174" s="299">
        <f>AA67*(BOM_average!Z12*BOM_average!Z17)/1000000</f>
        <v>1305.7263539952712</v>
      </c>
      <c r="AB174" s="299">
        <f>AB67*(BOM_average!AA12*BOM_average!AA17)/1000000</f>
        <v>1325.8702464826724</v>
      </c>
    </row>
    <row r="175" spans="2:28">
      <c r="B175" s="294" t="s">
        <v>445</v>
      </c>
      <c r="C175" s="299">
        <f>C67*(BOM_average!B13*BOM_average!B17)/1000000</f>
        <v>0</v>
      </c>
      <c r="D175" s="299">
        <f>D67*(BOM_average!C13*BOM_average!C17)/1000000</f>
        <v>0</v>
      </c>
      <c r="E175" s="299">
        <f>E67*(BOM_average!D13*BOM_average!D17)/1000000</f>
        <v>0</v>
      </c>
      <c r="F175" s="299">
        <f>F67*(BOM_average!E13*BOM_average!E17)/1000000</f>
        <v>0</v>
      </c>
      <c r="G175" s="299">
        <f>G67*(BOM_average!F13*BOM_average!F17)/1000000</f>
        <v>0</v>
      </c>
      <c r="H175" s="299">
        <f>H67*(BOM_average!G13*BOM_average!G17)/1000000</f>
        <v>0</v>
      </c>
      <c r="I175" s="299">
        <f>I67*(BOM_average!H13*BOM_average!H17)/1000000</f>
        <v>0</v>
      </c>
      <c r="J175" s="299">
        <f>J67*(BOM_average!I13*BOM_average!I17)/1000000</f>
        <v>0</v>
      </c>
      <c r="K175" s="299">
        <f>K67*(BOM_average!J13*BOM_average!J17)/1000000</f>
        <v>0</v>
      </c>
      <c r="L175" s="299">
        <f>L67*(BOM_average!K13*BOM_average!K17)/1000000</f>
        <v>0</v>
      </c>
      <c r="M175" s="299">
        <f>M67*(BOM_average!L13*BOM_average!L17)/1000000</f>
        <v>0</v>
      </c>
      <c r="N175" s="299">
        <f>N67*(BOM_average!M13*BOM_average!M17)/1000000</f>
        <v>0</v>
      </c>
      <c r="O175" s="299">
        <f>O67*(BOM_average!N13*BOM_average!N17)/1000000</f>
        <v>0</v>
      </c>
      <c r="P175" s="299">
        <f>P67*(BOM_average!O13*BOM_average!O17)/1000000</f>
        <v>0</v>
      </c>
      <c r="Q175" s="299">
        <f>Q67*(BOM_average!P13*BOM_average!P17)/1000000</f>
        <v>0</v>
      </c>
      <c r="R175" s="299">
        <f>R67*(BOM_average!Q13*BOM_average!Q17)/1000000</f>
        <v>0</v>
      </c>
      <c r="S175" s="299">
        <f>S67*(BOM_average!R13*BOM_average!R17)/1000000</f>
        <v>0</v>
      </c>
      <c r="T175" s="299">
        <f>T67*(BOM_average!S13*BOM_average!S17)/1000000</f>
        <v>0</v>
      </c>
      <c r="U175" s="299">
        <f>U67*(BOM_average!T13*BOM_average!T17)/1000000</f>
        <v>0</v>
      </c>
      <c r="V175" s="299">
        <f>V67*(BOM_average!U13*BOM_average!U17)/1000000</f>
        <v>0</v>
      </c>
      <c r="W175" s="299">
        <f>W67*(BOM_average!V13*BOM_average!V17)/1000000</f>
        <v>0</v>
      </c>
      <c r="X175" s="299">
        <f>X67*(BOM_average!W13*BOM_average!W17)/1000000</f>
        <v>0</v>
      </c>
      <c r="Y175" s="299">
        <f>Y67*(BOM_average!X13*BOM_average!X17)/1000000</f>
        <v>0</v>
      </c>
      <c r="Z175" s="299">
        <f>Z67*(BOM_average!Y13*BOM_average!Y17)/1000000</f>
        <v>0</v>
      </c>
      <c r="AA175" s="299">
        <f>AA67*(BOM_average!Z13*BOM_average!Z17)/1000000</f>
        <v>0</v>
      </c>
      <c r="AB175" s="299">
        <f>AB67*(BOM_average!AA13*BOM_average!AA17)/1000000</f>
        <v>0</v>
      </c>
    </row>
    <row r="176" spans="2:28">
      <c r="B176" s="294" t="s">
        <v>6915</v>
      </c>
      <c r="C176" s="299">
        <f>C67*(BOM_average!B14*BOM_average!B17)/1000000</f>
        <v>0</v>
      </c>
      <c r="D176" s="299">
        <f>D67*(BOM_average!C14*BOM_average!C17)/1000000</f>
        <v>54.067934697424057</v>
      </c>
      <c r="E176" s="299">
        <f>E67*(BOM_average!D14*BOM_average!D17)/1000000</f>
        <v>184.9888404306065</v>
      </c>
      <c r="F176" s="299">
        <f>F67*(BOM_average!E14*BOM_average!E17)/1000000</f>
        <v>357.56811708358322</v>
      </c>
      <c r="G176" s="299">
        <f>G67*(BOM_average!F14*BOM_average!F17)/1000000</f>
        <v>506.06213376707819</v>
      </c>
      <c r="H176" s="299">
        <f>H67*(BOM_average!G14*BOM_average!G17)/1000000</f>
        <v>615.41328914464464</v>
      </c>
      <c r="I176" s="299">
        <f>I67*(BOM_average!H14*BOM_average!H17)/1000000</f>
        <v>701.39760892970185</v>
      </c>
      <c r="J176" s="299">
        <f>J67*(BOM_average!I14*BOM_average!I17)/1000000</f>
        <v>767.32183081174173</v>
      </c>
      <c r="K176" s="299">
        <f>K67*(BOM_average!J14*BOM_average!J17)/1000000</f>
        <v>812.46343323594533</v>
      </c>
      <c r="L176" s="299">
        <f>L67*(BOM_average!K14*BOM_average!K17)/1000000</f>
        <v>838.9816289273133</v>
      </c>
      <c r="M176" s="299">
        <f>M67*(BOM_average!L14*BOM_average!L17)/1000000</f>
        <v>854.93005127780418</v>
      </c>
      <c r="N176" s="299">
        <f>N67*(BOM_average!M14*BOM_average!M17)/1000000</f>
        <v>860.39789269745643</v>
      </c>
      <c r="O176" s="299">
        <f>O67*(BOM_average!N14*BOM_average!N17)/1000000</f>
        <v>862.96965971482712</v>
      </c>
      <c r="P176" s="299">
        <f>P67*(BOM_average!O14*BOM_average!O17)/1000000</f>
        <v>880.448693158438</v>
      </c>
      <c r="Q176" s="299">
        <f>Q67*(BOM_average!P14*BOM_average!P17)/1000000</f>
        <v>929.07084816307452</v>
      </c>
      <c r="R176" s="299">
        <f>R67*(BOM_average!Q14*BOM_average!Q17)/1000000</f>
        <v>959.81748897558873</v>
      </c>
      <c r="S176" s="299">
        <f>S67*(BOM_average!R14*BOM_average!R17)/1000000</f>
        <v>964.21313046961654</v>
      </c>
      <c r="T176" s="299">
        <f>T67*(BOM_average!S14*BOM_average!S17)/1000000</f>
        <v>955.07279944580853</v>
      </c>
      <c r="U176" s="299">
        <f>U67*(BOM_average!T14*BOM_average!T17)/1000000</f>
        <v>940.44114702161357</v>
      </c>
      <c r="V176" s="299">
        <f>V67*(BOM_average!U14*BOM_average!U17)/1000000</f>
        <v>925.88466205252189</v>
      </c>
      <c r="W176" s="299">
        <f>W67*(BOM_average!V14*BOM_average!V17)/1000000</f>
        <v>914.76476379389715</v>
      </c>
      <c r="X176" s="299">
        <f>X67*(BOM_average!W14*BOM_average!W17)/1000000</f>
        <v>908.81912840386076</v>
      </c>
      <c r="Y176" s="299">
        <f>Y67*(BOM_average!X14*BOM_average!X17)/1000000</f>
        <v>908.60733582595969</v>
      </c>
      <c r="Z176" s="299">
        <f>Z67*(BOM_average!Y14*BOM_average!Y17)/1000000</f>
        <v>913.91901173616259</v>
      </c>
      <c r="AA176" s="299">
        <f>AA67*(BOM_average!Z14*BOM_average!Z17)/1000000</f>
        <v>924.11247505023334</v>
      </c>
      <c r="AB176" s="299">
        <f>AB67*(BOM_average!AA14*BOM_average!AA17)/1000000</f>
        <v>938.36907811772846</v>
      </c>
    </row>
    <row r="177" spans="1:28" ht="17" thickBot="1">
      <c r="B177" s="391" t="s">
        <v>447</v>
      </c>
      <c r="C177" s="392">
        <f>C67*(BOM_average!B15*BOM_average!B17)/1000000</f>
        <v>0</v>
      </c>
      <c r="D177" s="392">
        <f>D67*(BOM_average!C15*BOM_average!C17)/1000000</f>
        <v>23.047027731486796</v>
      </c>
      <c r="E177" s="392">
        <f>E67*(BOM_average!D15*BOM_average!D17)/1000000</f>
        <v>78.853445379020485</v>
      </c>
      <c r="F177" s="392">
        <f>F67*(BOM_average!E15*BOM_average!E17)/1000000</f>
        <v>152.41718324250101</v>
      </c>
      <c r="G177" s="392">
        <f>G67*(BOM_average!F15*BOM_average!F17)/1000000</f>
        <v>215.71432487767842</v>
      </c>
      <c r="H177" s="392">
        <f>H67*(BOM_average!G15*BOM_average!G17)/1000000</f>
        <v>262.32640881542432</v>
      </c>
      <c r="I177" s="392">
        <f>I67*(BOM_average!H15*BOM_average!H17)/1000000</f>
        <v>298.97813249692194</v>
      </c>
      <c r="J177" s="392">
        <f>J67*(BOM_average!I15*BOM_average!I17)/1000000</f>
        <v>327.0790277575735</v>
      </c>
      <c r="K177" s="392">
        <f>K67*(BOM_average!J15*BOM_average!J17)/1000000</f>
        <v>346.32111216003057</v>
      </c>
      <c r="L177" s="392">
        <f>L67*(BOM_average!K15*BOM_average!K17)/1000000</f>
        <v>357.62477291400921</v>
      </c>
      <c r="M177" s="392">
        <f>M67*(BOM_average!L15*BOM_average!L17)/1000000</f>
        <v>364.42295624100683</v>
      </c>
      <c r="N177" s="392">
        <f>N67*(BOM_average!M15*BOM_average!M17)/1000000</f>
        <v>366.75368134702984</v>
      </c>
      <c r="O177" s="392">
        <f>O67*(BOM_average!N15*BOM_average!N17)/1000000</f>
        <v>367.84992417746093</v>
      </c>
      <c r="P177" s="392">
        <f>P67*(BOM_average!O15*BOM_average!O17)/1000000</f>
        <v>375.30054663509435</v>
      </c>
      <c r="Q177" s="392">
        <f>Q67*(BOM_average!P15*BOM_average!P17)/1000000</f>
        <v>396.02625330444664</v>
      </c>
      <c r="R177" s="392">
        <f>R67*(BOM_average!Q15*BOM_average!Q17)/1000000</f>
        <v>409.13233341314071</v>
      </c>
      <c r="S177" s="392">
        <f>S67*(BOM_average!R15*BOM_average!R17)/1000000</f>
        <v>411.00602198618253</v>
      </c>
      <c r="T177" s="392">
        <f>T67*(BOM_average!S15*BOM_average!S17)/1000000</f>
        <v>407.10985943143436</v>
      </c>
      <c r="U177" s="392">
        <f>U67*(BOM_average!T15*BOM_average!T17)/1000000</f>
        <v>400.87296318109611</v>
      </c>
      <c r="V177" s="392">
        <f>V67*(BOM_average!U15*BOM_average!U17)/1000000</f>
        <v>394.66810785172089</v>
      </c>
      <c r="W177" s="392">
        <f>W67*(BOM_average!V15*BOM_average!V17)/1000000</f>
        <v>389.92813387320587</v>
      </c>
      <c r="X177" s="392">
        <f>X67*(BOM_average!W15*BOM_average!W17)/1000000</f>
        <v>387.39374404525472</v>
      </c>
      <c r="Y177" s="392">
        <f>Y67*(BOM_average!X15*BOM_average!X17)/1000000</f>
        <v>387.30346522392512</v>
      </c>
      <c r="Z177" s="392">
        <f>Z67*(BOM_average!Y15*BOM_average!Y17)/1000000</f>
        <v>389.56762313356597</v>
      </c>
      <c r="AA177" s="392">
        <f>AA67*(BOM_average!Z15*BOM_average!Z17)/1000000</f>
        <v>393.9126944405059</v>
      </c>
      <c r="AB177" s="392">
        <f>AB67*(BOM_average!AA15*BOM_average!AA17)/1000000</f>
        <v>399.98972194473964</v>
      </c>
    </row>
    <row r="178" spans="1:28" ht="17" thickTop="1">
      <c r="B178" s="296" t="s">
        <v>7756</v>
      </c>
      <c r="C178" s="301">
        <f>C67*(BOM_average!B17)/1000000</f>
        <v>0</v>
      </c>
      <c r="D178" s="301">
        <f>D67*(BOM_average!C17)/1000000</f>
        <v>928.58207840000023</v>
      </c>
      <c r="E178" s="301">
        <f>E67*(BOM_average!D17)/1000000</f>
        <v>3177.0646112000009</v>
      </c>
      <c r="F178" s="301">
        <f>F67*(BOM_average!E17)/1000000</f>
        <v>6141.0029288000014</v>
      </c>
      <c r="G178" s="301">
        <f>G67*(BOM_average!F17)/1000000</f>
        <v>8691.2923640000026</v>
      </c>
      <c r="H178" s="301">
        <f>H67*(BOM_average!G17)/1000000</f>
        <v>10569.328277600001</v>
      </c>
      <c r="I178" s="301">
        <f>I67*(BOM_average!H17)/1000000</f>
        <v>12046.053786400002</v>
      </c>
      <c r="J178" s="301">
        <f>J67*(BOM_average!I17)/1000000</f>
        <v>13178.259988000002</v>
      </c>
      <c r="K178" s="301">
        <f>K67*(BOM_average!J17)/1000000</f>
        <v>13953.538038400004</v>
      </c>
      <c r="L178" s="301">
        <f>L67*(BOM_average!K17)/1000000</f>
        <v>14408.971030400004</v>
      </c>
      <c r="M178" s="301">
        <f>M67*(BOM_average!L17)/1000000</f>
        <v>14682.874948800003</v>
      </c>
      <c r="N178" s="301">
        <f>N67*(BOM_average!M17)/1000000</f>
        <v>14776.781616000004</v>
      </c>
      <c r="O178" s="301">
        <f>O67*(BOM_average!N17)/1000000</f>
        <v>14820.950064000004</v>
      </c>
      <c r="P178" s="301">
        <f>P67*(BOM_average!O17)/1000000</f>
        <v>15121.141245600002</v>
      </c>
      <c r="Q178" s="301">
        <f>Q67*(BOM_average!P17)/1000000</f>
        <v>15956.195552800003</v>
      </c>
      <c r="R178" s="301">
        <f>R67*(BOM_average!Q17)/1000000</f>
        <v>16484.249376000003</v>
      </c>
      <c r="S178" s="301">
        <f>S67*(BOM_average!R17)/1000000</f>
        <v>16559.741697600006</v>
      </c>
      <c r="T178" s="301">
        <f>T67*(BOM_average!S17)/1000000</f>
        <v>16402.762378400002</v>
      </c>
      <c r="U178" s="301">
        <f>U67*(BOM_average!T17)/1000000</f>
        <v>16151.473138400004</v>
      </c>
      <c r="V178" s="301">
        <f>V67*(BOM_average!U17)/1000000</f>
        <v>15901.474851200002</v>
      </c>
      <c r="W178" s="301">
        <f>W67*(BOM_average!V17)/1000000</f>
        <v>15710.497735200002</v>
      </c>
      <c r="X178" s="301">
        <f>X67*(BOM_average!W17)/1000000</f>
        <v>15608.385263200003</v>
      </c>
      <c r="Y178" s="301">
        <f>Y67*(BOM_average!X17)/1000000</f>
        <v>15604.747861600003</v>
      </c>
      <c r="Z178" s="301">
        <f>Z67*(BOM_average!Y17)/1000000</f>
        <v>15695.972486400004</v>
      </c>
      <c r="AA178" s="301">
        <f>AA67*(BOM_average!Z17)/1000000</f>
        <v>15871.038676800003</v>
      </c>
      <c r="AB178" s="301">
        <f>AB67*(BOM_average!AA17)/1000000</f>
        <v>16115.886684800003</v>
      </c>
    </row>
    <row r="179" spans="1:28">
      <c r="B179" s="295" t="s">
        <v>7757</v>
      </c>
      <c r="C179" s="299">
        <f>C67*(BOM_average!B18)/1000000</f>
        <v>0</v>
      </c>
      <c r="D179" s="299">
        <f>D67*(BOM_average!C18)/1000000</f>
        <v>1287.0935377999999</v>
      </c>
      <c r="E179" s="299">
        <f>E67*(BOM_average!D18)/1000000</f>
        <v>4403.6810804000006</v>
      </c>
      <c r="F179" s="299">
        <f>F67*(BOM_average!E18)/1000000</f>
        <v>8511.9510370999997</v>
      </c>
      <c r="G179" s="299">
        <f>G67*(BOM_average!F18)/1000000</f>
        <v>12046.868550499999</v>
      </c>
      <c r="H179" s="299">
        <f>H67*(BOM_average!G18)/1000000</f>
        <v>14649.985651700001</v>
      </c>
      <c r="I179" s="299">
        <f>I67*(BOM_average!H18)/1000000</f>
        <v>16696.852486300002</v>
      </c>
      <c r="J179" s="299">
        <f>J67*(BOM_average!I18)/1000000</f>
        <v>18266.186333500002</v>
      </c>
      <c r="K179" s="299">
        <f>K67*(BOM_average!J18)/1000000</f>
        <v>19340.787482799999</v>
      </c>
      <c r="L179" s="299">
        <f>L67*(BOM_average!K18)/1000000</f>
        <v>19972.056246799999</v>
      </c>
      <c r="M179" s="299">
        <f>M67*(BOM_average!L18)/1000000</f>
        <v>20351.710314600001</v>
      </c>
      <c r="N179" s="299">
        <f>N67*(BOM_average!M18)/1000000</f>
        <v>20481.872921999999</v>
      </c>
      <c r="O179" s="299">
        <f>O67*(BOM_average!N18)/1000000</f>
        <v>20543.094138</v>
      </c>
      <c r="P179" s="299">
        <f>P67*(BOM_average!O18)/1000000</f>
        <v>20959.1845827</v>
      </c>
      <c r="Q179" s="299">
        <f>Q67*(BOM_average!P18)/1000000</f>
        <v>22116.640695100003</v>
      </c>
      <c r="R179" s="299">
        <f>R67*(BOM_average!Q18)/1000000</f>
        <v>22848.568092000001</v>
      </c>
      <c r="S179" s="299">
        <f>S67*(BOM_average!R18)/1000000</f>
        <v>22953.206854200002</v>
      </c>
      <c r="T179" s="299">
        <f>T67*(BOM_average!S18)/1000000</f>
        <v>22735.6202003</v>
      </c>
      <c r="U179" s="299">
        <f>U67*(BOM_average!T18)/1000000</f>
        <v>22387.311995299999</v>
      </c>
      <c r="V179" s="299">
        <f>V67*(BOM_average!U18)/1000000</f>
        <v>22040.7931604</v>
      </c>
      <c r="W179" s="299">
        <f>W67*(BOM_average!V18)/1000000</f>
        <v>21776.082675900001</v>
      </c>
      <c r="X179" s="299">
        <f>X67*(BOM_average!W18)/1000000</f>
        <v>21634.546126900001</v>
      </c>
      <c r="Y179" s="299">
        <f>Y67*(BOM_average!X18)/1000000</f>
        <v>21629.5043797</v>
      </c>
      <c r="Z179" s="299">
        <f>Z67*(BOM_average!Y18)/1000000</f>
        <v>21755.949448799998</v>
      </c>
      <c r="AA179" s="299">
        <f>AA67*(BOM_average!Z18)/1000000</f>
        <v>21998.606040600003</v>
      </c>
      <c r="AB179" s="299">
        <f>AB67*(BOM_average!AA18)/1000000</f>
        <v>22337.986151600002</v>
      </c>
    </row>
    <row r="180" spans="1:28">
      <c r="B180" s="295" t="s">
        <v>7758</v>
      </c>
      <c r="C180" s="299">
        <f>C67*(BOM_average!B19)/1000000</f>
        <v>0</v>
      </c>
      <c r="D180" s="299">
        <f>D67*(BOM_average!C19)/1000000</f>
        <v>598.68565939999996</v>
      </c>
      <c r="E180" s="299">
        <f>E67*(BOM_average!D19)/1000000</f>
        <v>2048.3520692000002</v>
      </c>
      <c r="F180" s="299">
        <f>F67*(BOM_average!E19)/1000000</f>
        <v>3959.2950083000001</v>
      </c>
      <c r="G180" s="299">
        <f>G67*(BOM_average!F19)/1000000</f>
        <v>5603.5456864999996</v>
      </c>
      <c r="H180" s="299">
        <f>H67*(BOM_average!G19)/1000000</f>
        <v>6814.3736741000002</v>
      </c>
      <c r="I180" s="299">
        <f>I67*(BOM_average!H19)/1000000</f>
        <v>7766.4643999000009</v>
      </c>
      <c r="J180" s="299">
        <f>J67*(BOM_average!I19)/1000000</f>
        <v>8496.4328454999995</v>
      </c>
      <c r="K180" s="299">
        <f>K67*(BOM_average!J19)/1000000</f>
        <v>8996.2786443999994</v>
      </c>
      <c r="L180" s="299">
        <f>L67*(BOM_average!K19)/1000000</f>
        <v>9289.9104164</v>
      </c>
      <c r="M180" s="299">
        <f>M67*(BOM_average!L19)/1000000</f>
        <v>9466.5047658000003</v>
      </c>
      <c r="N180" s="299">
        <f>N67*(BOM_average!M19)/1000000</f>
        <v>9527.0493060000008</v>
      </c>
      <c r="O180" s="299">
        <f>O67*(BOM_average!N19)/1000000</f>
        <v>9555.5260739999994</v>
      </c>
      <c r="P180" s="299">
        <f>P67*(BOM_average!O19)/1000000</f>
        <v>9749.0686371000011</v>
      </c>
      <c r="Q180" s="299">
        <f>Q67*(BOM_average!P19)/1000000</f>
        <v>10287.454042300002</v>
      </c>
      <c r="R180" s="299">
        <f>R67*(BOM_average!Q19)/1000000</f>
        <v>10627.906716</v>
      </c>
      <c r="S180" s="299">
        <f>S67*(BOM_average!R19)/1000000</f>
        <v>10676.5789566</v>
      </c>
      <c r="T180" s="299">
        <f>T67*(BOM_average!S19)/1000000</f>
        <v>10575.3695219</v>
      </c>
      <c r="U180" s="299">
        <f>U67*(BOM_average!T19)/1000000</f>
        <v>10413.3555569</v>
      </c>
      <c r="V180" s="299">
        <f>V67*(BOM_average!U19)/1000000</f>
        <v>10252.173909200001</v>
      </c>
      <c r="W180" s="299">
        <f>W67*(BOM_average!V19)/1000000</f>
        <v>10129.045040700001</v>
      </c>
      <c r="X180" s="299">
        <f>X67*(BOM_average!W19)/1000000</f>
        <v>10063.209963700001</v>
      </c>
      <c r="Y180" s="299">
        <f>Y67*(BOM_average!X19)/1000000</f>
        <v>10060.864818100001</v>
      </c>
      <c r="Z180" s="299">
        <f>Z67*(BOM_average!Y19)/1000000</f>
        <v>10119.6801624</v>
      </c>
      <c r="AA180" s="299">
        <f>AA67*(BOM_average!Z19)/1000000</f>
        <v>10232.550763800002</v>
      </c>
      <c r="AB180" s="299">
        <f>AB67*(BOM_average!AA19)/1000000</f>
        <v>10390.411866800001</v>
      </c>
    </row>
    <row r="181" spans="1:28">
      <c r="Q181" s="1"/>
      <c r="R181" s="1"/>
      <c r="S181" s="1"/>
      <c r="T181" s="1"/>
      <c r="U181" s="1"/>
      <c r="V181" s="1"/>
      <c r="W181" s="1"/>
      <c r="X181" s="1"/>
      <c r="Y181" s="1"/>
      <c r="Z181" s="1"/>
      <c r="AA181" s="1"/>
      <c r="AB181" s="1"/>
    </row>
    <row r="182" spans="1:28">
      <c r="B182" s="7" t="s">
        <v>6905</v>
      </c>
      <c r="C182" s="91">
        <f>C178*Outflow_routing!B4</f>
        <v>0</v>
      </c>
      <c r="D182" s="91">
        <f>D178*Outflow_routing!C4</f>
        <v>352.26476727754527</v>
      </c>
      <c r="E182" s="91">
        <f>E178*Outflow_routing!D4</f>
        <v>1205.2439433447641</v>
      </c>
      <c r="F182" s="91">
        <f>F178*Outflow_routing!E4</f>
        <v>2329.6367848191458</v>
      </c>
      <c r="G182" s="91">
        <f>G178*Outflow_routing!F4</f>
        <v>3297.1087350952762</v>
      </c>
      <c r="H182" s="91">
        <f>H178*Outflow_routing!G4</f>
        <v>4009.5561314343176</v>
      </c>
      <c r="I182" s="91">
        <f>I178*Outflow_routing!H4</f>
        <v>4569.7633331354082</v>
      </c>
      <c r="J182" s="91">
        <f>J178*Outflow_routing!I4</f>
        <v>4999.2744807164981</v>
      </c>
      <c r="K182" s="91">
        <f>K178*Outflow_routing!J4</f>
        <v>5293.3821835811905</v>
      </c>
      <c r="L182" s="91">
        <f>L178*Outflow_routing!K4</f>
        <v>5466.1541987527853</v>
      </c>
      <c r="M182" s="91">
        <f>M178*Outflow_routing!L4</f>
        <v>5570.0617609554029</v>
      </c>
      <c r="N182" s="91">
        <f>N178*Outflow_routing!M4</f>
        <v>5605.6859788210077</v>
      </c>
      <c r="O182" s="91">
        <f>O178*Outflow_routing!N4</f>
        <v>5622.4416199405732</v>
      </c>
      <c r="P182" s="91">
        <f>P178*Outflow_routing!O4</f>
        <v>5736.3214580129406</v>
      </c>
      <c r="Q182" s="91">
        <f>Q178*Outflow_routing!P4</f>
        <v>6053.1057445423285</v>
      </c>
      <c r="R182" s="91">
        <f>R178*Outflow_routing!Q4</f>
        <v>6253.4270316600814</v>
      </c>
      <c r="S182" s="91">
        <f>S178*Outflow_routing!R4</f>
        <v>6282.0656256177508</v>
      </c>
      <c r="T182" s="91">
        <f>T178*Outflow_routing!S4</f>
        <v>6222.514311165658</v>
      </c>
      <c r="U182" s="91">
        <f>U178*Outflow_routing!T4</f>
        <v>6127.1858014872496</v>
      </c>
      <c r="V182" s="91">
        <f>V178*Outflow_routing!U4</f>
        <v>6032.3470247018577</v>
      </c>
      <c r="W182" s="91">
        <f>W178*Outflow_routing!V4</f>
        <v>5959.8983840399624</v>
      </c>
      <c r="X182" s="91">
        <f>X178*Outflow_routing!W4</f>
        <v>5921.1612308879294</v>
      </c>
      <c r="Y182" s="91">
        <f>Y178*Outflow_routing!X4</f>
        <v>5919.7813545604349</v>
      </c>
      <c r="Z182" s="91">
        <f>Z178*Outflow_routing!Y4</f>
        <v>5954.3881189732529</v>
      </c>
      <c r="AA182" s="91">
        <f>AA178*Outflow_routing!Z4</f>
        <v>6020.8008273960586</v>
      </c>
      <c r="AB182" s="91">
        <f>AB178*Outflow_routing!AA4</f>
        <v>6113.685806077865</v>
      </c>
    </row>
    <row r="183" spans="1:28">
      <c r="B183" s="7" t="s">
        <v>6907</v>
      </c>
      <c r="C183" s="91">
        <f>C179*Outflow_routing!B5</f>
        <v>0</v>
      </c>
      <c r="D183" s="91">
        <f>D179*Outflow_routing!C5</f>
        <v>110.06930940215528</v>
      </c>
      <c r="E183" s="91">
        <f>E179*Outflow_routing!D5</f>
        <v>376.59278141934368</v>
      </c>
      <c r="F183" s="91">
        <f>F179*Outflow_routing!E5</f>
        <v>727.92267601621745</v>
      </c>
      <c r="G183" s="91">
        <f>G179*Outflow_routing!F5</f>
        <v>1030.2207748463754</v>
      </c>
      <c r="H183" s="91">
        <f>H179*Outflow_routing!G5</f>
        <v>1252.8334235834457</v>
      </c>
      <c r="I183" s="91">
        <f>I179*Outflow_routing!H5</f>
        <v>1427.8768157736458</v>
      </c>
      <c r="J183" s="91">
        <f>J179*Outflow_routing!I5</f>
        <v>1562.082673941487</v>
      </c>
      <c r="K183" s="91">
        <f>K179*Outflow_routing!J5</f>
        <v>1653.9801179985734</v>
      </c>
      <c r="L183" s="91">
        <f>L179*Outflow_routing!K5</f>
        <v>1707.9647856703562</v>
      </c>
      <c r="M183" s="91">
        <f>M179*Outflow_routing!L5</f>
        <v>1740.4319373009153</v>
      </c>
      <c r="N183" s="91">
        <f>N179*Outflow_routing!M5</f>
        <v>1751.5631471825143</v>
      </c>
      <c r="O183" s="91">
        <f>O179*Outflow_routing!N5</f>
        <v>1756.7986462103459</v>
      </c>
      <c r="P183" s="91">
        <f>P179*Outflow_routing!O5</f>
        <v>1792.3817538493195</v>
      </c>
      <c r="Q183" s="91">
        <f>Q179*Outflow_routing!P5</f>
        <v>1891.364765738987</v>
      </c>
      <c r="R183" s="91">
        <f>R179*Outflow_routing!Q5</f>
        <v>1953.9575305562234</v>
      </c>
      <c r="S183" s="91">
        <f>S179*Outflow_routing!R5</f>
        <v>1962.9059992990135</v>
      </c>
      <c r="T183" s="91">
        <f>T179*Outflow_routing!S5</f>
        <v>1944.2984839735652</v>
      </c>
      <c r="U183" s="91">
        <f>U179*Outflow_routing!T5</f>
        <v>1914.5119591736777</v>
      </c>
      <c r="V183" s="91">
        <f>V179*Outflow_routing!U5</f>
        <v>1884.8784572314057</v>
      </c>
      <c r="W183" s="91">
        <f>W179*Outflow_routing!V5</f>
        <v>1862.2410191861279</v>
      </c>
      <c r="X183" s="91">
        <f>X179*Outflow_routing!W5</f>
        <v>1850.1371357106325</v>
      </c>
      <c r="Y183" s="91">
        <f>Y179*Outflow_routing!X5</f>
        <v>1849.7059769671639</v>
      </c>
      <c r="Z183" s="91">
        <f>Z179*Outflow_routing!Y5</f>
        <v>1860.5192714359823</v>
      </c>
      <c r="AA183" s="91">
        <f>AA179*Outflow_routing!Z5</f>
        <v>1881.2707107812223</v>
      </c>
      <c r="AB183" s="91">
        <f>AB179*Outflow_routing!AA5</f>
        <v>1910.2937253062175</v>
      </c>
    </row>
    <row r="184" spans="1:28">
      <c r="B184" s="7" t="s">
        <v>6908</v>
      </c>
      <c r="C184" s="91">
        <f>C180*Outflow_routing!B6</f>
        <v>0</v>
      </c>
      <c r="D184" s="91">
        <f>D180*Outflow_routing!C6</f>
        <v>8.2797722792801984</v>
      </c>
      <c r="E184" s="91">
        <f>E180*Outflow_routing!D6</f>
        <v>28.328536711177485</v>
      </c>
      <c r="F184" s="91">
        <f>F180*Outflow_routing!E6</f>
        <v>54.756716718534463</v>
      </c>
      <c r="G184" s="91">
        <f>G180*Outflow_routing!F6</f>
        <v>77.496565204619685</v>
      </c>
      <c r="H184" s="91">
        <f>H180*Outflow_routing!G6</f>
        <v>94.242214360062135</v>
      </c>
      <c r="I184" s="91">
        <f>I180*Outflow_routing!H6</f>
        <v>107.40954896222884</v>
      </c>
      <c r="J184" s="91">
        <f>J180*Outflow_routing!I6</f>
        <v>117.50495112483512</v>
      </c>
      <c r="K184" s="91">
        <f>K180*Outflow_routing!J6</f>
        <v>124.41777645256148</v>
      </c>
      <c r="L184" s="91">
        <f>L180*Outflow_routing!K6</f>
        <v>128.47867914489936</v>
      </c>
      <c r="M184" s="91">
        <f>M180*Outflow_routing!L6</f>
        <v>130.92096413349424</v>
      </c>
      <c r="N184" s="91">
        <f>N180*Outflow_routing!M6</f>
        <v>131.7582900285426</v>
      </c>
      <c r="O184" s="91">
        <f>O180*Outflow_routing!N6</f>
        <v>132.15212133314773</v>
      </c>
      <c r="P184" s="91">
        <f>P180*Outflow_routing!O6</f>
        <v>134.82879869071505</v>
      </c>
      <c r="Q184" s="91">
        <f>Q180*Outflow_routing!P6</f>
        <v>142.27462352976579</v>
      </c>
      <c r="R184" s="91">
        <f>R180*Outflow_routing!Q6</f>
        <v>146.98305535178926</v>
      </c>
      <c r="S184" s="91">
        <f>S180*Outflow_routing!R6</f>
        <v>147.6561883426383</v>
      </c>
      <c r="T184" s="91">
        <f>T180*Outflow_routing!S6</f>
        <v>146.25647037934098</v>
      </c>
      <c r="U184" s="91">
        <f>U180*Outflow_routing!T6</f>
        <v>144.01583087979515</v>
      </c>
      <c r="V184" s="91">
        <f>V180*Outflow_routing!U6</f>
        <v>141.7867022584538</v>
      </c>
      <c r="W184" s="91">
        <f>W180*Outflow_routing!V6</f>
        <v>140.08384037061913</v>
      </c>
      <c r="X184" s="91">
        <f>X180*Outflow_routing!W6</f>
        <v>139.17334679692107</v>
      </c>
      <c r="Y184" s="91">
        <f>Y180*Outflow_routing!X6</f>
        <v>139.14091363065947</v>
      </c>
      <c r="Z184" s="91">
        <f>Z180*Outflow_routing!Y6</f>
        <v>139.95432489195392</v>
      </c>
      <c r="AA184" s="91">
        <f>AA180*Outflow_routing!Z6</f>
        <v>141.51531580921426</v>
      </c>
      <c r="AB184" s="91">
        <f>AB180*Outflow_routing!AA6</f>
        <v>143.69852157683849</v>
      </c>
    </row>
    <row r="187" spans="1:28" ht="21">
      <c r="A187" s="293" t="s">
        <v>7800</v>
      </c>
      <c r="B187" s="166" t="s">
        <v>7862</v>
      </c>
      <c r="C187" s="375"/>
      <c r="D187" s="375"/>
      <c r="E187" s="375"/>
      <c r="F187" s="375"/>
      <c r="G187" s="375"/>
      <c r="H187" s="375"/>
      <c r="I187" s="375"/>
      <c r="J187" s="375"/>
      <c r="K187" s="375"/>
      <c r="L187" s="375"/>
      <c r="M187" s="375"/>
      <c r="N187" s="375"/>
      <c r="O187" s="375"/>
      <c r="P187" s="375"/>
      <c r="Q187" s="375"/>
      <c r="R187" s="375"/>
      <c r="S187" s="167">
        <f>Laptop_0!S38-Laptop_2!S38</f>
        <v>646237.00000000373</v>
      </c>
      <c r="T187" s="167">
        <v>1079395</v>
      </c>
      <c r="U187" s="167">
        <v>1465347</v>
      </c>
      <c r="V187" s="167">
        <v>1760257</v>
      </c>
      <c r="W187" s="167">
        <v>1945138</v>
      </c>
      <c r="X187" s="167">
        <v>2020006</v>
      </c>
      <c r="Y187" s="167">
        <v>1997720</v>
      </c>
      <c r="Z187" s="167">
        <v>1898280</v>
      </c>
      <c r="AA187" s="167">
        <v>1744162</v>
      </c>
      <c r="AB187" s="167">
        <v>1556950</v>
      </c>
    </row>
    <row r="188" spans="1:28" ht="19">
      <c r="B188" s="166" t="s">
        <v>7863</v>
      </c>
      <c r="C188" s="7"/>
      <c r="D188" s="7"/>
      <c r="E188" s="7"/>
      <c r="F188" s="7"/>
      <c r="G188" s="7"/>
      <c r="H188" s="7"/>
      <c r="I188" s="7"/>
      <c r="J188" s="7"/>
      <c r="K188" s="7"/>
      <c r="L188" s="7"/>
      <c r="M188" s="7"/>
      <c r="N188" s="7"/>
      <c r="O188" s="7"/>
      <c r="P188" s="7"/>
      <c r="Q188" s="7"/>
      <c r="R188" s="7"/>
      <c r="S188" s="377">
        <v>500</v>
      </c>
      <c r="T188" s="377">
        <v>500</v>
      </c>
      <c r="U188" s="377">
        <v>500</v>
      </c>
      <c r="V188" s="377">
        <v>500</v>
      </c>
      <c r="W188" s="377">
        <v>500</v>
      </c>
      <c r="X188" s="377">
        <v>500</v>
      </c>
      <c r="Y188" s="377">
        <v>500</v>
      </c>
      <c r="Z188" s="377">
        <v>500</v>
      </c>
      <c r="AA188" s="377">
        <v>500</v>
      </c>
      <c r="AB188" s="377">
        <v>500</v>
      </c>
    </row>
    <row r="189" spans="1:28">
      <c r="B189" s="7" t="s">
        <v>7861</v>
      </c>
      <c r="C189" s="8"/>
      <c r="D189" s="8"/>
      <c r="E189" s="8"/>
      <c r="F189" s="8"/>
      <c r="G189" s="8"/>
      <c r="H189" s="8"/>
      <c r="I189" s="8"/>
      <c r="J189" s="8"/>
      <c r="K189" s="8"/>
      <c r="L189" s="8"/>
      <c r="M189" s="8"/>
      <c r="N189" s="8"/>
      <c r="O189" s="8"/>
      <c r="P189" s="8"/>
      <c r="Q189" s="8"/>
      <c r="R189" s="8"/>
      <c r="S189" s="50">
        <f>S187*S188</f>
        <v>323118500.00000185</v>
      </c>
      <c r="T189" s="50">
        <f t="shared" ref="T189:AB189" si="25">T187*T188</f>
        <v>539697500</v>
      </c>
      <c r="U189" s="50">
        <f t="shared" si="25"/>
        <v>732673500</v>
      </c>
      <c r="V189" s="50">
        <f t="shared" si="25"/>
        <v>880128500</v>
      </c>
      <c r="W189" s="50">
        <f t="shared" si="25"/>
        <v>972569000</v>
      </c>
      <c r="X189" s="50">
        <f t="shared" si="25"/>
        <v>1010003000</v>
      </c>
      <c r="Y189" s="50">
        <f t="shared" si="25"/>
        <v>998860000</v>
      </c>
      <c r="Z189" s="50">
        <f t="shared" si="25"/>
        <v>949140000</v>
      </c>
      <c r="AA189" s="50">
        <f t="shared" si="25"/>
        <v>872081000</v>
      </c>
      <c r="AB189" s="50">
        <f t="shared" si="25"/>
        <v>778475000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A62A4-B609-044C-A018-A692CAF5020C}">
  <dimension ref="A1:AF189"/>
  <sheetViews>
    <sheetView zoomScale="50" zoomScaleNormal="50" workbookViewId="0">
      <pane xSplit="2" ySplit="2" topLeftCell="C3" activePane="bottomRight" state="frozen"/>
      <selection pane="topRight" activeCell="C1" sqref="C1"/>
      <selection pane="bottomLeft" activeCell="A3" sqref="A3"/>
      <selection pane="bottomRight" activeCell="S38" sqref="S38:AB3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9" ht="21">
      <c r="A1" s="52"/>
      <c r="B1" s="52"/>
      <c r="U1" s="1"/>
      <c r="V1" s="81"/>
    </row>
    <row r="2" spans="1:29" ht="22" thickBot="1">
      <c r="A2" s="52"/>
      <c r="B2" s="212" t="s">
        <v>175</v>
      </c>
      <c r="C2" s="213">
        <v>2007</v>
      </c>
      <c r="D2" s="213">
        <v>2008</v>
      </c>
      <c r="E2" s="213">
        <v>2009</v>
      </c>
      <c r="F2" s="213">
        <v>2010</v>
      </c>
      <c r="G2" s="213">
        <v>2011</v>
      </c>
      <c r="H2" s="213">
        <v>2012</v>
      </c>
      <c r="I2" s="213">
        <v>2013</v>
      </c>
      <c r="J2" s="213">
        <v>2014</v>
      </c>
      <c r="K2" s="213">
        <v>2015</v>
      </c>
      <c r="L2" s="213">
        <v>2016</v>
      </c>
      <c r="M2" s="213">
        <v>2017</v>
      </c>
      <c r="N2" s="213">
        <v>2018</v>
      </c>
      <c r="O2" s="213">
        <v>2019</v>
      </c>
      <c r="P2" s="213">
        <v>2020</v>
      </c>
      <c r="Q2" s="213">
        <v>2021</v>
      </c>
      <c r="R2" s="213">
        <v>2022</v>
      </c>
      <c r="S2" s="213">
        <v>2023</v>
      </c>
      <c r="T2" s="213">
        <v>2024</v>
      </c>
      <c r="U2" s="213">
        <v>2025</v>
      </c>
      <c r="V2" s="213">
        <v>2026</v>
      </c>
      <c r="W2" s="213">
        <v>2027</v>
      </c>
      <c r="X2" s="213">
        <v>2028</v>
      </c>
      <c r="Y2" s="213">
        <v>2029</v>
      </c>
      <c r="Z2" s="213">
        <v>2030</v>
      </c>
      <c r="AA2" s="213">
        <v>2031</v>
      </c>
      <c r="AB2" s="213">
        <v>2032</v>
      </c>
    </row>
    <row r="3" spans="1:29" ht="17" thickTop="1"/>
    <row r="4" spans="1:29" ht="26">
      <c r="A4" s="292" t="s">
        <v>7791</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9">
      <c r="A5" s="1"/>
      <c r="B5" s="82"/>
      <c r="C5" s="47">
        <f>B5+C38-C67</f>
        <v>281993.3129973475</v>
      </c>
      <c r="D5" s="47">
        <f t="shared" ref="D5:AB5" si="0">C5+D38-D67</f>
        <v>711895.46404629853</v>
      </c>
      <c r="E5" s="47">
        <f t="shared" si="0"/>
        <v>1068830.2141186399</v>
      </c>
      <c r="F5" s="47">
        <f t="shared" si="0"/>
        <v>1427822.4822884011</v>
      </c>
      <c r="G5" s="47">
        <f t="shared" si="0"/>
        <v>3011255.3186520375</v>
      </c>
      <c r="H5" s="47">
        <f t="shared" si="0"/>
        <v>6879400.621511789</v>
      </c>
      <c r="I5" s="47">
        <f t="shared" si="0"/>
        <v>13019896.264559774</v>
      </c>
      <c r="J5" s="47">
        <f t="shared" si="0"/>
        <v>18612858.619417269</v>
      </c>
      <c r="K5" s="47">
        <f t="shared" si="0"/>
        <v>22697084.680680387</v>
      </c>
      <c r="L5" s="47">
        <f t="shared" si="0"/>
        <v>25387154.851342078</v>
      </c>
      <c r="M5" s="47">
        <f t="shared" si="0"/>
        <v>26206112.055863939</v>
      </c>
      <c r="N5" s="47">
        <f t="shared" si="0"/>
        <v>26593454.715115897</v>
      </c>
      <c r="O5" s="47">
        <f t="shared" si="0"/>
        <v>27599344.498546928</v>
      </c>
      <c r="P5" s="47">
        <f t="shared" si="0"/>
        <v>29184952.833321691</v>
      </c>
      <c r="Q5" s="47">
        <f t="shared" si="0"/>
        <v>28910684.076626211</v>
      </c>
      <c r="R5" s="47">
        <f t="shared" si="0"/>
        <v>28078912.489402585</v>
      </c>
      <c r="S5" s="47">
        <f t="shared" si="0"/>
        <v>27254476.902178958</v>
      </c>
      <c r="T5" s="47">
        <f t="shared" si="0"/>
        <v>26522775.314955331</v>
      </c>
      <c r="U5" s="47">
        <f t="shared" si="0"/>
        <v>25919558.727731705</v>
      </c>
      <c r="V5" s="47">
        <f t="shared" si="0"/>
        <v>25450207.140508078</v>
      </c>
      <c r="W5" s="47">
        <f t="shared" si="0"/>
        <v>25102412.553284451</v>
      </c>
      <c r="X5" s="47">
        <f t="shared" si="0"/>
        <v>24855553.966060825</v>
      </c>
      <c r="Y5" s="47">
        <f t="shared" si="0"/>
        <v>24687047.378837198</v>
      </c>
      <c r="Z5" s="47">
        <f t="shared" si="0"/>
        <v>24576100.791613571</v>
      </c>
      <c r="AA5" s="47">
        <f t="shared" si="0"/>
        <v>24505480.204389945</v>
      </c>
      <c r="AB5" s="47">
        <f t="shared" si="0"/>
        <v>24461941.617166318</v>
      </c>
    </row>
    <row r="6" spans="1:29">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9">
      <c r="A7" s="1" t="s">
        <v>7762</v>
      </c>
      <c r="B7" s="7">
        <v>2007</v>
      </c>
      <c r="C7" s="83">
        <f>$C$38*Product_lifespan!B26</f>
        <v>281993.3129973475</v>
      </c>
      <c r="D7" s="83">
        <f>$C$38*Product_lifespan!C26</f>
        <v>260863.378947961</v>
      </c>
      <c r="E7" s="83">
        <f>$C$38*Product_lifespan!D26</f>
        <v>222688.85323200552</v>
      </c>
      <c r="F7" s="83">
        <f>$C$38*Product_lifespan!E26</f>
        <v>179500.2815350634</v>
      </c>
      <c r="G7" s="83">
        <f>$C$38*Product_lifespan!F26</f>
        <v>137846.15379076556</v>
      </c>
      <c r="H7" s="83">
        <f>$C$38*Product_lifespan!G26</f>
        <v>101395.38167513083</v>
      </c>
      <c r="I7" s="83">
        <f>$C$38*Product_lifespan!H26</f>
        <v>71705.328416480814</v>
      </c>
      <c r="J7" s="83">
        <f>$C$38*Product_lifespan!I26</f>
        <v>48888.379248772537</v>
      </c>
      <c r="K7" s="83">
        <f>$C$38*Product_lifespan!J26</f>
        <v>32205.906893238021</v>
      </c>
      <c r="L7" s="83">
        <f>$C$38*Product_lifespan!K26</f>
        <v>20536.220874728577</v>
      </c>
      <c r="M7" s="83">
        <f>$C$38*Product_lifespan!L26</f>
        <v>12694.443206545711</v>
      </c>
      <c r="N7" s="83">
        <f>$C$38*Product_lifespan!M26</f>
        <v>7616.8102465962775</v>
      </c>
      <c r="O7" s="83">
        <f>$C$38*Product_lifespan!N26</f>
        <v>4441.030752075797</v>
      </c>
      <c r="P7" s="83">
        <f>$C$38*Product_lifespan!O26</f>
        <v>2518.6751393340005</v>
      </c>
      <c r="Q7" s="83">
        <f>$C$38*Product_lifespan!P26</f>
        <v>1390.6493675100551</v>
      </c>
      <c r="R7" s="83">
        <f>$C$38*Product_lifespan!Q26</f>
        <v>748.10186957269946</v>
      </c>
      <c r="S7" s="83">
        <f>$C$38*Product_lifespan!R26</f>
        <v>392.38232408624981</v>
      </c>
      <c r="T7" s="83">
        <f>$C$38*Product_lifespan!S26</f>
        <v>200.79097582343613</v>
      </c>
      <c r="U7" s="83">
        <f>$C$38*Product_lifespan!T26</f>
        <v>100.30484477902797</v>
      </c>
      <c r="V7" s="83">
        <f>$C$38*Product_lifespan!U26</f>
        <v>48.941710513029484</v>
      </c>
      <c r="W7" s="83">
        <f>$C$38*Product_lifespan!V26</f>
        <v>23.336445314472432</v>
      </c>
      <c r="X7" s="83">
        <f>$C$38*Product_lifespan!W26</f>
        <v>10.879071463190142</v>
      </c>
      <c r="Y7" s="83">
        <f>$C$38*Product_lifespan!X26</f>
        <v>4.9606661388526136</v>
      </c>
      <c r="Z7" s="83">
        <f>$C$38*Product_lifespan!Y26</f>
        <v>2.2133823964842194</v>
      </c>
      <c r="AA7" s="83">
        <f>$C$38*Product_lifespan!Z26</f>
        <v>0.96673509084196707</v>
      </c>
      <c r="AB7" s="83">
        <f>$C$38*Product_lifespan!AA26</f>
        <v>0.41347528700067288</v>
      </c>
    </row>
    <row r="8" spans="1:29">
      <c r="A8" s="1"/>
      <c r="B8" s="7">
        <v>2008</v>
      </c>
      <c r="C8" s="83"/>
      <c r="D8" s="83">
        <f>$D$38*Product_lifespan!B26</f>
        <v>451032.15104895108</v>
      </c>
      <c r="E8" s="83">
        <f>$D$38*Product_lifespan!C26</f>
        <v>417236.0318980444</v>
      </c>
      <c r="F8" s="83">
        <f>$D$38*Product_lifespan!D26</f>
        <v>356178.06472169916</v>
      </c>
      <c r="G8" s="83">
        <f>$D$38*Product_lifespan!E26</f>
        <v>287100.41821244708</v>
      </c>
      <c r="H8" s="83">
        <f>$D$38*Product_lifespan!F26</f>
        <v>220477.02690970662</v>
      </c>
      <c r="I8" s="83">
        <f>$D$38*Product_lifespan!G26</f>
        <v>162176.10487733028</v>
      </c>
      <c r="J8" s="83">
        <f>$D$38*Product_lifespan!H26</f>
        <v>114688.56539041772</v>
      </c>
      <c r="K8" s="83">
        <f>$D$38*Product_lifespan!I26</f>
        <v>78194.162193052383</v>
      </c>
      <c r="L8" s="83">
        <f>$D$38*Product_lifespan!J26</f>
        <v>51511.503262760067</v>
      </c>
      <c r="M8" s="83">
        <f>$D$38*Product_lifespan!K26</f>
        <v>32846.508937012724</v>
      </c>
      <c r="N8" s="83">
        <f>$D$38*Product_lifespan!L26</f>
        <v>20304.034748054157</v>
      </c>
      <c r="O8" s="83">
        <f>$D$38*Product_lifespan!M26</f>
        <v>12182.651684674256</v>
      </c>
      <c r="P8" s="83">
        <f>$D$38*Product_lifespan!N26</f>
        <v>7103.1742976193518</v>
      </c>
      <c r="Q8" s="83">
        <f>$D$38*Product_lifespan!O26</f>
        <v>4028.4766110677824</v>
      </c>
      <c r="R8" s="83">
        <f>$D$38*Product_lifespan!P26</f>
        <v>2224.2640044050381</v>
      </c>
      <c r="S8" s="83">
        <f>$D$38*Product_lifespan!Q26</f>
        <v>1196.5460877446067</v>
      </c>
      <c r="T8" s="83">
        <f>$D$38*Product_lifespan!R26</f>
        <v>627.59305100214408</v>
      </c>
      <c r="U8" s="83">
        <f>$D$38*Product_lifespan!S26</f>
        <v>321.15366415697309</v>
      </c>
      <c r="V8" s="83">
        <f>$D$38*Product_lifespan!T26</f>
        <v>160.43185357995239</v>
      </c>
      <c r="W8" s="83">
        <f>$D$38*Product_lifespan!U26</f>
        <v>78.279462495319478</v>
      </c>
      <c r="X8" s="83">
        <f>$D$38*Product_lifespan!V26</f>
        <v>37.325307526429611</v>
      </c>
      <c r="Y8" s="83">
        <f>$D$38*Product_lifespan!W26</f>
        <v>17.400451632355072</v>
      </c>
      <c r="Z8" s="83">
        <f>$D$38*Product_lifespan!X26</f>
        <v>7.9343013331079764</v>
      </c>
      <c r="AA8" s="83">
        <f>$D$38*Product_lifespan!Y26</f>
        <v>3.54017835660362</v>
      </c>
      <c r="AB8" s="83">
        <f>$D$38*Product_lifespan!Z26</f>
        <v>1.5462374014558882</v>
      </c>
    </row>
    <row r="9" spans="1:29">
      <c r="A9" s="1"/>
      <c r="B9" s="7">
        <v>2009</v>
      </c>
      <c r="C9" s="83"/>
      <c r="D9" s="83"/>
      <c r="E9" s="83">
        <f>$E$38*Product_lifespan!B26</f>
        <v>428905.75007234141</v>
      </c>
      <c r="F9" s="83">
        <f>$E$38*Product_lifespan!C26</f>
        <v>396767.57588621636</v>
      </c>
      <c r="G9" s="83">
        <f>$E$38*Product_lifespan!D26</f>
        <v>338704.94520953868</v>
      </c>
      <c r="H9" s="83">
        <f>$E$38*Product_lifespan!E26</f>
        <v>273016.0586847568</v>
      </c>
      <c r="I9" s="83">
        <f>$E$38*Product_lifespan!F26</f>
        <v>209661.02833357523</v>
      </c>
      <c r="J9" s="83">
        <f>$E$38*Product_lifespan!G26</f>
        <v>154220.18972362086</v>
      </c>
      <c r="K9" s="83">
        <f>$E$38*Product_lifespan!H26</f>
        <v>109062.25875272286</v>
      </c>
      <c r="L9" s="83">
        <f>$E$38*Product_lifespan!I26</f>
        <v>74358.170939014817</v>
      </c>
      <c r="M9" s="83">
        <f>$E$38*Product_lifespan!J26</f>
        <v>48984.490114253793</v>
      </c>
      <c r="N9" s="83">
        <f>$E$38*Product_lifespan!K26</f>
        <v>31235.1492462858</v>
      </c>
      <c r="O9" s="83">
        <f>$E$38*Product_lifespan!L26</f>
        <v>19307.974460037785</v>
      </c>
      <c r="P9" s="83">
        <f>$E$38*Product_lifespan!M26</f>
        <v>11585.004187690796</v>
      </c>
      <c r="Q9" s="83">
        <f>$E$38*Product_lifespan!N26</f>
        <v>6754.7120375557315</v>
      </c>
      <c r="R9" s="83">
        <f>$E$38*Product_lifespan!O26</f>
        <v>3830.8505912506157</v>
      </c>
      <c r="S9" s="83">
        <f>$E$38*Product_lifespan!P26</f>
        <v>2115.1477094250736</v>
      </c>
      <c r="T9" s="83">
        <f>$E$38*Product_lifespan!Q26</f>
        <v>1137.8468166109233</v>
      </c>
      <c r="U9" s="83">
        <f>$E$38*Product_lifespan!R26</f>
        <v>596.80505625650972</v>
      </c>
      <c r="V9" s="83">
        <f>$E$38*Product_lifespan!S26</f>
        <v>305.39874572883338</v>
      </c>
      <c r="W9" s="83">
        <f>$E$38*Product_lifespan!T26</f>
        <v>152.5615066136105</v>
      </c>
      <c r="X9" s="83">
        <f>$E$38*Product_lifespan!U26</f>
        <v>74.439286642274936</v>
      </c>
      <c r="Y9" s="83">
        <f>$E$38*Product_lifespan!V26</f>
        <v>35.494230254034868</v>
      </c>
      <c r="Z9" s="83">
        <f>$E$38*Product_lifespan!W26</f>
        <v>16.546833172792518</v>
      </c>
      <c r="AA9" s="83">
        <f>$E$38*Product_lifespan!X26</f>
        <v>7.5450662589401878</v>
      </c>
      <c r="AB9" s="83">
        <f>$E$38*Product_lifespan!Y26</f>
        <v>3.3665069106440493</v>
      </c>
    </row>
    <row r="10" spans="1:29">
      <c r="A10" s="1"/>
      <c r="B10" s="7">
        <v>2010</v>
      </c>
      <c r="C10" s="83"/>
      <c r="D10" s="83"/>
      <c r="E10" s="83"/>
      <c r="F10" s="83">
        <f>$F$38*Product_lifespan!B26</f>
        <v>495377.26816976129</v>
      </c>
      <c r="G10" s="83">
        <f>$F$38*Product_lifespan!C26</f>
        <v>458258.3418564598</v>
      </c>
      <c r="H10" s="83">
        <f>$F$38*Product_lifespan!D26</f>
        <v>391197.2046194069</v>
      </c>
      <c r="I10" s="83">
        <f>$F$38*Product_lifespan!E26</f>
        <v>315327.89964909264</v>
      </c>
      <c r="J10" s="83">
        <f>$F$38*Product_lifespan!F26</f>
        <v>242154.15027667885</v>
      </c>
      <c r="K10" s="83">
        <f>$F$38*Product_lifespan!G26</f>
        <v>178121.12863729167</v>
      </c>
      <c r="L10" s="83">
        <f>$F$38*Product_lifespan!H26</f>
        <v>125964.65258914116</v>
      </c>
      <c r="M10" s="83">
        <f>$F$38*Product_lifespan!I26</f>
        <v>85882.149119372858</v>
      </c>
      <c r="N10" s="83">
        <f>$F$38*Product_lifespan!J26</f>
        <v>56576.072695213181</v>
      </c>
      <c r="O10" s="83">
        <f>$F$38*Product_lifespan!K26</f>
        <v>36075.95118948639</v>
      </c>
      <c r="P10" s="83">
        <f>$F$38*Product_lifespan!L26</f>
        <v>22300.311059695061</v>
      </c>
      <c r="Q10" s="83">
        <f>$F$38*Product_lifespan!M26</f>
        <v>13380.440167252482</v>
      </c>
      <c r="R10" s="83">
        <f>$F$38*Product_lifespan!N26</f>
        <v>7801.5526624984277</v>
      </c>
      <c r="S10" s="83">
        <f>$F$38*Product_lifespan!O26</f>
        <v>4424.5531806000881</v>
      </c>
      <c r="T10" s="83">
        <f>$F$38*Product_lifespan!P26</f>
        <v>2442.9518463993413</v>
      </c>
      <c r="U10" s="83">
        <f>$F$38*Product_lifespan!Q26</f>
        <v>1314.1895335124518</v>
      </c>
      <c r="V10" s="83">
        <f>$F$38*Product_lifespan!R26</f>
        <v>689.29749332664744</v>
      </c>
      <c r="W10" s="83">
        <f>$F$38*Product_lifespan!S26</f>
        <v>352.72923325486795</v>
      </c>
      <c r="X10" s="83">
        <f>$F$38*Product_lifespan!T26</f>
        <v>176.20538395991753</v>
      </c>
      <c r="Y10" s="83">
        <f>$F$38*Product_lifespan!U26</f>
        <v>85.975836078523898</v>
      </c>
      <c r="Z10" s="83">
        <f>$F$38*Product_lifespan!V26</f>
        <v>40.995101641949638</v>
      </c>
      <c r="AA10" s="83">
        <f>$F$38*Product_lifespan!W26</f>
        <v>19.111249995170748</v>
      </c>
      <c r="AB10" s="83">
        <f>$F$38*Product_lifespan!X26</f>
        <v>8.7143954374200376</v>
      </c>
    </row>
    <row r="11" spans="1:29">
      <c r="A11" s="1"/>
      <c r="B11" s="7">
        <v>2011</v>
      </c>
      <c r="C11" s="83"/>
      <c r="D11" s="83"/>
      <c r="E11" s="83"/>
      <c r="F11" s="83"/>
      <c r="G11" s="83">
        <f>$G$38*Product_lifespan!B26</f>
        <v>1789345.8363636364</v>
      </c>
      <c r="H11" s="83">
        <f>$G$38*Product_lifespan!C26</f>
        <v>1655269.0417331778</v>
      </c>
      <c r="I11" s="83">
        <f>$G$38*Product_lifespan!D26</f>
        <v>1413038.3734987008</v>
      </c>
      <c r="J11" s="83">
        <f>$G$38*Product_lifespan!E26</f>
        <v>1138991.8362847399</v>
      </c>
      <c r="K11" s="83">
        <f>$G$38*Product_lifespan!F26</f>
        <v>874681.88065355981</v>
      </c>
      <c r="L11" s="83">
        <f>$G$38*Product_lifespan!G26</f>
        <v>643389.02968455746</v>
      </c>
      <c r="M11" s="83">
        <f>$G$38*Product_lifespan!H26</f>
        <v>454995.29575130017</v>
      </c>
      <c r="N11" s="83">
        <f>$G$38*Product_lifespan!I26</f>
        <v>310213.80232580332</v>
      </c>
      <c r="O11" s="83">
        <f>$G$38*Product_lifespan!J26</f>
        <v>204357.70193696916</v>
      </c>
      <c r="P11" s="83">
        <f>$G$38*Product_lifespan!K26</f>
        <v>130309.47764773847</v>
      </c>
      <c r="Q11" s="83">
        <f>$G$38*Product_lifespan!L26</f>
        <v>80550.665741498902</v>
      </c>
      <c r="R11" s="83">
        <f>$G$38*Product_lifespan!M26</f>
        <v>48331.315222524907</v>
      </c>
      <c r="S11" s="83">
        <f>$G$38*Product_lifespan!N26</f>
        <v>28179.887675082722</v>
      </c>
      <c r="T11" s="83">
        <f>$G$38*Product_lifespan!O26</f>
        <v>15981.871434526845</v>
      </c>
      <c r="U11" s="83">
        <f>$G$38*Product_lifespan!P26</f>
        <v>8824.1548324206105</v>
      </c>
      <c r="V11" s="83">
        <f>$G$38*Product_lifespan!Q26</f>
        <v>4746.9670513369701</v>
      </c>
      <c r="W11" s="83">
        <f>$G$38*Product_lifespan!R26</f>
        <v>2489.8025786626449</v>
      </c>
      <c r="X11" s="83">
        <f>$G$38*Product_lifespan!S26</f>
        <v>1274.0887106512223</v>
      </c>
      <c r="Y11" s="83">
        <f>$G$38*Product_lifespan!T26</f>
        <v>636.46919306254176</v>
      </c>
      <c r="Z11" s="83">
        <f>$G$38*Product_lifespan!U26</f>
        <v>310.55220778170531</v>
      </c>
      <c r="AA11" s="83">
        <f>$G$38*Product_lifespan!V26</f>
        <v>148.07787750403753</v>
      </c>
      <c r="AB11" s="83">
        <f>$G$38*Product_lifespan!W26</f>
        <v>69.031499432558675</v>
      </c>
    </row>
    <row r="12" spans="1:29">
      <c r="A12" s="1"/>
      <c r="B12" s="7">
        <v>2012</v>
      </c>
      <c r="C12" s="83"/>
      <c r="D12" s="83"/>
      <c r="E12" s="83"/>
      <c r="F12" s="83"/>
      <c r="G12" s="83"/>
      <c r="H12" s="83">
        <f>$H$38*Product_lifespan!B26</f>
        <v>4238046.3028597515</v>
      </c>
      <c r="I12" s="83">
        <f>$H$38*Product_lifespan!C26</f>
        <v>3920486.861730326</v>
      </c>
      <c r="J12" s="83">
        <f>$H$38*Product_lifespan!D26</f>
        <v>3346766.1381631983</v>
      </c>
      <c r="K12" s="83">
        <f>$H$38*Product_lifespan!E26</f>
        <v>2697689.8722740836</v>
      </c>
      <c r="L12" s="83">
        <f>$H$38*Product_lifespan!F26</f>
        <v>2071674.5947868833</v>
      </c>
      <c r="M12" s="83">
        <f>$H$38*Product_lifespan!G26</f>
        <v>1523859.9733724312</v>
      </c>
      <c r="N12" s="83">
        <f>$H$38*Product_lifespan!H26</f>
        <v>1077651.4476911346</v>
      </c>
      <c r="O12" s="83">
        <f>$H$38*Product_lifespan!I26</f>
        <v>734738.04299045459</v>
      </c>
      <c r="P12" s="83">
        <f>$H$38*Product_lifespan!J26</f>
        <v>484019.01161541604</v>
      </c>
      <c r="Q12" s="83">
        <f>$H$38*Product_lifespan!K26</f>
        <v>308636.59151262691</v>
      </c>
      <c r="R12" s="83">
        <f>$H$38*Product_lifespan!L26</f>
        <v>190783.38250832987</v>
      </c>
      <c r="S12" s="83">
        <f>$H$38*Product_lifespan!M26</f>
        <v>114472.19851442102</v>
      </c>
      <c r="T12" s="83">
        <f>$H$38*Product_lifespan!N26</f>
        <v>66743.759841916297</v>
      </c>
      <c r="U12" s="83">
        <f>$H$38*Product_lifespan!O26</f>
        <v>37852.890016791411</v>
      </c>
      <c r="V12" s="83">
        <f>$H$38*Product_lifespan!P26</f>
        <v>20899.915490569372</v>
      </c>
      <c r="W12" s="83">
        <f>$H$38*Product_lifespan!Q26</f>
        <v>11243.140231963122</v>
      </c>
      <c r="X12" s="83">
        <f>$H$38*Product_lifespan!R26</f>
        <v>5897.0705376864371</v>
      </c>
      <c r="Y12" s="83">
        <f>$H$38*Product_lifespan!S26</f>
        <v>3017.6653612496111</v>
      </c>
      <c r="Z12" s="83">
        <f>$H$38*Product_lifespan!T26</f>
        <v>1507.4704150118598</v>
      </c>
      <c r="AA12" s="83">
        <f>$H$38*Product_lifespan!U26</f>
        <v>735.5395526606967</v>
      </c>
      <c r="AB12" s="83">
        <f>$H$38*Product_lifespan!V26</f>
        <v>350.72085481622378</v>
      </c>
      <c r="AC12" s="83"/>
    </row>
    <row r="13" spans="1:29">
      <c r="A13" s="1"/>
      <c r="B13" s="7">
        <v>2013</v>
      </c>
      <c r="C13" s="83"/>
      <c r="D13" s="83"/>
      <c r="E13" s="83"/>
      <c r="F13" s="83"/>
      <c r="G13" s="83"/>
      <c r="H13" s="83"/>
      <c r="I13" s="83">
        <f>$I$38*Product_lifespan!B26</f>
        <v>6927500.6430479847</v>
      </c>
      <c r="J13" s="83">
        <f>$I$38*Product_lifespan!C26</f>
        <v>6408418.7181653781</v>
      </c>
      <c r="K13" s="83">
        <f>$I$38*Product_lifespan!D26</f>
        <v>5470616.1559896534</v>
      </c>
      <c r="L13" s="83">
        <f>$I$38*Product_lifespan!E26</f>
        <v>4409637.5993608851</v>
      </c>
      <c r="M13" s="83">
        <f>$I$38*Product_lifespan!F26</f>
        <v>3386354.4808106921</v>
      </c>
      <c r="N13" s="83">
        <f>$I$38*Product_lifespan!G26</f>
        <v>2490897.9730422604</v>
      </c>
      <c r="O13" s="83">
        <f>$I$38*Product_lifespan!H26</f>
        <v>1761526.5533612501</v>
      </c>
      <c r="P13" s="83">
        <f>$I$38*Product_lifespan!I26</f>
        <v>1201001.0985141024</v>
      </c>
      <c r="Q13" s="83">
        <f>$I$38*Product_lifespan!J26</f>
        <v>791176.35216743068</v>
      </c>
      <c r="R13" s="83">
        <f>$I$38*Product_lifespan!K26</f>
        <v>504496.6556238723</v>
      </c>
      <c r="S13" s="83">
        <f>$I$38*Product_lifespan!L26</f>
        <v>311854.07392021641</v>
      </c>
      <c r="T13" s="83">
        <f>$I$38*Product_lifespan!M26</f>
        <v>187115.98980989493</v>
      </c>
      <c r="U13" s="83">
        <f>$I$38*Product_lifespan!N26</f>
        <v>109099.19481349668</v>
      </c>
      <c r="V13" s="83">
        <f>$I$38*Product_lifespan!O26</f>
        <v>61874.246101464763</v>
      </c>
      <c r="W13" s="83">
        <f>$I$38*Product_lifespan!P26</f>
        <v>34162.953317161802</v>
      </c>
      <c r="X13" s="83">
        <f>$I$38*Product_lifespan!Q26</f>
        <v>18378.010908999899</v>
      </c>
      <c r="Y13" s="83">
        <f>$I$38*Product_lifespan!R26</f>
        <v>9639.3378039206436</v>
      </c>
      <c r="Z13" s="83">
        <f>$I$38*Product_lifespan!S26</f>
        <v>4932.6687904410346</v>
      </c>
      <c r="AA13" s="83">
        <f>$I$38*Product_lifespan!T26</f>
        <v>2464.1076390136973</v>
      </c>
      <c r="AB13" s="83">
        <f>$I$38*Product_lifespan!U26</f>
        <v>1202.3112443594334</v>
      </c>
    </row>
    <row r="14" spans="1:29">
      <c r="A14" s="1"/>
      <c r="B14" s="7">
        <v>2014</v>
      </c>
      <c r="C14" s="83"/>
      <c r="D14" s="83"/>
      <c r="E14" s="83"/>
      <c r="F14" s="83"/>
      <c r="G14" s="83"/>
      <c r="H14" s="83"/>
      <c r="I14" s="83"/>
      <c r="J14" s="83">
        <f>$J$38*Product_lifespan!B26</f>
        <v>7158730.354857496</v>
      </c>
      <c r="K14" s="83">
        <f>$J$38*Product_lifespan!C26</f>
        <v>6622322.24408466</v>
      </c>
      <c r="L14" s="83">
        <f>$J$38*Product_lifespan!D26</f>
        <v>5653217.2212727573</v>
      </c>
      <c r="M14" s="83">
        <f>$J$38*Product_lifespan!E26</f>
        <v>4556824.771737094</v>
      </c>
      <c r="N14" s="83">
        <f>$J$38*Product_lifespan!F26</f>
        <v>3499385.9781759796</v>
      </c>
      <c r="O14" s="83">
        <f>$J$38*Product_lifespan!G26</f>
        <v>2574040.4583528126</v>
      </c>
      <c r="P14" s="83">
        <f>$J$38*Product_lifespan!H26</f>
        <v>1820323.7008847632</v>
      </c>
      <c r="Q14" s="83">
        <f>$J$38*Product_lifespan!I26</f>
        <v>1241088.7364951991</v>
      </c>
      <c r="R14" s="83">
        <f>$J$38*Product_lifespan!J26</f>
        <v>817584.64706752088</v>
      </c>
      <c r="S14" s="83">
        <f>$J$38*Product_lifespan!K26</f>
        <v>521336.00682708551</v>
      </c>
      <c r="T14" s="83">
        <f>$J$38*Product_lifespan!L26</f>
        <v>322263.30105057528</v>
      </c>
      <c r="U14" s="83">
        <f>$J$38*Product_lifespan!M26</f>
        <v>193361.64443023963</v>
      </c>
      <c r="V14" s="83">
        <f>$J$38*Product_lifespan!N26</f>
        <v>112740.76436003881</v>
      </c>
      <c r="W14" s="83">
        <f>$J$38*Product_lifespan!O26</f>
        <v>63939.516800332225</v>
      </c>
      <c r="X14" s="83">
        <f>$J$38*Product_lifespan!P26</f>
        <v>35303.262103421759</v>
      </c>
      <c r="Y14" s="83">
        <f>$J$38*Product_lifespan!Q26</f>
        <v>18991.441695236586</v>
      </c>
      <c r="Z14" s="83">
        <f>$J$38*Product_lifespan!R26</f>
        <v>9961.0846239186885</v>
      </c>
      <c r="AA14" s="83">
        <f>$J$38*Product_lifespan!S26</f>
        <v>5097.3139693642679</v>
      </c>
      <c r="AB14" s="83">
        <f>$J$38*Product_lifespan!T26</f>
        <v>2546.3559026509652</v>
      </c>
    </row>
    <row r="15" spans="1:29">
      <c r="A15" s="1"/>
      <c r="B15" s="7">
        <v>2015</v>
      </c>
      <c r="C15" s="83"/>
      <c r="D15" s="83"/>
      <c r="E15" s="83"/>
      <c r="F15" s="83"/>
      <c r="G15" s="83"/>
      <c r="H15" s="83"/>
      <c r="I15" s="83"/>
      <c r="J15" s="83"/>
      <c r="K15" s="83">
        <f>$K$38*Product_lifespan!B26</f>
        <v>6634191.0612631189</v>
      </c>
      <c r="L15" s="83">
        <f>$K$38*Product_lifespan!C26</f>
        <v>6137087.005477095</v>
      </c>
      <c r="M15" s="83">
        <f>$K$38*Product_lifespan!D26</f>
        <v>5238990.8961018585</v>
      </c>
      <c r="N15" s="83">
        <f>$K$38*Product_lifespan!E26</f>
        <v>4222934.0497351876</v>
      </c>
      <c r="O15" s="83">
        <f>$K$38*Product_lifespan!F26</f>
        <v>3242976.6209271778</v>
      </c>
      <c r="P15" s="83">
        <f>$K$38*Product_lifespan!G26</f>
        <v>2385433.6388779636</v>
      </c>
      <c r="Q15" s="83">
        <f>$K$38*Product_lifespan!H26</f>
        <v>1686943.7213570662</v>
      </c>
      <c r="R15" s="83">
        <f>$K$38*Product_lifespan!I26</f>
        <v>1150150.8499064972</v>
      </c>
      <c r="S15" s="83">
        <f>$K$38*Product_lifespan!J26</f>
        <v>757678.03626251838</v>
      </c>
      <c r="T15" s="83">
        <f>$K$38*Product_lifespan!K26</f>
        <v>483136.32515296881</v>
      </c>
      <c r="U15" s="83">
        <f>$K$38*Product_lifespan!L26</f>
        <v>298650.20823869697</v>
      </c>
      <c r="V15" s="83">
        <f>$K$38*Product_lifespan!M26</f>
        <v>179193.5202867086</v>
      </c>
      <c r="W15" s="83">
        <f>$K$38*Product_lifespan!N26</f>
        <v>104479.9474322748</v>
      </c>
      <c r="X15" s="83">
        <f>$K$38*Product_lifespan!O26</f>
        <v>59254.497626163356</v>
      </c>
      <c r="Y15" s="83">
        <f>$K$38*Product_lifespan!P26</f>
        <v>32716.49779643249</v>
      </c>
      <c r="Z15" s="83">
        <f>$K$38*Product_lifespan!Q26</f>
        <v>17599.888037345459</v>
      </c>
      <c r="AA15" s="83">
        <f>$K$38*Product_lifespan!R26</f>
        <v>9231.2093481278134</v>
      </c>
      <c r="AB15" s="83">
        <f>$K$38*Product_lifespan!S26</f>
        <v>4723.8201602414201</v>
      </c>
    </row>
    <row r="16" spans="1:29">
      <c r="A16" s="1"/>
      <c r="B16" s="7">
        <v>2016</v>
      </c>
      <c r="C16" s="83"/>
      <c r="D16" s="83"/>
      <c r="E16" s="83"/>
      <c r="F16" s="83"/>
      <c r="G16" s="83"/>
      <c r="H16" s="83"/>
      <c r="I16" s="83"/>
      <c r="J16" s="83"/>
      <c r="K16" s="83"/>
      <c r="L16" s="83">
        <f>$L$38*Product_lifespan!B26</f>
        <v>6199779.1706616916</v>
      </c>
      <c r="M16" s="83">
        <f>$L$38*Product_lifespan!C26</f>
        <v>5735225.8675907282</v>
      </c>
      <c r="N16" s="83">
        <f>$L$38*Product_lifespan!D26</f>
        <v>4895937.776436964</v>
      </c>
      <c r="O16" s="83">
        <f>$L$38*Product_lifespan!E26</f>
        <v>3946413.1073188372</v>
      </c>
      <c r="P16" s="83">
        <f>$L$38*Product_lifespan!F26</f>
        <v>3030624.038364538</v>
      </c>
      <c r="Q16" s="83">
        <f>$L$38*Product_lifespan!G26</f>
        <v>2229233.624829541</v>
      </c>
      <c r="R16" s="83">
        <f>$L$38*Product_lifespan!H26</f>
        <v>1576481.3598474772</v>
      </c>
      <c r="S16" s="83">
        <f>$L$38*Product_lifespan!I26</f>
        <v>1074838.0950324174</v>
      </c>
      <c r="T16" s="83">
        <f>$L$38*Product_lifespan!J26</f>
        <v>708064.70056559471</v>
      </c>
      <c r="U16" s="83">
        <f>$L$38*Product_lifespan!K26</f>
        <v>451500.19009297446</v>
      </c>
      <c r="V16" s="83">
        <f>$L$38*Product_lifespan!L26</f>
        <v>279094.36482215521</v>
      </c>
      <c r="W16" s="83">
        <f>$L$38*Product_lifespan!M26</f>
        <v>167459.79190710216</v>
      </c>
      <c r="X16" s="83">
        <f>$L$38*Product_lifespan!N26</f>
        <v>97638.520787358328</v>
      </c>
      <c r="Y16" s="83">
        <f>$L$38*Product_lifespan!O26</f>
        <v>55374.467928086124</v>
      </c>
      <c r="Z16" s="83">
        <f>$L$38*Product_lifespan!P26</f>
        <v>30574.196567788091</v>
      </c>
      <c r="AA16" s="83">
        <f>$L$38*Product_lifespan!Q26</f>
        <v>16447.433945192588</v>
      </c>
      <c r="AB16" s="83">
        <f>$L$38*Product_lifespan!R26</f>
        <v>8626.7427193517851</v>
      </c>
    </row>
    <row r="17" spans="1:28">
      <c r="A17" s="86"/>
      <c r="B17" s="7">
        <v>2017</v>
      </c>
      <c r="C17" s="83"/>
      <c r="D17" s="83"/>
      <c r="E17" s="83"/>
      <c r="F17" s="83"/>
      <c r="G17" s="83"/>
      <c r="H17" s="83"/>
      <c r="I17" s="83"/>
      <c r="J17" s="83"/>
      <c r="K17" s="83"/>
      <c r="L17" s="83"/>
      <c r="M17" s="83">
        <f>$M$38*Product_lifespan!B26</f>
        <v>5129453.2045218628</v>
      </c>
      <c r="N17" s="83">
        <f>$M$38*Product_lifespan!C26</f>
        <v>4745100.0907230945</v>
      </c>
      <c r="O17" s="83">
        <f>$M$38*Product_lifespan!D26</f>
        <v>4050706.1663301</v>
      </c>
      <c r="P17" s="83">
        <f>$M$38*Product_lifespan!E26</f>
        <v>3265106.8372719469</v>
      </c>
      <c r="Q17" s="83">
        <f>$M$38*Product_lifespan!F26</f>
        <v>2507419.0156406537</v>
      </c>
      <c r="R17" s="83">
        <f>$M$38*Product_lifespan!G26</f>
        <v>1844380.1377024476</v>
      </c>
      <c r="S17" s="83">
        <f>$M$38*Product_lifespan!H26</f>
        <v>1304318.612089464</v>
      </c>
      <c r="T17" s="83">
        <f>$M$38*Product_lifespan!I26</f>
        <v>889278.72415136034</v>
      </c>
      <c r="U17" s="83">
        <f>$M$38*Product_lifespan!J26</f>
        <v>585824.85720009403</v>
      </c>
      <c r="V17" s="83">
        <f>$M$38*Product_lifespan!K26</f>
        <v>373553.48201336997</v>
      </c>
      <c r="W17" s="83">
        <f>$M$38*Product_lifespan!L26</f>
        <v>230911.68968978061</v>
      </c>
      <c r="X17" s="83">
        <f>$M$38*Product_lifespan!M26</f>
        <v>138549.63904057446</v>
      </c>
      <c r="Y17" s="83">
        <f>$M$38*Product_lifespan!N26</f>
        <v>80782.26813424335</v>
      </c>
      <c r="Z17" s="83">
        <f>$M$38*Product_lifespan!O26</f>
        <v>45814.654706822294</v>
      </c>
      <c r="AA17" s="83">
        <f>$M$38*Product_lifespan!P26</f>
        <v>25295.886553905097</v>
      </c>
      <c r="AB17" s="83">
        <f>$M$38*Product_lifespan!Q26</f>
        <v>13607.959321448785</v>
      </c>
    </row>
    <row r="18" spans="1:28">
      <c r="A18" s="1"/>
      <c r="B18" s="7">
        <v>2018</v>
      </c>
      <c r="C18" s="83"/>
      <c r="D18" s="83"/>
      <c r="E18" s="83"/>
      <c r="F18" s="83"/>
      <c r="G18" s="83"/>
      <c r="H18" s="83"/>
      <c r="I18" s="83"/>
      <c r="J18" s="83"/>
      <c r="K18" s="83"/>
      <c r="L18" s="83"/>
      <c r="M18" s="83"/>
      <c r="N18" s="83">
        <f>$N$38*Product_lifespan!B26</f>
        <v>5235601.6592519572</v>
      </c>
      <c r="O18" s="83">
        <f>$N$38*Product_lifespan!C26</f>
        <v>4843294.7758263452</v>
      </c>
      <c r="P18" s="83">
        <f>$N$38*Product_lifespan!D26</f>
        <v>4134531.1244645379</v>
      </c>
      <c r="Q18" s="83">
        <f>$N$38*Product_lifespan!E26</f>
        <v>3332674.6717927009</v>
      </c>
      <c r="R18" s="83">
        <f>$N$38*Product_lifespan!F26</f>
        <v>2559307.3248344054</v>
      </c>
      <c r="S18" s="83">
        <f>$N$38*Product_lifespan!G26</f>
        <v>1882547.578508693</v>
      </c>
      <c r="T18" s="83">
        <f>$N$38*Product_lifespan!H26</f>
        <v>1331310.0670513588</v>
      </c>
      <c r="U18" s="83">
        <f>$N$38*Product_lifespan!I26</f>
        <v>907681.38007378939</v>
      </c>
      <c r="V18" s="83">
        <f>$N$38*Product_lifespan!J26</f>
        <v>597947.86541458557</v>
      </c>
      <c r="W18" s="83">
        <f>$N$38*Product_lifespan!K26</f>
        <v>381283.76500723959</v>
      </c>
      <c r="X18" s="83">
        <f>$N$38*Product_lifespan!L26</f>
        <v>235690.15594385966</v>
      </c>
      <c r="Y18" s="83">
        <f>$N$38*Product_lifespan!M26</f>
        <v>141416.77311923311</v>
      </c>
      <c r="Z18" s="83">
        <f>$N$38*Product_lifespan!N26</f>
        <v>82453.969305916558</v>
      </c>
      <c r="AA18" s="83">
        <f>$N$38*Product_lifespan!O26</f>
        <v>46762.739153101073</v>
      </c>
      <c r="AB18" s="83">
        <f>$N$38*Product_lifespan!P26</f>
        <v>25819.357411648321</v>
      </c>
    </row>
    <row r="19" spans="1:28">
      <c r="A19" s="1"/>
      <c r="B19" s="7">
        <v>2019</v>
      </c>
      <c r="C19" s="83"/>
      <c r="D19" s="83"/>
      <c r="E19" s="83"/>
      <c r="F19" s="83"/>
      <c r="G19" s="83"/>
      <c r="H19" s="83"/>
      <c r="I19" s="83"/>
      <c r="J19" s="83"/>
      <c r="K19" s="83"/>
      <c r="L19" s="83"/>
      <c r="M19" s="83"/>
      <c r="N19" s="83"/>
      <c r="O19" s="83">
        <f>$O$38*Product_lifespan!B26</f>
        <v>6169283.7834310317</v>
      </c>
      <c r="P19" s="83">
        <f>$O$38*Product_lifespan!C26</f>
        <v>5707015.5186616695</v>
      </c>
      <c r="Q19" s="83">
        <f>$O$38*Product_lifespan!D26</f>
        <v>4871855.7060535233</v>
      </c>
      <c r="R19" s="83">
        <f>$O$38*Product_lifespan!E26</f>
        <v>3927001.5456217136</v>
      </c>
      <c r="S19" s="83">
        <f>$O$38*Product_lifespan!F26</f>
        <v>3015717.0471546222</v>
      </c>
      <c r="T19" s="83">
        <f>$O$38*Product_lifespan!G26</f>
        <v>2218268.501597655</v>
      </c>
      <c r="U19" s="83">
        <f>$O$38*Product_lifespan!H26</f>
        <v>1568726.9853436293</v>
      </c>
      <c r="V19" s="83">
        <f>$O$38*Product_lifespan!I26</f>
        <v>1069551.1964161915</v>
      </c>
      <c r="W19" s="83">
        <f>$O$38*Product_lifespan!J26</f>
        <v>704581.88180161535</v>
      </c>
      <c r="X19" s="83">
        <f>$O$38*Product_lifespan!K26</f>
        <v>449279.3572612573</v>
      </c>
      <c r="Y19" s="83">
        <f>$O$38*Product_lifespan!L26</f>
        <v>277721.55935685377</v>
      </c>
      <c r="Z19" s="83">
        <f>$O$38*Product_lifespan!M26</f>
        <v>166636.09302054526</v>
      </c>
      <c r="AA19" s="83">
        <f>$O$38*Product_lifespan!N26</f>
        <v>97158.257794423116</v>
      </c>
      <c r="AB19" s="83">
        <f>$O$38*Product_lifespan!O26</f>
        <v>55102.092768314338</v>
      </c>
    </row>
    <row r="20" spans="1:28">
      <c r="A20" s="1"/>
      <c r="B20" s="7">
        <v>2020</v>
      </c>
      <c r="C20" s="83"/>
      <c r="D20" s="83"/>
      <c r="E20" s="83"/>
      <c r="F20" s="83"/>
      <c r="G20" s="83"/>
      <c r="H20" s="83"/>
      <c r="I20" s="83"/>
      <c r="J20" s="83"/>
      <c r="K20" s="83"/>
      <c r="L20" s="83"/>
      <c r="M20" s="83"/>
      <c r="N20" s="83"/>
      <c r="O20" s="83"/>
      <c r="P20" s="83">
        <f>$P$38*Product_lifespan!B26</f>
        <v>6983081.3347747587</v>
      </c>
      <c r="Q20" s="83">
        <f>$P$38*Product_lifespan!C26</f>
        <v>6459834.7141476925</v>
      </c>
      <c r="R20" s="83">
        <f>$P$38*Product_lifespan!D26</f>
        <v>5514507.978710263</v>
      </c>
      <c r="S20" s="83">
        <f>$P$38*Product_lifespan!E26</f>
        <v>4445016.983739987</v>
      </c>
      <c r="T20" s="83">
        <f>$P$38*Product_lifespan!F26</f>
        <v>3413523.8647160409</v>
      </c>
      <c r="U20" s="83">
        <f>$P$38*Product_lifespan!G26</f>
        <v>2510882.9343574853</v>
      </c>
      <c r="V20" s="83">
        <f>$P$38*Product_lifespan!H26</f>
        <v>1775659.6252115071</v>
      </c>
      <c r="W20" s="83">
        <f>$P$38*Product_lifespan!I26</f>
        <v>1210636.9650783327</v>
      </c>
      <c r="X20" s="83">
        <f>$P$38*Product_lifespan!J26</f>
        <v>797524.1146862926</v>
      </c>
      <c r="Y20" s="83">
        <f>$P$38*Product_lifespan!K26</f>
        <v>508544.33090219338</v>
      </c>
      <c r="Z20" s="83">
        <f>$P$38*Product_lifespan!L26</f>
        <v>314356.14011110051</v>
      </c>
      <c r="AA20" s="83">
        <f>$P$38*Product_lifespan!M26</f>
        <v>188617.25797032606</v>
      </c>
      <c r="AB20" s="83">
        <f>$P$38*Product_lifespan!N26</f>
        <v>109974.51897830257</v>
      </c>
    </row>
    <row r="21" spans="1:28">
      <c r="A21" s="1"/>
      <c r="B21" s="7">
        <v>2021</v>
      </c>
      <c r="C21" s="83"/>
      <c r="D21" s="83"/>
      <c r="E21" s="83"/>
      <c r="F21" s="83"/>
      <c r="G21" s="83"/>
      <c r="H21" s="83"/>
      <c r="I21" s="83"/>
      <c r="J21" s="83"/>
      <c r="K21" s="83"/>
      <c r="L21" s="83"/>
      <c r="M21" s="83"/>
      <c r="N21" s="83"/>
      <c r="O21" s="83"/>
      <c r="P21" s="83"/>
      <c r="Q21" s="83">
        <f>$Q$38*Product_lifespan!B26</f>
        <v>5375716.2433045208</v>
      </c>
      <c r="R21" s="83">
        <f>$Q$38*Product_lifespan!C26</f>
        <v>4972910.4870903343</v>
      </c>
      <c r="S21" s="83">
        <f>$Q$38*Product_lifespan!D26</f>
        <v>4245178.9824300157</v>
      </c>
      <c r="T21" s="83">
        <f>$Q$38*Product_lifespan!E26</f>
        <v>3421863.3373581148</v>
      </c>
      <c r="U21" s="83">
        <f>$Q$38*Product_lifespan!F26</f>
        <v>2627799.2202497427</v>
      </c>
      <c r="V21" s="83">
        <f>$Q$38*Product_lifespan!G26</f>
        <v>1932928.1055405361</v>
      </c>
      <c r="W21" s="83">
        <f>$Q$38*Product_lifespan!H26</f>
        <v>1366938.4376628355</v>
      </c>
      <c r="X21" s="83">
        <f>$Q$38*Product_lifespan!I26</f>
        <v>931972.64730504528</v>
      </c>
      <c r="Y21" s="83">
        <f>$Q$38*Product_lifespan!J26</f>
        <v>613950.07908560289</v>
      </c>
      <c r="Z21" s="83">
        <f>$Q$38*Product_lifespan!K26</f>
        <v>391487.63833774382</v>
      </c>
      <c r="AA21" s="83">
        <f>$Q$38*Product_lifespan!L26</f>
        <v>241997.66944748934</v>
      </c>
      <c r="AB21" s="83">
        <f>$Q$38*Product_lifespan!M26</f>
        <v>145201.35293130539</v>
      </c>
    </row>
    <row r="22" spans="1:28">
      <c r="A22" s="1"/>
      <c r="B22" s="7">
        <v>2022</v>
      </c>
      <c r="C22" s="83"/>
      <c r="D22" s="83"/>
      <c r="E22" s="83"/>
      <c r="F22" s="83"/>
      <c r="G22" s="83"/>
      <c r="H22" s="83"/>
      <c r="I22" s="83"/>
      <c r="J22" s="83"/>
      <c r="K22" s="83"/>
      <c r="L22" s="83"/>
      <c r="M22" s="83"/>
      <c r="N22" s="83"/>
      <c r="O22" s="83"/>
      <c r="P22" s="83"/>
      <c r="Q22" s="83"/>
      <c r="R22" s="83">
        <f>$R$38*Product_lifespan!B26</f>
        <v>4958372.4127763733</v>
      </c>
      <c r="S22" s="83">
        <f>$R$38*Product_lifespan!C26</f>
        <v>4586838.4889373789</v>
      </c>
      <c r="T22" s="83">
        <f>$R$38*Product_lifespan!D26</f>
        <v>3915604.4331759349</v>
      </c>
      <c r="U22" s="83">
        <f>$R$38*Product_lifespan!E26</f>
        <v>3156206.9135214654</v>
      </c>
      <c r="V22" s="83">
        <f>$R$38*Product_lifespan!F26</f>
        <v>2423789.9789130474</v>
      </c>
      <c r="W22" s="83">
        <f>$R$38*Product_lifespan!G26</f>
        <v>1782865.1961177136</v>
      </c>
      <c r="X22" s="83">
        <f>$R$38*Product_lifespan!H26</f>
        <v>1260816.1466321456</v>
      </c>
      <c r="Y22" s="83">
        <f>$R$38*Product_lifespan!I26</f>
        <v>859618.93349840818</v>
      </c>
      <c r="Z22" s="83">
        <f>$R$38*Product_lifespan!J26</f>
        <v>566286.05327736237</v>
      </c>
      <c r="AA22" s="83">
        <f>$R$38*Product_lifespan!K26</f>
        <v>361094.48825438728</v>
      </c>
      <c r="AB22" s="83">
        <f>$R$38*Product_lifespan!L26</f>
        <v>223210.17587918747</v>
      </c>
    </row>
    <row r="23" spans="1:28">
      <c r="A23" s="1"/>
      <c r="B23" s="7">
        <v>2023</v>
      </c>
      <c r="C23" s="83"/>
      <c r="D23" s="83"/>
      <c r="E23" s="83"/>
      <c r="F23" s="83"/>
      <c r="G23" s="83"/>
      <c r="H23" s="83"/>
      <c r="I23" s="83"/>
      <c r="J23" s="83"/>
      <c r="K23" s="83"/>
      <c r="L23" s="83"/>
      <c r="M23" s="83"/>
      <c r="N23" s="83"/>
      <c r="O23" s="83"/>
      <c r="P23" s="83"/>
      <c r="Q23" s="83"/>
      <c r="R23" s="83"/>
      <c r="S23" s="83">
        <f>$S$38*Product_lifespan!B26</f>
        <v>4958372.4127763733</v>
      </c>
      <c r="T23" s="83">
        <f>$S$38*Product_lifespan!C26</f>
        <v>4586838.4889373789</v>
      </c>
      <c r="U23" s="83">
        <f>$S$38*Product_lifespan!D26</f>
        <v>3915604.4331759349</v>
      </c>
      <c r="V23" s="83">
        <f>$S$38*Product_lifespan!E26</f>
        <v>3156206.9135214654</v>
      </c>
      <c r="W23" s="83">
        <f>$S$38*Product_lifespan!F26</f>
        <v>2423789.9789130474</v>
      </c>
      <c r="X23" s="83">
        <f>$S$38*Product_lifespan!G26</f>
        <v>1782865.1961177136</v>
      </c>
      <c r="Y23" s="83">
        <f>$S$38*Product_lifespan!H26</f>
        <v>1260816.1466321456</v>
      </c>
      <c r="Z23" s="83">
        <f>$S$38*Product_lifespan!I26</f>
        <v>859618.93349840818</v>
      </c>
      <c r="AA23" s="83">
        <f>$S$38*Product_lifespan!J26</f>
        <v>566286.05327736237</v>
      </c>
      <c r="AB23" s="83">
        <f>$S$38*Product_lifespan!K26</f>
        <v>361094.48825438728</v>
      </c>
    </row>
    <row r="24" spans="1:28">
      <c r="A24" s="1"/>
      <c r="B24" s="7">
        <v>2024</v>
      </c>
      <c r="C24" s="83"/>
      <c r="D24" s="83"/>
      <c r="E24" s="83"/>
      <c r="F24" s="83"/>
      <c r="G24" s="83"/>
      <c r="H24" s="83"/>
      <c r="I24" s="83"/>
      <c r="J24" s="83"/>
      <c r="K24" s="83"/>
      <c r="L24" s="83"/>
      <c r="M24" s="83"/>
      <c r="N24" s="83"/>
      <c r="O24" s="83"/>
      <c r="P24" s="83"/>
      <c r="Q24" s="83"/>
      <c r="R24" s="83"/>
      <c r="S24" s="83"/>
      <c r="T24" s="83">
        <f>$T$38*Product_lifespan!B26</f>
        <v>4958372.4127763733</v>
      </c>
      <c r="U24" s="83">
        <f>$T$38*Product_lifespan!C26</f>
        <v>4586838.4889373789</v>
      </c>
      <c r="V24" s="83">
        <f>$T$38*Product_lifespan!D26</f>
        <v>3915604.4331759349</v>
      </c>
      <c r="W24" s="83">
        <f>$T$38*Product_lifespan!E26</f>
        <v>3156206.9135214654</v>
      </c>
      <c r="X24" s="83">
        <f>$T$38*Product_lifespan!F26</f>
        <v>2423789.9789130474</v>
      </c>
      <c r="Y24" s="83">
        <f>$T$38*Product_lifespan!G26</f>
        <v>1782865.1961177136</v>
      </c>
      <c r="Z24" s="83">
        <f>$T$38*Product_lifespan!H26</f>
        <v>1260816.1466321456</v>
      </c>
      <c r="AA24" s="83">
        <f>$T$38*Product_lifespan!I26</f>
        <v>859618.93349840818</v>
      </c>
      <c r="AB24" s="83">
        <f>$T$38*Product_lifespan!J26</f>
        <v>566286.05327736237</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$U$38*Product_lifespan!B26</f>
        <v>4958372.4127763733</v>
      </c>
      <c r="V25" s="83">
        <f>$U$38*Product_lifespan!C26</f>
        <v>4586838.4889373789</v>
      </c>
      <c r="W25" s="83">
        <f>$U$38*Product_lifespan!D26</f>
        <v>3915604.4331759349</v>
      </c>
      <c r="X25" s="83">
        <f>$U$38*Product_lifespan!E26</f>
        <v>3156206.9135214654</v>
      </c>
      <c r="Y25" s="83">
        <f>$U$38*Product_lifespan!F26</f>
        <v>2423789.9789130474</v>
      </c>
      <c r="Z25" s="83">
        <f>$U$38*Product_lifespan!G26</f>
        <v>1782865.1961177136</v>
      </c>
      <c r="AA25" s="83">
        <f>$U$38*Product_lifespan!H26</f>
        <v>1260816.1466321456</v>
      </c>
      <c r="AB25" s="83">
        <f>$U$38*Product_lifespan!I26</f>
        <v>859618.93349840818</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$V$38*Product_lifespan!B26</f>
        <v>4958372.4127763733</v>
      </c>
      <c r="W26" s="83">
        <f>$V$38*Product_lifespan!C26</f>
        <v>4586838.4889373789</v>
      </c>
      <c r="X26" s="83">
        <f>$V$38*Product_lifespan!D26</f>
        <v>3915604.4331759349</v>
      </c>
      <c r="Y26" s="83">
        <f>$V$38*Product_lifespan!E26</f>
        <v>3156206.9135214654</v>
      </c>
      <c r="Z26" s="83">
        <f>$V$38*Product_lifespan!F26</f>
        <v>2423789.9789130474</v>
      </c>
      <c r="AA26" s="83">
        <f>$V$38*Product_lifespan!G26</f>
        <v>1782865.1961177136</v>
      </c>
      <c r="AB26" s="83">
        <f>$V$38*Product_lifespan!H26</f>
        <v>1260816.1466321456</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$W$38*Product_lifespan!B26</f>
        <v>4958372.4127763733</v>
      </c>
      <c r="X27" s="83">
        <f>$W$38*Product_lifespan!C26</f>
        <v>4586838.4889373789</v>
      </c>
      <c r="Y27" s="83">
        <f>$W$38*Product_lifespan!D26</f>
        <v>3915604.4331759349</v>
      </c>
      <c r="Z27" s="83">
        <f>$W$38*Product_lifespan!E26</f>
        <v>3156206.9135214654</v>
      </c>
      <c r="AA27" s="83">
        <f>$W$38*Product_lifespan!F26</f>
        <v>2423789.9789130474</v>
      </c>
      <c r="AB27" s="83">
        <f>$W$38*Product_lifespan!G26</f>
        <v>1782865.1961177136</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$X$38*Product_lifespan!B26</f>
        <v>4958372.4127763733</v>
      </c>
      <c r="Y28" s="83">
        <f>$X$38*Product_lifespan!C26</f>
        <v>4586838.4889373789</v>
      </c>
      <c r="Z28" s="83">
        <f>$X$38*Product_lifespan!D26</f>
        <v>3915604.4331759349</v>
      </c>
      <c r="AA28" s="83">
        <f>$X$38*Product_lifespan!E26</f>
        <v>3156206.9135214654</v>
      </c>
      <c r="AB28" s="83">
        <f>$X$38*Product_lifespan!F26</f>
        <v>2423789.9789130474</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$Y$38*Product_lifespan!B26</f>
        <v>4958372.4127763733</v>
      </c>
      <c r="Z29" s="83">
        <f>$Y$38*Product_lifespan!C26</f>
        <v>4586838.4889373789</v>
      </c>
      <c r="AA29" s="83">
        <f>$Y$38*Product_lifespan!D26</f>
        <v>3915604.4331759349</v>
      </c>
      <c r="AB29" s="83">
        <f>$Y$38*Product_lifespan!E26</f>
        <v>3156206.9135214654</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$Z$38*Product_lifespan!B26</f>
        <v>4958372.4127763733</v>
      </c>
      <c r="AA30" s="83">
        <f>$Z$38*Product_lifespan!C26</f>
        <v>4586838.4889373789</v>
      </c>
      <c r="AB30" s="83">
        <f>$Z$38*Product_lifespan!D26</f>
        <v>3915604.4331759349</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$AA$38*Product_lifespan!B26</f>
        <v>4958372.4127763733</v>
      </c>
      <c r="AB31" s="83">
        <f>$AA$38*Product_lifespan!C26</f>
        <v>4586838.4889373789</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$AB$38*Product_lifespan!B26</f>
        <v>4958372.4127763733</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(VLOOKUP(C2,Inflows!$E$214:$H$227,4,FALSE ))</f>
        <v>#N/A</v>
      </c>
      <c r="D35" s="167">
        <f>(VLOOKUP(D2,Inflows!$E$214:$H$227,4,FALSE ))</f>
        <v>7354.3818181818178</v>
      </c>
      <c r="E35" s="167">
        <f>(VLOOKUP(E2,Inflows!$E$214:$H$227,4,FALSE ))</f>
        <v>6644.5590909090906</v>
      </c>
      <c r="F35" s="167">
        <f>(VLOOKUP(F2,Inflows!$E$214:$H$227,4,FALSE ))</f>
        <v>6853.3</v>
      </c>
      <c r="G35" s="167">
        <f>(VLOOKUP(G2,Inflows!$E$214:$H$227,4,FALSE ))</f>
        <v>21387.200000000001</v>
      </c>
      <c r="H35" s="167">
        <f>(VLOOKUP(H2,Inflows!$E$214:$H$227,4,FALSE ))</f>
        <v>40792.355491329479</v>
      </c>
      <c r="I35" s="167">
        <f>(VLOOKUP(I2,Inflows!$E$214:$H$227,4,FALSE ))</f>
        <v>57052.19910179641</v>
      </c>
      <c r="J35" s="167">
        <f>(VLOOKUP(J2,Inflows!$E$214:$H$227,4,FALSE ))</f>
        <v>53587.955883080278</v>
      </c>
      <c r="K35" s="167">
        <f>(VLOOKUP(K2,Inflows!$E$214:$H$227,4,FALSE ))</f>
        <v>57816.825653462671</v>
      </c>
      <c r="L35" s="167">
        <f>(VLOOKUP(L2,Inflows!$E$214:$H$227,4,FALSE ))</f>
        <v>53836.192041000897</v>
      </c>
      <c r="M35" s="167">
        <f>(VLOOKUP(M2,Inflows!$E$214:$H$227,4,FALSE ))</f>
        <v>68177.300952966485</v>
      </c>
      <c r="N35" s="167">
        <f>(VLOOKUP(N2,Inflows!$E$214:$H$227,4,FALSE ))</f>
        <v>73028.202495201534</v>
      </c>
      <c r="O35" s="167">
        <f>(VLOOKUP(O2,Inflows!$E$214:$H$227,4,FALSE ))</f>
        <v>73463.018867924533</v>
      </c>
      <c r="P35" s="167">
        <f>(VLOOKUP(P2,Inflows!$E$214:$H$227,4,FALSE ))</f>
        <v>111617.55310880829</v>
      </c>
      <c r="Q35" s="167">
        <f>(VLOOKUP(Q2,Inflows!$E$214:$H$227,4,FALSE ))</f>
        <v>80337.843227137288</v>
      </c>
      <c r="R35" s="387">
        <v>80337.843227137288</v>
      </c>
      <c r="S35" s="167" t="e">
        <f>(VLOOKUP(S2,Inflows!$E$214:$H$227,4,FALSE ))</f>
        <v>#N/A</v>
      </c>
      <c r="T35" s="167" t="e">
        <f>(VLOOKUP(T2,Inflows!$E$214:$H$227,4,FALSE ))</f>
        <v>#N/A</v>
      </c>
      <c r="U35" s="167" t="e">
        <f>(VLOOKUP(U2,Inflows!$E$214:$H$227,4,FALSE ))</f>
        <v>#N/A</v>
      </c>
      <c r="V35" s="167" t="e">
        <f>(VLOOKUP(V2,Inflows!$E$214:$H$227,4,FALSE ))</f>
        <v>#N/A</v>
      </c>
      <c r="W35" s="167" t="e">
        <f>(VLOOKUP(W2,Inflows!$E$214:$H$227,4,FALSE ))</f>
        <v>#N/A</v>
      </c>
      <c r="X35" s="167" t="e">
        <f>(VLOOKUP(X2,Inflows!$E$214:$H$227,4,FALSE ))</f>
        <v>#N/A</v>
      </c>
      <c r="Y35" s="167" t="e">
        <f>(VLOOKUP(Y2,Inflows!$E$214:$H$227,4,FALSE ))</f>
        <v>#N/A</v>
      </c>
      <c r="Z35" s="167" t="e">
        <f>(VLOOKUP(Z2,Inflows!$E$214:$H$227,4,FALSE ))</f>
        <v>#N/A</v>
      </c>
      <c r="AA35" s="167" t="e">
        <f>(VLOOKUP(AA2,Inflows!$E$214:$H$227,4,FALSE ))</f>
        <v>#N/A</v>
      </c>
      <c r="AB35" s="167" t="e">
        <f>(VLOOKUP(AB2,Inflows!$E$214:$H$227,4,FALSE ))</f>
        <v>#N/A</v>
      </c>
    </row>
    <row r="36" spans="1:32" ht="19">
      <c r="B36" s="166" t="s">
        <v>214</v>
      </c>
      <c r="C36" s="167">
        <f>(VLOOKUP(C2,Inflows!$E$228:$H$251,4,FALSE ))</f>
        <v>357658.51989389921</v>
      </c>
      <c r="D36" s="167">
        <f>(VLOOKUP(D2,Inflows!$E$228:$H$251,4,FALSE ))</f>
        <v>541594.3448275862</v>
      </c>
      <c r="E36" s="167">
        <f>(VLOOKUP(E2,Inflows!$E$228:$H$251,4,FALSE ))</f>
        <v>520505.10079575598</v>
      </c>
      <c r="F36" s="167">
        <f>(VLOOKUP(F2,Inflows!$E$228:$H$251,4,FALSE ))</f>
        <v>619382.20954907162</v>
      </c>
      <c r="G36" s="167">
        <f>(VLOOKUP(G2,Inflows!$E$228:$H$251,4,FALSE ))</f>
        <v>2188470.0909090908</v>
      </c>
      <c r="H36" s="167">
        <f>(VLOOKUP(H2,Inflows!$E$228:$H$251,4,FALSE ))</f>
        <v>5259366.3259109315</v>
      </c>
      <c r="I36" s="167">
        <f>(VLOOKUP(I2,Inflows!$E$228:$H$251,4,FALSE ))</f>
        <v>8229972.7982062781</v>
      </c>
      <c r="J36" s="167">
        <f>(VLOOKUP(J2,Inflows!$E$228:$H$251,4,FALSE ))</f>
        <v>8358966.1613065042</v>
      </c>
      <c r="K36" s="167">
        <f>(VLOOKUP(K2,Inflows!$E$228:$H$251,4,FALSE ))</f>
        <v>7885826.2842995673</v>
      </c>
      <c r="L36" s="167">
        <f>(VLOOKUP(L2,Inflows!$E$228:$H$251,4,FALSE ))</f>
        <v>7430381.6400000006</v>
      </c>
      <c r="M36" s="167">
        <f>(VLOOKUP(M2,Inflows!$E$228:$H$251,4,FALSE ))</f>
        <v>6682216.589222406</v>
      </c>
      <c r="N36" s="167">
        <f>(VLOOKUP(N2,Inflows!$E$228:$H$251,4,FALSE ))</f>
        <v>6472267.345945945</v>
      </c>
      <c r="O36" s="167">
        <f>(VLOOKUP(O2,Inflows!$E$228:$H$251,4,FALSE ))</f>
        <v>7330820.9587378642</v>
      </c>
      <c r="P36" s="167">
        <f>(VLOOKUP(P2,Inflows!$E$228:$H$251,4,FALSE ))</f>
        <v>8116710.3896522103</v>
      </c>
      <c r="Q36" s="167">
        <f>(VLOOKUP(Q2,Inflows!$E$228:$H$251,4,FALSE ))</f>
        <v>6587362.3428129228</v>
      </c>
      <c r="R36" s="167">
        <f>(VLOOKUP(R2,Inflows!$E$228:$H$251,4,FALSE ))</f>
        <v>6163967.448249178</v>
      </c>
      <c r="S36" s="167">
        <f>(VLOOKUP(S2,Inflows!$E$228:$H$251,4,FALSE ))</f>
        <v>560906.79048171791</v>
      </c>
      <c r="T36" s="167" t="e">
        <f>(VLOOKUP(T2,Inflows!$E$228:$H$251,4,FALSE ))</f>
        <v>#N/A</v>
      </c>
      <c r="U36" s="167" t="e">
        <f>(VLOOKUP(U2,Inflows!$E$228:$H$251,4,FALSE ))</f>
        <v>#N/A</v>
      </c>
      <c r="V36" s="167" t="e">
        <f>(VLOOKUP(V2,Inflows!$E$228:$H$251,4,FALSE ))</f>
        <v>#N/A</v>
      </c>
      <c r="W36" s="167" t="e">
        <f>(VLOOKUP(W2,Inflows!$E$228:$H$251,4,FALSE ))</f>
        <v>#N/A</v>
      </c>
      <c r="X36" s="167" t="e">
        <f>(VLOOKUP(X2,Inflows!$E$228:$H$251,4,FALSE ))</f>
        <v>#N/A</v>
      </c>
      <c r="Y36" s="167" t="e">
        <f>(VLOOKUP(Y2,Inflows!$E$228:$H$251,4,FALSE ))</f>
        <v>#N/A</v>
      </c>
      <c r="Z36" s="167" t="e">
        <f>(VLOOKUP(Z2,Inflows!$E$228:$H$251,4,FALSE ))</f>
        <v>#N/A</v>
      </c>
      <c r="AA36" s="167" t="e">
        <f>(VLOOKUP(AA2,Inflows!$E$228:$H$251,4,FALSE ))</f>
        <v>#N/A</v>
      </c>
      <c r="AB36" s="167" t="e">
        <f>(VLOOKUP(AB2,Inflows!$E$228:$H$251,4,FALSE ))</f>
        <v>#N/A</v>
      </c>
    </row>
    <row r="37" spans="1:32" ht="19">
      <c r="B37" s="166" t="s">
        <v>7856</v>
      </c>
      <c r="C37" s="7">
        <f>(VLOOKUP(C2,Inflows!$E$252:$H$275,4,FALSE ))</f>
        <v>75665.206896551725</v>
      </c>
      <c r="D37" s="7">
        <f>(VLOOKUP(D2,Inflows!$E$252:$H$275,4,FALSE ))</f>
        <v>97916.575596816983</v>
      </c>
      <c r="E37" s="7">
        <f>(VLOOKUP(E2,Inflows!$E$252:$H$275,4,FALSE ))</f>
        <v>98243.909814323619</v>
      </c>
      <c r="F37" s="7">
        <f>(VLOOKUP(F2,Inflows!$E$252:$H$275,4,FALSE ))</f>
        <v>130858.24137931035</v>
      </c>
      <c r="G37" s="7">
        <f>(VLOOKUP(G2,Inflows!$E$252:$H$275,4,FALSE ))</f>
        <v>420511.45454545453</v>
      </c>
      <c r="H37" s="7">
        <f>(VLOOKUP(H2,Inflows!$E$252:$H$275,4,FALSE ))</f>
        <v>1062112.3785425101</v>
      </c>
      <c r="I37" s="7">
        <f>(VLOOKUP(I2,Inflows!$E$252:$H$275,4,FALSE ))</f>
        <v>1359524.3542600896</v>
      </c>
      <c r="J37" s="7">
        <f>(VLOOKUP(J2,Inflows!$E$252:$H$275,4,FALSE ))</f>
        <v>1253823.7623320883</v>
      </c>
      <c r="K37" s="7">
        <f>(VLOOKUP(K2,Inflows!$E$252:$H$275,4,FALSE ))</f>
        <v>1309452.0486899114</v>
      </c>
      <c r="L37" s="7">
        <f>(VLOOKUP(L2,Inflows!$E$252:$H$275,4,FALSE ))</f>
        <v>1284438.6613793105</v>
      </c>
      <c r="M37" s="7">
        <f>(VLOOKUP(M2,Inflows!$E$252:$H$275,4,FALSE ))</f>
        <v>1620940.6856535098</v>
      </c>
      <c r="N37" s="7">
        <f>(VLOOKUP(N2,Inflows!$E$252:$H$275,4,FALSE ))</f>
        <v>1309693.8891891891</v>
      </c>
      <c r="O37" s="7">
        <f>(VLOOKUP(O2,Inflows!$E$252:$H$275,4,FALSE ))</f>
        <v>1235000.1941747572</v>
      </c>
      <c r="P37" s="7">
        <f>(VLOOKUP(P2,Inflows!$E$252:$H$275,4,FALSE ))</f>
        <v>1245246.6079862602</v>
      </c>
      <c r="Q37" s="7">
        <f>(VLOOKUP(Q2,Inflows!$E$252:$H$275,4,FALSE ))</f>
        <v>1291983.9427355388</v>
      </c>
      <c r="R37" s="7">
        <f>(VLOOKUP(R2,Inflows!$E$252:$H$275,4,FALSE ))</f>
        <v>1285932.878699942</v>
      </c>
      <c r="S37" s="7">
        <f>(VLOOKUP(S2,Inflows!$E$252:$H$275,4,FALSE ))</f>
        <v>61438.202747146453</v>
      </c>
      <c r="T37" s="7" t="e">
        <f>(VLOOKUP(T2,Inflows!$E$252:$H$275,4,FALSE ))</f>
        <v>#N/A</v>
      </c>
      <c r="U37" s="7" t="e">
        <f>(VLOOKUP(U2,Inflows!$E$252:$H$275,4,FALSE ))</f>
        <v>#N/A</v>
      </c>
      <c r="V37" s="7" t="e">
        <f>(VLOOKUP(V2,Inflows!$E$252:$H$275,4,FALSE ))</f>
        <v>#N/A</v>
      </c>
      <c r="W37" s="7" t="e">
        <f>(VLOOKUP(W2,Inflows!$E$252:$H$275,4,FALSE ))</f>
        <v>#N/A</v>
      </c>
      <c r="X37" s="7" t="e">
        <f>(VLOOKUP(X2,Inflows!$E$252:$H$275,4,FALSE ))</f>
        <v>#N/A</v>
      </c>
      <c r="Y37" s="7" t="e">
        <f>(VLOOKUP(Y2,Inflows!$E$252:$H$275,4,FALSE ))</f>
        <v>#N/A</v>
      </c>
      <c r="Z37" s="7" t="e">
        <f>(VLOOKUP(Z2,Inflows!$E$252:$H$275,4,FALSE ))</f>
        <v>#N/A</v>
      </c>
      <c r="AA37" s="7" t="e">
        <f>(VLOOKUP(AA2,Inflows!$E$252:$H$275,4,FALSE ))</f>
        <v>#N/A</v>
      </c>
      <c r="AB37" s="7" t="e">
        <f>(VLOOKUP(AB2,Inflows!$E$252:$H$275,4,FALSE ))</f>
        <v>#N/A</v>
      </c>
    </row>
    <row r="38" spans="1:32">
      <c r="A38" s="1"/>
      <c r="B38" s="7" t="s">
        <v>7877</v>
      </c>
      <c r="C38" s="374">
        <f>C36-C37</f>
        <v>281993.3129973475</v>
      </c>
      <c r="D38" s="374">
        <f>D35+D36-D37</f>
        <v>451032.15104895108</v>
      </c>
      <c r="E38" s="374">
        <f t="shared" ref="E38:R38" si="1">E35+E36-E37</f>
        <v>428905.75007234141</v>
      </c>
      <c r="F38" s="374">
        <f t="shared" si="1"/>
        <v>495377.26816976129</v>
      </c>
      <c r="G38" s="374">
        <f t="shared" si="1"/>
        <v>1789345.8363636364</v>
      </c>
      <c r="H38" s="374">
        <f t="shared" si="1"/>
        <v>4238046.3028597515</v>
      </c>
      <c r="I38" s="374">
        <f t="shared" si="1"/>
        <v>6927500.6430479847</v>
      </c>
      <c r="J38" s="374">
        <f t="shared" si="1"/>
        <v>7158730.354857496</v>
      </c>
      <c r="K38" s="374">
        <f t="shared" si="1"/>
        <v>6634191.0612631189</v>
      </c>
      <c r="L38" s="374">
        <f t="shared" si="1"/>
        <v>6199779.1706616916</v>
      </c>
      <c r="M38" s="374">
        <f t="shared" si="1"/>
        <v>5129453.2045218628</v>
      </c>
      <c r="N38" s="374">
        <f t="shared" si="1"/>
        <v>5235601.6592519572</v>
      </c>
      <c r="O38" s="374">
        <f t="shared" si="1"/>
        <v>6169283.7834310317</v>
      </c>
      <c r="P38" s="374">
        <f t="shared" si="1"/>
        <v>6983081.3347747587</v>
      </c>
      <c r="Q38" s="374">
        <f t="shared" si="1"/>
        <v>5375716.2433045208</v>
      </c>
      <c r="R38" s="374">
        <f t="shared" si="1"/>
        <v>4958372.4127763733</v>
      </c>
      <c r="S38" s="254">
        <v>4958372.4127763733</v>
      </c>
      <c r="T38" s="254">
        <v>4958372.4127763733</v>
      </c>
      <c r="U38" s="254">
        <v>4958372.4127763733</v>
      </c>
      <c r="V38" s="254">
        <v>4958372.4127763733</v>
      </c>
      <c r="W38" s="254">
        <v>4958372.4127763733</v>
      </c>
      <c r="X38" s="254">
        <v>4958372.4127763733</v>
      </c>
      <c r="Y38" s="254">
        <v>4958372.4127763733</v>
      </c>
      <c r="Z38" s="254">
        <v>4958372.4127763733</v>
      </c>
      <c r="AA38" s="254">
        <v>4958372.4127763733</v>
      </c>
      <c r="AB38" s="254">
        <v>4958372.4127763733</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7762</v>
      </c>
      <c r="B41" s="7">
        <v>2007</v>
      </c>
      <c r="C41" s="50"/>
      <c r="D41" s="50">
        <f t="shared" ref="D41:AB41" si="2">C7-D7</f>
        <v>21129.934049386502</v>
      </c>
      <c r="E41" s="50">
        <f t="shared" si="2"/>
        <v>38174.525715955475</v>
      </c>
      <c r="F41" s="50">
        <f t="shared" si="2"/>
        <v>43188.571696942119</v>
      </c>
      <c r="G41" s="50">
        <f t="shared" si="2"/>
        <v>41654.127744297846</v>
      </c>
      <c r="H41" s="50">
        <f t="shared" si="2"/>
        <v>36450.772115634725</v>
      </c>
      <c r="I41" s="50">
        <f t="shared" si="2"/>
        <v>29690.053258650019</v>
      </c>
      <c r="J41" s="50">
        <f t="shared" si="2"/>
        <v>22816.949167708277</v>
      </c>
      <c r="K41" s="50">
        <f t="shared" si="2"/>
        <v>16682.472355534515</v>
      </c>
      <c r="L41" s="50">
        <f t="shared" si="2"/>
        <v>11669.686018509445</v>
      </c>
      <c r="M41" s="50">
        <f t="shared" si="2"/>
        <v>7841.7776681828655</v>
      </c>
      <c r="N41" s="50">
        <f t="shared" si="2"/>
        <v>5077.6329599494338</v>
      </c>
      <c r="O41" s="50">
        <f t="shared" si="2"/>
        <v>3175.7794945204805</v>
      </c>
      <c r="P41" s="50">
        <f t="shared" si="2"/>
        <v>1922.3556127417964</v>
      </c>
      <c r="Q41" s="50">
        <f t="shared" si="2"/>
        <v>1128.0257718239454</v>
      </c>
      <c r="R41" s="50">
        <f t="shared" si="2"/>
        <v>642.54749793735562</v>
      </c>
      <c r="S41" s="50">
        <f t="shared" si="2"/>
        <v>355.71954548644965</v>
      </c>
      <c r="T41" s="50">
        <f t="shared" si="2"/>
        <v>191.59134826281368</v>
      </c>
      <c r="U41" s="50">
        <f t="shared" si="2"/>
        <v>100.48613104440815</v>
      </c>
      <c r="V41" s="50">
        <f t="shared" si="2"/>
        <v>51.36313426599849</v>
      </c>
      <c r="W41" s="50">
        <f t="shared" si="2"/>
        <v>25.605265198557053</v>
      </c>
      <c r="X41" s="50">
        <f t="shared" si="2"/>
        <v>12.45737385128229</v>
      </c>
      <c r="Y41" s="50">
        <f t="shared" si="2"/>
        <v>5.9184053243375283</v>
      </c>
      <c r="Z41" s="50">
        <f t="shared" si="2"/>
        <v>2.7472837423683942</v>
      </c>
      <c r="AA41" s="50">
        <f t="shared" si="2"/>
        <v>1.2466473056422522</v>
      </c>
      <c r="AB41" s="50">
        <f t="shared" si="2"/>
        <v>0.55325980384129414</v>
      </c>
    </row>
    <row r="42" spans="1:32">
      <c r="B42" s="7">
        <v>2008</v>
      </c>
      <c r="C42" s="8"/>
      <c r="D42" s="50"/>
      <c r="E42" s="50">
        <f t="shared" ref="E42:AB42" si="3">D8-E8</f>
        <v>33796.119150906685</v>
      </c>
      <c r="F42" s="50">
        <f t="shared" si="3"/>
        <v>61057.967176345235</v>
      </c>
      <c r="G42" s="50">
        <f t="shared" si="3"/>
        <v>69077.646509252081</v>
      </c>
      <c r="H42" s="50">
        <f t="shared" si="3"/>
        <v>66623.391302740463</v>
      </c>
      <c r="I42" s="50">
        <f t="shared" si="3"/>
        <v>58300.922032376344</v>
      </c>
      <c r="J42" s="50">
        <f t="shared" si="3"/>
        <v>47487.539486912559</v>
      </c>
      <c r="K42" s="50">
        <f t="shared" si="3"/>
        <v>36494.403197365333</v>
      </c>
      <c r="L42" s="50">
        <f t="shared" si="3"/>
        <v>26682.658930292317</v>
      </c>
      <c r="M42" s="50">
        <f t="shared" si="3"/>
        <v>18664.994325747342</v>
      </c>
      <c r="N42" s="50">
        <f t="shared" si="3"/>
        <v>12542.474188958568</v>
      </c>
      <c r="O42" s="50">
        <f t="shared" si="3"/>
        <v>8121.3830633799007</v>
      </c>
      <c r="P42" s="50">
        <f t="shared" si="3"/>
        <v>5079.4773870549043</v>
      </c>
      <c r="Q42" s="50">
        <f t="shared" si="3"/>
        <v>3074.6976865515694</v>
      </c>
      <c r="R42" s="50">
        <f t="shared" si="3"/>
        <v>1804.2126066627443</v>
      </c>
      <c r="S42" s="50">
        <f t="shared" si="3"/>
        <v>1027.7179166604315</v>
      </c>
      <c r="T42" s="50">
        <f t="shared" si="3"/>
        <v>568.95303674246259</v>
      </c>
      <c r="U42" s="50">
        <f t="shared" si="3"/>
        <v>306.43938684517099</v>
      </c>
      <c r="V42" s="50">
        <f t="shared" si="3"/>
        <v>160.7218105770207</v>
      </c>
      <c r="W42" s="50">
        <f t="shared" si="3"/>
        <v>82.15239108463291</v>
      </c>
      <c r="X42" s="50">
        <f t="shared" si="3"/>
        <v>40.954154968889867</v>
      </c>
      <c r="Y42" s="50">
        <f t="shared" si="3"/>
        <v>19.92485589407454</v>
      </c>
      <c r="Z42" s="50">
        <f t="shared" si="3"/>
        <v>9.4661502992470954</v>
      </c>
      <c r="AA42" s="50">
        <f t="shared" si="3"/>
        <v>4.3941229765043559</v>
      </c>
      <c r="AB42" s="50">
        <f t="shared" si="3"/>
        <v>1.9939409551477318</v>
      </c>
    </row>
    <row r="43" spans="1:32">
      <c r="B43" s="7">
        <v>2009</v>
      </c>
      <c r="C43" s="8"/>
      <c r="D43" s="8"/>
      <c r="E43" s="50"/>
      <c r="F43" s="50">
        <f t="shared" ref="F43:AB43" si="4">E9-F9</f>
        <v>32138.174186125048</v>
      </c>
      <c r="G43" s="50">
        <f t="shared" si="4"/>
        <v>58062.630676677683</v>
      </c>
      <c r="H43" s="50">
        <f t="shared" si="4"/>
        <v>65688.886524781876</v>
      </c>
      <c r="I43" s="50">
        <f t="shared" si="4"/>
        <v>63355.030351181573</v>
      </c>
      <c r="J43" s="50">
        <f t="shared" si="4"/>
        <v>55440.838609954371</v>
      </c>
      <c r="K43" s="50">
        <f t="shared" si="4"/>
        <v>45157.930970898</v>
      </c>
      <c r="L43" s="50">
        <f t="shared" si="4"/>
        <v>34704.087813708044</v>
      </c>
      <c r="M43" s="50">
        <f t="shared" si="4"/>
        <v>25373.680824761024</v>
      </c>
      <c r="N43" s="50">
        <f t="shared" si="4"/>
        <v>17749.340867967992</v>
      </c>
      <c r="O43" s="50">
        <f t="shared" si="4"/>
        <v>11927.174786248015</v>
      </c>
      <c r="P43" s="50">
        <f t="shared" si="4"/>
        <v>7722.9702723469891</v>
      </c>
      <c r="Q43" s="50">
        <f t="shared" si="4"/>
        <v>4830.2921501350647</v>
      </c>
      <c r="R43" s="50">
        <f t="shared" si="4"/>
        <v>2923.8614463051158</v>
      </c>
      <c r="S43" s="50">
        <f t="shared" si="4"/>
        <v>1715.7028818255421</v>
      </c>
      <c r="T43" s="50">
        <f t="shared" si="4"/>
        <v>977.3008928141503</v>
      </c>
      <c r="U43" s="50">
        <f t="shared" si="4"/>
        <v>541.04176035441355</v>
      </c>
      <c r="V43" s="50">
        <f t="shared" si="4"/>
        <v>291.40631052767634</v>
      </c>
      <c r="W43" s="50">
        <f t="shared" si="4"/>
        <v>152.83723911522287</v>
      </c>
      <c r="X43" s="50">
        <f t="shared" si="4"/>
        <v>78.122219971335568</v>
      </c>
      <c r="Y43" s="50">
        <f t="shared" si="4"/>
        <v>38.945056388240069</v>
      </c>
      <c r="Z43" s="50">
        <f t="shared" si="4"/>
        <v>18.94739708124235</v>
      </c>
      <c r="AA43" s="50">
        <f t="shared" si="4"/>
        <v>9.0017669138523289</v>
      </c>
      <c r="AB43" s="50">
        <f t="shared" si="4"/>
        <v>4.1785593482961385</v>
      </c>
      <c r="AD43" s="1"/>
    </row>
    <row r="44" spans="1:32">
      <c r="B44" s="7">
        <v>2010</v>
      </c>
      <c r="C44" s="8"/>
      <c r="D44" s="8"/>
      <c r="E44" s="8"/>
      <c r="F44" s="50"/>
      <c r="G44" s="50">
        <f t="shared" ref="G44:AB44" si="5">F10-G10</f>
        <v>37118.92631330149</v>
      </c>
      <c r="H44" s="50">
        <f t="shared" si="5"/>
        <v>67061.137237052899</v>
      </c>
      <c r="I44" s="50">
        <f t="shared" si="5"/>
        <v>75869.304970314261</v>
      </c>
      <c r="J44" s="50">
        <f t="shared" si="5"/>
        <v>73173.749372413789</v>
      </c>
      <c r="K44" s="50">
        <f t="shared" si="5"/>
        <v>64033.021639387181</v>
      </c>
      <c r="L44" s="50">
        <f t="shared" si="5"/>
        <v>52156.476048150507</v>
      </c>
      <c r="M44" s="50">
        <f t="shared" si="5"/>
        <v>40082.5034697683</v>
      </c>
      <c r="N44" s="50">
        <f t="shared" si="5"/>
        <v>29306.076424159677</v>
      </c>
      <c r="O44" s="50">
        <f t="shared" si="5"/>
        <v>20500.121505726791</v>
      </c>
      <c r="P44" s="50">
        <f t="shared" si="5"/>
        <v>13775.640129791329</v>
      </c>
      <c r="Q44" s="50">
        <f t="shared" si="5"/>
        <v>8919.8708924425791</v>
      </c>
      <c r="R44" s="50">
        <f t="shared" si="5"/>
        <v>5578.8875047540541</v>
      </c>
      <c r="S44" s="50">
        <f t="shared" si="5"/>
        <v>3376.9994818983396</v>
      </c>
      <c r="T44" s="50">
        <f t="shared" si="5"/>
        <v>1981.6013342007468</v>
      </c>
      <c r="U44" s="50">
        <f t="shared" si="5"/>
        <v>1128.7623128868895</v>
      </c>
      <c r="V44" s="50">
        <f t="shared" si="5"/>
        <v>624.89204018580438</v>
      </c>
      <c r="W44" s="50">
        <f t="shared" si="5"/>
        <v>336.56826007177949</v>
      </c>
      <c r="X44" s="50">
        <f t="shared" si="5"/>
        <v>176.52384929495042</v>
      </c>
      <c r="Y44" s="50">
        <f t="shared" si="5"/>
        <v>90.229547881393628</v>
      </c>
      <c r="Z44" s="50">
        <f t="shared" si="5"/>
        <v>44.980734436574259</v>
      </c>
      <c r="AA44" s="50">
        <f t="shared" si="5"/>
        <v>21.88385164677889</v>
      </c>
      <c r="AB44" s="50">
        <f t="shared" si="5"/>
        <v>10.396854557750711</v>
      </c>
    </row>
    <row r="45" spans="1:32">
      <c r="B45" s="7">
        <v>2011</v>
      </c>
      <c r="C45" s="8"/>
      <c r="D45" s="8"/>
      <c r="E45" s="8"/>
      <c r="F45" s="8"/>
      <c r="G45" s="50"/>
      <c r="H45" s="50">
        <f t="shared" ref="H45:AB45" si="6">G11-H11</f>
        <v>134076.79463045858</v>
      </c>
      <c r="I45" s="50">
        <f t="shared" si="6"/>
        <v>242230.66823447705</v>
      </c>
      <c r="J45" s="50">
        <f t="shared" si="6"/>
        <v>274046.5372139609</v>
      </c>
      <c r="K45" s="50">
        <f t="shared" si="6"/>
        <v>264309.95563118008</v>
      </c>
      <c r="L45" s="50">
        <f t="shared" si="6"/>
        <v>231292.85096900235</v>
      </c>
      <c r="M45" s="50">
        <f t="shared" si="6"/>
        <v>188393.73393325729</v>
      </c>
      <c r="N45" s="50">
        <f t="shared" si="6"/>
        <v>144781.49342549685</v>
      </c>
      <c r="O45" s="50">
        <f t="shared" si="6"/>
        <v>105856.10038883417</v>
      </c>
      <c r="P45" s="50">
        <f t="shared" si="6"/>
        <v>74048.224289230682</v>
      </c>
      <c r="Q45" s="50">
        <f t="shared" si="6"/>
        <v>49758.811906239571</v>
      </c>
      <c r="R45" s="50">
        <f t="shared" si="6"/>
        <v>32219.350518973995</v>
      </c>
      <c r="S45" s="50">
        <f t="shared" si="6"/>
        <v>20151.427547442185</v>
      </c>
      <c r="T45" s="50">
        <f t="shared" si="6"/>
        <v>12198.016240555877</v>
      </c>
      <c r="U45" s="50">
        <f t="shared" si="6"/>
        <v>7157.7166021062349</v>
      </c>
      <c r="V45" s="50">
        <f t="shared" si="6"/>
        <v>4077.1877810836404</v>
      </c>
      <c r="W45" s="50">
        <f t="shared" si="6"/>
        <v>2257.1644726743252</v>
      </c>
      <c r="X45" s="50">
        <f t="shared" si="6"/>
        <v>1215.7138680114226</v>
      </c>
      <c r="Y45" s="50">
        <f t="shared" si="6"/>
        <v>637.61951758868054</v>
      </c>
      <c r="Z45" s="50">
        <f t="shared" si="6"/>
        <v>325.91698528083646</v>
      </c>
      <c r="AA45" s="50">
        <f t="shared" si="6"/>
        <v>162.47433027766778</v>
      </c>
      <c r="AB45" s="50">
        <f t="shared" si="6"/>
        <v>79.046378071478856</v>
      </c>
      <c r="AD45" s="1"/>
      <c r="AE45" s="1"/>
      <c r="AF45" s="1"/>
    </row>
    <row r="46" spans="1:32">
      <c r="B46" s="7">
        <v>2012</v>
      </c>
      <c r="C46" s="8"/>
      <c r="D46" s="8"/>
      <c r="E46" s="8"/>
      <c r="F46" s="8"/>
      <c r="G46" s="8"/>
      <c r="H46" s="50"/>
      <c r="I46" s="50">
        <f t="shared" ref="I46:AB46" si="7">H12-I12</f>
        <v>317559.44112942554</v>
      </c>
      <c r="J46" s="50">
        <f t="shared" si="7"/>
        <v>573720.72356712772</v>
      </c>
      <c r="K46" s="50">
        <f t="shared" si="7"/>
        <v>649076.2658891147</v>
      </c>
      <c r="L46" s="50">
        <f t="shared" si="7"/>
        <v>626015.27748720022</v>
      </c>
      <c r="M46" s="50">
        <f t="shared" si="7"/>
        <v>547814.62141445209</v>
      </c>
      <c r="N46" s="50">
        <f t="shared" si="7"/>
        <v>446208.5256812966</v>
      </c>
      <c r="O46" s="50">
        <f t="shared" si="7"/>
        <v>342913.40470068005</v>
      </c>
      <c r="P46" s="50">
        <f t="shared" si="7"/>
        <v>250719.03137503855</v>
      </c>
      <c r="Q46" s="50">
        <f t="shared" si="7"/>
        <v>175382.42010278912</v>
      </c>
      <c r="R46" s="50">
        <f t="shared" si="7"/>
        <v>117853.20900429704</v>
      </c>
      <c r="S46" s="50">
        <f t="shared" si="7"/>
        <v>76311.183993908853</v>
      </c>
      <c r="T46" s="50">
        <f t="shared" si="7"/>
        <v>47728.438672504722</v>
      </c>
      <c r="U46" s="50">
        <f t="shared" si="7"/>
        <v>28890.869825124886</v>
      </c>
      <c r="V46" s="50">
        <f t="shared" si="7"/>
        <v>16952.974526222039</v>
      </c>
      <c r="W46" s="50">
        <f t="shared" si="7"/>
        <v>9656.7752586062506</v>
      </c>
      <c r="X46" s="50">
        <f t="shared" si="7"/>
        <v>5346.0696942766845</v>
      </c>
      <c r="Y46" s="50">
        <f t="shared" si="7"/>
        <v>2879.405176436826</v>
      </c>
      <c r="Z46" s="50">
        <f t="shared" si="7"/>
        <v>1510.1949462377513</v>
      </c>
      <c r="AA46" s="50">
        <f t="shared" si="7"/>
        <v>771.93086235116311</v>
      </c>
      <c r="AB46" s="50">
        <f t="shared" si="7"/>
        <v>384.81869784447292</v>
      </c>
    </row>
    <row r="47" spans="1:32">
      <c r="B47" s="7">
        <v>2013</v>
      </c>
      <c r="C47" s="8"/>
      <c r="D47" s="8"/>
      <c r="E47" s="8"/>
      <c r="F47" s="8"/>
      <c r="G47" s="8"/>
      <c r="H47" s="8"/>
      <c r="I47" s="50"/>
      <c r="J47" s="50">
        <f t="shared" ref="J47:AB47" si="8">I13-J13</f>
        <v>519081.9248826066</v>
      </c>
      <c r="K47" s="50">
        <f t="shared" si="8"/>
        <v>937802.56217572466</v>
      </c>
      <c r="L47" s="50">
        <f t="shared" si="8"/>
        <v>1060978.5566287683</v>
      </c>
      <c r="M47" s="50">
        <f t="shared" si="8"/>
        <v>1023283.118550193</v>
      </c>
      <c r="N47" s="50">
        <f t="shared" si="8"/>
        <v>895456.50776843168</v>
      </c>
      <c r="O47" s="50">
        <f t="shared" si="8"/>
        <v>729371.4196810103</v>
      </c>
      <c r="P47" s="50">
        <f t="shared" si="8"/>
        <v>560525.45484714769</v>
      </c>
      <c r="Q47" s="50">
        <f t="shared" si="8"/>
        <v>409824.74634667172</v>
      </c>
      <c r="R47" s="50">
        <f t="shared" si="8"/>
        <v>286679.69654355838</v>
      </c>
      <c r="S47" s="50">
        <f t="shared" si="8"/>
        <v>192642.58170365589</v>
      </c>
      <c r="T47" s="50">
        <f t="shared" si="8"/>
        <v>124738.08411032148</v>
      </c>
      <c r="U47" s="50">
        <f t="shared" si="8"/>
        <v>78016.794996398254</v>
      </c>
      <c r="V47" s="50">
        <f t="shared" si="8"/>
        <v>47224.948712031917</v>
      </c>
      <c r="W47" s="50">
        <f t="shared" si="8"/>
        <v>27711.292784302961</v>
      </c>
      <c r="X47" s="50">
        <f t="shared" si="8"/>
        <v>15784.942408161904</v>
      </c>
      <c r="Y47" s="50">
        <f t="shared" si="8"/>
        <v>8738.673105079255</v>
      </c>
      <c r="Z47" s="50">
        <f t="shared" si="8"/>
        <v>4706.669013479609</v>
      </c>
      <c r="AA47" s="50">
        <f t="shared" si="8"/>
        <v>2468.5611514273373</v>
      </c>
      <c r="AB47" s="50">
        <f t="shared" si="8"/>
        <v>1261.7963946542638</v>
      </c>
    </row>
    <row r="48" spans="1:32">
      <c r="B48" s="7">
        <v>2014</v>
      </c>
      <c r="C48" s="8"/>
      <c r="D48" s="8"/>
      <c r="E48" s="8"/>
      <c r="F48" s="8"/>
      <c r="G48" s="8"/>
      <c r="H48" s="8"/>
      <c r="I48" s="8"/>
      <c r="J48" s="50"/>
      <c r="K48" s="50">
        <f t="shared" ref="K48:AB48" si="9">J14-K14</f>
        <v>536408.11077283602</v>
      </c>
      <c r="L48" s="50">
        <f t="shared" si="9"/>
        <v>969105.02281190269</v>
      </c>
      <c r="M48" s="50">
        <f t="shared" si="9"/>
        <v>1096392.4495356632</v>
      </c>
      <c r="N48" s="50">
        <f t="shared" si="9"/>
        <v>1057438.7935611145</v>
      </c>
      <c r="O48" s="50">
        <f t="shared" si="9"/>
        <v>925345.51982316701</v>
      </c>
      <c r="P48" s="50">
        <f t="shared" si="9"/>
        <v>753716.75746804941</v>
      </c>
      <c r="Q48" s="50">
        <f t="shared" si="9"/>
        <v>579234.964389564</v>
      </c>
      <c r="R48" s="50">
        <f t="shared" si="9"/>
        <v>423504.08942767826</v>
      </c>
      <c r="S48" s="50">
        <f t="shared" si="9"/>
        <v>296248.64024043537</v>
      </c>
      <c r="T48" s="50">
        <f t="shared" si="9"/>
        <v>199072.70577651024</v>
      </c>
      <c r="U48" s="50">
        <f t="shared" si="9"/>
        <v>128901.65662033565</v>
      </c>
      <c r="V48" s="50">
        <f t="shared" si="9"/>
        <v>80620.880070200816</v>
      </c>
      <c r="W48" s="50">
        <f t="shared" si="9"/>
        <v>48801.247559706586</v>
      </c>
      <c r="X48" s="50">
        <f t="shared" si="9"/>
        <v>28636.254696910466</v>
      </c>
      <c r="Y48" s="50">
        <f t="shared" si="9"/>
        <v>16311.820408185173</v>
      </c>
      <c r="Z48" s="50">
        <f t="shared" si="9"/>
        <v>9030.3570713178979</v>
      </c>
      <c r="AA48" s="50">
        <f t="shared" si="9"/>
        <v>4863.7706545544206</v>
      </c>
      <c r="AB48" s="50">
        <f t="shared" si="9"/>
        <v>2550.9580667133027</v>
      </c>
      <c r="AD48" s="1"/>
    </row>
    <row r="49" spans="2:32">
      <c r="B49" s="7">
        <v>2015</v>
      </c>
      <c r="C49" s="8"/>
      <c r="D49" s="8"/>
      <c r="E49" s="8"/>
      <c r="F49" s="8"/>
      <c r="G49" s="8"/>
      <c r="H49" s="8"/>
      <c r="I49" s="8"/>
      <c r="J49" s="8"/>
      <c r="K49" s="50"/>
      <c r="L49" s="50">
        <f t="shared" ref="L49:AB49" si="10">K15-L15</f>
        <v>497104.05578602385</v>
      </c>
      <c r="M49" s="50">
        <f t="shared" si="10"/>
        <v>898096.10937523656</v>
      </c>
      <c r="N49" s="50">
        <f t="shared" si="10"/>
        <v>1016056.8463666709</v>
      </c>
      <c r="O49" s="50">
        <f t="shared" si="10"/>
        <v>979957.42880800972</v>
      </c>
      <c r="P49" s="50">
        <f t="shared" si="10"/>
        <v>857542.98204921419</v>
      </c>
      <c r="Q49" s="50">
        <f t="shared" si="10"/>
        <v>698489.91752089746</v>
      </c>
      <c r="R49" s="50">
        <f t="shared" si="10"/>
        <v>536792.87145056901</v>
      </c>
      <c r="S49" s="50">
        <f t="shared" si="10"/>
        <v>392472.81364397879</v>
      </c>
      <c r="T49" s="50">
        <f t="shared" si="10"/>
        <v>274541.71110954956</v>
      </c>
      <c r="U49" s="50">
        <f t="shared" si="10"/>
        <v>184486.11691427184</v>
      </c>
      <c r="V49" s="50">
        <f t="shared" si="10"/>
        <v>119456.68795198837</v>
      </c>
      <c r="W49" s="50">
        <f t="shared" si="10"/>
        <v>74713.572854433805</v>
      </c>
      <c r="X49" s="50">
        <f t="shared" si="10"/>
        <v>45225.449806111443</v>
      </c>
      <c r="Y49" s="50">
        <f t="shared" si="10"/>
        <v>26537.999829730867</v>
      </c>
      <c r="Z49" s="50">
        <f t="shared" si="10"/>
        <v>15116.60975908703</v>
      </c>
      <c r="AA49" s="50">
        <f t="shared" si="10"/>
        <v>8368.678689217646</v>
      </c>
      <c r="AB49" s="50">
        <f t="shared" si="10"/>
        <v>4507.3891878863933</v>
      </c>
    </row>
    <row r="50" spans="2:32">
      <c r="B50" s="7">
        <v>2016</v>
      </c>
      <c r="C50" s="8"/>
      <c r="D50" s="8"/>
      <c r="E50" s="8"/>
      <c r="F50" s="8"/>
      <c r="G50" s="8"/>
      <c r="H50" s="8"/>
      <c r="I50" s="8"/>
      <c r="J50" s="8"/>
      <c r="K50" s="8"/>
      <c r="L50" s="50"/>
      <c r="M50" s="50">
        <f t="shared" ref="M50:AB50" si="11">L16-M16</f>
        <v>464553.30307096336</v>
      </c>
      <c r="N50" s="50">
        <f t="shared" si="11"/>
        <v>839288.09115376417</v>
      </c>
      <c r="O50" s="50">
        <f t="shared" si="11"/>
        <v>949524.66911812685</v>
      </c>
      <c r="P50" s="50">
        <f t="shared" si="11"/>
        <v>915789.0689542992</v>
      </c>
      <c r="Q50" s="50">
        <f t="shared" si="11"/>
        <v>801390.41353499703</v>
      </c>
      <c r="R50" s="50">
        <f t="shared" si="11"/>
        <v>652752.26498206379</v>
      </c>
      <c r="S50" s="50">
        <f t="shared" si="11"/>
        <v>501643.26481505972</v>
      </c>
      <c r="T50" s="50">
        <f t="shared" si="11"/>
        <v>366773.39446682273</v>
      </c>
      <c r="U50" s="50">
        <f t="shared" si="11"/>
        <v>256564.51047262026</v>
      </c>
      <c r="V50" s="50">
        <f t="shared" si="11"/>
        <v>172405.82527081924</v>
      </c>
      <c r="W50" s="50">
        <f t="shared" si="11"/>
        <v>111634.57291505305</v>
      </c>
      <c r="X50" s="50">
        <f t="shared" si="11"/>
        <v>69821.271119743833</v>
      </c>
      <c r="Y50" s="50">
        <f t="shared" si="11"/>
        <v>42264.052859272204</v>
      </c>
      <c r="Z50" s="50">
        <f t="shared" si="11"/>
        <v>24800.271360298033</v>
      </c>
      <c r="AA50" s="50">
        <f t="shared" si="11"/>
        <v>14126.762622595503</v>
      </c>
      <c r="AB50" s="50">
        <f t="shared" si="11"/>
        <v>7820.6912258408029</v>
      </c>
      <c r="AD50" s="1"/>
      <c r="AE50" s="1"/>
      <c r="AF50" s="1"/>
    </row>
    <row r="51" spans="2:32">
      <c r="B51" s="7">
        <v>2017</v>
      </c>
      <c r="C51" s="8"/>
      <c r="D51" s="8"/>
      <c r="E51" s="8"/>
      <c r="F51" s="8"/>
      <c r="G51" s="8"/>
      <c r="H51" s="8"/>
      <c r="I51" s="8"/>
      <c r="J51" s="8"/>
      <c r="K51" s="8"/>
      <c r="L51" s="8"/>
      <c r="M51" s="50"/>
      <c r="N51" s="50">
        <f t="shared" ref="N51:AB51" si="12">M17-N17</f>
        <v>384353.11379876826</v>
      </c>
      <c r="O51" s="50">
        <f t="shared" si="12"/>
        <v>694393.92439299449</v>
      </c>
      <c r="P51" s="50">
        <f t="shared" si="12"/>
        <v>785599.32905815309</v>
      </c>
      <c r="Q51" s="50">
        <f t="shared" si="12"/>
        <v>757687.82163129328</v>
      </c>
      <c r="R51" s="50">
        <f t="shared" si="12"/>
        <v>663038.87793820607</v>
      </c>
      <c r="S51" s="50">
        <f t="shared" si="12"/>
        <v>540061.52561298362</v>
      </c>
      <c r="T51" s="50">
        <f t="shared" si="12"/>
        <v>415039.88793810364</v>
      </c>
      <c r="U51" s="50">
        <f t="shared" si="12"/>
        <v>303453.8669512663</v>
      </c>
      <c r="V51" s="50">
        <f t="shared" si="12"/>
        <v>212271.37518672406</v>
      </c>
      <c r="W51" s="50">
        <f t="shared" si="12"/>
        <v>142641.79232358935</v>
      </c>
      <c r="X51" s="50">
        <f t="shared" si="12"/>
        <v>92362.050649206154</v>
      </c>
      <c r="Y51" s="50">
        <f t="shared" si="12"/>
        <v>57767.370906331111</v>
      </c>
      <c r="Z51" s="50">
        <f t="shared" si="12"/>
        <v>34967.613427421056</v>
      </c>
      <c r="AA51" s="50">
        <f t="shared" si="12"/>
        <v>20518.768152917197</v>
      </c>
      <c r="AB51" s="50">
        <f t="shared" si="12"/>
        <v>11687.927232456312</v>
      </c>
      <c r="AD51" s="97"/>
      <c r="AE51" s="268"/>
      <c r="AF51" s="97"/>
    </row>
    <row r="52" spans="2:32">
      <c r="B52" s="7">
        <v>2018</v>
      </c>
      <c r="C52" s="8"/>
      <c r="D52" s="8"/>
      <c r="E52" s="8"/>
      <c r="F52" s="8"/>
      <c r="G52" s="8"/>
      <c r="H52" s="8"/>
      <c r="I52" s="8"/>
      <c r="J52" s="8"/>
      <c r="K52" s="8"/>
      <c r="L52" s="8"/>
      <c r="M52" s="8"/>
      <c r="N52" s="50"/>
      <c r="O52" s="50">
        <f t="shared" ref="O52:AB52" si="13">N18-O18</f>
        <v>392306.883425612</v>
      </c>
      <c r="P52" s="50">
        <f t="shared" si="13"/>
        <v>708763.65136180725</v>
      </c>
      <c r="Q52" s="50">
        <f t="shared" si="13"/>
        <v>801856.45267183706</v>
      </c>
      <c r="R52" s="50">
        <f t="shared" si="13"/>
        <v>773367.34695829544</v>
      </c>
      <c r="S52" s="50">
        <f t="shared" si="13"/>
        <v>676759.74632571242</v>
      </c>
      <c r="T52" s="50">
        <f t="shared" si="13"/>
        <v>551237.51145733427</v>
      </c>
      <c r="U52" s="50">
        <f t="shared" si="13"/>
        <v>423628.68697756936</v>
      </c>
      <c r="V52" s="50">
        <f t="shared" si="13"/>
        <v>309733.51465920382</v>
      </c>
      <c r="W52" s="50">
        <f t="shared" si="13"/>
        <v>216664.10040734598</v>
      </c>
      <c r="X52" s="50">
        <f t="shared" si="13"/>
        <v>145593.60906337993</v>
      </c>
      <c r="Y52" s="50">
        <f t="shared" si="13"/>
        <v>94273.382824626548</v>
      </c>
      <c r="Z52" s="50">
        <f t="shared" si="13"/>
        <v>58962.803813316554</v>
      </c>
      <c r="AA52" s="50">
        <f t="shared" si="13"/>
        <v>35691.230152815486</v>
      </c>
      <c r="AB52" s="50">
        <f t="shared" si="13"/>
        <v>20943.381741452751</v>
      </c>
    </row>
    <row r="53" spans="2:32">
      <c r="B53" s="7">
        <v>2019</v>
      </c>
      <c r="C53" s="8"/>
      <c r="D53" s="8"/>
      <c r="E53" s="8"/>
      <c r="F53" s="8"/>
      <c r="G53" s="8"/>
      <c r="H53" s="8"/>
      <c r="I53" s="8"/>
      <c r="J53" s="8"/>
      <c r="K53" s="8"/>
      <c r="L53" s="8"/>
      <c r="M53" s="8"/>
      <c r="N53" s="8"/>
      <c r="O53" s="50"/>
      <c r="P53" s="50">
        <f t="shared" ref="P53:AB53" si="14">O19-P19</f>
        <v>462268.26476936229</v>
      </c>
      <c r="Q53" s="50">
        <f t="shared" si="14"/>
        <v>835159.81260814611</v>
      </c>
      <c r="R53" s="50">
        <f t="shared" si="14"/>
        <v>944854.16043180972</v>
      </c>
      <c r="S53" s="50">
        <f t="shared" si="14"/>
        <v>911284.49846709147</v>
      </c>
      <c r="T53" s="50">
        <f t="shared" si="14"/>
        <v>797448.54555696715</v>
      </c>
      <c r="U53" s="50">
        <f t="shared" si="14"/>
        <v>649541.51625402574</v>
      </c>
      <c r="V53" s="50">
        <f t="shared" si="14"/>
        <v>499175.78892743774</v>
      </c>
      <c r="W53" s="50">
        <f t="shared" si="14"/>
        <v>364969.31461457617</v>
      </c>
      <c r="X53" s="50">
        <f t="shared" si="14"/>
        <v>255302.52454035805</v>
      </c>
      <c r="Y53" s="50">
        <f t="shared" si="14"/>
        <v>171557.79790440353</v>
      </c>
      <c r="Z53" s="50">
        <f t="shared" si="14"/>
        <v>111085.46633630851</v>
      </c>
      <c r="AA53" s="50">
        <f t="shared" si="14"/>
        <v>69477.835226122144</v>
      </c>
      <c r="AB53" s="50">
        <f t="shared" si="14"/>
        <v>42056.165026108778</v>
      </c>
    </row>
    <row r="54" spans="2:32">
      <c r="B54" s="7">
        <v>2020</v>
      </c>
      <c r="C54" s="8"/>
      <c r="D54" s="8"/>
      <c r="E54" s="8"/>
      <c r="F54" s="8"/>
      <c r="G54" s="8"/>
      <c r="H54" s="8"/>
      <c r="I54" s="8"/>
      <c r="J54" s="8"/>
      <c r="K54" s="8"/>
      <c r="L54" s="8"/>
      <c r="M54" s="8"/>
      <c r="N54" s="8"/>
      <c r="O54" s="8"/>
      <c r="P54" s="50"/>
      <c r="Q54" s="50">
        <f t="shared" ref="Q54:AB54" si="15">P20-Q20</f>
        <v>523246.62062706612</v>
      </c>
      <c r="R54" s="50">
        <f t="shared" si="15"/>
        <v>945326.73543742951</v>
      </c>
      <c r="S54" s="50">
        <f t="shared" si="15"/>
        <v>1069490.994970276</v>
      </c>
      <c r="T54" s="50">
        <f t="shared" si="15"/>
        <v>1031493.1190239461</v>
      </c>
      <c r="U54" s="50">
        <f t="shared" si="15"/>
        <v>902640.93035855563</v>
      </c>
      <c r="V54" s="50">
        <f t="shared" si="15"/>
        <v>735223.30914597819</v>
      </c>
      <c r="W54" s="50">
        <f t="shared" si="15"/>
        <v>565022.66013317439</v>
      </c>
      <c r="X54" s="50">
        <f t="shared" si="15"/>
        <v>413112.8503920401</v>
      </c>
      <c r="Y54" s="50">
        <f t="shared" si="15"/>
        <v>288979.78378409921</v>
      </c>
      <c r="Z54" s="50">
        <f t="shared" si="15"/>
        <v>194188.19079109287</v>
      </c>
      <c r="AA54" s="50">
        <f t="shared" si="15"/>
        <v>125738.88214077445</v>
      </c>
      <c r="AB54" s="50">
        <f t="shared" si="15"/>
        <v>78642.738992023485</v>
      </c>
    </row>
    <row r="55" spans="2:32">
      <c r="B55" s="7">
        <v>2021</v>
      </c>
      <c r="C55" s="8"/>
      <c r="D55" s="8"/>
      <c r="E55" s="8"/>
      <c r="F55" s="8"/>
      <c r="G55" s="8"/>
      <c r="H55" s="8"/>
      <c r="I55" s="8"/>
      <c r="J55" s="8"/>
      <c r="K55" s="8"/>
      <c r="L55" s="8"/>
      <c r="M55" s="8"/>
      <c r="N55" s="8"/>
      <c r="O55" s="8"/>
      <c r="P55" s="8"/>
      <c r="Q55" s="50"/>
      <c r="R55" s="50">
        <f t="shared" ref="R55:AB55" si="16">Q21-R21</f>
        <v>402805.75621418655</v>
      </c>
      <c r="S55" s="50">
        <f t="shared" si="16"/>
        <v>727731.50466031861</v>
      </c>
      <c r="T55" s="50">
        <f t="shared" si="16"/>
        <v>823315.64507190092</v>
      </c>
      <c r="U55" s="50">
        <f t="shared" si="16"/>
        <v>794064.11710837204</v>
      </c>
      <c r="V55" s="50">
        <f t="shared" si="16"/>
        <v>694871.11470920662</v>
      </c>
      <c r="W55" s="50">
        <f t="shared" si="16"/>
        <v>565989.66787770065</v>
      </c>
      <c r="X55" s="50">
        <f t="shared" si="16"/>
        <v>434965.79035779019</v>
      </c>
      <c r="Y55" s="50">
        <f t="shared" si="16"/>
        <v>318022.56821944239</v>
      </c>
      <c r="Z55" s="50">
        <f t="shared" si="16"/>
        <v>222462.44074785907</v>
      </c>
      <c r="AA55" s="50">
        <f t="shared" si="16"/>
        <v>149489.96889025447</v>
      </c>
      <c r="AB55" s="50">
        <f t="shared" si="16"/>
        <v>96796.316516183957</v>
      </c>
    </row>
    <row r="56" spans="2:32">
      <c r="B56" s="7">
        <v>2022</v>
      </c>
      <c r="C56" s="8"/>
      <c r="D56" s="8"/>
      <c r="E56" s="8"/>
      <c r="F56" s="8"/>
      <c r="G56" s="8"/>
      <c r="H56" s="8"/>
      <c r="I56" s="8"/>
      <c r="J56" s="8"/>
      <c r="K56" s="8"/>
      <c r="L56" s="8"/>
      <c r="M56" s="8"/>
      <c r="N56" s="8"/>
      <c r="O56" s="8"/>
      <c r="P56" s="8"/>
      <c r="Q56" s="51"/>
      <c r="R56" s="50"/>
      <c r="S56" s="50">
        <f t="shared" ref="S56:AB56" si="17">R22-S22</f>
        <v>371533.92383899447</v>
      </c>
      <c r="T56" s="50">
        <f t="shared" si="17"/>
        <v>671234.05576144392</v>
      </c>
      <c r="U56" s="50">
        <f t="shared" si="17"/>
        <v>759397.51965446956</v>
      </c>
      <c r="V56" s="50">
        <f t="shared" si="17"/>
        <v>732416.93460841803</v>
      </c>
      <c r="W56" s="50">
        <f t="shared" si="17"/>
        <v>640924.78279533377</v>
      </c>
      <c r="X56" s="50">
        <f t="shared" si="17"/>
        <v>522049.04948556796</v>
      </c>
      <c r="Y56" s="50">
        <f t="shared" si="17"/>
        <v>401197.21313373744</v>
      </c>
      <c r="Z56" s="50">
        <f t="shared" si="17"/>
        <v>293332.88022104581</v>
      </c>
      <c r="AA56" s="50">
        <f t="shared" si="17"/>
        <v>205191.56502297509</v>
      </c>
      <c r="AB56" s="50">
        <f t="shared" si="17"/>
        <v>137884.31237519981</v>
      </c>
    </row>
    <row r="57" spans="2:32">
      <c r="B57" s="7">
        <v>2023</v>
      </c>
      <c r="C57" s="8"/>
      <c r="D57" s="8"/>
      <c r="E57" s="8"/>
      <c r="F57" s="8"/>
      <c r="G57" s="8"/>
      <c r="H57" s="8"/>
      <c r="I57" s="8"/>
      <c r="J57" s="8"/>
      <c r="K57" s="8"/>
      <c r="L57" s="8"/>
      <c r="M57" s="8"/>
      <c r="N57" s="8"/>
      <c r="O57" s="8"/>
      <c r="P57" s="8"/>
      <c r="Q57" s="51"/>
      <c r="R57" s="51"/>
      <c r="S57" s="50"/>
      <c r="T57" s="50">
        <f t="shared" ref="T57:AB57" si="18">S23-T23</f>
        <v>371533.92383899447</v>
      </c>
      <c r="U57" s="50">
        <f t="shared" si="18"/>
        <v>671234.05576144392</v>
      </c>
      <c r="V57" s="50">
        <f t="shared" si="18"/>
        <v>759397.51965446956</v>
      </c>
      <c r="W57" s="50">
        <f t="shared" si="18"/>
        <v>732416.93460841803</v>
      </c>
      <c r="X57" s="50">
        <f t="shared" si="18"/>
        <v>640924.78279533377</v>
      </c>
      <c r="Y57" s="50">
        <f t="shared" si="18"/>
        <v>522049.04948556796</v>
      </c>
      <c r="Z57" s="50">
        <f t="shared" si="18"/>
        <v>401197.21313373744</v>
      </c>
      <c r="AA57" s="50">
        <f t="shared" si="18"/>
        <v>293332.88022104581</v>
      </c>
      <c r="AB57" s="50">
        <f t="shared" si="18"/>
        <v>205191.56502297509</v>
      </c>
    </row>
    <row r="58" spans="2:32">
      <c r="B58" s="7">
        <v>2024</v>
      </c>
      <c r="C58" s="8"/>
      <c r="D58" s="8"/>
      <c r="E58" s="8"/>
      <c r="F58" s="8"/>
      <c r="G58" s="8"/>
      <c r="H58" s="8"/>
      <c r="I58" s="8"/>
      <c r="J58" s="8"/>
      <c r="K58" s="8"/>
      <c r="L58" s="8"/>
      <c r="M58" s="8"/>
      <c r="N58" s="8"/>
      <c r="O58" s="8"/>
      <c r="P58" s="8"/>
      <c r="Q58" s="51"/>
      <c r="R58" s="51"/>
      <c r="S58" s="51"/>
      <c r="T58" s="50"/>
      <c r="U58" s="50">
        <f t="shared" ref="U58:AB58" si="19">T24-U24</f>
        <v>371533.92383899447</v>
      </c>
      <c r="V58" s="50">
        <f t="shared" si="19"/>
        <v>671234.05576144392</v>
      </c>
      <c r="W58" s="50">
        <f t="shared" si="19"/>
        <v>759397.51965446956</v>
      </c>
      <c r="X58" s="50">
        <f t="shared" si="19"/>
        <v>732416.93460841803</v>
      </c>
      <c r="Y58" s="50">
        <f t="shared" si="19"/>
        <v>640924.78279533377</v>
      </c>
      <c r="Z58" s="50">
        <f t="shared" si="19"/>
        <v>522049.04948556796</v>
      </c>
      <c r="AA58" s="50">
        <f t="shared" si="19"/>
        <v>401197.21313373744</v>
      </c>
      <c r="AB58" s="50">
        <f t="shared" si="19"/>
        <v>293332.88022104581</v>
      </c>
    </row>
    <row r="59" spans="2:32">
      <c r="B59" s="7">
        <v>2025</v>
      </c>
      <c r="C59" s="8"/>
      <c r="D59" s="8"/>
      <c r="E59" s="8"/>
      <c r="F59" s="8"/>
      <c r="G59" s="8"/>
      <c r="H59" s="8"/>
      <c r="I59" s="8"/>
      <c r="J59" s="8"/>
      <c r="K59" s="8"/>
      <c r="L59" s="8"/>
      <c r="M59" s="8"/>
      <c r="N59" s="8"/>
      <c r="O59" s="8"/>
      <c r="P59" s="8"/>
      <c r="Q59" s="51"/>
      <c r="R59" s="51"/>
      <c r="S59" s="51"/>
      <c r="T59" s="51"/>
      <c r="U59" s="50"/>
      <c r="V59" s="50">
        <f t="shared" ref="V59:AB59" si="20">U25-V25</f>
        <v>371533.92383899447</v>
      </c>
      <c r="W59" s="50">
        <f t="shared" si="20"/>
        <v>671234.05576144392</v>
      </c>
      <c r="X59" s="50">
        <f t="shared" si="20"/>
        <v>759397.51965446956</v>
      </c>
      <c r="Y59" s="50">
        <f t="shared" si="20"/>
        <v>732416.93460841803</v>
      </c>
      <c r="Z59" s="50">
        <f t="shared" si="20"/>
        <v>640924.78279533377</v>
      </c>
      <c r="AA59" s="50">
        <f t="shared" si="20"/>
        <v>522049.04948556796</v>
      </c>
      <c r="AB59" s="50">
        <f t="shared" si="20"/>
        <v>401197.21313373744</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1">V26-W26</f>
        <v>371533.92383899447</v>
      </c>
      <c r="X60" s="50">
        <f t="shared" si="21"/>
        <v>671234.05576144392</v>
      </c>
      <c r="Y60" s="50">
        <f t="shared" si="21"/>
        <v>759397.51965446956</v>
      </c>
      <c r="Z60" s="50">
        <f t="shared" si="21"/>
        <v>732416.93460841803</v>
      </c>
      <c r="AA60" s="50">
        <f t="shared" si="21"/>
        <v>640924.78279533377</v>
      </c>
      <c r="AB60" s="50">
        <f t="shared" si="21"/>
        <v>522049.04948556796</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371533.92383899447</v>
      </c>
      <c r="Y61" s="50">
        <f>X27-Y27</f>
        <v>671234.05576144392</v>
      </c>
      <c r="Z61" s="50">
        <f>Y27-Z27</f>
        <v>759397.51965446956</v>
      </c>
      <c r="AA61" s="50">
        <f>Z27-AA27</f>
        <v>732416.93460841803</v>
      </c>
      <c r="AB61" s="50">
        <f>AA27-AB27</f>
        <v>640924.78279533377</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371533.92383899447</v>
      </c>
      <c r="Z62" s="50">
        <f>Y28-Z28</f>
        <v>671234.05576144392</v>
      </c>
      <c r="AA62" s="50">
        <f>Z28-AA28</f>
        <v>759397.51965446956</v>
      </c>
      <c r="AB62" s="50">
        <f>AA28-AB28</f>
        <v>732416.93460841803</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371533.92383899447</v>
      </c>
      <c r="AA63" s="50">
        <f>Z29-AA29</f>
        <v>671234.05576144392</v>
      </c>
      <c r="AB63" s="50">
        <f>AA29-AB29</f>
        <v>759397.51965446956</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371533.92383899447</v>
      </c>
      <c r="AB64" s="50">
        <f>AA30-AB30</f>
        <v>671234.05576144392</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371533.92383899447</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2">ROUND(SUM(C41:C66),0)</f>
        <v>0</v>
      </c>
      <c r="D67" s="90">
        <f t="shared" si="22"/>
        <v>21130</v>
      </c>
      <c r="E67" s="90">
        <f t="shared" si="22"/>
        <v>71971</v>
      </c>
      <c r="F67" s="90">
        <f t="shared" si="22"/>
        <v>136385</v>
      </c>
      <c r="G67" s="90">
        <f t="shared" si="22"/>
        <v>205913</v>
      </c>
      <c r="H67" s="90">
        <f t="shared" si="22"/>
        <v>369901</v>
      </c>
      <c r="I67" s="90">
        <f t="shared" si="22"/>
        <v>787005</v>
      </c>
      <c r="J67" s="90">
        <f t="shared" si="22"/>
        <v>1565768</v>
      </c>
      <c r="K67" s="90">
        <f t="shared" si="22"/>
        <v>2549965</v>
      </c>
      <c r="L67" s="90">
        <f t="shared" si="22"/>
        <v>3509709</v>
      </c>
      <c r="M67" s="90">
        <f t="shared" si="22"/>
        <v>4310496</v>
      </c>
      <c r="N67" s="90">
        <f t="shared" si="22"/>
        <v>4848259</v>
      </c>
      <c r="O67" s="90">
        <f t="shared" si="22"/>
        <v>5163394</v>
      </c>
      <c r="P67" s="90">
        <f t="shared" si="22"/>
        <v>5397473</v>
      </c>
      <c r="Q67" s="90">
        <f t="shared" si="22"/>
        <v>5649985</v>
      </c>
      <c r="R67" s="90">
        <f t="shared" si="22"/>
        <v>5790144</v>
      </c>
      <c r="S67" s="90">
        <f t="shared" si="22"/>
        <v>5782808</v>
      </c>
      <c r="T67" s="90">
        <f t="shared" si="22"/>
        <v>5690074</v>
      </c>
      <c r="U67" s="90">
        <f t="shared" si="22"/>
        <v>5561589</v>
      </c>
      <c r="V67" s="90">
        <f t="shared" si="22"/>
        <v>5427724</v>
      </c>
      <c r="W67" s="90">
        <f t="shared" si="22"/>
        <v>5306167</v>
      </c>
      <c r="X67" s="90">
        <f t="shared" si="22"/>
        <v>5205231</v>
      </c>
      <c r="Y67" s="90">
        <f t="shared" si="22"/>
        <v>5126879</v>
      </c>
      <c r="Z67" s="90">
        <f t="shared" si="22"/>
        <v>5069319</v>
      </c>
      <c r="AA67" s="90">
        <f t="shared" si="22"/>
        <v>5028993</v>
      </c>
      <c r="AB67" s="267">
        <f t="shared" si="22"/>
        <v>5001911</v>
      </c>
      <c r="AD67" s="1"/>
      <c r="AE67" s="1"/>
      <c r="AF67" s="1"/>
    </row>
    <row r="68" spans="1:32">
      <c r="R68" s="97"/>
      <c r="S68" s="97"/>
      <c r="T68" s="97"/>
      <c r="U68" s="97"/>
      <c r="V68" s="97"/>
      <c r="W68" s="97"/>
      <c r="X68" s="97"/>
      <c r="Y68" s="97"/>
      <c r="Z68" s="97"/>
      <c r="AA68" s="97"/>
      <c r="AB68" s="97"/>
      <c r="AD68" s="97"/>
      <c r="AE68" s="268"/>
      <c r="AF68" s="97"/>
    </row>
    <row r="69" spans="1:32" ht="21">
      <c r="B69" s="52" t="s">
        <v>7652</v>
      </c>
      <c r="Q69" s="46"/>
      <c r="R69" s="46"/>
      <c r="S69" s="46"/>
      <c r="T69" s="46"/>
      <c r="U69" s="46"/>
      <c r="V69" s="46"/>
      <c r="W69" s="46"/>
      <c r="X69" s="46"/>
      <c r="Y69" s="46"/>
      <c r="Z69" s="46"/>
      <c r="AA69" s="46"/>
      <c r="AB69" s="46"/>
    </row>
    <row r="70" spans="1:32">
      <c r="B70" s="7" t="s">
        <v>7761</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8015.8283319443935</v>
      </c>
      <c r="E71" s="91">
        <f>E67*Outflow_routing!D4</f>
        <v>27302.753472710363</v>
      </c>
      <c r="F71" s="91">
        <f>F67*Outflow_routing!E4</f>
        <v>51738.70075968936</v>
      </c>
      <c r="G71" s="91">
        <f>G67*Outflow_routing!F4</f>
        <v>78114.68335616024</v>
      </c>
      <c r="H71" s="91">
        <f>H67*Outflow_routing!G4</f>
        <v>140324.79488000771</v>
      </c>
      <c r="I71" s="91">
        <f>I67*Outflow_routing!H4</f>
        <v>298556.4115656364</v>
      </c>
      <c r="J71" s="91">
        <f>J67*Outflow_routing!I4</f>
        <v>593986.15691679646</v>
      </c>
      <c r="K71" s="91">
        <f>K67*Outflow_routing!J4</f>
        <v>967348.87328284839</v>
      </c>
      <c r="L71" s="91">
        <f>L67*Outflow_routing!K4</f>
        <v>1331435.155659263</v>
      </c>
      <c r="M71" s="91">
        <f>M67*Outflow_routing!L4</f>
        <v>1635219.8751317076</v>
      </c>
      <c r="N71" s="91">
        <f>N67*Outflow_routing!M4</f>
        <v>1839224.4132893702</v>
      </c>
      <c r="O71" s="91">
        <f>O67*Outflow_routing!N4</f>
        <v>1958773.3040317886</v>
      </c>
      <c r="P71" s="91">
        <f>P67*Outflow_routing!O4</f>
        <v>2047572.9765406959</v>
      </c>
      <c r="Q71" s="91">
        <f>Q67*Outflow_routing!P4</f>
        <v>2143365.3496479341</v>
      </c>
      <c r="R71" s="91">
        <f>R67*Outflow_routing!Q4</f>
        <v>2196535.7463908112</v>
      </c>
      <c r="S71" s="91">
        <f>S67*Outflow_routing!R4</f>
        <v>2193752.7782581495</v>
      </c>
      <c r="T71" s="91">
        <f>T67*Outflow_routing!S4</f>
        <v>2158573.4207316688</v>
      </c>
      <c r="U71" s="91">
        <f>U67*Outflow_routing!T4</f>
        <v>2109831.6458509364</v>
      </c>
      <c r="V71" s="91">
        <f>V67*Outflow_routing!U4</f>
        <v>2059048.9265108639</v>
      </c>
      <c r="W71" s="91">
        <f>W67*Outflow_routing!V4</f>
        <v>2012935.3418186649</v>
      </c>
      <c r="X71" s="91">
        <f>X67*Outflow_routing!W4</f>
        <v>1974644.492385956</v>
      </c>
      <c r="Y71" s="91">
        <f>Y67*Outflow_routing!X4</f>
        <v>1944921.0573900021</v>
      </c>
      <c r="Z71" s="91">
        <f>Z67*Outflow_routing!Y4</f>
        <v>1923085.2278212977</v>
      </c>
      <c r="AA71" s="91">
        <f>AA67*Outflow_routing!Z4</f>
        <v>1907787.2489611942</v>
      </c>
      <c r="AB71" s="91">
        <f>AB67*Outflow_routing!AA4</f>
        <v>1897513.4835619647</v>
      </c>
    </row>
    <row r="72" spans="1:32">
      <c r="B72" s="7" t="s">
        <v>6907</v>
      </c>
      <c r="C72" s="91">
        <f>C67*Outflow_routing!B5</f>
        <v>0</v>
      </c>
      <c r="D72" s="91">
        <f>D67*Outflow_routing!C5</f>
        <v>1806.9894994911701</v>
      </c>
      <c r="E72" s="91">
        <f>E67*Outflow_routing!D5</f>
        <v>6154.7960846132983</v>
      </c>
      <c r="F72" s="91">
        <f>F67*Outflow_routing!E5</f>
        <v>11663.334732044639</v>
      </c>
      <c r="G72" s="91">
        <f>G67*Outflow_routing!F5</f>
        <v>17609.211017923582</v>
      </c>
      <c r="H72" s="91">
        <f>H67*Outflow_routing!G5</f>
        <v>31633.091474268022</v>
      </c>
      <c r="I72" s="91">
        <f>I67*Outflow_routing!H5</f>
        <v>67302.876055231813</v>
      </c>
      <c r="J72" s="91">
        <f>J67*Outflow_routing!I5</f>
        <v>133900.91503262141</v>
      </c>
      <c r="K72" s="91">
        <f>K67*Outflow_routing!J5</f>
        <v>218067.20203833419</v>
      </c>
      <c r="L72" s="91">
        <f>L67*Outflow_routing!K5</f>
        <v>300142.32414906082</v>
      </c>
      <c r="M72" s="91">
        <f>M67*Outflow_routing!L5</f>
        <v>368623.80547083251</v>
      </c>
      <c r="N72" s="91">
        <f>N67*Outflow_routing!M5</f>
        <v>414612.07306263893</v>
      </c>
      <c r="O72" s="91">
        <f>O67*Outflow_routing!N5</f>
        <v>441561.70088668767</v>
      </c>
      <c r="P72" s="91">
        <f>P67*Outflow_routing!O5</f>
        <v>461579.60410729313</v>
      </c>
      <c r="Q72" s="91">
        <f>Q67*Outflow_routing!P5</f>
        <v>483173.85552686313</v>
      </c>
      <c r="R72" s="91">
        <f>R67*Outflow_routing!Q5</f>
        <v>495159.93414774258</v>
      </c>
      <c r="S72" s="91">
        <f>S67*Outflow_routing!R5</f>
        <v>494532.57612747437</v>
      </c>
      <c r="T72" s="91">
        <f>T67*Outflow_routing!S5</f>
        <v>486602.17554792803</v>
      </c>
      <c r="U72" s="91">
        <f>U67*Outflow_routing!T5</f>
        <v>475614.43083225732</v>
      </c>
      <c r="V72" s="91">
        <f>V67*Outflow_routing!U5</f>
        <v>464166.60076366359</v>
      </c>
      <c r="W72" s="91">
        <f>W67*Outflow_routing!V5</f>
        <v>453771.32283703564</v>
      </c>
      <c r="X72" s="91">
        <f>X67*Outflow_routing!W5</f>
        <v>445139.50588859076</v>
      </c>
      <c r="Y72" s="91">
        <f>Y67*Outflow_routing!X5</f>
        <v>438439.02120973927</v>
      </c>
      <c r="Z72" s="91">
        <f>Z67*Outflow_routing!Y5</f>
        <v>433516.62103980494</v>
      </c>
      <c r="AA72" s="91">
        <f>AA67*Outflow_routing!Z5</f>
        <v>430068.03331824881</v>
      </c>
      <c r="AB72" s="91">
        <f>AB67*Outflow_routing!AA5</f>
        <v>427752.04232794029</v>
      </c>
    </row>
    <row r="73" spans="1:32">
      <c r="B73" s="7" t="s">
        <v>6908</v>
      </c>
      <c r="C73" s="91">
        <f>C67*Outflow_routing!B6</f>
        <v>0</v>
      </c>
      <c r="D73" s="91">
        <f>D67*Outflow_routing!C6</f>
        <v>292.22612152849342</v>
      </c>
      <c r="E73" s="91">
        <f>E67*Outflow_routing!D6</f>
        <v>995.35287233919541</v>
      </c>
      <c r="F73" s="91">
        <f>F67*Outflow_routing!E6</f>
        <v>1886.193070736563</v>
      </c>
      <c r="G73" s="91">
        <f>G67*Outflow_routing!F6</f>
        <v>2847.7594586983751</v>
      </c>
      <c r="H73" s="91">
        <f>H67*Outflow_routing!G6</f>
        <v>5115.699696143457</v>
      </c>
      <c r="I73" s="91">
        <f>I67*Outflow_routing!H6</f>
        <v>10884.212909301086</v>
      </c>
      <c r="J73" s="91">
        <f>J67*Outflow_routing!I6</f>
        <v>21654.439652315479</v>
      </c>
      <c r="K73" s="91">
        <f>K67*Outflow_routing!J6</f>
        <v>35265.801324344757</v>
      </c>
      <c r="L73" s="91">
        <f>L67*Outflow_routing!K6</f>
        <v>48538.980064536066</v>
      </c>
      <c r="M73" s="91">
        <f>M67*Outflow_routing!L6</f>
        <v>59613.796873832689</v>
      </c>
      <c r="N73" s="91">
        <f>N67*Outflow_routing!M6</f>
        <v>67051.01390135409</v>
      </c>
      <c r="O73" s="91">
        <f>O67*Outflow_routing!N6</f>
        <v>71409.304427046562</v>
      </c>
      <c r="P73" s="91">
        <f>P67*Outflow_routing!O6</f>
        <v>74646.597295066822</v>
      </c>
      <c r="Q73" s="91">
        <f>Q67*Outflow_routing!P6</f>
        <v>78138.817001616888</v>
      </c>
      <c r="R73" s="91">
        <f>R67*Outflow_routing!Q6</f>
        <v>80077.204174703118</v>
      </c>
      <c r="S73" s="91">
        <f>S67*Outflow_routing!R6</f>
        <v>79975.74791216015</v>
      </c>
      <c r="T73" s="91">
        <f>T67*Outflow_routing!S6</f>
        <v>78693.244497402775</v>
      </c>
      <c r="U73" s="91">
        <f>U67*Outflow_routing!T6</f>
        <v>76916.307761738397</v>
      </c>
      <c r="V73" s="91">
        <f>V67*Outflow_routing!U6</f>
        <v>75064.966078898273</v>
      </c>
      <c r="W73" s="91">
        <f>W67*Outflow_routing!V6</f>
        <v>73383.843000117427</v>
      </c>
      <c r="X73" s="91">
        <f>X67*Outflow_routing!W6</f>
        <v>71987.906615706641</v>
      </c>
      <c r="Y73" s="91">
        <f>Y67*Outflow_routing!X6</f>
        <v>70904.30505044396</v>
      </c>
      <c r="Z73" s="91">
        <f>Z67*Outflow_routing!Y6</f>
        <v>70108.255095158573</v>
      </c>
      <c r="AA73" s="91">
        <f>AA67*Outflow_routing!Z6</f>
        <v>69550.549909320529</v>
      </c>
      <c r="AB73" s="91">
        <f>AB67*Outflow_routing!AA6</f>
        <v>69176.008128760441</v>
      </c>
    </row>
    <row r="75" spans="1:32" ht="21">
      <c r="A75" s="293" t="s">
        <v>7792</v>
      </c>
      <c r="B75" s="52" t="s">
        <v>7805</v>
      </c>
      <c r="C75" s="162"/>
      <c r="D75" s="162"/>
      <c r="E75" s="162"/>
      <c r="F75" s="162"/>
      <c r="G75" s="162"/>
      <c r="H75" s="162"/>
      <c r="I75" s="162"/>
      <c r="J75" s="162"/>
      <c r="K75" s="162"/>
      <c r="L75" s="162"/>
      <c r="M75" s="162"/>
      <c r="N75" s="162"/>
      <c r="O75" s="162"/>
    </row>
    <row r="76" spans="1:32">
      <c r="A76" s="1" t="s">
        <v>7762</v>
      </c>
      <c r="B76" s="163">
        <v>2007</v>
      </c>
      <c r="C76" s="164">
        <f>((VLOOKUP($B$76,Energy_demand!$A$34:$F$66,6,FALSE )))*C7</f>
        <v>8742331.3979523182</v>
      </c>
      <c r="D76" s="164">
        <f>((VLOOKUP($B$76,Energy_demand!$A$34:$F$66,6,FALSE )))*D7</f>
        <v>8087263.077667891</v>
      </c>
      <c r="E76" s="164">
        <f>((VLOOKUP($B$76,Energy_demand!$A$34:$F$66,6,FALSE )))*E7</f>
        <v>6903779.8552424181</v>
      </c>
      <c r="F76" s="164">
        <f>((VLOOKUP($B$76,Energy_demand!$A$34:$F$66,6,FALSE )))*F7</f>
        <v>5564851.6290172683</v>
      </c>
      <c r="G76" s="164">
        <f>((VLOOKUP($B$76,Energy_demand!$A$34:$F$66,6,FALSE )))*G7</f>
        <v>4273494.0965898335</v>
      </c>
      <c r="H76" s="164">
        <f>((VLOOKUP($B$76,Energy_demand!$A$34:$F$66,6,FALSE )))*H7</f>
        <v>3143450.5286804209</v>
      </c>
      <c r="I76" s="164">
        <f>((VLOOKUP($B$76,Energy_demand!$A$34:$F$66,6,FALSE )))*I7</f>
        <v>2223002.160415695</v>
      </c>
      <c r="J76" s="164">
        <f>((VLOOKUP($B$76,Energy_demand!$A$34:$F$66,6,FALSE )))*J7</f>
        <v>1515633.1487391156</v>
      </c>
      <c r="K76" s="164">
        <f>((VLOOKUP($B$76,Energy_demand!$A$34:$F$66,6,FALSE )))*K7</f>
        <v>998444.63700077939</v>
      </c>
      <c r="L76" s="164">
        <f>((VLOOKUP($B$76,Energy_demand!$A$34:$F$66,6,FALSE )))*L7</f>
        <v>636662.07769299916</v>
      </c>
      <c r="M76" s="164">
        <f>((VLOOKUP($B$76,Energy_demand!$A$34:$F$66,6,FALSE )))*M7</f>
        <v>393551.98974222125</v>
      </c>
      <c r="N76" s="164">
        <f>((VLOOKUP($B$76,Energy_demand!$A$34:$F$66,6,FALSE )))*N7</f>
        <v>236135.66812376835</v>
      </c>
      <c r="O76" s="164">
        <f>((VLOOKUP($B$76,Energy_demand!$A$34:$F$66,6,FALSE )))*O7</f>
        <v>137680.43706592871</v>
      </c>
      <c r="P76" s="164">
        <f>((VLOOKUP($B$76,Energy_demand!$A$34:$F$66,6,FALSE )))*P7</f>
        <v>78083.740773132027</v>
      </c>
      <c r="Q76" s="164">
        <f>((VLOOKUP($B$76,Energy_demand!$A$34:$F$66,6,FALSE )))*Q7</f>
        <v>43112.786966122294</v>
      </c>
      <c r="R76" s="164">
        <f>((VLOOKUP($B$76,Energy_demand!$A$34:$F$66,6,FALSE )))*R7</f>
        <v>23192.587064267584</v>
      </c>
      <c r="S76" s="164">
        <f>((VLOOKUP($B$76,Energy_demand!$A$34:$F$66,6,FALSE )))*S7</f>
        <v>12164.601619092262</v>
      </c>
      <c r="T76" s="164">
        <f>((VLOOKUP($B$76,Energy_demand!$A$34:$F$66,6,FALSE )))*T7</f>
        <v>6224.9038238123831</v>
      </c>
      <c r="U76" s="164">
        <f>((VLOOKUP($B$76,Energy_demand!$A$34:$F$66,6,FALSE )))*U7</f>
        <v>3109.6418016361908</v>
      </c>
      <c r="V76" s="164">
        <f>((VLOOKUP($B$76,Energy_demand!$A$34:$F$66,6,FALSE )))*V7</f>
        <v>1517.2865198104018</v>
      </c>
      <c r="W76" s="164">
        <f>((VLOOKUP($B$76,Energy_demand!$A$34:$F$66,6,FALSE )))*W7</f>
        <v>723.4743846256689</v>
      </c>
      <c r="X76" s="164">
        <f>((VLOOKUP($B$76,Energy_demand!$A$34:$F$66,6,FALSE )))*X7</f>
        <v>337.27199777290065</v>
      </c>
      <c r="Y76" s="164">
        <f>((VLOOKUP($B$76,Energy_demand!$A$34:$F$66,6,FALSE )))*Y7</f>
        <v>153.79012672140217</v>
      </c>
      <c r="Z76" s="164">
        <f>((VLOOKUP($B$76,Energy_demand!$A$34:$F$66,6,FALSE )))*Z7</f>
        <v>68.619082540588295</v>
      </c>
      <c r="AA76" s="164">
        <f>((VLOOKUP($B$76,Energy_demand!$A$34:$F$66,6,FALSE )))*AA7</f>
        <v>29.970634581145237</v>
      </c>
      <c r="AB76" s="164">
        <f>((VLOOKUP($B$76,Energy_demand!$A$34:$F$66,6,FALSE )))*AB7</f>
        <v>12.818523763566443</v>
      </c>
    </row>
    <row r="77" spans="1:32">
      <c r="B77" s="163">
        <v>2008</v>
      </c>
      <c r="C77" s="164">
        <f>((VLOOKUP($B$76,Energy_demand!$A$34:$F$66,6,FALSE )))*C8</f>
        <v>0</v>
      </c>
      <c r="D77" s="164">
        <f>((VLOOKUP($B$76,Energy_demand!$A$34:$F$66,6,FALSE )))*D8</f>
        <v>13982858.294367809</v>
      </c>
      <c r="E77" s="164">
        <f>((VLOOKUP($B$76,Energy_demand!$A$34:$F$66,6,FALSE )))*E8</f>
        <v>12935114.03957873</v>
      </c>
      <c r="F77" s="164">
        <f>((VLOOKUP($B$76,Energy_demand!$A$34:$F$66,6,FALSE )))*F8</f>
        <v>11042200.417382568</v>
      </c>
      <c r="G77" s="164">
        <f>((VLOOKUP($B$76,Energy_demand!$A$34:$F$66,6,FALSE )))*G8</f>
        <v>8900661.4157816116</v>
      </c>
      <c r="H77" s="164">
        <f>((VLOOKUP($B$76,Energy_demand!$A$34:$F$66,6,FALSE )))*H8</f>
        <v>6835209.0139741609</v>
      </c>
      <c r="I77" s="164">
        <f>((VLOOKUP($B$76,Energy_demand!$A$34:$F$66,6,FALSE )))*I8</f>
        <v>5027769.0580557445</v>
      </c>
      <c r="J77" s="164">
        <f>((VLOOKUP($B$76,Energy_demand!$A$34:$F$66,6,FALSE )))*J8</f>
        <v>3555564.6179744257</v>
      </c>
      <c r="K77" s="164">
        <f>((VLOOKUP($B$76,Energy_demand!$A$34:$F$66,6,FALSE )))*K8</f>
        <v>2424168.403182412</v>
      </c>
      <c r="L77" s="164">
        <f>((VLOOKUP($B$76,Energy_demand!$A$34:$F$66,6,FALSE )))*L8</f>
        <v>1596955.0041563807</v>
      </c>
      <c r="M77" s="164">
        <f>((VLOOKUP($B$76,Energy_demand!$A$34:$F$66,6,FALSE )))*M8</f>
        <v>1018304.5241071687</v>
      </c>
      <c r="N77" s="164">
        <f>((VLOOKUP($B$76,Energy_demand!$A$34:$F$66,6,FALSE )))*N8</f>
        <v>629463.86421829229</v>
      </c>
      <c r="O77" s="164">
        <f>((VLOOKUP($B$76,Energy_demand!$A$34:$F$66,6,FALSE )))*O8</f>
        <v>377685.47488303838</v>
      </c>
      <c r="P77" s="164">
        <f>((VLOOKUP($B$76,Energy_demand!$A$34:$F$66,6,FALSE )))*P8</f>
        <v>220211.97250088581</v>
      </c>
      <c r="Q77" s="164">
        <f>((VLOOKUP($B$76,Energy_demand!$A$34:$F$66,6,FALSE )))*Q8</f>
        <v>124890.47058781036</v>
      </c>
      <c r="R77" s="164">
        <f>((VLOOKUP($B$76,Energy_demand!$A$34:$F$66,6,FALSE )))*R8</f>
        <v>68956.433173393118</v>
      </c>
      <c r="S77" s="164">
        <f>((VLOOKUP($B$76,Energy_demand!$A$34:$F$66,6,FALSE )))*S8</f>
        <v>37095.214495689404</v>
      </c>
      <c r="T77" s="164">
        <f>((VLOOKUP($B$76,Energy_demand!$A$34:$F$66,6,FALSE )))*T8</f>
        <v>19456.583479213012</v>
      </c>
      <c r="U77" s="164">
        <f>((VLOOKUP($B$76,Energy_demand!$A$34:$F$66,6,FALSE )))*U8</f>
        <v>9956.3770923651282</v>
      </c>
      <c r="V77" s="164">
        <f>((VLOOKUP($B$76,Energy_demand!$A$34:$F$66,6,FALSE )))*V8</f>
        <v>4973.6939357739293</v>
      </c>
      <c r="W77" s="164">
        <f>((VLOOKUP($B$76,Energy_demand!$A$34:$F$66,6,FALSE )))*W8</f>
        <v>2426.8128755028301</v>
      </c>
      <c r="X77" s="164">
        <f>((VLOOKUP($B$76,Energy_demand!$A$34:$F$66,6,FALSE )))*X8</f>
        <v>1157.1558362790006</v>
      </c>
      <c r="Y77" s="164">
        <f>((VLOOKUP($B$76,Energy_demand!$A$34:$F$66,6,FALSE )))*Y8</f>
        <v>539.44724088375563</v>
      </c>
      <c r="Z77" s="164">
        <f>((VLOOKUP($B$76,Energy_demand!$A$34:$F$66,6,FALSE )))*Z8</f>
        <v>245.97849831246623</v>
      </c>
      <c r="AA77" s="164">
        <f>((VLOOKUP($B$76,Energy_demand!$A$34:$F$66,6,FALSE )))*AA8</f>
        <v>109.7522918977096</v>
      </c>
      <c r="AB77" s="164">
        <f>((VLOOKUP($B$76,Energy_demand!$A$34:$F$66,6,FALSE )))*AB8</f>
        <v>47.936313240034764</v>
      </c>
    </row>
    <row r="78" spans="1:32">
      <c r="B78" s="163">
        <v>2009</v>
      </c>
      <c r="C78" s="164">
        <f>((VLOOKUP($B$76,Energy_demand!$A$34:$F$66,6,FALSE )))*C9</f>
        <v>0</v>
      </c>
      <c r="D78" s="164">
        <f>((VLOOKUP($B$76,Energy_demand!$A$34:$F$66,6,FALSE )))*D9</f>
        <v>0</v>
      </c>
      <c r="E78" s="164">
        <f>((VLOOKUP($B$76,Energy_demand!$A$34:$F$66,6,FALSE )))*E9</f>
        <v>13296897.595777353</v>
      </c>
      <c r="F78" s="164">
        <f>((VLOOKUP($B$76,Energy_demand!$A$34:$F$66,6,FALSE )))*F9</f>
        <v>12300552.802087637</v>
      </c>
      <c r="G78" s="164">
        <f>((VLOOKUP($B$76,Energy_demand!$A$34:$F$66,6,FALSE )))*G9</f>
        <v>10500500.333406568</v>
      </c>
      <c r="H78" s="164">
        <f>((VLOOKUP($B$76,Energy_demand!$A$34:$F$66,6,FALSE )))*H9</f>
        <v>8464019.3649109434</v>
      </c>
      <c r="I78" s="164">
        <f>((VLOOKUP($B$76,Energy_demand!$A$34:$F$66,6,FALSE )))*I9</f>
        <v>6499892.3961889353</v>
      </c>
      <c r="J78" s="164">
        <f>((VLOOKUP($B$76,Energy_demand!$A$34:$F$66,6,FALSE )))*J9</f>
        <v>4781120.4900155067</v>
      </c>
      <c r="K78" s="164">
        <f>((VLOOKUP($B$76,Energy_demand!$A$34:$F$66,6,FALSE )))*K9</f>
        <v>3381138.3642082945</v>
      </c>
      <c r="L78" s="164">
        <f>((VLOOKUP($B$76,Energy_demand!$A$34:$F$66,6,FALSE )))*L9</f>
        <v>2305245.3463695063</v>
      </c>
      <c r="M78" s="164">
        <f>((VLOOKUP($B$76,Energy_demand!$A$34:$F$66,6,FALSE )))*M9</f>
        <v>1518612.7691707145</v>
      </c>
      <c r="N78" s="164">
        <f>((VLOOKUP($B$76,Energy_demand!$A$34:$F$66,6,FALSE )))*N9</f>
        <v>968349.29549588158</v>
      </c>
      <c r="O78" s="164">
        <f>((VLOOKUP($B$76,Energy_demand!$A$34:$F$66,6,FALSE )))*O9</f>
        <v>598584.09250448272</v>
      </c>
      <c r="P78" s="164">
        <f>((VLOOKUP($B$76,Energy_demand!$A$34:$F$66,6,FALSE )))*P9</f>
        <v>359157.26078373712</v>
      </c>
      <c r="Q78" s="164">
        <f>((VLOOKUP($B$76,Energy_demand!$A$34:$F$66,6,FALSE )))*Q9</f>
        <v>209408.97676749312</v>
      </c>
      <c r="R78" s="164">
        <f>((VLOOKUP($B$76,Energy_demand!$A$34:$F$66,6,FALSE )))*R9</f>
        <v>118763.6864462438</v>
      </c>
      <c r="S78" s="164">
        <f>((VLOOKUP($B$76,Energy_demand!$A$34:$F$66,6,FALSE )))*S9</f>
        <v>65573.619582914311</v>
      </c>
      <c r="T78" s="164">
        <f>((VLOOKUP($B$76,Energy_demand!$A$34:$F$66,6,FALSE )))*T9</f>
        <v>35275.424956659655</v>
      </c>
      <c r="U78" s="164">
        <f>((VLOOKUP($B$76,Energy_demand!$A$34:$F$66,6,FALSE )))*U9</f>
        <v>18502.096827441655</v>
      </c>
      <c r="V78" s="164">
        <f>((VLOOKUP($B$76,Energy_demand!$A$34:$F$66,6,FALSE )))*V9</f>
        <v>9467.9445242928523</v>
      </c>
      <c r="W78" s="164">
        <f>((VLOOKUP($B$76,Energy_demand!$A$34:$F$66,6,FALSE )))*W9</f>
        <v>4729.6981450039666</v>
      </c>
      <c r="X78" s="164">
        <f>((VLOOKUP($B$76,Energy_demand!$A$34:$F$66,6,FALSE )))*X9</f>
        <v>2307.7600881268208</v>
      </c>
      <c r="Y78" s="164">
        <f>((VLOOKUP($B$76,Energy_demand!$A$34:$F$66,6,FALSE )))*Y9</f>
        <v>1100.3889429070148</v>
      </c>
      <c r="Z78" s="164">
        <f>((VLOOKUP($B$76,Energy_demand!$A$34:$F$66,6,FALSE )))*Z9</f>
        <v>512.98343796026006</v>
      </c>
      <c r="AA78" s="164">
        <f>((VLOOKUP($B$76,Energy_demand!$A$34:$F$66,6,FALSE )))*AA9</f>
        <v>233.91146745307358</v>
      </c>
      <c r="AB78" s="164">
        <f>((VLOOKUP($B$76,Energy_demand!$A$34:$F$66,6,FALSE )))*AB9</f>
        <v>104.36814530642353</v>
      </c>
    </row>
    <row r="79" spans="1:32">
      <c r="B79" s="163">
        <v>2010</v>
      </c>
      <c r="C79" s="164">
        <f>((VLOOKUP($B$76,Energy_demand!$A$34:$F$66,6,FALSE )))*C10</f>
        <v>0</v>
      </c>
      <c r="D79" s="164">
        <f>((VLOOKUP($B$76,Energy_demand!$A$34:$F$66,6,FALSE )))*D10</f>
        <v>0</v>
      </c>
      <c r="E79" s="164">
        <f>((VLOOKUP($B$76,Energy_demand!$A$34:$F$66,6,FALSE )))*E10</f>
        <v>0</v>
      </c>
      <c r="F79" s="164">
        <f>((VLOOKUP($B$76,Energy_demand!$A$34:$F$66,6,FALSE )))*F10</f>
        <v>15357641.638094751</v>
      </c>
      <c r="G79" s="164">
        <f>((VLOOKUP($B$76,Energy_demand!$A$34:$F$66,6,FALSE )))*G10</f>
        <v>14206884.013675103</v>
      </c>
      <c r="H79" s="164">
        <f>((VLOOKUP($B$76,Energy_demand!$A$34:$F$66,6,FALSE )))*H10</f>
        <v>12127860.651672928</v>
      </c>
      <c r="I79" s="164">
        <f>((VLOOKUP($B$76,Energy_demand!$A$34:$F$66,6,FALSE )))*I10</f>
        <v>9775767.2635966036</v>
      </c>
      <c r="J79" s="164">
        <f>((VLOOKUP($B$76,Energy_demand!$A$34:$F$66,6,FALSE )))*J10</f>
        <v>7507241.2484057257</v>
      </c>
      <c r="K79" s="164">
        <f>((VLOOKUP($B$76,Energy_demand!$A$34:$F$66,6,FALSE )))*K10</f>
        <v>5522095.2545748707</v>
      </c>
      <c r="L79" s="164">
        <f>((VLOOKUP($B$76,Energy_demand!$A$34:$F$66,6,FALSE )))*L10</f>
        <v>3905144.8619725355</v>
      </c>
      <c r="M79" s="164">
        <f>((VLOOKUP($B$76,Energy_demand!$A$34:$F$66,6,FALSE )))*M10</f>
        <v>2662510.6843472519</v>
      </c>
      <c r="N79" s="164">
        <f>((VLOOKUP($B$76,Energy_demand!$A$34:$F$66,6,FALSE )))*N10</f>
        <v>1753966.3314670424</v>
      </c>
      <c r="O79" s="164">
        <f>((VLOOKUP($B$76,Energy_demand!$A$34:$F$66,6,FALSE )))*O10</f>
        <v>1118423.4031741342</v>
      </c>
      <c r="P79" s="164">
        <f>((VLOOKUP($B$76,Energy_demand!$A$34:$F$66,6,FALSE )))*P10</f>
        <v>691352.24338851357</v>
      </c>
      <c r="Q79" s="164">
        <f>((VLOOKUP($B$76,Energy_demand!$A$34:$F$66,6,FALSE )))*Q10</f>
        <v>414819.20599193097</v>
      </c>
      <c r="R79" s="164">
        <f>((VLOOKUP($B$76,Energy_demand!$A$34:$F$66,6,FALSE )))*R10</f>
        <v>241863.03593227424</v>
      </c>
      <c r="S79" s="164">
        <f>((VLOOKUP($B$76,Energy_demand!$A$34:$F$66,6,FALSE )))*S10</f>
        <v>137169.60087288945</v>
      </c>
      <c r="T79" s="164">
        <f>((VLOOKUP($B$76,Energy_demand!$A$34:$F$66,6,FALSE )))*T10</f>
        <v>75736.174037089469</v>
      </c>
      <c r="U79" s="164">
        <f>((VLOOKUP($B$76,Energy_demand!$A$34:$F$66,6,FALSE )))*U10</f>
        <v>40742.386050105692</v>
      </c>
      <c r="V79" s="164">
        <f>((VLOOKUP($B$76,Energy_demand!$A$34:$F$66,6,FALSE )))*V10</f>
        <v>21369.539065970908</v>
      </c>
      <c r="W79" s="164">
        <f>((VLOOKUP($B$76,Energy_demand!$A$34:$F$66,6,FALSE )))*W10</f>
        <v>10935.280053568806</v>
      </c>
      <c r="X79" s="164">
        <f>((VLOOKUP($B$76,Energy_demand!$A$34:$F$66,6,FALSE )))*X10</f>
        <v>5462.7035099074164</v>
      </c>
      <c r="Y79" s="164">
        <f>((VLOOKUP($B$76,Energy_demand!$A$34:$F$66,6,FALSE )))*Y10</f>
        <v>2665.4151590521979</v>
      </c>
      <c r="Z79" s="164">
        <f>((VLOOKUP($B$76,Energy_demand!$A$34:$F$66,6,FALSE )))*Z10</f>
        <v>1270.9264643095778</v>
      </c>
      <c r="AA79" s="164">
        <f>((VLOOKUP($B$76,Energy_demand!$A$34:$F$66,6,FALSE )))*AA10</f>
        <v>592.48525828862091</v>
      </c>
      <c r="AB79" s="164">
        <f>((VLOOKUP($B$76,Energy_demand!$A$34:$F$66,6,FALSE )))*AB10</f>
        <v>270.16290576878407</v>
      </c>
    </row>
    <row r="80" spans="1:32">
      <c r="B80" s="163">
        <v>2011</v>
      </c>
      <c r="C80" s="164">
        <f>((VLOOKUP($B$76,Energy_demand!$A$34:$F$66,6,FALSE )))*C11</f>
        <v>0</v>
      </c>
      <c r="D80" s="164">
        <f>((VLOOKUP($B$76,Energy_demand!$A$34:$F$66,6,FALSE )))*D11</f>
        <v>0</v>
      </c>
      <c r="E80" s="164">
        <f>((VLOOKUP($B$76,Energy_demand!$A$34:$F$66,6,FALSE )))*E11</f>
        <v>0</v>
      </c>
      <c r="F80" s="164">
        <f>((VLOOKUP($B$76,Energy_demand!$A$34:$F$66,6,FALSE )))*F11</f>
        <v>0</v>
      </c>
      <c r="G80" s="164">
        <f>((VLOOKUP($B$76,Energy_demand!$A$34:$F$66,6,FALSE )))*G11</f>
        <v>55473139.134984426</v>
      </c>
      <c r="H80" s="164">
        <f>((VLOOKUP($B$76,Energy_demand!$A$34:$F$66,6,FALSE )))*H11</f>
        <v>51316502.373013809</v>
      </c>
      <c r="I80" s="164">
        <f>((VLOOKUP($B$76,Energy_demand!$A$34:$F$66,6,FALSE )))*I11</f>
        <v>43806888.921743214</v>
      </c>
      <c r="J80" s="164">
        <f>((VLOOKUP($B$76,Energy_demand!$A$34:$F$66,6,FALSE )))*J11</f>
        <v>35310922.753892079</v>
      </c>
      <c r="K80" s="164">
        <f>((VLOOKUP($B$76,Energy_demand!$A$34:$F$66,6,FALSE )))*K11</f>
        <v>27116809.215009741</v>
      </c>
      <c r="L80" s="164">
        <f>((VLOOKUP($B$76,Energy_demand!$A$34:$F$66,6,FALSE )))*L11</f>
        <v>19946288.993605644</v>
      </c>
      <c r="M80" s="164">
        <f>((VLOOKUP($B$76,Energy_demand!$A$34:$F$66,6,FALSE )))*M11</f>
        <v>14105723.350981051</v>
      </c>
      <c r="N80" s="164">
        <f>((VLOOKUP($B$76,Energy_demand!$A$34:$F$66,6,FALSE )))*N11</f>
        <v>9617220.4770563263</v>
      </c>
      <c r="O80" s="164">
        <f>((VLOOKUP($B$76,Energy_demand!$A$34:$F$66,6,FALSE )))*O11</f>
        <v>6335479.1468893867</v>
      </c>
      <c r="P80" s="164">
        <f>((VLOOKUP($B$76,Energy_demand!$A$34:$F$66,6,FALSE )))*P11</f>
        <v>4039842.7387578003</v>
      </c>
      <c r="Q80" s="164">
        <f>((VLOOKUP($B$76,Energy_demand!$A$34:$F$66,6,FALSE )))*Q11</f>
        <v>2497224.5148397968</v>
      </c>
      <c r="R80" s="164">
        <f>((VLOOKUP($B$76,Energy_demand!$A$34:$F$66,6,FALSE )))*R11</f>
        <v>1498363.0997596909</v>
      </c>
      <c r="S80" s="164">
        <f>((VLOOKUP($B$76,Energy_demand!$A$34:$F$66,6,FALSE )))*S11</f>
        <v>873630.35028764163</v>
      </c>
      <c r="T80" s="164">
        <f>((VLOOKUP($B$76,Energy_demand!$A$34:$F$66,6,FALSE )))*T11</f>
        <v>495468.5448211871</v>
      </c>
      <c r="U80" s="164">
        <f>((VLOOKUP($B$76,Energy_demand!$A$34:$F$66,6,FALSE )))*U11</f>
        <v>273565.65668842301</v>
      </c>
      <c r="V80" s="164">
        <f>((VLOOKUP($B$76,Energy_demand!$A$34:$F$66,6,FALSE )))*V11</f>
        <v>147165.04677661872</v>
      </c>
      <c r="W80" s="164">
        <f>((VLOOKUP($B$76,Energy_demand!$A$34:$F$66,6,FALSE )))*W11</f>
        <v>77188.636236738821</v>
      </c>
      <c r="X80" s="164">
        <f>((VLOOKUP($B$76,Energy_demand!$A$34:$F$66,6,FALSE )))*X11</f>
        <v>39499.183936349371</v>
      </c>
      <c r="Y80" s="164">
        <f>((VLOOKUP($B$76,Energy_demand!$A$34:$F$66,6,FALSE )))*Y11</f>
        <v>19731.760839280516</v>
      </c>
      <c r="Z80" s="164">
        <f>((VLOOKUP($B$76,Energy_demand!$A$34:$F$66,6,FALSE )))*Z11</f>
        <v>9627.7116926490817</v>
      </c>
      <c r="AA80" s="164">
        <f>((VLOOKUP($B$76,Energy_demand!$A$34:$F$66,6,FALSE )))*AA11</f>
        <v>4590.6970774794981</v>
      </c>
      <c r="AB80" s="164">
        <f>((VLOOKUP($B$76,Energy_demand!$A$34:$F$66,6,FALSE )))*AB11</f>
        <v>2140.1083540681761</v>
      </c>
    </row>
    <row r="81" spans="1:28">
      <c r="B81" s="163">
        <v>2012</v>
      </c>
      <c r="C81" s="164">
        <f>((VLOOKUP($B$76,Energy_demand!$A$34:$F$66,6,FALSE )))*C12</f>
        <v>0</v>
      </c>
      <c r="D81" s="164">
        <f>((VLOOKUP($B$76,Energy_demand!$A$34:$F$66,6,FALSE )))*D12</f>
        <v>0</v>
      </c>
      <c r="E81" s="164">
        <f>((VLOOKUP($B$76,Energy_demand!$A$34:$F$66,6,FALSE )))*E12</f>
        <v>0</v>
      </c>
      <c r="F81" s="164">
        <f>((VLOOKUP($B$76,Energy_demand!$A$34:$F$66,6,FALSE )))*F12</f>
        <v>0</v>
      </c>
      <c r="G81" s="164">
        <f>((VLOOKUP($B$76,Energy_demand!$A$34:$F$66,6,FALSE )))*G12</f>
        <v>0</v>
      </c>
      <c r="H81" s="164">
        <f>((VLOOKUP($B$76,Energy_demand!$A$34:$F$66,6,FALSE )))*H12</f>
        <v>131387531.37672827</v>
      </c>
      <c r="I81" s="164">
        <f>((VLOOKUP($B$76,Energy_demand!$A$34:$F$66,6,FALSE )))*I12</f>
        <v>121542582.06430225</v>
      </c>
      <c r="J81" s="164">
        <f>((VLOOKUP($B$76,Energy_demand!$A$34:$F$66,6,FALSE )))*J12</f>
        <v>103756143.64849485</v>
      </c>
      <c r="K81" s="164">
        <f>((VLOOKUP($B$76,Energy_demand!$A$34:$F$66,6,FALSE )))*K12</f>
        <v>83633539.468155891</v>
      </c>
      <c r="L81" s="164">
        <f>((VLOOKUP($B$76,Energy_demand!$A$34:$F$66,6,FALSE )))*L12</f>
        <v>64225869.981944844</v>
      </c>
      <c r="M81" s="164">
        <f>((VLOOKUP($B$76,Energy_demand!$A$34:$F$66,6,FALSE )))*M12</f>
        <v>47242570.221592106</v>
      </c>
      <c r="N81" s="164">
        <f>((VLOOKUP($B$76,Energy_demand!$A$34:$F$66,6,FALSE )))*N12</f>
        <v>33409253.528248012</v>
      </c>
      <c r="O81" s="164">
        <f>((VLOOKUP($B$76,Energy_demand!$A$34:$F$66,6,FALSE )))*O12</f>
        <v>22778282.911148008</v>
      </c>
      <c r="P81" s="164">
        <f>((VLOOKUP($B$76,Energy_demand!$A$34:$F$66,6,FALSE )))*P12</f>
        <v>15005513.987103311</v>
      </c>
      <c r="Q81" s="164">
        <f>((VLOOKUP($B$76,Energy_demand!$A$34:$F$66,6,FALSE )))*Q12</f>
        <v>9568323.9288840946</v>
      </c>
      <c r="R81" s="164">
        <f>((VLOOKUP($B$76,Energy_demand!$A$34:$F$66,6,FALSE )))*R12</f>
        <v>5914649.3134247055</v>
      </c>
      <c r="S81" s="164">
        <f>((VLOOKUP($B$76,Energy_demand!$A$34:$F$66,6,FALSE )))*S12</f>
        <v>3548856.8314904226</v>
      </c>
      <c r="T81" s="164">
        <f>((VLOOKUP($B$76,Energy_demand!$A$34:$F$66,6,FALSE )))*T12</f>
        <v>2069184.0564632909</v>
      </c>
      <c r="U81" s="164">
        <f>((VLOOKUP($B$76,Energy_demand!$A$34:$F$66,6,FALSE )))*U12</f>
        <v>1173511.901327051</v>
      </c>
      <c r="V81" s="164">
        <f>((VLOOKUP($B$76,Energy_demand!$A$34:$F$66,6,FALSE )))*V12</f>
        <v>647937.30555402685</v>
      </c>
      <c r="W81" s="164">
        <f>((VLOOKUP($B$76,Energy_demand!$A$34:$F$66,6,FALSE )))*W12</f>
        <v>348558.82508957462</v>
      </c>
      <c r="X81" s="164">
        <f>((VLOOKUP($B$76,Energy_demand!$A$34:$F$66,6,FALSE )))*X12</f>
        <v>182820.4519092289</v>
      </c>
      <c r="Y81" s="164">
        <f>((VLOOKUP($B$76,Energy_demand!$A$34:$F$66,6,FALSE )))*Y12</f>
        <v>93553.390879214756</v>
      </c>
      <c r="Z81" s="164">
        <f>((VLOOKUP($B$76,Energy_demand!$A$34:$F$66,6,FALSE )))*Z12</f>
        <v>46734.462603254564</v>
      </c>
      <c r="AA81" s="164">
        <f>((VLOOKUP($B$76,Energy_demand!$A$34:$F$66,6,FALSE )))*AA12</f>
        <v>22803.131242058556</v>
      </c>
      <c r="AB81" s="164">
        <f>((VLOOKUP($B$76,Energy_demand!$A$34:$F$66,6,FALSE )))*AB12</f>
        <v>10873.016485342652</v>
      </c>
    </row>
    <row r="82" spans="1:28">
      <c r="B82" s="163">
        <v>2013</v>
      </c>
      <c r="C82" s="164">
        <f>((VLOOKUP($B$76,Energy_demand!$A$34:$F$66,6,FALSE )))*C13</f>
        <v>0</v>
      </c>
      <c r="D82" s="164">
        <f>((VLOOKUP($B$76,Energy_demand!$A$34:$F$66,6,FALSE )))*D13</f>
        <v>0</v>
      </c>
      <c r="E82" s="164">
        <f>((VLOOKUP($B$76,Energy_demand!$A$34:$F$66,6,FALSE )))*E13</f>
        <v>0</v>
      </c>
      <c r="F82" s="164">
        <f>((VLOOKUP($B$76,Energy_demand!$A$34:$F$66,6,FALSE )))*F13</f>
        <v>0</v>
      </c>
      <c r="G82" s="164">
        <f>((VLOOKUP($B$76,Energy_demand!$A$34:$F$66,6,FALSE )))*G13</f>
        <v>0</v>
      </c>
      <c r="H82" s="164">
        <f>((VLOOKUP($B$76,Energy_demand!$A$34:$F$66,6,FALSE )))*H13</f>
        <v>0</v>
      </c>
      <c r="I82" s="164">
        <f>((VLOOKUP($B$76,Energy_demand!$A$34:$F$66,6,FALSE )))*I13</f>
        <v>214765753.61779216</v>
      </c>
      <c r="J82" s="164">
        <f>((VLOOKUP($B$76,Energy_demand!$A$34:$F$66,6,FALSE )))*J13</f>
        <v>198673222.33832374</v>
      </c>
      <c r="K82" s="164">
        <f>((VLOOKUP($B$76,Energy_demand!$A$34:$F$66,6,FALSE )))*K13</f>
        <v>169599551.41597074</v>
      </c>
      <c r="L82" s="164">
        <f>((VLOOKUP($B$76,Energy_demand!$A$34:$F$66,6,FALSE )))*L13</f>
        <v>136707189.36106959</v>
      </c>
      <c r="M82" s="164">
        <f>((VLOOKUP($B$76,Energy_demand!$A$34:$F$66,6,FALSE )))*M13</f>
        <v>104983457.89662859</v>
      </c>
      <c r="N82" s="164">
        <f>((VLOOKUP($B$76,Energy_demand!$A$34:$F$66,6,FALSE )))*N13</f>
        <v>77222595.555051252</v>
      </c>
      <c r="O82" s="164">
        <f>((VLOOKUP($B$76,Energy_demand!$A$34:$F$66,6,FALSE )))*O13</f>
        <v>54610688.218417585</v>
      </c>
      <c r="P82" s="164">
        <f>((VLOOKUP($B$76,Energy_demand!$A$34:$F$66,6,FALSE )))*P13</f>
        <v>37233328.340001538</v>
      </c>
      <c r="Q82" s="164">
        <f>((VLOOKUP($B$76,Energy_demand!$A$34:$F$66,6,FALSE )))*Q13</f>
        <v>24527978.310378484</v>
      </c>
      <c r="R82" s="164">
        <f>((VLOOKUP($B$76,Energy_demand!$A$34:$F$66,6,FALSE )))*R13</f>
        <v>15640360.070041815</v>
      </c>
      <c r="S82" s="164">
        <f>((VLOOKUP($B$76,Energy_demand!$A$34:$F$66,6,FALSE )))*S13</f>
        <v>9668072.0299126245</v>
      </c>
      <c r="T82" s="164">
        <f>((VLOOKUP($B$76,Energy_demand!$A$34:$F$66,6,FALSE )))*T13</f>
        <v>5800953.1339112204</v>
      </c>
      <c r="U82" s="164">
        <f>((VLOOKUP($B$76,Energy_demand!$A$34:$F$66,6,FALSE )))*U13</f>
        <v>3382283.4526516604</v>
      </c>
      <c r="V82" s="164">
        <f>((VLOOKUP($B$76,Energy_demand!$A$34:$F$66,6,FALSE )))*V13</f>
        <v>1918219.8282217861</v>
      </c>
      <c r="W82" s="164">
        <f>((VLOOKUP($B$76,Energy_demand!$A$34:$F$66,6,FALSE )))*W13</f>
        <v>1059116.814710469</v>
      </c>
      <c r="X82" s="164">
        <f>((VLOOKUP($B$76,Energy_demand!$A$34:$F$66,6,FALSE )))*X13</f>
        <v>569753.4459023549</v>
      </c>
      <c r="Y82" s="164">
        <f>((VLOOKUP($B$76,Energy_demand!$A$34:$F$66,6,FALSE )))*Y13</f>
        <v>298837.88605823024</v>
      </c>
      <c r="Z82" s="164">
        <f>((VLOOKUP($B$76,Energy_demand!$A$34:$F$66,6,FALSE )))*Z13</f>
        <v>152922.15543699</v>
      </c>
      <c r="AA82" s="164">
        <f>((VLOOKUP($B$76,Energy_demand!$A$34:$F$66,6,FALSE )))*AA13</f>
        <v>76392.04402228586</v>
      </c>
      <c r="AB82" s="164">
        <f>((VLOOKUP($B$76,Energy_demand!$A$34:$F$66,6,FALSE )))*AB13</f>
        <v>37273.94536399332</v>
      </c>
    </row>
    <row r="83" spans="1:28">
      <c r="B83" s="163">
        <v>2014</v>
      </c>
      <c r="C83" s="164">
        <f>((VLOOKUP($B$76,Energy_demand!$A$34:$F$66,6,FALSE )))*C14</f>
        <v>0</v>
      </c>
      <c r="D83" s="164">
        <f>((VLOOKUP($B$76,Energy_demand!$A$34:$F$66,6,FALSE )))*D14</f>
        <v>0</v>
      </c>
      <c r="E83" s="164">
        <f>((VLOOKUP($B$76,Energy_demand!$A$34:$F$66,6,FALSE )))*E14</f>
        <v>0</v>
      </c>
      <c r="F83" s="164">
        <f>((VLOOKUP($B$76,Energy_demand!$A$34:$F$66,6,FALSE )))*F14</f>
        <v>0</v>
      </c>
      <c r="G83" s="164">
        <f>((VLOOKUP($B$76,Energy_demand!$A$34:$F$66,6,FALSE )))*G14</f>
        <v>0</v>
      </c>
      <c r="H83" s="164">
        <f>((VLOOKUP($B$76,Energy_demand!$A$34:$F$66,6,FALSE )))*H14</f>
        <v>0</v>
      </c>
      <c r="I83" s="164">
        <f>((VLOOKUP($B$76,Energy_demand!$A$34:$F$66,6,FALSE )))*I14</f>
        <v>0</v>
      </c>
      <c r="J83" s="164">
        <f>((VLOOKUP($B$76,Energy_demand!$A$34:$F$66,6,FALSE )))*J14</f>
        <v>221934316.40463656</v>
      </c>
      <c r="K83" s="164">
        <f>((VLOOKUP($B$76,Energy_demand!$A$34:$F$66,6,FALSE )))*K14</f>
        <v>205304640.26416099</v>
      </c>
      <c r="L83" s="164">
        <f>((VLOOKUP($B$76,Energy_demand!$A$34:$F$66,6,FALSE )))*L14</f>
        <v>175260533.26463974</v>
      </c>
      <c r="M83" s="164">
        <f>((VLOOKUP($B$76,Energy_demand!$A$34:$F$66,6,FALSE )))*M14</f>
        <v>141270272.87806228</v>
      </c>
      <c r="N83" s="164">
        <f>((VLOOKUP($B$76,Energy_demand!$A$34:$F$66,6,FALSE )))*N14</f>
        <v>108487650.24030806</v>
      </c>
      <c r="O83" s="164">
        <f>((VLOOKUP($B$76,Energy_demand!$A$34:$F$66,6,FALSE )))*O14</f>
        <v>79800171.427714109</v>
      </c>
      <c r="P83" s="164">
        <f>((VLOOKUP($B$76,Energy_demand!$A$34:$F$66,6,FALSE )))*P14</f>
        <v>56433512.112506442</v>
      </c>
      <c r="Q83" s="164">
        <f>((VLOOKUP($B$76,Energy_demand!$A$34:$F$66,6,FALSE )))*Q14</f>
        <v>38476121.697286524</v>
      </c>
      <c r="R83" s="164">
        <f>((VLOOKUP($B$76,Energy_demand!$A$34:$F$66,6,FALSE )))*R14</f>
        <v>25346685.90034752</v>
      </c>
      <c r="S83" s="164">
        <f>((VLOOKUP($B$76,Energy_demand!$A$34:$F$66,6,FALSE )))*S14</f>
        <v>16162412.125745637</v>
      </c>
      <c r="T83" s="164">
        <f>((VLOOKUP($B$76,Energy_demand!$A$34:$F$66,6,FALSE )))*T14</f>
        <v>9990777.9558187798</v>
      </c>
      <c r="U83" s="164">
        <f>((VLOOKUP($B$76,Energy_demand!$A$34:$F$66,6,FALSE )))*U14</f>
        <v>5994580.3582869945</v>
      </c>
      <c r="V83" s="164">
        <f>((VLOOKUP($B$76,Energy_demand!$A$34:$F$66,6,FALSE )))*V14</f>
        <v>3495179.0651262077</v>
      </c>
      <c r="W83" s="164">
        <f>((VLOOKUP($B$76,Energy_demand!$A$34:$F$66,6,FALSE )))*W14</f>
        <v>1982247.1651967936</v>
      </c>
      <c r="X83" s="164">
        <f>((VLOOKUP($B$76,Energy_demand!$A$34:$F$66,6,FALSE )))*X14</f>
        <v>1094468.5654293771</v>
      </c>
      <c r="Y83" s="164">
        <f>((VLOOKUP($B$76,Energy_demand!$A$34:$F$66,6,FALSE )))*Y14</f>
        <v>588770.97211950319</v>
      </c>
      <c r="Z83" s="164">
        <f>((VLOOKUP($B$76,Energy_demand!$A$34:$F$66,6,FALSE )))*Z14</f>
        <v>308812.65211478097</v>
      </c>
      <c r="AA83" s="164">
        <f>((VLOOKUP($B$76,Energy_demand!$A$34:$F$66,6,FALSE )))*AA14</f>
        <v>158026.47050716897</v>
      </c>
      <c r="AB83" s="164">
        <f>((VLOOKUP($B$76,Energy_demand!$A$34:$F$66,6,FALSE )))*AB14</f>
        <v>78941.897314835063</v>
      </c>
    </row>
    <row r="84" spans="1:28">
      <c r="B84" s="163">
        <v>2015</v>
      </c>
      <c r="C84" s="164">
        <f>((VLOOKUP($B$76,Energy_demand!$A$34:$F$66,6,FALSE )))*C15</f>
        <v>0</v>
      </c>
      <c r="D84" s="164">
        <f>((VLOOKUP($B$76,Energy_demand!$A$34:$F$66,6,FALSE )))*D15</f>
        <v>0</v>
      </c>
      <c r="E84" s="164">
        <f>((VLOOKUP($B$76,Energy_demand!$A$34:$F$66,6,FALSE )))*E15</f>
        <v>0</v>
      </c>
      <c r="F84" s="164">
        <f>((VLOOKUP($B$76,Energy_demand!$A$34:$F$66,6,FALSE )))*F15</f>
        <v>0</v>
      </c>
      <c r="G84" s="164">
        <f>((VLOOKUP($B$76,Energy_demand!$A$34:$F$66,6,FALSE )))*G15</f>
        <v>0</v>
      </c>
      <c r="H84" s="164">
        <f>((VLOOKUP($B$76,Energy_demand!$A$34:$F$66,6,FALSE )))*H15</f>
        <v>0</v>
      </c>
      <c r="I84" s="164">
        <f>((VLOOKUP($B$76,Energy_demand!$A$34:$F$66,6,FALSE )))*I15</f>
        <v>0</v>
      </c>
      <c r="J84" s="164">
        <f>((VLOOKUP($B$76,Energy_demand!$A$34:$F$66,6,FALSE )))*J15</f>
        <v>0</v>
      </c>
      <c r="K84" s="164">
        <f>((VLOOKUP($B$76,Energy_demand!$A$34:$F$66,6,FALSE )))*K15</f>
        <v>205672596.26982972</v>
      </c>
      <c r="L84" s="164">
        <f>((VLOOKUP($B$76,Energy_demand!$A$34:$F$66,6,FALSE )))*L15</f>
        <v>190261420.9169288</v>
      </c>
      <c r="M84" s="164">
        <f>((VLOOKUP($B$76,Energy_demand!$A$34:$F$66,6,FALSE )))*M15</f>
        <v>162418725.88307953</v>
      </c>
      <c r="N84" s="164">
        <f>((VLOOKUP($B$76,Energy_demand!$A$34:$F$66,6,FALSE )))*N15</f>
        <v>130919022.66075768</v>
      </c>
      <c r="O84" s="164">
        <f>((VLOOKUP($B$76,Energy_demand!$A$34:$F$66,6,FALSE )))*O15</f>
        <v>100538470.34388244</v>
      </c>
      <c r="P84" s="164">
        <f>((VLOOKUP($B$76,Energy_demand!$A$34:$F$66,6,FALSE )))*P15</f>
        <v>73952999.726240441</v>
      </c>
      <c r="Q84" s="164">
        <f>((VLOOKUP($B$76,Energy_demand!$A$34:$F$66,6,FALSE )))*Q15</f>
        <v>52298477.949855246</v>
      </c>
      <c r="R84" s="164">
        <f>((VLOOKUP($B$76,Energy_demand!$A$34:$F$66,6,FALSE )))*R15</f>
        <v>35656873.493357249</v>
      </c>
      <c r="S84" s="164">
        <f>((VLOOKUP($B$76,Energy_demand!$A$34:$F$66,6,FALSE )))*S15</f>
        <v>23489466.52511216</v>
      </c>
      <c r="T84" s="164">
        <f>((VLOOKUP($B$76,Energy_demand!$A$34:$F$66,6,FALSE )))*T15</f>
        <v>14978149.020561455</v>
      </c>
      <c r="U84" s="164">
        <f>((VLOOKUP($B$76,Energy_demand!$A$34:$F$66,6,FALSE )))*U15</f>
        <v>9258726.9702906664</v>
      </c>
      <c r="V84" s="164">
        <f>((VLOOKUP($B$76,Energy_demand!$A$34:$F$66,6,FALSE )))*V15</f>
        <v>5555341.4443087662</v>
      </c>
      <c r="W84" s="164">
        <f>((VLOOKUP($B$76,Energy_demand!$A$34:$F$66,6,FALSE )))*W15</f>
        <v>3239077.9596329485</v>
      </c>
      <c r="X84" s="164">
        <f>((VLOOKUP($B$76,Energy_demand!$A$34:$F$66,6,FALSE )))*X15</f>
        <v>1837002.6209521207</v>
      </c>
      <c r="Y84" s="164">
        <f>((VLOOKUP($B$76,Energy_demand!$A$34:$F$66,6,FALSE )))*Y15</f>
        <v>1014273.9303874201</v>
      </c>
      <c r="Z84" s="164">
        <f>((VLOOKUP($B$76,Energy_demand!$A$34:$F$66,6,FALSE )))*Z15</f>
        <v>545630.15042409149</v>
      </c>
      <c r="AA84" s="164">
        <f>((VLOOKUP($B$76,Energy_demand!$A$34:$F$66,6,FALSE )))*AA15</f>
        <v>286185.12427621946</v>
      </c>
      <c r="AB84" s="164">
        <f>((VLOOKUP($B$76,Energy_demand!$A$34:$F$66,6,FALSE )))*AB15</f>
        <v>146447.44893488724</v>
      </c>
    </row>
    <row r="85" spans="1:28">
      <c r="A85" s="21"/>
      <c r="B85" s="163">
        <v>2016</v>
      </c>
      <c r="C85" s="164">
        <f>((VLOOKUP($B$76,Energy_demand!$A$34:$F$66,6,FALSE )))*C16</f>
        <v>0</v>
      </c>
      <c r="D85" s="164">
        <f>((VLOOKUP($B$76,Energy_demand!$A$34:$F$66,6,FALSE )))*D16</f>
        <v>0</v>
      </c>
      <c r="E85" s="164">
        <f>((VLOOKUP($B$76,Energy_demand!$A$34:$F$66,6,FALSE )))*E16</f>
        <v>0</v>
      </c>
      <c r="F85" s="164">
        <f>((VLOOKUP($B$76,Energy_demand!$A$34:$F$66,6,FALSE )))*F16</f>
        <v>0</v>
      </c>
      <c r="G85" s="164">
        <f>((VLOOKUP($B$76,Energy_demand!$A$34:$F$66,6,FALSE )))*G16</f>
        <v>0</v>
      </c>
      <c r="H85" s="164">
        <f>((VLOOKUP($B$76,Energy_demand!$A$34:$F$66,6,FALSE )))*H16</f>
        <v>0</v>
      </c>
      <c r="I85" s="164">
        <f>((VLOOKUP($B$76,Energy_demand!$A$34:$F$66,6,FALSE )))*I16</f>
        <v>0</v>
      </c>
      <c r="J85" s="164">
        <f>((VLOOKUP($B$76,Energy_demand!$A$34:$F$66,6,FALSE )))*J16</f>
        <v>0</v>
      </c>
      <c r="K85" s="164">
        <f>((VLOOKUP($B$76,Energy_demand!$A$34:$F$66,6,FALSE )))*K16</f>
        <v>0</v>
      </c>
      <c r="L85" s="164">
        <f>((VLOOKUP($B$76,Energy_demand!$A$34:$F$66,6,FALSE )))*L16</f>
        <v>192204997.79920781</v>
      </c>
      <c r="M85" s="164">
        <f>((VLOOKUP($B$76,Energy_demand!$A$34:$F$66,6,FALSE )))*M16</f>
        <v>177802957.96254706</v>
      </c>
      <c r="N85" s="164">
        <f>((VLOOKUP($B$76,Energy_demand!$A$34:$F$66,6,FALSE )))*N16</f>
        <v>151783423.83518979</v>
      </c>
      <c r="O85" s="164">
        <f>((VLOOKUP($B$76,Energy_demand!$A$34:$F$66,6,FALSE )))*O16</f>
        <v>122346345.20474806</v>
      </c>
      <c r="P85" s="164">
        <f>((VLOOKUP($B$76,Energy_demand!$A$34:$F$66,6,FALSE )))*P16</f>
        <v>93955134.624885842</v>
      </c>
      <c r="Q85" s="164">
        <f>((VLOOKUP($B$76,Energy_demand!$A$34:$F$66,6,FALSE )))*Q16</f>
        <v>69110500.900075138</v>
      </c>
      <c r="R85" s="164">
        <f>((VLOOKUP($B$76,Energy_demand!$A$34:$F$66,6,FALSE )))*R16</f>
        <v>48873933.725551873</v>
      </c>
      <c r="S85" s="164">
        <f>((VLOOKUP($B$76,Energy_demand!$A$34:$F$66,6,FALSE )))*S16</f>
        <v>33322034.221448179</v>
      </c>
      <c r="T85" s="164">
        <f>((VLOOKUP($B$76,Energy_demand!$A$34:$F$66,6,FALSE )))*T16</f>
        <v>21951358.341587808</v>
      </c>
      <c r="U85" s="164">
        <f>((VLOOKUP($B$76,Energy_demand!$A$34:$F$66,6,FALSE )))*U16</f>
        <v>13997368.398832845</v>
      </c>
      <c r="V85" s="164">
        <f>((VLOOKUP($B$76,Energy_demand!$A$34:$F$66,6,FALSE )))*V16</f>
        <v>8652458.4666276723</v>
      </c>
      <c r="W85" s="164">
        <f>((VLOOKUP($B$76,Energy_demand!$A$34:$F$66,6,FALSE )))*W16</f>
        <v>5191573.4494661279</v>
      </c>
      <c r="X85" s="164">
        <f>((VLOOKUP($B$76,Energy_demand!$A$34:$F$66,6,FALSE )))*X16</f>
        <v>3026980.6643853714</v>
      </c>
      <c r="Y85" s="164">
        <f>((VLOOKUP($B$76,Energy_demand!$A$34:$F$66,6,FALSE )))*Y16</f>
        <v>1716714.2882468444</v>
      </c>
      <c r="Z85" s="164">
        <f>((VLOOKUP($B$76,Energy_demand!$A$34:$F$66,6,FALSE )))*Z16</f>
        <v>947858.49983702996</v>
      </c>
      <c r="AA85" s="164">
        <f>((VLOOKUP($B$76,Energy_demand!$A$34:$F$66,6,FALSE )))*AA16</f>
        <v>509901.87202118675</v>
      </c>
      <c r="AB85" s="164">
        <f>((VLOOKUP($B$76,Energy_demand!$A$34:$F$66,6,FALSE )))*AB16</f>
        <v>267445.50406468357</v>
      </c>
    </row>
    <row r="86" spans="1:28">
      <c r="B86" s="163">
        <v>2017</v>
      </c>
      <c r="C86" s="164">
        <f>((VLOOKUP($B$76,Energy_demand!$A$34:$F$66,6,FALSE )))*C17</f>
        <v>0</v>
      </c>
      <c r="D86" s="164">
        <f>((VLOOKUP($B$76,Energy_demand!$A$34:$F$66,6,FALSE )))*D17</f>
        <v>0</v>
      </c>
      <c r="E86" s="164">
        <f>((VLOOKUP($B$76,Energy_demand!$A$34:$F$66,6,FALSE )))*E17</f>
        <v>0</v>
      </c>
      <c r="F86" s="164">
        <f>((VLOOKUP($B$76,Energy_demand!$A$34:$F$66,6,FALSE )))*F17</f>
        <v>0</v>
      </c>
      <c r="G86" s="164">
        <f>((VLOOKUP($B$76,Energy_demand!$A$34:$F$66,6,FALSE )))*G17</f>
        <v>0</v>
      </c>
      <c r="H86" s="164">
        <f>((VLOOKUP($B$76,Energy_demand!$A$34:$F$66,6,FALSE )))*H17</f>
        <v>0</v>
      </c>
      <c r="I86" s="164">
        <f>((VLOOKUP($B$76,Energy_demand!$A$34:$F$66,6,FALSE )))*I17</f>
        <v>0</v>
      </c>
      <c r="J86" s="164">
        <f>((VLOOKUP($B$76,Energy_demand!$A$34:$F$66,6,FALSE )))*J17</f>
        <v>0</v>
      </c>
      <c r="K86" s="164">
        <f>((VLOOKUP($B$76,Energy_demand!$A$34:$F$66,6,FALSE )))*K17</f>
        <v>0</v>
      </c>
      <c r="L86" s="164">
        <f>((VLOOKUP($B$76,Energy_demand!$A$34:$F$66,6,FALSE )))*L17</f>
        <v>0</v>
      </c>
      <c r="M86" s="164">
        <f>((VLOOKUP($B$76,Energy_demand!$A$34:$F$66,6,FALSE )))*M17</f>
        <v>159022848.19300103</v>
      </c>
      <c r="N86" s="164">
        <f>((VLOOKUP($B$76,Energy_demand!$A$34:$F$66,6,FALSE )))*N17</f>
        <v>147107167.43111247</v>
      </c>
      <c r="O86" s="164">
        <f>((VLOOKUP($B$76,Energy_demand!$A$34:$F$66,6,FALSE )))*O17</f>
        <v>125579629.26631457</v>
      </c>
      <c r="P86" s="164">
        <f>((VLOOKUP($B$76,Energy_demand!$A$34:$F$66,6,FALSE )))*P17</f>
        <v>101224549.32617439</v>
      </c>
      <c r="Q86" s="164">
        <f>((VLOOKUP($B$76,Energy_demand!$A$34:$F$66,6,FALSE )))*Q17</f>
        <v>77734779.435937107</v>
      </c>
      <c r="R86" s="164">
        <f>((VLOOKUP($B$76,Energy_demand!$A$34:$F$66,6,FALSE )))*R17</f>
        <v>57179307.609139644</v>
      </c>
      <c r="S86" s="164">
        <f>((VLOOKUP($B$76,Energy_demand!$A$34:$F$66,6,FALSE )))*S17</f>
        <v>40436368.629459552</v>
      </c>
      <c r="T86" s="164">
        <f>((VLOOKUP($B$76,Energy_demand!$A$34:$F$66,6,FALSE )))*T17</f>
        <v>27569339.247957785</v>
      </c>
      <c r="U86" s="164">
        <f>((VLOOKUP($B$76,Energy_demand!$A$34:$F$66,6,FALSE )))*U17</f>
        <v>18161689.68109357</v>
      </c>
      <c r="V86" s="164">
        <f>((VLOOKUP($B$76,Energy_demand!$A$34:$F$66,6,FALSE )))*V17</f>
        <v>11580871.545881726</v>
      </c>
      <c r="W86" s="164">
        <f>((VLOOKUP($B$76,Energy_demand!$A$34:$F$66,6,FALSE )))*W17</f>
        <v>7158703.4936114969</v>
      </c>
      <c r="X86" s="164">
        <f>((VLOOKUP($B$76,Energy_demand!$A$34:$F$66,6,FALSE )))*X17</f>
        <v>4295303.4832097869</v>
      </c>
      <c r="Y86" s="164">
        <f>((VLOOKUP($B$76,Energy_demand!$A$34:$F$66,6,FALSE )))*Y17</f>
        <v>2504404.6314475606</v>
      </c>
      <c r="Z86" s="164">
        <f>((VLOOKUP($B$76,Energy_demand!$A$34:$F$66,6,FALSE )))*Z17</f>
        <v>1420341.8161676903</v>
      </c>
      <c r="AA86" s="164">
        <f>((VLOOKUP($B$76,Energy_demand!$A$34:$F$66,6,FALSE )))*AA17</f>
        <v>784220.80619097711</v>
      </c>
      <c r="AB86" s="164">
        <f>((VLOOKUP($B$76,Energy_demand!$A$34:$F$66,6,FALSE )))*AB17</f>
        <v>421872.73440444551</v>
      </c>
    </row>
    <row r="87" spans="1:28">
      <c r="B87" s="163">
        <v>2018</v>
      </c>
      <c r="C87" s="164">
        <f>((VLOOKUP($B$76,Energy_demand!$A$34:$F$66,6,FALSE )))*C18</f>
        <v>0</v>
      </c>
      <c r="D87" s="164">
        <f>((VLOOKUP($B$76,Energy_demand!$A$34:$F$66,6,FALSE )))*D18</f>
        <v>0</v>
      </c>
      <c r="E87" s="164">
        <f>((VLOOKUP($B$76,Energy_demand!$A$34:$F$66,6,FALSE )))*E18</f>
        <v>0</v>
      </c>
      <c r="F87" s="164">
        <f>((VLOOKUP($B$76,Energy_demand!$A$34:$F$66,6,FALSE )))*F18</f>
        <v>0</v>
      </c>
      <c r="G87" s="164">
        <f>((VLOOKUP($B$76,Energy_demand!$A$34:$F$66,6,FALSE )))*G18</f>
        <v>0</v>
      </c>
      <c r="H87" s="164">
        <f>((VLOOKUP($B$76,Energy_demand!$A$34:$F$66,6,FALSE )))*H18</f>
        <v>0</v>
      </c>
      <c r="I87" s="164">
        <f>((VLOOKUP($B$76,Energy_demand!$A$34:$F$66,6,FALSE )))*I18</f>
        <v>0</v>
      </c>
      <c r="J87" s="164">
        <f>((VLOOKUP($B$76,Energy_demand!$A$34:$F$66,6,FALSE )))*J18</f>
        <v>0</v>
      </c>
      <c r="K87" s="164">
        <f>((VLOOKUP($B$76,Energy_demand!$A$34:$F$66,6,FALSE )))*K18</f>
        <v>0</v>
      </c>
      <c r="L87" s="164">
        <f>((VLOOKUP($B$76,Energy_demand!$A$34:$F$66,6,FALSE )))*L18</f>
        <v>0</v>
      </c>
      <c r="M87" s="164">
        <f>((VLOOKUP($B$76,Energy_demand!$A$34:$F$66,6,FALSE )))*M18</f>
        <v>0</v>
      </c>
      <c r="N87" s="164">
        <f>((VLOOKUP($B$76,Energy_demand!$A$34:$F$66,6,FALSE )))*N18</f>
        <v>162313653.06623489</v>
      </c>
      <c r="O87" s="164">
        <f>((VLOOKUP($B$76,Energy_demand!$A$34:$F$66,6,FALSE )))*O18</f>
        <v>150151390.25173753</v>
      </c>
      <c r="P87" s="164">
        <f>((VLOOKUP($B$76,Energy_demand!$A$34:$F$66,6,FALSE )))*P18</f>
        <v>128178363.10025348</v>
      </c>
      <c r="Q87" s="164">
        <f>((VLOOKUP($B$76,Energy_demand!$A$34:$F$66,6,FALSE )))*Q18</f>
        <v>103319281.27192087</v>
      </c>
      <c r="R87" s="164">
        <f>((VLOOKUP($B$76,Energy_demand!$A$34:$F$66,6,FALSE )))*R18</f>
        <v>79343416.143770888</v>
      </c>
      <c r="S87" s="164">
        <f>((VLOOKUP($B$76,Energy_demand!$A$34:$F$66,6,FALSE )))*S18</f>
        <v>58362571.185829721</v>
      </c>
      <c r="T87" s="164">
        <f>((VLOOKUP($B$76,Energy_demand!$A$34:$F$66,6,FALSE )))*T18</f>
        <v>41273155.295361839</v>
      </c>
      <c r="U87" s="164">
        <f>((VLOOKUP($B$76,Energy_demand!$A$34:$F$66,6,FALSE )))*U18</f>
        <v>28139856.736356094</v>
      </c>
      <c r="V87" s="164">
        <f>((VLOOKUP($B$76,Energy_demand!$A$34:$F$66,6,FALSE )))*V18</f>
        <v>18537526.094463345</v>
      </c>
      <c r="W87" s="164">
        <f>((VLOOKUP($B$76,Energy_demand!$A$34:$F$66,6,FALSE )))*W18</f>
        <v>11820525.085939249</v>
      </c>
      <c r="X87" s="164">
        <f>((VLOOKUP($B$76,Energy_demand!$A$34:$F$66,6,FALSE )))*X18</f>
        <v>7306845.0758464048</v>
      </c>
      <c r="Y87" s="164">
        <f>((VLOOKUP($B$76,Energy_demand!$A$34:$F$66,6,FALSE )))*Y18</f>
        <v>4384190.11676706</v>
      </c>
      <c r="Z87" s="164">
        <f>((VLOOKUP($B$76,Energy_demand!$A$34:$F$66,6,FALSE )))*Z18</f>
        <v>2556230.5612392002</v>
      </c>
      <c r="AA87" s="164">
        <f>((VLOOKUP($B$76,Energy_demand!$A$34:$F$66,6,FALSE )))*AA18</f>
        <v>1449734.2451388384</v>
      </c>
      <c r="AB87" s="164">
        <f>((VLOOKUP($B$76,Energy_demand!$A$34:$F$66,6,FALSE )))*AB18</f>
        <v>800449.40277335315</v>
      </c>
    </row>
    <row r="88" spans="1:28">
      <c r="B88" s="163">
        <v>2019</v>
      </c>
      <c r="C88" s="164">
        <f>((VLOOKUP($B$76,Energy_demand!$A$34:$F$66,6,FALSE )))*C19</f>
        <v>0</v>
      </c>
      <c r="D88" s="164">
        <f>((VLOOKUP($B$76,Energy_demand!$A$34:$F$66,6,FALSE )))*D19</f>
        <v>0</v>
      </c>
      <c r="E88" s="164">
        <f>((VLOOKUP($B$76,Energy_demand!$A$34:$F$66,6,FALSE )))*E19</f>
        <v>0</v>
      </c>
      <c r="F88" s="164">
        <f>((VLOOKUP($B$76,Energy_demand!$A$34:$F$66,6,FALSE )))*F19</f>
        <v>0</v>
      </c>
      <c r="G88" s="164">
        <f>((VLOOKUP($B$76,Energy_demand!$A$34:$F$66,6,FALSE )))*G19</f>
        <v>0</v>
      </c>
      <c r="H88" s="164">
        <f>((VLOOKUP($B$76,Energy_demand!$A$34:$F$66,6,FALSE )))*H19</f>
        <v>0</v>
      </c>
      <c r="I88" s="164">
        <f>((VLOOKUP($B$76,Energy_demand!$A$34:$F$66,6,FALSE )))*I19</f>
        <v>0</v>
      </c>
      <c r="J88" s="164">
        <f>((VLOOKUP($B$76,Energy_demand!$A$34:$F$66,6,FALSE )))*J19</f>
        <v>0</v>
      </c>
      <c r="K88" s="164">
        <f>((VLOOKUP($B$76,Energy_demand!$A$34:$F$66,6,FALSE )))*K19</f>
        <v>0</v>
      </c>
      <c r="L88" s="164">
        <f>((VLOOKUP($B$76,Energy_demand!$A$34:$F$66,6,FALSE )))*L19</f>
        <v>0</v>
      </c>
      <c r="M88" s="164">
        <f>((VLOOKUP($B$76,Energy_demand!$A$34:$F$66,6,FALSE )))*M19</f>
        <v>0</v>
      </c>
      <c r="N88" s="164">
        <f>((VLOOKUP($B$76,Energy_demand!$A$34:$F$66,6,FALSE )))*N19</f>
        <v>0</v>
      </c>
      <c r="O88" s="164">
        <f>((VLOOKUP($B$76,Energy_demand!$A$34:$F$66,6,FALSE )))*O19</f>
        <v>191259582.53937212</v>
      </c>
      <c r="P88" s="164">
        <f>((VLOOKUP($B$76,Energy_demand!$A$34:$F$66,6,FALSE )))*P19</f>
        <v>176928383.25519568</v>
      </c>
      <c r="Q88" s="164">
        <f>((VLOOKUP($B$76,Energy_demand!$A$34:$F$66,6,FALSE )))*Q19</f>
        <v>151036833.64905006</v>
      </c>
      <c r="R88" s="164">
        <f>((VLOOKUP($B$76,Energy_demand!$A$34:$F$66,6,FALSE )))*R19</f>
        <v>121744549.71001004</v>
      </c>
      <c r="S88" s="164">
        <f>((VLOOKUP($B$76,Energy_demand!$A$34:$F$66,6,FALSE )))*S19</f>
        <v>93492989.420383513</v>
      </c>
      <c r="T88" s="164">
        <f>((VLOOKUP($B$76,Energy_demand!$A$34:$F$66,6,FALSE )))*T19</f>
        <v>68770561.133086994</v>
      </c>
      <c r="U88" s="164">
        <f>((VLOOKUP($B$76,Energy_demand!$A$34:$F$66,6,FALSE )))*U19</f>
        <v>48633533.302662738</v>
      </c>
      <c r="V88" s="164">
        <f>((VLOOKUP($B$76,Energy_demand!$A$34:$F$66,6,FALSE )))*V19</f>
        <v>33158130.264722593</v>
      </c>
      <c r="W88" s="164">
        <f>((VLOOKUP($B$76,Energy_demand!$A$34:$F$66,6,FALSE )))*W19</f>
        <v>21843384.306636132</v>
      </c>
      <c r="X88" s="164">
        <f>((VLOOKUP($B$76,Energy_demand!$A$34:$F$66,6,FALSE )))*X19</f>
        <v>13928518.338567384</v>
      </c>
      <c r="Y88" s="164">
        <f>((VLOOKUP($B$76,Energy_demand!$A$34:$F$66,6,FALSE )))*Y19</f>
        <v>8609898.8747174274</v>
      </c>
      <c r="Z88" s="164">
        <f>((VLOOKUP($B$76,Energy_demand!$A$34:$F$66,6,FALSE )))*Z19</f>
        <v>5166037.2104615085</v>
      </c>
      <c r="AA88" s="164">
        <f>((VLOOKUP($B$76,Energy_demand!$A$34:$F$66,6,FALSE )))*AA19</f>
        <v>3012091.5941525195</v>
      </c>
      <c r="AB88" s="164">
        <f>((VLOOKUP($B$76,Energy_demand!$A$34:$F$66,6,FALSE )))*AB19</f>
        <v>1708270.1379725521</v>
      </c>
    </row>
    <row r="89" spans="1:28">
      <c r="B89" s="163">
        <v>2020</v>
      </c>
      <c r="C89" s="164">
        <f>((VLOOKUP($B$76,Energy_demand!$A$34:$F$66,6,FALSE )))*C20</f>
        <v>0</v>
      </c>
      <c r="D89" s="164">
        <f>((VLOOKUP($B$76,Energy_demand!$A$34:$F$66,6,FALSE )))*D20</f>
        <v>0</v>
      </c>
      <c r="E89" s="164">
        <f>((VLOOKUP($B$76,Energy_demand!$A$34:$F$66,6,FALSE )))*E20</f>
        <v>0</v>
      </c>
      <c r="F89" s="164">
        <f>((VLOOKUP($B$76,Energy_demand!$A$34:$F$66,6,FALSE )))*F20</f>
        <v>0</v>
      </c>
      <c r="G89" s="164">
        <f>((VLOOKUP($B$76,Energy_demand!$A$34:$F$66,6,FALSE )))*G20</f>
        <v>0</v>
      </c>
      <c r="H89" s="164">
        <f>((VLOOKUP($B$76,Energy_demand!$A$34:$F$66,6,FALSE )))*H20</f>
        <v>0</v>
      </c>
      <c r="I89" s="164">
        <f>((VLOOKUP($B$76,Energy_demand!$A$34:$F$66,6,FALSE )))*I20</f>
        <v>0</v>
      </c>
      <c r="J89" s="164">
        <f>((VLOOKUP($B$76,Energy_demand!$A$34:$F$66,6,FALSE )))*J20</f>
        <v>0</v>
      </c>
      <c r="K89" s="164">
        <f>((VLOOKUP($B$76,Energy_demand!$A$34:$F$66,6,FALSE )))*K20</f>
        <v>0</v>
      </c>
      <c r="L89" s="164">
        <f>((VLOOKUP($B$76,Energy_demand!$A$34:$F$66,6,FALSE )))*L20</f>
        <v>0</v>
      </c>
      <c r="M89" s="164">
        <f>((VLOOKUP($B$76,Energy_demand!$A$34:$F$66,6,FALSE )))*M20</f>
        <v>0</v>
      </c>
      <c r="N89" s="164">
        <f>((VLOOKUP($B$76,Energy_demand!$A$34:$F$66,6,FALSE )))*N20</f>
        <v>0</v>
      </c>
      <c r="O89" s="164">
        <f>((VLOOKUP($B$76,Energy_demand!$A$34:$F$66,6,FALSE )))*O20</f>
        <v>0</v>
      </c>
      <c r="P89" s="164">
        <f>((VLOOKUP($B$76,Energy_demand!$A$34:$F$66,6,FALSE )))*P20</f>
        <v>216488861.23774999</v>
      </c>
      <c r="Q89" s="164">
        <f>((VLOOKUP($B$76,Energy_demand!$A$34:$F$66,6,FALSE )))*Q20</f>
        <v>200267216.43433768</v>
      </c>
      <c r="R89" s="164">
        <f>((VLOOKUP($B$76,Energy_demand!$A$34:$F$66,6,FALSE )))*R20</f>
        <v>170960281.76735801</v>
      </c>
      <c r="S89" s="164">
        <f>((VLOOKUP($B$76,Energy_demand!$A$34:$F$66,6,FALSE )))*S20</f>
        <v>137804017.86246231</v>
      </c>
      <c r="T89" s="164">
        <f>((VLOOKUP($B$76,Energy_demand!$A$34:$F$66,6,FALSE )))*T20</f>
        <v>105825760.69967763</v>
      </c>
      <c r="U89" s="164">
        <f>((VLOOKUP($B$76,Energy_demand!$A$34:$F$66,6,FALSE )))*U20</f>
        <v>77842167.533322215</v>
      </c>
      <c r="V89" s="164">
        <f>((VLOOKUP($B$76,Energy_demand!$A$34:$F$66,6,FALSE )))*V20</f>
        <v>55048840.444343522</v>
      </c>
      <c r="W89" s="164">
        <f>((VLOOKUP($B$76,Energy_demand!$A$34:$F$66,6,FALSE )))*W20</f>
        <v>37532058.610998221</v>
      </c>
      <c r="X89" s="164">
        <f>((VLOOKUP($B$76,Energy_demand!$A$34:$F$66,6,FALSE )))*X20</f>
        <v>24724771.074666172</v>
      </c>
      <c r="Y89" s="164">
        <f>((VLOOKUP($B$76,Energy_demand!$A$34:$F$66,6,FALSE )))*Y20</f>
        <v>15765845.73598991</v>
      </c>
      <c r="Z89" s="164">
        <f>((VLOOKUP($B$76,Energy_demand!$A$34:$F$66,6,FALSE )))*Z20</f>
        <v>9745640.8615555465</v>
      </c>
      <c r="AA89" s="164">
        <f>((VLOOKUP($B$76,Energy_demand!$A$34:$F$66,6,FALSE )))*AA20</f>
        <v>5847495.3147742348</v>
      </c>
      <c r="AB89" s="164">
        <f>((VLOOKUP($B$76,Energy_demand!$A$34:$F$66,6,FALSE )))*AB20</f>
        <v>3409420.1739023551</v>
      </c>
    </row>
    <row r="90" spans="1:28">
      <c r="B90" s="163">
        <v>2021</v>
      </c>
      <c r="C90" s="164">
        <f>((VLOOKUP($B$76,Energy_demand!$A$34:$F$66,6,FALSE )))*C21</f>
        <v>0</v>
      </c>
      <c r="D90" s="164">
        <f>((VLOOKUP($B$76,Energy_demand!$A$34:$F$66,6,FALSE )))*D21</f>
        <v>0</v>
      </c>
      <c r="E90" s="164">
        <f>((VLOOKUP($B$76,Energy_demand!$A$34:$F$66,6,FALSE )))*E21</f>
        <v>0</v>
      </c>
      <c r="F90" s="164">
        <f>((VLOOKUP($B$76,Energy_demand!$A$34:$F$66,6,FALSE )))*F21</f>
        <v>0</v>
      </c>
      <c r="G90" s="164">
        <f>((VLOOKUP($B$76,Energy_demand!$A$34:$F$66,6,FALSE )))*G21</f>
        <v>0</v>
      </c>
      <c r="H90" s="164">
        <f>((VLOOKUP($B$76,Energy_demand!$A$34:$F$66,6,FALSE )))*H21</f>
        <v>0</v>
      </c>
      <c r="I90" s="164">
        <f>((VLOOKUP($B$76,Energy_demand!$A$34:$F$66,6,FALSE )))*I21</f>
        <v>0</v>
      </c>
      <c r="J90" s="164">
        <f>((VLOOKUP($B$76,Energy_demand!$A$34:$F$66,6,FALSE )))*J21</f>
        <v>0</v>
      </c>
      <c r="K90" s="164">
        <f>((VLOOKUP($B$76,Energy_demand!$A$34:$F$66,6,FALSE )))*K21</f>
        <v>0</v>
      </c>
      <c r="L90" s="164">
        <f>((VLOOKUP($B$76,Energy_demand!$A$34:$F$66,6,FALSE )))*L21</f>
        <v>0</v>
      </c>
      <c r="M90" s="164">
        <f>((VLOOKUP($B$76,Energy_demand!$A$34:$F$66,6,FALSE )))*M21</f>
        <v>0</v>
      </c>
      <c r="N90" s="164">
        <f>((VLOOKUP($B$76,Energy_demand!$A$34:$F$66,6,FALSE )))*N21</f>
        <v>0</v>
      </c>
      <c r="O90" s="164">
        <f>((VLOOKUP($B$76,Energy_demand!$A$34:$F$66,6,FALSE )))*O21</f>
        <v>0</v>
      </c>
      <c r="P90" s="164">
        <f>((VLOOKUP($B$76,Energy_demand!$A$34:$F$66,6,FALSE )))*P21</f>
        <v>0</v>
      </c>
      <c r="Q90" s="164">
        <f>((VLOOKUP($B$76,Energy_demand!$A$34:$F$66,6,FALSE )))*Q21</f>
        <v>166657472.83434859</v>
      </c>
      <c r="R90" s="164">
        <f>((VLOOKUP($B$76,Energy_demand!$A$34:$F$66,6,FALSE )))*R21</f>
        <v>154169724.9072893</v>
      </c>
      <c r="S90" s="164">
        <f>((VLOOKUP($B$76,Energy_demand!$A$34:$F$66,6,FALSE )))*S21</f>
        <v>131608658.06904539</v>
      </c>
      <c r="T90" s="164">
        <f>((VLOOKUP($B$76,Energy_demand!$A$34:$F$66,6,FALSE )))*T21</f>
        <v>106084300.28257139</v>
      </c>
      <c r="U90" s="164">
        <f>((VLOOKUP($B$76,Energy_demand!$A$34:$F$66,6,FALSE )))*U21</f>
        <v>81466795.74249351</v>
      </c>
      <c r="V90" s="164">
        <f>((VLOOKUP($B$76,Energy_demand!$A$34:$F$66,6,FALSE )))*V21</f>
        <v>59924463.766310915</v>
      </c>
      <c r="W90" s="164">
        <f>((VLOOKUP($B$76,Energy_demand!$A$34:$F$66,6,FALSE )))*W21</f>
        <v>42377702.845599398</v>
      </c>
      <c r="X90" s="164">
        <f>((VLOOKUP($B$76,Energy_demand!$A$34:$F$66,6,FALSE )))*X21</f>
        <v>28892932.424409222</v>
      </c>
      <c r="Y90" s="164">
        <f>((VLOOKUP($B$76,Energy_demand!$A$34:$F$66,6,FALSE )))*Y21</f>
        <v>19033625.287475742</v>
      </c>
      <c r="Z90" s="164">
        <f>((VLOOKUP($B$76,Energy_demand!$A$34:$F$66,6,FALSE )))*Z21</f>
        <v>12136864.651760209</v>
      </c>
      <c r="AA90" s="164">
        <f>((VLOOKUP($B$76,Energy_demand!$A$34:$F$66,6,FALSE )))*AA21</f>
        <v>7502390.0437737433</v>
      </c>
      <c r="AB90" s="164">
        <f>((VLOOKUP($B$76,Energy_demand!$A$34:$F$66,6,FALSE )))*AB21</f>
        <v>4501519.3206671793</v>
      </c>
    </row>
    <row r="91" spans="1:28">
      <c r="B91" s="163">
        <v>2022</v>
      </c>
      <c r="C91" s="164">
        <f>((VLOOKUP($B$76,Energy_demand!$A$34:$F$66,6,FALSE )))*C22</f>
        <v>0</v>
      </c>
      <c r="D91" s="164">
        <f>((VLOOKUP($B$76,Energy_demand!$A$34:$F$66,6,FALSE )))*D22</f>
        <v>0</v>
      </c>
      <c r="E91" s="164">
        <f>((VLOOKUP($B$76,Energy_demand!$A$34:$F$66,6,FALSE )))*E22</f>
        <v>0</v>
      </c>
      <c r="F91" s="164">
        <f>((VLOOKUP($B$76,Energy_demand!$A$34:$F$66,6,FALSE )))*F22</f>
        <v>0</v>
      </c>
      <c r="G91" s="164">
        <f>((VLOOKUP($B$76,Energy_demand!$A$34:$F$66,6,FALSE )))*G22</f>
        <v>0</v>
      </c>
      <c r="H91" s="164">
        <f>((VLOOKUP($B$76,Energy_demand!$A$34:$F$66,6,FALSE )))*H22</f>
        <v>0</v>
      </c>
      <c r="I91" s="164">
        <f>((VLOOKUP($B$76,Energy_demand!$A$34:$F$66,6,FALSE )))*I22</f>
        <v>0</v>
      </c>
      <c r="J91" s="164">
        <f>((VLOOKUP($B$76,Energy_demand!$A$34:$F$66,6,FALSE )))*J22</f>
        <v>0</v>
      </c>
      <c r="K91" s="164">
        <f>((VLOOKUP($B$76,Energy_demand!$A$34:$F$66,6,FALSE )))*K22</f>
        <v>0</v>
      </c>
      <c r="L91" s="164">
        <f>((VLOOKUP($B$76,Energy_demand!$A$34:$F$66,6,FALSE )))*L22</f>
        <v>0</v>
      </c>
      <c r="M91" s="164">
        <f>((VLOOKUP($B$76,Energy_demand!$A$34:$F$66,6,FALSE )))*M22</f>
        <v>0</v>
      </c>
      <c r="N91" s="164">
        <f>((VLOOKUP($B$76,Energy_demand!$A$34:$F$66,6,FALSE )))*N22</f>
        <v>0</v>
      </c>
      <c r="O91" s="164">
        <f>((VLOOKUP($B$76,Energy_demand!$A$34:$F$66,6,FALSE )))*O22</f>
        <v>0</v>
      </c>
      <c r="P91" s="164">
        <f>((VLOOKUP($B$76,Energy_demand!$A$34:$F$66,6,FALSE )))*P22</f>
        <v>0</v>
      </c>
      <c r="Q91" s="164">
        <f>((VLOOKUP($B$76,Energy_demand!$A$34:$F$66,6,FALSE )))*Q22</f>
        <v>0</v>
      </c>
      <c r="R91" s="164">
        <f>((VLOOKUP($B$76,Energy_demand!$A$34:$F$66,6,FALSE )))*R22</f>
        <v>153719016.83130771</v>
      </c>
      <c r="S91" s="164">
        <f>((VLOOKUP($B$76,Energy_demand!$A$34:$F$66,6,FALSE )))*S22</f>
        <v>142200755.44681659</v>
      </c>
      <c r="T91" s="164">
        <f>((VLOOKUP($B$76,Energy_demand!$A$34:$F$66,6,FALSE )))*T22</f>
        <v>121391217.4521573</v>
      </c>
      <c r="U91" s="164">
        <f>((VLOOKUP($B$76,Energy_demand!$A$34:$F$66,6,FALSE )))*U22</f>
        <v>97848443.657145977</v>
      </c>
      <c r="V91" s="164">
        <f>((VLOOKUP($B$76,Energy_demand!$A$34:$F$66,6,FALSE )))*V22</f>
        <v>75142119.539880857</v>
      </c>
      <c r="W91" s="164">
        <f>((VLOOKUP($B$76,Energy_demand!$A$34:$F$66,6,FALSE )))*W22</f>
        <v>55272226.907320015</v>
      </c>
      <c r="X91" s="164">
        <f>((VLOOKUP($B$76,Energy_demand!$A$34:$F$66,6,FALSE )))*X22</f>
        <v>39087709.09702792</v>
      </c>
      <c r="Y91" s="164">
        <f>((VLOOKUP($B$76,Energy_demand!$A$34:$F$66,6,FALSE )))*Y22</f>
        <v>26649829.078280695</v>
      </c>
      <c r="Z91" s="164">
        <f>((VLOOKUP($B$76,Energy_demand!$A$34:$F$66,6,FALSE )))*Z22</f>
        <v>17555949.434289429</v>
      </c>
      <c r="AA91" s="164">
        <f>((VLOOKUP($B$76,Energy_demand!$A$34:$F$66,6,FALSE )))*AA22</f>
        <v>11194618.938795717</v>
      </c>
      <c r="AB91" s="164">
        <f>((VLOOKUP($B$76,Energy_demand!$A$34:$F$66,6,FALSE )))*AB22</f>
        <v>6919941.8531936435</v>
      </c>
    </row>
    <row r="92" spans="1:28">
      <c r="B92" s="163">
        <v>2023</v>
      </c>
      <c r="C92" s="164">
        <f>((VLOOKUP($B$76,Energy_demand!$A$34:$F$66,6,FALSE )))*C23</f>
        <v>0</v>
      </c>
      <c r="D92" s="164">
        <f>((VLOOKUP($B$76,Energy_demand!$A$34:$F$66,6,FALSE )))*D23</f>
        <v>0</v>
      </c>
      <c r="E92" s="164">
        <f>((VLOOKUP($B$76,Energy_demand!$A$34:$F$66,6,FALSE )))*E23</f>
        <v>0</v>
      </c>
      <c r="F92" s="164">
        <f>((VLOOKUP($B$76,Energy_demand!$A$34:$F$66,6,FALSE )))*F23</f>
        <v>0</v>
      </c>
      <c r="G92" s="164">
        <f>((VLOOKUP($B$76,Energy_demand!$A$34:$F$66,6,FALSE )))*G23</f>
        <v>0</v>
      </c>
      <c r="H92" s="164">
        <f>((VLOOKUP($B$76,Energy_demand!$A$34:$F$66,6,FALSE )))*H23</f>
        <v>0</v>
      </c>
      <c r="I92" s="164">
        <f>((VLOOKUP($B$76,Energy_demand!$A$34:$F$66,6,FALSE )))*I23</f>
        <v>0</v>
      </c>
      <c r="J92" s="164">
        <f>((VLOOKUP($B$76,Energy_demand!$A$34:$F$66,6,FALSE )))*J23</f>
        <v>0</v>
      </c>
      <c r="K92" s="164">
        <f>((VLOOKUP($B$76,Energy_demand!$A$34:$F$66,6,FALSE )))*K23</f>
        <v>0</v>
      </c>
      <c r="L92" s="164">
        <f>((VLOOKUP($B$76,Energy_demand!$A$34:$F$66,6,FALSE )))*L23</f>
        <v>0</v>
      </c>
      <c r="M92" s="164">
        <f>((VLOOKUP($B$76,Energy_demand!$A$34:$F$66,6,FALSE )))*M23</f>
        <v>0</v>
      </c>
      <c r="N92" s="164">
        <f>((VLOOKUP($B$76,Energy_demand!$A$34:$F$66,6,FALSE )))*N23</f>
        <v>0</v>
      </c>
      <c r="O92" s="164">
        <f>((VLOOKUP($B$76,Energy_demand!$A$34:$F$66,6,FALSE )))*O23</f>
        <v>0</v>
      </c>
      <c r="P92" s="164">
        <f>((VLOOKUP($B$76,Energy_demand!$A$34:$F$66,6,FALSE )))*P23</f>
        <v>0</v>
      </c>
      <c r="Q92" s="164">
        <f>((VLOOKUP($B$76,Energy_demand!$A$34:$F$66,6,FALSE )))*Q23</f>
        <v>0</v>
      </c>
      <c r="R92" s="164">
        <f>((VLOOKUP($B$76,Energy_demand!$A$34:$F$66,6,FALSE )))*R23</f>
        <v>0</v>
      </c>
      <c r="S92" s="164">
        <f>((VLOOKUP($B$76,Energy_demand!$A$34:$F$66,6,FALSE )))*S23</f>
        <v>153719016.83130771</v>
      </c>
      <c r="T92" s="164">
        <f>((VLOOKUP($B$76,Energy_demand!$A$34:$F$66,6,FALSE )))*T23</f>
        <v>142200755.44681659</v>
      </c>
      <c r="U92" s="164">
        <f>((VLOOKUP($B$76,Energy_demand!$A$34:$F$66,6,FALSE )))*U23</f>
        <v>121391217.4521573</v>
      </c>
      <c r="V92" s="164">
        <f>((VLOOKUP($B$76,Energy_demand!$A$34:$F$66,6,FALSE )))*V23</f>
        <v>97848443.657145977</v>
      </c>
      <c r="W92" s="164">
        <f>((VLOOKUP($B$76,Energy_demand!$A$34:$F$66,6,FALSE )))*W23</f>
        <v>75142119.539880857</v>
      </c>
      <c r="X92" s="164">
        <f>((VLOOKUP($B$76,Energy_demand!$A$34:$F$66,6,FALSE )))*X23</f>
        <v>55272226.907320015</v>
      </c>
      <c r="Y92" s="164">
        <f>((VLOOKUP($B$76,Energy_demand!$A$34:$F$66,6,FALSE )))*Y23</f>
        <v>39087709.09702792</v>
      </c>
      <c r="Z92" s="164">
        <f>((VLOOKUP($B$76,Energy_demand!$A$34:$F$66,6,FALSE )))*Z23</f>
        <v>26649829.078280695</v>
      </c>
      <c r="AA92" s="164">
        <f>((VLOOKUP($B$76,Energy_demand!$A$34:$F$66,6,FALSE )))*AA23</f>
        <v>17555949.434289429</v>
      </c>
      <c r="AB92" s="164">
        <f>((VLOOKUP($B$76,Energy_demand!$A$34:$F$66,6,FALSE )))*AB23</f>
        <v>11194618.938795717</v>
      </c>
    </row>
    <row r="93" spans="1:28">
      <c r="B93" s="163">
        <v>2024</v>
      </c>
      <c r="C93" s="164">
        <f>((VLOOKUP($B$76,Energy_demand!$A$34:$F$66,6,FALSE )))*C24</f>
        <v>0</v>
      </c>
      <c r="D93" s="164">
        <f>((VLOOKUP($B$76,Energy_demand!$A$34:$F$66,6,FALSE )))*D24</f>
        <v>0</v>
      </c>
      <c r="E93" s="164">
        <f>((VLOOKUP($B$76,Energy_demand!$A$34:$F$66,6,FALSE )))*E24</f>
        <v>0</v>
      </c>
      <c r="F93" s="164">
        <f>((VLOOKUP($B$76,Energy_demand!$A$34:$F$66,6,FALSE )))*F24</f>
        <v>0</v>
      </c>
      <c r="G93" s="164">
        <f>((VLOOKUP($B$76,Energy_demand!$A$34:$F$66,6,FALSE )))*G24</f>
        <v>0</v>
      </c>
      <c r="H93" s="164">
        <f>((VLOOKUP($B$76,Energy_demand!$A$34:$F$66,6,FALSE )))*H24</f>
        <v>0</v>
      </c>
      <c r="I93" s="164">
        <f>((VLOOKUP($B$76,Energy_demand!$A$34:$F$66,6,FALSE )))*I24</f>
        <v>0</v>
      </c>
      <c r="J93" s="164">
        <f>((VLOOKUP($B$76,Energy_demand!$A$34:$F$66,6,FALSE )))*J24</f>
        <v>0</v>
      </c>
      <c r="K93" s="164">
        <f>((VLOOKUP($B$76,Energy_demand!$A$34:$F$66,6,FALSE )))*K24</f>
        <v>0</v>
      </c>
      <c r="L93" s="164">
        <f>((VLOOKUP($B$76,Energy_demand!$A$34:$F$66,6,FALSE )))*L24</f>
        <v>0</v>
      </c>
      <c r="M93" s="164">
        <f>((VLOOKUP($B$76,Energy_demand!$A$34:$F$66,6,FALSE )))*M24</f>
        <v>0</v>
      </c>
      <c r="N93" s="164">
        <f>((VLOOKUP($B$76,Energy_demand!$A$34:$F$66,6,FALSE )))*N24</f>
        <v>0</v>
      </c>
      <c r="O93" s="164">
        <f>((VLOOKUP($B$76,Energy_demand!$A$34:$F$66,6,FALSE )))*O24</f>
        <v>0</v>
      </c>
      <c r="P93" s="164">
        <f>((VLOOKUP($B$76,Energy_demand!$A$34:$F$66,6,FALSE )))*P24</f>
        <v>0</v>
      </c>
      <c r="Q93" s="164">
        <f>((VLOOKUP($B$76,Energy_demand!$A$34:$F$66,6,FALSE )))*Q24</f>
        <v>0</v>
      </c>
      <c r="R93" s="164">
        <f>((VLOOKUP($B$76,Energy_demand!$A$34:$F$66,6,FALSE )))*R24</f>
        <v>0</v>
      </c>
      <c r="S93" s="164">
        <f>((VLOOKUP($B$76,Energy_demand!$A$34:$F$66,6,FALSE )))*S24</f>
        <v>0</v>
      </c>
      <c r="T93" s="164">
        <f>((VLOOKUP($B$76,Energy_demand!$A$34:$F$66,6,FALSE )))*T24</f>
        <v>153719016.83130771</v>
      </c>
      <c r="U93" s="164">
        <f>((VLOOKUP($B$76,Energy_demand!$A$34:$F$66,6,FALSE )))*U24</f>
        <v>142200755.44681659</v>
      </c>
      <c r="V93" s="164">
        <f>((VLOOKUP($B$76,Energy_demand!$A$34:$F$66,6,FALSE )))*V24</f>
        <v>121391217.4521573</v>
      </c>
      <c r="W93" s="164">
        <f>((VLOOKUP($B$76,Energy_demand!$A$34:$F$66,6,FALSE )))*W24</f>
        <v>97848443.657145977</v>
      </c>
      <c r="X93" s="164">
        <f>((VLOOKUP($B$76,Energy_demand!$A$34:$F$66,6,FALSE )))*X24</f>
        <v>75142119.539880857</v>
      </c>
      <c r="Y93" s="164">
        <f>((VLOOKUP($B$76,Energy_demand!$A$34:$F$66,6,FALSE )))*Y24</f>
        <v>55272226.907320015</v>
      </c>
      <c r="Z93" s="164">
        <f>((VLOOKUP($B$76,Energy_demand!$A$34:$F$66,6,FALSE )))*Z24</f>
        <v>39087709.09702792</v>
      </c>
      <c r="AA93" s="164">
        <f>((VLOOKUP($B$76,Energy_demand!$A$34:$F$66,6,FALSE )))*AA24</f>
        <v>26649829.078280695</v>
      </c>
      <c r="AB93" s="164">
        <f>((VLOOKUP($B$76,Energy_demand!$A$34:$F$66,6,FALSE )))*AB24</f>
        <v>17555949.434289429</v>
      </c>
    </row>
    <row r="94" spans="1:28">
      <c r="B94" s="163">
        <v>2025</v>
      </c>
      <c r="C94" s="164">
        <f>((VLOOKUP($B$76,Energy_demand!$A$34:$F$66,6,FALSE )))*C25</f>
        <v>0</v>
      </c>
      <c r="D94" s="164">
        <f>((VLOOKUP($B$76,Energy_demand!$A$34:$F$66,6,FALSE )))*D25</f>
        <v>0</v>
      </c>
      <c r="E94" s="164">
        <f>((VLOOKUP($B$76,Energy_demand!$A$34:$F$66,6,FALSE )))*E25</f>
        <v>0</v>
      </c>
      <c r="F94" s="164">
        <f>((VLOOKUP($B$76,Energy_demand!$A$34:$F$66,6,FALSE )))*F25</f>
        <v>0</v>
      </c>
      <c r="G94" s="164">
        <f>((VLOOKUP($B$76,Energy_demand!$A$34:$F$66,6,FALSE )))*G25</f>
        <v>0</v>
      </c>
      <c r="H94" s="164">
        <f>((VLOOKUP($B$76,Energy_demand!$A$34:$F$66,6,FALSE )))*H25</f>
        <v>0</v>
      </c>
      <c r="I94" s="164">
        <f>((VLOOKUP($B$76,Energy_demand!$A$34:$F$66,6,FALSE )))*I25</f>
        <v>0</v>
      </c>
      <c r="J94" s="164">
        <f>((VLOOKUP($B$76,Energy_demand!$A$34:$F$66,6,FALSE )))*J25</f>
        <v>0</v>
      </c>
      <c r="K94" s="164">
        <f>((VLOOKUP($B$76,Energy_demand!$A$34:$F$66,6,FALSE )))*K25</f>
        <v>0</v>
      </c>
      <c r="L94" s="164">
        <f>((VLOOKUP($B$76,Energy_demand!$A$34:$F$66,6,FALSE )))*L25</f>
        <v>0</v>
      </c>
      <c r="M94" s="164">
        <f>((VLOOKUP($B$76,Energy_demand!$A$34:$F$66,6,FALSE )))*M25</f>
        <v>0</v>
      </c>
      <c r="N94" s="164">
        <f>((VLOOKUP($B$76,Energy_demand!$A$34:$F$66,6,FALSE )))*N25</f>
        <v>0</v>
      </c>
      <c r="O94" s="164">
        <f>((VLOOKUP($B$76,Energy_demand!$A$34:$F$66,6,FALSE )))*O25</f>
        <v>0</v>
      </c>
      <c r="P94" s="164">
        <f>((VLOOKUP($B$76,Energy_demand!$A$34:$F$66,6,FALSE )))*P25</f>
        <v>0</v>
      </c>
      <c r="Q94" s="164">
        <f>((VLOOKUP($B$76,Energy_demand!$A$34:$F$66,6,FALSE )))*Q25</f>
        <v>0</v>
      </c>
      <c r="R94" s="164">
        <f>((VLOOKUP($B$76,Energy_demand!$A$34:$F$66,6,FALSE )))*R25</f>
        <v>0</v>
      </c>
      <c r="S94" s="164">
        <f>((VLOOKUP($B$76,Energy_demand!$A$34:$F$66,6,FALSE )))*S25</f>
        <v>0</v>
      </c>
      <c r="T94" s="164">
        <f>((VLOOKUP($B$76,Energy_demand!$A$34:$F$66,6,FALSE )))*T25</f>
        <v>0</v>
      </c>
      <c r="U94" s="164">
        <f>((VLOOKUP($B$76,Energy_demand!$A$34:$F$66,6,FALSE )))*U25</f>
        <v>153719016.83130771</v>
      </c>
      <c r="V94" s="164">
        <f>((VLOOKUP($B$76,Energy_demand!$A$34:$F$66,6,FALSE )))*V25</f>
        <v>142200755.44681659</v>
      </c>
      <c r="W94" s="164">
        <f>((VLOOKUP($B$76,Energy_demand!$A$34:$F$66,6,FALSE )))*W25</f>
        <v>121391217.4521573</v>
      </c>
      <c r="X94" s="164">
        <f>((VLOOKUP($B$76,Energy_demand!$A$34:$F$66,6,FALSE )))*X25</f>
        <v>97848443.657145977</v>
      </c>
      <c r="Y94" s="164">
        <f>((VLOOKUP($B$76,Energy_demand!$A$34:$F$66,6,FALSE )))*Y25</f>
        <v>75142119.539880857</v>
      </c>
      <c r="Z94" s="164">
        <f>((VLOOKUP($B$76,Energy_demand!$A$34:$F$66,6,FALSE )))*Z25</f>
        <v>55272226.907320015</v>
      </c>
      <c r="AA94" s="164">
        <f>((VLOOKUP($B$76,Energy_demand!$A$34:$F$66,6,FALSE )))*AA25</f>
        <v>39087709.09702792</v>
      </c>
      <c r="AB94" s="164">
        <f>((VLOOKUP($B$76,Energy_demand!$A$34:$F$66,6,FALSE )))*AB25</f>
        <v>26649829.078280695</v>
      </c>
    </row>
    <row r="95" spans="1:28">
      <c r="B95" s="163">
        <v>2026</v>
      </c>
      <c r="C95" s="164">
        <f>((VLOOKUP($B$76,Energy_demand!$A$34:$F$66,6,FALSE )))*C26</f>
        <v>0</v>
      </c>
      <c r="D95" s="164">
        <f>((VLOOKUP($B$76,Energy_demand!$A$34:$F$66,6,FALSE )))*D26</f>
        <v>0</v>
      </c>
      <c r="E95" s="164">
        <f>((VLOOKUP($B$76,Energy_demand!$A$34:$F$66,6,FALSE )))*E26</f>
        <v>0</v>
      </c>
      <c r="F95" s="164">
        <f>((VLOOKUP($B$76,Energy_demand!$A$34:$F$66,6,FALSE )))*F26</f>
        <v>0</v>
      </c>
      <c r="G95" s="164">
        <f>((VLOOKUP($B$76,Energy_demand!$A$34:$F$66,6,FALSE )))*G26</f>
        <v>0</v>
      </c>
      <c r="H95" s="164">
        <f>((VLOOKUP($B$76,Energy_demand!$A$34:$F$66,6,FALSE )))*H26</f>
        <v>0</v>
      </c>
      <c r="I95" s="164">
        <f>((VLOOKUP($B$76,Energy_demand!$A$34:$F$66,6,FALSE )))*I26</f>
        <v>0</v>
      </c>
      <c r="J95" s="164">
        <f>((VLOOKUP($B$76,Energy_demand!$A$34:$F$66,6,FALSE )))*J26</f>
        <v>0</v>
      </c>
      <c r="K95" s="164">
        <f>((VLOOKUP($B$76,Energy_demand!$A$34:$F$66,6,FALSE )))*K26</f>
        <v>0</v>
      </c>
      <c r="L95" s="164">
        <f>((VLOOKUP($B$76,Energy_demand!$A$34:$F$66,6,FALSE )))*L26</f>
        <v>0</v>
      </c>
      <c r="M95" s="164">
        <f>((VLOOKUP($B$76,Energy_demand!$A$34:$F$66,6,FALSE )))*M26</f>
        <v>0</v>
      </c>
      <c r="N95" s="164">
        <f>((VLOOKUP($B$76,Energy_demand!$A$34:$F$66,6,FALSE )))*N26</f>
        <v>0</v>
      </c>
      <c r="O95" s="164">
        <f>((VLOOKUP($B$76,Energy_demand!$A$34:$F$66,6,FALSE )))*O26</f>
        <v>0</v>
      </c>
      <c r="P95" s="164">
        <f>((VLOOKUP($B$76,Energy_demand!$A$34:$F$66,6,FALSE )))*P26</f>
        <v>0</v>
      </c>
      <c r="Q95" s="164">
        <f>((VLOOKUP($B$76,Energy_demand!$A$34:$F$66,6,FALSE )))*Q26</f>
        <v>0</v>
      </c>
      <c r="R95" s="164">
        <f>((VLOOKUP($B$76,Energy_demand!$A$34:$F$66,6,FALSE )))*R26</f>
        <v>0</v>
      </c>
      <c r="S95" s="164">
        <f>((VLOOKUP($B$76,Energy_demand!$A$34:$F$66,6,FALSE )))*S26</f>
        <v>0</v>
      </c>
      <c r="T95" s="164">
        <f>((VLOOKUP($B$76,Energy_demand!$A$34:$F$66,6,FALSE )))*T26</f>
        <v>0</v>
      </c>
      <c r="U95" s="164">
        <f>((VLOOKUP($B$76,Energy_demand!$A$34:$F$66,6,FALSE )))*U26</f>
        <v>0</v>
      </c>
      <c r="V95" s="164">
        <f>((VLOOKUP($B$76,Energy_demand!$A$34:$F$66,6,FALSE )))*V26</f>
        <v>153719016.83130771</v>
      </c>
      <c r="W95" s="164">
        <f>((VLOOKUP($B$76,Energy_demand!$A$34:$F$66,6,FALSE )))*W26</f>
        <v>142200755.44681659</v>
      </c>
      <c r="X95" s="164">
        <f>((VLOOKUP($B$76,Energy_demand!$A$34:$F$66,6,FALSE )))*X26</f>
        <v>121391217.4521573</v>
      </c>
      <c r="Y95" s="164">
        <f>((VLOOKUP($B$76,Energy_demand!$A$34:$F$66,6,FALSE )))*Y26</f>
        <v>97848443.657145977</v>
      </c>
      <c r="Z95" s="164">
        <f>((VLOOKUP($B$76,Energy_demand!$A$34:$F$66,6,FALSE )))*Z26</f>
        <v>75142119.539880857</v>
      </c>
      <c r="AA95" s="164">
        <f>((VLOOKUP($B$76,Energy_demand!$A$34:$F$66,6,FALSE )))*AA26</f>
        <v>55272226.907320015</v>
      </c>
      <c r="AB95" s="164">
        <f>((VLOOKUP($B$76,Energy_demand!$A$34:$F$66,6,FALSE )))*AB26</f>
        <v>39087709.09702792</v>
      </c>
    </row>
    <row r="96" spans="1:28">
      <c r="B96" s="163">
        <v>2027</v>
      </c>
      <c r="C96" s="164">
        <f>((VLOOKUP($B$76,Energy_demand!$A$34:$F$66,6,FALSE )))*C27</f>
        <v>0</v>
      </c>
      <c r="D96" s="164">
        <f>((VLOOKUP($B$76,Energy_demand!$A$34:$F$66,6,FALSE )))*D27</f>
        <v>0</v>
      </c>
      <c r="E96" s="164">
        <f>((VLOOKUP($B$76,Energy_demand!$A$34:$F$66,6,FALSE )))*E27</f>
        <v>0</v>
      </c>
      <c r="F96" s="164">
        <f>((VLOOKUP($B$76,Energy_demand!$A$34:$F$66,6,FALSE )))*F27</f>
        <v>0</v>
      </c>
      <c r="G96" s="164">
        <f>((VLOOKUP($B$76,Energy_demand!$A$34:$F$66,6,FALSE )))*G27</f>
        <v>0</v>
      </c>
      <c r="H96" s="164">
        <f>((VLOOKUP($B$76,Energy_demand!$A$34:$F$66,6,FALSE )))*H27</f>
        <v>0</v>
      </c>
      <c r="I96" s="164">
        <f>((VLOOKUP($B$76,Energy_demand!$A$34:$F$66,6,FALSE )))*I27</f>
        <v>0</v>
      </c>
      <c r="J96" s="164">
        <f>((VLOOKUP($B$76,Energy_demand!$A$34:$F$66,6,FALSE )))*J27</f>
        <v>0</v>
      </c>
      <c r="K96" s="164">
        <f>((VLOOKUP($B$76,Energy_demand!$A$34:$F$66,6,FALSE )))*K27</f>
        <v>0</v>
      </c>
      <c r="L96" s="164">
        <f>((VLOOKUP($B$76,Energy_demand!$A$34:$F$66,6,FALSE )))*L27</f>
        <v>0</v>
      </c>
      <c r="M96" s="164">
        <f>((VLOOKUP($B$76,Energy_demand!$A$34:$F$66,6,FALSE )))*M27</f>
        <v>0</v>
      </c>
      <c r="N96" s="164">
        <f>((VLOOKUP($B$76,Energy_demand!$A$34:$F$66,6,FALSE )))*N27</f>
        <v>0</v>
      </c>
      <c r="O96" s="164">
        <f>((VLOOKUP($B$76,Energy_demand!$A$34:$F$66,6,FALSE )))*O27</f>
        <v>0</v>
      </c>
      <c r="P96" s="164">
        <f>((VLOOKUP($B$76,Energy_demand!$A$34:$F$66,6,FALSE )))*P27</f>
        <v>0</v>
      </c>
      <c r="Q96" s="164">
        <f>((VLOOKUP($B$76,Energy_demand!$A$34:$F$66,6,FALSE )))*Q27</f>
        <v>0</v>
      </c>
      <c r="R96" s="164">
        <f>((VLOOKUP($B$76,Energy_demand!$A$34:$F$66,6,FALSE )))*R27</f>
        <v>0</v>
      </c>
      <c r="S96" s="164">
        <f>((VLOOKUP($B$76,Energy_demand!$A$34:$F$66,6,FALSE )))*S27</f>
        <v>0</v>
      </c>
      <c r="T96" s="164">
        <f>((VLOOKUP($B$76,Energy_demand!$A$34:$F$66,6,FALSE )))*T27</f>
        <v>0</v>
      </c>
      <c r="U96" s="164">
        <f>((VLOOKUP($B$76,Energy_demand!$A$34:$F$66,6,FALSE )))*U27</f>
        <v>0</v>
      </c>
      <c r="V96" s="164">
        <f>((VLOOKUP($B$76,Energy_demand!$A$34:$F$66,6,FALSE )))*V27</f>
        <v>0</v>
      </c>
      <c r="W96" s="164">
        <f>((VLOOKUP($B$76,Energy_demand!$A$34:$F$66,6,FALSE )))*W27</f>
        <v>153719016.83130771</v>
      </c>
      <c r="X96" s="164">
        <f>((VLOOKUP($B$76,Energy_demand!$A$34:$F$66,6,FALSE )))*X27</f>
        <v>142200755.44681659</v>
      </c>
      <c r="Y96" s="164">
        <f>((VLOOKUP($B$76,Energy_demand!$A$34:$F$66,6,FALSE )))*Y27</f>
        <v>121391217.4521573</v>
      </c>
      <c r="Z96" s="164">
        <f>((VLOOKUP($B$76,Energy_demand!$A$34:$F$66,6,FALSE )))*Z27</f>
        <v>97848443.657145977</v>
      </c>
      <c r="AA96" s="164">
        <f>((VLOOKUP($B$76,Energy_demand!$A$34:$F$66,6,FALSE )))*AA27</f>
        <v>75142119.539880857</v>
      </c>
      <c r="AB96" s="164">
        <f>((VLOOKUP($B$76,Energy_demand!$A$34:$F$66,6,FALSE )))*AB27</f>
        <v>55272226.907320015</v>
      </c>
    </row>
    <row r="97" spans="1:28">
      <c r="B97" s="163">
        <v>2028</v>
      </c>
      <c r="C97" s="164">
        <f>((VLOOKUP($B$76,Energy_demand!$A$34:$F$66,6,FALSE )))*C28</f>
        <v>0</v>
      </c>
      <c r="D97" s="164">
        <f>((VLOOKUP($B$76,Energy_demand!$A$34:$F$66,6,FALSE )))*D28</f>
        <v>0</v>
      </c>
      <c r="E97" s="164">
        <f>((VLOOKUP($B$76,Energy_demand!$A$34:$F$66,6,FALSE )))*E28</f>
        <v>0</v>
      </c>
      <c r="F97" s="164">
        <f>((VLOOKUP($B$76,Energy_demand!$A$34:$F$66,6,FALSE )))*F28</f>
        <v>0</v>
      </c>
      <c r="G97" s="164">
        <f>((VLOOKUP($B$76,Energy_demand!$A$34:$F$66,6,FALSE )))*G28</f>
        <v>0</v>
      </c>
      <c r="H97" s="164">
        <f>((VLOOKUP($B$76,Energy_demand!$A$34:$F$66,6,FALSE )))*H28</f>
        <v>0</v>
      </c>
      <c r="I97" s="164">
        <f>((VLOOKUP($B$76,Energy_demand!$A$34:$F$66,6,FALSE )))*I28</f>
        <v>0</v>
      </c>
      <c r="J97" s="164">
        <f>((VLOOKUP($B$76,Energy_demand!$A$34:$F$66,6,FALSE )))*J28</f>
        <v>0</v>
      </c>
      <c r="K97" s="164">
        <f>((VLOOKUP($B$76,Energy_demand!$A$34:$F$66,6,FALSE )))*K28</f>
        <v>0</v>
      </c>
      <c r="L97" s="164">
        <f>((VLOOKUP($B$76,Energy_demand!$A$34:$F$66,6,FALSE )))*L28</f>
        <v>0</v>
      </c>
      <c r="M97" s="164">
        <f>((VLOOKUP($B$76,Energy_demand!$A$34:$F$66,6,FALSE )))*M28</f>
        <v>0</v>
      </c>
      <c r="N97" s="164">
        <f>((VLOOKUP($B$76,Energy_demand!$A$34:$F$66,6,FALSE )))*N28</f>
        <v>0</v>
      </c>
      <c r="O97" s="164">
        <f>((VLOOKUP($B$76,Energy_demand!$A$34:$F$66,6,FALSE )))*O28</f>
        <v>0</v>
      </c>
      <c r="P97" s="164">
        <f>((VLOOKUP($B$76,Energy_demand!$A$34:$F$66,6,FALSE )))*P28</f>
        <v>0</v>
      </c>
      <c r="Q97" s="164">
        <f>((VLOOKUP($B$76,Energy_demand!$A$34:$F$66,6,FALSE )))*Q28</f>
        <v>0</v>
      </c>
      <c r="R97" s="164">
        <f>((VLOOKUP($B$76,Energy_demand!$A$34:$F$66,6,FALSE )))*R28</f>
        <v>0</v>
      </c>
      <c r="S97" s="164">
        <f>((VLOOKUP($B$76,Energy_demand!$A$34:$F$66,6,FALSE )))*S28</f>
        <v>0</v>
      </c>
      <c r="T97" s="164">
        <f>((VLOOKUP($B$76,Energy_demand!$A$34:$F$66,6,FALSE )))*T28</f>
        <v>0</v>
      </c>
      <c r="U97" s="164">
        <f>((VLOOKUP($B$76,Energy_demand!$A$34:$F$66,6,FALSE )))*U28</f>
        <v>0</v>
      </c>
      <c r="V97" s="164">
        <f>((VLOOKUP($B$76,Energy_demand!$A$34:$F$66,6,FALSE )))*V28</f>
        <v>0</v>
      </c>
      <c r="W97" s="164">
        <f>((VLOOKUP($B$76,Energy_demand!$A$34:$F$66,6,FALSE )))*W28</f>
        <v>0</v>
      </c>
      <c r="X97" s="164">
        <f>((VLOOKUP($B$76,Energy_demand!$A$34:$F$66,6,FALSE )))*X28</f>
        <v>153719016.83130771</v>
      </c>
      <c r="Y97" s="164">
        <f>((VLOOKUP($B$76,Energy_demand!$A$34:$F$66,6,FALSE )))*Y28</f>
        <v>142200755.44681659</v>
      </c>
      <c r="Z97" s="164">
        <f>((VLOOKUP($B$76,Energy_demand!$A$34:$F$66,6,FALSE )))*Z28</f>
        <v>121391217.4521573</v>
      </c>
      <c r="AA97" s="164">
        <f>((VLOOKUP($B$76,Energy_demand!$A$34:$F$66,6,FALSE )))*AA28</f>
        <v>97848443.657145977</v>
      </c>
      <c r="AB97" s="164">
        <f>((VLOOKUP($B$76,Energy_demand!$A$34:$F$66,6,FALSE )))*AB28</f>
        <v>75142119.539880857</v>
      </c>
    </row>
    <row r="98" spans="1:28">
      <c r="B98" s="163">
        <v>2029</v>
      </c>
      <c r="C98" s="164">
        <f>((VLOOKUP($B$76,Energy_demand!$A$34:$F$66,6,FALSE )))*C29</f>
        <v>0</v>
      </c>
      <c r="D98" s="164">
        <f>((VLOOKUP($B$76,Energy_demand!$A$34:$F$66,6,FALSE )))*D29</f>
        <v>0</v>
      </c>
      <c r="E98" s="164">
        <f>((VLOOKUP($B$76,Energy_demand!$A$34:$F$66,6,FALSE )))*E29</f>
        <v>0</v>
      </c>
      <c r="F98" s="164">
        <f>((VLOOKUP($B$76,Energy_demand!$A$34:$F$66,6,FALSE )))*F29</f>
        <v>0</v>
      </c>
      <c r="G98" s="164">
        <f>((VLOOKUP($B$76,Energy_demand!$A$34:$F$66,6,FALSE )))*G29</f>
        <v>0</v>
      </c>
      <c r="H98" s="164">
        <f>((VLOOKUP($B$76,Energy_demand!$A$34:$F$66,6,FALSE )))*H29</f>
        <v>0</v>
      </c>
      <c r="I98" s="164">
        <f>((VLOOKUP($B$76,Energy_demand!$A$34:$F$66,6,FALSE )))*I29</f>
        <v>0</v>
      </c>
      <c r="J98" s="164">
        <f>((VLOOKUP($B$76,Energy_demand!$A$34:$F$66,6,FALSE )))*J29</f>
        <v>0</v>
      </c>
      <c r="K98" s="164">
        <f>((VLOOKUP($B$76,Energy_demand!$A$34:$F$66,6,FALSE )))*K29</f>
        <v>0</v>
      </c>
      <c r="L98" s="164">
        <f>((VLOOKUP($B$76,Energy_demand!$A$34:$F$66,6,FALSE )))*L29</f>
        <v>0</v>
      </c>
      <c r="M98" s="164">
        <f>((VLOOKUP($B$76,Energy_demand!$A$34:$F$66,6,FALSE )))*M29</f>
        <v>0</v>
      </c>
      <c r="N98" s="164">
        <f>((VLOOKUP($B$76,Energy_demand!$A$34:$F$66,6,FALSE )))*N29</f>
        <v>0</v>
      </c>
      <c r="O98" s="164">
        <f>((VLOOKUP($B$76,Energy_demand!$A$34:$F$66,6,FALSE )))*O29</f>
        <v>0</v>
      </c>
      <c r="P98" s="164">
        <f>((VLOOKUP($B$76,Energy_demand!$A$34:$F$66,6,FALSE )))*P29</f>
        <v>0</v>
      </c>
      <c r="Q98" s="164">
        <f>((VLOOKUP($B$76,Energy_demand!$A$34:$F$66,6,FALSE )))*Q29</f>
        <v>0</v>
      </c>
      <c r="R98" s="164">
        <f>((VLOOKUP($B$76,Energy_demand!$A$34:$F$66,6,FALSE )))*R29</f>
        <v>0</v>
      </c>
      <c r="S98" s="164">
        <f>((VLOOKUP($B$76,Energy_demand!$A$34:$F$66,6,FALSE )))*S29</f>
        <v>0</v>
      </c>
      <c r="T98" s="164">
        <f>((VLOOKUP($B$76,Energy_demand!$A$34:$F$66,6,FALSE )))*T29</f>
        <v>0</v>
      </c>
      <c r="U98" s="164">
        <f>((VLOOKUP($B$76,Energy_demand!$A$34:$F$66,6,FALSE )))*U29</f>
        <v>0</v>
      </c>
      <c r="V98" s="164">
        <f>((VLOOKUP($B$76,Energy_demand!$A$34:$F$66,6,FALSE )))*V29</f>
        <v>0</v>
      </c>
      <c r="W98" s="164">
        <f>((VLOOKUP($B$76,Energy_demand!$A$34:$F$66,6,FALSE )))*W29</f>
        <v>0</v>
      </c>
      <c r="X98" s="164">
        <f>((VLOOKUP($B$76,Energy_demand!$A$34:$F$66,6,FALSE )))*X29</f>
        <v>0</v>
      </c>
      <c r="Y98" s="164">
        <f>((VLOOKUP($B$76,Energy_demand!$A$34:$F$66,6,FALSE )))*Y29</f>
        <v>153719016.83130771</v>
      </c>
      <c r="Z98" s="164">
        <f>((VLOOKUP($B$76,Energy_demand!$A$34:$F$66,6,FALSE )))*Z29</f>
        <v>142200755.44681659</v>
      </c>
      <c r="AA98" s="164">
        <f>((VLOOKUP($B$76,Energy_demand!$A$34:$F$66,6,FALSE )))*AA29</f>
        <v>121391217.4521573</v>
      </c>
      <c r="AB98" s="164">
        <f>((VLOOKUP($B$76,Energy_demand!$A$34:$F$66,6,FALSE )))*AB29</f>
        <v>97848443.657145977</v>
      </c>
    </row>
    <row r="99" spans="1:28">
      <c r="B99" s="163">
        <v>2030</v>
      </c>
      <c r="C99" s="164">
        <f>((VLOOKUP($B$76,Energy_demand!$A$34:$F$66,6,FALSE )))*C30</f>
        <v>0</v>
      </c>
      <c r="D99" s="164">
        <f>((VLOOKUP($B$76,Energy_demand!$A$34:$F$66,6,FALSE )))*D30</f>
        <v>0</v>
      </c>
      <c r="E99" s="164">
        <f>((VLOOKUP($B$76,Energy_demand!$A$34:$F$66,6,FALSE )))*E30</f>
        <v>0</v>
      </c>
      <c r="F99" s="164">
        <f>((VLOOKUP($B$76,Energy_demand!$A$34:$F$66,6,FALSE )))*F30</f>
        <v>0</v>
      </c>
      <c r="G99" s="164">
        <f>((VLOOKUP($B$76,Energy_demand!$A$34:$F$66,6,FALSE )))*G30</f>
        <v>0</v>
      </c>
      <c r="H99" s="164">
        <f>((VLOOKUP($B$76,Energy_demand!$A$34:$F$66,6,FALSE )))*H30</f>
        <v>0</v>
      </c>
      <c r="I99" s="164">
        <f>((VLOOKUP($B$76,Energy_demand!$A$34:$F$66,6,FALSE )))*I30</f>
        <v>0</v>
      </c>
      <c r="J99" s="164">
        <f>((VLOOKUP($B$76,Energy_demand!$A$34:$F$66,6,FALSE )))*J30</f>
        <v>0</v>
      </c>
      <c r="K99" s="164">
        <f>((VLOOKUP($B$76,Energy_demand!$A$34:$F$66,6,FALSE )))*K30</f>
        <v>0</v>
      </c>
      <c r="L99" s="164">
        <f>((VLOOKUP($B$76,Energy_demand!$A$34:$F$66,6,FALSE )))*L30</f>
        <v>0</v>
      </c>
      <c r="M99" s="164">
        <f>((VLOOKUP($B$76,Energy_demand!$A$34:$F$66,6,FALSE )))*M30</f>
        <v>0</v>
      </c>
      <c r="N99" s="164">
        <f>((VLOOKUP($B$76,Energy_demand!$A$34:$F$66,6,FALSE )))*N30</f>
        <v>0</v>
      </c>
      <c r="O99" s="164">
        <f>((VLOOKUP($B$76,Energy_demand!$A$34:$F$66,6,FALSE )))*O30</f>
        <v>0</v>
      </c>
      <c r="P99" s="164">
        <f>((VLOOKUP($B$76,Energy_demand!$A$34:$F$66,6,FALSE )))*P30</f>
        <v>0</v>
      </c>
      <c r="Q99" s="164">
        <f>((VLOOKUP($B$76,Energy_demand!$A$34:$F$66,6,FALSE )))*Q30</f>
        <v>0</v>
      </c>
      <c r="R99" s="164">
        <f>((VLOOKUP($B$76,Energy_demand!$A$34:$F$66,6,FALSE )))*R30</f>
        <v>0</v>
      </c>
      <c r="S99" s="164">
        <f>((VLOOKUP($B$76,Energy_demand!$A$34:$F$66,6,FALSE )))*S30</f>
        <v>0</v>
      </c>
      <c r="T99" s="164">
        <f>((VLOOKUP($B$76,Energy_demand!$A$34:$F$66,6,FALSE )))*T30</f>
        <v>0</v>
      </c>
      <c r="U99" s="164">
        <f>((VLOOKUP($B$76,Energy_demand!$A$34:$F$66,6,FALSE )))*U30</f>
        <v>0</v>
      </c>
      <c r="V99" s="164">
        <f>((VLOOKUP($B$76,Energy_demand!$A$34:$F$66,6,FALSE )))*V30</f>
        <v>0</v>
      </c>
      <c r="W99" s="164">
        <f>((VLOOKUP($B$76,Energy_demand!$A$34:$F$66,6,FALSE )))*W30</f>
        <v>0</v>
      </c>
      <c r="X99" s="164">
        <f>((VLOOKUP($B$76,Energy_demand!$A$34:$F$66,6,FALSE )))*X30</f>
        <v>0</v>
      </c>
      <c r="Y99" s="164">
        <f>((VLOOKUP($B$76,Energy_demand!$A$34:$F$66,6,FALSE )))*Y30</f>
        <v>0</v>
      </c>
      <c r="Z99" s="164">
        <f>((VLOOKUP($B$76,Energy_demand!$A$34:$F$66,6,FALSE )))*Z30</f>
        <v>153719016.83130771</v>
      </c>
      <c r="AA99" s="164">
        <f>((VLOOKUP($B$76,Energy_demand!$A$34:$F$66,6,FALSE )))*AA30</f>
        <v>142200755.44681659</v>
      </c>
      <c r="AB99" s="164">
        <f>((VLOOKUP($B$76,Energy_demand!$A$34:$F$66,6,FALSE )))*AB30</f>
        <v>121391217.4521573</v>
      </c>
    </row>
    <row r="100" spans="1:28">
      <c r="B100" s="163">
        <v>2031</v>
      </c>
      <c r="C100" s="164">
        <f>((VLOOKUP($B$76,Energy_demand!$A$34:$F$66,6,FALSE )))*C31</f>
        <v>0</v>
      </c>
      <c r="D100" s="164">
        <f>((VLOOKUP($B$76,Energy_demand!$A$34:$F$66,6,FALSE )))*D31</f>
        <v>0</v>
      </c>
      <c r="E100" s="164">
        <f>((VLOOKUP($B$76,Energy_demand!$A$34:$F$66,6,FALSE )))*E31</f>
        <v>0</v>
      </c>
      <c r="F100" s="164">
        <f>((VLOOKUP($B$76,Energy_demand!$A$34:$F$66,6,FALSE )))*F31</f>
        <v>0</v>
      </c>
      <c r="G100" s="164">
        <f>((VLOOKUP($B$76,Energy_demand!$A$34:$F$66,6,FALSE )))*G31</f>
        <v>0</v>
      </c>
      <c r="H100" s="164">
        <f>((VLOOKUP($B$76,Energy_demand!$A$34:$F$66,6,FALSE )))*H31</f>
        <v>0</v>
      </c>
      <c r="I100" s="164">
        <f>((VLOOKUP($B$76,Energy_demand!$A$34:$F$66,6,FALSE )))*I31</f>
        <v>0</v>
      </c>
      <c r="J100" s="164">
        <f>((VLOOKUP($B$76,Energy_demand!$A$34:$F$66,6,FALSE )))*J31</f>
        <v>0</v>
      </c>
      <c r="K100" s="164">
        <f>((VLOOKUP($B$76,Energy_demand!$A$34:$F$66,6,FALSE )))*K31</f>
        <v>0</v>
      </c>
      <c r="L100" s="164">
        <f>((VLOOKUP($B$76,Energy_demand!$A$34:$F$66,6,FALSE )))*L31</f>
        <v>0</v>
      </c>
      <c r="M100" s="164">
        <f>((VLOOKUP($B$76,Energy_demand!$A$34:$F$66,6,FALSE )))*M31</f>
        <v>0</v>
      </c>
      <c r="N100" s="164">
        <f>((VLOOKUP($B$76,Energy_demand!$A$34:$F$66,6,FALSE )))*N31</f>
        <v>0</v>
      </c>
      <c r="O100" s="164">
        <f>((VLOOKUP($B$76,Energy_demand!$A$34:$F$66,6,FALSE )))*O31</f>
        <v>0</v>
      </c>
      <c r="P100" s="164">
        <f>((VLOOKUP($B$76,Energy_demand!$A$34:$F$66,6,FALSE )))*P31</f>
        <v>0</v>
      </c>
      <c r="Q100" s="164">
        <f>((VLOOKUP($B$76,Energy_demand!$A$34:$F$66,6,FALSE )))*Q31</f>
        <v>0</v>
      </c>
      <c r="R100" s="164">
        <f>((VLOOKUP($B$76,Energy_demand!$A$34:$F$66,6,FALSE )))*R31</f>
        <v>0</v>
      </c>
      <c r="S100" s="164">
        <f>((VLOOKUP($B$76,Energy_demand!$A$34:$F$66,6,FALSE )))*S31</f>
        <v>0</v>
      </c>
      <c r="T100" s="164">
        <f>((VLOOKUP($B$76,Energy_demand!$A$34:$F$66,6,FALSE )))*T31</f>
        <v>0</v>
      </c>
      <c r="U100" s="164">
        <f>((VLOOKUP($B$76,Energy_demand!$A$34:$F$66,6,FALSE )))*U31</f>
        <v>0</v>
      </c>
      <c r="V100" s="164">
        <f>((VLOOKUP($B$76,Energy_demand!$A$34:$F$66,6,FALSE )))*V31</f>
        <v>0</v>
      </c>
      <c r="W100" s="164">
        <f>((VLOOKUP($B$76,Energy_demand!$A$34:$F$66,6,FALSE )))*W31</f>
        <v>0</v>
      </c>
      <c r="X100" s="164">
        <f>((VLOOKUP($B$76,Energy_demand!$A$34:$F$66,6,FALSE )))*X31</f>
        <v>0</v>
      </c>
      <c r="Y100" s="164">
        <f>((VLOOKUP($B$76,Energy_demand!$A$34:$F$66,6,FALSE )))*Y31</f>
        <v>0</v>
      </c>
      <c r="Z100" s="164">
        <f>((VLOOKUP($B$76,Energy_demand!$A$34:$F$66,6,FALSE )))*Z31</f>
        <v>0</v>
      </c>
      <c r="AA100" s="164">
        <f>((VLOOKUP($B$76,Energy_demand!$A$34:$F$66,6,FALSE )))*AA31</f>
        <v>153719016.83130771</v>
      </c>
      <c r="AB100" s="164">
        <f>((VLOOKUP($B$76,Energy_demand!$A$34:$F$66,6,FALSE )))*AB31</f>
        <v>142200755.44681659</v>
      </c>
    </row>
    <row r="101" spans="1:28">
      <c r="B101" s="163">
        <v>2032</v>
      </c>
      <c r="C101" s="164">
        <f>((VLOOKUP($B$76,Energy_demand!$A$34:$F$66,6,FALSE )))*C32</f>
        <v>0</v>
      </c>
      <c r="D101" s="164">
        <f>((VLOOKUP($B$76,Energy_demand!$A$34:$F$66,6,FALSE )))*D32</f>
        <v>0</v>
      </c>
      <c r="E101" s="164">
        <f>((VLOOKUP($B$76,Energy_demand!$A$34:$F$66,6,FALSE )))*E32</f>
        <v>0</v>
      </c>
      <c r="F101" s="164">
        <f>((VLOOKUP($B$76,Energy_demand!$A$34:$F$66,6,FALSE )))*F32</f>
        <v>0</v>
      </c>
      <c r="G101" s="164">
        <f>((VLOOKUP($B$76,Energy_demand!$A$34:$F$66,6,FALSE )))*G32</f>
        <v>0</v>
      </c>
      <c r="H101" s="164">
        <f>((VLOOKUP($B$76,Energy_demand!$A$34:$F$66,6,FALSE )))*H32</f>
        <v>0</v>
      </c>
      <c r="I101" s="164">
        <f>((VLOOKUP($B$76,Energy_demand!$A$34:$F$66,6,FALSE )))*I32</f>
        <v>0</v>
      </c>
      <c r="J101" s="164">
        <f>((VLOOKUP($B$76,Energy_demand!$A$34:$F$66,6,FALSE )))*J32</f>
        <v>0</v>
      </c>
      <c r="K101" s="164">
        <f>((VLOOKUP($B$76,Energy_demand!$A$34:$F$66,6,FALSE )))*K32</f>
        <v>0</v>
      </c>
      <c r="L101" s="164">
        <f>((VLOOKUP($B$76,Energy_demand!$A$34:$F$66,6,FALSE )))*L32</f>
        <v>0</v>
      </c>
      <c r="M101" s="164">
        <f>((VLOOKUP($B$76,Energy_demand!$A$34:$F$66,6,FALSE )))*M32</f>
        <v>0</v>
      </c>
      <c r="N101" s="164">
        <f>((VLOOKUP($B$76,Energy_demand!$A$34:$F$66,6,FALSE )))*N32</f>
        <v>0</v>
      </c>
      <c r="O101" s="164">
        <f>((VLOOKUP($B$76,Energy_demand!$A$34:$F$66,6,FALSE )))*O32</f>
        <v>0</v>
      </c>
      <c r="P101" s="164">
        <f>((VLOOKUP($B$76,Energy_demand!$A$34:$F$66,6,FALSE )))*P32</f>
        <v>0</v>
      </c>
      <c r="Q101" s="164">
        <f>((VLOOKUP($B$76,Energy_demand!$A$34:$F$66,6,FALSE )))*Q32</f>
        <v>0</v>
      </c>
      <c r="R101" s="164">
        <f>((VLOOKUP($B$76,Energy_demand!$A$34:$F$66,6,FALSE )))*R32</f>
        <v>0</v>
      </c>
      <c r="S101" s="164">
        <f>((VLOOKUP($B$76,Energy_demand!$A$34:$F$66,6,FALSE )))*S32</f>
        <v>0</v>
      </c>
      <c r="T101" s="164">
        <f>((VLOOKUP($B$76,Energy_demand!$A$34:$F$66,6,FALSE )))*T32</f>
        <v>0</v>
      </c>
      <c r="U101" s="164">
        <f>((VLOOKUP($B$76,Energy_demand!$A$34:$F$66,6,FALSE )))*U32</f>
        <v>0</v>
      </c>
      <c r="V101" s="164">
        <f>((VLOOKUP($B$76,Energy_demand!$A$34:$F$66,6,FALSE )))*V32</f>
        <v>0</v>
      </c>
      <c r="W101" s="164">
        <f>((VLOOKUP($B$76,Energy_demand!$A$34:$F$66,6,FALSE )))*W32</f>
        <v>0</v>
      </c>
      <c r="X101" s="164">
        <f>((VLOOKUP($B$76,Energy_demand!$A$34:$F$66,6,FALSE )))*X32</f>
        <v>0</v>
      </c>
      <c r="Y101" s="164">
        <f>((VLOOKUP($B$76,Energy_demand!$A$34:$F$66,6,FALSE )))*Y32</f>
        <v>0</v>
      </c>
      <c r="Z101" s="164">
        <f>((VLOOKUP($B$76,Energy_demand!$A$34:$F$66,6,FALSE )))*Z32</f>
        <v>0</v>
      </c>
      <c r="AA101" s="164">
        <f>((VLOOKUP($B$76,Energy_demand!$A$34:$F$66,6,FALSE )))*AA32</f>
        <v>0</v>
      </c>
      <c r="AB101" s="164">
        <f>((VLOOKUP($B$76,Energy_demand!$A$34:$F$66,6,FALSE )))*AB32</f>
        <v>153719016.83130771</v>
      </c>
    </row>
    <row r="103" spans="1:28" ht="21">
      <c r="B103" s="52" t="s">
        <v>7763</v>
      </c>
    </row>
    <row r="104" spans="1:28">
      <c r="A104" s="1" t="s">
        <v>7762</v>
      </c>
      <c r="B104" s="163">
        <v>2007</v>
      </c>
      <c r="C104" s="164">
        <f>(C76*Emissions_factors!$E$20)/1000</f>
        <v>1845.2438881657959</v>
      </c>
      <c r="D104" s="164">
        <f>(D76*Emissions_factors!$E$20)/1000</f>
        <v>1706.9786178033617</v>
      </c>
      <c r="E104" s="164">
        <f>(E76*Emissions_factors!$E$20)/1000</f>
        <v>1457.1808140460173</v>
      </c>
      <c r="F104" s="164">
        <f>(F76*Emissions_factors!$E$20)/1000</f>
        <v>1174.5732333366748</v>
      </c>
      <c r="G104" s="164">
        <f>(G76*Emissions_factors!$E$20)/1000</f>
        <v>902.00639896721611</v>
      </c>
      <c r="H104" s="164">
        <f>(H76*Emissions_factors!$E$20)/1000</f>
        <v>663.48810308857651</v>
      </c>
      <c r="I104" s="164">
        <f>(I76*Emissions_factors!$E$20)/1000</f>
        <v>469.20906599894079</v>
      </c>
      <c r="J104" s="164">
        <f>(J76*Emissions_factors!$E$20)/1000</f>
        <v>319.90468870436513</v>
      </c>
      <c r="K104" s="164">
        <f>(K76*Emissions_factors!$E$20)/1000</f>
        <v>210.74170953175451</v>
      </c>
      <c r="L104" s="164">
        <f>(L76*Emissions_factors!$E$20)/1000</f>
        <v>134.38026473866131</v>
      </c>
      <c r="M104" s="164">
        <f>(M76*Emissions_factors!$E$20)/1000</f>
        <v>83.067018474890645</v>
      </c>
      <c r="N104" s="164">
        <f>(N76*Emissions_factors!$E$20)/1000</f>
        <v>49.841155470883784</v>
      </c>
      <c r="O104" s="164">
        <f>(O76*Emissions_factors!$E$20)/1000</f>
        <v>29.060209851505572</v>
      </c>
      <c r="P104" s="164">
        <f>(P76*Emissions_factors!$E$20)/1000</f>
        <v>16.481135164984977</v>
      </c>
      <c r="Q104" s="164">
        <f>(Q76*Emissions_factors!$E$20)/1000</f>
        <v>9.0998159449394329</v>
      </c>
      <c r="R104" s="164">
        <f>(R76*Emissions_factors!$E$20)/1000</f>
        <v>4.8952593516549587</v>
      </c>
      <c r="S104" s="164">
        <f>(S76*Emissions_factors!$E$20)/1000</f>
        <v>2.5675824637418034</v>
      </c>
      <c r="T104" s="164">
        <f>(T76*Emissions_factors!$E$20)/1000</f>
        <v>1.3138904500920798</v>
      </c>
      <c r="U104" s="164">
        <f>(U76*Emissions_factors!$E$20)/1000</f>
        <v>0.65635209507135084</v>
      </c>
      <c r="V104" s="164">
        <f>(V76*Emissions_factors!$E$20)/1000</f>
        <v>0.32025366573638153</v>
      </c>
      <c r="W104" s="164">
        <f>(W76*Emissions_factors!$E$20)/1000</f>
        <v>0.15270373836293993</v>
      </c>
      <c r="X104" s="164">
        <f>(X76*Emissions_factors!$E$20)/1000</f>
        <v>7.1188000569926149E-2</v>
      </c>
      <c r="Y104" s="164">
        <f>(Y76*Emissions_factors!$E$20)/1000</f>
        <v>3.2460482047086361E-2</v>
      </c>
      <c r="Z104" s="164">
        <f>(Z76*Emissions_factors!$E$20)/1000</f>
        <v>1.4483429751841971E-2</v>
      </c>
      <c r="AA104" s="164">
        <f>(AA76*Emissions_factors!$E$20)/1000</f>
        <v>6.3259018410423253E-3</v>
      </c>
      <c r="AB104" s="164">
        <f>(AB76*Emissions_factors!$E$20)/1000</f>
        <v>2.7056058107759692E-3</v>
      </c>
    </row>
    <row r="105" spans="1:28">
      <c r="B105" s="163">
        <v>2008</v>
      </c>
      <c r="C105" s="164">
        <f>(C77*Emissions_factors!$E$20)/1000</f>
        <v>0</v>
      </c>
      <c r="D105" s="164">
        <f>(D77*Emissions_factors!$E$20)/1000</f>
        <v>2951.3619001922139</v>
      </c>
      <c r="E105" s="164">
        <f>(E77*Emissions_factors!$E$20)/1000</f>
        <v>2730.2145203338828</v>
      </c>
      <c r="F105" s="164">
        <f>(F77*Emissions_factors!$E$20)/1000</f>
        <v>2330.6772420969387</v>
      </c>
      <c r="G105" s="164">
        <f>(G77*Emissions_factors!$E$20)/1000</f>
        <v>1878.6626050290249</v>
      </c>
      <c r="H105" s="164">
        <f>(H77*Emissions_factors!$E$20)/1000</f>
        <v>1442.7075665795262</v>
      </c>
      <c r="I105" s="164">
        <f>(I77*Emissions_factors!$E$20)/1000</f>
        <v>1061.2112150838261</v>
      </c>
      <c r="J105" s="164">
        <f>(J77*Emissions_factors!$E$20)/1000</f>
        <v>750.47302391586209</v>
      </c>
      <c r="K105" s="164">
        <f>(K77*Emissions_factors!$E$20)/1000</f>
        <v>511.66922485971173</v>
      </c>
      <c r="L105" s="164">
        <f>(L77*Emissions_factors!$E$20)/1000</f>
        <v>337.06929272728729</v>
      </c>
      <c r="M105" s="164">
        <f>(M77*Emissions_factors!$E$20)/1000</f>
        <v>214.93353590330011</v>
      </c>
      <c r="N105" s="164">
        <f>(N77*Emissions_factors!$E$20)/1000</f>
        <v>132.86093782055497</v>
      </c>
      <c r="O105" s="164">
        <f>(O77*Emissions_factors!$E$20)/1000</f>
        <v>79.718073183562908</v>
      </c>
      <c r="P105" s="164">
        <f>(P77*Emissions_factors!$E$20)/1000</f>
        <v>46.480141035761967</v>
      </c>
      <c r="Q105" s="164">
        <f>(Q77*Emissions_factors!$E$20)/1000</f>
        <v>26.360631626969134</v>
      </c>
      <c r="R105" s="164">
        <f>(R77*Emissions_factors!$E$20)/1000</f>
        <v>14.554634349908087</v>
      </c>
      <c r="S105" s="164">
        <f>(S77*Emissions_factors!$E$20)/1000</f>
        <v>7.8296869236051627</v>
      </c>
      <c r="T105" s="164">
        <f>(T77*Emissions_factors!$E$20)/1000</f>
        <v>4.1067010749574901</v>
      </c>
      <c r="U105" s="164">
        <f>(U77*Emissions_factors!$E$20)/1000</f>
        <v>2.1014925128855073</v>
      </c>
      <c r="V105" s="164">
        <f>(V77*Emissions_factors!$E$20)/1000</f>
        <v>1.0497975790238034</v>
      </c>
      <c r="W105" s="164">
        <f>(W77*Emissions_factors!$E$20)/1000</f>
        <v>0.51222739363238234</v>
      </c>
      <c r="X105" s="164">
        <f>(X77*Emissions_factors!$E$20)/1000</f>
        <v>0.24424088236340868</v>
      </c>
      <c r="Y105" s="164">
        <f>(Y77*Emissions_factors!$E$20)/1000</f>
        <v>0.11386112913333431</v>
      </c>
      <c r="Z105" s="164">
        <f>(Z77*Emissions_factors!$E$20)/1000</f>
        <v>5.1918681638812254E-2</v>
      </c>
      <c r="AA105" s="164">
        <f>(AA77*Emissions_factors!$E$20)/1000</f>
        <v>2.3165416250849565E-2</v>
      </c>
      <c r="AB105" s="164">
        <f>(AB77*Emissions_factors!$E$20)/1000</f>
        <v>1.0117917635574137E-2</v>
      </c>
    </row>
    <row r="106" spans="1:28">
      <c r="B106" s="163">
        <v>2009</v>
      </c>
      <c r="C106" s="164">
        <f>(C78*Emissions_factors!$E$20)/1000</f>
        <v>0</v>
      </c>
      <c r="D106" s="164">
        <f>(D78*Emissions_factors!$E$20)/1000</f>
        <v>0</v>
      </c>
      <c r="E106" s="164">
        <f>(E78*Emissions_factors!$E$20)/1000</f>
        <v>2806.5761755407261</v>
      </c>
      <c r="F106" s="164">
        <f>(F78*Emissions_factors!$E$20)/1000</f>
        <v>2596.2776799366375</v>
      </c>
      <c r="G106" s="164">
        <f>(G78*Emissions_factors!$E$20)/1000</f>
        <v>2216.3406053721242</v>
      </c>
      <c r="H106" s="164">
        <f>(H78*Emissions_factors!$E$20)/1000</f>
        <v>1786.5005673517528</v>
      </c>
      <c r="I106" s="164">
        <f>(I78*Emissions_factors!$E$20)/1000</f>
        <v>1371.9322880635987</v>
      </c>
      <c r="J106" s="164">
        <f>(J78*Emissions_factors!$E$20)/1000</f>
        <v>1009.151101827573</v>
      </c>
      <c r="K106" s="164">
        <f>(K78*Emissions_factors!$E$20)/1000</f>
        <v>713.65687453344481</v>
      </c>
      <c r="L106" s="164">
        <f>(L78*Emissions_factors!$E$20)/1000</f>
        <v>486.56813525821167</v>
      </c>
      <c r="M106" s="164">
        <f>(M78*Emissions_factors!$E$20)/1000</f>
        <v>320.53359718886276</v>
      </c>
      <c r="N106" s="164">
        <f>(N78*Emissions_factors!$E$20)/1000</f>
        <v>204.38948580031575</v>
      </c>
      <c r="O106" s="164">
        <f>(O78*Emissions_factors!$E$20)/1000</f>
        <v>126.34314440492118</v>
      </c>
      <c r="P106" s="164">
        <f>(P78*Emissions_factors!$E$20)/1000</f>
        <v>75.807323033623391</v>
      </c>
      <c r="Q106" s="164">
        <f>(Q78*Emissions_factors!$E$20)/1000</f>
        <v>44.199952726314777</v>
      </c>
      <c r="R106" s="164">
        <f>(R78*Emissions_factors!$E$20)/1000</f>
        <v>25.067451298208677</v>
      </c>
      <c r="S106" s="164">
        <f>(S78*Emissions_factors!$E$20)/1000</f>
        <v>13.840623885365723</v>
      </c>
      <c r="T106" s="164">
        <f>(T78*Emissions_factors!$E$20)/1000</f>
        <v>7.445583945602154</v>
      </c>
      <c r="U106" s="164">
        <f>(U78*Emissions_factors!$E$20)/1000</f>
        <v>3.9052375773681107</v>
      </c>
      <c r="V106" s="164">
        <f>(V78*Emissions_factors!$E$20)/1000</f>
        <v>1.9983990507424925</v>
      </c>
      <c r="W106" s="164">
        <f>(W78*Emissions_factors!$E$20)/1000</f>
        <v>0.99829738746598728</v>
      </c>
      <c r="X106" s="164">
        <f>(X78*Emissions_factors!$E$20)/1000</f>
        <v>0.48709892180092812</v>
      </c>
      <c r="Y106" s="164">
        <f>(Y78*Emissions_factors!$E$20)/1000</f>
        <v>0.23225909417938362</v>
      </c>
      <c r="Z106" s="164">
        <f>(Z78*Emissions_factors!$E$20)/1000</f>
        <v>0.1082754142502721</v>
      </c>
      <c r="AA106" s="164">
        <f>(AA78*Emissions_factors!$E$20)/1000</f>
        <v>4.9371693435320246E-2</v>
      </c>
      <c r="AB106" s="164">
        <f>(AB78*Emissions_factors!$E$20)/1000</f>
        <v>2.2028984429826814E-2</v>
      </c>
    </row>
    <row r="107" spans="1:28">
      <c r="B107" s="163">
        <v>2010</v>
      </c>
      <c r="C107" s="164">
        <f>(C79*Emissions_factors!$E$20)/1000</f>
        <v>0</v>
      </c>
      <c r="D107" s="164">
        <f>(D79*Emissions_factors!$E$20)/1000</f>
        <v>0</v>
      </c>
      <c r="E107" s="164">
        <f>(E79*Emissions_factors!$E$20)/1000</f>
        <v>0</v>
      </c>
      <c r="F107" s="164">
        <f>(F79*Emissions_factors!$E$20)/1000</f>
        <v>3241.5374205526591</v>
      </c>
      <c r="G107" s="164">
        <f>(G79*Emissions_factors!$E$20)/1000</f>
        <v>2998.6470087664038</v>
      </c>
      <c r="H107" s="164">
        <f>(H79*Emissions_factors!$E$20)/1000</f>
        <v>2559.827547748605</v>
      </c>
      <c r="I107" s="164">
        <f>(I79*Emissions_factors!$E$20)/1000</f>
        <v>2063.3711963273354</v>
      </c>
      <c r="J107" s="164">
        <f>(J79*Emissions_factors!$E$20)/1000</f>
        <v>1584.5534103009966</v>
      </c>
      <c r="K107" s="164">
        <f>(K79*Emissions_factors!$E$20)/1000</f>
        <v>1165.5486453831179</v>
      </c>
      <c r="L107" s="164">
        <f>(L79*Emissions_factors!$E$20)/1000</f>
        <v>824.25892601654311</v>
      </c>
      <c r="M107" s="164">
        <f>(M79*Emissions_factors!$E$20)/1000</f>
        <v>561.97613014517447</v>
      </c>
      <c r="N107" s="164">
        <f>(N79*Emissions_factors!$E$20)/1000</f>
        <v>370.20967358274868</v>
      </c>
      <c r="O107" s="164">
        <f>(O79*Emissions_factors!$E$20)/1000</f>
        <v>236.0656277079645</v>
      </c>
      <c r="P107" s="164">
        <f>(P79*Emissions_factors!$E$20)/1000</f>
        <v>145.92371801201355</v>
      </c>
      <c r="Q107" s="164">
        <f>(Q79*Emissions_factors!$E$20)/1000</f>
        <v>87.555889808716884</v>
      </c>
      <c r="R107" s="164">
        <f>(R79*Emissions_factors!$E$20)/1000</f>
        <v>51.050030994225125</v>
      </c>
      <c r="S107" s="164">
        <f>(S79*Emissions_factors!$E$20)/1000</f>
        <v>28.952387656240777</v>
      </c>
      <c r="T107" s="164">
        <f>(T79*Emissions_factors!$E$20)/1000</f>
        <v>15.985634254008476</v>
      </c>
      <c r="U107" s="164">
        <f>(U79*Emissions_factors!$E$20)/1000</f>
        <v>8.5994954235958083</v>
      </c>
      <c r="V107" s="164">
        <f>(V79*Emissions_factors!$E$20)/1000</f>
        <v>4.5104686106544793</v>
      </c>
      <c r="W107" s="164">
        <f>(W79*Emissions_factors!$E$20)/1000</f>
        <v>2.3081095609067681</v>
      </c>
      <c r="X107" s="164">
        <f>(X79*Emissions_factors!$E$20)/1000</f>
        <v>1.1530128298361586</v>
      </c>
      <c r="Y107" s="164">
        <f>(Y79*Emissions_factors!$E$20)/1000</f>
        <v>0.56258917762114746</v>
      </c>
      <c r="Z107" s="164">
        <f>(Z79*Emissions_factors!$E$20)/1000</f>
        <v>0.26825444882182264</v>
      </c>
      <c r="AA107" s="164">
        <f>(AA79*Emissions_factors!$E$20)/1000</f>
        <v>0.12505586346697922</v>
      </c>
      <c r="AB107" s="164">
        <f>(AB79*Emissions_factors!$E$20)/1000</f>
        <v>5.7023284520617251E-2</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11708.715477221163</v>
      </c>
      <c r="H108" s="164">
        <f>(H80*Emissions_factors!$E$20)/1000</f>
        <v>10831.374155872025</v>
      </c>
      <c r="I108" s="164">
        <f>(I80*Emissions_factors!$E$20)/1000</f>
        <v>9246.3200447123399</v>
      </c>
      <c r="J108" s="164">
        <f>(J80*Emissions_factors!$E$20)/1000</f>
        <v>7453.0764656640013</v>
      </c>
      <c r="K108" s="164">
        <f>(K80*Emissions_factors!$E$20)/1000</f>
        <v>5723.544921012106</v>
      </c>
      <c r="L108" s="164">
        <f>(L80*Emissions_factors!$E$20)/1000</f>
        <v>4210.0632178803435</v>
      </c>
      <c r="M108" s="164">
        <f>(M80*Emissions_factors!$E$20)/1000</f>
        <v>2977.2950276915708</v>
      </c>
      <c r="N108" s="164">
        <f>(N80*Emissions_factors!$E$20)/1000</f>
        <v>2029.9067260922789</v>
      </c>
      <c r="O108" s="164">
        <f>(O80*Emissions_factors!$E$20)/1000</f>
        <v>1337.229583533943</v>
      </c>
      <c r="P108" s="164">
        <f>(P80*Emissions_factors!$E$20)/1000</f>
        <v>852.68960686960895</v>
      </c>
      <c r="Q108" s="164">
        <f>(Q80*Emissions_factors!$E$20)/1000</f>
        <v>527.08917834723593</v>
      </c>
      <c r="R108" s="164">
        <f>(R80*Emissions_factors!$E$20)/1000</f>
        <v>316.25949946627793</v>
      </c>
      <c r="S108" s="164">
        <f>(S80*Emissions_factors!$E$20)/1000</f>
        <v>184.39715803521253</v>
      </c>
      <c r="T108" s="164">
        <f>(T80*Emissions_factors!$E$20)/1000</f>
        <v>104.57854575540796</v>
      </c>
      <c r="U108" s="164">
        <f>(U80*Emissions_factors!$E$20)/1000</f>
        <v>57.741503157225445</v>
      </c>
      <c r="V108" s="164">
        <f>(V80*Emissions_factors!$E$20)/1000</f>
        <v>31.062126423140914</v>
      </c>
      <c r="W108" s="164">
        <f>(W80*Emissions_factors!$E$20)/1000</f>
        <v>16.292205450488463</v>
      </c>
      <c r="X108" s="164">
        <f>(X80*Emissions_factors!$E$20)/1000</f>
        <v>8.3370927534452619</v>
      </c>
      <c r="Y108" s="164">
        <f>(Y80*Emissions_factors!$E$20)/1000</f>
        <v>4.164782760346939</v>
      </c>
      <c r="Z108" s="164">
        <f>(Z80*Emissions_factors!$E$20)/1000</f>
        <v>2.0321211069674416</v>
      </c>
      <c r="AA108" s="164">
        <f>(AA80*Emissions_factors!$E$20)/1000</f>
        <v>0.96895843214359778</v>
      </c>
      <c r="AB108" s="164">
        <f>(AB80*Emissions_factors!$E$20)/1000</f>
        <v>0.45171267029316992</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27731.966247686036</v>
      </c>
      <c r="I109" s="164">
        <f>(I81*Emissions_factors!$E$20)/1000</f>
        <v>25653.992796312275</v>
      </c>
      <c r="J109" s="164">
        <f>(J81*Emissions_factors!$E$20)/1000</f>
        <v>21899.809239887811</v>
      </c>
      <c r="K109" s="164">
        <f>(K81*Emissions_factors!$E$20)/1000</f>
        <v>17652.531175543667</v>
      </c>
      <c r="L109" s="164">
        <f>(L81*Emissions_factors!$E$20)/1000</f>
        <v>13556.154377089098</v>
      </c>
      <c r="M109" s="164">
        <f>(M81*Emissions_factors!$E$20)/1000</f>
        <v>9971.4892966714469</v>
      </c>
      <c r="N109" s="164">
        <f>(N81*Emissions_factors!$E$20)/1000</f>
        <v>7051.6911422073081</v>
      </c>
      <c r="O109" s="164">
        <f>(O81*Emissions_factors!$E$20)/1000</f>
        <v>4807.81217405601</v>
      </c>
      <c r="P109" s="164">
        <f>(P81*Emissions_factors!$E$20)/1000</f>
        <v>3167.2138372578961</v>
      </c>
      <c r="Q109" s="164">
        <f>(Q81*Emissions_factors!$E$20)/1000</f>
        <v>2019.5861316695657</v>
      </c>
      <c r="R109" s="164">
        <f>(R81*Emissions_factors!$E$20)/1000</f>
        <v>1248.4050305845526</v>
      </c>
      <c r="S109" s="164">
        <f>(S81*Emissions_factors!$E$20)/1000</f>
        <v>749.05721142268351</v>
      </c>
      <c r="T109" s="164">
        <f>(T81*Emissions_factors!$E$20)/1000</f>
        <v>436.74267879770684</v>
      </c>
      <c r="U109" s="164">
        <f>(U81*Emissions_factors!$E$20)/1000</f>
        <v>247.69315701310066</v>
      </c>
      <c r="V109" s="164">
        <f>(V81*Emissions_factors!$E$20)/1000</f>
        <v>136.76012708328844</v>
      </c>
      <c r="W109" s="164">
        <f>(W81*Emissions_factors!$E$20)/1000</f>
        <v>73.570311211656517</v>
      </c>
      <c r="X109" s="164">
        <f>(X81*Emissions_factors!$E$20)/1000</f>
        <v>38.587912784480949</v>
      </c>
      <c r="Y109" s="164">
        <f>(Y81*Emissions_factors!$E$20)/1000</f>
        <v>19.746314212875859</v>
      </c>
      <c r="Z109" s="164">
        <f>(Z81*Emissions_factors!$E$20)/1000</f>
        <v>9.8642430216689405</v>
      </c>
      <c r="AA109" s="164">
        <f>(AA81*Emissions_factors!$E$20)/1000</f>
        <v>4.8130569112612998</v>
      </c>
      <c r="AB109" s="164">
        <f>(AB81*Emissions_factors!$E$20)/1000</f>
        <v>2.2949675895612738</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45330.607616107387</v>
      </c>
      <c r="J110" s="164">
        <f>(J82*Emissions_factors!$E$20)/1000</f>
        <v>41933.957038949993</v>
      </c>
      <c r="K110" s="164">
        <f>(K82*Emissions_factors!$E$20)/1000</f>
        <v>35797.377317368948</v>
      </c>
      <c r="L110" s="164">
        <f>(L82*Emissions_factors!$E$20)/1000</f>
        <v>28854.786458440958</v>
      </c>
      <c r="M110" s="164">
        <f>(M82*Emissions_factors!$E$20)/1000</f>
        <v>22158.858458241397</v>
      </c>
      <c r="N110" s="164">
        <f>(N82*Emissions_factors!$E$20)/1000</f>
        <v>16299.373243804668</v>
      </c>
      <c r="O110" s="164">
        <f>(O82*Emissions_factors!$E$20)/1000</f>
        <v>11526.677962261399</v>
      </c>
      <c r="P110" s="164">
        <f>(P82*Emissions_factors!$E$20)/1000</f>
        <v>7858.8386127241256</v>
      </c>
      <c r="Q110" s="164">
        <f>(Q82*Emissions_factors!$E$20)/1000</f>
        <v>5177.1203819715865</v>
      </c>
      <c r="R110" s="164">
        <f>(R82*Emissions_factors!$E$20)/1000</f>
        <v>3301.2107999837258</v>
      </c>
      <c r="S110" s="164">
        <f>(S82*Emissions_factors!$E$20)/1000</f>
        <v>2040.6399633536575</v>
      </c>
      <c r="T110" s="164">
        <f>(T82*Emissions_factors!$E$20)/1000</f>
        <v>1224.4071779746414</v>
      </c>
      <c r="U110" s="164">
        <f>(U82*Emissions_factors!$E$20)/1000</f>
        <v>713.89856835118599</v>
      </c>
      <c r="V110" s="164">
        <f>(V82*Emissions_factors!$E$20)/1000</f>
        <v>404.87865914277239</v>
      </c>
      <c r="W110" s="164">
        <f>(W82*Emissions_factors!$E$20)/1000</f>
        <v>223.54778608093869</v>
      </c>
      <c r="X110" s="164">
        <f>(X82*Emissions_factors!$E$20)/1000</f>
        <v>120.25785982661006</v>
      </c>
      <c r="Y110" s="164">
        <f>(Y82*Emissions_factors!$E$20)/1000</f>
        <v>63.07571261031066</v>
      </c>
      <c r="Z110" s="164">
        <f>(Z82*Emissions_factors!$E$20)/1000</f>
        <v>32.277279348085479</v>
      </c>
      <c r="AA110" s="164">
        <f>(AA82*Emissions_factors!$E$20)/1000</f>
        <v>16.124068731783876</v>
      </c>
      <c r="AB110" s="164">
        <f>(AB82*Emissions_factors!$E$20)/1000</f>
        <v>7.8674116479780709</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46843.676163526638</v>
      </c>
      <c r="K111" s="164">
        <f>(K83*Emissions_factors!$E$20)/1000</f>
        <v>43333.650420556463</v>
      </c>
      <c r="L111" s="164">
        <f>(L83*Emissions_factors!$E$20)/1000</f>
        <v>36992.240756167506</v>
      </c>
      <c r="M111" s="164">
        <f>(M83*Emissions_factors!$E$20)/1000</f>
        <v>29817.916496372607</v>
      </c>
      <c r="N111" s="164">
        <f>(N83*Emissions_factors!$E$20)/1000</f>
        <v>22898.488336221821</v>
      </c>
      <c r="O111" s="164">
        <f>(O83*Emissions_factors!$E$20)/1000</f>
        <v>16843.422183247618</v>
      </c>
      <c r="P111" s="164">
        <f>(P83*Emissions_factors!$E$20)/1000</f>
        <v>11911.421401586736</v>
      </c>
      <c r="Q111" s="164">
        <f>(Q83*Emissions_factors!$E$20)/1000</f>
        <v>8121.1550066462669</v>
      </c>
      <c r="R111" s="164">
        <f>(R83*Emissions_factors!$E$20)/1000</f>
        <v>5349.9249929863508</v>
      </c>
      <c r="S111" s="164">
        <f>(S83*Emissions_factors!$E$20)/1000</f>
        <v>3411.4003273811318</v>
      </c>
      <c r="T111" s="164">
        <f>(T83*Emissions_factors!$E$20)/1000</f>
        <v>2108.7535031346697</v>
      </c>
      <c r="U111" s="164">
        <f>(U83*Emissions_factors!$E$20)/1000</f>
        <v>1265.276076223636</v>
      </c>
      <c r="V111" s="164">
        <f>(V83*Emissions_factors!$E$20)/1000</f>
        <v>737.72744527618863</v>
      </c>
      <c r="W111" s="164">
        <f>(W83*Emissions_factors!$E$20)/1000</f>
        <v>418.39290915808721</v>
      </c>
      <c r="X111" s="164">
        <f>(X83*Emissions_factors!$E$20)/1000</f>
        <v>231.00948010517862</v>
      </c>
      <c r="Y111" s="164">
        <f>(Y83*Emissions_factors!$E$20)/1000</f>
        <v>124.27188908526354</v>
      </c>
      <c r="Z111" s="164">
        <f>(Z83*Emissions_factors!$E$20)/1000</f>
        <v>65.181086481866814</v>
      </c>
      <c r="AA111" s="164">
        <f>(AA83*Emissions_factors!$E$20)/1000</f>
        <v>33.354647129948155</v>
      </c>
      <c r="AB111" s="164">
        <f>(AB83*Emissions_factors!$E$20)/1000</f>
        <v>16.662266266242238</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43411.314894672963</v>
      </c>
      <c r="L112" s="164">
        <f>(L84*Emissions_factors!$E$20)/1000</f>
        <v>40158.478112936158</v>
      </c>
      <c r="M112" s="164">
        <f>(M84*Emissions_factors!$E$20)/1000</f>
        <v>34281.720472141591</v>
      </c>
      <c r="N112" s="164">
        <f>(N84*Emissions_factors!$E$20)/1000</f>
        <v>27633.078113006122</v>
      </c>
      <c r="O112" s="164">
        <f>(O84*Emissions_factors!$E$20)/1000</f>
        <v>21220.654935483268</v>
      </c>
      <c r="P112" s="164">
        <f>(P84*Emissions_factors!$E$20)/1000</f>
        <v>15609.25965221757</v>
      </c>
      <c r="Q112" s="164">
        <f>(Q84*Emissions_factors!$E$20)/1000</f>
        <v>11038.639740875946</v>
      </c>
      <c r="R112" s="164">
        <f>(R84*Emissions_factors!$E$20)/1000</f>
        <v>7526.0962882429149</v>
      </c>
      <c r="S112" s="164">
        <f>(S84*Emissions_factors!$E$20)/1000</f>
        <v>4957.9216994554235</v>
      </c>
      <c r="T112" s="164">
        <f>(T84*Emissions_factors!$E$20)/1000</f>
        <v>3161.4379137699066</v>
      </c>
      <c r="U112" s="164">
        <f>(U84*Emissions_factors!$E$20)/1000</f>
        <v>1954.2395016192511</v>
      </c>
      <c r="V112" s="164">
        <f>(V84*Emissions_factors!$E$20)/1000</f>
        <v>1172.5659186502514</v>
      </c>
      <c r="W112" s="164">
        <f>(W84*Emissions_factors!$E$20)/1000</f>
        <v>683.67218493972644</v>
      </c>
      <c r="X112" s="164">
        <f>(X84*Emissions_factors!$E$20)/1000</f>
        <v>387.73614320436417</v>
      </c>
      <c r="Y112" s="164">
        <f>(Y84*Emissions_factors!$E$20)/1000</f>
        <v>214.08279848687278</v>
      </c>
      <c r="Z112" s="164">
        <f>(Z84*Emissions_factors!$E$20)/1000</f>
        <v>115.16615585001298</v>
      </c>
      <c r="AA112" s="164">
        <f>(AA84*Emissions_factors!$E$20)/1000</f>
        <v>60.405094180981642</v>
      </c>
      <c r="AB112" s="164">
        <f>(AB84*Emissions_factors!$E$20)/1000</f>
        <v>30.910663046686651</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40568.708885478794</v>
      </c>
      <c r="M113" s="164">
        <f>(M85*Emissions_factors!$E$20)/1000</f>
        <v>37528.870337154811</v>
      </c>
      <c r="N113" s="164">
        <f>(N85*Emissions_factors!$E$20)/1000</f>
        <v>32036.927268893509</v>
      </c>
      <c r="O113" s="164">
        <f>(O85*Emissions_factors!$E$20)/1000</f>
        <v>25823.643082366176</v>
      </c>
      <c r="P113" s="164">
        <f>(P85*Emissions_factors!$E$20)/1000</f>
        <v>19831.110265274656</v>
      </c>
      <c r="Q113" s="164">
        <f>(Q85*Emissions_factors!$E$20)/1000</f>
        <v>14587.15342497886</v>
      </c>
      <c r="R113" s="164">
        <f>(R85*Emissions_factors!$E$20)/1000</f>
        <v>10315.821191452234</v>
      </c>
      <c r="S113" s="164">
        <f>(S85*Emissions_factors!$E$20)/1000</f>
        <v>7033.2817631210673</v>
      </c>
      <c r="T113" s="164">
        <f>(T85*Emissions_factors!$E$20)/1000</f>
        <v>4633.2732051589383</v>
      </c>
      <c r="U113" s="164">
        <f>(U85*Emissions_factors!$E$20)/1000</f>
        <v>2954.4245479416486</v>
      </c>
      <c r="V113" s="164">
        <f>(V85*Emissions_factors!$E$20)/1000</f>
        <v>1826.2744085511031</v>
      </c>
      <c r="W113" s="164">
        <f>(W85*Emissions_factors!$E$20)/1000</f>
        <v>1095.7854079788158</v>
      </c>
      <c r="X113" s="164">
        <f>(X85*Emissions_factors!$E$20)/1000</f>
        <v>638.90480883182033</v>
      </c>
      <c r="Y113" s="164">
        <f>(Y85*Emissions_factors!$E$20)/1000</f>
        <v>362.34688482026144</v>
      </c>
      <c r="Z113" s="164">
        <f>(Z85*Emissions_factors!$E$20)/1000</f>
        <v>200.06449356060193</v>
      </c>
      <c r="AA113" s="164">
        <f>(AA85*Emissions_factors!$E$20)/1000</f>
        <v>107.6249881275119</v>
      </c>
      <c r="AB113" s="164">
        <f>(AB85*Emissions_factors!$E$20)/1000</f>
        <v>56.449722542932768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33564.952568096727</v>
      </c>
      <c r="N114" s="164">
        <f>(N86*Emissions_factors!$E$20)/1000</f>
        <v>31049.909829684908</v>
      </c>
      <c r="O114" s="164">
        <f>(O86*Emissions_factors!$E$20)/1000</f>
        <v>26506.092349241015</v>
      </c>
      <c r="P114" s="164">
        <f>(P86*Emissions_factors!$E$20)/1000</f>
        <v>21365.465626275629</v>
      </c>
      <c r="Q114" s="164">
        <f>(Q86*Emissions_factors!$E$20)/1000</f>
        <v>16407.479895543245</v>
      </c>
      <c r="R114" s="164">
        <f>(R86*Emissions_factors!$E$20)/1000</f>
        <v>12068.836457061105</v>
      </c>
      <c r="S114" s="164">
        <f>(S86*Emissions_factors!$E$20)/1000</f>
        <v>8534.9043266200279</v>
      </c>
      <c r="T114" s="164">
        <f>(T86*Emissions_factors!$E$20)/1000</f>
        <v>5819.0604350664498</v>
      </c>
      <c r="U114" s="164">
        <f>(U86*Emissions_factors!$E$20)/1000</f>
        <v>3833.3878409884201</v>
      </c>
      <c r="V114" s="164">
        <f>(V86*Emissions_factors!$E$20)/1000</f>
        <v>2444.3745571892559</v>
      </c>
      <c r="W114" s="164">
        <f>(W86*Emissions_factors!$E$20)/1000</f>
        <v>1510.9875463965786</v>
      </c>
      <c r="X114" s="164">
        <f>(X86*Emissions_factors!$E$20)/1000</f>
        <v>906.60970620108981</v>
      </c>
      <c r="Y114" s="164">
        <f>(Y86*Emissions_factors!$E$20)/1000</f>
        <v>528.60468555963666</v>
      </c>
      <c r="Z114" s="164">
        <f>(Z86*Emissions_factors!$E$20)/1000</f>
        <v>299.79154713851443</v>
      </c>
      <c r="AA114" s="164">
        <f>(AA86*Emissions_factors!$E$20)/1000</f>
        <v>165.52548556272953</v>
      </c>
      <c r="AB114" s="164">
        <f>(AB86*Emissions_factors!$E$20)/1000</f>
        <v>89.044678050746313</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34259.542752690199</v>
      </c>
      <c r="O115" s="164">
        <f>(O87*Emissions_factors!$E$20)/1000</f>
        <v>31692.453940434243</v>
      </c>
      <c r="P115" s="164">
        <f>(P87*Emissions_factors!$E$20)/1000</f>
        <v>27054.607099570501</v>
      </c>
      <c r="Q115" s="164">
        <f>(Q87*Emissions_factors!$E$20)/1000</f>
        <v>21807.60069806434</v>
      </c>
      <c r="R115" s="164">
        <f>(R87*Emissions_factors!$E$20)/1000</f>
        <v>16747.014845465721</v>
      </c>
      <c r="S115" s="164">
        <f>(S87*Emissions_factors!$E$20)/1000</f>
        <v>12318.587900193081</v>
      </c>
      <c r="T115" s="164">
        <f>(T87*Emissions_factors!$E$20)/1000</f>
        <v>8711.5248881920234</v>
      </c>
      <c r="U115" s="164">
        <f>(U87*Emissions_factors!$E$20)/1000</f>
        <v>5939.4795613426804</v>
      </c>
      <c r="V115" s="164">
        <f>(V87*Emissions_factors!$E$20)/1000</f>
        <v>3912.7156327583784</v>
      </c>
      <c r="W115" s="164">
        <f>(W87*Emissions_factors!$E$20)/1000</f>
        <v>2494.9582298891974</v>
      </c>
      <c r="X115" s="164">
        <f>(X87*Emissions_factors!$E$20)/1000</f>
        <v>1542.2557901589007</v>
      </c>
      <c r="Y115" s="164">
        <f>(Y87*Emissions_factors!$E$20)/1000</f>
        <v>925.37100794602338</v>
      </c>
      <c r="Z115" s="164">
        <f>(Z87*Emissions_factors!$E$20)/1000</f>
        <v>539.54358456075795</v>
      </c>
      <c r="AA115" s="164">
        <f>(AA87*Emissions_factors!$E$20)/1000</f>
        <v>305.99540712145466</v>
      </c>
      <c r="AB115" s="164">
        <f>(AB87*Emissions_factors!$E$20)/1000</f>
        <v>168.95085544337167</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40369.160086585274</v>
      </c>
      <c r="P116" s="164">
        <f>(P88*Emissions_factors!$E$20)/1000</f>
        <v>37344.273853674153</v>
      </c>
      <c r="Q116" s="164">
        <f>(Q88*Emissions_factors!$E$20)/1000</f>
        <v>31879.344478304996</v>
      </c>
      <c r="R116" s="164">
        <f>(R88*Emissions_factors!$E$20)/1000</f>
        <v>25696.622107291816</v>
      </c>
      <c r="S116" s="164">
        <f>(S88*Emissions_factors!$E$20)/1000</f>
        <v>19733.565276960351</v>
      </c>
      <c r="T116" s="164">
        <f>(T88*Emissions_factors!$E$20)/1000</f>
        <v>14515.402338360673</v>
      </c>
      <c r="U116" s="164">
        <f>(U88*Emissions_factors!$E$20)/1000</f>
        <v>10265.079874193023</v>
      </c>
      <c r="V116" s="164">
        <f>(V88*Emissions_factors!$E$20)/1000</f>
        <v>6998.6865549749982</v>
      </c>
      <c r="W116" s="164">
        <f>(W88*Emissions_factors!$E$20)/1000</f>
        <v>4610.4831256016887</v>
      </c>
      <c r="X116" s="164">
        <f>(X88*Emissions_factors!$E$20)/1000</f>
        <v>2939.8923657214177</v>
      </c>
      <c r="Y116" s="164">
        <f>(Y88*Emissions_factors!$E$20)/1000</f>
        <v>1817.2913554866075</v>
      </c>
      <c r="Z116" s="164">
        <f>(Z88*Emissions_factors!$E$20)/1000</f>
        <v>1090.3954740121105</v>
      </c>
      <c r="AA116" s="164">
        <f>(AA88*Emissions_factors!$E$20)/1000</f>
        <v>635.76217277777232</v>
      </c>
      <c r="AB116" s="164">
        <f>(AB88*Emissions_factors!$E$20)/1000</f>
        <v>360.56457802186657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45694.303941451893</v>
      </c>
      <c r="Q117" s="164">
        <f>(Q89*Emissions_factors!$E$20)/1000</f>
        <v>42270.401372795655</v>
      </c>
      <c r="R117" s="164">
        <f>(R89*Emissions_factors!$E$20)/1000</f>
        <v>36084.586672636258</v>
      </c>
      <c r="S117" s="164">
        <f>(S89*Emissions_factors!$E$20)/1000</f>
        <v>29086.294050229921</v>
      </c>
      <c r="T117" s="164">
        <f>(T89*Emissions_factors!$E$20)/1000</f>
        <v>22336.643310880958</v>
      </c>
      <c r="U117" s="164">
        <f>(U89*Emissions_factors!$E$20)/1000</f>
        <v>16430.146301258319</v>
      </c>
      <c r="V117" s="164">
        <f>(V89*Emissions_factors!$E$20)/1000</f>
        <v>11619.158752587589</v>
      </c>
      <c r="W117" s="164">
        <f>(W89*Emissions_factors!$E$20)/1000</f>
        <v>7921.891611023394</v>
      </c>
      <c r="X117" s="164">
        <f>(X89*Emissions_factors!$E$20)/1000</f>
        <v>5218.6574307297888</v>
      </c>
      <c r="Y117" s="164">
        <f>(Y89*Emissions_factors!$E$20)/1000</f>
        <v>3327.6970594953905</v>
      </c>
      <c r="Z117" s="164">
        <f>(Z89*Emissions_factors!$E$20)/1000</f>
        <v>2057.0124166485293</v>
      </c>
      <c r="AA117" s="164">
        <f>(AA89*Emissions_factors!$E$20)/1000</f>
        <v>1234.2308360893978</v>
      </c>
      <c r="AB117" s="164">
        <f>(AB89*Emissions_factors!$E$20)/1000</f>
        <v>719.62631610557014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35176.392791145961</v>
      </c>
      <c r="R118" s="164">
        <f>(R90*Emissions_factors!$E$20)/1000</f>
        <v>32540.603836181552</v>
      </c>
      <c r="S118" s="164">
        <f>(S90*Emissions_factors!$E$20)/1000</f>
        <v>27778.63945863341</v>
      </c>
      <c r="T118" s="164">
        <f>(T90*Emissions_factors!$E$20)/1000</f>
        <v>22391.213260642347</v>
      </c>
      <c r="U118" s="164">
        <f>(U90*Emissions_factors!$E$20)/1000</f>
        <v>17195.196577368108</v>
      </c>
      <c r="V118" s="164">
        <f>(V90*Emissions_factors!$E$20)/1000</f>
        <v>12648.256567155246</v>
      </c>
      <c r="W118" s="164">
        <f>(W90*Emissions_factors!$E$20)/1000</f>
        <v>8944.6617396206657</v>
      </c>
      <c r="X118" s="164">
        <f>(X90*Emissions_factors!$E$20)/1000</f>
        <v>6098.4312468200551</v>
      </c>
      <c r="Y118" s="164">
        <f>(Y90*Emissions_factors!$E$20)/1000</f>
        <v>4017.427289427505</v>
      </c>
      <c r="Z118" s="164">
        <f>(Z90*Emissions_factors!$E$20)/1000</f>
        <v>2561.7280220470275</v>
      </c>
      <c r="AA118" s="164">
        <f>(AA90*Emissions_factors!$E$20)/1000</f>
        <v>1583.5294665393239</v>
      </c>
      <c r="AB118" s="164">
        <f>(AB90*Emissions_factors!$E$20)/1000</f>
        <v>950.13568301322164</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32445.472882584119</v>
      </c>
      <c r="S119" s="164">
        <f>(S91*Emissions_factors!$E$20)/1000</f>
        <v>30014.313452159578</v>
      </c>
      <c r="T119" s="164">
        <f>(T91*Emissions_factors!$E$20)/1000</f>
        <v>25622.044267626843</v>
      </c>
      <c r="U119" s="164">
        <f>(U91*Emissions_factors!$E$20)/1000</f>
        <v>20652.871002713804</v>
      </c>
      <c r="V119" s="164">
        <f>(V91*Emissions_factors!$E$20)/1000</f>
        <v>15860.247171282654</v>
      </c>
      <c r="W119" s="164">
        <f>(W91*Emissions_factors!$E$20)/1000</f>
        <v>11666.308933328037</v>
      </c>
      <c r="X119" s="164">
        <f>(X91*Emissions_factors!$E$20)/1000</f>
        <v>8250.2427591096839</v>
      </c>
      <c r="Y119" s="164">
        <f>(Y91*Emissions_factors!$E$20)/1000</f>
        <v>5624.979423552707</v>
      </c>
      <c r="Z119" s="164">
        <f>(Z91*Emissions_factors!$E$20)/1000</f>
        <v>3705.5342470954697</v>
      </c>
      <c r="AA119" s="164">
        <f>(AA91*Emissions_factors!$E$20)/1000</f>
        <v>2362.8482194116118</v>
      </c>
      <c r="AB119" s="164">
        <f>(AB91*Emissions_factors!$E$20)/1000</f>
        <v>1460.5921269535822</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32445.472882584119</v>
      </c>
      <c r="T120" s="164">
        <f>(T92*Emissions_factors!$E$20)/1000</f>
        <v>30014.313452159578</v>
      </c>
      <c r="U120" s="164">
        <f>(U92*Emissions_factors!$E$20)/1000</f>
        <v>25622.044267626843</v>
      </c>
      <c r="V120" s="164">
        <f>(V92*Emissions_factors!$E$20)/1000</f>
        <v>20652.871002713804</v>
      </c>
      <c r="W120" s="164">
        <f>(W92*Emissions_factors!$E$20)/1000</f>
        <v>15860.247171282654</v>
      </c>
      <c r="X120" s="164">
        <f>(X92*Emissions_factors!$E$20)/1000</f>
        <v>11666.308933328037</v>
      </c>
      <c r="Y120" s="164">
        <f>(Y92*Emissions_factors!$E$20)/1000</f>
        <v>8250.2427591096839</v>
      </c>
      <c r="Z120" s="164">
        <f>(Z92*Emissions_factors!$E$20)/1000</f>
        <v>5624.979423552707</v>
      </c>
      <c r="AA120" s="164">
        <f>(AA92*Emissions_factors!$E$20)/1000</f>
        <v>3705.5342470954697</v>
      </c>
      <c r="AB120" s="164">
        <f>(AB92*Emissions_factors!$E$20)/1000</f>
        <v>2362.8482194116118</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32445.472882584119</v>
      </c>
      <c r="U121" s="164">
        <f>(U93*Emissions_factors!$E$20)/1000</f>
        <v>30014.313452159578</v>
      </c>
      <c r="V121" s="164">
        <f>(V93*Emissions_factors!$E$20)/1000</f>
        <v>25622.044267626843</v>
      </c>
      <c r="W121" s="164">
        <f>(W93*Emissions_factors!$E$20)/1000</f>
        <v>20652.871002713804</v>
      </c>
      <c r="X121" s="164">
        <f>(X93*Emissions_factors!$E$20)/1000</f>
        <v>15860.247171282654</v>
      </c>
      <c r="Y121" s="164">
        <f>(Y93*Emissions_factors!$E$20)/1000</f>
        <v>11666.308933328037</v>
      </c>
      <c r="Z121" s="164">
        <f>(Z93*Emissions_factors!$E$20)/1000</f>
        <v>8250.2427591096839</v>
      </c>
      <c r="AA121" s="164">
        <f>(AA93*Emissions_factors!$E$20)/1000</f>
        <v>5624.979423552707</v>
      </c>
      <c r="AB121" s="164">
        <f>(AB93*Emissions_factors!$E$20)/1000</f>
        <v>3705.5342470954697</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32445.472882584119</v>
      </c>
      <c r="V122" s="164">
        <f>(V94*Emissions_factors!$E$20)/1000</f>
        <v>30014.313452159578</v>
      </c>
      <c r="W122" s="164">
        <f>(W94*Emissions_factors!$E$20)/1000</f>
        <v>25622.044267626843</v>
      </c>
      <c r="X122" s="164">
        <f>(X94*Emissions_factors!$E$20)/1000</f>
        <v>20652.871002713804</v>
      </c>
      <c r="Y122" s="164">
        <f>(Y94*Emissions_factors!$E$20)/1000</f>
        <v>15860.247171282654</v>
      </c>
      <c r="Z122" s="164">
        <f>(Z94*Emissions_factors!$E$20)/1000</f>
        <v>11666.308933328037</v>
      </c>
      <c r="AA122" s="164">
        <f>(AA94*Emissions_factors!$E$20)/1000</f>
        <v>8250.2427591096839</v>
      </c>
      <c r="AB122" s="164">
        <f>(AB94*Emissions_factors!$E$20)/1000</f>
        <v>5624.979423552707</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32445.472882584119</v>
      </c>
      <c r="W123" s="164">
        <f>(W95*Emissions_factors!$E$20)/1000</f>
        <v>30014.313452159578</v>
      </c>
      <c r="X123" s="164">
        <f>(X95*Emissions_factors!$E$20)/1000</f>
        <v>25622.044267626843</v>
      </c>
      <c r="Y123" s="164">
        <f>(Y95*Emissions_factors!$E$20)/1000</f>
        <v>20652.871002713804</v>
      </c>
      <c r="Z123" s="164">
        <f>(Z95*Emissions_factors!$E$20)/1000</f>
        <v>15860.247171282654</v>
      </c>
      <c r="AA123" s="164">
        <f>(AA95*Emissions_factors!$E$20)/1000</f>
        <v>11666.308933328037</v>
      </c>
      <c r="AB123" s="164">
        <f>(AB95*Emissions_factors!$E$20)/1000</f>
        <v>8250.2427591096839</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32445.472882584119</v>
      </c>
      <c r="X124" s="164">
        <f>(X96*Emissions_factors!$E$20)/1000</f>
        <v>30014.313452159578</v>
      </c>
      <c r="Y124" s="164">
        <f>(Y96*Emissions_factors!$E$20)/1000</f>
        <v>25622.044267626843</v>
      </c>
      <c r="Z124" s="164">
        <f>(Z96*Emissions_factors!$E$20)/1000</f>
        <v>20652.871002713804</v>
      </c>
      <c r="AA124" s="164">
        <f>(AA96*Emissions_factors!$E$20)/1000</f>
        <v>15860.247171282654</v>
      </c>
      <c r="AB124" s="164">
        <f>(AB96*Emissions_factors!$E$20)/1000</f>
        <v>11666.308933328037</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32445.472882584119</v>
      </c>
      <c r="Y125" s="164">
        <f>(Y97*Emissions_factors!$E$20)/1000</f>
        <v>30014.313452159578</v>
      </c>
      <c r="Z125" s="164">
        <f>(Z97*Emissions_factors!$E$20)/1000</f>
        <v>25622.044267626843</v>
      </c>
      <c r="AA125" s="164">
        <f>(AA97*Emissions_factors!$E$20)/1000</f>
        <v>20652.871002713804</v>
      </c>
      <c r="AB125" s="164">
        <f>(AB97*Emissions_factors!$E$20)/1000</f>
        <v>15860.247171282654</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32445.472882584119</v>
      </c>
      <c r="Z126" s="164">
        <f>(Z98*Emissions_factors!$E$20)/1000</f>
        <v>30014.313452159578</v>
      </c>
      <c r="AA126" s="164">
        <f>(AA98*Emissions_factors!$E$20)/1000</f>
        <v>25622.044267626843</v>
      </c>
      <c r="AB126" s="164">
        <f>(AB98*Emissions_factors!$E$20)/1000</f>
        <v>20652.871002713804</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32445.472882584119</v>
      </c>
      <c r="AA127" s="164">
        <f>(AA99*Emissions_factors!$E$20)/1000</f>
        <v>30014.313452159578</v>
      </c>
      <c r="AB127" s="164">
        <f>(AB99*Emissions_factors!$E$20)/1000</f>
        <v>25622.044267626843</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32445.472882584119</v>
      </c>
      <c r="AB128" s="164">
        <f>(AB100*Emissions_factors!$E$20)/1000</f>
        <v>30014.313452159578</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32445.472882584119</v>
      </c>
    </row>
    <row r="131" spans="1:28">
      <c r="B131" s="307" t="s">
        <v>7803</v>
      </c>
      <c r="C131" s="298">
        <f t="shared" ref="C131:AB131" si="23">SUM(C104:C129)</f>
        <v>1845.2438881657959</v>
      </c>
      <c r="D131" s="298">
        <f t="shared" si="23"/>
        <v>4658.3405179955753</v>
      </c>
      <c r="E131" s="298">
        <f t="shared" si="23"/>
        <v>6993.971509920626</v>
      </c>
      <c r="F131" s="298">
        <f t="shared" si="23"/>
        <v>9343.0655759229103</v>
      </c>
      <c r="G131" s="298">
        <f t="shared" si="23"/>
        <v>19704.372095355931</v>
      </c>
      <c r="H131" s="298">
        <f t="shared" si="23"/>
        <v>45015.864188326523</v>
      </c>
      <c r="I131" s="298">
        <f t="shared" si="23"/>
        <v>85196.644222605712</v>
      </c>
      <c r="J131" s="298">
        <f t="shared" si="23"/>
        <v>121794.60113277723</v>
      </c>
      <c r="K131" s="298">
        <f t="shared" si="23"/>
        <v>148520.0351834622</v>
      </c>
      <c r="L131" s="298">
        <f t="shared" si="23"/>
        <v>166122.70842673356</v>
      </c>
      <c r="M131" s="298">
        <f t="shared" si="23"/>
        <v>171481.61293808237</v>
      </c>
      <c r="N131" s="298">
        <f t="shared" si="23"/>
        <v>174016.21866527532</v>
      </c>
      <c r="O131" s="298">
        <f t="shared" si="23"/>
        <v>180598.33335235689</v>
      </c>
      <c r="P131" s="298">
        <f t="shared" si="23"/>
        <v>190973.87621414915</v>
      </c>
      <c r="Q131" s="298">
        <f t="shared" si="23"/>
        <v>189179.17939045059</v>
      </c>
      <c r="R131" s="298">
        <f t="shared" si="23"/>
        <v>183736.4219799306</v>
      </c>
      <c r="S131" s="298">
        <f t="shared" si="23"/>
        <v>178341.6657510786</v>
      </c>
      <c r="T131" s="298">
        <f t="shared" si="23"/>
        <v>173553.71966982892</v>
      </c>
      <c r="U131" s="298">
        <f t="shared" si="23"/>
        <v>169606.52769214986</v>
      </c>
      <c r="V131" s="298">
        <f t="shared" si="23"/>
        <v>166535.28844506535</v>
      </c>
      <c r="W131" s="298">
        <f t="shared" si="23"/>
        <v>164259.47210512662</v>
      </c>
      <c r="X131" s="298">
        <f t="shared" si="23"/>
        <v>162644.13584657645</v>
      </c>
      <c r="Y131" s="298">
        <f t="shared" si="23"/>
        <v>161541.5008421315</v>
      </c>
      <c r="Z131" s="298">
        <f t="shared" si="23"/>
        <v>160815.51349520352</v>
      </c>
      <c r="AA131" s="298">
        <f t="shared" si="23"/>
        <v>160353.4004593438</v>
      </c>
      <c r="AB131" s="298">
        <f t="shared" si="23"/>
        <v>160068.50521600895</v>
      </c>
    </row>
    <row r="132" spans="1:28">
      <c r="A132" s="1"/>
      <c r="B132" s="307" t="s">
        <v>7801</v>
      </c>
      <c r="C132" s="164">
        <f>(C148*Emissions_factors!$D$9)/1000</f>
        <v>4062.2261450481592</v>
      </c>
      <c r="D132" s="164">
        <f>D148*(Emissions_factors!$D$9/1000)</f>
        <v>6497.2980272961076</v>
      </c>
      <c r="E132" s="164">
        <f>E148*(Emissions_factors!$D$9/1000)</f>
        <v>6178.5583962473083</v>
      </c>
      <c r="F132" s="164">
        <f>F148*(Emissions_factors!$D$9/1000)</f>
        <v>7136.1071262021951</v>
      </c>
      <c r="G132" s="164">
        <f>G148*(Emissions_factors!$D$9/1000)</f>
        <v>25776.240442544819</v>
      </c>
      <c r="H132" s="164">
        <f>H148*(Emissions_factors!$D$9/1000)</f>
        <v>61050.747311740357</v>
      </c>
      <c r="I132" s="164">
        <f>I148*(Emissions_factors!$D$9/1000)</f>
        <v>99793.409754692155</v>
      </c>
      <c r="J132" s="164">
        <f>J148*(Emissions_factors!$D$9/1000)</f>
        <v>103124.36597787531</v>
      </c>
      <c r="K132" s="164">
        <f>K148*(Emissions_factors!$D$9/1000)</f>
        <v>95568.16824433468</v>
      </c>
      <c r="L132" s="164">
        <f>L148*(Emissions_factors!$D$9/1000)</f>
        <v>89310.291697675159</v>
      </c>
      <c r="M132" s="164">
        <f>M148*(Emissions_factors!$D$9/1000)</f>
        <v>73891.819262415534</v>
      </c>
      <c r="N132" s="164">
        <f>N148*(Emissions_factors!$D$9/1000)</f>
        <v>75420.930089469461</v>
      </c>
      <c r="O132" s="164">
        <f>O148*(Emissions_factors!$D$9/1000)</f>
        <v>88870.993481717378</v>
      </c>
      <c r="P132" s="164">
        <f>P148*(Emissions_factors!$D$9/1000)</f>
        <v>100594.0717870379</v>
      </c>
      <c r="Q132" s="164">
        <f>Q148*(Emissions_factors!$D$9/1000)</f>
        <v>77439.336556598078</v>
      </c>
      <c r="R132" s="164">
        <f>R148*(Emissions_factors!$D$9/1000)</f>
        <v>71427.33222278631</v>
      </c>
      <c r="S132" s="164">
        <f>S148*(Emissions_factors!$D$9/1000)</f>
        <v>71427.33222278631</v>
      </c>
      <c r="T132" s="164">
        <f>T148*(Emissions_factors!$D$9/1000)</f>
        <v>71427.33222278631</v>
      </c>
      <c r="U132" s="164">
        <f>U148*(Emissions_factors!$D$9/1000)</f>
        <v>71427.33222278631</v>
      </c>
      <c r="V132" s="164">
        <f>V148*(Emissions_factors!$D$9/1000)</f>
        <v>71427.33222278631</v>
      </c>
      <c r="W132" s="164">
        <f>W148*(Emissions_factors!$D$9/1000)</f>
        <v>71427.33222278631</v>
      </c>
      <c r="X132" s="164">
        <f>X148*(Emissions_factors!$D$9/1000)</f>
        <v>71427.33222278631</v>
      </c>
      <c r="Y132" s="164">
        <f>Y148*(Emissions_factors!$D$9/1000)</f>
        <v>71427.33222278631</v>
      </c>
      <c r="Z132" s="164">
        <f>Z148*(Emissions_factors!$D$9/1000)</f>
        <v>71427.33222278631</v>
      </c>
      <c r="AA132" s="164">
        <f>AA148*(Emissions_factors!$D$9/1000)</f>
        <v>71427.33222278631</v>
      </c>
      <c r="AB132" s="164">
        <f>AB148*(Emissions_factors!$D$9/1000)</f>
        <v>71427.33222278631</v>
      </c>
    </row>
    <row r="133" spans="1:28">
      <c r="B133" s="307" t="s">
        <v>7802</v>
      </c>
      <c r="C133" s="50">
        <f>(C182*Emissions_factors!$E$30)+(C183*Emissions_factors!$G$30)+(C184*Emissions_factors!$I$30)</f>
        <v>0</v>
      </c>
      <c r="D133" s="50">
        <f>(D182*Emissions_factors!$E$30)+(D183*Emissions_factors!$G$30)+(D184*Emissions_factors!$I$30)</f>
        <v>126.46980355290998</v>
      </c>
      <c r="E133" s="50">
        <f>(E182*Emissions_factors!$E$30)+(E183*Emissions_factors!$G$30)+(E184*Emissions_factors!$I$30)</f>
        <v>430.76943831076591</v>
      </c>
      <c r="F133" s="50">
        <f>(F182*Emissions_factors!$E$30)+(F183*Emissions_factors!$G$30)+(F184*Emissions_factors!$I$30)</f>
        <v>816.30781625951863</v>
      </c>
      <c r="G133" s="50">
        <f>(G182*Emissions_factors!$E$30)+(G183*Emissions_factors!$G$30)+(G184*Emissions_factors!$I$30)</f>
        <v>1232.4551187406698</v>
      </c>
      <c r="H133" s="50">
        <f>(H182*Emissions_factors!$E$30)+(H183*Emissions_factors!$G$30)+(H184*Emissions_factors!$I$30)</f>
        <v>2213.9757124479393</v>
      </c>
      <c r="I133" s="50">
        <f>(I182*Emissions_factors!$E$30)+(I183*Emissions_factors!$G$30)+(I184*Emissions_factors!$I$30)</f>
        <v>4710.4764668792204</v>
      </c>
      <c r="J133" s="50">
        <f>(J182*Emissions_factors!$E$30)+(J183*Emissions_factors!$G$30)+(J184*Emissions_factors!$I$30)</f>
        <v>9371.6219294573002</v>
      </c>
      <c r="K133" s="50">
        <f>(K182*Emissions_factors!$E$30)+(K183*Emissions_factors!$G$30)+(K184*Emissions_factors!$I$30)</f>
        <v>15262.355542678473</v>
      </c>
      <c r="L133" s="50">
        <f>(L182*Emissions_factors!$E$30)+(L183*Emissions_factors!$G$30)+(L184*Emissions_factors!$I$30)</f>
        <v>21006.730135252252</v>
      </c>
      <c r="M133" s="50">
        <f>(M182*Emissions_factors!$E$30)+(M183*Emissions_factors!$G$30)+(M184*Emissions_factors!$I$30)</f>
        <v>25799.696277122774</v>
      </c>
      <c r="N133" s="50">
        <f>(N182*Emissions_factors!$E$30)+(N183*Emissions_factors!$G$30)+(N184*Emissions_factors!$I$30)</f>
        <v>29018.379711482623</v>
      </c>
      <c r="O133" s="50">
        <f>(O182*Emissions_factors!$E$30)+(O183*Emissions_factors!$G$30)+(O184*Emissions_factors!$I$30)</f>
        <v>30904.563409667495</v>
      </c>
      <c r="P133" s="50">
        <f>(P182*Emissions_factors!$E$30)+(P183*Emissions_factors!$G$30)+(P184*Emissions_factors!$I$30)</f>
        <v>32305.601040801499</v>
      </c>
      <c r="Q133" s="50">
        <f>(Q182*Emissions_factors!$E$30)+(Q183*Emissions_factors!$G$30)+(Q184*Emissions_factors!$I$30)</f>
        <v>33816.966068475536</v>
      </c>
      <c r="R133" s="50">
        <f>(R182*Emissions_factors!$E$30)+(R183*Emissions_factors!$G$30)+(R184*Emissions_factors!$I$30)</f>
        <v>34655.862480977776</v>
      </c>
      <c r="S133" s="50">
        <f>(S182*Emissions_factors!$E$30)+(S183*Emissions_factors!$G$30)+(S184*Emissions_factors!$I$30)</f>
        <v>34611.954176251595</v>
      </c>
      <c r="T133" s="50">
        <f>(T182*Emissions_factors!$E$30)+(T183*Emissions_factors!$G$30)+(T184*Emissions_factors!$I$30)</f>
        <v>34056.911546688156</v>
      </c>
      <c r="U133" s="50">
        <f>(U182*Emissions_factors!$E$30)+(U183*Emissions_factors!$G$30)+(U184*Emissions_factors!$I$30)</f>
        <v>33287.88775542003</v>
      </c>
      <c r="V133" s="50">
        <f>(V182*Emissions_factors!$E$30)+(V183*Emissions_factors!$G$30)+(V184*Emissions_factors!$I$30)</f>
        <v>32486.662944600794</v>
      </c>
      <c r="W133" s="50">
        <f>(W182*Emissions_factors!$E$30)+(W183*Emissions_factors!$G$30)+(W184*Emissions_factors!$I$30)</f>
        <v>31759.105447654219</v>
      </c>
      <c r="X133" s="50">
        <f>(X182*Emissions_factors!$E$30)+(X183*Emissions_factors!$G$30)+(X184*Emissions_factors!$I$30)</f>
        <v>31154.971226574409</v>
      </c>
      <c r="Y133" s="50">
        <f>(Y182*Emissions_factors!$E$30)+(Y183*Emissions_factors!$G$30)+(Y184*Emissions_factors!$I$30)</f>
        <v>30686.009463773764</v>
      </c>
      <c r="Z133" s="50">
        <f>(Z182*Emissions_factors!$E$30)+(Z183*Emissions_factors!$G$30)+(Z184*Emissions_factors!$I$30)</f>
        <v>30341.494466494751</v>
      </c>
      <c r="AA133" s="50">
        <f>(AA182*Emissions_factors!$E$30)+(AA183*Emissions_factors!$G$30)+(AA184*Emissions_factors!$I$30)</f>
        <v>30100.130467532392</v>
      </c>
      <c r="AB133" s="50">
        <f>(AB182*Emissions_factors!$E$30)+(AB183*Emissions_factors!$G$30)+(AB184*Emissions_factors!$I$30)</f>
        <v>29938.036041606229</v>
      </c>
    </row>
    <row r="134" spans="1:28">
      <c r="B134" s="307" t="s">
        <v>7804</v>
      </c>
      <c r="C134" s="306">
        <f>SUM(C131:C133)</f>
        <v>5907.4700332139546</v>
      </c>
      <c r="D134" s="306">
        <f t="shared" ref="D134:AB134" si="24">SUM(D131:D133)</f>
        <v>11282.108348844595</v>
      </c>
      <c r="E134" s="306">
        <f t="shared" si="24"/>
        <v>13603.299344478701</v>
      </c>
      <c r="F134" s="306">
        <f t="shared" si="24"/>
        <v>17295.480518384626</v>
      </c>
      <c r="G134" s="306">
        <f t="shared" si="24"/>
        <v>46713.067656641419</v>
      </c>
      <c r="H134" s="306">
        <f t="shared" si="24"/>
        <v>108280.58721251482</v>
      </c>
      <c r="I134" s="306">
        <f t="shared" si="24"/>
        <v>189700.53044417707</v>
      </c>
      <c r="J134" s="306">
        <f t="shared" si="24"/>
        <v>234290.58904010983</v>
      </c>
      <c r="K134" s="306">
        <f t="shared" si="24"/>
        <v>259350.55897047537</v>
      </c>
      <c r="L134" s="306">
        <f t="shared" si="24"/>
        <v>276439.73025966098</v>
      </c>
      <c r="M134" s="306">
        <f t="shared" si="24"/>
        <v>271173.12847762066</v>
      </c>
      <c r="N134" s="306">
        <f t="shared" si="24"/>
        <v>278455.52846622741</v>
      </c>
      <c r="O134" s="306">
        <f t="shared" si="24"/>
        <v>300373.8902437418</v>
      </c>
      <c r="P134" s="306">
        <f t="shared" si="24"/>
        <v>323873.54904198856</v>
      </c>
      <c r="Q134" s="306">
        <f t="shared" si="24"/>
        <v>300435.48201552418</v>
      </c>
      <c r="R134" s="306">
        <f t="shared" si="24"/>
        <v>289819.61668369471</v>
      </c>
      <c r="S134" s="306">
        <f t="shared" si="24"/>
        <v>284380.9521501165</v>
      </c>
      <c r="T134" s="306">
        <f t="shared" si="24"/>
        <v>279037.96343930339</v>
      </c>
      <c r="U134" s="306">
        <f t="shared" si="24"/>
        <v>274321.74767035618</v>
      </c>
      <c r="V134" s="306">
        <f t="shared" si="24"/>
        <v>270449.28361245245</v>
      </c>
      <c r="W134" s="306">
        <f t="shared" si="24"/>
        <v>267445.90977556712</v>
      </c>
      <c r="X134" s="306">
        <f t="shared" si="24"/>
        <v>265226.43929593713</v>
      </c>
      <c r="Y134" s="306">
        <f t="shared" si="24"/>
        <v>263654.84252869157</v>
      </c>
      <c r="Z134" s="306">
        <f t="shared" si="24"/>
        <v>262584.34018448461</v>
      </c>
      <c r="AA134" s="306">
        <f t="shared" si="24"/>
        <v>261880.8631496625</v>
      </c>
      <c r="AB134" s="306">
        <f t="shared" si="24"/>
        <v>261433.87348040147</v>
      </c>
    </row>
    <row r="137" spans="1:28" ht="21">
      <c r="A137" s="293" t="s">
        <v>7793</v>
      </c>
      <c r="B137" s="291" t="s">
        <v>7794</v>
      </c>
    </row>
    <row r="138" spans="1:28">
      <c r="B138" s="294" t="s">
        <v>437</v>
      </c>
      <c r="C138" s="302">
        <f>C38*(BOM_average!B42*BOM_average!B53)/1000000</f>
        <v>15.243014935216967</v>
      </c>
      <c r="D138" s="302">
        <f>D38*(BOM_average!C42*BOM_average!C53)/1000000</f>
        <v>24.38032924123582</v>
      </c>
      <c r="E138" s="302">
        <f>E38*(BOM_average!D42*BOM_average!D53)/1000000</f>
        <v>23.18429711918251</v>
      </c>
      <c r="F138" s="302">
        <f>F38*(BOM_average!E42*BOM_average!E53)/1000000</f>
        <v>26.777383537990772</v>
      </c>
      <c r="G138" s="302">
        <f>G38*(BOM_average!F42*BOM_average!F53)/1000000</f>
        <v>96.722241453348786</v>
      </c>
      <c r="H138" s="302">
        <f>H38*(BOM_average!G42*BOM_average!G53)/1000000</f>
        <v>229.08558505867791</v>
      </c>
      <c r="I138" s="302">
        <f>I38*(BOM_average!H42*BOM_average!H53)/1000000</f>
        <v>374.46276524542566</v>
      </c>
      <c r="J138" s="302">
        <f>J38*(BOM_average!I42*BOM_average!I53)/1000000</f>
        <v>386.96177776850431</v>
      </c>
      <c r="K138" s="302">
        <f>K38*(BOM_average!J42*BOM_average!J53)/1000000</f>
        <v>358.60805476216314</v>
      </c>
      <c r="L138" s="302">
        <f>L38*(BOM_average!K42*BOM_average!K53)/1000000</f>
        <v>335.12612582530329</v>
      </c>
      <c r="M138" s="302">
        <f>M38*(BOM_average!L42*BOM_average!L53)/1000000</f>
        <v>277.2701628097073</v>
      </c>
      <c r="N138" s="302">
        <f>N38*(BOM_average!M42*BOM_average!M53)/1000000</f>
        <v>283.00796724060973</v>
      </c>
      <c r="O138" s="302">
        <f>O38*(BOM_average!N42*BOM_average!N53)/1000000</f>
        <v>333.47771211622882</v>
      </c>
      <c r="P138" s="302">
        <f>P38*(BOM_average!O42*BOM_average!O53)/1000000</f>
        <v>377.46715320447231</v>
      </c>
      <c r="Q138" s="302">
        <f>Q38*(BOM_average!P42*BOM_average!P53)/1000000</f>
        <v>290.58179470003961</v>
      </c>
      <c r="R138" s="302">
        <f>R38*(BOM_average!Q42*BOM_average!Q53)/1000000</f>
        <v>268.02247166417374</v>
      </c>
      <c r="S138" s="302">
        <f>S38*(BOM_average!R42*BOM_average!R53)/1000000</f>
        <v>268.02247166417374</v>
      </c>
      <c r="T138" s="302">
        <f>T38*(BOM_average!S42*BOM_average!S53)/1000000</f>
        <v>268.02247166417374</v>
      </c>
      <c r="U138" s="302">
        <f>U38*(BOM_average!T42*BOM_average!T53)/1000000</f>
        <v>268.02247166417374</v>
      </c>
      <c r="V138" s="302">
        <f>V38*(BOM_average!U42*BOM_average!U53)/1000000</f>
        <v>268.02247166417374</v>
      </c>
      <c r="W138" s="302">
        <f>W38*(BOM_average!V42*BOM_average!V53)/1000000</f>
        <v>268.02247166417374</v>
      </c>
      <c r="X138" s="302">
        <f>X38*(BOM_average!W42*BOM_average!W53)/1000000</f>
        <v>268.02247166417374</v>
      </c>
      <c r="Y138" s="302">
        <f>Y38*(BOM_average!X42*BOM_average!X53)/1000000</f>
        <v>268.02247166417374</v>
      </c>
      <c r="Z138" s="302">
        <f>Z38*(BOM_average!Y42*BOM_average!Y53)/1000000</f>
        <v>268.02247166417374</v>
      </c>
      <c r="AA138" s="302">
        <f>AA38*(BOM_average!Z42*BOM_average!Z53)/1000000</f>
        <v>268.02247166417374</v>
      </c>
      <c r="AB138" s="302">
        <f>AB38*(BOM_average!AA42*BOM_average!AA53)/1000000</f>
        <v>268.02247166417374</v>
      </c>
    </row>
    <row r="139" spans="1:28">
      <c r="B139" s="294" t="s">
        <v>217</v>
      </c>
      <c r="C139" s="302">
        <f>C38*(BOM_average!B43*BOM_average!B53)/1000000</f>
        <v>0.70972617234927715</v>
      </c>
      <c r="D139" s="302">
        <f>D38*(BOM_average!C43*BOM_average!C53)/1000000</f>
        <v>1.1351663582655385</v>
      </c>
      <c r="E139" s="302">
        <f>E38*(BOM_average!D43*BOM_average!D53)/1000000</f>
        <v>1.0794782084080905</v>
      </c>
      <c r="F139" s="302">
        <f>F38*(BOM_average!E43*BOM_average!E53)/1000000</f>
        <v>1.2467749985627254</v>
      </c>
      <c r="G139" s="302">
        <f>G38*(BOM_average!F43*BOM_average!F53)/1000000</f>
        <v>4.5034598797859626</v>
      </c>
      <c r="H139" s="302">
        <f>H38*(BOM_average!G43*BOM_average!G53)/1000000</f>
        <v>10.666396124066777</v>
      </c>
      <c r="I139" s="302">
        <f>I38*(BOM_average!H43*BOM_average!H53)/1000000</f>
        <v>17.435266329821978</v>
      </c>
      <c r="J139" s="302">
        <f>J38*(BOM_average!I43*BOM_average!I53)/1000000</f>
        <v>18.017229698214102</v>
      </c>
      <c r="K139" s="302">
        <f>K38*(BOM_average!J43*BOM_average!J53)/1000000</f>
        <v>16.697059155400439</v>
      </c>
      <c r="L139" s="302">
        <f>L38*(BOM_average!K43*BOM_average!K53)/1000000</f>
        <v>15.603722987026602</v>
      </c>
      <c r="M139" s="302">
        <f>M38*(BOM_average!L43*BOM_average!L53)/1000000</f>
        <v>12.909906091015285</v>
      </c>
      <c r="N139" s="302">
        <f>N38*(BOM_average!M43*BOM_average!M53)/1000000</f>
        <v>13.177062555385378</v>
      </c>
      <c r="O139" s="302">
        <f>O38*(BOM_average!N43*BOM_average!N53)/1000000</f>
        <v>15.526971612238759</v>
      </c>
      <c r="P139" s="302">
        <f>P38*(BOM_average!O43*BOM_average!O53)/1000000</f>
        <v>17.575152879529412</v>
      </c>
      <c r="Q139" s="302">
        <f>Q38*(BOM_average!P43*BOM_average!P53)/1000000</f>
        <v>13.529705624729623</v>
      </c>
      <c r="R139" s="302">
        <f>R38*(BOM_average!Q43*BOM_average!Q53)/1000000</f>
        <v>12.47932667692417</v>
      </c>
      <c r="S139" s="302">
        <f>S38*(BOM_average!R43*BOM_average!R53)/1000000</f>
        <v>12.47932667692417</v>
      </c>
      <c r="T139" s="302">
        <f>T38*(BOM_average!S43*BOM_average!S53)/1000000</f>
        <v>12.47932667692417</v>
      </c>
      <c r="U139" s="302">
        <f>U38*(BOM_average!T43*BOM_average!T53)/1000000</f>
        <v>12.47932667692417</v>
      </c>
      <c r="V139" s="302">
        <f>V38*(BOM_average!U43*BOM_average!U53)/1000000</f>
        <v>12.47932667692417</v>
      </c>
      <c r="W139" s="302">
        <f>W38*(BOM_average!V43*BOM_average!V53)/1000000</f>
        <v>12.47932667692417</v>
      </c>
      <c r="X139" s="302">
        <f>X38*(BOM_average!W43*BOM_average!W53)/1000000</f>
        <v>12.47932667692417</v>
      </c>
      <c r="Y139" s="302">
        <f>Y38*(BOM_average!X43*BOM_average!X53)/1000000</f>
        <v>12.47932667692417</v>
      </c>
      <c r="Z139" s="302">
        <f>Z38*(BOM_average!Y43*BOM_average!Y53)/1000000</f>
        <v>12.47932667692417</v>
      </c>
      <c r="AA139" s="302">
        <f>AA38*(BOM_average!Z43*BOM_average!Z53)/1000000</f>
        <v>12.47932667692417</v>
      </c>
      <c r="AB139" s="302">
        <f>AB38*(BOM_average!AA43*BOM_average!AA53)/1000000</f>
        <v>12.47932667692417</v>
      </c>
    </row>
    <row r="140" spans="1:28">
      <c r="B140" s="294" t="s">
        <v>313</v>
      </c>
      <c r="C140" s="302">
        <f>C38*(BOM_average!B44*BOM_average!B53)/1000000</f>
        <v>6.6447888393676688</v>
      </c>
      <c r="D140" s="302">
        <f>D38*(BOM_average!C44*BOM_average!C53)/1000000</f>
        <v>10.627959122967763</v>
      </c>
      <c r="E140" s="302">
        <f>E38*(BOM_average!D44*BOM_average!D53)/1000000</f>
        <v>10.106580581391734</v>
      </c>
      <c r="F140" s="302">
        <f>F38*(BOM_average!E44*BOM_average!E53)/1000000</f>
        <v>11.672891487472389</v>
      </c>
      <c r="G140" s="302">
        <f>G38*(BOM_average!F44*BOM_average!F53)/1000000</f>
        <v>42.163500676166521</v>
      </c>
      <c r="H140" s="302">
        <f>H38*(BOM_average!G44*BOM_average!G53)/1000000</f>
        <v>99.863796324243964</v>
      </c>
      <c r="I140" s="302">
        <f>I38*(BOM_average!H44*BOM_average!H53)/1000000</f>
        <v>163.23712952041024</v>
      </c>
      <c r="J140" s="302">
        <f>J38*(BOM_average!I44*BOM_average!I53)/1000000</f>
        <v>168.68574314897702</v>
      </c>
      <c r="K140" s="302">
        <f>K38*(BOM_average!J44*BOM_average!J53)/1000000</f>
        <v>156.32568820001978</v>
      </c>
      <c r="L140" s="302">
        <f>L38*(BOM_average!K44*BOM_average!K53)/1000000</f>
        <v>146.08936290678798</v>
      </c>
      <c r="M140" s="302">
        <f>M38*(BOM_average!L44*BOM_average!L53)/1000000</f>
        <v>120.86858742563943</v>
      </c>
      <c r="N140" s="302">
        <f>N38*(BOM_average!M44*BOM_average!M53)/1000000</f>
        <v>123.36983137291449</v>
      </c>
      <c r="O140" s="302">
        <f>O38*(BOM_average!N44*BOM_average!N53)/1000000</f>
        <v>145.37078058804914</v>
      </c>
      <c r="P140" s="302">
        <f>P38*(BOM_average!O44*BOM_average!O53)/1000000</f>
        <v>164.54681291731364</v>
      </c>
      <c r="Q140" s="302">
        <f>Q38*(BOM_average!P44*BOM_average!P53)/1000000</f>
        <v>126.6714409552448</v>
      </c>
      <c r="R140" s="302">
        <f>R38*(BOM_average!Q44*BOM_average!Q53)/1000000</f>
        <v>116.83730128081051</v>
      </c>
      <c r="S140" s="302">
        <f>S38*(BOM_average!R44*BOM_average!R53)/1000000</f>
        <v>116.83730128081051</v>
      </c>
      <c r="T140" s="302">
        <f>T38*(BOM_average!S44*BOM_average!S53)/1000000</f>
        <v>116.83730128081051</v>
      </c>
      <c r="U140" s="302">
        <f>U38*(BOM_average!T44*BOM_average!T53)/1000000</f>
        <v>116.83730128081051</v>
      </c>
      <c r="V140" s="302">
        <f>V38*(BOM_average!U44*BOM_average!U53)/1000000</f>
        <v>116.83730128081051</v>
      </c>
      <c r="W140" s="302">
        <f>W38*(BOM_average!V44*BOM_average!V53)/1000000</f>
        <v>116.83730128081051</v>
      </c>
      <c r="X140" s="302">
        <f>X38*(BOM_average!W44*BOM_average!W53)/1000000</f>
        <v>116.83730128081051</v>
      </c>
      <c r="Y140" s="302">
        <f>Y38*(BOM_average!X44*BOM_average!X53)/1000000</f>
        <v>116.83730128081051</v>
      </c>
      <c r="Z140" s="302">
        <f>Z38*(BOM_average!Y44*BOM_average!Y53)/1000000</f>
        <v>116.83730128081051</v>
      </c>
      <c r="AA140" s="302">
        <f>AA38*(BOM_average!Z44*BOM_average!Z53)/1000000</f>
        <v>116.83730128081051</v>
      </c>
      <c r="AB140" s="302">
        <f>AB38*(BOM_average!AA44*BOM_average!AA53)/1000000</f>
        <v>116.83730128081051</v>
      </c>
    </row>
    <row r="141" spans="1:28">
      <c r="B141" s="294" t="s">
        <v>6911</v>
      </c>
      <c r="C141" s="302">
        <f>C38*(BOM_average!B45*BOM_average!B53)/1000000</f>
        <v>31.857418002626652</v>
      </c>
      <c r="D141" s="302">
        <f>D38*(BOM_average!C45*BOM_average!C53)/1000000</f>
        <v>50.954115244305221</v>
      </c>
      <c r="E141" s="302">
        <f>E38*(BOM_average!D45*BOM_average!D53)/1000000</f>
        <v>48.454446024091439</v>
      </c>
      <c r="F141" s="302">
        <f>F38*(BOM_average!E45*BOM_average!E53)/1000000</f>
        <v>55.963882736580381</v>
      </c>
      <c r="G141" s="302">
        <f>G38*(BOM_average!F45*BOM_average!F53)/1000000</f>
        <v>202.14641848912262</v>
      </c>
      <c r="H141" s="302">
        <f>H38*(BOM_average!G45*BOM_average!G53)/1000000</f>
        <v>478.7816106332973</v>
      </c>
      <c r="I141" s="302">
        <f>I38*(BOM_average!H45*BOM_average!H53)/1000000</f>
        <v>782.6153086868427</v>
      </c>
      <c r="J141" s="302">
        <f>J38*(BOM_average!I45*BOM_average!I53)/1000000</f>
        <v>808.73784863448964</v>
      </c>
      <c r="K141" s="302">
        <f>K38*(BOM_average!J45*BOM_average!J53)/1000000</f>
        <v>749.47946637988707</v>
      </c>
      <c r="L141" s="302">
        <f>L38*(BOM_average!K45*BOM_average!K53)/1000000</f>
        <v>700.40297929194276</v>
      </c>
      <c r="M141" s="302">
        <f>M38*(BOM_average!L45*BOM_average!L53)/1000000</f>
        <v>579.48585065527016</v>
      </c>
      <c r="N141" s="302">
        <f>N38*(BOM_average!M45*BOM_average!M53)/1000000</f>
        <v>591.47768002429245</v>
      </c>
      <c r="O141" s="302">
        <f>O38*(BOM_average!N45*BOM_average!N53)/1000000</f>
        <v>696.95784689560037</v>
      </c>
      <c r="P141" s="302">
        <f>P38*(BOM_average!O45*BOM_average!O53)/1000000</f>
        <v>788.89438428049561</v>
      </c>
      <c r="Q141" s="302">
        <f>Q38*(BOM_average!P45*BOM_average!P53)/1000000</f>
        <v>607.30673931999524</v>
      </c>
      <c r="R141" s="302">
        <f>R38*(BOM_average!Q45*BOM_average!Q53)/1000000</f>
        <v>560.15846931801252</v>
      </c>
      <c r="S141" s="302">
        <f>S38*(BOM_average!R45*BOM_average!R53)/1000000</f>
        <v>560.15846931801252</v>
      </c>
      <c r="T141" s="302">
        <f>T38*(BOM_average!S45*BOM_average!S53)/1000000</f>
        <v>560.15846931801252</v>
      </c>
      <c r="U141" s="302">
        <f>U38*(BOM_average!T45*BOM_average!T53)/1000000</f>
        <v>560.15846931801252</v>
      </c>
      <c r="V141" s="302">
        <f>V38*(BOM_average!U45*BOM_average!U53)/1000000</f>
        <v>560.15846931801252</v>
      </c>
      <c r="W141" s="302">
        <f>W38*(BOM_average!V45*BOM_average!V53)/1000000</f>
        <v>560.15846931801252</v>
      </c>
      <c r="X141" s="302">
        <f>X38*(BOM_average!W45*BOM_average!W53)/1000000</f>
        <v>560.15846931801252</v>
      </c>
      <c r="Y141" s="302">
        <f>Y38*(BOM_average!X45*BOM_average!X53)/1000000</f>
        <v>560.15846931801252</v>
      </c>
      <c r="Z141" s="302">
        <f>Z38*(BOM_average!Y45*BOM_average!Y53)/1000000</f>
        <v>560.15846931801252</v>
      </c>
      <c r="AA141" s="302">
        <f>AA38*(BOM_average!Z45*BOM_average!Z53)/1000000</f>
        <v>560.15846931801252</v>
      </c>
      <c r="AB141" s="302">
        <f>AB38*(BOM_average!AA45*BOM_average!AA53)/1000000</f>
        <v>560.15846931801252</v>
      </c>
    </row>
    <row r="142" spans="1:28">
      <c r="B142" s="294" t="s">
        <v>441</v>
      </c>
      <c r="C142" s="302">
        <f>C38*(BOM_average!B46*BOM_average!B53)/1000000</f>
        <v>37.202137520899818</v>
      </c>
      <c r="D142" s="302">
        <f>D38*(BOM_average!C46*BOM_average!C53)/1000000</f>
        <v>59.502687958519672</v>
      </c>
      <c r="E142" s="302">
        <f>E38*(BOM_average!D46*BOM_average!D53)/1000000</f>
        <v>56.58364919400065</v>
      </c>
      <c r="F142" s="302">
        <f>F38*(BOM_average!E46*BOM_average!E53)/1000000</f>
        <v>65.352944221597468</v>
      </c>
      <c r="G142" s="302">
        <f>G38*(BOM_average!F46*BOM_average!F53)/1000000</f>
        <v>236.06052629154243</v>
      </c>
      <c r="H142" s="302">
        <f>H38*(BOM_average!G46*BOM_average!G53)/1000000</f>
        <v>559.10680896327688</v>
      </c>
      <c r="I142" s="302">
        <f>I38*(BOM_average!H46*BOM_average!H53)/1000000</f>
        <v>913.91469130765245</v>
      </c>
      <c r="J142" s="302">
        <f>J38*(BOM_average!I46*BOM_average!I53)/1000000</f>
        <v>944.4198101922849</v>
      </c>
      <c r="K142" s="302">
        <f>K38*(BOM_average!J46*BOM_average!J53)/1000000</f>
        <v>875.21964821682275</v>
      </c>
      <c r="L142" s="302">
        <f>L38*(BOM_average!K46*BOM_average!K53)/1000000</f>
        <v>817.90959811992423</v>
      </c>
      <c r="M142" s="302">
        <f>M38*(BOM_average!L46*BOM_average!L53)/1000000</f>
        <v>676.70620091419528</v>
      </c>
      <c r="N142" s="302">
        <f>N38*(BOM_average!M46*BOM_average!M53)/1000000</f>
        <v>690.70989968465915</v>
      </c>
      <c r="O142" s="302">
        <f>O38*(BOM_average!N46*BOM_average!N53)/1000000</f>
        <v>813.88647580737927</v>
      </c>
      <c r="P142" s="302">
        <f>P38*(BOM_average!O46*BOM_average!O53)/1000000</f>
        <v>921.24720751219672</v>
      </c>
      <c r="Q142" s="302">
        <f>Q38*(BOM_average!P46*BOM_average!P53)/1000000</f>
        <v>709.19460050682437</v>
      </c>
      <c r="R142" s="302">
        <f>R38*(BOM_average!Q46*BOM_average!Q53)/1000000</f>
        <v>654.13626450666084</v>
      </c>
      <c r="S142" s="302">
        <f>S38*(BOM_average!R46*BOM_average!R53)/1000000</f>
        <v>654.13626450666084</v>
      </c>
      <c r="T142" s="302">
        <f>T38*(BOM_average!S46*BOM_average!S53)/1000000</f>
        <v>654.13626450666084</v>
      </c>
      <c r="U142" s="302">
        <f>U38*(BOM_average!T46*BOM_average!T53)/1000000</f>
        <v>654.13626450666084</v>
      </c>
      <c r="V142" s="302">
        <f>V38*(BOM_average!U46*BOM_average!U53)/1000000</f>
        <v>654.13626450666084</v>
      </c>
      <c r="W142" s="302">
        <f>W38*(BOM_average!V46*BOM_average!V53)/1000000</f>
        <v>654.13626450666084</v>
      </c>
      <c r="X142" s="302">
        <f>X38*(BOM_average!W46*BOM_average!W53)/1000000</f>
        <v>654.13626450666084</v>
      </c>
      <c r="Y142" s="302">
        <f>Y38*(BOM_average!X46*BOM_average!X53)/1000000</f>
        <v>654.13626450666084</v>
      </c>
      <c r="Z142" s="302">
        <f>Z38*(BOM_average!Y46*BOM_average!Y53)/1000000</f>
        <v>654.13626450666084</v>
      </c>
      <c r="AA142" s="302">
        <f>AA38*(BOM_average!Z46*BOM_average!Z53)/1000000</f>
        <v>654.13626450666084</v>
      </c>
      <c r="AB142" s="302">
        <f>AB38*(BOM_average!AA46*BOM_average!AA53)/1000000</f>
        <v>654.13626450666084</v>
      </c>
    </row>
    <row r="143" spans="1:28">
      <c r="B143" s="294" t="s">
        <v>6912</v>
      </c>
      <c r="C143" s="302">
        <f>C38*(BOM_average!B47*BOM_average!B53)/1000000</f>
        <v>10.857073047458544</v>
      </c>
      <c r="D143" s="302">
        <f>D38*(BOM_average!C47*BOM_average!C53)/1000000</f>
        <v>17.36526642650168</v>
      </c>
      <c r="E143" s="302">
        <f>E38*(BOM_average!D47*BOM_average!D53)/1000000</f>
        <v>16.513374056689813</v>
      </c>
      <c r="F143" s="302">
        <f>F38*(BOM_average!E47*BOM_average!E53)/1000000</f>
        <v>19.072605408271329</v>
      </c>
      <c r="G143" s="302">
        <f>G38*(BOM_average!F47*BOM_average!F53)/1000000</f>
        <v>68.891911819017295</v>
      </c>
      <c r="H143" s="302">
        <f>H38*(BOM_average!G47*BOM_average!G53)/1000000</f>
        <v>163.16974966386084</v>
      </c>
      <c r="I143" s="302">
        <f>I38*(BOM_average!H47*BOM_average!H53)/1000000</f>
        <v>266.71689381015744</v>
      </c>
      <c r="J143" s="302">
        <f>J38*(BOM_average!I47*BOM_average!I53)/1000000</f>
        <v>275.61950871678204</v>
      </c>
      <c r="K143" s="302">
        <f>K38*(BOM_average!J47*BOM_average!J53)/1000000</f>
        <v>255.42413115167636</v>
      </c>
      <c r="L143" s="302">
        <f>L38*(BOM_average!K47*BOM_average!K53)/1000000</f>
        <v>238.69876423140252</v>
      </c>
      <c r="M143" s="302">
        <f>M38*(BOM_average!L47*BOM_average!L53)/1000000</f>
        <v>197.48996010957899</v>
      </c>
      <c r="N143" s="302">
        <f>N38*(BOM_average!M47*BOM_average!M53)/1000000</f>
        <v>201.57680002301456</v>
      </c>
      <c r="O143" s="302">
        <f>O38*(BOM_average!N47*BOM_average!N53)/1000000</f>
        <v>237.52465608233118</v>
      </c>
      <c r="P143" s="302">
        <f>P38*(BOM_average!O47*BOM_average!O53)/1000000</f>
        <v>268.85681558238588</v>
      </c>
      <c r="Q143" s="302">
        <f>Q38*(BOM_average!P47*BOM_average!P53)/1000000</f>
        <v>206.97137572377684</v>
      </c>
      <c r="R143" s="302">
        <f>R38*(BOM_average!Q47*BOM_average!Q53)/1000000</f>
        <v>190.90314912014503</v>
      </c>
      <c r="S143" s="302">
        <f>S38*(BOM_average!R47*BOM_average!R53)/1000000</f>
        <v>190.90314912014503</v>
      </c>
      <c r="T143" s="302">
        <f>T38*(BOM_average!S47*BOM_average!S53)/1000000</f>
        <v>190.90314912014503</v>
      </c>
      <c r="U143" s="302">
        <f>U38*(BOM_average!T47*BOM_average!T53)/1000000</f>
        <v>190.90314912014503</v>
      </c>
      <c r="V143" s="302">
        <f>V38*(BOM_average!U47*BOM_average!U53)/1000000</f>
        <v>190.90314912014503</v>
      </c>
      <c r="W143" s="302">
        <f>W38*(BOM_average!V47*BOM_average!V53)/1000000</f>
        <v>190.90314912014503</v>
      </c>
      <c r="X143" s="302">
        <f>X38*(BOM_average!W47*BOM_average!W53)/1000000</f>
        <v>190.90314912014503</v>
      </c>
      <c r="Y143" s="302">
        <f>Y38*(BOM_average!X47*BOM_average!X53)/1000000</f>
        <v>190.90314912014503</v>
      </c>
      <c r="Z143" s="302">
        <f>Z38*(BOM_average!Y47*BOM_average!Y53)/1000000</f>
        <v>190.90314912014503</v>
      </c>
      <c r="AA143" s="302">
        <f>AA38*(BOM_average!Z47*BOM_average!Z53)/1000000</f>
        <v>190.90314912014503</v>
      </c>
      <c r="AB143" s="302">
        <f>AB38*(BOM_average!AA47*BOM_average!AA53)/1000000</f>
        <v>190.90314912014503</v>
      </c>
    </row>
    <row r="144" spans="1:28">
      <c r="B144" s="294" t="s">
        <v>443</v>
      </c>
      <c r="C144" s="302">
        <f>C38*(BOM_average!B48*BOM_average!B53)/1000000</f>
        <v>24.218655440042628</v>
      </c>
      <c r="D144" s="302">
        <f>D38*(BOM_average!C48*BOM_average!C53)/1000000</f>
        <v>38.73635208767719</v>
      </c>
      <c r="E144" s="302">
        <f>E38*(BOM_average!D48*BOM_average!D53)/1000000</f>
        <v>36.836052837014556</v>
      </c>
      <c r="F144" s="302">
        <f>F38*(BOM_average!E48*BOM_average!E53)/1000000</f>
        <v>42.544878965785607</v>
      </c>
      <c r="G144" s="302">
        <f>G38*(BOM_average!F48*BOM_average!F53)/1000000</f>
        <v>153.67580817199533</v>
      </c>
      <c r="H144" s="302">
        <f>H38*(BOM_average!G48*BOM_average!G53)/1000000</f>
        <v>363.97949319057903</v>
      </c>
      <c r="I144" s="302">
        <f>I38*(BOM_average!H48*BOM_average!H53)/1000000</f>
        <v>594.96003416304779</v>
      </c>
      <c r="J144" s="302">
        <f>J38*(BOM_average!I48*BOM_average!I53)/1000000</f>
        <v>614.81891896528271</v>
      </c>
      <c r="K144" s="302">
        <f>K38*(BOM_average!J48*BOM_average!J53)/1000000</f>
        <v>569.76949463214225</v>
      </c>
      <c r="L144" s="302">
        <f>L38*(BOM_average!K48*BOM_average!K53)/1000000</f>
        <v>532.46055355937153</v>
      </c>
      <c r="M144" s="302">
        <f>M38*(BOM_average!L48*BOM_average!L53)/1000000</f>
        <v>440.53689938848316</v>
      </c>
      <c r="N144" s="302">
        <f>N38*(BOM_average!M48*BOM_average!M53)/1000000</f>
        <v>449.6533313466598</v>
      </c>
      <c r="O144" s="302">
        <f>O38*(BOM_average!N48*BOM_average!N53)/1000000</f>
        <v>529.84149402210869</v>
      </c>
      <c r="P144" s="302">
        <f>P38*(BOM_average!O48*BOM_average!O53)/1000000</f>
        <v>599.73351480960002</v>
      </c>
      <c r="Q144" s="302">
        <f>Q38*(BOM_average!P48*BOM_average!P53)/1000000</f>
        <v>461.68690333893551</v>
      </c>
      <c r="R144" s="302">
        <f>R38*(BOM_average!Q48*BOM_average!Q53)/1000000</f>
        <v>425.84383201162422</v>
      </c>
      <c r="S144" s="302">
        <f>S38*(BOM_average!R48*BOM_average!R53)/1000000</f>
        <v>425.84383201162422</v>
      </c>
      <c r="T144" s="302">
        <f>T38*(BOM_average!S48*BOM_average!S53)/1000000</f>
        <v>425.84383201162422</v>
      </c>
      <c r="U144" s="302">
        <f>U38*(BOM_average!T48*BOM_average!T53)/1000000</f>
        <v>425.84383201162422</v>
      </c>
      <c r="V144" s="302">
        <f>V38*(BOM_average!U48*BOM_average!U53)/1000000</f>
        <v>425.84383201162422</v>
      </c>
      <c r="W144" s="302">
        <f>W38*(BOM_average!V48*BOM_average!V53)/1000000</f>
        <v>425.84383201162422</v>
      </c>
      <c r="X144" s="302">
        <f>X38*(BOM_average!W48*BOM_average!W53)/1000000</f>
        <v>425.84383201162422</v>
      </c>
      <c r="Y144" s="302">
        <f>Y38*(BOM_average!X48*BOM_average!X53)/1000000</f>
        <v>425.84383201162422</v>
      </c>
      <c r="Z144" s="302">
        <f>Z38*(BOM_average!Y48*BOM_average!Y53)/1000000</f>
        <v>425.84383201162422</v>
      </c>
      <c r="AA144" s="302">
        <f>AA38*(BOM_average!Z48*BOM_average!Z53)/1000000</f>
        <v>425.84383201162422</v>
      </c>
      <c r="AB144" s="302">
        <f>AB38*(BOM_average!AA48*BOM_average!AA53)/1000000</f>
        <v>425.84383201162422</v>
      </c>
    </row>
    <row r="145" spans="2:28">
      <c r="B145" s="294" t="s">
        <v>445</v>
      </c>
      <c r="C145" s="302">
        <f>C38*(BOM_average!B49*BOM_average!B53)/1000000</f>
        <v>35.580892526692153</v>
      </c>
      <c r="D145" s="302">
        <f>D38*(BOM_average!C49*BOM_average!C53)/1000000</f>
        <v>56.909599458149074</v>
      </c>
      <c r="E145" s="302">
        <f>E38*(BOM_average!D49*BOM_average!D53)/1000000</f>
        <v>54.117770507373031</v>
      </c>
      <c r="F145" s="302">
        <f>F38*(BOM_average!E49*BOM_average!E53)/1000000</f>
        <v>62.50490535242028</v>
      </c>
      <c r="G145" s="302">
        <f>G38*(BOM_average!F49*BOM_average!F53)/1000000</f>
        <v>225.77316185273335</v>
      </c>
      <c r="H145" s="302">
        <f>H38*(BOM_average!G49*BOM_average!G53)/1000000</f>
        <v>534.74129731089135</v>
      </c>
      <c r="I145" s="302">
        <f>I38*(BOM_average!H49*BOM_average!H53)/1000000</f>
        <v>874.08688255384141</v>
      </c>
      <c r="J145" s="302">
        <f>J38*(BOM_average!I49*BOM_average!I53)/1000000</f>
        <v>903.2626081674116</v>
      </c>
      <c r="K145" s="302">
        <f>K38*(BOM_average!J49*BOM_average!J53)/1000000</f>
        <v>837.07814431246868</v>
      </c>
      <c r="L145" s="302">
        <f>L38*(BOM_average!K49*BOM_average!K53)/1000000</f>
        <v>782.2656289818234</v>
      </c>
      <c r="M145" s="302">
        <f>M38*(BOM_average!L49*BOM_average!L53)/1000000</f>
        <v>647.21578412927045</v>
      </c>
      <c r="N145" s="302">
        <f>N38*(BOM_average!M49*BOM_average!M53)/1000000</f>
        <v>660.60921080127616</v>
      </c>
      <c r="O145" s="302">
        <f>O38*(BOM_average!N49*BOM_average!N53)/1000000</f>
        <v>778.41783172705607</v>
      </c>
      <c r="P145" s="302">
        <f>P38*(BOM_average!O49*BOM_average!O53)/1000000</f>
        <v>881.09985246390499</v>
      </c>
      <c r="Q145" s="302">
        <f>Q38*(BOM_average!P49*BOM_average!P53)/1000000</f>
        <v>678.288360365519</v>
      </c>
      <c r="R145" s="302">
        <f>R38*(BOM_average!Q49*BOM_average!Q53)/1000000</f>
        <v>625.62943089352927</v>
      </c>
      <c r="S145" s="302">
        <f>S38*(BOM_average!R49*BOM_average!R53)/1000000</f>
        <v>625.62943089352927</v>
      </c>
      <c r="T145" s="302">
        <f>T38*(BOM_average!S49*BOM_average!S53)/1000000</f>
        <v>625.62943089352927</v>
      </c>
      <c r="U145" s="302">
        <f>U38*(BOM_average!T49*BOM_average!T53)/1000000</f>
        <v>625.62943089352927</v>
      </c>
      <c r="V145" s="302">
        <f>V38*(BOM_average!U49*BOM_average!U53)/1000000</f>
        <v>625.62943089352927</v>
      </c>
      <c r="W145" s="302">
        <f>W38*(BOM_average!V49*BOM_average!V53)/1000000</f>
        <v>625.62943089352927</v>
      </c>
      <c r="X145" s="302">
        <f>X38*(BOM_average!W49*BOM_average!W53)/1000000</f>
        <v>625.62943089352927</v>
      </c>
      <c r="Y145" s="302">
        <f>Y38*(BOM_average!X49*BOM_average!X53)/1000000</f>
        <v>625.62943089352927</v>
      </c>
      <c r="Z145" s="302">
        <f>Z38*(BOM_average!Y49*BOM_average!Y53)/1000000</f>
        <v>625.62943089352927</v>
      </c>
      <c r="AA145" s="302">
        <f>AA38*(BOM_average!Z49*BOM_average!Z53)/1000000</f>
        <v>625.62943089352927</v>
      </c>
      <c r="AB145" s="302">
        <f>AB38*(BOM_average!AA49*BOM_average!AA53)/1000000</f>
        <v>625.62943089352927</v>
      </c>
    </row>
    <row r="146" spans="2:28">
      <c r="B146" s="294" t="s">
        <v>6915</v>
      </c>
      <c r="C146" s="302">
        <f>C38*(BOM_average!B50*BOM_average!B53)/1000000</f>
        <v>0</v>
      </c>
      <c r="D146" s="302">
        <f>D38*(BOM_average!C50*BOM_average!C53)/1000000</f>
        <v>0</v>
      </c>
      <c r="E146" s="302">
        <f>E38*(BOM_average!D50*BOM_average!D53)/1000000</f>
        <v>0</v>
      </c>
      <c r="F146" s="302">
        <f>F38*(BOM_average!E50*BOM_average!E53)/1000000</f>
        <v>0</v>
      </c>
      <c r="G146" s="302">
        <f>G38*(BOM_average!F50*BOM_average!F53)/1000000</f>
        <v>0</v>
      </c>
      <c r="H146" s="302">
        <f>H38*(BOM_average!G50*BOM_average!G53)/1000000</f>
        <v>0</v>
      </c>
      <c r="I146" s="302">
        <f>I38*(BOM_average!H50*BOM_average!H53)/1000000</f>
        <v>0</v>
      </c>
      <c r="J146" s="302">
        <f>J38*(BOM_average!I50*BOM_average!I53)/1000000</f>
        <v>0</v>
      </c>
      <c r="K146" s="302">
        <f>K38*(BOM_average!J50*BOM_average!J53)/1000000</f>
        <v>0</v>
      </c>
      <c r="L146" s="302">
        <f>L38*(BOM_average!K50*BOM_average!K53)/1000000</f>
        <v>0</v>
      </c>
      <c r="M146" s="302">
        <f>M38*(BOM_average!L50*BOM_average!L53)/1000000</f>
        <v>0</v>
      </c>
      <c r="N146" s="302">
        <f>N38*(BOM_average!M50*BOM_average!M53)/1000000</f>
        <v>0</v>
      </c>
      <c r="O146" s="302">
        <f>O38*(BOM_average!N50*BOM_average!N53)/1000000</f>
        <v>0</v>
      </c>
      <c r="P146" s="302">
        <f>P38*(BOM_average!O50*BOM_average!O53)/1000000</f>
        <v>0</v>
      </c>
      <c r="Q146" s="302">
        <f>Q38*(BOM_average!P50*BOM_average!P53)/1000000</f>
        <v>0</v>
      </c>
      <c r="R146" s="302">
        <f>R38*(BOM_average!Q50*BOM_average!Q53)/1000000</f>
        <v>0</v>
      </c>
      <c r="S146" s="302">
        <f>S38*(BOM_average!R50*BOM_average!R53)/1000000</f>
        <v>0</v>
      </c>
      <c r="T146" s="302">
        <f>T38*(BOM_average!S50*BOM_average!S53)/1000000</f>
        <v>0</v>
      </c>
      <c r="U146" s="302">
        <f>U38*(BOM_average!T50*BOM_average!T53)/1000000</f>
        <v>0</v>
      </c>
      <c r="V146" s="302">
        <f>V38*(BOM_average!U50*BOM_average!U53)/1000000</f>
        <v>0</v>
      </c>
      <c r="W146" s="302">
        <f>W38*(BOM_average!V50*BOM_average!V53)/1000000</f>
        <v>0</v>
      </c>
      <c r="X146" s="302">
        <f>X38*(BOM_average!W50*BOM_average!W53)/1000000</f>
        <v>0</v>
      </c>
      <c r="Y146" s="302">
        <f>Y38*(BOM_average!X50*BOM_average!X53)/1000000</f>
        <v>0</v>
      </c>
      <c r="Z146" s="302">
        <f>Z38*(BOM_average!Y50*BOM_average!Y53)/1000000</f>
        <v>0</v>
      </c>
      <c r="AA146" s="302">
        <f>AA38*(BOM_average!Z50*BOM_average!Z53)/1000000</f>
        <v>0</v>
      </c>
      <c r="AB146" s="302">
        <f>AB38*(BOM_average!AA50*BOM_average!AA53)/1000000</f>
        <v>0</v>
      </c>
    </row>
    <row r="147" spans="2:28" ht="17" thickBot="1">
      <c r="B147" s="297" t="s">
        <v>447</v>
      </c>
      <c r="C147" s="302">
        <f>C38*(BOM_average!B51*BOM_average!B53)/1000000</f>
        <v>1.027191490810186</v>
      </c>
      <c r="D147" s="302">
        <f>D38*(BOM_average!C51*BOM_average!C53)/1000000</f>
        <v>1.6429339501524098</v>
      </c>
      <c r="E147" s="302">
        <f>E38*(BOM_average!D51*BOM_average!D53)/1000000</f>
        <v>1.5623361141120871</v>
      </c>
      <c r="F147" s="302">
        <f>F38*(BOM_average!E51*BOM_average!E53)/1000000</f>
        <v>1.8044658903296786</v>
      </c>
      <c r="G147" s="302">
        <f>G38*(BOM_average!F51*BOM_average!F53)/1000000</f>
        <v>6.5178879516432051</v>
      </c>
      <c r="H147" s="302">
        <f>H38*(BOM_average!G51*BOM_average!G53)/1000000</f>
        <v>15.437547272612287</v>
      </c>
      <c r="I147" s="302">
        <f>I38*(BOM_average!H51*BOM_average!H53)/1000000</f>
        <v>25.234178915398303</v>
      </c>
      <c r="J147" s="302">
        <f>J38*(BOM_average!I51*BOM_average!I53)/1000000</f>
        <v>26.076458435677054</v>
      </c>
      <c r="K147" s="302">
        <f>K38*(BOM_average!J51*BOM_average!J53)/1000000</f>
        <v>24.165766677604061</v>
      </c>
      <c r="L147" s="302">
        <f>L38*(BOM_average!K51*BOM_average!K53)/1000000</f>
        <v>22.583373844279148</v>
      </c>
      <c r="M147" s="302">
        <f>M38*(BOM_average!L51*BOM_average!L53)/1000000</f>
        <v>18.684594425980087</v>
      </c>
      <c r="N147" s="302">
        <f>N38*(BOM_average!M51*BOM_average!M53)/1000000</f>
        <v>19.071251784278612</v>
      </c>
      <c r="O147" s="302">
        <f>O38*(BOM_average!N51*BOM_average!N53)/1000000</f>
        <v>22.472291060296289</v>
      </c>
      <c r="P147" s="302">
        <f>P38*(BOM_average!O51*BOM_average!O53)/1000000</f>
        <v>25.436637665175905</v>
      </c>
      <c r="Q147" s="302">
        <f>Q38*(BOM_average!P51*BOM_average!P53)/1000000</f>
        <v>19.581634484305813</v>
      </c>
      <c r="R147" s="302">
        <f>R38*(BOM_average!Q51*BOM_average!Q53)/1000000</f>
        <v>18.061413926931557</v>
      </c>
      <c r="S147" s="302">
        <f>S38*(BOM_average!R51*BOM_average!R53)/1000000</f>
        <v>18.061413926931557</v>
      </c>
      <c r="T147" s="302">
        <f>T38*(BOM_average!S51*BOM_average!S53)/1000000</f>
        <v>18.061413926931557</v>
      </c>
      <c r="U147" s="302">
        <f>U38*(BOM_average!T51*BOM_average!T53)/1000000</f>
        <v>18.061413926931557</v>
      </c>
      <c r="V147" s="302">
        <f>V38*(BOM_average!U51*BOM_average!U53)/1000000</f>
        <v>18.061413926931557</v>
      </c>
      <c r="W147" s="302">
        <f>W38*(BOM_average!V51*BOM_average!V53)/1000000</f>
        <v>18.061413926931557</v>
      </c>
      <c r="X147" s="302">
        <f>X38*(BOM_average!W51*BOM_average!W53)/1000000</f>
        <v>18.061413926931557</v>
      </c>
      <c r="Y147" s="302">
        <f>Y38*(BOM_average!X51*BOM_average!X53)/1000000</f>
        <v>18.061413926931557</v>
      </c>
      <c r="Z147" s="302">
        <f>Z38*(BOM_average!Y51*BOM_average!Y53)/1000000</f>
        <v>18.061413926931557</v>
      </c>
      <c r="AA147" s="302">
        <f>AA38*(BOM_average!Z51*BOM_average!Z53)/1000000</f>
        <v>18.061413926931557</v>
      </c>
      <c r="AB147" s="302">
        <f>AB38*(BOM_average!AA51*BOM_average!AA53)/1000000</f>
        <v>18.061413926931557</v>
      </c>
    </row>
    <row r="148" spans="2:28">
      <c r="B148" s="296" t="s">
        <v>7797</v>
      </c>
      <c r="C148" s="304">
        <f>C38*(BOM_average!B53)/1000000</f>
        <v>163.36812599646331</v>
      </c>
      <c r="D148" s="304">
        <f>D38*(BOM_average!C53)/1000000</f>
        <v>261.29795950769233</v>
      </c>
      <c r="E148" s="304">
        <f>E38*(BOM_average!D53)/1000000</f>
        <v>248.47939787524311</v>
      </c>
      <c r="F148" s="304">
        <f>F38*(BOM_average!E53)/1000000</f>
        <v>286.98856402634834</v>
      </c>
      <c r="G148" s="304">
        <f>G38*(BOM_average!F53)/1000000</f>
        <v>1036.6276878666665</v>
      </c>
      <c r="H148" s="304">
        <f>H38*(BOM_average!G53)/1000000</f>
        <v>2455.2414914567489</v>
      </c>
      <c r="I148" s="304">
        <f>I38*(BOM_average!H53)/1000000</f>
        <v>4013.3320392057985</v>
      </c>
      <c r="J148" s="304">
        <f>J38*(BOM_average!I53)/1000000</f>
        <v>4147.2911189141087</v>
      </c>
      <c r="K148" s="304">
        <f>K38*(BOM_average!J53)/1000000</f>
        <v>3843.4080214917662</v>
      </c>
      <c r="L148" s="304">
        <f>L38*(BOM_average!K53)/1000000</f>
        <v>3591.7387328700061</v>
      </c>
      <c r="M148" s="304">
        <f>M38*(BOM_average!L53)/1000000</f>
        <v>2971.6632231529989</v>
      </c>
      <c r="N148" s="304">
        <f>N38*(BOM_average!M53)/1000000</f>
        <v>3033.158561259967</v>
      </c>
      <c r="O148" s="304">
        <f>O38*(BOM_average!N53)/1000000</f>
        <v>3574.0717385343769</v>
      </c>
      <c r="P148" s="304">
        <f>P38*(BOM_average!O53)/1000000</f>
        <v>4045.531786612843</v>
      </c>
      <c r="Q148" s="304">
        <f>Q38*(BOM_average!P53)/1000000</f>
        <v>3114.331610287752</v>
      </c>
      <c r="R148" s="304">
        <f>R38*(BOM_average!Q53)/1000000</f>
        <v>2872.5504178017786</v>
      </c>
      <c r="S148" s="304">
        <f>S38*(BOM_average!R53)/1000000</f>
        <v>2872.5504178017786</v>
      </c>
      <c r="T148" s="304">
        <f>T38*(BOM_average!S53)/1000000</f>
        <v>2872.5504178017786</v>
      </c>
      <c r="U148" s="304">
        <f>U38*(BOM_average!T53)/1000000</f>
        <v>2872.5504178017786</v>
      </c>
      <c r="V148" s="304">
        <f>V38*(BOM_average!U53)/1000000</f>
        <v>2872.5504178017786</v>
      </c>
      <c r="W148" s="304">
        <f>W38*(BOM_average!V53)/1000000</f>
        <v>2872.5504178017786</v>
      </c>
      <c r="X148" s="304">
        <f>X38*(BOM_average!W53)/1000000</f>
        <v>2872.5504178017786</v>
      </c>
      <c r="Y148" s="304">
        <f>Y38*(BOM_average!X53)/1000000</f>
        <v>2872.5504178017786</v>
      </c>
      <c r="Z148" s="304">
        <f>Z38*(BOM_average!Y53)/1000000</f>
        <v>2872.5504178017786</v>
      </c>
      <c r="AA148" s="304">
        <f>AA38*(BOM_average!Z53)/1000000</f>
        <v>2872.5504178017786</v>
      </c>
      <c r="AB148" s="304">
        <f>AB38*(BOM_average!AA53)/1000000</f>
        <v>2872.5504178017786</v>
      </c>
    </row>
    <row r="149" spans="2:28">
      <c r="B149" s="295" t="s">
        <v>7798</v>
      </c>
      <c r="C149" s="302">
        <f>C38*(BOM_average!B54)/1000000</f>
        <v>193.3910140535809</v>
      </c>
      <c r="D149" s="302">
        <f>D38*(BOM_average!C54)/1000000</f>
        <v>309.31784918937063</v>
      </c>
      <c r="E149" s="302">
        <f>E38*(BOM_average!D54)/1000000</f>
        <v>294.14356339961171</v>
      </c>
      <c r="F149" s="302">
        <f>F38*(BOM_average!E54)/1000000</f>
        <v>339.72973051082232</v>
      </c>
      <c r="G149" s="302">
        <f>G38*(BOM_average!F54)/1000000</f>
        <v>1227.1333745781817</v>
      </c>
      <c r="H149" s="302">
        <f>H38*(BOM_average!G54)/1000000</f>
        <v>2906.4521545012176</v>
      </c>
      <c r="I149" s="302">
        <f>I38*(BOM_average!H54)/1000000</f>
        <v>4750.8799410023075</v>
      </c>
      <c r="J149" s="302">
        <f>J38*(BOM_average!I54)/1000000</f>
        <v>4909.4572773612699</v>
      </c>
      <c r="K149" s="302">
        <f>K38*(BOM_average!J54)/1000000</f>
        <v>4549.7282298142463</v>
      </c>
      <c r="L149" s="302">
        <f>L38*(BOM_average!K54)/1000000</f>
        <v>4251.8085552397879</v>
      </c>
      <c r="M149" s="302">
        <f>M38*(BOM_average!L54)/1000000</f>
        <v>3517.7790076610931</v>
      </c>
      <c r="N149" s="302">
        <f>N38*(BOM_average!M54)/1000000</f>
        <v>3590.5756179149917</v>
      </c>
      <c r="O149" s="302">
        <f>O38*(BOM_average!N54)/1000000</f>
        <v>4230.8948186770012</v>
      </c>
      <c r="P149" s="302">
        <f>P38*(BOM_average!O54)/1000000</f>
        <v>4788.9971793885288</v>
      </c>
      <c r="Q149" s="302">
        <f>Q38*(BOM_average!P54)/1000000</f>
        <v>3686.6661996582402</v>
      </c>
      <c r="R149" s="302">
        <f>R38*(BOM_average!Q54)/1000000</f>
        <v>3400.4518006820363</v>
      </c>
      <c r="S149" s="302">
        <f>S38*(BOM_average!R54)/1000000</f>
        <v>3400.4518006820363</v>
      </c>
      <c r="T149" s="302">
        <f>T38*(BOM_average!S54)/1000000</f>
        <v>3400.4518006820363</v>
      </c>
      <c r="U149" s="302">
        <f>U38*(BOM_average!T54)/1000000</f>
        <v>3400.4518006820363</v>
      </c>
      <c r="V149" s="302">
        <f>V38*(BOM_average!U54)/1000000</f>
        <v>3400.4518006820363</v>
      </c>
      <c r="W149" s="302">
        <f>W38*(BOM_average!V54)/1000000</f>
        <v>3400.4518006820363</v>
      </c>
      <c r="X149" s="302">
        <f>X38*(BOM_average!W54)/1000000</f>
        <v>3400.4518006820363</v>
      </c>
      <c r="Y149" s="302">
        <f>Y38*(BOM_average!X54)/1000000</f>
        <v>3400.4518006820363</v>
      </c>
      <c r="Z149" s="302">
        <f>Z38*(BOM_average!Y54)/1000000</f>
        <v>3400.4518006820363</v>
      </c>
      <c r="AA149" s="302">
        <f>AA38*(BOM_average!Z54)/1000000</f>
        <v>3400.4518006820363</v>
      </c>
      <c r="AB149" s="302">
        <f>AB38*(BOM_average!AA54)/1000000</f>
        <v>3400.4518006820363</v>
      </c>
    </row>
    <row r="150" spans="2:28">
      <c r="B150" s="295" t="s">
        <v>7799</v>
      </c>
      <c r="C150" s="302">
        <f>C38*(BOM_average!B55)/1000000</f>
        <v>138.71251066339522</v>
      </c>
      <c r="D150" s="302">
        <f>D38*(BOM_average!C55)/1000000</f>
        <v>221.86271510097902</v>
      </c>
      <c r="E150" s="302">
        <f>E38*(BOM_average!D55)/1000000</f>
        <v>210.97873846058474</v>
      </c>
      <c r="F150" s="302">
        <f>F38*(BOM_average!E55)/1000000</f>
        <v>243.67607821270556</v>
      </c>
      <c r="G150" s="302">
        <f>G38*(BOM_average!F55)/1000000</f>
        <v>880.17921690727269</v>
      </c>
      <c r="H150" s="302">
        <f>H38*(BOM_average!G55)/1000000</f>
        <v>2084.6949763767116</v>
      </c>
      <c r="I150" s="302">
        <f>I38*(BOM_average!H55)/1000000</f>
        <v>3407.6375663153035</v>
      </c>
      <c r="J150" s="302">
        <f>J38*(BOM_average!I55)/1000000</f>
        <v>3521.379461554402</v>
      </c>
      <c r="K150" s="302">
        <f>K38*(BOM_average!J55)/1000000</f>
        <v>3263.3585830353281</v>
      </c>
      <c r="L150" s="302">
        <f>L38*(BOM_average!K55)/1000000</f>
        <v>3049.6713740484856</v>
      </c>
      <c r="M150" s="302">
        <f>M38*(BOM_average!L55)/1000000</f>
        <v>2523.1780313043041</v>
      </c>
      <c r="N150" s="302">
        <f>N38*(BOM_average!M55)/1000000</f>
        <v>2575.3924561860376</v>
      </c>
      <c r="O150" s="302">
        <f>O38*(BOM_average!N55)/1000000</f>
        <v>3034.6706930697246</v>
      </c>
      <c r="P150" s="302">
        <f>P38*(BOM_average!O55)/1000000</f>
        <v>3434.9777085757037</v>
      </c>
      <c r="Q150" s="302">
        <f>Q38*(BOM_average!P55)/1000000</f>
        <v>2644.314820081494</v>
      </c>
      <c r="R150" s="302">
        <f>R38*(BOM_average!Q55)/1000000</f>
        <v>2439.0233898446982</v>
      </c>
      <c r="S150" s="302">
        <f>S38*(BOM_average!R55)/1000000</f>
        <v>2439.0233898446982</v>
      </c>
      <c r="T150" s="302">
        <f>T38*(BOM_average!S55)/1000000</f>
        <v>2439.0233898446982</v>
      </c>
      <c r="U150" s="302">
        <f>U38*(BOM_average!T55)/1000000</f>
        <v>2439.0233898446982</v>
      </c>
      <c r="V150" s="302">
        <f>V38*(BOM_average!U55)/1000000</f>
        <v>2439.0233898446982</v>
      </c>
      <c r="W150" s="302">
        <f>W38*(BOM_average!V55)/1000000</f>
        <v>2439.0233898446982</v>
      </c>
      <c r="X150" s="302">
        <f>X38*(BOM_average!W55)/1000000</f>
        <v>2439.0233898446982</v>
      </c>
      <c r="Y150" s="302">
        <f>Y38*(BOM_average!X55)/1000000</f>
        <v>2439.0233898446982</v>
      </c>
      <c r="Z150" s="302">
        <f>Z38*(BOM_average!Y55)/1000000</f>
        <v>2439.0233898446982</v>
      </c>
      <c r="AA150" s="302">
        <f>AA38*(BOM_average!Z55)/1000000</f>
        <v>2439.0233898446982</v>
      </c>
      <c r="AB150" s="302">
        <f>AB38*(BOM_average!AA55)/1000000</f>
        <v>2439.0233898446982</v>
      </c>
    </row>
    <row r="152" spans="2:28">
      <c r="B152" s="291" t="s">
        <v>7795</v>
      </c>
    </row>
    <row r="153" spans="2:28">
      <c r="B153" s="294" t="s">
        <v>437</v>
      </c>
      <c r="C153" s="299">
        <f>C5*(BOM_average!B42*BOM_average!B53)/1000000</f>
        <v>15.243014935216967</v>
      </c>
      <c r="D153" s="299">
        <f>D5*(BOM_average!C42*BOM_average!C53)/1000000</f>
        <v>38.481172037129163</v>
      </c>
      <c r="E153" s="299">
        <f>E5*(BOM_average!D42*BOM_average!D53)/1000000</f>
        <v>57.775110848727195</v>
      </c>
      <c r="F153" s="299">
        <f>F5*(BOM_average!E42*BOM_average!E53)/1000000</f>
        <v>77.180267826299058</v>
      </c>
      <c r="G153" s="299">
        <f>G5*(BOM_average!F42*BOM_average!F53)/1000000</f>
        <v>162.77197961923403</v>
      </c>
      <c r="H153" s="299">
        <f>H5*(BOM_average!G42*BOM_average!G53)/1000000</f>
        <v>371.8627413694432</v>
      </c>
      <c r="I153" s="299">
        <f>I5*(BOM_average!H42*BOM_average!H53)/1000000</f>
        <v>703.78432419610965</v>
      </c>
      <c r="J153" s="299">
        <f>J5*(BOM_average!I42*BOM_average!I53)/1000000</f>
        <v>1006.1092545323157</v>
      </c>
      <c r="K153" s="299">
        <f>K5*(BOM_average!J42*BOM_average!J53)/1000000</f>
        <v>1226.880159306294</v>
      </c>
      <c r="L153" s="299">
        <f>L5*(BOM_average!K42*BOM_average!K53)/1000000</f>
        <v>1372.2906279175249</v>
      </c>
      <c r="M153" s="299">
        <f>M5*(BOM_average!L42*BOM_average!L53)/1000000</f>
        <v>1416.5589716138441</v>
      </c>
      <c r="N153" s="299">
        <f>N5*(BOM_average!M42*BOM_average!M53)/1000000</f>
        <v>1437.4965955499115</v>
      </c>
      <c r="O153" s="299">
        <f>O5*(BOM_average!N42*BOM_average!N53)/1000000</f>
        <v>1491.8694912368585</v>
      </c>
      <c r="P153" s="299">
        <f>P5*(BOM_average!O42*BOM_average!O53)/1000000</f>
        <v>1577.5787985657296</v>
      </c>
      <c r="Q153" s="299">
        <f>Q5*(BOM_average!P42*BOM_average!P53)/1000000</f>
        <v>1562.7533308617778</v>
      </c>
      <c r="R153" s="299">
        <f>R5*(BOM_average!Q42*BOM_average!Q53)/1000000</f>
        <v>1517.7923117795342</v>
      </c>
      <c r="S153" s="299">
        <f>S5*(BOM_average!R42*BOM_average!R53)/1000000</f>
        <v>1473.2278367017427</v>
      </c>
      <c r="T153" s="299">
        <f>T5*(BOM_average!S42*BOM_average!S53)/1000000</f>
        <v>1433.6760540597315</v>
      </c>
      <c r="U153" s="299">
        <f>U5*(BOM_average!T42*BOM_average!T53)/1000000</f>
        <v>1401.0694672208911</v>
      </c>
      <c r="V153" s="299">
        <f>V5*(BOM_average!U42*BOM_average!U53)/1000000</f>
        <v>1375.6988895363597</v>
      </c>
      <c r="W153" s="299">
        <f>W5*(BOM_average!V42*BOM_average!V53)/1000000</f>
        <v>1356.8990178972504</v>
      </c>
      <c r="X153" s="299">
        <f>X5*(BOM_average!W42*BOM_average!W53)/1000000</f>
        <v>1343.5551939180921</v>
      </c>
      <c r="Y153" s="299">
        <f>Y5*(BOM_average!X42*BOM_average!X53)/1000000</f>
        <v>1334.4466501784173</v>
      </c>
      <c r="Z153" s="299">
        <f>Z5*(BOM_average!Y42*BOM_average!Y53)/1000000</f>
        <v>1328.4494849687692</v>
      </c>
      <c r="AA153" s="299">
        <f>AA5*(BOM_average!Z42*BOM_average!Z53)/1000000</f>
        <v>1324.6321225840318</v>
      </c>
      <c r="AB153" s="299">
        <f>AB5*(BOM_average!AA42*BOM_average!AA53)/1000000</f>
        <v>1322.2786648787626</v>
      </c>
    </row>
    <row r="154" spans="2:28">
      <c r="B154" s="294" t="s">
        <v>217</v>
      </c>
      <c r="C154" s="299">
        <f>C5*(BOM_average!B43*BOM_average!B53)/1000000</f>
        <v>0.70972617234927715</v>
      </c>
      <c r="D154" s="299">
        <f>D5*(BOM_average!C43*BOM_average!C53)/1000000</f>
        <v>1.7917121418235349</v>
      </c>
      <c r="E154" s="299">
        <f>E5*(BOM_average!D43*BOM_average!D53)/1000000</f>
        <v>2.6900523586699947</v>
      </c>
      <c r="F154" s="299">
        <f>F5*(BOM_average!E43*BOM_average!E53)/1000000</f>
        <v>3.5935709764802919</v>
      </c>
      <c r="G154" s="299">
        <f>G5*(BOM_average!F43*BOM_average!F53)/1000000</f>
        <v>7.5787850731531936</v>
      </c>
      <c r="H154" s="299">
        <f>H5*(BOM_average!G43*BOM_average!G53)/1000000</f>
        <v>17.314207274158758</v>
      </c>
      <c r="I154" s="299">
        <f>I5*(BOM_average!H43*BOM_average!H53)/1000000</f>
        <v>32.768724343181781</v>
      </c>
      <c r="J154" s="299">
        <f>J5*(BOM_average!I43*BOM_average!I53)/1000000</f>
        <v>46.845199143291488</v>
      </c>
      <c r="K154" s="299">
        <f>K5*(BOM_average!J43*BOM_average!J53)/1000000</f>
        <v>57.124457536545314</v>
      </c>
      <c r="L154" s="299">
        <f>L5*(BOM_average!K43*BOM_average!K53)/1000000</f>
        <v>63.894877676233683</v>
      </c>
      <c r="M154" s="299">
        <f>M5*(BOM_average!L43*BOM_average!L53)/1000000</f>
        <v>65.956044857487498</v>
      </c>
      <c r="N154" s="299">
        <f>N5*(BOM_average!M43*BOM_average!M53)/1000000</f>
        <v>66.930916282687093</v>
      </c>
      <c r="O154" s="299">
        <f>O5*(BOM_average!N43*BOM_average!N53)/1000000</f>
        <v>69.462558959641157</v>
      </c>
      <c r="P154" s="299">
        <f>P5*(BOM_average!O43*BOM_average!O53)/1000000</f>
        <v>73.4532483923916</v>
      </c>
      <c r="Q154" s="299">
        <f>Q5*(BOM_average!P43*BOM_average!P53)/1000000</f>
        <v>72.762963531323607</v>
      </c>
      <c r="R154" s="299">
        <f>R5*(BOM_average!Q43*BOM_average!Q53)/1000000</f>
        <v>70.669544866198521</v>
      </c>
      <c r="S154" s="299">
        <f>S5*(BOM_average!R43*BOM_average!R53)/1000000</f>
        <v>68.594589586410535</v>
      </c>
      <c r="T154" s="299">
        <f>T5*(BOM_average!S43*BOM_average!S53)/1000000</f>
        <v>66.753029014344762</v>
      </c>
      <c r="U154" s="299">
        <f>U5*(BOM_average!T43*BOM_average!T53)/1000000</f>
        <v>65.234841951689688</v>
      </c>
      <c r="V154" s="299">
        <f>V5*(BOM_average!U43*BOM_average!U53)/1000000</f>
        <v>64.053568885510927</v>
      </c>
      <c r="W154" s="299">
        <f>W5*(BOM_average!V43*BOM_average!V53)/1000000</f>
        <v>63.178232805621882</v>
      </c>
      <c r="X154" s="299">
        <f>X5*(BOM_average!W43*BOM_average!W53)/1000000</f>
        <v>62.556934384182291</v>
      </c>
      <c r="Y154" s="299">
        <f>Y5*(BOM_average!X43*BOM_average!X53)/1000000</f>
        <v>62.132833777346306</v>
      </c>
      <c r="Z154" s="299">
        <f>Z5*(BOM_average!Y43*BOM_average!Y53)/1000000</f>
        <v>61.85360128119779</v>
      </c>
      <c r="AA154" s="299">
        <f>AA5*(BOM_average!Z43*BOM_average!Z53)/1000000</f>
        <v>61.675862034381836</v>
      </c>
      <c r="AB154" s="299">
        <f>AB5*(BOM_average!AA43*BOM_average!AA53)/1000000</f>
        <v>61.566283283980724</v>
      </c>
    </row>
    <row r="155" spans="2:28">
      <c r="B155" s="294" t="s">
        <v>313</v>
      </c>
      <c r="C155" s="299">
        <f>C5*(BOM_average!B44*BOM_average!B53)/1000000</f>
        <v>6.6447888393676688</v>
      </c>
      <c r="D155" s="299">
        <f>D5*(BOM_average!C44*BOM_average!C53)/1000000</f>
        <v>16.774848254418739</v>
      </c>
      <c r="E155" s="299">
        <f>E5*(BOM_average!D44*BOM_average!D53)/1000000</f>
        <v>25.185530119365986</v>
      </c>
      <c r="F155" s="299">
        <f>F5*(BOM_average!E44*BOM_average!E53)/1000000</f>
        <v>33.644694599539854</v>
      </c>
      <c r="G155" s="299">
        <f>G5*(BOM_average!F44*BOM_average!F53)/1000000</f>
        <v>70.956135523872518</v>
      </c>
      <c r="H155" s="299">
        <f>H5*(BOM_average!G44*BOM_average!G53)/1000000</f>
        <v>162.10371794096596</v>
      </c>
      <c r="I155" s="299">
        <f>I5*(BOM_average!H44*BOM_average!H53)/1000000</f>
        <v>306.79614515995763</v>
      </c>
      <c r="J155" s="299">
        <f>J5*(BOM_average!I44*BOM_average!I53)/1000000</f>
        <v>438.5866952249167</v>
      </c>
      <c r="K155" s="299">
        <f>K5*(BOM_average!J44*BOM_average!J53)/1000000</f>
        <v>534.82592678992557</v>
      </c>
      <c r="L155" s="299">
        <f>L5*(BOM_average!K44*BOM_average!K53)/1000000</f>
        <v>598.21377119351541</v>
      </c>
      <c r="M155" s="299">
        <f>M5*(BOM_average!L44*BOM_average!L53)/1000000</f>
        <v>617.51138373150422</v>
      </c>
      <c r="N155" s="299">
        <f>N5*(BOM_average!M44*BOM_average!M53)/1000000</f>
        <v>626.63858661390952</v>
      </c>
      <c r="O155" s="299">
        <f>O5*(BOM_average!N44*BOM_average!N53)/1000000</f>
        <v>650.34101109884523</v>
      </c>
      <c r="P155" s="299">
        <f>P5*(BOM_average!O44*BOM_average!O53)/1000000</f>
        <v>687.70371468401436</v>
      </c>
      <c r="Q155" s="299">
        <f>Q5*(BOM_average!P44*BOM_average!P53)/1000000</f>
        <v>681.24094450657208</v>
      </c>
      <c r="R155" s="299">
        <f>R5*(BOM_average!Q44*BOM_average!Q53)/1000000</f>
        <v>661.64137847098084</v>
      </c>
      <c r="S155" s="299">
        <f>S5*(BOM_average!R44*BOM_average!R53)/1000000</f>
        <v>642.21467529659526</v>
      </c>
      <c r="T155" s="299">
        <f>T5*(BOM_average!S44*BOM_average!S53)/1000000</f>
        <v>624.97312269078259</v>
      </c>
      <c r="U155" s="299">
        <f>U5*(BOM_average!T44*BOM_average!T53)/1000000</f>
        <v>610.75914433824369</v>
      </c>
      <c r="V155" s="299">
        <f>V5*(BOM_average!U44*BOM_average!U53)/1000000</f>
        <v>599.6995126208335</v>
      </c>
      <c r="W155" s="299">
        <f>W5*(BOM_average!V44*BOM_average!V53)/1000000</f>
        <v>591.50420626050936</v>
      </c>
      <c r="X155" s="299">
        <f>X5*(BOM_average!W44*BOM_average!W53)/1000000</f>
        <v>585.68731944198726</v>
      </c>
      <c r="Y155" s="299">
        <f>Y5*(BOM_average!X44*BOM_average!X53)/1000000</f>
        <v>581.71669092515435</v>
      </c>
      <c r="Z155" s="299">
        <f>Z5*(BOM_average!Y44*BOM_average!Y53)/1000000</f>
        <v>579.10238551232908</v>
      </c>
      <c r="AA155" s="299">
        <f>AA5*(BOM_average!Z44*BOM_average!Z53)/1000000</f>
        <v>577.43830743606077</v>
      </c>
      <c r="AB155" s="299">
        <f>AB5*(BOM_average!AA44*BOM_average!AA53)/1000000</f>
        <v>576.41237985150099</v>
      </c>
    </row>
    <row r="156" spans="2:28">
      <c r="B156" s="294" t="s">
        <v>6911</v>
      </c>
      <c r="C156" s="299">
        <f>C5*(BOM_average!B45*BOM_average!B53)/1000000</f>
        <v>31.857418002626652</v>
      </c>
      <c r="D156" s="299">
        <f>D5*(BOM_average!C45*BOM_average!C53)/1000000</f>
        <v>80.424429683231992</v>
      </c>
      <c r="E156" s="299">
        <f>E5*(BOM_average!D45*BOM_average!D53)/1000000</f>
        <v>120.74815017097495</v>
      </c>
      <c r="F156" s="299">
        <f>F5*(BOM_average!E45*BOM_average!E53)/1000000</f>
        <v>161.30431309992602</v>
      </c>
      <c r="G156" s="299">
        <f>G5*(BOM_average!F45*BOM_average!F53)/1000000</f>
        <v>340.18827744271022</v>
      </c>
      <c r="H156" s="299">
        <f>H5*(BOM_average!G45*BOM_average!G53)/1000000</f>
        <v>777.1813412082297</v>
      </c>
      <c r="I156" s="299">
        <f>I5*(BOM_average!H45*BOM_average!H53)/1000000</f>
        <v>1470.886927218801</v>
      </c>
      <c r="J156" s="299">
        <f>J5*(BOM_average!I45*BOM_average!I53)/1000000</f>
        <v>2102.7364477545107</v>
      </c>
      <c r="K156" s="299">
        <f>K5*(BOM_average!J45*BOM_average!J53)/1000000</f>
        <v>2564.1406401727349</v>
      </c>
      <c r="L156" s="299">
        <f>L5*(BOM_average!K45*BOM_average!K53)/1000000</f>
        <v>2868.0439099781884</v>
      </c>
      <c r="M156" s="299">
        <f>M5*(BOM_average!L45*BOM_average!L53)/1000000</f>
        <v>2960.5633449725956</v>
      </c>
      <c r="N156" s="299">
        <f>N5*(BOM_average!M45*BOM_average!M53)/1000000</f>
        <v>3004.3223152647552</v>
      </c>
      <c r="O156" s="299">
        <f>O5*(BOM_average!N45*BOM_average!N53)/1000000</f>
        <v>3117.9599435997056</v>
      </c>
      <c r="P156" s="299">
        <f>P5*(BOM_average!O45*BOM_average!O53)/1000000</f>
        <v>3297.0896788847531</v>
      </c>
      <c r="Q156" s="299">
        <f>Q5*(BOM_average!P45*BOM_average!P53)/1000000</f>
        <v>3266.1049213589931</v>
      </c>
      <c r="R156" s="299">
        <f>R5*(BOM_average!Q45*BOM_average!Q53)/1000000</f>
        <v>3172.1378167661951</v>
      </c>
      <c r="S156" s="299">
        <f>S5*(BOM_average!R45*BOM_average!R53)/1000000</f>
        <v>3078.9994765720389</v>
      </c>
      <c r="T156" s="299">
        <f>T5*(BOM_average!S45*BOM_average!S53)/1000000</f>
        <v>2996.3375046635506</v>
      </c>
      <c r="U156" s="299">
        <f>U5*(BOM_average!T45*BOM_average!T53)/1000000</f>
        <v>2928.1907718171519</v>
      </c>
      <c r="V156" s="299">
        <f>V5*(BOM_average!U45*BOM_average!U53)/1000000</f>
        <v>2875.1670687177811</v>
      </c>
      <c r="W156" s="299">
        <f>W5*(BOM_average!V45*BOM_average!V53)/1000000</f>
        <v>2835.8759329583377</v>
      </c>
      <c r="X156" s="299">
        <f>X5*(BOM_average!W45*BOM_average!W53)/1000000</f>
        <v>2807.9877638484732</v>
      </c>
      <c r="Y156" s="299">
        <f>Y5*(BOM_average!X45*BOM_average!X53)/1000000</f>
        <v>2788.9511961784106</v>
      </c>
      <c r="Z156" s="299">
        <f>Z5*(BOM_average!Y45*BOM_average!Y53)/1000000</f>
        <v>2776.4173110036891</v>
      </c>
      <c r="AA156" s="299">
        <f>AA5*(BOM_average!Z45*BOM_average!Z53)/1000000</f>
        <v>2768.4391446320806</v>
      </c>
      <c r="AB156" s="299">
        <f>AB5*(BOM_average!AA45*BOM_average!AA53)/1000000</f>
        <v>2763.5204926339748</v>
      </c>
    </row>
    <row r="157" spans="2:28">
      <c r="B157" s="294" t="s">
        <v>441</v>
      </c>
      <c r="C157" s="299">
        <f>C5*(BOM_average!B46*BOM_average!B53)/1000000</f>
        <v>37.202137520899818</v>
      </c>
      <c r="D157" s="299">
        <f>D5*(BOM_average!C46*BOM_average!C53)/1000000</f>
        <v>93.917237513374317</v>
      </c>
      <c r="E157" s="299">
        <f>E5*(BOM_average!D46*BOM_average!D53)/1000000</f>
        <v>141.00606922018912</v>
      </c>
      <c r="F157" s="299">
        <f>F5*(BOM_average!E46*BOM_average!E53)/1000000</f>
        <v>188.36634024022152</v>
      </c>
      <c r="G157" s="299">
        <f>G5*(BOM_average!F46*BOM_average!F53)/1000000</f>
        <v>397.26167008821176</v>
      </c>
      <c r="H157" s="299">
        <f>H5*(BOM_average!G46*BOM_average!G53)/1000000</f>
        <v>907.56906701987145</v>
      </c>
      <c r="I157" s="299">
        <f>I5*(BOM_average!H46*BOM_average!H53)/1000000</f>
        <v>1717.657650082499</v>
      </c>
      <c r="J157" s="299">
        <f>J5*(BOM_average!I46*BOM_average!I53)/1000000</f>
        <v>2455.5125745947744</v>
      </c>
      <c r="K157" s="299">
        <f>K5*(BOM_average!J46*BOM_average!J53)/1000000</f>
        <v>2994.3265556163124</v>
      </c>
      <c r="L157" s="299">
        <f>L5*(BOM_average!K46*BOM_average!K53)/1000000</f>
        <v>3349.2156817665063</v>
      </c>
      <c r="M157" s="299">
        <f>M5*(BOM_average!L46*BOM_average!L53)/1000000</f>
        <v>3457.2571038219312</v>
      </c>
      <c r="N157" s="299">
        <f>N5*(BOM_average!M46*BOM_average!M53)/1000000</f>
        <v>3508.3575172467627</v>
      </c>
      <c r="O157" s="299">
        <f>O5*(BOM_average!N46*BOM_average!N53)/1000000</f>
        <v>3641.0601322709044</v>
      </c>
      <c r="P157" s="299">
        <f>P5*(BOM_average!O46*BOM_average!O53)/1000000</f>
        <v>3850.2424660559986</v>
      </c>
      <c r="Q157" s="299">
        <f>Q5*(BOM_average!P46*BOM_average!P53)/1000000</f>
        <v>3814.0593952738645</v>
      </c>
      <c r="R157" s="299">
        <f>R5*(BOM_average!Q46*BOM_average!Q53)/1000000</f>
        <v>3704.327428068807</v>
      </c>
      <c r="S157" s="299">
        <f>S5*(BOM_average!R46*BOM_average!R53)/1000000</f>
        <v>3595.5632670785585</v>
      </c>
      <c r="T157" s="299">
        <f>T5*(BOM_average!S46*BOM_average!S53)/1000000</f>
        <v>3499.0330948456799</v>
      </c>
      <c r="U157" s="299">
        <f>U5*(BOM_average!T46*BOM_average!T53)/1000000</f>
        <v>3419.4533835601419</v>
      </c>
      <c r="V157" s="299">
        <f>V5*(BOM_average!U46*BOM_average!U53)/1000000</f>
        <v>3357.5338929596319</v>
      </c>
      <c r="W157" s="299">
        <f>W5*(BOM_average!V46*BOM_average!V53)/1000000</f>
        <v>3311.6508827371881</v>
      </c>
      <c r="X157" s="299">
        <f>X5*(BOM_average!W46*BOM_average!W53)/1000000</f>
        <v>3279.0839150580832</v>
      </c>
      <c r="Y157" s="299">
        <f>Y5*(BOM_average!X46*BOM_average!X53)/1000000</f>
        <v>3256.8535821312535</v>
      </c>
      <c r="Z157" s="299">
        <f>Z5*(BOM_average!Y46*BOM_average!Y53)/1000000</f>
        <v>3242.2168868440613</v>
      </c>
      <c r="AA157" s="299">
        <f>AA5*(BOM_average!Z46*BOM_average!Z53)/1000000</f>
        <v>3232.9002233750775</v>
      </c>
      <c r="AB157" s="299">
        <f>AB5*(BOM_average!AA46*BOM_average!AA53)/1000000</f>
        <v>3227.1563690540561</v>
      </c>
    </row>
    <row r="158" spans="2:28">
      <c r="B158" s="294" t="s">
        <v>6912</v>
      </c>
      <c r="C158" s="299">
        <f>C5*(BOM_average!B47*BOM_average!B53)/1000000</f>
        <v>10.857073047458544</v>
      </c>
      <c r="D158" s="299">
        <f>D5*(BOM_average!C47*BOM_average!C53)/1000000</f>
        <v>27.408809709532946</v>
      </c>
      <c r="E158" s="299">
        <f>E5*(BOM_average!D47*BOM_average!D53)/1000000</f>
        <v>41.151215915981616</v>
      </c>
      <c r="F158" s="299">
        <f>F5*(BOM_average!E47*BOM_average!E53)/1000000</f>
        <v>54.972838980598702</v>
      </c>
      <c r="G158" s="299">
        <f>G5*(BOM_average!F47*BOM_average!F53)/1000000</f>
        <v>115.93685896892438</v>
      </c>
      <c r="H158" s="299">
        <f>H5*(BOM_average!G47*BOM_average!G53)/1000000</f>
        <v>264.8649866076355</v>
      </c>
      <c r="I158" s="299">
        <f>I5*(BOM_average!H47*BOM_average!H53)/1000000</f>
        <v>501.28126554542712</v>
      </c>
      <c r="J158" s="299">
        <f>J5*(BOM_average!I47*BOM_average!I53)/1000000</f>
        <v>716.6168711771279</v>
      </c>
      <c r="K158" s="299">
        <f>K5*(BOM_average!J47*BOM_average!J53)/1000000</f>
        <v>873.86436126170554</v>
      </c>
      <c r="L158" s="299">
        <f>L5*(BOM_average!K47*BOM_average!K53)/1000000</f>
        <v>977.43521560298552</v>
      </c>
      <c r="M158" s="299">
        <f>M5*(BOM_average!L47*BOM_average!L53)/1000000</f>
        <v>1008.9660277975282</v>
      </c>
      <c r="N158" s="299">
        <f>N5*(BOM_average!M47*BOM_average!M53)/1000000</f>
        <v>1023.8791741455586</v>
      </c>
      <c r="O158" s="299">
        <f>O5*(BOM_average!N47*BOM_average!N53)/1000000</f>
        <v>1062.6071097136821</v>
      </c>
      <c r="P158" s="299">
        <f>P5*(BOM_average!O47*BOM_average!O53)/1000000</f>
        <v>1123.6548889405271</v>
      </c>
      <c r="Q158" s="299">
        <f>Q5*(BOM_average!P47*BOM_average!P53)/1000000</f>
        <v>1113.0952203638951</v>
      </c>
      <c r="R158" s="299">
        <f>R5*(BOM_average!Q47*BOM_average!Q53)/1000000</f>
        <v>1081.071039416837</v>
      </c>
      <c r="S158" s="299">
        <f>S5*(BOM_average!R47*BOM_average!R53)/1000000</f>
        <v>1049.3293030675943</v>
      </c>
      <c r="T158" s="299">
        <f>T5*(BOM_average!S47*BOM_average!S53)/1000000</f>
        <v>1021.1579344028947</v>
      </c>
      <c r="U158" s="299">
        <f>U5*(BOM_average!T47*BOM_average!T53)/1000000</f>
        <v>997.93338882302442</v>
      </c>
      <c r="V158" s="299">
        <f>V5*(BOM_average!U47*BOM_average!U53)/1000000</f>
        <v>979.86280263336016</v>
      </c>
      <c r="W158" s="299">
        <f>W5*(BOM_average!V47*BOM_average!V53)/1000000</f>
        <v>966.47230340888689</v>
      </c>
      <c r="X158" s="299">
        <f>X5*(BOM_average!W47*BOM_average!W53)/1000000</f>
        <v>956.96795848172712</v>
      </c>
      <c r="Y158" s="299">
        <f>Y5*(BOM_average!X47*BOM_average!X53)/1000000</f>
        <v>950.48025738336071</v>
      </c>
      <c r="Z158" s="299">
        <f>Z5*(BOM_average!Y47*BOM_average!Y53)/1000000</f>
        <v>946.20868374549775</v>
      </c>
      <c r="AA158" s="299">
        <f>AA5*(BOM_average!Z47*BOM_average!Z53)/1000000</f>
        <v>943.48970836983506</v>
      </c>
      <c r="AB158" s="299">
        <f>AB5*(BOM_average!AA47*BOM_average!AA53)/1000000</f>
        <v>941.81342173436246</v>
      </c>
    </row>
    <row r="159" spans="2:28">
      <c r="B159" s="294" t="s">
        <v>443</v>
      </c>
      <c r="C159" s="299">
        <f>C5*(BOM_average!B48*BOM_average!B53)/1000000</f>
        <v>24.218655440042628</v>
      </c>
      <c r="D159" s="299">
        <f>D5*(BOM_average!C48*BOM_average!C53)/1000000</f>
        <v>61.140282972698486</v>
      </c>
      <c r="E159" s="299">
        <f>E5*(BOM_average!D48*BOM_average!D53)/1000000</f>
        <v>91.795193313289019</v>
      </c>
      <c r="F159" s="299">
        <f>F5*(BOM_average!E48*BOM_average!E53)/1000000</f>
        <v>122.62681111312176</v>
      </c>
      <c r="G159" s="299">
        <f>G5*(BOM_average!F48*BOM_average!F53)/1000000</f>
        <v>258.61802973007184</v>
      </c>
      <c r="H159" s="299">
        <f>H5*(BOM_average!G48*BOM_average!G53)/1000000</f>
        <v>590.8290218498064</v>
      </c>
      <c r="I159" s="299">
        <f>I5*(BOM_average!H48*BOM_average!H53)/1000000</f>
        <v>1118.1980811702344</v>
      </c>
      <c r="J159" s="299">
        <f>J5*(BOM_average!I48*BOM_average!I53)/1000000</f>
        <v>1598.5429046756672</v>
      </c>
      <c r="K159" s="299">
        <f>K5*(BOM_average!J48*BOM_average!J53)/1000000</f>
        <v>1949.3117320127335</v>
      </c>
      <c r="L159" s="299">
        <f>L5*(BOM_average!K48*BOM_average!K53)/1000000</f>
        <v>2180.3451628423682</v>
      </c>
      <c r="M159" s="299">
        <f>M5*(BOM_average!L48*BOM_average!L53)/1000000</f>
        <v>2250.6803142175427</v>
      </c>
      <c r="N159" s="299">
        <f>N5*(BOM_average!M48*BOM_average!M53)/1000000</f>
        <v>2283.9467711485313</v>
      </c>
      <c r="O159" s="299">
        <f>O5*(BOM_average!N48*BOM_average!N53)/1000000</f>
        <v>2370.3364015147108</v>
      </c>
      <c r="P159" s="299">
        <f>P5*(BOM_average!O48*BOM_average!O53)/1000000</f>
        <v>2506.5144601877932</v>
      </c>
      <c r="Q159" s="299">
        <f>Q5*(BOM_average!P48*BOM_average!P53)/1000000</f>
        <v>2482.9592189454625</v>
      </c>
      <c r="R159" s="299">
        <f>R5*(BOM_average!Q48*BOM_average!Q53)/1000000</f>
        <v>2411.5235197734901</v>
      </c>
      <c r="S159" s="299">
        <f>S5*(BOM_average!R48*BOM_average!R53)/1000000</f>
        <v>2340.7178641100663</v>
      </c>
      <c r="T159" s="299">
        <f>T5*(BOM_average!S48*BOM_average!S53)/1000000</f>
        <v>2277.8765561459018</v>
      </c>
      <c r="U159" s="299">
        <f>U5*(BOM_average!T48*BOM_average!T53)/1000000</f>
        <v>2226.070027379651</v>
      </c>
      <c r="V159" s="299">
        <f>V5*(BOM_average!U48*BOM_average!U53)/1000000</f>
        <v>2185.7603326199278</v>
      </c>
      <c r="W159" s="299">
        <f>W5*(BOM_average!V48*BOM_average!V53)/1000000</f>
        <v>2155.8904141372864</v>
      </c>
      <c r="X159" s="299">
        <f>X5*(BOM_average!W48*BOM_average!W53)/1000000</f>
        <v>2134.6892622275564</v>
      </c>
      <c r="Y159" s="299">
        <f>Y5*(BOM_average!X48*BOM_average!X53)/1000000</f>
        <v>2120.2172773000812</v>
      </c>
      <c r="Z159" s="299">
        <f>Z5*(BOM_average!Y48*BOM_average!Y53)/1000000</f>
        <v>2110.6887635220151</v>
      </c>
      <c r="AA159" s="299">
        <f>AA5*(BOM_average!Z48*BOM_average!Z53)/1000000</f>
        <v>2104.6235995975126</v>
      </c>
      <c r="AB159" s="299">
        <f>AB5*(BOM_average!AA48*BOM_average!AA53)/1000000</f>
        <v>2100.8843405664829</v>
      </c>
    </row>
    <row r="160" spans="2:28">
      <c r="B160" s="294" t="s">
        <v>445</v>
      </c>
      <c r="C160" s="299">
        <f>C5*(BOM_average!B49*BOM_average!B53)/1000000</f>
        <v>35.580892526692153</v>
      </c>
      <c r="D160" s="299">
        <f>D5*(BOM_average!C49*BOM_average!C53)/1000000</f>
        <v>89.824385292105291</v>
      </c>
      <c r="E160" s="299">
        <f>E5*(BOM_average!D49*BOM_average!D53)/1000000</f>
        <v>134.86111629247893</v>
      </c>
      <c r="F160" s="299">
        <f>F5*(BOM_average!E49*BOM_average!E53)/1000000</f>
        <v>180.15745745707196</v>
      </c>
      <c r="G160" s="299">
        <f>G5*(BOM_average!F49*BOM_average!F53)/1000000</f>
        <v>379.94926448626848</v>
      </c>
      <c r="H160" s="299">
        <f>H5*(BOM_average!G49*BOM_average!G53)/1000000</f>
        <v>868.01779645169302</v>
      </c>
      <c r="I160" s="299">
        <f>I5*(BOM_average!H49*BOM_average!H53)/1000000</f>
        <v>1642.8032451334739</v>
      </c>
      <c r="J160" s="299">
        <f>J5*(BOM_average!I49*BOM_average!I53)/1000000</f>
        <v>2348.5029311962121</v>
      </c>
      <c r="K160" s="299">
        <f>K5*(BOM_average!J49*BOM_average!J53)/1000000</f>
        <v>2863.8357488289662</v>
      </c>
      <c r="L160" s="299">
        <f>L5*(BOM_average!K49*BOM_average!K53)/1000000</f>
        <v>3203.2590373254361</v>
      </c>
      <c r="M160" s="299">
        <f>M5*(BOM_average!L49*BOM_average!L53)/1000000</f>
        <v>3306.5920843694512</v>
      </c>
      <c r="N160" s="299">
        <f>N5*(BOM_average!M49*BOM_average!M53)/1000000</f>
        <v>3355.4655749616791</v>
      </c>
      <c r="O160" s="299">
        <f>O5*(BOM_average!N49*BOM_average!N53)/1000000</f>
        <v>3482.3850961997373</v>
      </c>
      <c r="P160" s="299">
        <f>P5*(BOM_average!O49*BOM_average!O53)/1000000</f>
        <v>3682.4513997208383</v>
      </c>
      <c r="Q160" s="299">
        <f>Q5*(BOM_average!P49*BOM_average!P53)/1000000</f>
        <v>3647.8451636662153</v>
      </c>
      <c r="R160" s="299">
        <f>R5*(BOM_average!Q49*BOM_average!Q53)/1000000</f>
        <v>3542.8952443323537</v>
      </c>
      <c r="S160" s="299">
        <f>S5*(BOM_average!R49*BOM_average!R53)/1000000</f>
        <v>3438.8709548469496</v>
      </c>
      <c r="T160" s="299">
        <f>T5*(BOM_average!S49*BOM_average!S53)/1000000</f>
        <v>3346.5475048335843</v>
      </c>
      <c r="U160" s="299">
        <f>U5*(BOM_average!T49*BOM_average!T53)/1000000</f>
        <v>3270.4358256870519</v>
      </c>
      <c r="V160" s="299">
        <f>V5*(BOM_average!U49*BOM_average!U53)/1000000</f>
        <v>3211.2147462765861</v>
      </c>
      <c r="W160" s="299">
        <f>W5*(BOM_average!V49*BOM_average!V53)/1000000</f>
        <v>3167.3312878433512</v>
      </c>
      <c r="X160" s="299">
        <f>X5*(BOM_average!W49*BOM_average!W53)/1000000</f>
        <v>3136.1835674668137</v>
      </c>
      <c r="Y160" s="299">
        <f>Y5*(BOM_average!X49*BOM_average!X53)/1000000</f>
        <v>3114.9220180126254</v>
      </c>
      <c r="Z160" s="299">
        <f>Z5*(BOM_average!Y49*BOM_average!Y53)/1000000</f>
        <v>3100.9231804010246</v>
      </c>
      <c r="AA160" s="299">
        <f>AA5*(BOM_average!Z49*BOM_average!Z53)/1000000</f>
        <v>3092.0125310758067</v>
      </c>
      <c r="AB160" s="299">
        <f>AB5*(BOM_average!AA49*BOM_average!AA53)/1000000</f>
        <v>3086.5189901960539</v>
      </c>
    </row>
    <row r="161" spans="2:28">
      <c r="B161" s="294" t="s">
        <v>6915</v>
      </c>
      <c r="C161" s="299">
        <f>C5*(BOM_average!B50*BOM_average!B53)/1000000</f>
        <v>0</v>
      </c>
      <c r="D161" s="299">
        <f>D5*(BOM_average!C50*BOM_average!C53)/1000000</f>
        <v>0</v>
      </c>
      <c r="E161" s="299">
        <f>E5*(BOM_average!D50*BOM_average!D53)/1000000</f>
        <v>0</v>
      </c>
      <c r="F161" s="299">
        <f>F5*(BOM_average!E50*BOM_average!E53)/1000000</f>
        <v>0</v>
      </c>
      <c r="G161" s="299">
        <f>G5*(BOM_average!F50*BOM_average!F53)/1000000</f>
        <v>0</v>
      </c>
      <c r="H161" s="299">
        <f>H5*(BOM_average!G50*BOM_average!G53)/1000000</f>
        <v>0</v>
      </c>
      <c r="I161" s="299">
        <f>I5*(BOM_average!H50*BOM_average!H53)/1000000</f>
        <v>0</v>
      </c>
      <c r="J161" s="299">
        <f>J5*(BOM_average!I50*BOM_average!I53)/1000000</f>
        <v>0</v>
      </c>
      <c r="K161" s="299">
        <f>K5*(BOM_average!J50*BOM_average!J53)/1000000</f>
        <v>0</v>
      </c>
      <c r="L161" s="299">
        <f>L5*(BOM_average!K50*BOM_average!K53)/1000000</f>
        <v>0</v>
      </c>
      <c r="M161" s="299">
        <f>M5*(BOM_average!L50*BOM_average!L53)/1000000</f>
        <v>0</v>
      </c>
      <c r="N161" s="299">
        <f>N5*(BOM_average!M50*BOM_average!M53)/1000000</f>
        <v>0</v>
      </c>
      <c r="O161" s="299">
        <f>O5*(BOM_average!N50*BOM_average!N53)/1000000</f>
        <v>0</v>
      </c>
      <c r="P161" s="299">
        <f>P5*(BOM_average!O50*BOM_average!O53)/1000000</f>
        <v>0</v>
      </c>
      <c r="Q161" s="299">
        <f>Q5*(BOM_average!P50*BOM_average!P53)/1000000</f>
        <v>0</v>
      </c>
      <c r="R161" s="299">
        <f>R5*(BOM_average!Q50*BOM_average!Q53)/1000000</f>
        <v>0</v>
      </c>
      <c r="S161" s="299">
        <f>S5*(BOM_average!R50*BOM_average!R53)/1000000</f>
        <v>0</v>
      </c>
      <c r="T161" s="299">
        <f>T5*(BOM_average!S50*BOM_average!S53)/1000000</f>
        <v>0</v>
      </c>
      <c r="U161" s="299">
        <f>U5*(BOM_average!T50*BOM_average!T53)/1000000</f>
        <v>0</v>
      </c>
      <c r="V161" s="299">
        <f>V5*(BOM_average!U50*BOM_average!U53)/1000000</f>
        <v>0</v>
      </c>
      <c r="W161" s="299">
        <f>W5*(BOM_average!V50*BOM_average!V53)/1000000</f>
        <v>0</v>
      </c>
      <c r="X161" s="299">
        <f>X5*(BOM_average!W50*BOM_average!W53)/1000000</f>
        <v>0</v>
      </c>
      <c r="Y161" s="299">
        <f>Y5*(BOM_average!X50*BOM_average!X53)/1000000</f>
        <v>0</v>
      </c>
      <c r="Z161" s="299">
        <f>Z5*(BOM_average!Y50*BOM_average!Y53)/1000000</f>
        <v>0</v>
      </c>
      <c r="AA161" s="299">
        <f>AA5*(BOM_average!Z50*BOM_average!Z53)/1000000</f>
        <v>0</v>
      </c>
      <c r="AB161" s="299">
        <f>AB5*(BOM_average!AA50*BOM_average!AA53)/1000000</f>
        <v>0</v>
      </c>
    </row>
    <row r="162" spans="2:28" ht="17" thickBot="1">
      <c r="B162" s="297" t="s">
        <v>447</v>
      </c>
      <c r="C162" s="300">
        <f>C5*(BOM_average!B51*BOM_average!B53)/1000000</f>
        <v>1.027191490810186</v>
      </c>
      <c r="D162" s="300">
        <f>D5*(BOM_average!C51*BOM_average!C53)/1000000</f>
        <v>2.5931571044792996</v>
      </c>
      <c r="E162" s="300">
        <f>E5*(BOM_average!D51*BOM_average!D53)/1000000</f>
        <v>3.8933309779364271</v>
      </c>
      <c r="F162" s="300">
        <f>F5*(BOM_average!E51*BOM_average!E53)/1000000</f>
        <v>5.2009995861423794</v>
      </c>
      <c r="G162" s="300">
        <f>G5*(BOM_average!F51*BOM_average!F53)/1000000</f>
        <v>10.968826909755064</v>
      </c>
      <c r="H162" s="300">
        <f>H5*(BOM_average!G51*BOM_average!G53)/1000000</f>
        <v>25.0589693251261</v>
      </c>
      <c r="I162" s="300">
        <f>I5*(BOM_average!H51*BOM_average!H53)/1000000</f>
        <v>47.426396434843554</v>
      </c>
      <c r="J162" s="300">
        <f>J5*(BOM_average!I51*BOM_average!I53)/1000000</f>
        <v>67.79937364577961</v>
      </c>
      <c r="K162" s="300">
        <f>K5*(BOM_average!J51*BOM_average!J53)/1000000</f>
        <v>82.676613861451443</v>
      </c>
      <c r="L162" s="300">
        <f>L5*(BOM_average!K51*BOM_average!K53)/1000000</f>
        <v>92.475488734104857</v>
      </c>
      <c r="M162" s="300">
        <f>M5*(BOM_average!L51*BOM_average!L53)/1000000</f>
        <v>95.458629940118016</v>
      </c>
      <c r="N162" s="300">
        <f>N5*(BOM_average!M51*BOM_average!M53)/1000000</f>
        <v>96.869567949187541</v>
      </c>
      <c r="O162" s="300">
        <f>O5*(BOM_average!N51*BOM_average!N53)/1000000</f>
        <v>100.5336315230744</v>
      </c>
      <c r="P162" s="300">
        <f>P5*(BOM_average!O51*BOM_average!O53)/1000000</f>
        <v>106.30938333763486</v>
      </c>
      <c r="Q162" s="300">
        <f>Q5*(BOM_average!P51*BOM_average!P53)/1000000</f>
        <v>105.31032938816999</v>
      </c>
      <c r="R162" s="300">
        <f>R5*(BOM_average!Q51*BOM_average!Q53)/1000000</f>
        <v>102.28051039135629</v>
      </c>
      <c r="S162" s="300">
        <f>S5*(BOM_average!R51*BOM_average!R53)/1000000</f>
        <v>99.27741357705284</v>
      </c>
      <c r="T162" s="300">
        <f>T5*(BOM_average!S51*BOM_average!S53)/1000000</f>
        <v>96.61211050224027</v>
      </c>
      <c r="U162" s="300">
        <f>U5*(BOM_average!T51*BOM_average!T53)/1000000</f>
        <v>94.414828095343282</v>
      </c>
      <c r="V162" s="300">
        <f>V5*(BOM_average!U51*BOM_average!U53)/1000000</f>
        <v>92.705163594898551</v>
      </c>
      <c r="W162" s="300">
        <f>W5*(BOM_average!V51*BOM_average!V53)/1000000</f>
        <v>91.438283764491672</v>
      </c>
      <c r="X162" s="300">
        <f>X5*(BOM_average!W51*BOM_average!W53)/1000000</f>
        <v>90.539074355820645</v>
      </c>
      <c r="Y162" s="300">
        <f>Y5*(BOM_average!X51*BOM_average!X53)/1000000</f>
        <v>89.925270678344077</v>
      </c>
      <c r="Z162" s="300">
        <f>Z5*(BOM_average!Y51*BOM_average!Y53)/1000000</f>
        <v>89.521135597553652</v>
      </c>
      <c r="AA162" s="300">
        <f>AA5*(BOM_average!Z51*BOM_average!Z53)/1000000</f>
        <v>89.263892383162926</v>
      </c>
      <c r="AB162" s="300">
        <f>AB5*(BOM_average!AA51*BOM_average!AA53)/1000000</f>
        <v>89.105298316365221</v>
      </c>
    </row>
    <row r="163" spans="2:28">
      <c r="B163" s="296" t="s">
        <v>7756</v>
      </c>
      <c r="C163" s="301">
        <f>C5*(BOM_average!B53)/1000000</f>
        <v>163.36812599646331</v>
      </c>
      <c r="D163" s="301">
        <f>D5*(BOM_average!C53)/1000000</f>
        <v>412.42477217082222</v>
      </c>
      <c r="E163" s="301">
        <f>E5*(BOM_average!D53)/1000000</f>
        <v>619.20897071273191</v>
      </c>
      <c r="F163" s="301">
        <f>F5*(BOM_average!E53)/1000000</f>
        <v>827.18515807241351</v>
      </c>
      <c r="G163" s="301">
        <f>G5*(BOM_average!F53)/1000000</f>
        <v>1744.5205812724134</v>
      </c>
      <c r="H163" s="301">
        <f>H5*(BOM_average!G53)/1000000</f>
        <v>3985.4660933958294</v>
      </c>
      <c r="I163" s="301">
        <f>I5*(BOM_average!H53)/1000000</f>
        <v>7542.8599026016282</v>
      </c>
      <c r="J163" s="301">
        <f>J5*(BOM_average!I53)/1000000</f>
        <v>10783.049426849069</v>
      </c>
      <c r="K163" s="301">
        <f>K5*(BOM_average!J53)/1000000</f>
        <v>13149.177725007501</v>
      </c>
      <c r="L163" s="301">
        <f>L5*(BOM_average!K53)/1000000</f>
        <v>14707.625043877508</v>
      </c>
      <c r="M163" s="301">
        <f>M5*(BOM_average!L53)/1000000</f>
        <v>15182.074251030506</v>
      </c>
      <c r="N163" s="301">
        <f>N5*(BOM_average!M53)/1000000</f>
        <v>15406.474764957142</v>
      </c>
      <c r="O163" s="301">
        <f>O5*(BOM_average!N53)/1000000</f>
        <v>15989.220246158184</v>
      </c>
      <c r="P163" s="301">
        <f>P5*(BOM_average!O53)/1000000</f>
        <v>16907.816008104364</v>
      </c>
      <c r="Q163" s="301">
        <f>Q5*(BOM_average!P53)/1000000</f>
        <v>16748.922975058784</v>
      </c>
      <c r="R163" s="301">
        <f>R5*(BOM_average!Q53)/1000000</f>
        <v>16267.049968860561</v>
      </c>
      <c r="S163" s="301">
        <f>S5*(BOM_average!R53)/1000000</f>
        <v>15789.426951995674</v>
      </c>
      <c r="T163" s="301">
        <f>T5*(BOM_average!S53)/1000000</f>
        <v>15365.52783246412</v>
      </c>
      <c r="U163" s="301">
        <f>U5*(BOM_average!T53)/1000000</f>
        <v>15016.064356265899</v>
      </c>
      <c r="V163" s="301">
        <f>V5*(BOM_average!U53)/1000000</f>
        <v>14744.153336734344</v>
      </c>
      <c r="W163" s="301">
        <f>W5*(BOM_average!V53)/1000000</f>
        <v>14542.664339202789</v>
      </c>
      <c r="X163" s="301">
        <f>X5*(BOM_average!W53)/1000000</f>
        <v>14399.650931004569</v>
      </c>
      <c r="Y163" s="301">
        <f>Y5*(BOM_average!X53)/1000000</f>
        <v>14302.029448139681</v>
      </c>
      <c r="Z163" s="301">
        <f>Z5*(BOM_average!Y53)/1000000</f>
        <v>14237.75439194146</v>
      </c>
      <c r="AA163" s="301">
        <f>AA5*(BOM_average!Z53)/1000000</f>
        <v>14196.841531743241</v>
      </c>
      <c r="AB163" s="301">
        <f>AB5*(BOM_average!AA53)/1000000</f>
        <v>14171.618176878352</v>
      </c>
    </row>
    <row r="164" spans="2:28">
      <c r="B164" s="295" t="s">
        <v>7757</v>
      </c>
      <c r="C164" s="299">
        <f>C5*(BOM_average!B54)/1000000</f>
        <v>193.3910140535809</v>
      </c>
      <c r="D164" s="299">
        <f>D5*(BOM_average!C54)/1000000</f>
        <v>488.21790924295152</v>
      </c>
      <c r="E164" s="299">
        <f>E5*(BOM_average!D54)/1000000</f>
        <v>733.00376084256322</v>
      </c>
      <c r="F164" s="299">
        <f>F5*(BOM_average!E54)/1000000</f>
        <v>979.20065835338539</v>
      </c>
      <c r="G164" s="299">
        <f>G5*(BOM_average!F54)/1000000</f>
        <v>2065.1188975315672</v>
      </c>
      <c r="H164" s="299">
        <f>H5*(BOM_average!G54)/1000000</f>
        <v>4717.8929462327842</v>
      </c>
      <c r="I164" s="299">
        <f>I5*(BOM_average!H54)/1000000</f>
        <v>8929.0448582350928</v>
      </c>
      <c r="J164" s="299">
        <f>J5*(BOM_average!I54)/1000000</f>
        <v>12764.698441196362</v>
      </c>
      <c r="K164" s="299">
        <f>K5*(BOM_average!J54)/1000000</f>
        <v>15565.660674010609</v>
      </c>
      <c r="L164" s="299">
        <f>L5*(BOM_average!K54)/1000000</f>
        <v>17410.510797050396</v>
      </c>
      <c r="M164" s="299">
        <f>M5*(BOM_average!L54)/1000000</f>
        <v>17972.151647911487</v>
      </c>
      <c r="N164" s="299">
        <f>N5*(BOM_average!M54)/1000000</f>
        <v>18237.791243626481</v>
      </c>
      <c r="O164" s="299">
        <f>O5*(BOM_average!N54)/1000000</f>
        <v>18927.630457103482</v>
      </c>
      <c r="P164" s="299">
        <f>P5*(BOM_average!O54)/1000000</f>
        <v>20015.040653092015</v>
      </c>
      <c r="Q164" s="299">
        <f>Q5*(BOM_average!P54)/1000000</f>
        <v>19826.947139750257</v>
      </c>
      <c r="R164" s="299">
        <f>R5*(BOM_average!Q54)/1000000</f>
        <v>19256.518185232293</v>
      </c>
      <c r="S164" s="299">
        <f>S5*(BOM_average!R54)/1000000</f>
        <v>18691.12025951433</v>
      </c>
      <c r="T164" s="299">
        <f>T5*(BOM_average!S54)/1000000</f>
        <v>18189.319310996365</v>
      </c>
      <c r="U164" s="299">
        <f>U5*(BOM_average!T54)/1000000</f>
        <v>17775.633375478403</v>
      </c>
      <c r="V164" s="299">
        <f>V5*(BOM_average!U54)/1000000</f>
        <v>17453.752056960438</v>
      </c>
      <c r="W164" s="299">
        <f>W5*(BOM_average!V54)/1000000</f>
        <v>17215.234529042478</v>
      </c>
      <c r="X164" s="299">
        <f>X5*(BOM_average!W54)/1000000</f>
        <v>17045.938909924513</v>
      </c>
      <c r="Y164" s="299">
        <f>Y5*(BOM_average!X54)/1000000</f>
        <v>16930.37709240655</v>
      </c>
      <c r="Z164" s="299">
        <f>Z5*(BOM_average!Y54)/1000000</f>
        <v>16854.289922888587</v>
      </c>
      <c r="AA164" s="299">
        <f>AA5*(BOM_average!Z54)/1000000</f>
        <v>16805.858324170626</v>
      </c>
      <c r="AB164" s="299">
        <f>AB5*(BOM_average!AA54)/1000000</f>
        <v>16775.99956105266</v>
      </c>
    </row>
    <row r="165" spans="2:28">
      <c r="B165" s="295" t="s">
        <v>7758</v>
      </c>
      <c r="C165" s="299">
        <f>C5*(BOM_average!B55)/1000000</f>
        <v>138.71251066339522</v>
      </c>
      <c r="D165" s="299">
        <f>D5*(BOM_average!C55)/1000000</f>
        <v>350.18137876437424</v>
      </c>
      <c r="E165" s="299">
        <f>E5*(BOM_average!D55)/1000000</f>
        <v>525.757582324959</v>
      </c>
      <c r="F165" s="299">
        <f>F5*(BOM_average!E55)/1000000</f>
        <v>702.34587903766442</v>
      </c>
      <c r="G165" s="299">
        <f>G5*(BOM_average!F55)/1000000</f>
        <v>1481.2364912449373</v>
      </c>
      <c r="H165" s="299">
        <f>H5*(BOM_average!G55)/1000000</f>
        <v>3383.9771657216488</v>
      </c>
      <c r="I165" s="299">
        <f>I5*(BOM_average!H55)/1000000</f>
        <v>6404.4869725369517</v>
      </c>
      <c r="J165" s="299">
        <f>J5*(BOM_average!I55)/1000000</f>
        <v>9155.6651548913542</v>
      </c>
      <c r="K165" s="299">
        <f>K5*(BOM_average!J55)/1000000</f>
        <v>11164.695954426681</v>
      </c>
      <c r="L165" s="299">
        <f>L5*(BOM_average!K55)/1000000</f>
        <v>12487.941471375168</v>
      </c>
      <c r="M165" s="299">
        <f>M5*(BOM_average!L55)/1000000</f>
        <v>12890.786520279471</v>
      </c>
      <c r="N165" s="299">
        <f>N5*(BOM_average!M55)/1000000</f>
        <v>13081.320374365509</v>
      </c>
      <c r="O165" s="299">
        <f>O5*(BOM_average!N55)/1000000</f>
        <v>13576.117558835234</v>
      </c>
      <c r="P165" s="299">
        <f>P5*(BOM_average!O55)/1000000</f>
        <v>14356.07829871094</v>
      </c>
      <c r="Q165" s="299">
        <f>Q5*(BOM_average!P55)/1000000</f>
        <v>14221.165497292433</v>
      </c>
      <c r="R165" s="299">
        <f>R5*(BOM_average!Q55)/1000000</f>
        <v>13812.017053537131</v>
      </c>
      <c r="S165" s="299">
        <f>S5*(BOM_average!R55)/1000000</f>
        <v>13406.477188181829</v>
      </c>
      <c r="T165" s="299">
        <f>T5*(BOM_average!S55)/1000000</f>
        <v>13046.553177426527</v>
      </c>
      <c r="U165" s="299">
        <f>U5*(BOM_average!T55)/1000000</f>
        <v>12749.830938171224</v>
      </c>
      <c r="V165" s="299">
        <f>V5*(BOM_average!U55)/1000000</f>
        <v>12518.956892415923</v>
      </c>
      <c r="W165" s="299">
        <f>W5*(BOM_average!V55)/1000000</f>
        <v>12347.876734960621</v>
      </c>
      <c r="X165" s="299">
        <f>X5*(BOM_average!W55)/1000000</f>
        <v>12226.446995905319</v>
      </c>
      <c r="Y165" s="299">
        <f>Y5*(BOM_average!X55)/1000000</f>
        <v>12143.558605650016</v>
      </c>
      <c r="Z165" s="299">
        <f>Z5*(BOM_average!Y55)/1000000</f>
        <v>12088.983979394714</v>
      </c>
      <c r="AA165" s="299">
        <f>AA5*(BOM_average!Z55)/1000000</f>
        <v>12054.245712539414</v>
      </c>
      <c r="AB165" s="299">
        <f>AB5*(BOM_average!AA55)/1000000</f>
        <v>12032.829081484111</v>
      </c>
    </row>
    <row r="167" spans="2:28">
      <c r="B167" s="291" t="s">
        <v>7796</v>
      </c>
    </row>
    <row r="168" spans="2:28">
      <c r="B168" s="294" t="s">
        <v>437</v>
      </c>
      <c r="C168" s="299">
        <f>C67*(BOM_average!B42*BOM_average!B53)/1000000</f>
        <v>0</v>
      </c>
      <c r="D168" s="299">
        <f>D67*(BOM_average!C42*BOM_average!C53)/1000000</f>
        <v>1.1421721393236162</v>
      </c>
      <c r="E168" s="299">
        <f>E67*(BOM_average!D42*BOM_average!D53)/1000000</f>
        <v>3.8903583075844761</v>
      </c>
      <c r="F168" s="299">
        <f>F67*(BOM_average!E42*BOM_average!E53)/1000000</f>
        <v>7.3722265604189019</v>
      </c>
      <c r="G168" s="299">
        <f>G67*(BOM_average!F42*BOM_average!F53)/1000000</f>
        <v>11.13052966041381</v>
      </c>
      <c r="H168" s="299">
        <f>H67*(BOM_average!G42*BOM_average!G53)/1000000</f>
        <v>19.994823308468764</v>
      </c>
      <c r="I168" s="299">
        <f>I67*(BOM_average!H42*BOM_average!H53)/1000000</f>
        <v>42.541182418759234</v>
      </c>
      <c r="J168" s="299">
        <f>J67*(BOM_average!I42*BOM_average!I53)/1000000</f>
        <v>84.636847432298154</v>
      </c>
      <c r="K168" s="299">
        <f>K67*(BOM_average!J42*BOM_average!J53)/1000000</f>
        <v>137.83714998818482</v>
      </c>
      <c r="L168" s="299">
        <f>L67*(BOM_average!K42*BOM_average!K53)/1000000</f>
        <v>189.71565721407237</v>
      </c>
      <c r="M168" s="299">
        <f>M67*(BOM_average!L42*BOM_average!L53)/1000000</f>
        <v>233.00181911338808</v>
      </c>
      <c r="N168" s="299">
        <f>N67*(BOM_average!M42*BOM_average!M53)/1000000</f>
        <v>262.07034330454218</v>
      </c>
      <c r="O168" s="299">
        <f>O67*(BOM_average!N42*BOM_average!N53)/1000000</f>
        <v>279.10481642928175</v>
      </c>
      <c r="P168" s="299">
        <f>P67*(BOM_average!O42*BOM_average!O53)/1000000</f>
        <v>291.75784587560133</v>
      </c>
      <c r="Q168" s="299">
        <f>Q67*(BOM_average!P42*BOM_average!P53)/1000000</f>
        <v>305.40726240399158</v>
      </c>
      <c r="R168" s="299">
        <f>R67*(BOM_average!Q42*BOM_average!Q53)/1000000</f>
        <v>312.98349074641743</v>
      </c>
      <c r="S168" s="299">
        <f>S67*(BOM_average!R42*BOM_average!R53)/1000000</f>
        <v>312.58694674196505</v>
      </c>
      <c r="T168" s="299">
        <f>T67*(BOM_average!S42*BOM_average!S53)/1000000</f>
        <v>307.57425430618486</v>
      </c>
      <c r="U168" s="299">
        <f>U67*(BOM_average!T42*BOM_average!T53)/1000000</f>
        <v>300.62905850301428</v>
      </c>
      <c r="V168" s="299">
        <f>V67*(BOM_average!U42*BOM_average!U53)/1000000</f>
        <v>293.39304934870495</v>
      </c>
      <c r="W168" s="299">
        <f>W67*(BOM_average!V42*BOM_average!V53)/1000000</f>
        <v>286.82234330328322</v>
      </c>
      <c r="X168" s="299">
        <f>X67*(BOM_average!W42*BOM_average!W53)/1000000</f>
        <v>281.36629564333208</v>
      </c>
      <c r="Y168" s="299">
        <f>Y67*(BOM_average!X42*BOM_average!X53)/1000000</f>
        <v>277.13101540384866</v>
      </c>
      <c r="Z168" s="299">
        <f>Z67*(BOM_average!Y42*BOM_average!Y53)/1000000</f>
        <v>274.01963687382181</v>
      </c>
      <c r="AA168" s="299">
        <f>AA67*(BOM_average!Z42*BOM_average!Z53)/1000000</f>
        <v>271.83983404891103</v>
      </c>
      <c r="AB168" s="299">
        <f>AB67*(BOM_average!AA42*BOM_average!AA53)/1000000</f>
        <v>270.37592936944287</v>
      </c>
    </row>
    <row r="169" spans="2:28">
      <c r="B169" s="294" t="s">
        <v>217</v>
      </c>
      <c r="C169" s="299">
        <f>C67*(BOM_average!B43*BOM_average!B53)/1000000</f>
        <v>0</v>
      </c>
      <c r="D169" s="299">
        <f>D67*(BOM_average!C43*BOM_average!C53)/1000000</f>
        <v>5.3180388791280626E-2</v>
      </c>
      <c r="E169" s="299">
        <f>E67*(BOM_average!D43*BOM_average!D53)/1000000</f>
        <v>0.18113799156163077</v>
      </c>
      <c r="F169" s="299">
        <f>F67*(BOM_average!E43*BOM_average!E53)/1000000</f>
        <v>0.3432563807524282</v>
      </c>
      <c r="G169" s="299">
        <f>G67*(BOM_average!F43*BOM_average!F53)/1000000</f>
        <v>0.51824578311306047</v>
      </c>
      <c r="H169" s="299">
        <f>H67*(BOM_average!G43*BOM_average!G53)/1000000</f>
        <v>0.93097392306121607</v>
      </c>
      <c r="I169" s="299">
        <f>I67*(BOM_average!H43*BOM_average!H53)/1000000</f>
        <v>1.9807492607989496</v>
      </c>
      <c r="J169" s="299">
        <f>J67*(BOM_average!I43*BOM_average!I53)/1000000</f>
        <v>3.9407548981043958</v>
      </c>
      <c r="K169" s="299">
        <f>K67*(BOM_average!J43*BOM_average!J53)/1000000</f>
        <v>6.4178007621466113</v>
      </c>
      <c r="L169" s="299">
        <f>L67*(BOM_average!K43*BOM_average!K53)/1000000</f>
        <v>8.8333028473382278</v>
      </c>
      <c r="M169" s="299">
        <f>M67*(BOM_average!L43*BOM_average!L53)/1000000</f>
        <v>10.848738909761476</v>
      </c>
      <c r="N169" s="299">
        <f>N67*(BOM_average!M43*BOM_average!M53)/1000000</f>
        <v>12.202191130185774</v>
      </c>
      <c r="O169" s="299">
        <f>O67*(BOM_average!N43*BOM_average!N53)/1000000</f>
        <v>12.995328935284697</v>
      </c>
      <c r="P169" s="299">
        <f>P67*(BOM_average!O43*BOM_average!O53)/1000000</f>
        <v>13.584463446778978</v>
      </c>
      <c r="Q169" s="299">
        <f>Q67*(BOM_average!P43*BOM_average!P53)/1000000</f>
        <v>14.219990485797618</v>
      </c>
      <c r="R169" s="299">
        <f>R67*(BOM_average!Q43*BOM_average!Q53)/1000000</f>
        <v>14.572745342049256</v>
      </c>
      <c r="S169" s="299">
        <f>S67*(BOM_average!R43*BOM_average!R53)/1000000</f>
        <v>14.55428195671216</v>
      </c>
      <c r="T169" s="299">
        <f>T67*(BOM_average!S43*BOM_average!S53)/1000000</f>
        <v>14.320887248989933</v>
      </c>
      <c r="U169" s="299">
        <f>U67*(BOM_average!T43*BOM_average!T53)/1000000</f>
        <v>13.997513739579253</v>
      </c>
      <c r="V169" s="299">
        <f>V67*(BOM_average!U43*BOM_average!U53)/1000000</f>
        <v>13.660599743102926</v>
      </c>
      <c r="W169" s="299">
        <f>W67*(BOM_average!V43*BOM_average!V53)/1000000</f>
        <v>13.354662756813211</v>
      </c>
      <c r="X169" s="299">
        <f>X67*(BOM_average!W43*BOM_average!W53)/1000000</f>
        <v>13.100625098363768</v>
      </c>
      <c r="Y169" s="299">
        <f>Y67*(BOM_average!X43*BOM_average!X53)/1000000</f>
        <v>12.903427283760152</v>
      </c>
      <c r="Z169" s="299">
        <f>Z67*(BOM_average!Y43*BOM_average!Y53)/1000000</f>
        <v>12.758559173072689</v>
      </c>
      <c r="AA169" s="299">
        <f>AA67*(BOM_average!Z43*BOM_average!Z53)/1000000</f>
        <v>12.657065923740118</v>
      </c>
      <c r="AB169" s="299">
        <f>AB67*(BOM_average!AA43*BOM_average!AA53)/1000000</f>
        <v>12.588905427325285</v>
      </c>
    </row>
    <row r="170" spans="2:28">
      <c r="B170" s="294" t="s">
        <v>313</v>
      </c>
      <c r="C170" s="299">
        <f>C67*(BOM_average!B44*BOM_average!B53)/1000000</f>
        <v>0</v>
      </c>
      <c r="D170" s="299">
        <f>D67*(BOM_average!C44*BOM_average!C53)/1000000</f>
        <v>0.4978997079166893</v>
      </c>
      <c r="E170" s="299">
        <f>E67*(BOM_average!D44*BOM_average!D53)/1000000</f>
        <v>1.6958987164444885</v>
      </c>
      <c r="F170" s="299">
        <f>F67*(BOM_average!E44*BOM_average!E53)/1000000</f>
        <v>3.2137270072985169</v>
      </c>
      <c r="G170" s="299">
        <f>G67*(BOM_average!F44*BOM_average!F53)/1000000</f>
        <v>4.85205975183385</v>
      </c>
      <c r="H170" s="299">
        <f>H67*(BOM_average!G44*BOM_average!G53)/1000000</f>
        <v>8.7162139071505571</v>
      </c>
      <c r="I170" s="299">
        <f>I67*(BOM_average!H44*BOM_average!H53)/1000000</f>
        <v>18.544702301418553</v>
      </c>
      <c r="J170" s="299">
        <f>J67*(BOM_average!I44*BOM_average!I53)/1000000</f>
        <v>36.895193084017926</v>
      </c>
      <c r="K170" s="299">
        <f>K67*(BOM_average!J44*BOM_average!J53)/1000000</f>
        <v>60.086456635010911</v>
      </c>
      <c r="L170" s="299">
        <f>L67*(BOM_average!K44*BOM_average!K53)/1000000</f>
        <v>82.701518503198088</v>
      </c>
      <c r="M170" s="299">
        <f>M67*(BOM_average!L44*BOM_average!L53)/1000000</f>
        <v>101.57097488765061</v>
      </c>
      <c r="N170" s="299">
        <f>N67*(BOM_average!M44*BOM_average!M53)/1000000</f>
        <v>114.24262849050923</v>
      </c>
      <c r="O170" s="299">
        <f>O67*(BOM_average!N44*BOM_average!N53)/1000000</f>
        <v>121.66835610311338</v>
      </c>
      <c r="P170" s="299">
        <f>P67*(BOM_average!O44*BOM_average!O53)/1000000</f>
        <v>127.18410933214464</v>
      </c>
      <c r="Q170" s="299">
        <f>Q67*(BOM_average!P44*BOM_average!P53)/1000000</f>
        <v>133.13421113268697</v>
      </c>
      <c r="R170" s="299">
        <f>R67*(BOM_average!Q44*BOM_average!Q53)/1000000</f>
        <v>136.43686731640184</v>
      </c>
      <c r="S170" s="299">
        <f>S67*(BOM_average!R44*BOM_average!R53)/1000000</f>
        <v>136.2640044551961</v>
      </c>
      <c r="T170" s="299">
        <f>T67*(BOM_average!S44*BOM_average!S53)/1000000</f>
        <v>134.07885388662316</v>
      </c>
      <c r="U170" s="299">
        <f>U67*(BOM_average!T44*BOM_average!T53)/1000000</f>
        <v>131.05127963334937</v>
      </c>
      <c r="V170" s="299">
        <f>V67*(BOM_average!U44*BOM_average!U53)/1000000</f>
        <v>127.89693299822075</v>
      </c>
      <c r="W170" s="299">
        <f>W67*(BOM_average!V44*BOM_average!V53)/1000000</f>
        <v>125.03260764113465</v>
      </c>
      <c r="X170" s="299">
        <f>X67*(BOM_average!W44*BOM_average!W53)/1000000</f>
        <v>122.65418809933253</v>
      </c>
      <c r="Y170" s="299">
        <f>Y67*(BOM_average!X44*BOM_average!X53)/1000000</f>
        <v>120.80792979764354</v>
      </c>
      <c r="Z170" s="299">
        <f>Z67*(BOM_average!Y44*BOM_average!Y53)/1000000</f>
        <v>119.45160669363575</v>
      </c>
      <c r="AA170" s="299">
        <f>AA67*(BOM_average!Z44*BOM_average!Z53)/1000000</f>
        <v>118.50137935707879</v>
      </c>
      <c r="AB170" s="299">
        <f>AB67*(BOM_average!AA44*BOM_average!AA53)/1000000</f>
        <v>117.86322886537033</v>
      </c>
    </row>
    <row r="171" spans="2:28">
      <c r="B171" s="294" t="s">
        <v>6911</v>
      </c>
      <c r="C171" s="299">
        <f>C67*(BOM_average!B45*BOM_average!B53)/1000000</f>
        <v>0</v>
      </c>
      <c r="D171" s="299">
        <f>D67*(BOM_average!C45*BOM_average!C53)/1000000</f>
        <v>2.3871035636998705</v>
      </c>
      <c r="E171" s="299">
        <f>E67*(BOM_average!D45*BOM_average!D53)/1000000</f>
        <v>8.1307255363484785</v>
      </c>
      <c r="F171" s="299">
        <f>F67*(BOM_average!E45*BOM_average!E53)/1000000</f>
        <v>15.407719807629285</v>
      </c>
      <c r="G171" s="299">
        <f>G67*(BOM_average!F45*BOM_average!F53)/1000000</f>
        <v>23.262454146338449</v>
      </c>
      <c r="H171" s="299">
        <f>H67*(BOM_average!G45*BOM_average!G53)/1000000</f>
        <v>41.788546867777839</v>
      </c>
      <c r="I171" s="299">
        <f>I67*(BOM_average!H45*BOM_average!H53)/1000000</f>
        <v>88.909722676271485</v>
      </c>
      <c r="J171" s="299">
        <f>J67*(BOM_average!I45*BOM_average!I53)/1000000</f>
        <v>176.88832809877985</v>
      </c>
      <c r="K171" s="299">
        <f>K67*(BOM_average!J45*BOM_average!J53)/1000000</f>
        <v>288.07527396166302</v>
      </c>
      <c r="L171" s="299">
        <f>L67*(BOM_average!K45*BOM_average!K53)/1000000</f>
        <v>396.49970948648877</v>
      </c>
      <c r="M171" s="299">
        <f>M67*(BOM_average!L45*BOM_average!L53)/1000000</f>
        <v>486.96641566086305</v>
      </c>
      <c r="N171" s="299">
        <f>N67*(BOM_average!M45*BOM_average!M53)/1000000</f>
        <v>547.71870973213288</v>
      </c>
      <c r="O171" s="299">
        <f>O67*(BOM_average!N45*BOM_average!N53)/1000000</f>
        <v>583.32021856064966</v>
      </c>
      <c r="P171" s="299">
        <f>P67*(BOM_average!O45*BOM_average!O53)/1000000</f>
        <v>609.76464899544862</v>
      </c>
      <c r="Q171" s="299">
        <f>Q67*(BOM_average!P45*BOM_average!P53)/1000000</f>
        <v>638.29149684575532</v>
      </c>
      <c r="R171" s="299">
        <f>R67*(BOM_average!Q45*BOM_average!Q53)/1000000</f>
        <v>654.1255739108102</v>
      </c>
      <c r="S171" s="299">
        <f>S67*(BOM_average!R45*BOM_average!R53)/1000000</f>
        <v>653.29680951216835</v>
      </c>
      <c r="T171" s="299">
        <f>T67*(BOM_average!S45*BOM_average!S53)/1000000</f>
        <v>642.82044122650143</v>
      </c>
      <c r="U171" s="299">
        <f>U67*(BOM_average!T45*BOM_average!T53)/1000000</f>
        <v>628.30520216441073</v>
      </c>
      <c r="V171" s="299">
        <f>V67*(BOM_average!U45*BOM_average!U53)/1000000</f>
        <v>613.18217241738353</v>
      </c>
      <c r="W171" s="299">
        <f>W67*(BOM_average!V45*BOM_average!V53)/1000000</f>
        <v>599.44960507745623</v>
      </c>
      <c r="X171" s="299">
        <f>X67*(BOM_average!W45*BOM_average!W53)/1000000</f>
        <v>588.04663842787693</v>
      </c>
      <c r="Y171" s="299">
        <f>Y67*(BOM_average!X45*BOM_average!X53)/1000000</f>
        <v>579.19503698807512</v>
      </c>
      <c r="Z171" s="299">
        <f>Z67*(BOM_average!Y45*BOM_average!Y53)/1000000</f>
        <v>572.69235449273367</v>
      </c>
      <c r="AA171" s="299">
        <f>AA67*(BOM_average!Z45*BOM_average!Z53)/1000000</f>
        <v>568.13663568962147</v>
      </c>
      <c r="AB171" s="299">
        <f>AB67*(BOM_average!AA45*BOM_average!AA53)/1000000</f>
        <v>565.07712131611834</v>
      </c>
    </row>
    <row r="172" spans="2:28">
      <c r="B172" s="294" t="s">
        <v>441</v>
      </c>
      <c r="C172" s="299">
        <f>C67*(BOM_average!B46*BOM_average!B53)/1000000</f>
        <v>0</v>
      </c>
      <c r="D172" s="299">
        <f>D67*(BOM_average!C46*BOM_average!C53)/1000000</f>
        <v>2.7875879660451641</v>
      </c>
      <c r="E172" s="299">
        <f>E67*(BOM_average!D46*BOM_average!D53)/1000000</f>
        <v>9.4948174871858253</v>
      </c>
      <c r="F172" s="299">
        <f>F67*(BOM_average!E46*BOM_average!E53)/1000000</f>
        <v>17.992673201565058</v>
      </c>
      <c r="G172" s="299">
        <f>G67*(BOM_average!F46*BOM_average!F53)/1000000</f>
        <v>27.165196443552194</v>
      </c>
      <c r="H172" s="299">
        <f>H67*(BOM_average!G46*BOM_average!G53)/1000000</f>
        <v>48.79941203161723</v>
      </c>
      <c r="I172" s="299">
        <f>I67*(BOM_average!H46*BOM_average!H53)/1000000</f>
        <v>103.8261082450248</v>
      </c>
      <c r="J172" s="299">
        <f>J67*(BOM_average!I46*BOM_average!I53)/1000000</f>
        <v>206.56488568000967</v>
      </c>
      <c r="K172" s="299">
        <f>K67*(BOM_average!J46*BOM_average!J53)/1000000</f>
        <v>336.40566719528425</v>
      </c>
      <c r="L172" s="299">
        <f>L67*(BOM_average!K46*BOM_average!K53)/1000000</f>
        <v>463.02047196973052</v>
      </c>
      <c r="M172" s="299">
        <f>M67*(BOM_average!L46*BOM_average!L53)/1000000</f>
        <v>568.66477885877021</v>
      </c>
      <c r="N172" s="299">
        <f>N67*(BOM_average!M46*BOM_average!M53)/1000000</f>
        <v>639.60948625982769</v>
      </c>
      <c r="O172" s="299">
        <f>O67*(BOM_average!N46*BOM_average!N53)/1000000</f>
        <v>681.18386078323726</v>
      </c>
      <c r="P172" s="299">
        <f>P67*(BOM_average!O46*BOM_average!O53)/1000000</f>
        <v>712.06487372710308</v>
      </c>
      <c r="Q172" s="299">
        <f>Q67*(BOM_average!P46*BOM_average!P53)/1000000</f>
        <v>745.37767128895803</v>
      </c>
      <c r="R172" s="299">
        <f>R67*(BOM_average!Q46*BOM_average!Q53)/1000000</f>
        <v>763.86823171171829</v>
      </c>
      <c r="S172" s="299">
        <f>S67*(BOM_average!R46*BOM_average!R53)/1000000</f>
        <v>762.90042549690975</v>
      </c>
      <c r="T172" s="299">
        <f>T67*(BOM_average!S46*BOM_average!S53)/1000000</f>
        <v>750.66643673953945</v>
      </c>
      <c r="U172" s="299">
        <f>U67*(BOM_average!T46*BOM_average!T53)/1000000</f>
        <v>733.71597579219861</v>
      </c>
      <c r="V172" s="299">
        <f>V67*(BOM_average!U46*BOM_average!U53)/1000000</f>
        <v>716.05575510717097</v>
      </c>
      <c r="W172" s="299">
        <f>W67*(BOM_average!V46*BOM_average!V53)/1000000</f>
        <v>700.01927472910404</v>
      </c>
      <c r="X172" s="299">
        <f>X67*(BOM_average!W46*BOM_average!W53)/1000000</f>
        <v>686.70323218576596</v>
      </c>
      <c r="Y172" s="299">
        <f>Y67*(BOM_average!X46*BOM_average!X53)/1000000</f>
        <v>676.36659743349094</v>
      </c>
      <c r="Z172" s="299">
        <f>Z67*(BOM_average!Y46*BOM_average!Y53)/1000000</f>
        <v>668.77295979385258</v>
      </c>
      <c r="AA172" s="299">
        <f>AA67*(BOM_average!Z46*BOM_average!Z53)/1000000</f>
        <v>663.45292797564446</v>
      </c>
      <c r="AB172" s="299">
        <f>AB67*(BOM_average!AA46*BOM_average!AA53)/1000000</f>
        <v>659.88011882768251</v>
      </c>
    </row>
    <row r="173" spans="2:28">
      <c r="B173" s="294" t="s">
        <v>6912</v>
      </c>
      <c r="C173" s="299">
        <f>C67*(BOM_average!B47*BOM_average!B53)/1000000</f>
        <v>0</v>
      </c>
      <c r="D173" s="299">
        <f>D67*(BOM_average!C47*BOM_average!C53)/1000000</f>
        <v>0.81352976442727543</v>
      </c>
      <c r="E173" s="299">
        <f>E67*(BOM_average!D47*BOM_average!D53)/1000000</f>
        <v>2.770967850241147</v>
      </c>
      <c r="F173" s="299">
        <f>F67*(BOM_average!E47*BOM_average!E53)/1000000</f>
        <v>5.2509823436542336</v>
      </c>
      <c r="G173" s="299">
        <f>G67*(BOM_average!F47*BOM_average!F53)/1000000</f>
        <v>7.9278918306916033</v>
      </c>
      <c r="H173" s="299">
        <f>H67*(BOM_average!G47*BOM_average!G53)/1000000</f>
        <v>14.241622025149722</v>
      </c>
      <c r="I173" s="299">
        <f>I67*(BOM_average!H47*BOM_average!H53)/1000000</f>
        <v>30.300614872365731</v>
      </c>
      <c r="J173" s="299">
        <f>J67*(BOM_average!I47*BOM_average!I53)/1000000</f>
        <v>60.283903085081221</v>
      </c>
      <c r="K173" s="299">
        <f>K67*(BOM_average!J47*BOM_average!J53)/1000000</f>
        <v>98.176641067098785</v>
      </c>
      <c r="L173" s="299">
        <f>L67*(BOM_average!K47*BOM_average!K53)/1000000</f>
        <v>135.12790989012251</v>
      </c>
      <c r="M173" s="299">
        <f>M67*(BOM_average!L47*BOM_average!L53)/1000000</f>
        <v>165.95914791503611</v>
      </c>
      <c r="N173" s="299">
        <f>N67*(BOM_average!M47*BOM_average!M53)/1000000</f>
        <v>186.66365367498429</v>
      </c>
      <c r="O173" s="299">
        <f>O67*(BOM_average!N47*BOM_average!N53)/1000000</f>
        <v>198.79672051420764</v>
      </c>
      <c r="P173" s="299">
        <f>P67*(BOM_average!O47*BOM_average!O53)/1000000</f>
        <v>207.80903635554094</v>
      </c>
      <c r="Q173" s="299">
        <f>Q67*(BOM_average!P47*BOM_average!P53)/1000000</f>
        <v>217.53104430040889</v>
      </c>
      <c r="R173" s="299">
        <f>R67*(BOM_average!Q47*BOM_average!Q53)/1000000</f>
        <v>222.92733006720314</v>
      </c>
      <c r="S173" s="299">
        <f>S67*(BOM_average!R47*BOM_average!R53)/1000000</f>
        <v>222.64488546938776</v>
      </c>
      <c r="T173" s="299">
        <f>T67*(BOM_average!S47*BOM_average!S53)/1000000</f>
        <v>219.07451778484452</v>
      </c>
      <c r="U173" s="299">
        <f>U67*(BOM_average!T47*BOM_average!T53)/1000000</f>
        <v>214.12769470001547</v>
      </c>
      <c r="V173" s="299">
        <f>V67*(BOM_average!U47*BOM_average!U53)/1000000</f>
        <v>208.97373530980923</v>
      </c>
      <c r="W173" s="299">
        <f>W67*(BOM_average!V47*BOM_average!V53)/1000000</f>
        <v>204.29364834461819</v>
      </c>
      <c r="X173" s="299">
        <f>X67*(BOM_average!W47*BOM_average!W53)/1000000</f>
        <v>200.40749404730485</v>
      </c>
      <c r="Y173" s="299">
        <f>Y67*(BOM_average!X47*BOM_average!X53)/1000000</f>
        <v>197.39085021851136</v>
      </c>
      <c r="Z173" s="299">
        <f>Z67*(BOM_average!Y47*BOM_average!Y53)/1000000</f>
        <v>195.17472275800813</v>
      </c>
      <c r="AA173" s="299">
        <f>AA67*(BOM_average!Z47*BOM_average!Z53)/1000000</f>
        <v>193.6221244958077</v>
      </c>
      <c r="AB173" s="299">
        <f>AB67*(BOM_average!AA47*BOM_average!AA53)/1000000</f>
        <v>192.57943575561751</v>
      </c>
    </row>
    <row r="174" spans="2:28">
      <c r="B174" s="294" t="s">
        <v>443</v>
      </c>
      <c r="C174" s="299">
        <f>C67*(BOM_average!B48*BOM_average!B53)/1000000</f>
        <v>0</v>
      </c>
      <c r="D174" s="299">
        <f>D67*(BOM_average!C48*BOM_average!C53)/1000000</f>
        <v>1.8147245550213253</v>
      </c>
      <c r="E174" s="299">
        <f>E67*(BOM_average!D48*BOM_average!D53)/1000000</f>
        <v>6.181142496424032</v>
      </c>
      <c r="F174" s="299">
        <f>F67*(BOM_average!E48*BOM_average!E53)/1000000</f>
        <v>11.713261165952837</v>
      </c>
      <c r="G174" s="299">
        <f>G67*(BOM_average!F48*BOM_average!F53)/1000000</f>
        <v>17.68458955504525</v>
      </c>
      <c r="H174" s="299">
        <f>H67*(BOM_average!G48*BOM_average!G53)/1000000</f>
        <v>31.768501070844454</v>
      </c>
      <c r="I174" s="299">
        <f>I67*(BOM_average!H48*BOM_average!H53)/1000000</f>
        <v>67.590974842619886</v>
      </c>
      <c r="J174" s="299">
        <f>J67*(BOM_average!I48*BOM_average!I53)/1000000</f>
        <v>134.47409545985002</v>
      </c>
      <c r="K174" s="299">
        <f>K67*(BOM_average!J48*BOM_average!J53)/1000000</f>
        <v>219.00066729507591</v>
      </c>
      <c r="L174" s="299">
        <f>L67*(BOM_average!K48*BOM_average!K53)/1000000</f>
        <v>301.42712272973694</v>
      </c>
      <c r="M174" s="299">
        <f>M67*(BOM_average!L48*BOM_average!L53)/1000000</f>
        <v>370.20174801330825</v>
      </c>
      <c r="N174" s="299">
        <f>N67*(BOM_average!M48*BOM_average!M53)/1000000</f>
        <v>416.38687441567134</v>
      </c>
      <c r="O174" s="299">
        <f>O67*(BOM_average!N48*BOM_average!N53)/1000000</f>
        <v>443.45186365592912</v>
      </c>
      <c r="P174" s="299">
        <f>P67*(BOM_average!O48*BOM_average!O53)/1000000</f>
        <v>463.55545613651765</v>
      </c>
      <c r="Q174" s="299">
        <f>Q67*(BOM_average!P48*BOM_average!P53)/1000000</f>
        <v>485.24214458126659</v>
      </c>
      <c r="R174" s="299">
        <f>R67*(BOM_average!Q48*BOM_average!Q53)/1000000</f>
        <v>497.27953118359665</v>
      </c>
      <c r="S174" s="299">
        <f>S67*(BOM_average!R48*BOM_average!R53)/1000000</f>
        <v>496.64948767504779</v>
      </c>
      <c r="T174" s="299">
        <f>T67*(BOM_average!S48*BOM_average!S53)/1000000</f>
        <v>488.68513997578862</v>
      </c>
      <c r="U174" s="299">
        <f>U67*(BOM_average!T48*BOM_average!T53)/1000000</f>
        <v>477.65036077787494</v>
      </c>
      <c r="V174" s="299">
        <f>V67*(BOM_average!U48*BOM_average!U53)/1000000</f>
        <v>466.15352677134729</v>
      </c>
      <c r="W174" s="299">
        <f>W67*(BOM_average!V48*BOM_average!V53)/1000000</f>
        <v>455.71375049426604</v>
      </c>
      <c r="X174" s="299">
        <f>X67*(BOM_average!W48*BOM_average!W53)/1000000</f>
        <v>447.04498392135395</v>
      </c>
      <c r="Y174" s="299">
        <f>Y67*(BOM_average!X48*BOM_average!X53)/1000000</f>
        <v>440.3158169390997</v>
      </c>
      <c r="Z174" s="299">
        <f>Z67*(BOM_average!Y48*BOM_average!Y53)/1000000</f>
        <v>435.37234578969003</v>
      </c>
      <c r="AA174" s="299">
        <f>AA67*(BOM_average!Z48*BOM_average!Z53)/1000000</f>
        <v>431.90899593612681</v>
      </c>
      <c r="AB174" s="299">
        <f>AB67*(BOM_average!AA48*BOM_average!AA53)/1000000</f>
        <v>429.58309104265368</v>
      </c>
    </row>
    <row r="175" spans="2:28">
      <c r="B175" s="294" t="s">
        <v>445</v>
      </c>
      <c r="C175" s="299">
        <f>C67*(BOM_average!B49*BOM_average!B53)/1000000</f>
        <v>0</v>
      </c>
      <c r="D175" s="299">
        <f>D67*(BOM_average!C49*BOM_average!C53)/1000000</f>
        <v>2.6661066927359269</v>
      </c>
      <c r="E175" s="299">
        <f>E67*(BOM_average!D49*BOM_average!D53)/1000000</f>
        <v>9.081039506999403</v>
      </c>
      <c r="F175" s="299">
        <f>F67*(BOM_average!E49*BOM_average!E53)/1000000</f>
        <v>17.208564187827228</v>
      </c>
      <c r="G175" s="299">
        <f>G67*(BOM_average!F49*BOM_average!F53)/1000000</f>
        <v>25.981354823536812</v>
      </c>
      <c r="H175" s="299">
        <f>H67*(BOM_average!G49*BOM_average!G53)/1000000</f>
        <v>46.672765345466736</v>
      </c>
      <c r="I175" s="299">
        <f>I67*(BOM_average!H49*BOM_average!H53)/1000000</f>
        <v>99.301433872060471</v>
      </c>
      <c r="J175" s="299">
        <f>J67*(BOM_average!I49*BOM_average!I53)/1000000</f>
        <v>197.56292210467331</v>
      </c>
      <c r="K175" s="299">
        <f>K67*(BOM_average!J49*BOM_average!J53)/1000000</f>
        <v>321.74532667971448</v>
      </c>
      <c r="L175" s="299">
        <f>L67*(BOM_average!K49*BOM_average!K53)/1000000</f>
        <v>442.84234048535336</v>
      </c>
      <c r="M175" s="299">
        <f>M67*(BOM_average!L49*BOM_average!L53)/1000000</f>
        <v>543.88273708525514</v>
      </c>
      <c r="N175" s="299">
        <f>N67*(BOM_average!M49*BOM_average!M53)/1000000</f>
        <v>611.7357202090484</v>
      </c>
      <c r="O175" s="299">
        <f>O67*(BOM_average!N49*BOM_average!N53)/1000000</f>
        <v>651.49831048899807</v>
      </c>
      <c r="P175" s="299">
        <f>P67*(BOM_average!O49*BOM_average!O53)/1000000</f>
        <v>681.0335489428046</v>
      </c>
      <c r="Q175" s="299">
        <f>Q67*(BOM_average!P49*BOM_average!P53)/1000000</f>
        <v>712.89459642014174</v>
      </c>
      <c r="R175" s="299">
        <f>R67*(BOM_average!Q49*BOM_average!Q53)/1000000</f>
        <v>730.57935022739093</v>
      </c>
      <c r="S175" s="299">
        <f>S67*(BOM_average!R49*BOM_average!R53)/1000000</f>
        <v>729.65372037893314</v>
      </c>
      <c r="T175" s="299">
        <f>T67*(BOM_average!S49*BOM_average!S53)/1000000</f>
        <v>717.95288090689473</v>
      </c>
      <c r="U175" s="299">
        <f>U67*(BOM_average!T49*BOM_average!T53)/1000000</f>
        <v>701.74111004006193</v>
      </c>
      <c r="V175" s="299">
        <f>V67*(BOM_average!U49*BOM_average!U53)/1000000</f>
        <v>684.85051030399507</v>
      </c>
      <c r="W175" s="299">
        <f>W67*(BOM_average!V49*BOM_average!V53)/1000000</f>
        <v>669.51288932676346</v>
      </c>
      <c r="X175" s="299">
        <f>X67*(BOM_average!W49*BOM_average!W53)/1000000</f>
        <v>656.77715127006718</v>
      </c>
      <c r="Y175" s="299">
        <f>Y67*(BOM_average!X49*BOM_average!X53)/1000000</f>
        <v>646.8909803477178</v>
      </c>
      <c r="Z175" s="299">
        <f>Z67*(BOM_average!Y49*BOM_average!Y53)/1000000</f>
        <v>639.62826850512988</v>
      </c>
      <c r="AA175" s="299">
        <f>AA67*(BOM_average!Z49*BOM_average!Z53)/1000000</f>
        <v>634.54008021874711</v>
      </c>
      <c r="AB175" s="299">
        <f>AB67*(BOM_average!AA49*BOM_average!AA53)/1000000</f>
        <v>631.12297177328219</v>
      </c>
    </row>
    <row r="176" spans="2:28">
      <c r="B176" s="294" t="s">
        <v>6915</v>
      </c>
      <c r="C176" s="299">
        <f>C67*(BOM_average!B50*BOM_average!B53)/1000000</f>
        <v>0</v>
      </c>
      <c r="D176" s="299">
        <f>D67*(BOM_average!C50*BOM_average!C53)/1000000</f>
        <v>0</v>
      </c>
      <c r="E176" s="299">
        <f>E67*(BOM_average!D50*BOM_average!D53)/1000000</f>
        <v>0</v>
      </c>
      <c r="F176" s="299">
        <f>F67*(BOM_average!E50*BOM_average!E53)/1000000</f>
        <v>0</v>
      </c>
      <c r="G176" s="299">
        <f>G67*(BOM_average!F50*BOM_average!F53)/1000000</f>
        <v>0</v>
      </c>
      <c r="H176" s="299">
        <f>H67*(BOM_average!G50*BOM_average!G53)/1000000</f>
        <v>0</v>
      </c>
      <c r="I176" s="299">
        <f>I67*(BOM_average!H50*BOM_average!H53)/1000000</f>
        <v>0</v>
      </c>
      <c r="J176" s="299">
        <f>J67*(BOM_average!I50*BOM_average!I53)/1000000</f>
        <v>0</v>
      </c>
      <c r="K176" s="299">
        <f>K67*(BOM_average!J50*BOM_average!J53)/1000000</f>
        <v>0</v>
      </c>
      <c r="L176" s="299">
        <f>L67*(BOM_average!K50*BOM_average!K53)/1000000</f>
        <v>0</v>
      </c>
      <c r="M176" s="299">
        <f>M67*(BOM_average!L50*BOM_average!L53)/1000000</f>
        <v>0</v>
      </c>
      <c r="N176" s="299">
        <f>N67*(BOM_average!M50*BOM_average!M53)/1000000</f>
        <v>0</v>
      </c>
      <c r="O176" s="299">
        <f>O67*(BOM_average!N50*BOM_average!N53)/1000000</f>
        <v>0</v>
      </c>
      <c r="P176" s="299">
        <f>P67*(BOM_average!O50*BOM_average!O53)/1000000</f>
        <v>0</v>
      </c>
      <c r="Q176" s="299">
        <f>Q67*(BOM_average!P50*BOM_average!P53)/1000000</f>
        <v>0</v>
      </c>
      <c r="R176" s="299">
        <f>R67*(BOM_average!Q50*BOM_average!Q53)/1000000</f>
        <v>0</v>
      </c>
      <c r="S176" s="299">
        <f>S67*(BOM_average!R50*BOM_average!R53)/1000000</f>
        <v>0</v>
      </c>
      <c r="T176" s="299">
        <f>T67*(BOM_average!S50*BOM_average!S53)/1000000</f>
        <v>0</v>
      </c>
      <c r="U176" s="299">
        <f>U67*(BOM_average!T50*BOM_average!T53)/1000000</f>
        <v>0</v>
      </c>
      <c r="V176" s="299">
        <f>V67*(BOM_average!U50*BOM_average!U53)/1000000</f>
        <v>0</v>
      </c>
      <c r="W176" s="299">
        <f>W67*(BOM_average!V50*BOM_average!V53)/1000000</f>
        <v>0</v>
      </c>
      <c r="X176" s="299">
        <f>X67*(BOM_average!W50*BOM_average!W53)/1000000</f>
        <v>0</v>
      </c>
      <c r="Y176" s="299">
        <f>Y67*(BOM_average!X50*BOM_average!X53)/1000000</f>
        <v>0</v>
      </c>
      <c r="Z176" s="299">
        <f>Z67*(BOM_average!Y50*BOM_average!Y53)/1000000</f>
        <v>0</v>
      </c>
      <c r="AA176" s="299">
        <f>AA67*(BOM_average!Z50*BOM_average!Z53)/1000000</f>
        <v>0</v>
      </c>
      <c r="AB176" s="299">
        <f>AB67*(BOM_average!AA50*BOM_average!AA53)/1000000</f>
        <v>0</v>
      </c>
    </row>
    <row r="177" spans="1:28">
      <c r="B177" s="294" t="s">
        <v>447</v>
      </c>
      <c r="C177" s="299">
        <f>C67*(BOM_average!B51*BOM_average!B53)/1000000</f>
        <v>0</v>
      </c>
      <c r="D177" s="299">
        <f>D67*(BOM_average!C51*BOM_average!C53)/1000000</f>
        <v>7.6968336483295915E-2</v>
      </c>
      <c r="E177" s="299">
        <f>E67*(BOM_average!D51*BOM_average!D53)/1000000</f>
        <v>0.26216224065495936</v>
      </c>
      <c r="F177" s="299">
        <f>F67*(BOM_average!E51*BOM_average!E53)/1000000</f>
        <v>0.4967972821237252</v>
      </c>
      <c r="G177" s="299">
        <f>G67*(BOM_average!F51*BOM_average!F53)/1000000</f>
        <v>0.7500606280305212</v>
      </c>
      <c r="H177" s="299">
        <f>H67*(BOM_average!G51*BOM_average!G53)/1000000</f>
        <v>1.3474048572412516</v>
      </c>
      <c r="I177" s="299">
        <f>I67*(BOM_average!H51*BOM_average!H53)/1000000</f>
        <v>2.8667518056808476</v>
      </c>
      <c r="J177" s="299">
        <f>J67*(BOM_average!I51*BOM_average!I53)/1000000</f>
        <v>5.7034812247409983</v>
      </c>
      <c r="K177" s="299">
        <f>K67*(BOM_average!J51*BOM_average!J53)/1000000</f>
        <v>9.2885264619322143</v>
      </c>
      <c r="L177" s="299">
        <f>L67*(BOM_average!K51*BOM_average!K53)/1000000</f>
        <v>12.784498971625748</v>
      </c>
      <c r="M177" s="299">
        <f>M67*(BOM_average!L51*BOM_average!L53)/1000000</f>
        <v>15.701453219966925</v>
      </c>
      <c r="N177" s="299">
        <f>N67*(BOM_average!M51*BOM_average!M53)/1000000</f>
        <v>17.660313775209076</v>
      </c>
      <c r="O177" s="299">
        <f>O67*(BOM_average!N51*BOM_average!N53)/1000000</f>
        <v>18.808227486409429</v>
      </c>
      <c r="P177" s="299">
        <f>P67*(BOM_average!O51*BOM_average!O53)/1000000</f>
        <v>19.660885850615461</v>
      </c>
      <c r="Q177" s="299">
        <f>Q67*(BOM_average!P51*BOM_average!P53)/1000000</f>
        <v>20.580688433770689</v>
      </c>
      <c r="R177" s="299">
        <f>R67*(BOM_average!Q51*BOM_average!Q53)/1000000</f>
        <v>21.091232923745245</v>
      </c>
      <c r="S177" s="299">
        <f>S67*(BOM_average!R51*BOM_average!R53)/1000000</f>
        <v>21.064510741235001</v>
      </c>
      <c r="T177" s="299">
        <f>T67*(BOM_average!S51*BOM_average!S53)/1000000</f>
        <v>20.726717001744134</v>
      </c>
      <c r="U177" s="299">
        <f>U67*(BOM_average!T51*BOM_average!T53)/1000000</f>
        <v>20.258696333828549</v>
      </c>
      <c r="V177" s="299">
        <f>V67*(BOM_average!U51*BOM_average!U53)/1000000</f>
        <v>19.771078427376285</v>
      </c>
      <c r="W177" s="299">
        <f>W67*(BOM_average!V51*BOM_average!V53)/1000000</f>
        <v>19.328293757338422</v>
      </c>
      <c r="X177" s="299">
        <f>X67*(BOM_average!W51*BOM_average!W53)/1000000</f>
        <v>18.960623335602602</v>
      </c>
      <c r="Y177" s="299">
        <f>Y67*(BOM_average!X51*BOM_average!X53)/1000000</f>
        <v>18.675217604408125</v>
      </c>
      <c r="Z177" s="299">
        <f>Z67*(BOM_average!Y51*BOM_average!Y53)/1000000</f>
        <v>18.465549007721968</v>
      </c>
      <c r="AA177" s="299">
        <f>AA67*(BOM_average!Z51*BOM_average!Z53)/1000000</f>
        <v>18.31865714132228</v>
      </c>
      <c r="AB177" s="299">
        <f>AB67*(BOM_average!AA51*BOM_average!AA53)/1000000</f>
        <v>18.220007993729258</v>
      </c>
    </row>
    <row r="178" spans="1:28">
      <c r="B178" s="294" t="s">
        <v>7756</v>
      </c>
      <c r="C178" s="299">
        <f>C67*(BOM_average!B53)/1000000</f>
        <v>0</v>
      </c>
      <c r="D178" s="299">
        <f>D67*(BOM_average!C53)/1000000</f>
        <v>12.241313333333332</v>
      </c>
      <c r="E178" s="299">
        <f>E67*(BOM_average!D53)/1000000</f>
        <v>41.695199333333328</v>
      </c>
      <c r="F178" s="299">
        <f>F67*(BOM_average!E53)/1000000</f>
        <v>79.012376666666654</v>
      </c>
      <c r="G178" s="299">
        <f>G67*(BOM_average!F53)/1000000</f>
        <v>119.29226466666665</v>
      </c>
      <c r="H178" s="299">
        <f>H67*(BOM_average!G53)/1000000</f>
        <v>214.29597933333332</v>
      </c>
      <c r="I178" s="299">
        <f>I67*(BOM_average!H53)/1000000</f>
        <v>455.93822999999992</v>
      </c>
      <c r="J178" s="299">
        <f>J67*(BOM_average!I53)/1000000</f>
        <v>907.10159466666653</v>
      </c>
      <c r="K178" s="299">
        <f>K67*(BOM_average!J53)/1000000</f>
        <v>1477.2797233333333</v>
      </c>
      <c r="L178" s="299">
        <f>L67*(BOM_average!K53)/1000000</f>
        <v>2033.2914139999998</v>
      </c>
      <c r="M178" s="299">
        <f>M67*(BOM_average!L53)/1000000</f>
        <v>2497.2140159999994</v>
      </c>
      <c r="N178" s="299">
        <f>N67*(BOM_average!M53)/1000000</f>
        <v>2808.7580473333328</v>
      </c>
      <c r="O178" s="299">
        <f>O67*(BOM_average!N53)/1000000</f>
        <v>2991.3262573333332</v>
      </c>
      <c r="P178" s="299">
        <f>P67*(BOM_average!O53)/1000000</f>
        <v>3126.9360246666661</v>
      </c>
      <c r="Q178" s="299">
        <f>Q67*(BOM_average!P53)/1000000</f>
        <v>3273.224643333333</v>
      </c>
      <c r="R178" s="299">
        <f>R67*(BOM_average!Q53)/1000000</f>
        <v>3354.4234239999996</v>
      </c>
      <c r="S178" s="299">
        <f>S67*(BOM_average!R53)/1000000</f>
        <v>3350.1734346666663</v>
      </c>
      <c r="T178" s="299">
        <f>T67*(BOM_average!S53)/1000000</f>
        <v>3296.449537333333</v>
      </c>
      <c r="U178" s="299">
        <f>U67*(BOM_average!T53)/1000000</f>
        <v>3222.0138939999997</v>
      </c>
      <c r="V178" s="299">
        <f>V67*(BOM_average!U53)/1000000</f>
        <v>3144.4614373333329</v>
      </c>
      <c r="W178" s="299">
        <f>W67*(BOM_average!V53)/1000000</f>
        <v>3074.0394153333332</v>
      </c>
      <c r="X178" s="299">
        <f>X67*(BOM_average!W53)/1000000</f>
        <v>3015.5638259999996</v>
      </c>
      <c r="Y178" s="299">
        <f>Y67*(BOM_average!X53)/1000000</f>
        <v>2970.1719006666667</v>
      </c>
      <c r="Z178" s="299">
        <f>Z67*(BOM_average!Y53)/1000000</f>
        <v>2936.8254739999993</v>
      </c>
      <c r="AA178" s="299">
        <f>AA67*(BOM_average!Z53)/1000000</f>
        <v>2913.4632779999997</v>
      </c>
      <c r="AB178" s="299">
        <f>AB67*(BOM_average!AA53)/1000000</f>
        <v>2897.7737726666664</v>
      </c>
    </row>
    <row r="179" spans="1:28">
      <c r="B179" s="295" t="s">
        <v>7757</v>
      </c>
      <c r="C179" s="299">
        <f>C67*(BOM_average!B54)/1000000</f>
        <v>0</v>
      </c>
      <c r="D179" s="299">
        <f>D67*(BOM_average!C54)/1000000</f>
        <v>14.490953999999999</v>
      </c>
      <c r="E179" s="299">
        <f>E67*(BOM_average!D54)/1000000</f>
        <v>49.357711799999997</v>
      </c>
      <c r="F179" s="299">
        <f>F67*(BOM_average!E54)/1000000</f>
        <v>93.532832999999997</v>
      </c>
      <c r="G179" s="299">
        <f>G67*(BOM_average!F54)/1000000</f>
        <v>141.21513539999998</v>
      </c>
      <c r="H179" s="299">
        <f>H67*(BOM_average!G54)/1000000</f>
        <v>253.67810579999997</v>
      </c>
      <c r="I179" s="299">
        <f>I67*(BOM_average!H54)/1000000</f>
        <v>539.72802899999999</v>
      </c>
      <c r="J179" s="299">
        <f>J67*(BOM_average!I54)/1000000</f>
        <v>1073.8036943999998</v>
      </c>
      <c r="K179" s="299">
        <f>K67*(BOM_average!J54)/1000000</f>
        <v>1748.765997</v>
      </c>
      <c r="L179" s="299">
        <f>L67*(BOM_average!K54)/1000000</f>
        <v>2406.9584321999996</v>
      </c>
      <c r="M179" s="299">
        <f>M67*(BOM_average!L54)/1000000</f>
        <v>2956.1381567999997</v>
      </c>
      <c r="N179" s="299">
        <f>N67*(BOM_average!M54)/1000000</f>
        <v>3324.9360222</v>
      </c>
      <c r="O179" s="299">
        <f>O67*(BOM_average!N54)/1000000</f>
        <v>3541.0556051999997</v>
      </c>
      <c r="P179" s="299">
        <f>P67*(BOM_average!O54)/1000000</f>
        <v>3701.5869833999996</v>
      </c>
      <c r="Q179" s="299">
        <f>Q67*(BOM_average!P54)/1000000</f>
        <v>3874.7597129999995</v>
      </c>
      <c r="R179" s="299">
        <f>R67*(BOM_average!Q54)/1000000</f>
        <v>3970.8807551999998</v>
      </c>
      <c r="S179" s="299">
        <f>S67*(BOM_average!R54)/1000000</f>
        <v>3965.8497263999998</v>
      </c>
      <c r="T179" s="299">
        <f>T67*(BOM_average!S54)/1000000</f>
        <v>3902.2527491999999</v>
      </c>
      <c r="U179" s="299">
        <f>U67*(BOM_average!T54)/1000000</f>
        <v>3814.1377361999998</v>
      </c>
      <c r="V179" s="299">
        <f>V67*(BOM_average!U54)/1000000</f>
        <v>3722.3331191999996</v>
      </c>
      <c r="W179" s="299">
        <f>W67*(BOM_average!V54)/1000000</f>
        <v>3638.9693285999997</v>
      </c>
      <c r="X179" s="299">
        <f>X67*(BOM_average!W54)/1000000</f>
        <v>3569.7474197999995</v>
      </c>
      <c r="Y179" s="299">
        <f>Y67*(BOM_average!X54)/1000000</f>
        <v>3516.0136181999997</v>
      </c>
      <c r="Z179" s="299">
        <f>Z67*(BOM_average!Y54)/1000000</f>
        <v>3476.5389701999998</v>
      </c>
      <c r="AA179" s="299">
        <f>AA67*(BOM_average!Z54)/1000000</f>
        <v>3448.8833993999997</v>
      </c>
      <c r="AB179" s="299">
        <f>AB67*(BOM_average!AA54)/1000000</f>
        <v>3430.3105637999997</v>
      </c>
    </row>
    <row r="180" spans="1:28">
      <c r="B180" s="295" t="s">
        <v>7758</v>
      </c>
      <c r="C180" s="299">
        <f>C67*(BOM_average!B55)/1000000</f>
        <v>0</v>
      </c>
      <c r="D180" s="299">
        <f>D67*(BOM_average!C55)/1000000</f>
        <v>10.393846999999999</v>
      </c>
      <c r="E180" s="299">
        <f>E67*(BOM_average!D55)/1000000</f>
        <v>35.402534899999999</v>
      </c>
      <c r="F180" s="299">
        <f>F67*(BOM_average!E55)/1000000</f>
        <v>67.087781500000006</v>
      </c>
      <c r="G180" s="299">
        <f>G67*(BOM_average!F55)/1000000</f>
        <v>101.28860469999999</v>
      </c>
      <c r="H180" s="299">
        <f>H67*(BOM_average!G55)/1000000</f>
        <v>181.95430190000002</v>
      </c>
      <c r="I180" s="299">
        <f>I67*(BOM_average!H55)/1000000</f>
        <v>387.12775950000002</v>
      </c>
      <c r="J180" s="299">
        <f>J67*(BOM_average!I55)/1000000</f>
        <v>770.20127919999993</v>
      </c>
      <c r="K180" s="299">
        <f>K67*(BOM_average!J55)/1000000</f>
        <v>1254.3277834999999</v>
      </c>
      <c r="L180" s="299">
        <f>L67*(BOM_average!K55)/1000000</f>
        <v>1726.4258570999998</v>
      </c>
      <c r="M180" s="299">
        <f>M67*(BOM_average!L55)/1000000</f>
        <v>2120.3329823999998</v>
      </c>
      <c r="N180" s="299">
        <f>N67*(BOM_average!M55)/1000000</f>
        <v>2384.8586021000001</v>
      </c>
      <c r="O180" s="299">
        <f>O67*(BOM_average!N55)/1000000</f>
        <v>2539.8735085999997</v>
      </c>
      <c r="P180" s="299">
        <f>P67*(BOM_average!O55)/1000000</f>
        <v>2655.0169686999998</v>
      </c>
      <c r="Q180" s="299">
        <f>Q67*(BOM_average!P55)/1000000</f>
        <v>2779.2276215000002</v>
      </c>
      <c r="R180" s="299">
        <f>R67*(BOM_average!Q55)/1000000</f>
        <v>2848.1718335999999</v>
      </c>
      <c r="S180" s="299">
        <f>S67*(BOM_average!R55)/1000000</f>
        <v>2844.5632551999997</v>
      </c>
      <c r="T180" s="299">
        <f>T67*(BOM_average!S55)/1000000</f>
        <v>2798.9474006</v>
      </c>
      <c r="U180" s="299">
        <f>U67*(BOM_average!T55)/1000000</f>
        <v>2735.7456290999999</v>
      </c>
      <c r="V180" s="299">
        <f>V67*(BOM_average!U55)/1000000</f>
        <v>2669.8974355999999</v>
      </c>
      <c r="W180" s="299">
        <f>W67*(BOM_average!V55)/1000000</f>
        <v>2610.1035472999997</v>
      </c>
      <c r="X180" s="299">
        <f>X67*(BOM_average!W55)/1000000</f>
        <v>2560.4531289000001</v>
      </c>
      <c r="Y180" s="299">
        <f>Y67*(BOM_average!X55)/1000000</f>
        <v>2521.9117800999998</v>
      </c>
      <c r="Z180" s="299">
        <f>Z67*(BOM_average!Y55)/1000000</f>
        <v>2493.5980160999998</v>
      </c>
      <c r="AA180" s="299">
        <f>AA67*(BOM_average!Z55)/1000000</f>
        <v>2473.7616567</v>
      </c>
      <c r="AB180" s="299">
        <f>AB67*(BOM_average!AA55)/1000000</f>
        <v>2460.4400209</v>
      </c>
    </row>
    <row r="182" spans="1:28">
      <c r="B182" s="7" t="s">
        <v>6905</v>
      </c>
      <c r="C182" s="91">
        <f>C178*Outflow_routing!B4</f>
        <v>0</v>
      </c>
      <c r="D182" s="91">
        <f>D178*Outflow_routing!C4</f>
        <v>4.6438365469731187</v>
      </c>
      <c r="E182" s="91">
        <f>E178*Outflow_routing!D4</f>
        <v>15.817395178523535</v>
      </c>
      <c r="F182" s="91">
        <f>F178*Outflow_routing!E4</f>
        <v>29.973953973446697</v>
      </c>
      <c r="G182" s="91">
        <f>G178*Outflow_routing!F4</f>
        <v>45.254439891002164</v>
      </c>
      <c r="H182" s="91">
        <f>H178*Outflow_routing!G4</f>
        <v>81.294831167151131</v>
      </c>
      <c r="I182" s="91">
        <f>I178*Outflow_routing!H4</f>
        <v>172.96368110035868</v>
      </c>
      <c r="J182" s="91">
        <f>J178*Outflow_routing!I4</f>
        <v>344.11598024046407</v>
      </c>
      <c r="K182" s="91">
        <f>K178*Outflow_routing!J4</f>
        <v>560.41744725519686</v>
      </c>
      <c r="L182" s="91">
        <f>L178*Outflow_routing!K4</f>
        <v>771.34476684526624</v>
      </c>
      <c r="M182" s="91">
        <f>M178*Outflow_routing!L4</f>
        <v>947.33738099296909</v>
      </c>
      <c r="N182" s="91">
        <f>N178*Outflow_routing!M4</f>
        <v>1065.5240100989749</v>
      </c>
      <c r="O182" s="91">
        <f>O178*Outflow_routing!N4</f>
        <v>1134.7826674690828</v>
      </c>
      <c r="P182" s="91">
        <f>P178*Outflow_routing!O4</f>
        <v>1186.2272777425762</v>
      </c>
      <c r="Q182" s="91">
        <f>Q178*Outflow_routing!P4</f>
        <v>1241.722992562703</v>
      </c>
      <c r="R182" s="91">
        <f>R178*Outflow_routing!Q4</f>
        <v>1272.5263757424098</v>
      </c>
      <c r="S182" s="91">
        <f>S178*Outflow_routing!R4</f>
        <v>1270.9141095375544</v>
      </c>
      <c r="T182" s="91">
        <f>T178*Outflow_routing!S4</f>
        <v>1250.5335350772134</v>
      </c>
      <c r="U182" s="91">
        <f>U178*Outflow_routing!T4</f>
        <v>1222.2958001629759</v>
      </c>
      <c r="V182" s="91">
        <f>V178*Outflow_routing!U4</f>
        <v>1192.8756780919603</v>
      </c>
      <c r="W182" s="91">
        <f>W178*Outflow_routing!V4</f>
        <v>1166.1605413602797</v>
      </c>
      <c r="X182" s="91">
        <f>X178*Outflow_routing!W4</f>
        <v>1143.9773759222637</v>
      </c>
      <c r="Y182" s="91">
        <f>Y178*Outflow_routing!X4</f>
        <v>1126.7575992479412</v>
      </c>
      <c r="Z182" s="91">
        <f>Z178*Outflow_routing!Y4</f>
        <v>1114.107375317805</v>
      </c>
      <c r="AA182" s="91">
        <f>AA178*Outflow_routing!Z4</f>
        <v>1105.2447462315183</v>
      </c>
      <c r="AB182" s="91">
        <f>AB178*Outflow_routing!AA4</f>
        <v>1099.2928114768981</v>
      </c>
    </row>
    <row r="183" spans="1:28">
      <c r="B183" s="7" t="s">
        <v>6907</v>
      </c>
      <c r="C183" s="91">
        <f>C179*Outflow_routing!B5</f>
        <v>0</v>
      </c>
      <c r="D183" s="91">
        <f>D179*Outflow_routing!C5</f>
        <v>1.2392333987510442</v>
      </c>
      <c r="E183" s="91">
        <f>E179*Outflow_routing!D5</f>
        <v>4.2209591548278</v>
      </c>
      <c r="F183" s="91">
        <f>F179*Outflow_routing!E5</f>
        <v>7.9987149592362128</v>
      </c>
      <c r="G183" s="91">
        <f>G179*Outflow_routing!F5</f>
        <v>12.076396916091991</v>
      </c>
      <c r="H183" s="91">
        <f>H179*Outflow_routing!G5</f>
        <v>21.693974133053008</v>
      </c>
      <c r="I183" s="91">
        <f>I179*Outflow_routing!H5</f>
        <v>46.156312398677976</v>
      </c>
      <c r="J183" s="91">
        <f>J179*Outflow_routing!I5</f>
        <v>91.829247529371742</v>
      </c>
      <c r="K183" s="91">
        <f>K179*Outflow_routing!J5</f>
        <v>149.55048715788959</v>
      </c>
      <c r="L183" s="91">
        <f>L179*Outflow_routing!K5</f>
        <v>205.83760590142586</v>
      </c>
      <c r="M183" s="91">
        <f>M179*Outflow_routing!L5</f>
        <v>252.80220579189688</v>
      </c>
      <c r="N183" s="91">
        <f>N179*Outflow_routing!M5</f>
        <v>284.34095970635775</v>
      </c>
      <c r="O183" s="91">
        <f>O179*Outflow_routing!N5</f>
        <v>302.82301446809038</v>
      </c>
      <c r="P183" s="91">
        <f>P179*Outflow_routing!O5</f>
        <v>316.55129249678157</v>
      </c>
      <c r="Q183" s="91">
        <f>Q179*Outflow_routing!P5</f>
        <v>331.3606301203227</v>
      </c>
      <c r="R183" s="91">
        <f>R179*Outflow_routing!Q5</f>
        <v>339.58068283852185</v>
      </c>
      <c r="S183" s="91">
        <f>S179*Outflow_routing!R5</f>
        <v>339.15044070822194</v>
      </c>
      <c r="T183" s="91">
        <f>T179*Outflow_routing!S5</f>
        <v>333.71177199076908</v>
      </c>
      <c r="U183" s="91">
        <f>U179*Outflow_routing!T5</f>
        <v>326.17637666476202</v>
      </c>
      <c r="V183" s="91">
        <f>V179*Outflow_routing!U5</f>
        <v>318.32545480372045</v>
      </c>
      <c r="W183" s="91">
        <f>W179*Outflow_routing!V5</f>
        <v>311.19637320163901</v>
      </c>
      <c r="X183" s="91">
        <f>X179*Outflow_routing!W5</f>
        <v>305.27667313839549</v>
      </c>
      <c r="Y183" s="91">
        <f>Y179*Outflow_routing!X5</f>
        <v>300.68148074563913</v>
      </c>
      <c r="Z183" s="91">
        <f>Z179*Outflow_routing!Y5</f>
        <v>297.30569870909824</v>
      </c>
      <c r="AA183" s="91">
        <f>AA179*Outflow_routing!Z5</f>
        <v>294.94065724965503</v>
      </c>
      <c r="AB183" s="91">
        <f>AB179*Outflow_routing!AA5</f>
        <v>293.35235062850143</v>
      </c>
    </row>
    <row r="184" spans="1:28">
      <c r="B184" s="7" t="s">
        <v>6908</v>
      </c>
      <c r="C184" s="91">
        <f>C180*Outflow_routing!B6</f>
        <v>0</v>
      </c>
      <c r="D184" s="91">
        <f>D180*Outflow_routing!C6</f>
        <v>0.1437460291798659</v>
      </c>
      <c r="E184" s="91">
        <f>E180*Outflow_routing!D6</f>
        <v>0.48961407790365025</v>
      </c>
      <c r="F184" s="91">
        <f>F180*Outflow_routing!E6</f>
        <v>0.92781837149531543</v>
      </c>
      <c r="G184" s="91">
        <f>G180*Outflow_routing!F6</f>
        <v>1.4008128777337305</v>
      </c>
      <c r="H184" s="91">
        <f>H180*Outflow_routing!G6</f>
        <v>2.5164126805329667</v>
      </c>
      <c r="I184" s="91">
        <f>I180*Outflow_routing!H6</f>
        <v>5.3539443300852048</v>
      </c>
      <c r="J184" s="91">
        <f>J180*Outflow_routing!I6</f>
        <v>10.651818864973983</v>
      </c>
      <c r="K184" s="91">
        <f>K180*Outflow_routing!J6</f>
        <v>17.347247671445185</v>
      </c>
      <c r="L184" s="91">
        <f>L180*Outflow_routing!K6</f>
        <v>23.876324293745288</v>
      </c>
      <c r="M184" s="91">
        <f>M180*Outflow_routing!L6</f>
        <v>29.324026682238298</v>
      </c>
      <c r="N184" s="91">
        <f>N180*Outflow_routing!M6</f>
        <v>32.982393738076077</v>
      </c>
      <c r="O184" s="91">
        <f>O180*Outflow_routing!N6</f>
        <v>35.126236847664195</v>
      </c>
      <c r="P184" s="91">
        <f>P180*Outflow_routing!O6</f>
        <v>36.718661209443368</v>
      </c>
      <c r="Q184" s="91">
        <f>Q180*Outflow_routing!P6</f>
        <v>38.436484083095351</v>
      </c>
      <c r="R184" s="91">
        <f>R180*Outflow_routing!Q6</f>
        <v>39.389976733536464</v>
      </c>
      <c r="S184" s="91">
        <f>S180*Outflow_routing!R6</f>
        <v>39.340070397991575</v>
      </c>
      <c r="T184" s="91">
        <f>T180*Outflow_routing!S6</f>
        <v>38.709206968272426</v>
      </c>
      <c r="U184" s="91">
        <f>U180*Outflow_routing!T6</f>
        <v>37.83513178799911</v>
      </c>
      <c r="V184" s="91">
        <f>V180*Outflow_routing!U6</f>
        <v>36.92445681421006</v>
      </c>
      <c r="W184" s="91">
        <f>W180*Outflow_routing!V6</f>
        <v>36.097512371757759</v>
      </c>
      <c r="X184" s="91">
        <f>X180*Outflow_routing!W6</f>
        <v>35.4108512642661</v>
      </c>
      <c r="Y184" s="91">
        <f>Y180*Outflow_routing!X6</f>
        <v>34.877827654313379</v>
      </c>
      <c r="Z184" s="91">
        <f>Z180*Outflow_routing!Y6</f>
        <v>34.486250681308498</v>
      </c>
      <c r="AA184" s="91">
        <f>AA180*Outflow_routing!Z6</f>
        <v>34.211915500394767</v>
      </c>
      <c r="AB184" s="91">
        <f>AB180*Outflow_routing!AA6</f>
        <v>34.027678398537262</v>
      </c>
    </row>
    <row r="187" spans="1:28" ht="21">
      <c r="A187" s="293"/>
      <c r="B187" s="382"/>
      <c r="C187" s="378"/>
      <c r="D187" s="378"/>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row>
    <row r="188" spans="1:28" ht="19">
      <c r="B188" s="382"/>
      <c r="Q188" s="1"/>
      <c r="R188" s="1"/>
      <c r="S188" s="1"/>
      <c r="T188" s="1"/>
      <c r="U188" s="1"/>
      <c r="V188" s="1"/>
      <c r="W188" s="1"/>
      <c r="X188" s="1"/>
      <c r="Y188" s="1"/>
      <c r="Z188" s="1"/>
      <c r="AA188" s="1"/>
      <c r="AB188" s="1"/>
    </row>
    <row r="189" spans="1:28">
      <c r="C189"/>
      <c r="D189"/>
      <c r="E189"/>
      <c r="F189"/>
      <c r="G189"/>
      <c r="H189"/>
      <c r="I189"/>
      <c r="J189"/>
      <c r="K189"/>
      <c r="L189"/>
      <c r="M189"/>
      <c r="N189"/>
      <c r="O189"/>
      <c r="P189"/>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B6B55-CBC6-B147-8A78-5E662D1D0208}">
  <dimension ref="A1:AF189"/>
  <sheetViews>
    <sheetView zoomScale="50" zoomScaleNormal="50" workbookViewId="0">
      <pane xSplit="2" ySplit="2" topLeftCell="C166" activePane="bottomRight" state="frozen"/>
      <selection pane="topRight" activeCell="C1" sqref="C1"/>
      <selection pane="bottomLeft" activeCell="A3" sqref="A3"/>
      <selection pane="bottomRight" activeCell="S188" sqref="S18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9" ht="21">
      <c r="A1" s="52"/>
      <c r="B1" s="52"/>
      <c r="U1" s="1"/>
      <c r="V1" s="81"/>
    </row>
    <row r="2" spans="1:29" ht="22" thickBot="1">
      <c r="A2" s="52"/>
      <c r="B2" s="212" t="s">
        <v>175</v>
      </c>
      <c r="C2" s="213">
        <v>2007</v>
      </c>
      <c r="D2" s="213">
        <v>2008</v>
      </c>
      <c r="E2" s="213">
        <v>2009</v>
      </c>
      <c r="F2" s="213">
        <v>2010</v>
      </c>
      <c r="G2" s="213">
        <v>2011</v>
      </c>
      <c r="H2" s="213">
        <v>2012</v>
      </c>
      <c r="I2" s="213">
        <v>2013</v>
      </c>
      <c r="J2" s="213">
        <v>2014</v>
      </c>
      <c r="K2" s="213">
        <v>2015</v>
      </c>
      <c r="L2" s="213">
        <v>2016</v>
      </c>
      <c r="M2" s="213">
        <v>2017</v>
      </c>
      <c r="N2" s="213">
        <v>2018</v>
      </c>
      <c r="O2" s="213">
        <v>2019</v>
      </c>
      <c r="P2" s="213">
        <v>2020</v>
      </c>
      <c r="Q2" s="213">
        <v>2021</v>
      </c>
      <c r="R2" s="213">
        <v>2022</v>
      </c>
      <c r="S2" s="213">
        <v>2023</v>
      </c>
      <c r="T2" s="213">
        <v>2024</v>
      </c>
      <c r="U2" s="213">
        <v>2025</v>
      </c>
      <c r="V2" s="213">
        <v>2026</v>
      </c>
      <c r="W2" s="213">
        <v>2027</v>
      </c>
      <c r="X2" s="213">
        <v>2028</v>
      </c>
      <c r="Y2" s="213">
        <v>2029</v>
      </c>
      <c r="Z2" s="213">
        <v>2030</v>
      </c>
      <c r="AA2" s="213">
        <v>2031</v>
      </c>
      <c r="AB2" s="213">
        <v>2032</v>
      </c>
    </row>
    <row r="3" spans="1:29" ht="17" thickTop="1"/>
    <row r="4" spans="1:29" ht="26">
      <c r="A4" s="292" t="s">
        <v>7791</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9">
      <c r="A5" s="1"/>
      <c r="B5" s="82"/>
      <c r="C5" s="47">
        <f>B5+C38-C67</f>
        <v>281993.3129973475</v>
      </c>
      <c r="D5" s="47">
        <f t="shared" ref="D5:AB5" si="0">C5+D38-D67</f>
        <v>711895.46404629853</v>
      </c>
      <c r="E5" s="47">
        <f t="shared" si="0"/>
        <v>1068830.2141186399</v>
      </c>
      <c r="F5" s="47">
        <f t="shared" si="0"/>
        <v>1427822.4822884011</v>
      </c>
      <c r="G5" s="47">
        <f t="shared" si="0"/>
        <v>3011255.3186520375</v>
      </c>
      <c r="H5" s="47">
        <f t="shared" si="0"/>
        <v>6879400.621511789</v>
      </c>
      <c r="I5" s="47">
        <f t="shared" si="0"/>
        <v>13019896.264559774</v>
      </c>
      <c r="J5" s="47">
        <f t="shared" si="0"/>
        <v>18612858.619417269</v>
      </c>
      <c r="K5" s="47">
        <f t="shared" si="0"/>
        <v>22697084.680680387</v>
      </c>
      <c r="L5" s="47">
        <f t="shared" si="0"/>
        <v>25387154.851342078</v>
      </c>
      <c r="M5" s="47">
        <f t="shared" si="0"/>
        <v>26206112.055863939</v>
      </c>
      <c r="N5" s="47">
        <f t="shared" si="0"/>
        <v>26593454.715115897</v>
      </c>
      <c r="O5" s="47">
        <f t="shared" si="0"/>
        <v>27599344.498546928</v>
      </c>
      <c r="P5" s="47">
        <f t="shared" si="0"/>
        <v>29184952.833321691</v>
      </c>
      <c r="Q5" s="47">
        <f t="shared" si="0"/>
        <v>28910684.076626211</v>
      </c>
      <c r="R5" s="47">
        <f t="shared" si="0"/>
        <v>28078912.489402585</v>
      </c>
      <c r="S5" s="47">
        <f t="shared" si="0"/>
        <v>27254476.902178958</v>
      </c>
      <c r="T5" s="47">
        <f t="shared" si="0"/>
        <v>26522775.314955331</v>
      </c>
      <c r="U5" s="47">
        <f t="shared" si="0"/>
        <v>25924717.727731705</v>
      </c>
      <c r="V5" s="47">
        <f t="shared" si="0"/>
        <v>25478591.140508078</v>
      </c>
      <c r="W5" s="47">
        <f t="shared" si="0"/>
        <v>25189129.553284451</v>
      </c>
      <c r="X5" s="47">
        <f t="shared" si="0"/>
        <v>25051376.966060825</v>
      </c>
      <c r="Y5" s="47">
        <f t="shared" si="0"/>
        <v>25052649.378837198</v>
      </c>
      <c r="Z5" s="47">
        <f t="shared" si="0"/>
        <v>25174056.791613571</v>
      </c>
      <c r="AA5" s="47">
        <f t="shared" si="0"/>
        <v>25392247.204389945</v>
      </c>
      <c r="AB5" s="47">
        <f t="shared" si="0"/>
        <v>25681479.617166318</v>
      </c>
    </row>
    <row r="6" spans="1:29">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9">
      <c r="A7" s="1" t="s">
        <v>7762</v>
      </c>
      <c r="B7" s="7">
        <v>2007</v>
      </c>
      <c r="C7" s="83">
        <f>$C$38*Product_lifespan!B26</f>
        <v>281993.3129973475</v>
      </c>
      <c r="D7" s="83">
        <f>$C$38*Product_lifespan!C26</f>
        <v>260863.378947961</v>
      </c>
      <c r="E7" s="83">
        <f>$C$38*Product_lifespan!D26</f>
        <v>222688.85323200552</v>
      </c>
      <c r="F7" s="83">
        <f>$C$38*Product_lifespan!E26</f>
        <v>179500.2815350634</v>
      </c>
      <c r="G7" s="83">
        <f>$C$38*Product_lifespan!F26</f>
        <v>137846.15379076556</v>
      </c>
      <c r="H7" s="83">
        <f>$C$38*Product_lifespan!G26</f>
        <v>101395.38167513083</v>
      </c>
      <c r="I7" s="83">
        <f>$C$38*Product_lifespan!H26</f>
        <v>71705.328416480814</v>
      </c>
      <c r="J7" s="83">
        <f>$C$38*Product_lifespan!I26</f>
        <v>48888.379248772537</v>
      </c>
      <c r="K7" s="83">
        <f>$C$38*Product_lifespan!J26</f>
        <v>32205.906893238021</v>
      </c>
      <c r="L7" s="83">
        <f>$C$38*Product_lifespan!K26</f>
        <v>20536.220874728577</v>
      </c>
      <c r="M7" s="83">
        <f>$C$38*Product_lifespan!L26</f>
        <v>12694.443206545711</v>
      </c>
      <c r="N7" s="83">
        <f>$C$38*Product_lifespan!M26</f>
        <v>7616.8102465962775</v>
      </c>
      <c r="O7" s="83">
        <f>$C$38*Product_lifespan!N26</f>
        <v>4441.030752075797</v>
      </c>
      <c r="P7" s="83">
        <f>$C$38*Product_lifespan!O26</f>
        <v>2518.6751393340005</v>
      </c>
      <c r="Q7" s="83">
        <f>$C$38*Product_lifespan!P26</f>
        <v>1390.6493675100551</v>
      </c>
      <c r="R7" s="83">
        <f>$C$38*Product_lifespan!Q26</f>
        <v>748.10186957269946</v>
      </c>
      <c r="S7" s="83">
        <f>$C$38*Product_lifespan!R26</f>
        <v>392.38232408624981</v>
      </c>
      <c r="T7" s="83">
        <f>$C$38*Product_lifespan!S26</f>
        <v>200.79097582343613</v>
      </c>
      <c r="U7" s="83">
        <f>$C$38*Product_lifespan!T26</f>
        <v>100.30484477902797</v>
      </c>
      <c r="V7" s="83">
        <f>$C$38*Product_lifespan!U26</f>
        <v>48.941710513029484</v>
      </c>
      <c r="W7" s="83">
        <f>$C$38*Product_lifespan!V26</f>
        <v>23.336445314472432</v>
      </c>
      <c r="X7" s="83">
        <f>$C$38*Product_lifespan!W26</f>
        <v>10.879071463190142</v>
      </c>
      <c r="Y7" s="83">
        <f>$C$38*Product_lifespan!X26</f>
        <v>4.9606661388526136</v>
      </c>
      <c r="Z7" s="83">
        <f>$C$38*Product_lifespan!Y26</f>
        <v>2.2133823964842194</v>
      </c>
      <c r="AA7" s="83">
        <f>$C$38*Product_lifespan!Z26</f>
        <v>0.96673509084196707</v>
      </c>
      <c r="AB7" s="83">
        <f>$C$38*Product_lifespan!AA26</f>
        <v>0.41347528700067288</v>
      </c>
    </row>
    <row r="8" spans="1:29">
      <c r="A8" s="1"/>
      <c r="B8" s="7">
        <v>2008</v>
      </c>
      <c r="C8" s="83"/>
      <c r="D8" s="83">
        <f>$D$38*Product_lifespan!B26</f>
        <v>451032.15104895108</v>
      </c>
      <c r="E8" s="83">
        <f>$D$38*Product_lifespan!C26</f>
        <v>417236.0318980444</v>
      </c>
      <c r="F8" s="83">
        <f>$D$38*Product_lifespan!D26</f>
        <v>356178.06472169916</v>
      </c>
      <c r="G8" s="83">
        <f>$D$38*Product_lifespan!E26</f>
        <v>287100.41821244708</v>
      </c>
      <c r="H8" s="83">
        <f>$D$38*Product_lifespan!F26</f>
        <v>220477.02690970662</v>
      </c>
      <c r="I8" s="83">
        <f>$D$38*Product_lifespan!G26</f>
        <v>162176.10487733028</v>
      </c>
      <c r="J8" s="83">
        <f>$D$38*Product_lifespan!H26</f>
        <v>114688.56539041772</v>
      </c>
      <c r="K8" s="83">
        <f>$D$38*Product_lifespan!I26</f>
        <v>78194.162193052383</v>
      </c>
      <c r="L8" s="83">
        <f>$D$38*Product_lifespan!J26</f>
        <v>51511.503262760067</v>
      </c>
      <c r="M8" s="83">
        <f>$D$38*Product_lifespan!K26</f>
        <v>32846.508937012724</v>
      </c>
      <c r="N8" s="83">
        <f>$D$38*Product_lifespan!L26</f>
        <v>20304.034748054157</v>
      </c>
      <c r="O8" s="83">
        <f>$D$38*Product_lifespan!M26</f>
        <v>12182.651684674256</v>
      </c>
      <c r="P8" s="83">
        <f>$D$38*Product_lifespan!N26</f>
        <v>7103.1742976193518</v>
      </c>
      <c r="Q8" s="83">
        <f>$D$38*Product_lifespan!O26</f>
        <v>4028.4766110677824</v>
      </c>
      <c r="R8" s="83">
        <f>$D$38*Product_lifespan!P26</f>
        <v>2224.2640044050381</v>
      </c>
      <c r="S8" s="83">
        <f>$D$38*Product_lifespan!Q26</f>
        <v>1196.5460877446067</v>
      </c>
      <c r="T8" s="83">
        <f>$D$38*Product_lifespan!R26</f>
        <v>627.59305100214408</v>
      </c>
      <c r="U8" s="83">
        <f>$D$38*Product_lifespan!S26</f>
        <v>321.15366415697309</v>
      </c>
      <c r="V8" s="83">
        <f>$D$38*Product_lifespan!T26</f>
        <v>160.43185357995239</v>
      </c>
      <c r="W8" s="83">
        <f>$D$38*Product_lifespan!U26</f>
        <v>78.279462495319478</v>
      </c>
      <c r="X8" s="83">
        <f>$D$38*Product_lifespan!V26</f>
        <v>37.325307526429611</v>
      </c>
      <c r="Y8" s="83">
        <f>$D$38*Product_lifespan!W26</f>
        <v>17.400451632355072</v>
      </c>
      <c r="Z8" s="83">
        <f>$D$38*Product_lifespan!X26</f>
        <v>7.9343013331079764</v>
      </c>
      <c r="AA8" s="83">
        <f>$D$38*Product_lifespan!Y26</f>
        <v>3.54017835660362</v>
      </c>
      <c r="AB8" s="83">
        <f>$D$38*Product_lifespan!Z26</f>
        <v>1.5462374014558882</v>
      </c>
    </row>
    <row r="9" spans="1:29">
      <c r="A9" s="1"/>
      <c r="B9" s="7">
        <v>2009</v>
      </c>
      <c r="C9" s="83"/>
      <c r="D9" s="83"/>
      <c r="E9" s="83">
        <f>$E$38*Product_lifespan!B26</f>
        <v>428905.75007234141</v>
      </c>
      <c r="F9" s="83">
        <f>$E$38*Product_lifespan!C26</f>
        <v>396767.57588621636</v>
      </c>
      <c r="G9" s="83">
        <f>$E$38*Product_lifespan!D26</f>
        <v>338704.94520953868</v>
      </c>
      <c r="H9" s="83">
        <f>$E$38*Product_lifespan!E26</f>
        <v>273016.0586847568</v>
      </c>
      <c r="I9" s="83">
        <f>$E$38*Product_lifespan!F26</f>
        <v>209661.02833357523</v>
      </c>
      <c r="J9" s="83">
        <f>$E$38*Product_lifespan!G26</f>
        <v>154220.18972362086</v>
      </c>
      <c r="K9" s="83">
        <f>$E$38*Product_lifespan!H26</f>
        <v>109062.25875272286</v>
      </c>
      <c r="L9" s="83">
        <f>$E$38*Product_lifespan!I26</f>
        <v>74358.170939014817</v>
      </c>
      <c r="M9" s="83">
        <f>$E$38*Product_lifespan!J26</f>
        <v>48984.490114253793</v>
      </c>
      <c r="N9" s="83">
        <f>$E$38*Product_lifespan!K26</f>
        <v>31235.1492462858</v>
      </c>
      <c r="O9" s="83">
        <f>$E$38*Product_lifespan!L26</f>
        <v>19307.974460037785</v>
      </c>
      <c r="P9" s="83">
        <f>$E$38*Product_lifespan!M26</f>
        <v>11585.004187690796</v>
      </c>
      <c r="Q9" s="83">
        <f>$E$38*Product_lifespan!N26</f>
        <v>6754.7120375557315</v>
      </c>
      <c r="R9" s="83">
        <f>$E$38*Product_lifespan!O26</f>
        <v>3830.8505912506157</v>
      </c>
      <c r="S9" s="83">
        <f>$E$38*Product_lifespan!P26</f>
        <v>2115.1477094250736</v>
      </c>
      <c r="T9" s="83">
        <f>$E$38*Product_lifespan!Q26</f>
        <v>1137.8468166109233</v>
      </c>
      <c r="U9" s="83">
        <f>$E$38*Product_lifespan!R26</f>
        <v>596.80505625650972</v>
      </c>
      <c r="V9" s="83">
        <f>$E$38*Product_lifespan!S26</f>
        <v>305.39874572883338</v>
      </c>
      <c r="W9" s="83">
        <f>$E$38*Product_lifespan!T26</f>
        <v>152.5615066136105</v>
      </c>
      <c r="X9" s="83">
        <f>$E$38*Product_lifespan!U26</f>
        <v>74.439286642274936</v>
      </c>
      <c r="Y9" s="83">
        <f>$E$38*Product_lifespan!V26</f>
        <v>35.494230254034868</v>
      </c>
      <c r="Z9" s="83">
        <f>$E$38*Product_lifespan!W26</f>
        <v>16.546833172792518</v>
      </c>
      <c r="AA9" s="83">
        <f>$E$38*Product_lifespan!X26</f>
        <v>7.5450662589401878</v>
      </c>
      <c r="AB9" s="83">
        <f>$E$38*Product_lifespan!Y26</f>
        <v>3.3665069106440493</v>
      </c>
    </row>
    <row r="10" spans="1:29">
      <c r="A10" s="1"/>
      <c r="B10" s="7">
        <v>2010</v>
      </c>
      <c r="C10" s="83"/>
      <c r="D10" s="83"/>
      <c r="E10" s="83"/>
      <c r="F10" s="83">
        <f>$F$38*Product_lifespan!B26</f>
        <v>495377.26816976129</v>
      </c>
      <c r="G10" s="83">
        <f>$F$38*Product_lifespan!C26</f>
        <v>458258.3418564598</v>
      </c>
      <c r="H10" s="83">
        <f>$F$38*Product_lifespan!D26</f>
        <v>391197.2046194069</v>
      </c>
      <c r="I10" s="83">
        <f>$F$38*Product_lifespan!E26</f>
        <v>315327.89964909264</v>
      </c>
      <c r="J10" s="83">
        <f>$F$38*Product_lifespan!F26</f>
        <v>242154.15027667885</v>
      </c>
      <c r="K10" s="83">
        <f>$F$38*Product_lifespan!G26</f>
        <v>178121.12863729167</v>
      </c>
      <c r="L10" s="83">
        <f>$F$38*Product_lifespan!H26</f>
        <v>125964.65258914116</v>
      </c>
      <c r="M10" s="83">
        <f>$F$38*Product_lifespan!I26</f>
        <v>85882.149119372858</v>
      </c>
      <c r="N10" s="83">
        <f>$F$38*Product_lifespan!J26</f>
        <v>56576.072695213181</v>
      </c>
      <c r="O10" s="83">
        <f>$F$38*Product_lifespan!K26</f>
        <v>36075.95118948639</v>
      </c>
      <c r="P10" s="83">
        <f>$F$38*Product_lifespan!L26</f>
        <v>22300.311059695061</v>
      </c>
      <c r="Q10" s="83">
        <f>$F$38*Product_lifespan!M26</f>
        <v>13380.440167252482</v>
      </c>
      <c r="R10" s="83">
        <f>$F$38*Product_lifespan!N26</f>
        <v>7801.5526624984277</v>
      </c>
      <c r="S10" s="83">
        <f>$F$38*Product_lifespan!O26</f>
        <v>4424.5531806000881</v>
      </c>
      <c r="T10" s="83">
        <f>$F$38*Product_lifespan!P26</f>
        <v>2442.9518463993413</v>
      </c>
      <c r="U10" s="83">
        <f>$F$38*Product_lifespan!Q26</f>
        <v>1314.1895335124518</v>
      </c>
      <c r="V10" s="83">
        <f>$F$38*Product_lifespan!R26</f>
        <v>689.29749332664744</v>
      </c>
      <c r="W10" s="83">
        <f>$F$38*Product_lifespan!S26</f>
        <v>352.72923325486795</v>
      </c>
      <c r="X10" s="83">
        <f>$F$38*Product_lifespan!T26</f>
        <v>176.20538395991753</v>
      </c>
      <c r="Y10" s="83">
        <f>$F$38*Product_lifespan!U26</f>
        <v>85.975836078523898</v>
      </c>
      <c r="Z10" s="83">
        <f>$F$38*Product_lifespan!V26</f>
        <v>40.995101641949638</v>
      </c>
      <c r="AA10" s="83">
        <f>$F$38*Product_lifespan!W26</f>
        <v>19.111249995170748</v>
      </c>
      <c r="AB10" s="83">
        <f>$F$38*Product_lifespan!X26</f>
        <v>8.7143954374200376</v>
      </c>
    </row>
    <row r="11" spans="1:29">
      <c r="A11" s="1"/>
      <c r="B11" s="7">
        <v>2011</v>
      </c>
      <c r="C11" s="83"/>
      <c r="D11" s="83"/>
      <c r="E11" s="83"/>
      <c r="F11" s="83"/>
      <c r="G11" s="83">
        <f>$G$38*Product_lifespan!B26</f>
        <v>1789345.8363636364</v>
      </c>
      <c r="H11" s="83">
        <f>$G$38*Product_lifespan!C26</f>
        <v>1655269.0417331778</v>
      </c>
      <c r="I11" s="83">
        <f>$G$38*Product_lifespan!D26</f>
        <v>1413038.3734987008</v>
      </c>
      <c r="J11" s="83">
        <f>$G$38*Product_lifespan!E26</f>
        <v>1138991.8362847399</v>
      </c>
      <c r="K11" s="83">
        <f>$G$38*Product_lifespan!F26</f>
        <v>874681.88065355981</v>
      </c>
      <c r="L11" s="83">
        <f>$G$38*Product_lifespan!G26</f>
        <v>643389.02968455746</v>
      </c>
      <c r="M11" s="83">
        <f>$G$38*Product_lifespan!H26</f>
        <v>454995.29575130017</v>
      </c>
      <c r="N11" s="83">
        <f>$G$38*Product_lifespan!I26</f>
        <v>310213.80232580332</v>
      </c>
      <c r="O11" s="83">
        <f>$G$38*Product_lifespan!J26</f>
        <v>204357.70193696916</v>
      </c>
      <c r="P11" s="83">
        <f>$G$38*Product_lifespan!K26</f>
        <v>130309.47764773847</v>
      </c>
      <c r="Q11" s="83">
        <f>$G$38*Product_lifespan!L26</f>
        <v>80550.665741498902</v>
      </c>
      <c r="R11" s="83">
        <f>$G$38*Product_lifespan!M26</f>
        <v>48331.315222524907</v>
      </c>
      <c r="S11" s="83">
        <f>$G$38*Product_lifespan!N26</f>
        <v>28179.887675082722</v>
      </c>
      <c r="T11" s="83">
        <f>$G$38*Product_lifespan!O26</f>
        <v>15981.871434526845</v>
      </c>
      <c r="U11" s="83">
        <f>$G$38*Product_lifespan!P26</f>
        <v>8824.1548324206105</v>
      </c>
      <c r="V11" s="83">
        <f>$G$38*Product_lifespan!Q26</f>
        <v>4746.9670513369701</v>
      </c>
      <c r="W11" s="83">
        <f>$G$38*Product_lifespan!R26</f>
        <v>2489.8025786626449</v>
      </c>
      <c r="X11" s="83">
        <f>$G$38*Product_lifespan!S26</f>
        <v>1274.0887106512223</v>
      </c>
      <c r="Y11" s="83">
        <f>$G$38*Product_lifespan!T26</f>
        <v>636.46919306254176</v>
      </c>
      <c r="Z11" s="83">
        <f>$G$38*Product_lifespan!U26</f>
        <v>310.55220778170531</v>
      </c>
      <c r="AA11" s="83">
        <f>$G$38*Product_lifespan!V26</f>
        <v>148.07787750403753</v>
      </c>
      <c r="AB11" s="83">
        <f>$G$38*Product_lifespan!W26</f>
        <v>69.031499432558675</v>
      </c>
    </row>
    <row r="12" spans="1:29">
      <c r="A12" s="1"/>
      <c r="B12" s="7">
        <v>2012</v>
      </c>
      <c r="C12" s="83"/>
      <c r="D12" s="83"/>
      <c r="E12" s="83"/>
      <c r="F12" s="83"/>
      <c r="G12" s="83"/>
      <c r="H12" s="83">
        <f>$H$38*Product_lifespan!B26</f>
        <v>4238046.3028597515</v>
      </c>
      <c r="I12" s="83">
        <f>$H$38*Product_lifespan!C26</f>
        <v>3920486.861730326</v>
      </c>
      <c r="J12" s="83">
        <f>$H$38*Product_lifespan!D26</f>
        <v>3346766.1381631983</v>
      </c>
      <c r="K12" s="83">
        <f>$H$38*Product_lifespan!E26</f>
        <v>2697689.8722740836</v>
      </c>
      <c r="L12" s="83">
        <f>$H$38*Product_lifespan!F26</f>
        <v>2071674.5947868833</v>
      </c>
      <c r="M12" s="83">
        <f>$H$38*Product_lifespan!G26</f>
        <v>1523859.9733724312</v>
      </c>
      <c r="N12" s="83">
        <f>$H$38*Product_lifespan!H26</f>
        <v>1077651.4476911346</v>
      </c>
      <c r="O12" s="83">
        <f>$H$38*Product_lifespan!I26</f>
        <v>734738.04299045459</v>
      </c>
      <c r="P12" s="83">
        <f>$H$38*Product_lifespan!J26</f>
        <v>484019.01161541604</v>
      </c>
      <c r="Q12" s="83">
        <f>$H$38*Product_lifespan!K26</f>
        <v>308636.59151262691</v>
      </c>
      <c r="R12" s="83">
        <f>$H$38*Product_lifespan!L26</f>
        <v>190783.38250832987</v>
      </c>
      <c r="S12" s="83">
        <f>$H$38*Product_lifespan!M26</f>
        <v>114472.19851442102</v>
      </c>
      <c r="T12" s="83">
        <f>$H$38*Product_lifespan!N26</f>
        <v>66743.759841916297</v>
      </c>
      <c r="U12" s="83">
        <f>$H$38*Product_lifespan!O26</f>
        <v>37852.890016791411</v>
      </c>
      <c r="V12" s="83">
        <f>$H$38*Product_lifespan!P26</f>
        <v>20899.915490569372</v>
      </c>
      <c r="W12" s="83">
        <f>$H$38*Product_lifespan!Q26</f>
        <v>11243.140231963122</v>
      </c>
      <c r="X12" s="83">
        <f>$H$38*Product_lifespan!R26</f>
        <v>5897.0705376864371</v>
      </c>
      <c r="Y12" s="83">
        <f>$H$38*Product_lifespan!S26</f>
        <v>3017.6653612496111</v>
      </c>
      <c r="Z12" s="83">
        <f>$H$38*Product_lifespan!T26</f>
        <v>1507.4704150118598</v>
      </c>
      <c r="AA12" s="83">
        <f>$H$38*Product_lifespan!U26</f>
        <v>735.5395526606967</v>
      </c>
      <c r="AB12" s="83">
        <f>$H$38*Product_lifespan!V26</f>
        <v>350.72085481622378</v>
      </c>
      <c r="AC12" s="83"/>
    </row>
    <row r="13" spans="1:29">
      <c r="A13" s="1"/>
      <c r="B13" s="7">
        <v>2013</v>
      </c>
      <c r="C13" s="83"/>
      <c r="D13" s="83"/>
      <c r="E13" s="83"/>
      <c r="F13" s="83"/>
      <c r="G13" s="83"/>
      <c r="H13" s="83"/>
      <c r="I13" s="83">
        <f>$I$38*Product_lifespan!B26</f>
        <v>6927500.6430479847</v>
      </c>
      <c r="J13" s="83">
        <f>$I$38*Product_lifespan!C26</f>
        <v>6408418.7181653781</v>
      </c>
      <c r="K13" s="83">
        <f>$I$38*Product_lifespan!D26</f>
        <v>5470616.1559896534</v>
      </c>
      <c r="L13" s="83">
        <f>$I$38*Product_lifespan!E26</f>
        <v>4409637.5993608851</v>
      </c>
      <c r="M13" s="83">
        <f>$I$38*Product_lifespan!F26</f>
        <v>3386354.4808106921</v>
      </c>
      <c r="N13" s="83">
        <f>$I$38*Product_lifespan!G26</f>
        <v>2490897.9730422604</v>
      </c>
      <c r="O13" s="83">
        <f>$I$38*Product_lifespan!H26</f>
        <v>1761526.5533612501</v>
      </c>
      <c r="P13" s="83">
        <f>$I$38*Product_lifespan!I26</f>
        <v>1201001.0985141024</v>
      </c>
      <c r="Q13" s="83">
        <f>$I$38*Product_lifespan!J26</f>
        <v>791176.35216743068</v>
      </c>
      <c r="R13" s="83">
        <f>$I$38*Product_lifespan!K26</f>
        <v>504496.6556238723</v>
      </c>
      <c r="S13" s="83">
        <f>$I$38*Product_lifespan!L26</f>
        <v>311854.07392021641</v>
      </c>
      <c r="T13" s="83">
        <f>$I$38*Product_lifespan!M26</f>
        <v>187115.98980989493</v>
      </c>
      <c r="U13" s="83">
        <f>$I$38*Product_lifespan!N26</f>
        <v>109099.19481349668</v>
      </c>
      <c r="V13" s="83">
        <f>$I$38*Product_lifespan!O26</f>
        <v>61874.246101464763</v>
      </c>
      <c r="W13" s="83">
        <f>$I$38*Product_lifespan!P26</f>
        <v>34162.953317161802</v>
      </c>
      <c r="X13" s="83">
        <f>$I$38*Product_lifespan!Q26</f>
        <v>18378.010908999899</v>
      </c>
      <c r="Y13" s="83">
        <f>$I$38*Product_lifespan!R26</f>
        <v>9639.3378039206436</v>
      </c>
      <c r="Z13" s="83">
        <f>$I$38*Product_lifespan!S26</f>
        <v>4932.6687904410346</v>
      </c>
      <c r="AA13" s="83">
        <f>$I$38*Product_lifespan!T26</f>
        <v>2464.1076390136973</v>
      </c>
      <c r="AB13" s="83">
        <f>$I$38*Product_lifespan!U26</f>
        <v>1202.3112443594334</v>
      </c>
    </row>
    <row r="14" spans="1:29">
      <c r="A14" s="1"/>
      <c r="B14" s="7">
        <v>2014</v>
      </c>
      <c r="C14" s="83"/>
      <c r="D14" s="83"/>
      <c r="E14" s="83"/>
      <c r="F14" s="83"/>
      <c r="G14" s="83"/>
      <c r="H14" s="83"/>
      <c r="I14" s="83"/>
      <c r="J14" s="83">
        <f>$J$38*Product_lifespan!B26</f>
        <v>7158730.354857496</v>
      </c>
      <c r="K14" s="83">
        <f>$J$38*Product_lifespan!C26</f>
        <v>6622322.24408466</v>
      </c>
      <c r="L14" s="83">
        <f>$J$38*Product_lifespan!D26</f>
        <v>5653217.2212727573</v>
      </c>
      <c r="M14" s="83">
        <f>$J$38*Product_lifespan!E26</f>
        <v>4556824.771737094</v>
      </c>
      <c r="N14" s="83">
        <f>$J$38*Product_lifespan!F26</f>
        <v>3499385.9781759796</v>
      </c>
      <c r="O14" s="83">
        <f>$J$38*Product_lifespan!G26</f>
        <v>2574040.4583528126</v>
      </c>
      <c r="P14" s="83">
        <f>$J$38*Product_lifespan!H26</f>
        <v>1820323.7008847632</v>
      </c>
      <c r="Q14" s="83">
        <f>$J$38*Product_lifespan!I26</f>
        <v>1241088.7364951991</v>
      </c>
      <c r="R14" s="83">
        <f>$J$38*Product_lifespan!J26</f>
        <v>817584.64706752088</v>
      </c>
      <c r="S14" s="83">
        <f>$J$38*Product_lifespan!K26</f>
        <v>521336.00682708551</v>
      </c>
      <c r="T14" s="83">
        <f>$J$38*Product_lifespan!L26</f>
        <v>322263.30105057528</v>
      </c>
      <c r="U14" s="83">
        <f>$J$38*Product_lifespan!M26</f>
        <v>193361.64443023963</v>
      </c>
      <c r="V14" s="83">
        <f>$J$38*Product_lifespan!N26</f>
        <v>112740.76436003881</v>
      </c>
      <c r="W14" s="83">
        <f>$J$38*Product_lifespan!O26</f>
        <v>63939.516800332225</v>
      </c>
      <c r="X14" s="83">
        <f>$J$38*Product_lifespan!P26</f>
        <v>35303.262103421759</v>
      </c>
      <c r="Y14" s="83">
        <f>$J$38*Product_lifespan!Q26</f>
        <v>18991.441695236586</v>
      </c>
      <c r="Z14" s="83">
        <f>$J$38*Product_lifespan!R26</f>
        <v>9961.0846239186885</v>
      </c>
      <c r="AA14" s="83">
        <f>$J$38*Product_lifespan!S26</f>
        <v>5097.3139693642679</v>
      </c>
      <c r="AB14" s="83">
        <f>$J$38*Product_lifespan!T26</f>
        <v>2546.3559026509652</v>
      </c>
    </row>
    <row r="15" spans="1:29">
      <c r="A15" s="1"/>
      <c r="B15" s="7">
        <v>2015</v>
      </c>
      <c r="C15" s="83"/>
      <c r="D15" s="83"/>
      <c r="E15" s="83"/>
      <c r="F15" s="83"/>
      <c r="G15" s="83"/>
      <c r="H15" s="83"/>
      <c r="I15" s="83"/>
      <c r="J15" s="83"/>
      <c r="K15" s="83">
        <f>$K$38*Product_lifespan!B26</f>
        <v>6634191.0612631189</v>
      </c>
      <c r="L15" s="83">
        <f>$K$38*Product_lifespan!C26</f>
        <v>6137087.005477095</v>
      </c>
      <c r="M15" s="83">
        <f>$K$38*Product_lifespan!D26</f>
        <v>5238990.8961018585</v>
      </c>
      <c r="N15" s="83">
        <f>$K$38*Product_lifespan!E26</f>
        <v>4222934.0497351876</v>
      </c>
      <c r="O15" s="83">
        <f>$K$38*Product_lifespan!F26</f>
        <v>3242976.6209271778</v>
      </c>
      <c r="P15" s="83">
        <f>$K$38*Product_lifespan!G26</f>
        <v>2385433.6388779636</v>
      </c>
      <c r="Q15" s="83">
        <f>$K$38*Product_lifespan!H26</f>
        <v>1686943.7213570662</v>
      </c>
      <c r="R15" s="83">
        <f>$K$38*Product_lifespan!I26</f>
        <v>1150150.8499064972</v>
      </c>
      <c r="S15" s="83">
        <f>$K$38*Product_lifespan!J26</f>
        <v>757678.03626251838</v>
      </c>
      <c r="T15" s="83">
        <f>$K$38*Product_lifespan!K26</f>
        <v>483136.32515296881</v>
      </c>
      <c r="U15" s="83">
        <f>$K$38*Product_lifespan!L26</f>
        <v>298650.20823869697</v>
      </c>
      <c r="V15" s="83">
        <f>$K$38*Product_lifespan!M26</f>
        <v>179193.5202867086</v>
      </c>
      <c r="W15" s="83">
        <f>$K$38*Product_lifespan!N26</f>
        <v>104479.9474322748</v>
      </c>
      <c r="X15" s="83">
        <f>$K$38*Product_lifespan!O26</f>
        <v>59254.497626163356</v>
      </c>
      <c r="Y15" s="83">
        <f>$K$38*Product_lifespan!P26</f>
        <v>32716.49779643249</v>
      </c>
      <c r="Z15" s="83">
        <f>$K$38*Product_lifespan!Q26</f>
        <v>17599.888037345459</v>
      </c>
      <c r="AA15" s="83">
        <f>$K$38*Product_lifespan!R26</f>
        <v>9231.2093481278134</v>
      </c>
      <c r="AB15" s="83">
        <f>$K$38*Product_lifespan!S26</f>
        <v>4723.8201602414201</v>
      </c>
    </row>
    <row r="16" spans="1:29">
      <c r="A16" s="1"/>
      <c r="B16" s="7">
        <v>2016</v>
      </c>
      <c r="C16" s="83"/>
      <c r="D16" s="83"/>
      <c r="E16" s="83"/>
      <c r="F16" s="83"/>
      <c r="G16" s="83"/>
      <c r="H16" s="83"/>
      <c r="I16" s="83"/>
      <c r="J16" s="83"/>
      <c r="K16" s="83"/>
      <c r="L16" s="83">
        <f>$L$38*Product_lifespan!B26</f>
        <v>6199779.1706616916</v>
      </c>
      <c r="M16" s="83">
        <f>$L$38*Product_lifespan!C26</f>
        <v>5735225.8675907282</v>
      </c>
      <c r="N16" s="83">
        <f>$L$38*Product_lifespan!D26</f>
        <v>4895937.776436964</v>
      </c>
      <c r="O16" s="83">
        <f>$L$38*Product_lifespan!E26</f>
        <v>3946413.1073188372</v>
      </c>
      <c r="P16" s="83">
        <f>$L$38*Product_lifespan!F26</f>
        <v>3030624.038364538</v>
      </c>
      <c r="Q16" s="83">
        <f>$L$38*Product_lifespan!G26</f>
        <v>2229233.624829541</v>
      </c>
      <c r="R16" s="83">
        <f>$L$38*Product_lifespan!H26</f>
        <v>1576481.3598474772</v>
      </c>
      <c r="S16" s="83">
        <f>$L$38*Product_lifespan!I26</f>
        <v>1074838.0950324174</v>
      </c>
      <c r="T16" s="83">
        <f>$L$38*Product_lifespan!J26</f>
        <v>708064.70056559471</v>
      </c>
      <c r="U16" s="83">
        <f>$L$38*Product_lifespan!K26</f>
        <v>451500.19009297446</v>
      </c>
      <c r="V16" s="83">
        <f>$L$38*Product_lifespan!L26</f>
        <v>279094.36482215521</v>
      </c>
      <c r="W16" s="83">
        <f>$L$38*Product_lifespan!M26</f>
        <v>167459.79190710216</v>
      </c>
      <c r="X16" s="83">
        <f>$L$38*Product_lifespan!N26</f>
        <v>97638.520787358328</v>
      </c>
      <c r="Y16" s="83">
        <f>$L$38*Product_lifespan!O26</f>
        <v>55374.467928086124</v>
      </c>
      <c r="Z16" s="83">
        <f>$L$38*Product_lifespan!P26</f>
        <v>30574.196567788091</v>
      </c>
      <c r="AA16" s="83">
        <f>$L$38*Product_lifespan!Q26</f>
        <v>16447.433945192588</v>
      </c>
      <c r="AB16" s="83">
        <f>$L$38*Product_lifespan!R26</f>
        <v>8626.7427193517851</v>
      </c>
    </row>
    <row r="17" spans="1:28">
      <c r="A17" s="86"/>
      <c r="B17" s="7">
        <v>2017</v>
      </c>
      <c r="C17" s="83"/>
      <c r="D17" s="83"/>
      <c r="E17" s="83"/>
      <c r="F17" s="83"/>
      <c r="G17" s="83"/>
      <c r="H17" s="83"/>
      <c r="I17" s="83"/>
      <c r="J17" s="83"/>
      <c r="K17" s="83"/>
      <c r="L17" s="83"/>
      <c r="M17" s="83">
        <f>$M$38*Product_lifespan!B26</f>
        <v>5129453.2045218628</v>
      </c>
      <c r="N17" s="83">
        <f>$M$38*Product_lifespan!C26</f>
        <v>4745100.0907230945</v>
      </c>
      <c r="O17" s="83">
        <f>$M$38*Product_lifespan!D26</f>
        <v>4050706.1663301</v>
      </c>
      <c r="P17" s="83">
        <f>$M$38*Product_lifespan!E26</f>
        <v>3265106.8372719469</v>
      </c>
      <c r="Q17" s="83">
        <f>$M$38*Product_lifespan!F26</f>
        <v>2507419.0156406537</v>
      </c>
      <c r="R17" s="83">
        <f>$M$38*Product_lifespan!G26</f>
        <v>1844380.1377024476</v>
      </c>
      <c r="S17" s="83">
        <f>$M$38*Product_lifespan!H26</f>
        <v>1304318.612089464</v>
      </c>
      <c r="T17" s="83">
        <f>$M$38*Product_lifespan!I26</f>
        <v>889278.72415136034</v>
      </c>
      <c r="U17" s="83">
        <f>$M$38*Product_lifespan!J26</f>
        <v>585824.85720009403</v>
      </c>
      <c r="V17" s="83">
        <f>$M$38*Product_lifespan!K26</f>
        <v>373553.48201336997</v>
      </c>
      <c r="W17" s="83">
        <f>$M$38*Product_lifespan!L26</f>
        <v>230911.68968978061</v>
      </c>
      <c r="X17" s="83">
        <f>$M$38*Product_lifespan!M26</f>
        <v>138549.63904057446</v>
      </c>
      <c r="Y17" s="83">
        <f>$M$38*Product_lifespan!N26</f>
        <v>80782.26813424335</v>
      </c>
      <c r="Z17" s="83">
        <f>$M$38*Product_lifespan!O26</f>
        <v>45814.654706822294</v>
      </c>
      <c r="AA17" s="83">
        <f>$M$38*Product_lifespan!P26</f>
        <v>25295.886553905097</v>
      </c>
      <c r="AB17" s="83">
        <f>$M$38*Product_lifespan!Q26</f>
        <v>13607.959321448785</v>
      </c>
    </row>
    <row r="18" spans="1:28">
      <c r="A18" s="1"/>
      <c r="B18" s="7">
        <v>2018</v>
      </c>
      <c r="C18" s="83"/>
      <c r="D18" s="83"/>
      <c r="E18" s="83"/>
      <c r="F18" s="83"/>
      <c r="G18" s="83"/>
      <c r="H18" s="83"/>
      <c r="I18" s="83"/>
      <c r="J18" s="83"/>
      <c r="K18" s="83"/>
      <c r="L18" s="83"/>
      <c r="M18" s="83"/>
      <c r="N18" s="83">
        <f>$N$38*Product_lifespan!B26</f>
        <v>5235601.6592519572</v>
      </c>
      <c r="O18" s="83">
        <f>$N$38*Product_lifespan!C26</f>
        <v>4843294.7758263452</v>
      </c>
      <c r="P18" s="83">
        <f>$N$38*Product_lifespan!D26</f>
        <v>4134531.1244645379</v>
      </c>
      <c r="Q18" s="83">
        <f>$N$38*Product_lifespan!E26</f>
        <v>3332674.6717927009</v>
      </c>
      <c r="R18" s="83">
        <f>$N$38*Product_lifespan!F26</f>
        <v>2559307.3248344054</v>
      </c>
      <c r="S18" s="83">
        <f>$N$38*Product_lifespan!G26</f>
        <v>1882547.578508693</v>
      </c>
      <c r="T18" s="83">
        <f>$N$38*Product_lifespan!H26</f>
        <v>1331310.0670513588</v>
      </c>
      <c r="U18" s="83">
        <f>$N$38*Product_lifespan!I26</f>
        <v>907681.38007378939</v>
      </c>
      <c r="V18" s="83">
        <f>$N$38*Product_lifespan!J26</f>
        <v>597947.86541458557</v>
      </c>
      <c r="W18" s="83">
        <f>$N$38*Product_lifespan!K26</f>
        <v>381283.76500723959</v>
      </c>
      <c r="X18" s="83">
        <f>$N$38*Product_lifespan!L26</f>
        <v>235690.15594385966</v>
      </c>
      <c r="Y18" s="83">
        <f>$N$38*Product_lifespan!M26</f>
        <v>141416.77311923311</v>
      </c>
      <c r="Z18" s="83">
        <f>$N$38*Product_lifespan!N26</f>
        <v>82453.969305916558</v>
      </c>
      <c r="AA18" s="83">
        <f>$N$38*Product_lifespan!O26</f>
        <v>46762.739153101073</v>
      </c>
      <c r="AB18" s="83">
        <f>$N$38*Product_lifespan!P26</f>
        <v>25819.357411648321</v>
      </c>
    </row>
    <row r="19" spans="1:28">
      <c r="A19" s="1"/>
      <c r="B19" s="7">
        <v>2019</v>
      </c>
      <c r="C19" s="83"/>
      <c r="D19" s="83"/>
      <c r="E19" s="83"/>
      <c r="F19" s="83"/>
      <c r="G19" s="83"/>
      <c r="H19" s="83"/>
      <c r="I19" s="83"/>
      <c r="J19" s="83"/>
      <c r="K19" s="83"/>
      <c r="L19" s="83"/>
      <c r="M19" s="83"/>
      <c r="N19" s="83"/>
      <c r="O19" s="83">
        <f>$O$38*Product_lifespan!B26</f>
        <v>6169283.7834310317</v>
      </c>
      <c r="P19" s="83">
        <f>$O$38*Product_lifespan!C26</f>
        <v>5707015.5186616695</v>
      </c>
      <c r="Q19" s="83">
        <f>$O$38*Product_lifespan!D26</f>
        <v>4871855.7060535233</v>
      </c>
      <c r="R19" s="83">
        <f>$O$38*Product_lifespan!E26</f>
        <v>3927001.5456217136</v>
      </c>
      <c r="S19" s="83">
        <f>$O$38*Product_lifespan!F26</f>
        <v>3015717.0471546222</v>
      </c>
      <c r="T19" s="83">
        <f>$O$38*Product_lifespan!G26</f>
        <v>2218268.501597655</v>
      </c>
      <c r="U19" s="83">
        <f>$O$38*Product_lifespan!H26</f>
        <v>1568726.9853436293</v>
      </c>
      <c r="V19" s="83">
        <f>$O$38*Product_lifespan!I26</f>
        <v>1069551.1964161915</v>
      </c>
      <c r="W19" s="83">
        <f>$O$38*Product_lifespan!J26</f>
        <v>704581.88180161535</v>
      </c>
      <c r="X19" s="83">
        <f>$O$38*Product_lifespan!K26</f>
        <v>449279.3572612573</v>
      </c>
      <c r="Y19" s="83">
        <f>$O$38*Product_lifespan!L26</f>
        <v>277721.55935685377</v>
      </c>
      <c r="Z19" s="83">
        <f>$O$38*Product_lifespan!M26</f>
        <v>166636.09302054526</v>
      </c>
      <c r="AA19" s="83">
        <f>$O$38*Product_lifespan!N26</f>
        <v>97158.257794423116</v>
      </c>
      <c r="AB19" s="83">
        <f>$O$38*Product_lifespan!O26</f>
        <v>55102.092768314338</v>
      </c>
    </row>
    <row r="20" spans="1:28">
      <c r="A20" s="1"/>
      <c r="B20" s="7">
        <v>2020</v>
      </c>
      <c r="C20" s="83"/>
      <c r="D20" s="83"/>
      <c r="E20" s="83"/>
      <c r="F20" s="83"/>
      <c r="G20" s="83"/>
      <c r="H20" s="83"/>
      <c r="I20" s="83"/>
      <c r="J20" s="83"/>
      <c r="K20" s="83"/>
      <c r="L20" s="83"/>
      <c r="M20" s="83"/>
      <c r="N20" s="83"/>
      <c r="O20" s="83"/>
      <c r="P20" s="83">
        <f>$P$38*Product_lifespan!B26</f>
        <v>6983081.3347747587</v>
      </c>
      <c r="Q20" s="83">
        <f>$P$38*Product_lifespan!C26</f>
        <v>6459834.7141476925</v>
      </c>
      <c r="R20" s="83">
        <f>$P$38*Product_lifespan!D26</f>
        <v>5514507.978710263</v>
      </c>
      <c r="S20" s="83">
        <f>$P$38*Product_lifespan!E26</f>
        <v>4445016.983739987</v>
      </c>
      <c r="T20" s="83">
        <f>$P$38*Product_lifespan!F26</f>
        <v>3413523.8647160409</v>
      </c>
      <c r="U20" s="83">
        <f>$P$38*Product_lifespan!G26</f>
        <v>2510882.9343574853</v>
      </c>
      <c r="V20" s="83">
        <f>$P$38*Product_lifespan!H26</f>
        <v>1775659.6252115071</v>
      </c>
      <c r="W20" s="83">
        <f>$P$38*Product_lifespan!I26</f>
        <v>1210636.9650783327</v>
      </c>
      <c r="X20" s="83">
        <f>$P$38*Product_lifespan!J26</f>
        <v>797524.1146862926</v>
      </c>
      <c r="Y20" s="83">
        <f>$P$38*Product_lifespan!K26</f>
        <v>508544.33090219338</v>
      </c>
      <c r="Z20" s="83">
        <f>$P$38*Product_lifespan!L26</f>
        <v>314356.14011110051</v>
      </c>
      <c r="AA20" s="83">
        <f>$P$38*Product_lifespan!M26</f>
        <v>188617.25797032606</v>
      </c>
      <c r="AB20" s="83">
        <f>$P$38*Product_lifespan!N26</f>
        <v>109974.51897830257</v>
      </c>
    </row>
    <row r="21" spans="1:28">
      <c r="A21" s="1"/>
      <c r="B21" s="7">
        <v>2021</v>
      </c>
      <c r="C21" s="83"/>
      <c r="D21" s="83"/>
      <c r="E21" s="83"/>
      <c r="F21" s="83"/>
      <c r="G21" s="83"/>
      <c r="H21" s="83"/>
      <c r="I21" s="83"/>
      <c r="J21" s="83"/>
      <c r="K21" s="83"/>
      <c r="L21" s="83"/>
      <c r="M21" s="83"/>
      <c r="N21" s="83"/>
      <c r="O21" s="83"/>
      <c r="P21" s="83"/>
      <c r="Q21" s="83">
        <f>$Q$38*Product_lifespan!B26</f>
        <v>5375716.2433045208</v>
      </c>
      <c r="R21" s="83">
        <f>$Q$38*Product_lifespan!C26</f>
        <v>4972910.4870903343</v>
      </c>
      <c r="S21" s="83">
        <f>$Q$38*Product_lifespan!D26</f>
        <v>4245178.9824300157</v>
      </c>
      <c r="T21" s="83">
        <f>$Q$38*Product_lifespan!E26</f>
        <v>3421863.3373581148</v>
      </c>
      <c r="U21" s="83">
        <f>$Q$38*Product_lifespan!F26</f>
        <v>2627799.2202497427</v>
      </c>
      <c r="V21" s="83">
        <f>$Q$38*Product_lifespan!G26</f>
        <v>1932928.1055405361</v>
      </c>
      <c r="W21" s="83">
        <f>$Q$38*Product_lifespan!H26</f>
        <v>1366938.4376628355</v>
      </c>
      <c r="X21" s="83">
        <f>$Q$38*Product_lifespan!I26</f>
        <v>931972.64730504528</v>
      </c>
      <c r="Y21" s="83">
        <f>$Q$38*Product_lifespan!J26</f>
        <v>613950.07908560289</v>
      </c>
      <c r="Z21" s="83">
        <f>$Q$38*Product_lifespan!K26</f>
        <v>391487.63833774382</v>
      </c>
      <c r="AA21" s="83">
        <f>$Q$38*Product_lifespan!L26</f>
        <v>241997.66944748934</v>
      </c>
      <c r="AB21" s="83">
        <f>$Q$38*Product_lifespan!M26</f>
        <v>145201.35293130539</v>
      </c>
    </row>
    <row r="22" spans="1:28">
      <c r="A22" s="1"/>
      <c r="B22" s="7">
        <v>2022</v>
      </c>
      <c r="C22" s="83"/>
      <c r="D22" s="83"/>
      <c r="E22" s="83"/>
      <c r="F22" s="83"/>
      <c r="G22" s="83"/>
      <c r="H22" s="83"/>
      <c r="I22" s="83"/>
      <c r="J22" s="83"/>
      <c r="K22" s="83"/>
      <c r="L22" s="83"/>
      <c r="M22" s="83"/>
      <c r="N22" s="83"/>
      <c r="O22" s="83"/>
      <c r="P22" s="83"/>
      <c r="Q22" s="83"/>
      <c r="R22" s="83">
        <f>$R$38*Product_lifespan!B26</f>
        <v>4958372.4127763733</v>
      </c>
      <c r="S22" s="83">
        <f>$R$38*Product_lifespan!C26</f>
        <v>4586838.4889373789</v>
      </c>
      <c r="T22" s="83">
        <f>$R$38*Product_lifespan!D26</f>
        <v>3915604.4331759349</v>
      </c>
      <c r="U22" s="83">
        <f>$R$38*Product_lifespan!E26</f>
        <v>3156206.9135214654</v>
      </c>
      <c r="V22" s="83">
        <f>$R$38*Product_lifespan!F26</f>
        <v>2423789.9789130474</v>
      </c>
      <c r="W22" s="83">
        <f>$R$38*Product_lifespan!G26</f>
        <v>1782865.1961177136</v>
      </c>
      <c r="X22" s="83">
        <f>$R$38*Product_lifespan!H26</f>
        <v>1260816.1466321456</v>
      </c>
      <c r="Y22" s="83">
        <f>$R$38*Product_lifespan!I26</f>
        <v>859618.93349840818</v>
      </c>
      <c r="Z22" s="83">
        <f>$R$38*Product_lifespan!J26</f>
        <v>566286.05327736237</v>
      </c>
      <c r="AA22" s="83">
        <f>$R$38*Product_lifespan!K26</f>
        <v>361094.48825438728</v>
      </c>
      <c r="AB22" s="83">
        <f>$R$38*Product_lifespan!L26</f>
        <v>223210.17587918747</v>
      </c>
    </row>
    <row r="23" spans="1:28">
      <c r="A23" s="1"/>
      <c r="B23" s="7">
        <v>2023</v>
      </c>
      <c r="C23" s="83"/>
      <c r="D23" s="83"/>
      <c r="E23" s="83"/>
      <c r="F23" s="83"/>
      <c r="G23" s="83"/>
      <c r="H23" s="83"/>
      <c r="I23" s="83"/>
      <c r="J23" s="83"/>
      <c r="K23" s="83"/>
      <c r="L23" s="83"/>
      <c r="M23" s="83"/>
      <c r="N23" s="83"/>
      <c r="O23" s="83"/>
      <c r="P23" s="83"/>
      <c r="Q23" s="83"/>
      <c r="R23" s="83"/>
      <c r="S23" s="83">
        <f>$S$38*Product_lifespan!B33</f>
        <v>4958372.4127763733</v>
      </c>
      <c r="T23" s="83">
        <f>$S$38*Product_lifespan!C33</f>
        <v>4678126.5428018589</v>
      </c>
      <c r="U23" s="83">
        <f>$S$38*Product_lifespan!D33</f>
        <v>4156649.2977288389</v>
      </c>
      <c r="V23" s="83">
        <f>$S$38*Product_lifespan!E33</f>
        <v>3538351.5681199194</v>
      </c>
      <c r="W23" s="83">
        <f>$S$38*Product_lifespan!F33</f>
        <v>2904987.1939091585</v>
      </c>
      <c r="X23" s="83">
        <f>$S$38*Product_lifespan!G33</f>
        <v>2309481.1585022192</v>
      </c>
      <c r="Y23" s="83">
        <f>$S$38*Product_lifespan!H33</f>
        <v>1782865.1961177173</v>
      </c>
      <c r="Z23" s="83">
        <f>$S$38*Product_lifespan!I33</f>
        <v>1339248.7011098254</v>
      </c>
      <c r="AA23" s="83">
        <f>$S$38*Product_lifespan!J33</f>
        <v>980518.44472144207</v>
      </c>
      <c r="AB23" s="83">
        <f>$S$38*Product_lifespan!K33</f>
        <v>700622.88550539874</v>
      </c>
    </row>
    <row r="24" spans="1:28">
      <c r="A24" s="1"/>
      <c r="B24" s="7">
        <v>2024</v>
      </c>
      <c r="C24" s="83"/>
      <c r="D24" s="83"/>
      <c r="E24" s="83"/>
      <c r="F24" s="83"/>
      <c r="G24" s="83"/>
      <c r="H24" s="83"/>
      <c r="I24" s="83"/>
      <c r="J24" s="83"/>
      <c r="K24" s="83"/>
      <c r="L24" s="83"/>
      <c r="M24" s="83"/>
      <c r="N24" s="83"/>
      <c r="O24" s="83"/>
      <c r="P24" s="83"/>
      <c r="Q24" s="83"/>
      <c r="R24" s="83"/>
      <c r="S24" s="83"/>
      <c r="T24" s="83">
        <f>$T$38*Product_lifespan!B33</f>
        <v>4867084.4127763733</v>
      </c>
      <c r="U24" s="83">
        <f>$T$38*Product_lifespan!C33</f>
        <v>4591998.1159134535</v>
      </c>
      <c r="V24" s="83">
        <f>$T$38*Product_lifespan!D33</f>
        <v>4080121.7258761628</v>
      </c>
      <c r="W24" s="83">
        <f>$T$38*Product_lifespan!E33</f>
        <v>3473207.4016353232</v>
      </c>
      <c r="X24" s="83">
        <f>$T$38*Product_lifespan!F33</f>
        <v>2851503.822979969</v>
      </c>
      <c r="Y24" s="83">
        <f>$T$38*Product_lifespan!G33</f>
        <v>2266961.5777918021</v>
      </c>
      <c r="Z24" s="83">
        <f>$T$38*Product_lifespan!H33</f>
        <v>1750041.078751337</v>
      </c>
      <c r="AA24" s="83">
        <f>$T$38*Product_lifespan!I33</f>
        <v>1314591.9538449587</v>
      </c>
      <c r="AB24" s="83">
        <f>$T$38*Product_lifespan!J33</f>
        <v>962466.23719643056</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$U$38*Product_lifespan!B33</f>
        <v>4717327.4127763733</v>
      </c>
      <c r="V25" s="83">
        <f>$U$38*Product_lifespan!C33</f>
        <v>4450705.3411180051</v>
      </c>
      <c r="W25" s="83">
        <f>$U$38*Product_lifespan!D33</f>
        <v>3954579.0523819337</v>
      </c>
      <c r="X25" s="83">
        <f>$U$38*Product_lifespan!E33</f>
        <v>3366339.0844388288</v>
      </c>
      <c r="Y25" s="83">
        <f>$U$38*Product_lifespan!F33</f>
        <v>2763764.9177542804</v>
      </c>
      <c r="Z25" s="83">
        <f>$U$38*Product_lifespan!G33</f>
        <v>2197208.6546425391</v>
      </c>
      <c r="AA25" s="83">
        <f>$U$38*Product_lifespan!H33</f>
        <v>1696193.4608340091</v>
      </c>
      <c r="AB25" s="83">
        <f>$U$38*Product_lifespan!I33</f>
        <v>1274142.8203318506</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$V$38*Product_lifespan!B33</f>
        <v>4576228.4127763733</v>
      </c>
      <c r="W26" s="83">
        <f>$V$38*Product_lifespan!C33</f>
        <v>4317581.218500277</v>
      </c>
      <c r="X26" s="83">
        <f>$V$38*Product_lifespan!D33</f>
        <v>3836294.4600933446</v>
      </c>
      <c r="Y26" s="83">
        <f>$V$38*Product_lifespan!E33</f>
        <v>3265649.2155972505</v>
      </c>
      <c r="Z26" s="83">
        <f>$V$38*Product_lifespan!F33</f>
        <v>2681098.5195996743</v>
      </c>
      <c r="AA26" s="83">
        <f>$V$38*Product_lifespan!G33</f>
        <v>2131488.4031455279</v>
      </c>
      <c r="AB26" s="83">
        <f>$V$38*Product_lifespan!H33</f>
        <v>1645458.970689862</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$W$38*Product_lifespan!B33</f>
        <v>4477174.4127763733</v>
      </c>
      <c r="X27" s="83">
        <f>$W$38*Product_lifespan!C33</f>
        <v>4224125.723834997</v>
      </c>
      <c r="Y27" s="83">
        <f>$W$38*Product_lifespan!D33</f>
        <v>3753256.5788570927</v>
      </c>
      <c r="Z27" s="83">
        <f>$W$38*Product_lifespan!E33</f>
        <v>3194963.1422144929</v>
      </c>
      <c r="AA27" s="83">
        <f>$W$38*Product_lifespan!F33</f>
        <v>2623065.2422355087</v>
      </c>
      <c r="AB27" s="83">
        <f>$W$38*Product_lifespan!G33</f>
        <v>2085351.6212279741</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$X$38*Product_lifespan!B33</f>
        <v>4431756.4127763733</v>
      </c>
      <c r="Y28" s="83">
        <f>$X$38*Product_lifespan!C33</f>
        <v>4181274.7369318157</v>
      </c>
      <c r="Z28" s="83">
        <f>$X$38*Product_lifespan!D33</f>
        <v>3715182.2508139233</v>
      </c>
      <c r="AA28" s="83">
        <f>$X$38*Product_lifespan!E33</f>
        <v>3162552.3351708795</v>
      </c>
      <c r="AB28" s="83">
        <f>$X$38*Product_lifespan!F33</f>
        <v>2596455.9645553981</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$Y$38*Product_lifespan!B33</f>
        <v>4436323.4127763733</v>
      </c>
      <c r="Z29" s="83">
        <f>$Y$38*Product_lifespan!C33</f>
        <v>4185583.611324938</v>
      </c>
      <c r="AA29" s="83">
        <f>$Y$38*Product_lifespan!D33</f>
        <v>3719010.8090105224</v>
      </c>
      <c r="AB29" s="83">
        <f>$Y$38*Product_lifespan!E33</f>
        <v>3165811.3988850061</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$Z$38*Product_lifespan!B33</f>
        <v>4478742.4127763733</v>
      </c>
      <c r="AA30" s="83">
        <f>$Z$38*Product_lifespan!C33</f>
        <v>4225605.1008983683</v>
      </c>
      <c r="AB30" s="83">
        <f>$Z$38*Product_lifespan!D33</f>
        <v>3754571.0477102273</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$AA$38*Product_lifespan!B33</f>
        <v>4544140.4127763733</v>
      </c>
      <c r="AB31" s="83">
        <f>$AA$38*Product_lifespan!C33</f>
        <v>4287306.8235962903</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$AB$38*Product_lifespan!B33</f>
        <v>4618843.4127763733</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(VLOOKUP(C2,Inflows!$E$214:$H$227,4,FALSE ))</f>
        <v>#N/A</v>
      </c>
      <c r="D35" s="167">
        <f>(VLOOKUP(D2,Inflows!$E$214:$H$227,4,FALSE ))</f>
        <v>7354.3818181818178</v>
      </c>
      <c r="E35" s="167">
        <f>(VLOOKUP(E2,Inflows!$E$214:$H$227,4,FALSE ))</f>
        <v>6644.5590909090906</v>
      </c>
      <c r="F35" s="167">
        <f>(VLOOKUP(F2,Inflows!$E$214:$H$227,4,FALSE ))</f>
        <v>6853.3</v>
      </c>
      <c r="G35" s="167">
        <f>(VLOOKUP(G2,Inflows!$E$214:$H$227,4,FALSE ))</f>
        <v>21387.200000000001</v>
      </c>
      <c r="H35" s="167">
        <f>(VLOOKUP(H2,Inflows!$E$214:$H$227,4,FALSE ))</f>
        <v>40792.355491329479</v>
      </c>
      <c r="I35" s="167">
        <f>(VLOOKUP(I2,Inflows!$E$214:$H$227,4,FALSE ))</f>
        <v>57052.19910179641</v>
      </c>
      <c r="J35" s="167">
        <f>(VLOOKUP(J2,Inflows!$E$214:$H$227,4,FALSE ))</f>
        <v>53587.955883080278</v>
      </c>
      <c r="K35" s="167">
        <f>(VLOOKUP(K2,Inflows!$E$214:$H$227,4,FALSE ))</f>
        <v>57816.825653462671</v>
      </c>
      <c r="L35" s="167">
        <f>(VLOOKUP(L2,Inflows!$E$214:$H$227,4,FALSE ))</f>
        <v>53836.192041000897</v>
      </c>
      <c r="M35" s="167">
        <f>(VLOOKUP(M2,Inflows!$E$214:$H$227,4,FALSE ))</f>
        <v>68177.300952966485</v>
      </c>
      <c r="N35" s="167">
        <f>(VLOOKUP(N2,Inflows!$E$214:$H$227,4,FALSE ))</f>
        <v>73028.202495201534</v>
      </c>
      <c r="O35" s="167">
        <f>(VLOOKUP(O2,Inflows!$E$214:$H$227,4,FALSE ))</f>
        <v>73463.018867924533</v>
      </c>
      <c r="P35" s="167">
        <f>(VLOOKUP(P2,Inflows!$E$214:$H$227,4,FALSE ))</f>
        <v>111617.55310880829</v>
      </c>
      <c r="Q35" s="167">
        <f>(VLOOKUP(Q2,Inflows!$E$214:$H$227,4,FALSE ))</f>
        <v>80337.843227137288</v>
      </c>
      <c r="R35" s="387">
        <v>80337.843227137288</v>
      </c>
      <c r="S35" s="167" t="e">
        <f>(VLOOKUP(S2,Inflows!$E$214:$H$227,4,FALSE ))</f>
        <v>#N/A</v>
      </c>
      <c r="T35" s="167" t="e">
        <f>(VLOOKUP(T2,Inflows!$E$214:$H$227,4,FALSE ))</f>
        <v>#N/A</v>
      </c>
      <c r="U35" s="167" t="e">
        <f>(VLOOKUP(U2,Inflows!$E$214:$H$227,4,FALSE ))</f>
        <v>#N/A</v>
      </c>
      <c r="V35" s="167" t="e">
        <f>(VLOOKUP(V2,Inflows!$E$214:$H$227,4,FALSE ))</f>
        <v>#N/A</v>
      </c>
      <c r="W35" s="167" t="e">
        <f>(VLOOKUP(W2,Inflows!$E$214:$H$227,4,FALSE ))</f>
        <v>#N/A</v>
      </c>
      <c r="X35" s="167" t="e">
        <f>(VLOOKUP(X2,Inflows!$E$214:$H$227,4,FALSE ))</f>
        <v>#N/A</v>
      </c>
      <c r="Y35" s="167" t="e">
        <f>(VLOOKUP(Y2,Inflows!$E$214:$H$227,4,FALSE ))</f>
        <v>#N/A</v>
      </c>
      <c r="Z35" s="167" t="e">
        <f>(VLOOKUP(Z2,Inflows!$E$214:$H$227,4,FALSE ))</f>
        <v>#N/A</v>
      </c>
      <c r="AA35" s="167" t="e">
        <f>(VLOOKUP(AA2,Inflows!$E$214:$H$227,4,FALSE ))</f>
        <v>#N/A</v>
      </c>
      <c r="AB35" s="167" t="e">
        <f>(VLOOKUP(AB2,Inflows!$E$214:$H$227,4,FALSE ))</f>
        <v>#N/A</v>
      </c>
    </row>
    <row r="36" spans="1:32" ht="19">
      <c r="B36" s="166" t="s">
        <v>214</v>
      </c>
      <c r="C36" s="167">
        <f>(VLOOKUP(C2,Inflows!$E$228:$H$251,4,FALSE ))</f>
        <v>357658.51989389921</v>
      </c>
      <c r="D36" s="167">
        <f>(VLOOKUP(D2,Inflows!$E$228:$H$251,4,FALSE ))</f>
        <v>541594.3448275862</v>
      </c>
      <c r="E36" s="167">
        <f>(VLOOKUP(E2,Inflows!$E$228:$H$251,4,FALSE ))</f>
        <v>520505.10079575598</v>
      </c>
      <c r="F36" s="167">
        <f>(VLOOKUP(F2,Inflows!$E$228:$H$251,4,FALSE ))</f>
        <v>619382.20954907162</v>
      </c>
      <c r="G36" s="167">
        <f>(VLOOKUP(G2,Inflows!$E$228:$H$251,4,FALSE ))</f>
        <v>2188470.0909090908</v>
      </c>
      <c r="H36" s="167">
        <f>(VLOOKUP(H2,Inflows!$E$228:$H$251,4,FALSE ))</f>
        <v>5259366.3259109315</v>
      </c>
      <c r="I36" s="167">
        <f>(VLOOKUP(I2,Inflows!$E$228:$H$251,4,FALSE ))</f>
        <v>8229972.7982062781</v>
      </c>
      <c r="J36" s="167">
        <f>(VLOOKUP(J2,Inflows!$E$228:$H$251,4,FALSE ))</f>
        <v>8358966.1613065042</v>
      </c>
      <c r="K36" s="167">
        <f>(VLOOKUP(K2,Inflows!$E$228:$H$251,4,FALSE ))</f>
        <v>7885826.2842995673</v>
      </c>
      <c r="L36" s="167">
        <f>(VLOOKUP(L2,Inflows!$E$228:$H$251,4,FALSE ))</f>
        <v>7430381.6400000006</v>
      </c>
      <c r="M36" s="167">
        <f>(VLOOKUP(M2,Inflows!$E$228:$H$251,4,FALSE ))</f>
        <v>6682216.589222406</v>
      </c>
      <c r="N36" s="167">
        <f>(VLOOKUP(N2,Inflows!$E$228:$H$251,4,FALSE ))</f>
        <v>6472267.345945945</v>
      </c>
      <c r="O36" s="167">
        <f>(VLOOKUP(O2,Inflows!$E$228:$H$251,4,FALSE ))</f>
        <v>7330820.9587378642</v>
      </c>
      <c r="P36" s="167">
        <f>(VLOOKUP(P2,Inflows!$E$228:$H$251,4,FALSE ))</f>
        <v>8116710.3896522103</v>
      </c>
      <c r="Q36" s="167">
        <f>(VLOOKUP(Q2,Inflows!$E$228:$H$251,4,FALSE ))</f>
        <v>6587362.3428129228</v>
      </c>
      <c r="R36" s="167">
        <f>(VLOOKUP(R2,Inflows!$E$228:$H$251,4,FALSE ))</f>
        <v>6163967.448249178</v>
      </c>
      <c r="S36" s="167">
        <f>(VLOOKUP(S2,Inflows!$E$228:$H$251,4,FALSE ))</f>
        <v>560906.79048171791</v>
      </c>
      <c r="T36" s="167" t="e">
        <f>(VLOOKUP(T2,Inflows!$E$228:$H$251,4,FALSE ))</f>
        <v>#N/A</v>
      </c>
      <c r="U36" s="167" t="e">
        <f>(VLOOKUP(U2,Inflows!$E$228:$H$251,4,FALSE ))</f>
        <v>#N/A</v>
      </c>
      <c r="V36" s="167" t="e">
        <f>(VLOOKUP(V2,Inflows!$E$228:$H$251,4,FALSE ))</f>
        <v>#N/A</v>
      </c>
      <c r="W36" s="167" t="e">
        <f>(VLOOKUP(W2,Inflows!$E$228:$H$251,4,FALSE ))</f>
        <v>#N/A</v>
      </c>
      <c r="X36" s="167" t="e">
        <f>(VLOOKUP(X2,Inflows!$E$228:$H$251,4,FALSE ))</f>
        <v>#N/A</v>
      </c>
      <c r="Y36" s="167" t="e">
        <f>(VLOOKUP(Y2,Inflows!$E$228:$H$251,4,FALSE ))</f>
        <v>#N/A</v>
      </c>
      <c r="Z36" s="167" t="e">
        <f>(VLOOKUP(Z2,Inflows!$E$228:$H$251,4,FALSE ))</f>
        <v>#N/A</v>
      </c>
      <c r="AA36" s="167" t="e">
        <f>(VLOOKUP(AA2,Inflows!$E$228:$H$251,4,FALSE ))</f>
        <v>#N/A</v>
      </c>
      <c r="AB36" s="167" t="e">
        <f>(VLOOKUP(AB2,Inflows!$E$228:$H$251,4,FALSE ))</f>
        <v>#N/A</v>
      </c>
    </row>
    <row r="37" spans="1:32" ht="19">
      <c r="B37" s="166" t="s">
        <v>7856</v>
      </c>
      <c r="C37" s="7">
        <f>(VLOOKUP(C2,Inflows!$E$252:$H$275,4,FALSE ))</f>
        <v>75665.206896551725</v>
      </c>
      <c r="D37" s="7">
        <f>(VLOOKUP(D2,Inflows!$E$252:$H$275,4,FALSE ))</f>
        <v>97916.575596816983</v>
      </c>
      <c r="E37" s="7">
        <f>(VLOOKUP(E2,Inflows!$E$252:$H$275,4,FALSE ))</f>
        <v>98243.909814323619</v>
      </c>
      <c r="F37" s="7">
        <f>(VLOOKUP(F2,Inflows!$E$252:$H$275,4,FALSE ))</f>
        <v>130858.24137931035</v>
      </c>
      <c r="G37" s="7">
        <f>(VLOOKUP(G2,Inflows!$E$252:$H$275,4,FALSE ))</f>
        <v>420511.45454545453</v>
      </c>
      <c r="H37" s="7">
        <f>(VLOOKUP(H2,Inflows!$E$252:$H$275,4,FALSE ))</f>
        <v>1062112.3785425101</v>
      </c>
      <c r="I37" s="7">
        <f>(VLOOKUP(I2,Inflows!$E$252:$H$275,4,FALSE ))</f>
        <v>1359524.3542600896</v>
      </c>
      <c r="J37" s="7">
        <f>(VLOOKUP(J2,Inflows!$E$252:$H$275,4,FALSE ))</f>
        <v>1253823.7623320883</v>
      </c>
      <c r="K37" s="7">
        <f>(VLOOKUP(K2,Inflows!$E$252:$H$275,4,FALSE ))</f>
        <v>1309452.0486899114</v>
      </c>
      <c r="L37" s="7">
        <f>(VLOOKUP(L2,Inflows!$E$252:$H$275,4,FALSE ))</f>
        <v>1284438.6613793105</v>
      </c>
      <c r="M37" s="7">
        <f>(VLOOKUP(M2,Inflows!$E$252:$H$275,4,FALSE ))</f>
        <v>1620940.6856535098</v>
      </c>
      <c r="N37" s="7">
        <f>(VLOOKUP(N2,Inflows!$E$252:$H$275,4,FALSE ))</f>
        <v>1309693.8891891891</v>
      </c>
      <c r="O37" s="7">
        <f>(VLOOKUP(O2,Inflows!$E$252:$H$275,4,FALSE ))</f>
        <v>1235000.1941747572</v>
      </c>
      <c r="P37" s="7">
        <f>(VLOOKUP(P2,Inflows!$E$252:$H$275,4,FALSE ))</f>
        <v>1245246.6079862602</v>
      </c>
      <c r="Q37" s="7">
        <f>(VLOOKUP(Q2,Inflows!$E$252:$H$275,4,FALSE ))</f>
        <v>1291983.9427355388</v>
      </c>
      <c r="R37" s="7">
        <f>(VLOOKUP(R2,Inflows!$E$252:$H$275,4,FALSE ))</f>
        <v>1285932.878699942</v>
      </c>
      <c r="S37" s="7">
        <f>(VLOOKUP(S2,Inflows!$E$252:$H$275,4,FALSE ))</f>
        <v>61438.202747146453</v>
      </c>
      <c r="T37" s="7" t="e">
        <f>(VLOOKUP(T2,Inflows!$E$252:$H$275,4,FALSE ))</f>
        <v>#N/A</v>
      </c>
      <c r="U37" s="7" t="e">
        <f>(VLOOKUP(U2,Inflows!$E$252:$H$275,4,FALSE ))</f>
        <v>#N/A</v>
      </c>
      <c r="V37" s="7" t="e">
        <f>(VLOOKUP(V2,Inflows!$E$252:$H$275,4,FALSE ))</f>
        <v>#N/A</v>
      </c>
      <c r="W37" s="7" t="e">
        <f>(VLOOKUP(W2,Inflows!$E$252:$H$275,4,FALSE ))</f>
        <v>#N/A</v>
      </c>
      <c r="X37" s="7" t="e">
        <f>(VLOOKUP(X2,Inflows!$E$252:$H$275,4,FALSE ))</f>
        <v>#N/A</v>
      </c>
      <c r="Y37" s="7" t="e">
        <f>(VLOOKUP(Y2,Inflows!$E$252:$H$275,4,FALSE ))</f>
        <v>#N/A</v>
      </c>
      <c r="Z37" s="7" t="e">
        <f>(VLOOKUP(Z2,Inflows!$E$252:$H$275,4,FALSE ))</f>
        <v>#N/A</v>
      </c>
      <c r="AA37" s="7" t="e">
        <f>(VLOOKUP(AA2,Inflows!$E$252:$H$275,4,FALSE ))</f>
        <v>#N/A</v>
      </c>
      <c r="AB37" s="7" t="e">
        <f>(VLOOKUP(AB2,Inflows!$E$252:$H$275,4,FALSE ))</f>
        <v>#N/A</v>
      </c>
    </row>
    <row r="38" spans="1:32">
      <c r="A38" s="1"/>
      <c r="B38" s="7" t="s">
        <v>7877</v>
      </c>
      <c r="C38" s="374">
        <f>C36-C37</f>
        <v>281993.3129973475</v>
      </c>
      <c r="D38" s="374">
        <f>D35+D36-D37</f>
        <v>451032.15104895108</v>
      </c>
      <c r="E38" s="374">
        <f t="shared" ref="E38:R38" si="1">E35+E36-E37</f>
        <v>428905.75007234141</v>
      </c>
      <c r="F38" s="374">
        <f t="shared" si="1"/>
        <v>495377.26816976129</v>
      </c>
      <c r="G38" s="374">
        <f t="shared" si="1"/>
        <v>1789345.8363636364</v>
      </c>
      <c r="H38" s="374">
        <f t="shared" si="1"/>
        <v>4238046.3028597515</v>
      </c>
      <c r="I38" s="374">
        <f t="shared" si="1"/>
        <v>6927500.6430479847</v>
      </c>
      <c r="J38" s="374">
        <f t="shared" si="1"/>
        <v>7158730.354857496</v>
      </c>
      <c r="K38" s="374">
        <f t="shared" si="1"/>
        <v>6634191.0612631189</v>
      </c>
      <c r="L38" s="374">
        <f t="shared" si="1"/>
        <v>6199779.1706616916</v>
      </c>
      <c r="M38" s="374">
        <f t="shared" si="1"/>
        <v>5129453.2045218628</v>
      </c>
      <c r="N38" s="374">
        <f t="shared" si="1"/>
        <v>5235601.6592519572</v>
      </c>
      <c r="O38" s="374">
        <f t="shared" si="1"/>
        <v>6169283.7834310317</v>
      </c>
      <c r="P38" s="374">
        <f t="shared" si="1"/>
        <v>6983081.3347747587</v>
      </c>
      <c r="Q38" s="374">
        <f t="shared" si="1"/>
        <v>5375716.2433045208</v>
      </c>
      <c r="R38" s="374">
        <f t="shared" si="1"/>
        <v>4958372.4127763733</v>
      </c>
      <c r="S38" s="379">
        <f>$R$38-S187</f>
        <v>4958372.4127763733</v>
      </c>
      <c r="T38" s="379">
        <f t="shared" ref="T38:AB38" si="2">$R$38-T187</f>
        <v>4867084.4127763733</v>
      </c>
      <c r="U38" s="379">
        <f t="shared" si="2"/>
        <v>4717327.4127763733</v>
      </c>
      <c r="V38" s="379">
        <f t="shared" si="2"/>
        <v>4576228.4127763733</v>
      </c>
      <c r="W38" s="379">
        <f t="shared" si="2"/>
        <v>4477174.4127763733</v>
      </c>
      <c r="X38" s="379">
        <f t="shared" si="2"/>
        <v>4431756.4127763733</v>
      </c>
      <c r="Y38" s="379">
        <f t="shared" si="2"/>
        <v>4436323.4127763733</v>
      </c>
      <c r="Z38" s="379">
        <f t="shared" si="2"/>
        <v>4478742.4127763733</v>
      </c>
      <c r="AA38" s="379">
        <f t="shared" si="2"/>
        <v>4544140.4127763733</v>
      </c>
      <c r="AB38" s="379">
        <f t="shared" si="2"/>
        <v>4618843.4127763733</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7762</v>
      </c>
      <c r="B41" s="7">
        <v>2007</v>
      </c>
      <c r="C41" s="50"/>
      <c r="D41" s="50">
        <f t="shared" ref="D41:AB41" si="3">C7-D7</f>
        <v>21129.934049386502</v>
      </c>
      <c r="E41" s="50">
        <f t="shared" si="3"/>
        <v>38174.525715955475</v>
      </c>
      <c r="F41" s="50">
        <f t="shared" si="3"/>
        <v>43188.571696942119</v>
      </c>
      <c r="G41" s="50">
        <f t="shared" si="3"/>
        <v>41654.127744297846</v>
      </c>
      <c r="H41" s="50">
        <f t="shared" si="3"/>
        <v>36450.772115634725</v>
      </c>
      <c r="I41" s="50">
        <f t="shared" si="3"/>
        <v>29690.053258650019</v>
      </c>
      <c r="J41" s="50">
        <f t="shared" si="3"/>
        <v>22816.949167708277</v>
      </c>
      <c r="K41" s="50">
        <f t="shared" si="3"/>
        <v>16682.472355534515</v>
      </c>
      <c r="L41" s="50">
        <f t="shared" si="3"/>
        <v>11669.686018509445</v>
      </c>
      <c r="M41" s="50">
        <f t="shared" si="3"/>
        <v>7841.7776681828655</v>
      </c>
      <c r="N41" s="50">
        <f t="shared" si="3"/>
        <v>5077.6329599494338</v>
      </c>
      <c r="O41" s="50">
        <f t="shared" si="3"/>
        <v>3175.7794945204805</v>
      </c>
      <c r="P41" s="50">
        <f t="shared" si="3"/>
        <v>1922.3556127417964</v>
      </c>
      <c r="Q41" s="50">
        <f t="shared" si="3"/>
        <v>1128.0257718239454</v>
      </c>
      <c r="R41" s="50">
        <f t="shared" si="3"/>
        <v>642.54749793735562</v>
      </c>
      <c r="S41" s="50">
        <f t="shared" si="3"/>
        <v>355.71954548644965</v>
      </c>
      <c r="T41" s="50">
        <f t="shared" si="3"/>
        <v>191.59134826281368</v>
      </c>
      <c r="U41" s="50">
        <f t="shared" si="3"/>
        <v>100.48613104440815</v>
      </c>
      <c r="V41" s="50">
        <f t="shared" si="3"/>
        <v>51.36313426599849</v>
      </c>
      <c r="W41" s="50">
        <f t="shared" si="3"/>
        <v>25.605265198557053</v>
      </c>
      <c r="X41" s="50">
        <f t="shared" si="3"/>
        <v>12.45737385128229</v>
      </c>
      <c r="Y41" s="50">
        <f t="shared" si="3"/>
        <v>5.9184053243375283</v>
      </c>
      <c r="Z41" s="50">
        <f t="shared" si="3"/>
        <v>2.7472837423683942</v>
      </c>
      <c r="AA41" s="50">
        <f t="shared" si="3"/>
        <v>1.2466473056422522</v>
      </c>
      <c r="AB41" s="50">
        <f t="shared" si="3"/>
        <v>0.55325980384129414</v>
      </c>
    </row>
    <row r="42" spans="1:32">
      <c r="B42" s="7">
        <v>2008</v>
      </c>
      <c r="C42" s="8"/>
      <c r="D42" s="50"/>
      <c r="E42" s="50">
        <f t="shared" ref="E42:AB42" si="4">D8-E8</f>
        <v>33796.119150906685</v>
      </c>
      <c r="F42" s="50">
        <f t="shared" si="4"/>
        <v>61057.967176345235</v>
      </c>
      <c r="G42" s="50">
        <f t="shared" si="4"/>
        <v>69077.646509252081</v>
      </c>
      <c r="H42" s="50">
        <f t="shared" si="4"/>
        <v>66623.391302740463</v>
      </c>
      <c r="I42" s="50">
        <f t="shared" si="4"/>
        <v>58300.922032376344</v>
      </c>
      <c r="J42" s="50">
        <f t="shared" si="4"/>
        <v>47487.539486912559</v>
      </c>
      <c r="K42" s="50">
        <f t="shared" si="4"/>
        <v>36494.403197365333</v>
      </c>
      <c r="L42" s="50">
        <f t="shared" si="4"/>
        <v>26682.658930292317</v>
      </c>
      <c r="M42" s="50">
        <f t="shared" si="4"/>
        <v>18664.994325747342</v>
      </c>
      <c r="N42" s="50">
        <f t="shared" si="4"/>
        <v>12542.474188958568</v>
      </c>
      <c r="O42" s="50">
        <f t="shared" si="4"/>
        <v>8121.3830633799007</v>
      </c>
      <c r="P42" s="50">
        <f t="shared" si="4"/>
        <v>5079.4773870549043</v>
      </c>
      <c r="Q42" s="50">
        <f t="shared" si="4"/>
        <v>3074.6976865515694</v>
      </c>
      <c r="R42" s="50">
        <f t="shared" si="4"/>
        <v>1804.2126066627443</v>
      </c>
      <c r="S42" s="50">
        <f t="shared" si="4"/>
        <v>1027.7179166604315</v>
      </c>
      <c r="T42" s="50">
        <f t="shared" si="4"/>
        <v>568.95303674246259</v>
      </c>
      <c r="U42" s="50">
        <f t="shared" si="4"/>
        <v>306.43938684517099</v>
      </c>
      <c r="V42" s="50">
        <f t="shared" si="4"/>
        <v>160.7218105770207</v>
      </c>
      <c r="W42" s="50">
        <f t="shared" si="4"/>
        <v>82.15239108463291</v>
      </c>
      <c r="X42" s="50">
        <f t="shared" si="4"/>
        <v>40.954154968889867</v>
      </c>
      <c r="Y42" s="50">
        <f t="shared" si="4"/>
        <v>19.92485589407454</v>
      </c>
      <c r="Z42" s="50">
        <f t="shared" si="4"/>
        <v>9.4661502992470954</v>
      </c>
      <c r="AA42" s="50">
        <f t="shared" si="4"/>
        <v>4.3941229765043559</v>
      </c>
      <c r="AB42" s="50">
        <f t="shared" si="4"/>
        <v>1.9939409551477318</v>
      </c>
    </row>
    <row r="43" spans="1:32">
      <c r="B43" s="7">
        <v>2009</v>
      </c>
      <c r="C43" s="8"/>
      <c r="D43" s="8"/>
      <c r="E43" s="50"/>
      <c r="F43" s="50">
        <f t="shared" ref="F43:AB43" si="5">E9-F9</f>
        <v>32138.174186125048</v>
      </c>
      <c r="G43" s="50">
        <f t="shared" si="5"/>
        <v>58062.630676677683</v>
      </c>
      <c r="H43" s="50">
        <f t="shared" si="5"/>
        <v>65688.886524781876</v>
      </c>
      <c r="I43" s="50">
        <f t="shared" si="5"/>
        <v>63355.030351181573</v>
      </c>
      <c r="J43" s="50">
        <f t="shared" si="5"/>
        <v>55440.838609954371</v>
      </c>
      <c r="K43" s="50">
        <f t="shared" si="5"/>
        <v>45157.930970898</v>
      </c>
      <c r="L43" s="50">
        <f t="shared" si="5"/>
        <v>34704.087813708044</v>
      </c>
      <c r="M43" s="50">
        <f t="shared" si="5"/>
        <v>25373.680824761024</v>
      </c>
      <c r="N43" s="50">
        <f t="shared" si="5"/>
        <v>17749.340867967992</v>
      </c>
      <c r="O43" s="50">
        <f t="shared" si="5"/>
        <v>11927.174786248015</v>
      </c>
      <c r="P43" s="50">
        <f t="shared" si="5"/>
        <v>7722.9702723469891</v>
      </c>
      <c r="Q43" s="50">
        <f t="shared" si="5"/>
        <v>4830.2921501350647</v>
      </c>
      <c r="R43" s="50">
        <f t="shared" si="5"/>
        <v>2923.8614463051158</v>
      </c>
      <c r="S43" s="50">
        <f t="shared" si="5"/>
        <v>1715.7028818255421</v>
      </c>
      <c r="T43" s="50">
        <f t="shared" si="5"/>
        <v>977.3008928141503</v>
      </c>
      <c r="U43" s="50">
        <f t="shared" si="5"/>
        <v>541.04176035441355</v>
      </c>
      <c r="V43" s="50">
        <f t="shared" si="5"/>
        <v>291.40631052767634</v>
      </c>
      <c r="W43" s="50">
        <f t="shared" si="5"/>
        <v>152.83723911522287</v>
      </c>
      <c r="X43" s="50">
        <f t="shared" si="5"/>
        <v>78.122219971335568</v>
      </c>
      <c r="Y43" s="50">
        <f t="shared" si="5"/>
        <v>38.945056388240069</v>
      </c>
      <c r="Z43" s="50">
        <f t="shared" si="5"/>
        <v>18.94739708124235</v>
      </c>
      <c r="AA43" s="50">
        <f t="shared" si="5"/>
        <v>9.0017669138523289</v>
      </c>
      <c r="AB43" s="50">
        <f t="shared" si="5"/>
        <v>4.1785593482961385</v>
      </c>
      <c r="AD43" s="1"/>
    </row>
    <row r="44" spans="1:32">
      <c r="B44" s="7">
        <v>2010</v>
      </c>
      <c r="C44" s="8"/>
      <c r="D44" s="8"/>
      <c r="E44" s="8"/>
      <c r="F44" s="50"/>
      <c r="G44" s="50">
        <f t="shared" ref="G44:AB44" si="6">F10-G10</f>
        <v>37118.92631330149</v>
      </c>
      <c r="H44" s="50">
        <f t="shared" si="6"/>
        <v>67061.137237052899</v>
      </c>
      <c r="I44" s="50">
        <f t="shared" si="6"/>
        <v>75869.304970314261</v>
      </c>
      <c r="J44" s="50">
        <f t="shared" si="6"/>
        <v>73173.749372413789</v>
      </c>
      <c r="K44" s="50">
        <f t="shared" si="6"/>
        <v>64033.021639387181</v>
      </c>
      <c r="L44" s="50">
        <f t="shared" si="6"/>
        <v>52156.476048150507</v>
      </c>
      <c r="M44" s="50">
        <f t="shared" si="6"/>
        <v>40082.5034697683</v>
      </c>
      <c r="N44" s="50">
        <f t="shared" si="6"/>
        <v>29306.076424159677</v>
      </c>
      <c r="O44" s="50">
        <f t="shared" si="6"/>
        <v>20500.121505726791</v>
      </c>
      <c r="P44" s="50">
        <f t="shared" si="6"/>
        <v>13775.640129791329</v>
      </c>
      <c r="Q44" s="50">
        <f t="shared" si="6"/>
        <v>8919.8708924425791</v>
      </c>
      <c r="R44" s="50">
        <f t="shared" si="6"/>
        <v>5578.8875047540541</v>
      </c>
      <c r="S44" s="50">
        <f t="shared" si="6"/>
        <v>3376.9994818983396</v>
      </c>
      <c r="T44" s="50">
        <f t="shared" si="6"/>
        <v>1981.6013342007468</v>
      </c>
      <c r="U44" s="50">
        <f t="shared" si="6"/>
        <v>1128.7623128868895</v>
      </c>
      <c r="V44" s="50">
        <f t="shared" si="6"/>
        <v>624.89204018580438</v>
      </c>
      <c r="W44" s="50">
        <f t="shared" si="6"/>
        <v>336.56826007177949</v>
      </c>
      <c r="X44" s="50">
        <f t="shared" si="6"/>
        <v>176.52384929495042</v>
      </c>
      <c r="Y44" s="50">
        <f t="shared" si="6"/>
        <v>90.229547881393628</v>
      </c>
      <c r="Z44" s="50">
        <f t="shared" si="6"/>
        <v>44.980734436574259</v>
      </c>
      <c r="AA44" s="50">
        <f t="shared" si="6"/>
        <v>21.88385164677889</v>
      </c>
      <c r="AB44" s="50">
        <f t="shared" si="6"/>
        <v>10.396854557750711</v>
      </c>
    </row>
    <row r="45" spans="1:32">
      <c r="B45" s="7">
        <v>2011</v>
      </c>
      <c r="C45" s="8"/>
      <c r="D45" s="8"/>
      <c r="E45" s="8"/>
      <c r="F45" s="8"/>
      <c r="G45" s="50"/>
      <c r="H45" s="50">
        <f t="shared" ref="H45:AB45" si="7">G11-H11</f>
        <v>134076.79463045858</v>
      </c>
      <c r="I45" s="50">
        <f t="shared" si="7"/>
        <v>242230.66823447705</v>
      </c>
      <c r="J45" s="50">
        <f t="shared" si="7"/>
        <v>274046.5372139609</v>
      </c>
      <c r="K45" s="50">
        <f t="shared" si="7"/>
        <v>264309.95563118008</v>
      </c>
      <c r="L45" s="50">
        <f t="shared" si="7"/>
        <v>231292.85096900235</v>
      </c>
      <c r="M45" s="50">
        <f t="shared" si="7"/>
        <v>188393.73393325729</v>
      </c>
      <c r="N45" s="50">
        <f t="shared" si="7"/>
        <v>144781.49342549685</v>
      </c>
      <c r="O45" s="50">
        <f t="shared" si="7"/>
        <v>105856.10038883417</v>
      </c>
      <c r="P45" s="50">
        <f t="shared" si="7"/>
        <v>74048.224289230682</v>
      </c>
      <c r="Q45" s="50">
        <f t="shared" si="7"/>
        <v>49758.811906239571</v>
      </c>
      <c r="R45" s="50">
        <f t="shared" si="7"/>
        <v>32219.350518973995</v>
      </c>
      <c r="S45" s="50">
        <f t="shared" si="7"/>
        <v>20151.427547442185</v>
      </c>
      <c r="T45" s="50">
        <f t="shared" si="7"/>
        <v>12198.016240555877</v>
      </c>
      <c r="U45" s="50">
        <f t="shared" si="7"/>
        <v>7157.7166021062349</v>
      </c>
      <c r="V45" s="50">
        <f t="shared" si="7"/>
        <v>4077.1877810836404</v>
      </c>
      <c r="W45" s="50">
        <f t="shared" si="7"/>
        <v>2257.1644726743252</v>
      </c>
      <c r="X45" s="50">
        <f t="shared" si="7"/>
        <v>1215.7138680114226</v>
      </c>
      <c r="Y45" s="50">
        <f t="shared" si="7"/>
        <v>637.61951758868054</v>
      </c>
      <c r="Z45" s="50">
        <f t="shared" si="7"/>
        <v>325.91698528083646</v>
      </c>
      <c r="AA45" s="50">
        <f t="shared" si="7"/>
        <v>162.47433027766778</v>
      </c>
      <c r="AB45" s="50">
        <f t="shared" si="7"/>
        <v>79.046378071478856</v>
      </c>
      <c r="AD45" s="1"/>
      <c r="AE45" s="1"/>
      <c r="AF45" s="1"/>
    </row>
    <row r="46" spans="1:32">
      <c r="B46" s="7">
        <v>2012</v>
      </c>
      <c r="C46" s="8"/>
      <c r="D46" s="8"/>
      <c r="E46" s="8"/>
      <c r="F46" s="8"/>
      <c r="G46" s="8"/>
      <c r="H46" s="50"/>
      <c r="I46" s="50">
        <f t="shared" ref="I46:AB46" si="8">H12-I12</f>
        <v>317559.44112942554</v>
      </c>
      <c r="J46" s="50">
        <f t="shared" si="8"/>
        <v>573720.72356712772</v>
      </c>
      <c r="K46" s="50">
        <f t="shared" si="8"/>
        <v>649076.2658891147</v>
      </c>
      <c r="L46" s="50">
        <f t="shared" si="8"/>
        <v>626015.27748720022</v>
      </c>
      <c r="M46" s="50">
        <f t="shared" si="8"/>
        <v>547814.62141445209</v>
      </c>
      <c r="N46" s="50">
        <f t="shared" si="8"/>
        <v>446208.5256812966</v>
      </c>
      <c r="O46" s="50">
        <f t="shared" si="8"/>
        <v>342913.40470068005</v>
      </c>
      <c r="P46" s="50">
        <f t="shared" si="8"/>
        <v>250719.03137503855</v>
      </c>
      <c r="Q46" s="50">
        <f t="shared" si="8"/>
        <v>175382.42010278912</v>
      </c>
      <c r="R46" s="50">
        <f t="shared" si="8"/>
        <v>117853.20900429704</v>
      </c>
      <c r="S46" s="50">
        <f t="shared" si="8"/>
        <v>76311.183993908853</v>
      </c>
      <c r="T46" s="50">
        <f t="shared" si="8"/>
        <v>47728.438672504722</v>
      </c>
      <c r="U46" s="50">
        <f t="shared" si="8"/>
        <v>28890.869825124886</v>
      </c>
      <c r="V46" s="50">
        <f t="shared" si="8"/>
        <v>16952.974526222039</v>
      </c>
      <c r="W46" s="50">
        <f t="shared" si="8"/>
        <v>9656.7752586062506</v>
      </c>
      <c r="X46" s="50">
        <f t="shared" si="8"/>
        <v>5346.0696942766845</v>
      </c>
      <c r="Y46" s="50">
        <f t="shared" si="8"/>
        <v>2879.405176436826</v>
      </c>
      <c r="Z46" s="50">
        <f t="shared" si="8"/>
        <v>1510.1949462377513</v>
      </c>
      <c r="AA46" s="50">
        <f t="shared" si="8"/>
        <v>771.93086235116311</v>
      </c>
      <c r="AB46" s="50">
        <f t="shared" si="8"/>
        <v>384.81869784447292</v>
      </c>
    </row>
    <row r="47" spans="1:32">
      <c r="B47" s="7">
        <v>2013</v>
      </c>
      <c r="C47" s="8"/>
      <c r="D47" s="8"/>
      <c r="E47" s="8"/>
      <c r="F47" s="8"/>
      <c r="G47" s="8"/>
      <c r="H47" s="8"/>
      <c r="I47" s="50"/>
      <c r="J47" s="50">
        <f t="shared" ref="J47:AB47" si="9">I13-J13</f>
        <v>519081.9248826066</v>
      </c>
      <c r="K47" s="50">
        <f t="shared" si="9"/>
        <v>937802.56217572466</v>
      </c>
      <c r="L47" s="50">
        <f t="shared" si="9"/>
        <v>1060978.5566287683</v>
      </c>
      <c r="M47" s="50">
        <f t="shared" si="9"/>
        <v>1023283.118550193</v>
      </c>
      <c r="N47" s="50">
        <f t="shared" si="9"/>
        <v>895456.50776843168</v>
      </c>
      <c r="O47" s="50">
        <f t="shared" si="9"/>
        <v>729371.4196810103</v>
      </c>
      <c r="P47" s="50">
        <f t="shared" si="9"/>
        <v>560525.45484714769</v>
      </c>
      <c r="Q47" s="50">
        <f t="shared" si="9"/>
        <v>409824.74634667172</v>
      </c>
      <c r="R47" s="50">
        <f t="shared" si="9"/>
        <v>286679.69654355838</v>
      </c>
      <c r="S47" s="50">
        <f t="shared" si="9"/>
        <v>192642.58170365589</v>
      </c>
      <c r="T47" s="50">
        <f t="shared" si="9"/>
        <v>124738.08411032148</v>
      </c>
      <c r="U47" s="50">
        <f t="shared" si="9"/>
        <v>78016.794996398254</v>
      </c>
      <c r="V47" s="50">
        <f t="shared" si="9"/>
        <v>47224.948712031917</v>
      </c>
      <c r="W47" s="50">
        <f t="shared" si="9"/>
        <v>27711.292784302961</v>
      </c>
      <c r="X47" s="50">
        <f t="shared" si="9"/>
        <v>15784.942408161904</v>
      </c>
      <c r="Y47" s="50">
        <f t="shared" si="9"/>
        <v>8738.673105079255</v>
      </c>
      <c r="Z47" s="50">
        <f t="shared" si="9"/>
        <v>4706.669013479609</v>
      </c>
      <c r="AA47" s="50">
        <f t="shared" si="9"/>
        <v>2468.5611514273373</v>
      </c>
      <c r="AB47" s="50">
        <f t="shared" si="9"/>
        <v>1261.7963946542638</v>
      </c>
    </row>
    <row r="48" spans="1:32">
      <c r="B48" s="7">
        <v>2014</v>
      </c>
      <c r="C48" s="8"/>
      <c r="D48" s="8"/>
      <c r="E48" s="8"/>
      <c r="F48" s="8"/>
      <c r="G48" s="8"/>
      <c r="H48" s="8"/>
      <c r="I48" s="8"/>
      <c r="J48" s="50"/>
      <c r="K48" s="50">
        <f t="shared" ref="K48:AB48" si="10">J14-K14</f>
        <v>536408.11077283602</v>
      </c>
      <c r="L48" s="50">
        <f t="shared" si="10"/>
        <v>969105.02281190269</v>
      </c>
      <c r="M48" s="50">
        <f t="shared" si="10"/>
        <v>1096392.4495356632</v>
      </c>
      <c r="N48" s="50">
        <f t="shared" si="10"/>
        <v>1057438.7935611145</v>
      </c>
      <c r="O48" s="50">
        <f t="shared" si="10"/>
        <v>925345.51982316701</v>
      </c>
      <c r="P48" s="50">
        <f t="shared" si="10"/>
        <v>753716.75746804941</v>
      </c>
      <c r="Q48" s="50">
        <f t="shared" si="10"/>
        <v>579234.964389564</v>
      </c>
      <c r="R48" s="50">
        <f t="shared" si="10"/>
        <v>423504.08942767826</v>
      </c>
      <c r="S48" s="50">
        <f t="shared" si="10"/>
        <v>296248.64024043537</v>
      </c>
      <c r="T48" s="50">
        <f t="shared" si="10"/>
        <v>199072.70577651024</v>
      </c>
      <c r="U48" s="50">
        <f t="shared" si="10"/>
        <v>128901.65662033565</v>
      </c>
      <c r="V48" s="50">
        <f t="shared" si="10"/>
        <v>80620.880070200816</v>
      </c>
      <c r="W48" s="50">
        <f t="shared" si="10"/>
        <v>48801.247559706586</v>
      </c>
      <c r="X48" s="50">
        <f t="shared" si="10"/>
        <v>28636.254696910466</v>
      </c>
      <c r="Y48" s="50">
        <f t="shared" si="10"/>
        <v>16311.820408185173</v>
      </c>
      <c r="Z48" s="50">
        <f t="shared" si="10"/>
        <v>9030.3570713178979</v>
      </c>
      <c r="AA48" s="50">
        <f t="shared" si="10"/>
        <v>4863.7706545544206</v>
      </c>
      <c r="AB48" s="50">
        <f t="shared" si="10"/>
        <v>2550.9580667133027</v>
      </c>
      <c r="AD48" s="1"/>
    </row>
    <row r="49" spans="2:32">
      <c r="B49" s="7">
        <v>2015</v>
      </c>
      <c r="C49" s="8"/>
      <c r="D49" s="8"/>
      <c r="E49" s="8"/>
      <c r="F49" s="8"/>
      <c r="G49" s="8"/>
      <c r="H49" s="8"/>
      <c r="I49" s="8"/>
      <c r="J49" s="8"/>
      <c r="K49" s="50"/>
      <c r="L49" s="50">
        <f t="shared" ref="L49:AB49" si="11">K15-L15</f>
        <v>497104.05578602385</v>
      </c>
      <c r="M49" s="50">
        <f t="shared" si="11"/>
        <v>898096.10937523656</v>
      </c>
      <c r="N49" s="50">
        <f t="shared" si="11"/>
        <v>1016056.8463666709</v>
      </c>
      <c r="O49" s="50">
        <f t="shared" si="11"/>
        <v>979957.42880800972</v>
      </c>
      <c r="P49" s="50">
        <f t="shared" si="11"/>
        <v>857542.98204921419</v>
      </c>
      <c r="Q49" s="50">
        <f t="shared" si="11"/>
        <v>698489.91752089746</v>
      </c>
      <c r="R49" s="50">
        <f t="shared" si="11"/>
        <v>536792.87145056901</v>
      </c>
      <c r="S49" s="50">
        <f t="shared" si="11"/>
        <v>392472.81364397879</v>
      </c>
      <c r="T49" s="50">
        <f t="shared" si="11"/>
        <v>274541.71110954956</v>
      </c>
      <c r="U49" s="50">
        <f t="shared" si="11"/>
        <v>184486.11691427184</v>
      </c>
      <c r="V49" s="50">
        <f t="shared" si="11"/>
        <v>119456.68795198837</v>
      </c>
      <c r="W49" s="50">
        <f t="shared" si="11"/>
        <v>74713.572854433805</v>
      </c>
      <c r="X49" s="50">
        <f t="shared" si="11"/>
        <v>45225.449806111443</v>
      </c>
      <c r="Y49" s="50">
        <f t="shared" si="11"/>
        <v>26537.999829730867</v>
      </c>
      <c r="Z49" s="50">
        <f t="shared" si="11"/>
        <v>15116.60975908703</v>
      </c>
      <c r="AA49" s="50">
        <f t="shared" si="11"/>
        <v>8368.678689217646</v>
      </c>
      <c r="AB49" s="50">
        <f t="shared" si="11"/>
        <v>4507.3891878863933</v>
      </c>
    </row>
    <row r="50" spans="2:32">
      <c r="B50" s="7">
        <v>2016</v>
      </c>
      <c r="C50" s="8"/>
      <c r="D50" s="8"/>
      <c r="E50" s="8"/>
      <c r="F50" s="8"/>
      <c r="G50" s="8"/>
      <c r="H50" s="8"/>
      <c r="I50" s="8"/>
      <c r="J50" s="8"/>
      <c r="K50" s="8"/>
      <c r="L50" s="50"/>
      <c r="M50" s="50">
        <f t="shared" ref="M50:AB50" si="12">L16-M16</f>
        <v>464553.30307096336</v>
      </c>
      <c r="N50" s="50">
        <f t="shared" si="12"/>
        <v>839288.09115376417</v>
      </c>
      <c r="O50" s="50">
        <f t="shared" si="12"/>
        <v>949524.66911812685</v>
      </c>
      <c r="P50" s="50">
        <f t="shared" si="12"/>
        <v>915789.0689542992</v>
      </c>
      <c r="Q50" s="50">
        <f t="shared" si="12"/>
        <v>801390.41353499703</v>
      </c>
      <c r="R50" s="50">
        <f t="shared" si="12"/>
        <v>652752.26498206379</v>
      </c>
      <c r="S50" s="50">
        <f t="shared" si="12"/>
        <v>501643.26481505972</v>
      </c>
      <c r="T50" s="50">
        <f t="shared" si="12"/>
        <v>366773.39446682273</v>
      </c>
      <c r="U50" s="50">
        <f t="shared" si="12"/>
        <v>256564.51047262026</v>
      </c>
      <c r="V50" s="50">
        <f t="shared" si="12"/>
        <v>172405.82527081924</v>
      </c>
      <c r="W50" s="50">
        <f t="shared" si="12"/>
        <v>111634.57291505305</v>
      </c>
      <c r="X50" s="50">
        <f t="shared" si="12"/>
        <v>69821.271119743833</v>
      </c>
      <c r="Y50" s="50">
        <f t="shared" si="12"/>
        <v>42264.052859272204</v>
      </c>
      <c r="Z50" s="50">
        <f t="shared" si="12"/>
        <v>24800.271360298033</v>
      </c>
      <c r="AA50" s="50">
        <f t="shared" si="12"/>
        <v>14126.762622595503</v>
      </c>
      <c r="AB50" s="50">
        <f t="shared" si="12"/>
        <v>7820.6912258408029</v>
      </c>
      <c r="AD50" s="1"/>
      <c r="AE50" s="1"/>
      <c r="AF50" s="1"/>
    </row>
    <row r="51" spans="2:32">
      <c r="B51" s="7">
        <v>2017</v>
      </c>
      <c r="C51" s="8"/>
      <c r="D51" s="8"/>
      <c r="E51" s="8"/>
      <c r="F51" s="8"/>
      <c r="G51" s="8"/>
      <c r="H51" s="8"/>
      <c r="I51" s="8"/>
      <c r="J51" s="8"/>
      <c r="K51" s="8"/>
      <c r="L51" s="8"/>
      <c r="M51" s="50"/>
      <c r="N51" s="50">
        <f t="shared" ref="N51:AB51" si="13">M17-N17</f>
        <v>384353.11379876826</v>
      </c>
      <c r="O51" s="50">
        <f t="shared" si="13"/>
        <v>694393.92439299449</v>
      </c>
      <c r="P51" s="50">
        <f t="shared" si="13"/>
        <v>785599.32905815309</v>
      </c>
      <c r="Q51" s="50">
        <f t="shared" si="13"/>
        <v>757687.82163129328</v>
      </c>
      <c r="R51" s="50">
        <f t="shared" si="13"/>
        <v>663038.87793820607</v>
      </c>
      <c r="S51" s="50">
        <f t="shared" si="13"/>
        <v>540061.52561298362</v>
      </c>
      <c r="T51" s="50">
        <f t="shared" si="13"/>
        <v>415039.88793810364</v>
      </c>
      <c r="U51" s="50">
        <f t="shared" si="13"/>
        <v>303453.8669512663</v>
      </c>
      <c r="V51" s="50">
        <f t="shared" si="13"/>
        <v>212271.37518672406</v>
      </c>
      <c r="W51" s="50">
        <f t="shared" si="13"/>
        <v>142641.79232358935</v>
      </c>
      <c r="X51" s="50">
        <f t="shared" si="13"/>
        <v>92362.050649206154</v>
      </c>
      <c r="Y51" s="50">
        <f t="shared" si="13"/>
        <v>57767.370906331111</v>
      </c>
      <c r="Z51" s="50">
        <f t="shared" si="13"/>
        <v>34967.613427421056</v>
      </c>
      <c r="AA51" s="50">
        <f t="shared" si="13"/>
        <v>20518.768152917197</v>
      </c>
      <c r="AB51" s="50">
        <f t="shared" si="13"/>
        <v>11687.927232456312</v>
      </c>
      <c r="AD51" s="97"/>
      <c r="AE51" s="268"/>
      <c r="AF51" s="97"/>
    </row>
    <row r="52" spans="2:32">
      <c r="B52" s="7">
        <v>2018</v>
      </c>
      <c r="C52" s="8"/>
      <c r="D52" s="8"/>
      <c r="E52" s="8"/>
      <c r="F52" s="8"/>
      <c r="G52" s="8"/>
      <c r="H52" s="8"/>
      <c r="I52" s="8"/>
      <c r="J52" s="8"/>
      <c r="K52" s="8"/>
      <c r="L52" s="8"/>
      <c r="M52" s="8"/>
      <c r="N52" s="50"/>
      <c r="O52" s="50">
        <f t="shared" ref="O52:AB52" si="14">N18-O18</f>
        <v>392306.883425612</v>
      </c>
      <c r="P52" s="50">
        <f t="shared" si="14"/>
        <v>708763.65136180725</v>
      </c>
      <c r="Q52" s="50">
        <f t="shared" si="14"/>
        <v>801856.45267183706</v>
      </c>
      <c r="R52" s="50">
        <f t="shared" si="14"/>
        <v>773367.34695829544</v>
      </c>
      <c r="S52" s="50">
        <f t="shared" si="14"/>
        <v>676759.74632571242</v>
      </c>
      <c r="T52" s="50">
        <f t="shared" si="14"/>
        <v>551237.51145733427</v>
      </c>
      <c r="U52" s="50">
        <f t="shared" si="14"/>
        <v>423628.68697756936</v>
      </c>
      <c r="V52" s="50">
        <f t="shared" si="14"/>
        <v>309733.51465920382</v>
      </c>
      <c r="W52" s="50">
        <f t="shared" si="14"/>
        <v>216664.10040734598</v>
      </c>
      <c r="X52" s="50">
        <f t="shared" si="14"/>
        <v>145593.60906337993</v>
      </c>
      <c r="Y52" s="50">
        <f t="shared" si="14"/>
        <v>94273.382824626548</v>
      </c>
      <c r="Z52" s="50">
        <f t="shared" si="14"/>
        <v>58962.803813316554</v>
      </c>
      <c r="AA52" s="50">
        <f t="shared" si="14"/>
        <v>35691.230152815486</v>
      </c>
      <c r="AB52" s="50">
        <f t="shared" si="14"/>
        <v>20943.381741452751</v>
      </c>
    </row>
    <row r="53" spans="2:32">
      <c r="B53" s="7">
        <v>2019</v>
      </c>
      <c r="C53" s="8"/>
      <c r="D53" s="8"/>
      <c r="E53" s="8"/>
      <c r="F53" s="8"/>
      <c r="G53" s="8"/>
      <c r="H53" s="8"/>
      <c r="I53" s="8"/>
      <c r="J53" s="8"/>
      <c r="K53" s="8"/>
      <c r="L53" s="8"/>
      <c r="M53" s="8"/>
      <c r="N53" s="8"/>
      <c r="O53" s="50"/>
      <c r="P53" s="50">
        <f t="shared" ref="P53:AB53" si="15">O19-P19</f>
        <v>462268.26476936229</v>
      </c>
      <c r="Q53" s="50">
        <f t="shared" si="15"/>
        <v>835159.81260814611</v>
      </c>
      <c r="R53" s="50">
        <f t="shared" si="15"/>
        <v>944854.16043180972</v>
      </c>
      <c r="S53" s="50">
        <f t="shared" si="15"/>
        <v>911284.49846709147</v>
      </c>
      <c r="T53" s="50">
        <f t="shared" si="15"/>
        <v>797448.54555696715</v>
      </c>
      <c r="U53" s="50">
        <f t="shared" si="15"/>
        <v>649541.51625402574</v>
      </c>
      <c r="V53" s="50">
        <f t="shared" si="15"/>
        <v>499175.78892743774</v>
      </c>
      <c r="W53" s="50">
        <f t="shared" si="15"/>
        <v>364969.31461457617</v>
      </c>
      <c r="X53" s="50">
        <f t="shared" si="15"/>
        <v>255302.52454035805</v>
      </c>
      <c r="Y53" s="50">
        <f t="shared" si="15"/>
        <v>171557.79790440353</v>
      </c>
      <c r="Z53" s="50">
        <f t="shared" si="15"/>
        <v>111085.46633630851</v>
      </c>
      <c r="AA53" s="50">
        <f t="shared" si="15"/>
        <v>69477.835226122144</v>
      </c>
      <c r="AB53" s="50">
        <f t="shared" si="15"/>
        <v>42056.165026108778</v>
      </c>
    </row>
    <row r="54" spans="2:32">
      <c r="B54" s="7">
        <v>2020</v>
      </c>
      <c r="C54" s="8"/>
      <c r="D54" s="8"/>
      <c r="E54" s="8"/>
      <c r="F54" s="8"/>
      <c r="G54" s="8"/>
      <c r="H54" s="8"/>
      <c r="I54" s="8"/>
      <c r="J54" s="8"/>
      <c r="K54" s="8"/>
      <c r="L54" s="8"/>
      <c r="M54" s="8"/>
      <c r="N54" s="8"/>
      <c r="O54" s="8"/>
      <c r="P54" s="50"/>
      <c r="Q54" s="50">
        <f t="shared" ref="Q54:AB54" si="16">P20-Q20</f>
        <v>523246.62062706612</v>
      </c>
      <c r="R54" s="50">
        <f t="shared" si="16"/>
        <v>945326.73543742951</v>
      </c>
      <c r="S54" s="50">
        <f t="shared" si="16"/>
        <v>1069490.994970276</v>
      </c>
      <c r="T54" s="50">
        <f t="shared" si="16"/>
        <v>1031493.1190239461</v>
      </c>
      <c r="U54" s="50">
        <f t="shared" si="16"/>
        <v>902640.93035855563</v>
      </c>
      <c r="V54" s="50">
        <f t="shared" si="16"/>
        <v>735223.30914597819</v>
      </c>
      <c r="W54" s="50">
        <f t="shared" si="16"/>
        <v>565022.66013317439</v>
      </c>
      <c r="X54" s="50">
        <f t="shared" si="16"/>
        <v>413112.8503920401</v>
      </c>
      <c r="Y54" s="50">
        <f t="shared" si="16"/>
        <v>288979.78378409921</v>
      </c>
      <c r="Z54" s="50">
        <f t="shared" si="16"/>
        <v>194188.19079109287</v>
      </c>
      <c r="AA54" s="50">
        <f t="shared" si="16"/>
        <v>125738.88214077445</v>
      </c>
      <c r="AB54" s="50">
        <f t="shared" si="16"/>
        <v>78642.738992023485</v>
      </c>
    </row>
    <row r="55" spans="2:32">
      <c r="B55" s="7">
        <v>2021</v>
      </c>
      <c r="C55" s="8"/>
      <c r="D55" s="8"/>
      <c r="E55" s="8"/>
      <c r="F55" s="8"/>
      <c r="G55" s="8"/>
      <c r="H55" s="8"/>
      <c r="I55" s="8"/>
      <c r="J55" s="8"/>
      <c r="K55" s="8"/>
      <c r="L55" s="8"/>
      <c r="M55" s="8"/>
      <c r="N55" s="8"/>
      <c r="O55" s="8"/>
      <c r="P55" s="8"/>
      <c r="Q55" s="50"/>
      <c r="R55" s="50">
        <f t="shared" ref="R55:AB55" si="17">Q21-R21</f>
        <v>402805.75621418655</v>
      </c>
      <c r="S55" s="50">
        <f t="shared" si="17"/>
        <v>727731.50466031861</v>
      </c>
      <c r="T55" s="50">
        <f t="shared" si="17"/>
        <v>823315.64507190092</v>
      </c>
      <c r="U55" s="50">
        <f t="shared" si="17"/>
        <v>794064.11710837204</v>
      </c>
      <c r="V55" s="50">
        <f t="shared" si="17"/>
        <v>694871.11470920662</v>
      </c>
      <c r="W55" s="50">
        <f t="shared" si="17"/>
        <v>565989.66787770065</v>
      </c>
      <c r="X55" s="50">
        <f t="shared" si="17"/>
        <v>434965.79035779019</v>
      </c>
      <c r="Y55" s="50">
        <f t="shared" si="17"/>
        <v>318022.56821944239</v>
      </c>
      <c r="Z55" s="50">
        <f t="shared" si="17"/>
        <v>222462.44074785907</v>
      </c>
      <c r="AA55" s="50">
        <f t="shared" si="17"/>
        <v>149489.96889025447</v>
      </c>
      <c r="AB55" s="50">
        <f t="shared" si="17"/>
        <v>96796.316516183957</v>
      </c>
    </row>
    <row r="56" spans="2:32">
      <c r="B56" s="7">
        <v>2022</v>
      </c>
      <c r="C56" s="8"/>
      <c r="D56" s="8"/>
      <c r="E56" s="8"/>
      <c r="F56" s="8"/>
      <c r="G56" s="8"/>
      <c r="H56" s="8"/>
      <c r="I56" s="8"/>
      <c r="J56" s="8"/>
      <c r="K56" s="8"/>
      <c r="L56" s="8"/>
      <c r="M56" s="8"/>
      <c r="N56" s="8"/>
      <c r="O56" s="8"/>
      <c r="P56" s="8"/>
      <c r="Q56" s="51"/>
      <c r="R56" s="50"/>
      <c r="S56" s="50">
        <f t="shared" ref="S56:AB56" si="18">R22-S22</f>
        <v>371533.92383899447</v>
      </c>
      <c r="T56" s="50">
        <f t="shared" si="18"/>
        <v>671234.05576144392</v>
      </c>
      <c r="U56" s="50">
        <f t="shared" si="18"/>
        <v>759397.51965446956</v>
      </c>
      <c r="V56" s="50">
        <f t="shared" si="18"/>
        <v>732416.93460841803</v>
      </c>
      <c r="W56" s="50">
        <f t="shared" si="18"/>
        <v>640924.78279533377</v>
      </c>
      <c r="X56" s="50">
        <f t="shared" si="18"/>
        <v>522049.04948556796</v>
      </c>
      <c r="Y56" s="50">
        <f t="shared" si="18"/>
        <v>401197.21313373744</v>
      </c>
      <c r="Z56" s="50">
        <f t="shared" si="18"/>
        <v>293332.88022104581</v>
      </c>
      <c r="AA56" s="50">
        <f t="shared" si="18"/>
        <v>205191.56502297509</v>
      </c>
      <c r="AB56" s="50">
        <f t="shared" si="18"/>
        <v>137884.31237519981</v>
      </c>
    </row>
    <row r="57" spans="2:32">
      <c r="B57" s="7">
        <v>2023</v>
      </c>
      <c r="C57" s="8"/>
      <c r="D57" s="8"/>
      <c r="E57" s="8"/>
      <c r="F57" s="8"/>
      <c r="G57" s="8"/>
      <c r="H57" s="8"/>
      <c r="I57" s="8"/>
      <c r="J57" s="8"/>
      <c r="K57" s="8"/>
      <c r="L57" s="8"/>
      <c r="M57" s="8"/>
      <c r="N57" s="8"/>
      <c r="O57" s="8"/>
      <c r="P57" s="8"/>
      <c r="Q57" s="51"/>
      <c r="R57" s="51"/>
      <c r="S57" s="50"/>
      <c r="T57" s="50">
        <f t="shared" ref="T57:AB57" si="19">S23-T23</f>
        <v>280245.86997451447</v>
      </c>
      <c r="U57" s="50">
        <f t="shared" si="19"/>
        <v>521477.24507301999</v>
      </c>
      <c r="V57" s="50">
        <f t="shared" si="19"/>
        <v>618297.72960891947</v>
      </c>
      <c r="W57" s="50">
        <f t="shared" si="19"/>
        <v>633364.37421076093</v>
      </c>
      <c r="X57" s="50">
        <f t="shared" si="19"/>
        <v>595506.03540693922</v>
      </c>
      <c r="Y57" s="50">
        <f t="shared" si="19"/>
        <v>526615.96238450194</v>
      </c>
      <c r="Z57" s="50">
        <f t="shared" si="19"/>
        <v>443616.49500789191</v>
      </c>
      <c r="AA57" s="50">
        <f t="shared" si="19"/>
        <v>358730.25638838334</v>
      </c>
      <c r="AB57" s="50">
        <f t="shared" si="19"/>
        <v>279895.55921604333</v>
      </c>
    </row>
    <row r="58" spans="2:32">
      <c r="B58" s="7">
        <v>2024</v>
      </c>
      <c r="C58" s="8"/>
      <c r="D58" s="8"/>
      <c r="E58" s="8"/>
      <c r="F58" s="8"/>
      <c r="G58" s="8"/>
      <c r="H58" s="8"/>
      <c r="I58" s="8"/>
      <c r="J58" s="8"/>
      <c r="K58" s="8"/>
      <c r="L58" s="8"/>
      <c r="M58" s="8"/>
      <c r="N58" s="8"/>
      <c r="O58" s="8"/>
      <c r="P58" s="8"/>
      <c r="Q58" s="51"/>
      <c r="R58" s="51"/>
      <c r="S58" s="51"/>
      <c r="T58" s="50"/>
      <c r="U58" s="50">
        <f t="shared" ref="U58:AB58" si="20">T24-U24</f>
        <v>275086.29686291981</v>
      </c>
      <c r="V58" s="50">
        <f t="shared" si="20"/>
        <v>511876.39003729075</v>
      </c>
      <c r="W58" s="50">
        <f t="shared" si="20"/>
        <v>606914.32424083957</v>
      </c>
      <c r="X58" s="50">
        <f t="shared" si="20"/>
        <v>621703.57865535421</v>
      </c>
      <c r="Y58" s="50">
        <f t="shared" si="20"/>
        <v>584542.24518816685</v>
      </c>
      <c r="Z58" s="50">
        <f t="shared" si="20"/>
        <v>516920.4990404651</v>
      </c>
      <c r="AA58" s="50">
        <f t="shared" si="20"/>
        <v>435449.12490637833</v>
      </c>
      <c r="AB58" s="50">
        <f t="shared" si="20"/>
        <v>352125.71664852812</v>
      </c>
    </row>
    <row r="59" spans="2:32">
      <c r="B59" s="7">
        <v>2025</v>
      </c>
      <c r="C59" s="8"/>
      <c r="D59" s="8"/>
      <c r="E59" s="8"/>
      <c r="F59" s="8"/>
      <c r="G59" s="8"/>
      <c r="H59" s="8"/>
      <c r="I59" s="8"/>
      <c r="J59" s="8"/>
      <c r="K59" s="8"/>
      <c r="L59" s="8"/>
      <c r="M59" s="8"/>
      <c r="N59" s="8"/>
      <c r="O59" s="8"/>
      <c r="P59" s="8"/>
      <c r="Q59" s="51"/>
      <c r="R59" s="51"/>
      <c r="S59" s="51"/>
      <c r="T59" s="51"/>
      <c r="U59" s="50"/>
      <c r="V59" s="50">
        <f t="shared" ref="V59:AB59" si="21">U25-V25</f>
        <v>266622.07165836822</v>
      </c>
      <c r="W59" s="50">
        <f t="shared" si="21"/>
        <v>496126.28873607144</v>
      </c>
      <c r="X59" s="50">
        <f t="shared" si="21"/>
        <v>588239.96794310492</v>
      </c>
      <c r="Y59" s="50">
        <f t="shared" si="21"/>
        <v>602574.16668454837</v>
      </c>
      <c r="Z59" s="50">
        <f t="shared" si="21"/>
        <v>566556.26311174128</v>
      </c>
      <c r="AA59" s="50">
        <f t="shared" si="21"/>
        <v>501015.19380852999</v>
      </c>
      <c r="AB59" s="50">
        <f t="shared" si="21"/>
        <v>422050.64050215855</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2">V26-W26</f>
        <v>258647.1942760963</v>
      </c>
      <c r="X60" s="50">
        <f t="shared" si="22"/>
        <v>481286.75840693247</v>
      </c>
      <c r="Y60" s="50">
        <f t="shared" si="22"/>
        <v>570645.24449609406</v>
      </c>
      <c r="Z60" s="50">
        <f t="shared" si="22"/>
        <v>584550.69599757623</v>
      </c>
      <c r="AA60" s="50">
        <f t="shared" si="22"/>
        <v>549610.11645414634</v>
      </c>
      <c r="AB60" s="50">
        <f t="shared" si="22"/>
        <v>486029.4324556659</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253048.68894137628</v>
      </c>
      <c r="Y61" s="50">
        <f>X27-Y27</f>
        <v>470869.14497790439</v>
      </c>
      <c r="Z61" s="50">
        <f>Y27-Z27</f>
        <v>558293.43664259976</v>
      </c>
      <c r="AA61" s="50">
        <f>Z27-AA27</f>
        <v>571897.89997898415</v>
      </c>
      <c r="AB61" s="50">
        <f>AA27-AB27</f>
        <v>537713.62100753468</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250481.67584455758</v>
      </c>
      <c r="Z62" s="50">
        <f>Y28-Z28</f>
        <v>466092.48611789243</v>
      </c>
      <c r="AA62" s="50">
        <f>Z28-AA28</f>
        <v>552629.91564304382</v>
      </c>
      <c r="AB62" s="50">
        <f>AA28-AB28</f>
        <v>566096.3706154814</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250739.80145143531</v>
      </c>
      <c r="AA63" s="50">
        <f>Z29-AA29</f>
        <v>466572.80231441557</v>
      </c>
      <c r="AB63" s="50">
        <f>AA29-AB29</f>
        <v>553199.41012551636</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253137.31187800504</v>
      </c>
      <c r="AB64" s="50">
        <f>AA30-AB30</f>
        <v>471034.05318814097</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256833.58918008301</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3">ROUND(SUM(C41:C66),0)</f>
        <v>0</v>
      </c>
      <c r="D67" s="90">
        <f t="shared" si="23"/>
        <v>21130</v>
      </c>
      <c r="E67" s="90">
        <f t="shared" si="23"/>
        <v>71971</v>
      </c>
      <c r="F67" s="90">
        <f t="shared" si="23"/>
        <v>136385</v>
      </c>
      <c r="G67" s="90">
        <f t="shared" si="23"/>
        <v>205913</v>
      </c>
      <c r="H67" s="90">
        <f t="shared" si="23"/>
        <v>369901</v>
      </c>
      <c r="I67" s="90">
        <f t="shared" si="23"/>
        <v>787005</v>
      </c>
      <c r="J67" s="90">
        <f t="shared" si="23"/>
        <v>1565768</v>
      </c>
      <c r="K67" s="90">
        <f t="shared" si="23"/>
        <v>2549965</v>
      </c>
      <c r="L67" s="90">
        <f t="shared" si="23"/>
        <v>3509709</v>
      </c>
      <c r="M67" s="90">
        <f t="shared" si="23"/>
        <v>4310496</v>
      </c>
      <c r="N67" s="90">
        <f t="shared" si="23"/>
        <v>4848259</v>
      </c>
      <c r="O67" s="90">
        <f t="shared" si="23"/>
        <v>5163394</v>
      </c>
      <c r="P67" s="90">
        <f t="shared" si="23"/>
        <v>5397473</v>
      </c>
      <c r="Q67" s="90">
        <f t="shared" si="23"/>
        <v>5649985</v>
      </c>
      <c r="R67" s="90">
        <f t="shared" si="23"/>
        <v>5790144</v>
      </c>
      <c r="S67" s="90">
        <f t="shared" si="23"/>
        <v>5782808</v>
      </c>
      <c r="T67" s="90">
        <f t="shared" si="23"/>
        <v>5598786</v>
      </c>
      <c r="U67" s="90">
        <f t="shared" si="23"/>
        <v>5315385</v>
      </c>
      <c r="V67" s="90">
        <f t="shared" si="23"/>
        <v>5022355</v>
      </c>
      <c r="W67" s="90">
        <f t="shared" si="23"/>
        <v>4766636</v>
      </c>
      <c r="X67" s="90">
        <f t="shared" si="23"/>
        <v>4569509</v>
      </c>
      <c r="Y67" s="90">
        <f t="shared" si="23"/>
        <v>4435051</v>
      </c>
      <c r="Z67" s="90">
        <f t="shared" si="23"/>
        <v>4357335</v>
      </c>
      <c r="AA67" s="90">
        <f t="shared" si="23"/>
        <v>4325950</v>
      </c>
      <c r="AB67" s="267">
        <f t="shared" si="23"/>
        <v>4329611</v>
      </c>
      <c r="AD67" s="1"/>
      <c r="AE67" s="1"/>
      <c r="AF67" s="1"/>
    </row>
    <row r="68" spans="1:32">
      <c r="R68" s="97"/>
      <c r="S68" s="97"/>
      <c r="T68" s="97"/>
      <c r="U68" s="97"/>
      <c r="V68" s="97"/>
      <c r="W68" s="97"/>
      <c r="X68" s="97"/>
      <c r="Y68" s="97"/>
      <c r="Z68" s="97"/>
      <c r="AA68" s="97"/>
      <c r="AB68" s="97"/>
      <c r="AD68" s="97"/>
      <c r="AE68" s="268"/>
      <c r="AF68" s="97"/>
    </row>
    <row r="69" spans="1:32" ht="21">
      <c r="B69" s="52" t="s">
        <v>7652</v>
      </c>
      <c r="Q69" s="46"/>
      <c r="R69" s="46"/>
      <c r="S69" s="46"/>
      <c r="T69" s="46"/>
      <c r="U69" s="46"/>
      <c r="V69" s="46"/>
      <c r="W69" s="46"/>
      <c r="X69" s="46"/>
      <c r="Y69" s="46"/>
      <c r="Z69" s="46"/>
      <c r="AA69" s="46"/>
      <c r="AB69" s="46"/>
    </row>
    <row r="70" spans="1:32">
      <c r="B70" s="7" t="s">
        <v>7761</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8015.8283319443935</v>
      </c>
      <c r="E71" s="91">
        <f>E67*Outflow_routing!D4</f>
        <v>27302.753472710363</v>
      </c>
      <c r="F71" s="91">
        <f>F67*Outflow_routing!E4</f>
        <v>51738.70075968936</v>
      </c>
      <c r="G71" s="91">
        <f>G67*Outflow_routing!F4</f>
        <v>78114.68335616024</v>
      </c>
      <c r="H71" s="91">
        <f>H67*Outflow_routing!G4</f>
        <v>140324.79488000771</v>
      </c>
      <c r="I71" s="91">
        <f>I67*Outflow_routing!H4</f>
        <v>298556.4115656364</v>
      </c>
      <c r="J71" s="91">
        <f>J67*Outflow_routing!I4</f>
        <v>593986.15691679646</v>
      </c>
      <c r="K71" s="91">
        <f>K67*Outflow_routing!J4</f>
        <v>967348.87328284839</v>
      </c>
      <c r="L71" s="91">
        <f>L67*Outflow_routing!K4</f>
        <v>1331435.155659263</v>
      </c>
      <c r="M71" s="91">
        <f>M67*Outflow_routing!L4</f>
        <v>1635219.8751317076</v>
      </c>
      <c r="N71" s="91">
        <f>N67*Outflow_routing!M4</f>
        <v>1839224.4132893702</v>
      </c>
      <c r="O71" s="91">
        <f>O67*Outflow_routing!N4</f>
        <v>1958773.3040317886</v>
      </c>
      <c r="P71" s="91">
        <f>P67*Outflow_routing!O4</f>
        <v>2047572.9765406959</v>
      </c>
      <c r="Q71" s="91">
        <f>Q67*Outflow_routing!P4</f>
        <v>2143365.3496479341</v>
      </c>
      <c r="R71" s="91">
        <f>R67*Outflow_routing!Q4</f>
        <v>2196535.7463908112</v>
      </c>
      <c r="S71" s="91">
        <f>S67*Outflow_routing!R4</f>
        <v>2193752.7782581495</v>
      </c>
      <c r="T71" s="91">
        <f>T67*Outflow_routing!S4</f>
        <v>2123942.6144483495</v>
      </c>
      <c r="U71" s="91">
        <f>U67*Outflow_routing!T4</f>
        <v>2016432.2611543895</v>
      </c>
      <c r="V71" s="91">
        <f>V67*Outflow_routing!U4</f>
        <v>1905269.072507458</v>
      </c>
      <c r="W71" s="91">
        <f>W67*Outflow_routing!V4</f>
        <v>1808260.0992364457</v>
      </c>
      <c r="X71" s="91">
        <f>X67*Outflow_routing!W4</f>
        <v>1733478.4526869331</v>
      </c>
      <c r="Y71" s="91">
        <f>Y67*Outflow_routing!X4</f>
        <v>1682470.7742270855</v>
      </c>
      <c r="Z71" s="91">
        <f>Z67*Outflow_routing!Y4</f>
        <v>1652988.6107322727</v>
      </c>
      <c r="AA71" s="91">
        <f>AA67*Outflow_routing!Z4</f>
        <v>1641082.4691232773</v>
      </c>
      <c r="AB71" s="91">
        <f>AB67*Outflow_routing!AA4</f>
        <v>1642471.2976856648</v>
      </c>
    </row>
    <row r="72" spans="1:32">
      <c r="B72" s="7" t="s">
        <v>6907</v>
      </c>
      <c r="C72" s="91">
        <f>C67*Outflow_routing!B5</f>
        <v>0</v>
      </c>
      <c r="D72" s="91">
        <f>D67*Outflow_routing!C5</f>
        <v>1806.9894994911701</v>
      </c>
      <c r="E72" s="91">
        <f>E67*Outflow_routing!D5</f>
        <v>6154.7960846132983</v>
      </c>
      <c r="F72" s="91">
        <f>F67*Outflow_routing!E5</f>
        <v>11663.334732044639</v>
      </c>
      <c r="G72" s="91">
        <f>G67*Outflow_routing!F5</f>
        <v>17609.211017923582</v>
      </c>
      <c r="H72" s="91">
        <f>H67*Outflow_routing!G5</f>
        <v>31633.091474268022</v>
      </c>
      <c r="I72" s="91">
        <f>I67*Outflow_routing!H5</f>
        <v>67302.876055231813</v>
      </c>
      <c r="J72" s="91">
        <f>J67*Outflow_routing!I5</f>
        <v>133900.91503262141</v>
      </c>
      <c r="K72" s="91">
        <f>K67*Outflow_routing!J5</f>
        <v>218067.20203833419</v>
      </c>
      <c r="L72" s="91">
        <f>L67*Outflow_routing!K5</f>
        <v>300142.32414906082</v>
      </c>
      <c r="M72" s="91">
        <f>M67*Outflow_routing!L5</f>
        <v>368623.80547083251</v>
      </c>
      <c r="N72" s="91">
        <f>N67*Outflow_routing!M5</f>
        <v>414612.07306263893</v>
      </c>
      <c r="O72" s="91">
        <f>O67*Outflow_routing!N5</f>
        <v>441561.70088668767</v>
      </c>
      <c r="P72" s="91">
        <f>P67*Outflow_routing!O5</f>
        <v>461579.60410729313</v>
      </c>
      <c r="Q72" s="91">
        <f>Q67*Outflow_routing!P5</f>
        <v>483173.85552686313</v>
      </c>
      <c r="R72" s="91">
        <f>R67*Outflow_routing!Q5</f>
        <v>495159.93414774258</v>
      </c>
      <c r="S72" s="91">
        <f>S67*Outflow_routing!R5</f>
        <v>494532.57612747437</v>
      </c>
      <c r="T72" s="91">
        <f>T67*Outflow_routing!S5</f>
        <v>478795.43359669519</v>
      </c>
      <c r="U72" s="91">
        <f>U67*Outflow_routing!T5</f>
        <v>454559.62521310331</v>
      </c>
      <c r="V72" s="91">
        <f>V67*Outflow_routing!U5</f>
        <v>429500.36666904757</v>
      </c>
      <c r="W72" s="91">
        <f>W67*Outflow_routing!V5</f>
        <v>407631.85990991921</v>
      </c>
      <c r="X72" s="91">
        <f>X67*Outflow_routing!W5</f>
        <v>390774.00761147169</v>
      </c>
      <c r="Y72" s="91">
        <f>Y67*Outflow_routing!X5</f>
        <v>379275.46553278813</v>
      </c>
      <c r="Z72" s="91">
        <f>Z67*Outflow_routing!Y5</f>
        <v>372629.37012614089</v>
      </c>
      <c r="AA72" s="91">
        <f>AA67*Outflow_routing!Z5</f>
        <v>369945.39637121756</v>
      </c>
      <c r="AB72" s="91">
        <f>AB67*Outflow_routing!AA5</f>
        <v>370258.47675728652</v>
      </c>
    </row>
    <row r="73" spans="1:32">
      <c r="B73" s="7" t="s">
        <v>6908</v>
      </c>
      <c r="C73" s="91">
        <f>C67*Outflow_routing!B6</f>
        <v>0</v>
      </c>
      <c r="D73" s="91">
        <f>D67*Outflow_routing!C6</f>
        <v>292.22612152849342</v>
      </c>
      <c r="E73" s="91">
        <f>E67*Outflow_routing!D6</f>
        <v>995.35287233919541</v>
      </c>
      <c r="F73" s="91">
        <f>F67*Outflow_routing!E6</f>
        <v>1886.193070736563</v>
      </c>
      <c r="G73" s="91">
        <f>G67*Outflow_routing!F6</f>
        <v>2847.7594586983751</v>
      </c>
      <c r="H73" s="91">
        <f>H67*Outflow_routing!G6</f>
        <v>5115.699696143457</v>
      </c>
      <c r="I73" s="91">
        <f>I67*Outflow_routing!H6</f>
        <v>10884.212909301086</v>
      </c>
      <c r="J73" s="91">
        <f>J67*Outflow_routing!I6</f>
        <v>21654.439652315479</v>
      </c>
      <c r="K73" s="91">
        <f>K67*Outflow_routing!J6</f>
        <v>35265.801324344757</v>
      </c>
      <c r="L73" s="91">
        <f>L67*Outflow_routing!K6</f>
        <v>48538.980064536066</v>
      </c>
      <c r="M73" s="91">
        <f>M67*Outflow_routing!L6</f>
        <v>59613.796873832689</v>
      </c>
      <c r="N73" s="91">
        <f>N67*Outflow_routing!M6</f>
        <v>67051.01390135409</v>
      </c>
      <c r="O73" s="91">
        <f>O67*Outflow_routing!N6</f>
        <v>71409.304427046562</v>
      </c>
      <c r="P73" s="91">
        <f>P67*Outflow_routing!O6</f>
        <v>74646.597295066822</v>
      </c>
      <c r="Q73" s="91">
        <f>Q67*Outflow_routing!P6</f>
        <v>78138.817001616888</v>
      </c>
      <c r="R73" s="91">
        <f>R67*Outflow_routing!Q6</f>
        <v>80077.204174703118</v>
      </c>
      <c r="S73" s="91">
        <f>S67*Outflow_routing!R6</f>
        <v>79975.74791216015</v>
      </c>
      <c r="T73" s="91">
        <f>T67*Outflow_routing!S6</f>
        <v>77430.739140938356</v>
      </c>
      <c r="U73" s="91">
        <f>U67*Outflow_routing!T6</f>
        <v>73511.327164256087</v>
      </c>
      <c r="V73" s="91">
        <f>V67*Outflow_routing!U6</f>
        <v>69458.746928028238</v>
      </c>
      <c r="W73" s="91">
        <f>W67*Outflow_routing!V6</f>
        <v>65922.174681405202</v>
      </c>
      <c r="X73" s="91">
        <f>X67*Outflow_routing!W6</f>
        <v>63195.924863206077</v>
      </c>
      <c r="Y73" s="91">
        <f>Y67*Outflow_routing!X6</f>
        <v>61336.382040277625</v>
      </c>
      <c r="Z73" s="91">
        <f>Z67*Outflow_routing!Y6</f>
        <v>60261.576301484049</v>
      </c>
      <c r="AA73" s="91">
        <f>AA67*Outflow_routing!Z6</f>
        <v>59827.5243930992</v>
      </c>
      <c r="AB73" s="91">
        <f>AB67*Outflow_routing!AA6</f>
        <v>59878.155714959867</v>
      </c>
    </row>
    <row r="75" spans="1:32" ht="21">
      <c r="A75" s="293" t="s">
        <v>7792</v>
      </c>
      <c r="B75" s="52" t="s">
        <v>7805</v>
      </c>
      <c r="C75" s="162"/>
      <c r="D75" s="162"/>
      <c r="E75" s="162"/>
      <c r="F75" s="162"/>
      <c r="G75" s="162"/>
      <c r="H75" s="162"/>
      <c r="I75" s="162"/>
      <c r="J75" s="162"/>
      <c r="K75" s="162"/>
      <c r="L75" s="162"/>
      <c r="M75" s="162"/>
      <c r="N75" s="162"/>
      <c r="O75" s="162"/>
    </row>
    <row r="76" spans="1:32">
      <c r="A76" s="1" t="s">
        <v>7762</v>
      </c>
      <c r="B76" s="163">
        <v>2007</v>
      </c>
      <c r="C76" s="164">
        <f>((VLOOKUP($B$76,Energy_demand!$A$34:$F$66,6,FALSE )))*C7</f>
        <v>8742331.3979523182</v>
      </c>
      <c r="D76" s="164">
        <f>((VLOOKUP($B$76,Energy_demand!$A$34:$F$66,6,FALSE )))*D7</f>
        <v>8087263.077667891</v>
      </c>
      <c r="E76" s="164">
        <f>((VLOOKUP($B$76,Energy_demand!$A$34:$F$66,6,FALSE )))*E7</f>
        <v>6903779.8552424181</v>
      </c>
      <c r="F76" s="164">
        <f>((VLOOKUP($B$76,Energy_demand!$A$34:$F$66,6,FALSE )))*F7</f>
        <v>5564851.6290172683</v>
      </c>
      <c r="G76" s="164">
        <f>((VLOOKUP($B$76,Energy_demand!$A$34:$F$66,6,FALSE )))*G7</f>
        <v>4273494.0965898335</v>
      </c>
      <c r="H76" s="164">
        <f>((VLOOKUP($B$76,Energy_demand!$A$34:$F$66,6,FALSE )))*H7</f>
        <v>3143450.5286804209</v>
      </c>
      <c r="I76" s="164">
        <f>((VLOOKUP($B$76,Energy_demand!$A$34:$F$66,6,FALSE )))*I7</f>
        <v>2223002.160415695</v>
      </c>
      <c r="J76" s="164">
        <f>((VLOOKUP($B$76,Energy_demand!$A$34:$F$66,6,FALSE )))*J7</f>
        <v>1515633.1487391156</v>
      </c>
      <c r="K76" s="164">
        <f>((VLOOKUP($B$76,Energy_demand!$A$34:$F$66,6,FALSE )))*K7</f>
        <v>998444.63700077939</v>
      </c>
      <c r="L76" s="164">
        <f>((VLOOKUP($B$76,Energy_demand!$A$34:$F$66,6,FALSE )))*L7</f>
        <v>636662.07769299916</v>
      </c>
      <c r="M76" s="164">
        <f>((VLOOKUP($B$76,Energy_demand!$A$34:$F$66,6,FALSE )))*M7</f>
        <v>393551.98974222125</v>
      </c>
      <c r="N76" s="164">
        <f>((VLOOKUP($B$76,Energy_demand!$A$34:$F$66,6,FALSE )))*N7</f>
        <v>236135.66812376835</v>
      </c>
      <c r="O76" s="164">
        <f>((VLOOKUP($B$76,Energy_demand!$A$34:$F$66,6,FALSE )))*O7</f>
        <v>137680.43706592871</v>
      </c>
      <c r="P76" s="164">
        <f>((VLOOKUP($B$76,Energy_demand!$A$34:$F$66,6,FALSE )))*P7</f>
        <v>78083.740773132027</v>
      </c>
      <c r="Q76" s="164">
        <f>((VLOOKUP($B$76,Energy_demand!$A$34:$F$66,6,FALSE )))*Q7</f>
        <v>43112.786966122294</v>
      </c>
      <c r="R76" s="164">
        <f>((VLOOKUP($B$76,Energy_demand!$A$34:$F$66,6,FALSE )))*R7</f>
        <v>23192.587064267584</v>
      </c>
      <c r="S76" s="164">
        <f>((VLOOKUP($B$76,Energy_demand!$A$34:$F$66,6,FALSE )))*S7</f>
        <v>12164.601619092262</v>
      </c>
      <c r="T76" s="164">
        <f>((VLOOKUP($B$76,Energy_demand!$A$34:$F$66,6,FALSE )))*T7</f>
        <v>6224.9038238123831</v>
      </c>
      <c r="U76" s="164">
        <f>((VLOOKUP($B$76,Energy_demand!$A$34:$F$66,6,FALSE )))*U7</f>
        <v>3109.6418016361908</v>
      </c>
      <c r="V76" s="164">
        <f>((VLOOKUP($B$76,Energy_demand!$A$34:$F$66,6,FALSE )))*V7</f>
        <v>1517.2865198104018</v>
      </c>
      <c r="W76" s="164">
        <f>((VLOOKUP($B$76,Energy_demand!$A$34:$F$66,6,FALSE )))*W7</f>
        <v>723.4743846256689</v>
      </c>
      <c r="X76" s="164">
        <f>((VLOOKUP($B$76,Energy_demand!$A$34:$F$66,6,FALSE )))*X7</f>
        <v>337.27199777290065</v>
      </c>
      <c r="Y76" s="164">
        <f>((VLOOKUP($B$76,Energy_demand!$A$34:$F$66,6,FALSE )))*Y7</f>
        <v>153.79012672140217</v>
      </c>
      <c r="Z76" s="164">
        <f>((VLOOKUP($B$76,Energy_demand!$A$34:$F$66,6,FALSE )))*Z7</f>
        <v>68.619082540588295</v>
      </c>
      <c r="AA76" s="164">
        <f>((VLOOKUP($B$76,Energy_demand!$A$34:$F$66,6,FALSE )))*AA7</f>
        <v>29.970634581145237</v>
      </c>
      <c r="AB76" s="164">
        <f>((VLOOKUP($B$76,Energy_demand!$A$34:$F$66,6,FALSE )))*AB7</f>
        <v>12.818523763566443</v>
      </c>
    </row>
    <row r="77" spans="1:32">
      <c r="B77" s="163">
        <v>2008</v>
      </c>
      <c r="C77" s="164">
        <f>((VLOOKUP($B$76,Energy_demand!$A$34:$F$66,6,FALSE )))*C8</f>
        <v>0</v>
      </c>
      <c r="D77" s="164">
        <f>((VLOOKUP($B$76,Energy_demand!$A$34:$F$66,6,FALSE )))*D8</f>
        <v>13982858.294367809</v>
      </c>
      <c r="E77" s="164">
        <f>((VLOOKUP($B$76,Energy_demand!$A$34:$F$66,6,FALSE )))*E8</f>
        <v>12935114.03957873</v>
      </c>
      <c r="F77" s="164">
        <f>((VLOOKUP($B$76,Energy_demand!$A$34:$F$66,6,FALSE )))*F8</f>
        <v>11042200.417382568</v>
      </c>
      <c r="G77" s="164">
        <f>((VLOOKUP($B$76,Energy_demand!$A$34:$F$66,6,FALSE )))*G8</f>
        <v>8900661.4157816116</v>
      </c>
      <c r="H77" s="164">
        <f>((VLOOKUP($B$76,Energy_demand!$A$34:$F$66,6,FALSE )))*H8</f>
        <v>6835209.0139741609</v>
      </c>
      <c r="I77" s="164">
        <f>((VLOOKUP($B$76,Energy_demand!$A$34:$F$66,6,FALSE )))*I8</f>
        <v>5027769.0580557445</v>
      </c>
      <c r="J77" s="164">
        <f>((VLOOKUP($B$76,Energy_demand!$A$34:$F$66,6,FALSE )))*J8</f>
        <v>3555564.6179744257</v>
      </c>
      <c r="K77" s="164">
        <f>((VLOOKUP($B$76,Energy_demand!$A$34:$F$66,6,FALSE )))*K8</f>
        <v>2424168.403182412</v>
      </c>
      <c r="L77" s="164">
        <f>((VLOOKUP($B$76,Energy_demand!$A$34:$F$66,6,FALSE )))*L8</f>
        <v>1596955.0041563807</v>
      </c>
      <c r="M77" s="164">
        <f>((VLOOKUP($B$76,Energy_demand!$A$34:$F$66,6,FALSE )))*M8</f>
        <v>1018304.5241071687</v>
      </c>
      <c r="N77" s="164">
        <f>((VLOOKUP($B$76,Energy_demand!$A$34:$F$66,6,FALSE )))*N8</f>
        <v>629463.86421829229</v>
      </c>
      <c r="O77" s="164">
        <f>((VLOOKUP($B$76,Energy_demand!$A$34:$F$66,6,FALSE )))*O8</f>
        <v>377685.47488303838</v>
      </c>
      <c r="P77" s="164">
        <f>((VLOOKUP($B$76,Energy_demand!$A$34:$F$66,6,FALSE )))*P8</f>
        <v>220211.97250088581</v>
      </c>
      <c r="Q77" s="164">
        <f>((VLOOKUP($B$76,Energy_demand!$A$34:$F$66,6,FALSE )))*Q8</f>
        <v>124890.47058781036</v>
      </c>
      <c r="R77" s="164">
        <f>((VLOOKUP($B$76,Energy_demand!$A$34:$F$66,6,FALSE )))*R8</f>
        <v>68956.433173393118</v>
      </c>
      <c r="S77" s="164">
        <f>((VLOOKUP($B$76,Energy_demand!$A$34:$F$66,6,FALSE )))*S8</f>
        <v>37095.214495689404</v>
      </c>
      <c r="T77" s="164">
        <f>((VLOOKUP($B$76,Energy_demand!$A$34:$F$66,6,FALSE )))*T8</f>
        <v>19456.583479213012</v>
      </c>
      <c r="U77" s="164">
        <f>((VLOOKUP($B$76,Energy_demand!$A$34:$F$66,6,FALSE )))*U8</f>
        <v>9956.3770923651282</v>
      </c>
      <c r="V77" s="164">
        <f>((VLOOKUP($B$76,Energy_demand!$A$34:$F$66,6,FALSE )))*V8</f>
        <v>4973.6939357739293</v>
      </c>
      <c r="W77" s="164">
        <f>((VLOOKUP($B$76,Energy_demand!$A$34:$F$66,6,FALSE )))*W8</f>
        <v>2426.8128755028301</v>
      </c>
      <c r="X77" s="164">
        <f>((VLOOKUP($B$76,Energy_demand!$A$34:$F$66,6,FALSE )))*X8</f>
        <v>1157.1558362790006</v>
      </c>
      <c r="Y77" s="164">
        <f>((VLOOKUP($B$76,Energy_demand!$A$34:$F$66,6,FALSE )))*Y8</f>
        <v>539.44724088375563</v>
      </c>
      <c r="Z77" s="164">
        <f>((VLOOKUP($B$76,Energy_demand!$A$34:$F$66,6,FALSE )))*Z8</f>
        <v>245.97849831246623</v>
      </c>
      <c r="AA77" s="164">
        <f>((VLOOKUP($B$76,Energy_demand!$A$34:$F$66,6,FALSE )))*AA8</f>
        <v>109.7522918977096</v>
      </c>
      <c r="AB77" s="164">
        <f>((VLOOKUP($B$76,Energy_demand!$A$34:$F$66,6,FALSE )))*AB8</f>
        <v>47.936313240034764</v>
      </c>
    </row>
    <row r="78" spans="1:32">
      <c r="B78" s="163">
        <v>2009</v>
      </c>
      <c r="C78" s="164">
        <f>((VLOOKUP($B$76,Energy_demand!$A$34:$F$66,6,FALSE )))*C9</f>
        <v>0</v>
      </c>
      <c r="D78" s="164">
        <f>((VLOOKUP($B$76,Energy_demand!$A$34:$F$66,6,FALSE )))*D9</f>
        <v>0</v>
      </c>
      <c r="E78" s="164">
        <f>((VLOOKUP($B$76,Energy_demand!$A$34:$F$66,6,FALSE )))*E9</f>
        <v>13296897.595777353</v>
      </c>
      <c r="F78" s="164">
        <f>((VLOOKUP($B$76,Energy_demand!$A$34:$F$66,6,FALSE )))*F9</f>
        <v>12300552.802087637</v>
      </c>
      <c r="G78" s="164">
        <f>((VLOOKUP($B$76,Energy_demand!$A$34:$F$66,6,FALSE )))*G9</f>
        <v>10500500.333406568</v>
      </c>
      <c r="H78" s="164">
        <f>((VLOOKUP($B$76,Energy_demand!$A$34:$F$66,6,FALSE )))*H9</f>
        <v>8464019.3649109434</v>
      </c>
      <c r="I78" s="164">
        <f>((VLOOKUP($B$76,Energy_demand!$A$34:$F$66,6,FALSE )))*I9</f>
        <v>6499892.3961889353</v>
      </c>
      <c r="J78" s="164">
        <f>((VLOOKUP($B$76,Energy_demand!$A$34:$F$66,6,FALSE )))*J9</f>
        <v>4781120.4900155067</v>
      </c>
      <c r="K78" s="164">
        <f>((VLOOKUP($B$76,Energy_demand!$A$34:$F$66,6,FALSE )))*K9</f>
        <v>3381138.3642082945</v>
      </c>
      <c r="L78" s="164">
        <f>((VLOOKUP($B$76,Energy_demand!$A$34:$F$66,6,FALSE )))*L9</f>
        <v>2305245.3463695063</v>
      </c>
      <c r="M78" s="164">
        <f>((VLOOKUP($B$76,Energy_demand!$A$34:$F$66,6,FALSE )))*M9</f>
        <v>1518612.7691707145</v>
      </c>
      <c r="N78" s="164">
        <f>((VLOOKUP($B$76,Energy_demand!$A$34:$F$66,6,FALSE )))*N9</f>
        <v>968349.29549588158</v>
      </c>
      <c r="O78" s="164">
        <f>((VLOOKUP($B$76,Energy_demand!$A$34:$F$66,6,FALSE )))*O9</f>
        <v>598584.09250448272</v>
      </c>
      <c r="P78" s="164">
        <f>((VLOOKUP($B$76,Energy_demand!$A$34:$F$66,6,FALSE )))*P9</f>
        <v>359157.26078373712</v>
      </c>
      <c r="Q78" s="164">
        <f>((VLOOKUP($B$76,Energy_demand!$A$34:$F$66,6,FALSE )))*Q9</f>
        <v>209408.97676749312</v>
      </c>
      <c r="R78" s="164">
        <f>((VLOOKUP($B$76,Energy_demand!$A$34:$F$66,6,FALSE )))*R9</f>
        <v>118763.6864462438</v>
      </c>
      <c r="S78" s="164">
        <f>((VLOOKUP($B$76,Energy_demand!$A$34:$F$66,6,FALSE )))*S9</f>
        <v>65573.619582914311</v>
      </c>
      <c r="T78" s="164">
        <f>((VLOOKUP($B$76,Energy_demand!$A$34:$F$66,6,FALSE )))*T9</f>
        <v>35275.424956659655</v>
      </c>
      <c r="U78" s="164">
        <f>((VLOOKUP($B$76,Energy_demand!$A$34:$F$66,6,FALSE )))*U9</f>
        <v>18502.096827441655</v>
      </c>
      <c r="V78" s="164">
        <f>((VLOOKUP($B$76,Energy_demand!$A$34:$F$66,6,FALSE )))*V9</f>
        <v>9467.9445242928523</v>
      </c>
      <c r="W78" s="164">
        <f>((VLOOKUP($B$76,Energy_demand!$A$34:$F$66,6,FALSE )))*W9</f>
        <v>4729.6981450039666</v>
      </c>
      <c r="X78" s="164">
        <f>((VLOOKUP($B$76,Energy_demand!$A$34:$F$66,6,FALSE )))*X9</f>
        <v>2307.7600881268208</v>
      </c>
      <c r="Y78" s="164">
        <f>((VLOOKUP($B$76,Energy_demand!$A$34:$F$66,6,FALSE )))*Y9</f>
        <v>1100.3889429070148</v>
      </c>
      <c r="Z78" s="164">
        <f>((VLOOKUP($B$76,Energy_demand!$A$34:$F$66,6,FALSE )))*Z9</f>
        <v>512.98343796026006</v>
      </c>
      <c r="AA78" s="164">
        <f>((VLOOKUP($B$76,Energy_demand!$A$34:$F$66,6,FALSE )))*AA9</f>
        <v>233.91146745307358</v>
      </c>
      <c r="AB78" s="164">
        <f>((VLOOKUP($B$76,Energy_demand!$A$34:$F$66,6,FALSE )))*AB9</f>
        <v>104.36814530642353</v>
      </c>
    </row>
    <row r="79" spans="1:32">
      <c r="B79" s="163">
        <v>2010</v>
      </c>
      <c r="C79" s="164">
        <f>((VLOOKUP($B$76,Energy_demand!$A$34:$F$66,6,FALSE )))*C10</f>
        <v>0</v>
      </c>
      <c r="D79" s="164">
        <f>((VLOOKUP($B$76,Energy_demand!$A$34:$F$66,6,FALSE )))*D10</f>
        <v>0</v>
      </c>
      <c r="E79" s="164">
        <f>((VLOOKUP($B$76,Energy_demand!$A$34:$F$66,6,FALSE )))*E10</f>
        <v>0</v>
      </c>
      <c r="F79" s="164">
        <f>((VLOOKUP($B$76,Energy_demand!$A$34:$F$66,6,FALSE )))*F10</f>
        <v>15357641.638094751</v>
      </c>
      <c r="G79" s="164">
        <f>((VLOOKUP($B$76,Energy_demand!$A$34:$F$66,6,FALSE )))*G10</f>
        <v>14206884.013675103</v>
      </c>
      <c r="H79" s="164">
        <f>((VLOOKUP($B$76,Energy_demand!$A$34:$F$66,6,FALSE )))*H10</f>
        <v>12127860.651672928</v>
      </c>
      <c r="I79" s="164">
        <f>((VLOOKUP($B$76,Energy_demand!$A$34:$F$66,6,FALSE )))*I10</f>
        <v>9775767.2635966036</v>
      </c>
      <c r="J79" s="164">
        <f>((VLOOKUP($B$76,Energy_demand!$A$34:$F$66,6,FALSE )))*J10</f>
        <v>7507241.2484057257</v>
      </c>
      <c r="K79" s="164">
        <f>((VLOOKUP($B$76,Energy_demand!$A$34:$F$66,6,FALSE )))*K10</f>
        <v>5522095.2545748707</v>
      </c>
      <c r="L79" s="164">
        <f>((VLOOKUP($B$76,Energy_demand!$A$34:$F$66,6,FALSE )))*L10</f>
        <v>3905144.8619725355</v>
      </c>
      <c r="M79" s="164">
        <f>((VLOOKUP($B$76,Energy_demand!$A$34:$F$66,6,FALSE )))*M10</f>
        <v>2662510.6843472519</v>
      </c>
      <c r="N79" s="164">
        <f>((VLOOKUP($B$76,Energy_demand!$A$34:$F$66,6,FALSE )))*N10</f>
        <v>1753966.3314670424</v>
      </c>
      <c r="O79" s="164">
        <f>((VLOOKUP($B$76,Energy_demand!$A$34:$F$66,6,FALSE )))*O10</f>
        <v>1118423.4031741342</v>
      </c>
      <c r="P79" s="164">
        <f>((VLOOKUP($B$76,Energy_demand!$A$34:$F$66,6,FALSE )))*P10</f>
        <v>691352.24338851357</v>
      </c>
      <c r="Q79" s="164">
        <f>((VLOOKUP($B$76,Energy_demand!$A$34:$F$66,6,FALSE )))*Q10</f>
        <v>414819.20599193097</v>
      </c>
      <c r="R79" s="164">
        <f>((VLOOKUP($B$76,Energy_demand!$A$34:$F$66,6,FALSE )))*R10</f>
        <v>241863.03593227424</v>
      </c>
      <c r="S79" s="164">
        <f>((VLOOKUP($B$76,Energy_demand!$A$34:$F$66,6,FALSE )))*S10</f>
        <v>137169.60087288945</v>
      </c>
      <c r="T79" s="164">
        <f>((VLOOKUP($B$76,Energy_demand!$A$34:$F$66,6,FALSE )))*T10</f>
        <v>75736.174037089469</v>
      </c>
      <c r="U79" s="164">
        <f>((VLOOKUP($B$76,Energy_demand!$A$34:$F$66,6,FALSE )))*U10</f>
        <v>40742.386050105692</v>
      </c>
      <c r="V79" s="164">
        <f>((VLOOKUP($B$76,Energy_demand!$A$34:$F$66,6,FALSE )))*V10</f>
        <v>21369.539065970908</v>
      </c>
      <c r="W79" s="164">
        <f>((VLOOKUP($B$76,Energy_demand!$A$34:$F$66,6,FALSE )))*W10</f>
        <v>10935.280053568806</v>
      </c>
      <c r="X79" s="164">
        <f>((VLOOKUP($B$76,Energy_demand!$A$34:$F$66,6,FALSE )))*X10</f>
        <v>5462.7035099074164</v>
      </c>
      <c r="Y79" s="164">
        <f>((VLOOKUP($B$76,Energy_demand!$A$34:$F$66,6,FALSE )))*Y10</f>
        <v>2665.4151590521979</v>
      </c>
      <c r="Z79" s="164">
        <f>((VLOOKUP($B$76,Energy_demand!$A$34:$F$66,6,FALSE )))*Z10</f>
        <v>1270.9264643095778</v>
      </c>
      <c r="AA79" s="164">
        <f>((VLOOKUP($B$76,Energy_demand!$A$34:$F$66,6,FALSE )))*AA10</f>
        <v>592.48525828862091</v>
      </c>
      <c r="AB79" s="164">
        <f>((VLOOKUP($B$76,Energy_demand!$A$34:$F$66,6,FALSE )))*AB10</f>
        <v>270.16290576878407</v>
      </c>
    </row>
    <row r="80" spans="1:32">
      <c r="B80" s="163">
        <v>2011</v>
      </c>
      <c r="C80" s="164">
        <f>((VLOOKUP($B$76,Energy_demand!$A$34:$F$66,6,FALSE )))*C11</f>
        <v>0</v>
      </c>
      <c r="D80" s="164">
        <f>((VLOOKUP($B$76,Energy_demand!$A$34:$F$66,6,FALSE )))*D11</f>
        <v>0</v>
      </c>
      <c r="E80" s="164">
        <f>((VLOOKUP($B$76,Energy_demand!$A$34:$F$66,6,FALSE )))*E11</f>
        <v>0</v>
      </c>
      <c r="F80" s="164">
        <f>((VLOOKUP($B$76,Energy_demand!$A$34:$F$66,6,FALSE )))*F11</f>
        <v>0</v>
      </c>
      <c r="G80" s="164">
        <f>((VLOOKUP($B$76,Energy_demand!$A$34:$F$66,6,FALSE )))*G11</f>
        <v>55473139.134984426</v>
      </c>
      <c r="H80" s="164">
        <f>((VLOOKUP($B$76,Energy_demand!$A$34:$F$66,6,FALSE )))*H11</f>
        <v>51316502.373013809</v>
      </c>
      <c r="I80" s="164">
        <f>((VLOOKUP($B$76,Energy_demand!$A$34:$F$66,6,FALSE )))*I11</f>
        <v>43806888.921743214</v>
      </c>
      <c r="J80" s="164">
        <f>((VLOOKUP($B$76,Energy_demand!$A$34:$F$66,6,FALSE )))*J11</f>
        <v>35310922.753892079</v>
      </c>
      <c r="K80" s="164">
        <f>((VLOOKUP($B$76,Energy_demand!$A$34:$F$66,6,FALSE )))*K11</f>
        <v>27116809.215009741</v>
      </c>
      <c r="L80" s="164">
        <f>((VLOOKUP($B$76,Energy_demand!$A$34:$F$66,6,FALSE )))*L11</f>
        <v>19946288.993605644</v>
      </c>
      <c r="M80" s="164">
        <f>((VLOOKUP($B$76,Energy_demand!$A$34:$F$66,6,FALSE )))*M11</f>
        <v>14105723.350981051</v>
      </c>
      <c r="N80" s="164">
        <f>((VLOOKUP($B$76,Energy_demand!$A$34:$F$66,6,FALSE )))*N11</f>
        <v>9617220.4770563263</v>
      </c>
      <c r="O80" s="164">
        <f>((VLOOKUP($B$76,Energy_demand!$A$34:$F$66,6,FALSE )))*O11</f>
        <v>6335479.1468893867</v>
      </c>
      <c r="P80" s="164">
        <f>((VLOOKUP($B$76,Energy_demand!$A$34:$F$66,6,FALSE )))*P11</f>
        <v>4039842.7387578003</v>
      </c>
      <c r="Q80" s="164">
        <f>((VLOOKUP($B$76,Energy_demand!$A$34:$F$66,6,FALSE )))*Q11</f>
        <v>2497224.5148397968</v>
      </c>
      <c r="R80" s="164">
        <f>((VLOOKUP($B$76,Energy_demand!$A$34:$F$66,6,FALSE )))*R11</f>
        <v>1498363.0997596909</v>
      </c>
      <c r="S80" s="164">
        <f>((VLOOKUP($B$76,Energy_demand!$A$34:$F$66,6,FALSE )))*S11</f>
        <v>873630.35028764163</v>
      </c>
      <c r="T80" s="164">
        <f>((VLOOKUP($B$76,Energy_demand!$A$34:$F$66,6,FALSE )))*T11</f>
        <v>495468.5448211871</v>
      </c>
      <c r="U80" s="164">
        <f>((VLOOKUP($B$76,Energy_demand!$A$34:$F$66,6,FALSE )))*U11</f>
        <v>273565.65668842301</v>
      </c>
      <c r="V80" s="164">
        <f>((VLOOKUP($B$76,Energy_demand!$A$34:$F$66,6,FALSE )))*V11</f>
        <v>147165.04677661872</v>
      </c>
      <c r="W80" s="164">
        <f>((VLOOKUP($B$76,Energy_demand!$A$34:$F$66,6,FALSE )))*W11</f>
        <v>77188.636236738821</v>
      </c>
      <c r="X80" s="164">
        <f>((VLOOKUP($B$76,Energy_demand!$A$34:$F$66,6,FALSE )))*X11</f>
        <v>39499.183936349371</v>
      </c>
      <c r="Y80" s="164">
        <f>((VLOOKUP($B$76,Energy_demand!$A$34:$F$66,6,FALSE )))*Y11</f>
        <v>19731.760839280516</v>
      </c>
      <c r="Z80" s="164">
        <f>((VLOOKUP($B$76,Energy_demand!$A$34:$F$66,6,FALSE )))*Z11</f>
        <v>9627.7116926490817</v>
      </c>
      <c r="AA80" s="164">
        <f>((VLOOKUP($B$76,Energy_demand!$A$34:$F$66,6,FALSE )))*AA11</f>
        <v>4590.6970774794981</v>
      </c>
      <c r="AB80" s="164">
        <f>((VLOOKUP($B$76,Energy_demand!$A$34:$F$66,6,FALSE )))*AB11</f>
        <v>2140.1083540681761</v>
      </c>
    </row>
    <row r="81" spans="1:28">
      <c r="B81" s="163">
        <v>2012</v>
      </c>
      <c r="C81" s="164">
        <f>((VLOOKUP($B$76,Energy_demand!$A$34:$F$66,6,FALSE )))*C12</f>
        <v>0</v>
      </c>
      <c r="D81" s="164">
        <f>((VLOOKUP($B$76,Energy_demand!$A$34:$F$66,6,FALSE )))*D12</f>
        <v>0</v>
      </c>
      <c r="E81" s="164">
        <f>((VLOOKUP($B$76,Energy_demand!$A$34:$F$66,6,FALSE )))*E12</f>
        <v>0</v>
      </c>
      <c r="F81" s="164">
        <f>((VLOOKUP($B$76,Energy_demand!$A$34:$F$66,6,FALSE )))*F12</f>
        <v>0</v>
      </c>
      <c r="G81" s="164">
        <f>((VLOOKUP($B$76,Energy_demand!$A$34:$F$66,6,FALSE )))*G12</f>
        <v>0</v>
      </c>
      <c r="H81" s="164">
        <f>((VLOOKUP($B$76,Energy_demand!$A$34:$F$66,6,FALSE )))*H12</f>
        <v>131387531.37672827</v>
      </c>
      <c r="I81" s="164">
        <f>((VLOOKUP($B$76,Energy_demand!$A$34:$F$66,6,FALSE )))*I12</f>
        <v>121542582.06430225</v>
      </c>
      <c r="J81" s="164">
        <f>((VLOOKUP($B$76,Energy_demand!$A$34:$F$66,6,FALSE )))*J12</f>
        <v>103756143.64849485</v>
      </c>
      <c r="K81" s="164">
        <f>((VLOOKUP($B$76,Energy_demand!$A$34:$F$66,6,FALSE )))*K12</f>
        <v>83633539.468155891</v>
      </c>
      <c r="L81" s="164">
        <f>((VLOOKUP($B$76,Energy_demand!$A$34:$F$66,6,FALSE )))*L12</f>
        <v>64225869.981944844</v>
      </c>
      <c r="M81" s="164">
        <f>((VLOOKUP($B$76,Energy_demand!$A$34:$F$66,6,FALSE )))*M12</f>
        <v>47242570.221592106</v>
      </c>
      <c r="N81" s="164">
        <f>((VLOOKUP($B$76,Energy_demand!$A$34:$F$66,6,FALSE )))*N12</f>
        <v>33409253.528248012</v>
      </c>
      <c r="O81" s="164">
        <f>((VLOOKUP($B$76,Energy_demand!$A$34:$F$66,6,FALSE )))*O12</f>
        <v>22778282.911148008</v>
      </c>
      <c r="P81" s="164">
        <f>((VLOOKUP($B$76,Energy_demand!$A$34:$F$66,6,FALSE )))*P12</f>
        <v>15005513.987103311</v>
      </c>
      <c r="Q81" s="164">
        <f>((VLOOKUP($B$76,Energy_demand!$A$34:$F$66,6,FALSE )))*Q12</f>
        <v>9568323.9288840946</v>
      </c>
      <c r="R81" s="164">
        <f>((VLOOKUP($B$76,Energy_demand!$A$34:$F$66,6,FALSE )))*R12</f>
        <v>5914649.3134247055</v>
      </c>
      <c r="S81" s="164">
        <f>((VLOOKUP($B$76,Energy_demand!$A$34:$F$66,6,FALSE )))*S12</f>
        <v>3548856.8314904226</v>
      </c>
      <c r="T81" s="164">
        <f>((VLOOKUP($B$76,Energy_demand!$A$34:$F$66,6,FALSE )))*T12</f>
        <v>2069184.0564632909</v>
      </c>
      <c r="U81" s="164">
        <f>((VLOOKUP($B$76,Energy_demand!$A$34:$F$66,6,FALSE )))*U12</f>
        <v>1173511.901327051</v>
      </c>
      <c r="V81" s="164">
        <f>((VLOOKUP($B$76,Energy_demand!$A$34:$F$66,6,FALSE )))*V12</f>
        <v>647937.30555402685</v>
      </c>
      <c r="W81" s="164">
        <f>((VLOOKUP($B$76,Energy_demand!$A$34:$F$66,6,FALSE )))*W12</f>
        <v>348558.82508957462</v>
      </c>
      <c r="X81" s="164">
        <f>((VLOOKUP($B$76,Energy_demand!$A$34:$F$66,6,FALSE )))*X12</f>
        <v>182820.4519092289</v>
      </c>
      <c r="Y81" s="164">
        <f>((VLOOKUP($B$76,Energy_demand!$A$34:$F$66,6,FALSE )))*Y12</f>
        <v>93553.390879214756</v>
      </c>
      <c r="Z81" s="164">
        <f>((VLOOKUP($B$76,Energy_demand!$A$34:$F$66,6,FALSE )))*Z12</f>
        <v>46734.462603254564</v>
      </c>
      <c r="AA81" s="164">
        <f>((VLOOKUP($B$76,Energy_demand!$A$34:$F$66,6,FALSE )))*AA12</f>
        <v>22803.131242058556</v>
      </c>
      <c r="AB81" s="164">
        <f>((VLOOKUP($B$76,Energy_demand!$A$34:$F$66,6,FALSE )))*AB12</f>
        <v>10873.016485342652</v>
      </c>
    </row>
    <row r="82" spans="1:28">
      <c r="B82" s="163">
        <v>2013</v>
      </c>
      <c r="C82" s="164">
        <f>((VLOOKUP($B$76,Energy_demand!$A$34:$F$66,6,FALSE )))*C13</f>
        <v>0</v>
      </c>
      <c r="D82" s="164">
        <f>((VLOOKUP($B$76,Energy_demand!$A$34:$F$66,6,FALSE )))*D13</f>
        <v>0</v>
      </c>
      <c r="E82" s="164">
        <f>((VLOOKUP($B$76,Energy_demand!$A$34:$F$66,6,FALSE )))*E13</f>
        <v>0</v>
      </c>
      <c r="F82" s="164">
        <f>((VLOOKUP($B$76,Energy_demand!$A$34:$F$66,6,FALSE )))*F13</f>
        <v>0</v>
      </c>
      <c r="G82" s="164">
        <f>((VLOOKUP($B$76,Energy_demand!$A$34:$F$66,6,FALSE )))*G13</f>
        <v>0</v>
      </c>
      <c r="H82" s="164">
        <f>((VLOOKUP($B$76,Energy_demand!$A$34:$F$66,6,FALSE )))*H13</f>
        <v>0</v>
      </c>
      <c r="I82" s="164">
        <f>((VLOOKUP($B$76,Energy_demand!$A$34:$F$66,6,FALSE )))*I13</f>
        <v>214765753.61779216</v>
      </c>
      <c r="J82" s="164">
        <f>((VLOOKUP($B$76,Energy_demand!$A$34:$F$66,6,FALSE )))*J13</f>
        <v>198673222.33832374</v>
      </c>
      <c r="K82" s="164">
        <f>((VLOOKUP($B$76,Energy_demand!$A$34:$F$66,6,FALSE )))*K13</f>
        <v>169599551.41597074</v>
      </c>
      <c r="L82" s="164">
        <f>((VLOOKUP($B$76,Energy_demand!$A$34:$F$66,6,FALSE )))*L13</f>
        <v>136707189.36106959</v>
      </c>
      <c r="M82" s="164">
        <f>((VLOOKUP($B$76,Energy_demand!$A$34:$F$66,6,FALSE )))*M13</f>
        <v>104983457.89662859</v>
      </c>
      <c r="N82" s="164">
        <f>((VLOOKUP($B$76,Energy_demand!$A$34:$F$66,6,FALSE )))*N13</f>
        <v>77222595.555051252</v>
      </c>
      <c r="O82" s="164">
        <f>((VLOOKUP($B$76,Energy_demand!$A$34:$F$66,6,FALSE )))*O13</f>
        <v>54610688.218417585</v>
      </c>
      <c r="P82" s="164">
        <f>((VLOOKUP($B$76,Energy_demand!$A$34:$F$66,6,FALSE )))*P13</f>
        <v>37233328.340001538</v>
      </c>
      <c r="Q82" s="164">
        <f>((VLOOKUP($B$76,Energy_demand!$A$34:$F$66,6,FALSE )))*Q13</f>
        <v>24527978.310378484</v>
      </c>
      <c r="R82" s="164">
        <f>((VLOOKUP($B$76,Energy_demand!$A$34:$F$66,6,FALSE )))*R13</f>
        <v>15640360.070041815</v>
      </c>
      <c r="S82" s="164">
        <f>((VLOOKUP($B$76,Energy_demand!$A$34:$F$66,6,FALSE )))*S13</f>
        <v>9668072.0299126245</v>
      </c>
      <c r="T82" s="164">
        <f>((VLOOKUP($B$76,Energy_demand!$A$34:$F$66,6,FALSE )))*T13</f>
        <v>5800953.1339112204</v>
      </c>
      <c r="U82" s="164">
        <f>((VLOOKUP($B$76,Energy_demand!$A$34:$F$66,6,FALSE )))*U13</f>
        <v>3382283.4526516604</v>
      </c>
      <c r="V82" s="164">
        <f>((VLOOKUP($B$76,Energy_demand!$A$34:$F$66,6,FALSE )))*V13</f>
        <v>1918219.8282217861</v>
      </c>
      <c r="W82" s="164">
        <f>((VLOOKUP($B$76,Energy_demand!$A$34:$F$66,6,FALSE )))*W13</f>
        <v>1059116.814710469</v>
      </c>
      <c r="X82" s="164">
        <f>((VLOOKUP($B$76,Energy_demand!$A$34:$F$66,6,FALSE )))*X13</f>
        <v>569753.4459023549</v>
      </c>
      <c r="Y82" s="164">
        <f>((VLOOKUP($B$76,Energy_demand!$A$34:$F$66,6,FALSE )))*Y13</f>
        <v>298837.88605823024</v>
      </c>
      <c r="Z82" s="164">
        <f>((VLOOKUP($B$76,Energy_demand!$A$34:$F$66,6,FALSE )))*Z13</f>
        <v>152922.15543699</v>
      </c>
      <c r="AA82" s="164">
        <f>((VLOOKUP($B$76,Energy_demand!$A$34:$F$66,6,FALSE )))*AA13</f>
        <v>76392.04402228586</v>
      </c>
      <c r="AB82" s="164">
        <f>((VLOOKUP($B$76,Energy_demand!$A$34:$F$66,6,FALSE )))*AB13</f>
        <v>37273.94536399332</v>
      </c>
    </row>
    <row r="83" spans="1:28">
      <c r="B83" s="163">
        <v>2014</v>
      </c>
      <c r="C83" s="164">
        <f>((VLOOKUP($B$76,Energy_demand!$A$34:$F$66,6,FALSE )))*C14</f>
        <v>0</v>
      </c>
      <c r="D83" s="164">
        <f>((VLOOKUP($B$76,Energy_demand!$A$34:$F$66,6,FALSE )))*D14</f>
        <v>0</v>
      </c>
      <c r="E83" s="164">
        <f>((VLOOKUP($B$76,Energy_demand!$A$34:$F$66,6,FALSE )))*E14</f>
        <v>0</v>
      </c>
      <c r="F83" s="164">
        <f>((VLOOKUP($B$76,Energy_demand!$A$34:$F$66,6,FALSE )))*F14</f>
        <v>0</v>
      </c>
      <c r="G83" s="164">
        <f>((VLOOKUP($B$76,Energy_demand!$A$34:$F$66,6,FALSE )))*G14</f>
        <v>0</v>
      </c>
      <c r="H83" s="164">
        <f>((VLOOKUP($B$76,Energy_demand!$A$34:$F$66,6,FALSE )))*H14</f>
        <v>0</v>
      </c>
      <c r="I83" s="164">
        <f>((VLOOKUP($B$76,Energy_demand!$A$34:$F$66,6,FALSE )))*I14</f>
        <v>0</v>
      </c>
      <c r="J83" s="164">
        <f>((VLOOKUP($B$76,Energy_demand!$A$34:$F$66,6,FALSE )))*J14</f>
        <v>221934316.40463656</v>
      </c>
      <c r="K83" s="164">
        <f>((VLOOKUP($B$76,Energy_demand!$A$34:$F$66,6,FALSE )))*K14</f>
        <v>205304640.26416099</v>
      </c>
      <c r="L83" s="164">
        <f>((VLOOKUP($B$76,Energy_demand!$A$34:$F$66,6,FALSE )))*L14</f>
        <v>175260533.26463974</v>
      </c>
      <c r="M83" s="164">
        <f>((VLOOKUP($B$76,Energy_demand!$A$34:$F$66,6,FALSE )))*M14</f>
        <v>141270272.87806228</v>
      </c>
      <c r="N83" s="164">
        <f>((VLOOKUP($B$76,Energy_demand!$A$34:$F$66,6,FALSE )))*N14</f>
        <v>108487650.24030806</v>
      </c>
      <c r="O83" s="164">
        <f>((VLOOKUP($B$76,Energy_demand!$A$34:$F$66,6,FALSE )))*O14</f>
        <v>79800171.427714109</v>
      </c>
      <c r="P83" s="164">
        <f>((VLOOKUP($B$76,Energy_demand!$A$34:$F$66,6,FALSE )))*P14</f>
        <v>56433512.112506442</v>
      </c>
      <c r="Q83" s="164">
        <f>((VLOOKUP($B$76,Energy_demand!$A$34:$F$66,6,FALSE )))*Q14</f>
        <v>38476121.697286524</v>
      </c>
      <c r="R83" s="164">
        <f>((VLOOKUP($B$76,Energy_demand!$A$34:$F$66,6,FALSE )))*R14</f>
        <v>25346685.90034752</v>
      </c>
      <c r="S83" s="164">
        <f>((VLOOKUP($B$76,Energy_demand!$A$34:$F$66,6,FALSE )))*S14</f>
        <v>16162412.125745637</v>
      </c>
      <c r="T83" s="164">
        <f>((VLOOKUP($B$76,Energy_demand!$A$34:$F$66,6,FALSE )))*T14</f>
        <v>9990777.9558187798</v>
      </c>
      <c r="U83" s="164">
        <f>((VLOOKUP($B$76,Energy_demand!$A$34:$F$66,6,FALSE )))*U14</f>
        <v>5994580.3582869945</v>
      </c>
      <c r="V83" s="164">
        <f>((VLOOKUP($B$76,Energy_demand!$A$34:$F$66,6,FALSE )))*V14</f>
        <v>3495179.0651262077</v>
      </c>
      <c r="W83" s="164">
        <f>((VLOOKUP($B$76,Energy_demand!$A$34:$F$66,6,FALSE )))*W14</f>
        <v>1982247.1651967936</v>
      </c>
      <c r="X83" s="164">
        <f>((VLOOKUP($B$76,Energy_demand!$A$34:$F$66,6,FALSE )))*X14</f>
        <v>1094468.5654293771</v>
      </c>
      <c r="Y83" s="164">
        <f>((VLOOKUP($B$76,Energy_demand!$A$34:$F$66,6,FALSE )))*Y14</f>
        <v>588770.97211950319</v>
      </c>
      <c r="Z83" s="164">
        <f>((VLOOKUP($B$76,Energy_demand!$A$34:$F$66,6,FALSE )))*Z14</f>
        <v>308812.65211478097</v>
      </c>
      <c r="AA83" s="164">
        <f>((VLOOKUP($B$76,Energy_demand!$A$34:$F$66,6,FALSE )))*AA14</f>
        <v>158026.47050716897</v>
      </c>
      <c r="AB83" s="164">
        <f>((VLOOKUP($B$76,Energy_demand!$A$34:$F$66,6,FALSE )))*AB14</f>
        <v>78941.897314835063</v>
      </c>
    </row>
    <row r="84" spans="1:28">
      <c r="B84" s="163">
        <v>2015</v>
      </c>
      <c r="C84" s="164">
        <f>((VLOOKUP($B$76,Energy_demand!$A$34:$F$66,6,FALSE )))*C15</f>
        <v>0</v>
      </c>
      <c r="D84" s="164">
        <f>((VLOOKUP($B$76,Energy_demand!$A$34:$F$66,6,FALSE )))*D15</f>
        <v>0</v>
      </c>
      <c r="E84" s="164">
        <f>((VLOOKUP($B$76,Energy_demand!$A$34:$F$66,6,FALSE )))*E15</f>
        <v>0</v>
      </c>
      <c r="F84" s="164">
        <f>((VLOOKUP($B$76,Energy_demand!$A$34:$F$66,6,FALSE )))*F15</f>
        <v>0</v>
      </c>
      <c r="G84" s="164">
        <f>((VLOOKUP($B$76,Energy_demand!$A$34:$F$66,6,FALSE )))*G15</f>
        <v>0</v>
      </c>
      <c r="H84" s="164">
        <f>((VLOOKUP($B$76,Energy_demand!$A$34:$F$66,6,FALSE )))*H15</f>
        <v>0</v>
      </c>
      <c r="I84" s="164">
        <f>((VLOOKUP($B$76,Energy_demand!$A$34:$F$66,6,FALSE )))*I15</f>
        <v>0</v>
      </c>
      <c r="J84" s="164">
        <f>((VLOOKUP($B$76,Energy_demand!$A$34:$F$66,6,FALSE )))*J15</f>
        <v>0</v>
      </c>
      <c r="K84" s="164">
        <f>((VLOOKUP($B$76,Energy_demand!$A$34:$F$66,6,FALSE )))*K15</f>
        <v>205672596.26982972</v>
      </c>
      <c r="L84" s="164">
        <f>((VLOOKUP($B$76,Energy_demand!$A$34:$F$66,6,FALSE )))*L15</f>
        <v>190261420.9169288</v>
      </c>
      <c r="M84" s="164">
        <f>((VLOOKUP($B$76,Energy_demand!$A$34:$F$66,6,FALSE )))*M15</f>
        <v>162418725.88307953</v>
      </c>
      <c r="N84" s="164">
        <f>((VLOOKUP($B$76,Energy_demand!$A$34:$F$66,6,FALSE )))*N15</f>
        <v>130919022.66075768</v>
      </c>
      <c r="O84" s="164">
        <f>((VLOOKUP($B$76,Energy_demand!$A$34:$F$66,6,FALSE )))*O15</f>
        <v>100538470.34388244</v>
      </c>
      <c r="P84" s="164">
        <f>((VLOOKUP($B$76,Energy_demand!$A$34:$F$66,6,FALSE )))*P15</f>
        <v>73952999.726240441</v>
      </c>
      <c r="Q84" s="164">
        <f>((VLOOKUP($B$76,Energy_demand!$A$34:$F$66,6,FALSE )))*Q15</f>
        <v>52298477.949855246</v>
      </c>
      <c r="R84" s="164">
        <f>((VLOOKUP($B$76,Energy_demand!$A$34:$F$66,6,FALSE )))*R15</f>
        <v>35656873.493357249</v>
      </c>
      <c r="S84" s="164">
        <f>((VLOOKUP($B$76,Energy_demand!$A$34:$F$66,6,FALSE )))*S15</f>
        <v>23489466.52511216</v>
      </c>
      <c r="T84" s="164">
        <f>((VLOOKUP($B$76,Energy_demand!$A$34:$F$66,6,FALSE )))*T15</f>
        <v>14978149.020561455</v>
      </c>
      <c r="U84" s="164">
        <f>((VLOOKUP($B$76,Energy_demand!$A$34:$F$66,6,FALSE )))*U15</f>
        <v>9258726.9702906664</v>
      </c>
      <c r="V84" s="164">
        <f>((VLOOKUP($B$76,Energy_demand!$A$34:$F$66,6,FALSE )))*V15</f>
        <v>5555341.4443087662</v>
      </c>
      <c r="W84" s="164">
        <f>((VLOOKUP($B$76,Energy_demand!$A$34:$F$66,6,FALSE )))*W15</f>
        <v>3239077.9596329485</v>
      </c>
      <c r="X84" s="164">
        <f>((VLOOKUP($B$76,Energy_demand!$A$34:$F$66,6,FALSE )))*X15</f>
        <v>1837002.6209521207</v>
      </c>
      <c r="Y84" s="164">
        <f>((VLOOKUP($B$76,Energy_demand!$A$34:$F$66,6,FALSE )))*Y15</f>
        <v>1014273.9303874201</v>
      </c>
      <c r="Z84" s="164">
        <f>((VLOOKUP($B$76,Energy_demand!$A$34:$F$66,6,FALSE )))*Z15</f>
        <v>545630.15042409149</v>
      </c>
      <c r="AA84" s="164">
        <f>((VLOOKUP($B$76,Energy_demand!$A$34:$F$66,6,FALSE )))*AA15</f>
        <v>286185.12427621946</v>
      </c>
      <c r="AB84" s="164">
        <f>((VLOOKUP($B$76,Energy_demand!$A$34:$F$66,6,FALSE )))*AB15</f>
        <v>146447.44893488724</v>
      </c>
    </row>
    <row r="85" spans="1:28">
      <c r="A85" s="21"/>
      <c r="B85" s="163">
        <v>2016</v>
      </c>
      <c r="C85" s="164">
        <f>((VLOOKUP($B$76,Energy_demand!$A$34:$F$66,6,FALSE )))*C16</f>
        <v>0</v>
      </c>
      <c r="D85" s="164">
        <f>((VLOOKUP($B$76,Energy_demand!$A$34:$F$66,6,FALSE )))*D16</f>
        <v>0</v>
      </c>
      <c r="E85" s="164">
        <f>((VLOOKUP($B$76,Energy_demand!$A$34:$F$66,6,FALSE )))*E16</f>
        <v>0</v>
      </c>
      <c r="F85" s="164">
        <f>((VLOOKUP($B$76,Energy_demand!$A$34:$F$66,6,FALSE )))*F16</f>
        <v>0</v>
      </c>
      <c r="G85" s="164">
        <f>((VLOOKUP($B$76,Energy_demand!$A$34:$F$66,6,FALSE )))*G16</f>
        <v>0</v>
      </c>
      <c r="H85" s="164">
        <f>((VLOOKUP($B$76,Energy_demand!$A$34:$F$66,6,FALSE )))*H16</f>
        <v>0</v>
      </c>
      <c r="I85" s="164">
        <f>((VLOOKUP($B$76,Energy_demand!$A$34:$F$66,6,FALSE )))*I16</f>
        <v>0</v>
      </c>
      <c r="J85" s="164">
        <f>((VLOOKUP($B$76,Energy_demand!$A$34:$F$66,6,FALSE )))*J16</f>
        <v>0</v>
      </c>
      <c r="K85" s="164">
        <f>((VLOOKUP($B$76,Energy_demand!$A$34:$F$66,6,FALSE )))*K16</f>
        <v>0</v>
      </c>
      <c r="L85" s="164">
        <f>((VLOOKUP($B$76,Energy_demand!$A$34:$F$66,6,FALSE )))*L16</f>
        <v>192204997.79920781</v>
      </c>
      <c r="M85" s="164">
        <f>((VLOOKUP($B$76,Energy_demand!$A$34:$F$66,6,FALSE )))*M16</f>
        <v>177802957.96254706</v>
      </c>
      <c r="N85" s="164">
        <f>((VLOOKUP($B$76,Energy_demand!$A$34:$F$66,6,FALSE )))*N16</f>
        <v>151783423.83518979</v>
      </c>
      <c r="O85" s="164">
        <f>((VLOOKUP($B$76,Energy_demand!$A$34:$F$66,6,FALSE )))*O16</f>
        <v>122346345.20474806</v>
      </c>
      <c r="P85" s="164">
        <f>((VLOOKUP($B$76,Energy_demand!$A$34:$F$66,6,FALSE )))*P16</f>
        <v>93955134.624885842</v>
      </c>
      <c r="Q85" s="164">
        <f>((VLOOKUP($B$76,Energy_demand!$A$34:$F$66,6,FALSE )))*Q16</f>
        <v>69110500.900075138</v>
      </c>
      <c r="R85" s="164">
        <f>((VLOOKUP($B$76,Energy_demand!$A$34:$F$66,6,FALSE )))*R16</f>
        <v>48873933.725551873</v>
      </c>
      <c r="S85" s="164">
        <f>((VLOOKUP($B$76,Energy_demand!$A$34:$F$66,6,FALSE )))*S16</f>
        <v>33322034.221448179</v>
      </c>
      <c r="T85" s="164">
        <f>((VLOOKUP($B$76,Energy_demand!$A$34:$F$66,6,FALSE )))*T16</f>
        <v>21951358.341587808</v>
      </c>
      <c r="U85" s="164">
        <f>((VLOOKUP($B$76,Energy_demand!$A$34:$F$66,6,FALSE )))*U16</f>
        <v>13997368.398832845</v>
      </c>
      <c r="V85" s="164">
        <f>((VLOOKUP($B$76,Energy_demand!$A$34:$F$66,6,FALSE )))*V16</f>
        <v>8652458.4666276723</v>
      </c>
      <c r="W85" s="164">
        <f>((VLOOKUP($B$76,Energy_demand!$A$34:$F$66,6,FALSE )))*W16</f>
        <v>5191573.4494661279</v>
      </c>
      <c r="X85" s="164">
        <f>((VLOOKUP($B$76,Energy_demand!$A$34:$F$66,6,FALSE )))*X16</f>
        <v>3026980.6643853714</v>
      </c>
      <c r="Y85" s="164">
        <f>((VLOOKUP($B$76,Energy_demand!$A$34:$F$66,6,FALSE )))*Y16</f>
        <v>1716714.2882468444</v>
      </c>
      <c r="Z85" s="164">
        <f>((VLOOKUP($B$76,Energy_demand!$A$34:$F$66,6,FALSE )))*Z16</f>
        <v>947858.49983702996</v>
      </c>
      <c r="AA85" s="164">
        <f>((VLOOKUP($B$76,Energy_demand!$A$34:$F$66,6,FALSE )))*AA16</f>
        <v>509901.87202118675</v>
      </c>
      <c r="AB85" s="164">
        <f>((VLOOKUP($B$76,Energy_demand!$A$34:$F$66,6,FALSE )))*AB16</f>
        <v>267445.50406468357</v>
      </c>
    </row>
    <row r="86" spans="1:28">
      <c r="B86" s="163">
        <v>2017</v>
      </c>
      <c r="C86" s="164">
        <f>((VLOOKUP($B$76,Energy_demand!$A$34:$F$66,6,FALSE )))*C17</f>
        <v>0</v>
      </c>
      <c r="D86" s="164">
        <f>((VLOOKUP($B$76,Energy_demand!$A$34:$F$66,6,FALSE )))*D17</f>
        <v>0</v>
      </c>
      <c r="E86" s="164">
        <f>((VLOOKUP($B$76,Energy_demand!$A$34:$F$66,6,FALSE )))*E17</f>
        <v>0</v>
      </c>
      <c r="F86" s="164">
        <f>((VLOOKUP($B$76,Energy_demand!$A$34:$F$66,6,FALSE )))*F17</f>
        <v>0</v>
      </c>
      <c r="G86" s="164">
        <f>((VLOOKUP($B$76,Energy_demand!$A$34:$F$66,6,FALSE )))*G17</f>
        <v>0</v>
      </c>
      <c r="H86" s="164">
        <f>((VLOOKUP($B$76,Energy_demand!$A$34:$F$66,6,FALSE )))*H17</f>
        <v>0</v>
      </c>
      <c r="I86" s="164">
        <f>((VLOOKUP($B$76,Energy_demand!$A$34:$F$66,6,FALSE )))*I17</f>
        <v>0</v>
      </c>
      <c r="J86" s="164">
        <f>((VLOOKUP($B$76,Energy_demand!$A$34:$F$66,6,FALSE )))*J17</f>
        <v>0</v>
      </c>
      <c r="K86" s="164">
        <f>((VLOOKUP($B$76,Energy_demand!$A$34:$F$66,6,FALSE )))*K17</f>
        <v>0</v>
      </c>
      <c r="L86" s="164">
        <f>((VLOOKUP($B$76,Energy_demand!$A$34:$F$66,6,FALSE )))*L17</f>
        <v>0</v>
      </c>
      <c r="M86" s="164">
        <f>((VLOOKUP($B$76,Energy_demand!$A$34:$F$66,6,FALSE )))*M17</f>
        <v>159022848.19300103</v>
      </c>
      <c r="N86" s="164">
        <f>((VLOOKUP($B$76,Energy_demand!$A$34:$F$66,6,FALSE )))*N17</f>
        <v>147107167.43111247</v>
      </c>
      <c r="O86" s="164">
        <f>((VLOOKUP($B$76,Energy_demand!$A$34:$F$66,6,FALSE )))*O17</f>
        <v>125579629.26631457</v>
      </c>
      <c r="P86" s="164">
        <f>((VLOOKUP($B$76,Energy_demand!$A$34:$F$66,6,FALSE )))*P17</f>
        <v>101224549.32617439</v>
      </c>
      <c r="Q86" s="164">
        <f>((VLOOKUP($B$76,Energy_demand!$A$34:$F$66,6,FALSE )))*Q17</f>
        <v>77734779.435937107</v>
      </c>
      <c r="R86" s="164">
        <f>((VLOOKUP($B$76,Energy_demand!$A$34:$F$66,6,FALSE )))*R17</f>
        <v>57179307.609139644</v>
      </c>
      <c r="S86" s="164">
        <f>((VLOOKUP($B$76,Energy_demand!$A$34:$F$66,6,FALSE )))*S17</f>
        <v>40436368.629459552</v>
      </c>
      <c r="T86" s="164">
        <f>((VLOOKUP($B$76,Energy_demand!$A$34:$F$66,6,FALSE )))*T17</f>
        <v>27569339.247957785</v>
      </c>
      <c r="U86" s="164">
        <f>((VLOOKUP($B$76,Energy_demand!$A$34:$F$66,6,FALSE )))*U17</f>
        <v>18161689.68109357</v>
      </c>
      <c r="V86" s="164">
        <f>((VLOOKUP($B$76,Energy_demand!$A$34:$F$66,6,FALSE )))*V17</f>
        <v>11580871.545881726</v>
      </c>
      <c r="W86" s="164">
        <f>((VLOOKUP($B$76,Energy_demand!$A$34:$F$66,6,FALSE )))*W17</f>
        <v>7158703.4936114969</v>
      </c>
      <c r="X86" s="164">
        <f>((VLOOKUP($B$76,Energy_demand!$A$34:$F$66,6,FALSE )))*X17</f>
        <v>4295303.4832097869</v>
      </c>
      <c r="Y86" s="164">
        <f>((VLOOKUP($B$76,Energy_demand!$A$34:$F$66,6,FALSE )))*Y17</f>
        <v>2504404.6314475606</v>
      </c>
      <c r="Z86" s="164">
        <f>((VLOOKUP($B$76,Energy_demand!$A$34:$F$66,6,FALSE )))*Z17</f>
        <v>1420341.8161676903</v>
      </c>
      <c r="AA86" s="164">
        <f>((VLOOKUP($B$76,Energy_demand!$A$34:$F$66,6,FALSE )))*AA17</f>
        <v>784220.80619097711</v>
      </c>
      <c r="AB86" s="164">
        <f>((VLOOKUP($B$76,Energy_demand!$A$34:$F$66,6,FALSE )))*AB17</f>
        <v>421872.73440444551</v>
      </c>
    </row>
    <row r="87" spans="1:28">
      <c r="B87" s="163">
        <v>2018</v>
      </c>
      <c r="C87" s="164">
        <f>((VLOOKUP($B$76,Energy_demand!$A$34:$F$66,6,FALSE )))*C18</f>
        <v>0</v>
      </c>
      <c r="D87" s="164">
        <f>((VLOOKUP($B$76,Energy_demand!$A$34:$F$66,6,FALSE )))*D18</f>
        <v>0</v>
      </c>
      <c r="E87" s="164">
        <f>((VLOOKUP($B$76,Energy_demand!$A$34:$F$66,6,FALSE )))*E18</f>
        <v>0</v>
      </c>
      <c r="F87" s="164">
        <f>((VLOOKUP($B$76,Energy_demand!$A$34:$F$66,6,FALSE )))*F18</f>
        <v>0</v>
      </c>
      <c r="G87" s="164">
        <f>((VLOOKUP($B$76,Energy_demand!$A$34:$F$66,6,FALSE )))*G18</f>
        <v>0</v>
      </c>
      <c r="H87" s="164">
        <f>((VLOOKUP($B$76,Energy_demand!$A$34:$F$66,6,FALSE )))*H18</f>
        <v>0</v>
      </c>
      <c r="I87" s="164">
        <f>((VLOOKUP($B$76,Energy_demand!$A$34:$F$66,6,FALSE )))*I18</f>
        <v>0</v>
      </c>
      <c r="J87" s="164">
        <f>((VLOOKUP($B$76,Energy_demand!$A$34:$F$66,6,FALSE )))*J18</f>
        <v>0</v>
      </c>
      <c r="K87" s="164">
        <f>((VLOOKUP($B$76,Energy_demand!$A$34:$F$66,6,FALSE )))*K18</f>
        <v>0</v>
      </c>
      <c r="L87" s="164">
        <f>((VLOOKUP($B$76,Energy_demand!$A$34:$F$66,6,FALSE )))*L18</f>
        <v>0</v>
      </c>
      <c r="M87" s="164">
        <f>((VLOOKUP($B$76,Energy_demand!$A$34:$F$66,6,FALSE )))*M18</f>
        <v>0</v>
      </c>
      <c r="N87" s="164">
        <f>((VLOOKUP($B$76,Energy_demand!$A$34:$F$66,6,FALSE )))*N18</f>
        <v>162313653.06623489</v>
      </c>
      <c r="O87" s="164">
        <f>((VLOOKUP($B$76,Energy_demand!$A$34:$F$66,6,FALSE )))*O18</f>
        <v>150151390.25173753</v>
      </c>
      <c r="P87" s="164">
        <f>((VLOOKUP($B$76,Energy_demand!$A$34:$F$66,6,FALSE )))*P18</f>
        <v>128178363.10025348</v>
      </c>
      <c r="Q87" s="164">
        <f>((VLOOKUP($B$76,Energy_demand!$A$34:$F$66,6,FALSE )))*Q18</f>
        <v>103319281.27192087</v>
      </c>
      <c r="R87" s="164">
        <f>((VLOOKUP($B$76,Energy_demand!$A$34:$F$66,6,FALSE )))*R18</f>
        <v>79343416.143770888</v>
      </c>
      <c r="S87" s="164">
        <f>((VLOOKUP($B$76,Energy_demand!$A$34:$F$66,6,FALSE )))*S18</f>
        <v>58362571.185829721</v>
      </c>
      <c r="T87" s="164">
        <f>((VLOOKUP($B$76,Energy_demand!$A$34:$F$66,6,FALSE )))*T18</f>
        <v>41273155.295361839</v>
      </c>
      <c r="U87" s="164">
        <f>((VLOOKUP($B$76,Energy_demand!$A$34:$F$66,6,FALSE )))*U18</f>
        <v>28139856.736356094</v>
      </c>
      <c r="V87" s="164">
        <f>((VLOOKUP($B$76,Energy_demand!$A$34:$F$66,6,FALSE )))*V18</f>
        <v>18537526.094463345</v>
      </c>
      <c r="W87" s="164">
        <f>((VLOOKUP($B$76,Energy_demand!$A$34:$F$66,6,FALSE )))*W18</f>
        <v>11820525.085939249</v>
      </c>
      <c r="X87" s="164">
        <f>((VLOOKUP($B$76,Energy_demand!$A$34:$F$66,6,FALSE )))*X18</f>
        <v>7306845.0758464048</v>
      </c>
      <c r="Y87" s="164">
        <f>((VLOOKUP($B$76,Energy_demand!$A$34:$F$66,6,FALSE )))*Y18</f>
        <v>4384190.11676706</v>
      </c>
      <c r="Z87" s="164">
        <f>((VLOOKUP($B$76,Energy_demand!$A$34:$F$66,6,FALSE )))*Z18</f>
        <v>2556230.5612392002</v>
      </c>
      <c r="AA87" s="164">
        <f>((VLOOKUP($B$76,Energy_demand!$A$34:$F$66,6,FALSE )))*AA18</f>
        <v>1449734.2451388384</v>
      </c>
      <c r="AB87" s="164">
        <f>((VLOOKUP($B$76,Energy_demand!$A$34:$F$66,6,FALSE )))*AB18</f>
        <v>800449.40277335315</v>
      </c>
    </row>
    <row r="88" spans="1:28">
      <c r="B88" s="163">
        <v>2019</v>
      </c>
      <c r="C88" s="164">
        <f>((VLOOKUP($B$76,Energy_demand!$A$34:$F$66,6,FALSE )))*C19</f>
        <v>0</v>
      </c>
      <c r="D88" s="164">
        <f>((VLOOKUP($B$76,Energy_demand!$A$34:$F$66,6,FALSE )))*D19</f>
        <v>0</v>
      </c>
      <c r="E88" s="164">
        <f>((VLOOKUP($B$76,Energy_demand!$A$34:$F$66,6,FALSE )))*E19</f>
        <v>0</v>
      </c>
      <c r="F88" s="164">
        <f>((VLOOKUP($B$76,Energy_demand!$A$34:$F$66,6,FALSE )))*F19</f>
        <v>0</v>
      </c>
      <c r="G88" s="164">
        <f>((VLOOKUP($B$76,Energy_demand!$A$34:$F$66,6,FALSE )))*G19</f>
        <v>0</v>
      </c>
      <c r="H88" s="164">
        <f>((VLOOKUP($B$76,Energy_demand!$A$34:$F$66,6,FALSE )))*H19</f>
        <v>0</v>
      </c>
      <c r="I88" s="164">
        <f>((VLOOKUP($B$76,Energy_demand!$A$34:$F$66,6,FALSE )))*I19</f>
        <v>0</v>
      </c>
      <c r="J88" s="164">
        <f>((VLOOKUP($B$76,Energy_demand!$A$34:$F$66,6,FALSE )))*J19</f>
        <v>0</v>
      </c>
      <c r="K88" s="164">
        <f>((VLOOKUP($B$76,Energy_demand!$A$34:$F$66,6,FALSE )))*K19</f>
        <v>0</v>
      </c>
      <c r="L88" s="164">
        <f>((VLOOKUP($B$76,Energy_demand!$A$34:$F$66,6,FALSE )))*L19</f>
        <v>0</v>
      </c>
      <c r="M88" s="164">
        <f>((VLOOKUP($B$76,Energy_demand!$A$34:$F$66,6,FALSE )))*M19</f>
        <v>0</v>
      </c>
      <c r="N88" s="164">
        <f>((VLOOKUP($B$76,Energy_demand!$A$34:$F$66,6,FALSE )))*N19</f>
        <v>0</v>
      </c>
      <c r="O88" s="164">
        <f>((VLOOKUP($B$76,Energy_demand!$A$34:$F$66,6,FALSE )))*O19</f>
        <v>191259582.53937212</v>
      </c>
      <c r="P88" s="164">
        <f>((VLOOKUP($B$76,Energy_demand!$A$34:$F$66,6,FALSE )))*P19</f>
        <v>176928383.25519568</v>
      </c>
      <c r="Q88" s="164">
        <f>((VLOOKUP($B$76,Energy_demand!$A$34:$F$66,6,FALSE )))*Q19</f>
        <v>151036833.64905006</v>
      </c>
      <c r="R88" s="164">
        <f>((VLOOKUP($B$76,Energy_demand!$A$34:$F$66,6,FALSE )))*R19</f>
        <v>121744549.71001004</v>
      </c>
      <c r="S88" s="164">
        <f>((VLOOKUP($B$76,Energy_demand!$A$34:$F$66,6,FALSE )))*S19</f>
        <v>93492989.420383513</v>
      </c>
      <c r="T88" s="164">
        <f>((VLOOKUP($B$76,Energy_demand!$A$34:$F$66,6,FALSE )))*T19</f>
        <v>68770561.133086994</v>
      </c>
      <c r="U88" s="164">
        <f>((VLOOKUP($B$76,Energy_demand!$A$34:$F$66,6,FALSE )))*U19</f>
        <v>48633533.302662738</v>
      </c>
      <c r="V88" s="164">
        <f>((VLOOKUP($B$76,Energy_demand!$A$34:$F$66,6,FALSE )))*V19</f>
        <v>33158130.264722593</v>
      </c>
      <c r="W88" s="164">
        <f>((VLOOKUP($B$76,Energy_demand!$A$34:$F$66,6,FALSE )))*W19</f>
        <v>21843384.306636132</v>
      </c>
      <c r="X88" s="164">
        <f>((VLOOKUP($B$76,Energy_demand!$A$34:$F$66,6,FALSE )))*X19</f>
        <v>13928518.338567384</v>
      </c>
      <c r="Y88" s="164">
        <f>((VLOOKUP($B$76,Energy_demand!$A$34:$F$66,6,FALSE )))*Y19</f>
        <v>8609898.8747174274</v>
      </c>
      <c r="Z88" s="164">
        <f>((VLOOKUP($B$76,Energy_demand!$A$34:$F$66,6,FALSE )))*Z19</f>
        <v>5166037.2104615085</v>
      </c>
      <c r="AA88" s="164">
        <f>((VLOOKUP($B$76,Energy_demand!$A$34:$F$66,6,FALSE )))*AA19</f>
        <v>3012091.5941525195</v>
      </c>
      <c r="AB88" s="164">
        <f>((VLOOKUP($B$76,Energy_demand!$A$34:$F$66,6,FALSE )))*AB19</f>
        <v>1708270.1379725521</v>
      </c>
    </row>
    <row r="89" spans="1:28">
      <c r="B89" s="163">
        <v>2020</v>
      </c>
      <c r="C89" s="164">
        <f>((VLOOKUP($B$76,Energy_demand!$A$34:$F$66,6,FALSE )))*C20</f>
        <v>0</v>
      </c>
      <c r="D89" s="164">
        <f>((VLOOKUP($B$76,Energy_demand!$A$34:$F$66,6,FALSE )))*D20</f>
        <v>0</v>
      </c>
      <c r="E89" s="164">
        <f>((VLOOKUP($B$76,Energy_demand!$A$34:$F$66,6,FALSE )))*E20</f>
        <v>0</v>
      </c>
      <c r="F89" s="164">
        <f>((VLOOKUP($B$76,Energy_demand!$A$34:$F$66,6,FALSE )))*F20</f>
        <v>0</v>
      </c>
      <c r="G89" s="164">
        <f>((VLOOKUP($B$76,Energy_demand!$A$34:$F$66,6,FALSE )))*G20</f>
        <v>0</v>
      </c>
      <c r="H89" s="164">
        <f>((VLOOKUP($B$76,Energy_demand!$A$34:$F$66,6,FALSE )))*H20</f>
        <v>0</v>
      </c>
      <c r="I89" s="164">
        <f>((VLOOKUP($B$76,Energy_demand!$A$34:$F$66,6,FALSE )))*I20</f>
        <v>0</v>
      </c>
      <c r="J89" s="164">
        <f>((VLOOKUP($B$76,Energy_demand!$A$34:$F$66,6,FALSE )))*J20</f>
        <v>0</v>
      </c>
      <c r="K89" s="164">
        <f>((VLOOKUP($B$76,Energy_demand!$A$34:$F$66,6,FALSE )))*K20</f>
        <v>0</v>
      </c>
      <c r="L89" s="164">
        <f>((VLOOKUP($B$76,Energy_demand!$A$34:$F$66,6,FALSE )))*L20</f>
        <v>0</v>
      </c>
      <c r="M89" s="164">
        <f>((VLOOKUP($B$76,Energy_demand!$A$34:$F$66,6,FALSE )))*M20</f>
        <v>0</v>
      </c>
      <c r="N89" s="164">
        <f>((VLOOKUP($B$76,Energy_demand!$A$34:$F$66,6,FALSE )))*N20</f>
        <v>0</v>
      </c>
      <c r="O89" s="164">
        <f>((VLOOKUP($B$76,Energy_demand!$A$34:$F$66,6,FALSE )))*O20</f>
        <v>0</v>
      </c>
      <c r="P89" s="164">
        <f>((VLOOKUP($B$76,Energy_demand!$A$34:$F$66,6,FALSE )))*P20</f>
        <v>216488861.23774999</v>
      </c>
      <c r="Q89" s="164">
        <f>((VLOOKUP($B$76,Energy_demand!$A$34:$F$66,6,FALSE )))*Q20</f>
        <v>200267216.43433768</v>
      </c>
      <c r="R89" s="164">
        <f>((VLOOKUP($B$76,Energy_demand!$A$34:$F$66,6,FALSE )))*R20</f>
        <v>170960281.76735801</v>
      </c>
      <c r="S89" s="164">
        <f>((VLOOKUP($B$76,Energy_demand!$A$34:$F$66,6,FALSE )))*S20</f>
        <v>137804017.86246231</v>
      </c>
      <c r="T89" s="164">
        <f>((VLOOKUP($B$76,Energy_demand!$A$34:$F$66,6,FALSE )))*T20</f>
        <v>105825760.69967763</v>
      </c>
      <c r="U89" s="164">
        <f>((VLOOKUP($B$76,Energy_demand!$A$34:$F$66,6,FALSE )))*U20</f>
        <v>77842167.533322215</v>
      </c>
      <c r="V89" s="164">
        <f>((VLOOKUP($B$76,Energy_demand!$A$34:$F$66,6,FALSE )))*V20</f>
        <v>55048840.444343522</v>
      </c>
      <c r="W89" s="164">
        <f>((VLOOKUP($B$76,Energy_demand!$A$34:$F$66,6,FALSE )))*W20</f>
        <v>37532058.610998221</v>
      </c>
      <c r="X89" s="164">
        <f>((VLOOKUP($B$76,Energy_demand!$A$34:$F$66,6,FALSE )))*X20</f>
        <v>24724771.074666172</v>
      </c>
      <c r="Y89" s="164">
        <f>((VLOOKUP($B$76,Energy_demand!$A$34:$F$66,6,FALSE )))*Y20</f>
        <v>15765845.73598991</v>
      </c>
      <c r="Z89" s="164">
        <f>((VLOOKUP($B$76,Energy_demand!$A$34:$F$66,6,FALSE )))*Z20</f>
        <v>9745640.8615555465</v>
      </c>
      <c r="AA89" s="164">
        <f>((VLOOKUP($B$76,Energy_demand!$A$34:$F$66,6,FALSE )))*AA20</f>
        <v>5847495.3147742348</v>
      </c>
      <c r="AB89" s="164">
        <f>((VLOOKUP($B$76,Energy_demand!$A$34:$F$66,6,FALSE )))*AB20</f>
        <v>3409420.1739023551</v>
      </c>
    </row>
    <row r="90" spans="1:28">
      <c r="B90" s="163">
        <v>2021</v>
      </c>
      <c r="C90" s="164">
        <f>((VLOOKUP($B$76,Energy_demand!$A$34:$F$66,6,FALSE )))*C21</f>
        <v>0</v>
      </c>
      <c r="D90" s="164">
        <f>((VLOOKUP($B$76,Energy_demand!$A$34:$F$66,6,FALSE )))*D21</f>
        <v>0</v>
      </c>
      <c r="E90" s="164">
        <f>((VLOOKUP($B$76,Energy_demand!$A$34:$F$66,6,FALSE )))*E21</f>
        <v>0</v>
      </c>
      <c r="F90" s="164">
        <f>((VLOOKUP($B$76,Energy_demand!$A$34:$F$66,6,FALSE )))*F21</f>
        <v>0</v>
      </c>
      <c r="G90" s="164">
        <f>((VLOOKUP($B$76,Energy_demand!$A$34:$F$66,6,FALSE )))*G21</f>
        <v>0</v>
      </c>
      <c r="H90" s="164">
        <f>((VLOOKUP($B$76,Energy_demand!$A$34:$F$66,6,FALSE )))*H21</f>
        <v>0</v>
      </c>
      <c r="I90" s="164">
        <f>((VLOOKUP($B$76,Energy_demand!$A$34:$F$66,6,FALSE )))*I21</f>
        <v>0</v>
      </c>
      <c r="J90" s="164">
        <f>((VLOOKUP($B$76,Energy_demand!$A$34:$F$66,6,FALSE )))*J21</f>
        <v>0</v>
      </c>
      <c r="K90" s="164">
        <f>((VLOOKUP($B$76,Energy_demand!$A$34:$F$66,6,FALSE )))*K21</f>
        <v>0</v>
      </c>
      <c r="L90" s="164">
        <f>((VLOOKUP($B$76,Energy_demand!$A$34:$F$66,6,FALSE )))*L21</f>
        <v>0</v>
      </c>
      <c r="M90" s="164">
        <f>((VLOOKUP($B$76,Energy_demand!$A$34:$F$66,6,FALSE )))*M21</f>
        <v>0</v>
      </c>
      <c r="N90" s="164">
        <f>((VLOOKUP($B$76,Energy_demand!$A$34:$F$66,6,FALSE )))*N21</f>
        <v>0</v>
      </c>
      <c r="O90" s="164">
        <f>((VLOOKUP($B$76,Energy_demand!$A$34:$F$66,6,FALSE )))*O21</f>
        <v>0</v>
      </c>
      <c r="P90" s="164">
        <f>((VLOOKUP($B$76,Energy_demand!$A$34:$F$66,6,FALSE )))*P21</f>
        <v>0</v>
      </c>
      <c r="Q90" s="164">
        <f>((VLOOKUP($B$76,Energy_demand!$A$34:$F$66,6,FALSE )))*Q21</f>
        <v>166657472.83434859</v>
      </c>
      <c r="R90" s="164">
        <f>((VLOOKUP($B$76,Energy_demand!$A$34:$F$66,6,FALSE )))*R21</f>
        <v>154169724.9072893</v>
      </c>
      <c r="S90" s="164">
        <f>((VLOOKUP($B$76,Energy_demand!$A$34:$F$66,6,FALSE )))*S21</f>
        <v>131608658.06904539</v>
      </c>
      <c r="T90" s="164">
        <f>((VLOOKUP($B$76,Energy_demand!$A$34:$F$66,6,FALSE )))*T21</f>
        <v>106084300.28257139</v>
      </c>
      <c r="U90" s="164">
        <f>((VLOOKUP($B$76,Energy_demand!$A$34:$F$66,6,FALSE )))*U21</f>
        <v>81466795.74249351</v>
      </c>
      <c r="V90" s="164">
        <f>((VLOOKUP($B$76,Energy_demand!$A$34:$F$66,6,FALSE )))*V21</f>
        <v>59924463.766310915</v>
      </c>
      <c r="W90" s="164">
        <f>((VLOOKUP($B$76,Energy_demand!$A$34:$F$66,6,FALSE )))*W21</f>
        <v>42377702.845599398</v>
      </c>
      <c r="X90" s="164">
        <f>((VLOOKUP($B$76,Energy_demand!$A$34:$F$66,6,FALSE )))*X21</f>
        <v>28892932.424409222</v>
      </c>
      <c r="Y90" s="164">
        <f>((VLOOKUP($B$76,Energy_demand!$A$34:$F$66,6,FALSE )))*Y21</f>
        <v>19033625.287475742</v>
      </c>
      <c r="Z90" s="164">
        <f>((VLOOKUP($B$76,Energy_demand!$A$34:$F$66,6,FALSE )))*Z21</f>
        <v>12136864.651760209</v>
      </c>
      <c r="AA90" s="164">
        <f>((VLOOKUP($B$76,Energy_demand!$A$34:$F$66,6,FALSE )))*AA21</f>
        <v>7502390.0437737433</v>
      </c>
      <c r="AB90" s="164">
        <f>((VLOOKUP($B$76,Energy_demand!$A$34:$F$66,6,FALSE )))*AB21</f>
        <v>4501519.3206671793</v>
      </c>
    </row>
    <row r="91" spans="1:28">
      <c r="B91" s="163">
        <v>2022</v>
      </c>
      <c r="C91" s="164">
        <f>((VLOOKUP($B$76,Energy_demand!$A$34:$F$66,6,FALSE )))*C22</f>
        <v>0</v>
      </c>
      <c r="D91" s="164">
        <f>((VLOOKUP($B$76,Energy_demand!$A$34:$F$66,6,FALSE )))*D22</f>
        <v>0</v>
      </c>
      <c r="E91" s="164">
        <f>((VLOOKUP($B$76,Energy_demand!$A$34:$F$66,6,FALSE )))*E22</f>
        <v>0</v>
      </c>
      <c r="F91" s="164">
        <f>((VLOOKUP($B$76,Energy_demand!$A$34:$F$66,6,FALSE )))*F22</f>
        <v>0</v>
      </c>
      <c r="G91" s="164">
        <f>((VLOOKUP($B$76,Energy_demand!$A$34:$F$66,6,FALSE )))*G22</f>
        <v>0</v>
      </c>
      <c r="H91" s="164">
        <f>((VLOOKUP($B$76,Energy_demand!$A$34:$F$66,6,FALSE )))*H22</f>
        <v>0</v>
      </c>
      <c r="I91" s="164">
        <f>((VLOOKUP($B$76,Energy_demand!$A$34:$F$66,6,FALSE )))*I22</f>
        <v>0</v>
      </c>
      <c r="J91" s="164">
        <f>((VLOOKUP($B$76,Energy_demand!$A$34:$F$66,6,FALSE )))*J22</f>
        <v>0</v>
      </c>
      <c r="K91" s="164">
        <f>((VLOOKUP($B$76,Energy_demand!$A$34:$F$66,6,FALSE )))*K22</f>
        <v>0</v>
      </c>
      <c r="L91" s="164">
        <f>((VLOOKUP($B$76,Energy_demand!$A$34:$F$66,6,FALSE )))*L22</f>
        <v>0</v>
      </c>
      <c r="M91" s="164">
        <f>((VLOOKUP($B$76,Energy_demand!$A$34:$F$66,6,FALSE )))*M22</f>
        <v>0</v>
      </c>
      <c r="N91" s="164">
        <f>((VLOOKUP($B$76,Energy_demand!$A$34:$F$66,6,FALSE )))*N22</f>
        <v>0</v>
      </c>
      <c r="O91" s="164">
        <f>((VLOOKUP($B$76,Energy_demand!$A$34:$F$66,6,FALSE )))*O22</f>
        <v>0</v>
      </c>
      <c r="P91" s="164">
        <f>((VLOOKUP($B$76,Energy_demand!$A$34:$F$66,6,FALSE )))*P22</f>
        <v>0</v>
      </c>
      <c r="Q91" s="164">
        <f>((VLOOKUP($B$76,Energy_demand!$A$34:$F$66,6,FALSE )))*Q22</f>
        <v>0</v>
      </c>
      <c r="R91" s="164">
        <f>((VLOOKUP($B$76,Energy_demand!$A$34:$F$66,6,FALSE )))*R22</f>
        <v>153719016.83130771</v>
      </c>
      <c r="S91" s="164">
        <f>((VLOOKUP($B$76,Energy_demand!$A$34:$F$66,6,FALSE )))*S22</f>
        <v>142200755.44681659</v>
      </c>
      <c r="T91" s="164">
        <f>((VLOOKUP($B$76,Energy_demand!$A$34:$F$66,6,FALSE )))*T22</f>
        <v>121391217.4521573</v>
      </c>
      <c r="U91" s="164">
        <f>((VLOOKUP($B$76,Energy_demand!$A$34:$F$66,6,FALSE )))*U22</f>
        <v>97848443.657145977</v>
      </c>
      <c r="V91" s="164">
        <f>((VLOOKUP($B$76,Energy_demand!$A$34:$F$66,6,FALSE )))*V22</f>
        <v>75142119.539880857</v>
      </c>
      <c r="W91" s="164">
        <f>((VLOOKUP($B$76,Energy_demand!$A$34:$F$66,6,FALSE )))*W22</f>
        <v>55272226.907320015</v>
      </c>
      <c r="X91" s="164">
        <f>((VLOOKUP($B$76,Energy_demand!$A$34:$F$66,6,FALSE )))*X22</f>
        <v>39087709.09702792</v>
      </c>
      <c r="Y91" s="164">
        <f>((VLOOKUP($B$76,Energy_demand!$A$34:$F$66,6,FALSE )))*Y22</f>
        <v>26649829.078280695</v>
      </c>
      <c r="Z91" s="164">
        <f>((VLOOKUP($B$76,Energy_demand!$A$34:$F$66,6,FALSE )))*Z22</f>
        <v>17555949.434289429</v>
      </c>
      <c r="AA91" s="164">
        <f>((VLOOKUP($B$76,Energy_demand!$A$34:$F$66,6,FALSE )))*AA22</f>
        <v>11194618.938795717</v>
      </c>
      <c r="AB91" s="164">
        <f>((VLOOKUP($B$76,Energy_demand!$A$34:$F$66,6,FALSE )))*AB22</f>
        <v>6919941.8531936435</v>
      </c>
    </row>
    <row r="92" spans="1:28">
      <c r="B92" s="163">
        <v>2023</v>
      </c>
      <c r="C92" s="164">
        <f>((VLOOKUP($B$76,Energy_demand!$A$34:$F$66,6,FALSE )))*C23</f>
        <v>0</v>
      </c>
      <c r="D92" s="164">
        <f>((VLOOKUP($B$76,Energy_demand!$A$34:$F$66,6,FALSE )))*D23</f>
        <v>0</v>
      </c>
      <c r="E92" s="164">
        <f>((VLOOKUP($B$76,Energy_demand!$A$34:$F$66,6,FALSE )))*E23</f>
        <v>0</v>
      </c>
      <c r="F92" s="164">
        <f>((VLOOKUP($B$76,Energy_demand!$A$34:$F$66,6,FALSE )))*F23</f>
        <v>0</v>
      </c>
      <c r="G92" s="164">
        <f>((VLOOKUP($B$76,Energy_demand!$A$34:$F$66,6,FALSE )))*G23</f>
        <v>0</v>
      </c>
      <c r="H92" s="164">
        <f>((VLOOKUP($B$76,Energy_demand!$A$34:$F$66,6,FALSE )))*H23</f>
        <v>0</v>
      </c>
      <c r="I92" s="164">
        <f>((VLOOKUP($B$76,Energy_demand!$A$34:$F$66,6,FALSE )))*I23</f>
        <v>0</v>
      </c>
      <c r="J92" s="164">
        <f>((VLOOKUP($B$76,Energy_demand!$A$34:$F$66,6,FALSE )))*J23</f>
        <v>0</v>
      </c>
      <c r="K92" s="164">
        <f>((VLOOKUP($B$76,Energy_demand!$A$34:$F$66,6,FALSE )))*K23</f>
        <v>0</v>
      </c>
      <c r="L92" s="164">
        <f>((VLOOKUP($B$76,Energy_demand!$A$34:$F$66,6,FALSE )))*L23</f>
        <v>0</v>
      </c>
      <c r="M92" s="164">
        <f>((VLOOKUP($B$76,Energy_demand!$A$34:$F$66,6,FALSE )))*M23</f>
        <v>0</v>
      </c>
      <c r="N92" s="164">
        <f>((VLOOKUP($B$76,Energy_demand!$A$34:$F$66,6,FALSE )))*N23</f>
        <v>0</v>
      </c>
      <c r="O92" s="164">
        <f>((VLOOKUP($B$76,Energy_demand!$A$34:$F$66,6,FALSE )))*O23</f>
        <v>0</v>
      </c>
      <c r="P92" s="164">
        <f>((VLOOKUP($B$76,Energy_demand!$A$34:$F$66,6,FALSE )))*P23</f>
        <v>0</v>
      </c>
      <c r="Q92" s="164">
        <f>((VLOOKUP($B$76,Energy_demand!$A$34:$F$66,6,FALSE )))*Q23</f>
        <v>0</v>
      </c>
      <c r="R92" s="164">
        <f>((VLOOKUP($B$76,Energy_demand!$A$34:$F$66,6,FALSE )))*R23</f>
        <v>0</v>
      </c>
      <c r="S92" s="164">
        <f>((VLOOKUP($B$76,Energy_demand!$A$34:$F$66,6,FALSE )))*S23</f>
        <v>153719016.83130771</v>
      </c>
      <c r="T92" s="164">
        <f>((VLOOKUP($B$76,Energy_demand!$A$34:$F$66,6,FALSE )))*T23</f>
        <v>145030859.50522351</v>
      </c>
      <c r="U92" s="164">
        <f>((VLOOKUP($B$76,Energy_demand!$A$34:$F$66,6,FALSE )))*U23</f>
        <v>128864068.72404487</v>
      </c>
      <c r="V92" s="164">
        <f>((VLOOKUP($B$76,Energy_demand!$A$34:$F$66,6,FALSE )))*V23</f>
        <v>109695657.96498005</v>
      </c>
      <c r="W92" s="164">
        <f>((VLOOKUP($B$76,Energy_demand!$A$34:$F$66,6,FALSE )))*W23</f>
        <v>90060152.441275522</v>
      </c>
      <c r="X92" s="164">
        <f>((VLOOKUP($B$76,Energy_demand!$A$34:$F$66,6,FALSE )))*X23</f>
        <v>71598327.741704866</v>
      </c>
      <c r="Y92" s="164">
        <f>((VLOOKUP($B$76,Energy_demand!$A$34:$F$66,6,FALSE )))*Y23</f>
        <v>55272226.907320134</v>
      </c>
      <c r="Z92" s="164">
        <f>((VLOOKUP($B$76,Energy_demand!$A$34:$F$66,6,FALSE )))*Z23</f>
        <v>41519268.116437279</v>
      </c>
      <c r="AA92" s="164">
        <f>((VLOOKUP($B$76,Energy_demand!$A$34:$F$66,6,FALSE )))*AA23</f>
        <v>30397944.881906718</v>
      </c>
      <c r="AB92" s="164">
        <f>((VLOOKUP($B$76,Energy_demand!$A$34:$F$66,6,FALSE )))*AB23</f>
        <v>21720647.858537745</v>
      </c>
    </row>
    <row r="93" spans="1:28">
      <c r="B93" s="163">
        <v>2024</v>
      </c>
      <c r="C93" s="164">
        <f>((VLOOKUP($B$76,Energy_demand!$A$34:$F$66,6,FALSE )))*C24</f>
        <v>0</v>
      </c>
      <c r="D93" s="164">
        <f>((VLOOKUP($B$76,Energy_demand!$A$34:$F$66,6,FALSE )))*D24</f>
        <v>0</v>
      </c>
      <c r="E93" s="164">
        <f>((VLOOKUP($B$76,Energy_demand!$A$34:$F$66,6,FALSE )))*E24</f>
        <v>0</v>
      </c>
      <c r="F93" s="164">
        <f>((VLOOKUP($B$76,Energy_demand!$A$34:$F$66,6,FALSE )))*F24</f>
        <v>0</v>
      </c>
      <c r="G93" s="164">
        <f>((VLOOKUP($B$76,Energy_demand!$A$34:$F$66,6,FALSE )))*G24</f>
        <v>0</v>
      </c>
      <c r="H93" s="164">
        <f>((VLOOKUP($B$76,Energy_demand!$A$34:$F$66,6,FALSE )))*H24</f>
        <v>0</v>
      </c>
      <c r="I93" s="164">
        <f>((VLOOKUP($B$76,Energy_demand!$A$34:$F$66,6,FALSE )))*I24</f>
        <v>0</v>
      </c>
      <c r="J93" s="164">
        <f>((VLOOKUP($B$76,Energy_demand!$A$34:$F$66,6,FALSE )))*J24</f>
        <v>0</v>
      </c>
      <c r="K93" s="164">
        <f>((VLOOKUP($B$76,Energy_demand!$A$34:$F$66,6,FALSE )))*K24</f>
        <v>0</v>
      </c>
      <c r="L93" s="164">
        <f>((VLOOKUP($B$76,Energy_demand!$A$34:$F$66,6,FALSE )))*L24</f>
        <v>0</v>
      </c>
      <c r="M93" s="164">
        <f>((VLOOKUP($B$76,Energy_demand!$A$34:$F$66,6,FALSE )))*M24</f>
        <v>0</v>
      </c>
      <c r="N93" s="164">
        <f>((VLOOKUP($B$76,Energy_demand!$A$34:$F$66,6,FALSE )))*N24</f>
        <v>0</v>
      </c>
      <c r="O93" s="164">
        <f>((VLOOKUP($B$76,Energy_demand!$A$34:$F$66,6,FALSE )))*O24</f>
        <v>0</v>
      </c>
      <c r="P93" s="164">
        <f>((VLOOKUP($B$76,Energy_demand!$A$34:$F$66,6,FALSE )))*P24</f>
        <v>0</v>
      </c>
      <c r="Q93" s="164">
        <f>((VLOOKUP($B$76,Energy_demand!$A$34:$F$66,6,FALSE )))*Q24</f>
        <v>0</v>
      </c>
      <c r="R93" s="164">
        <f>((VLOOKUP($B$76,Energy_demand!$A$34:$F$66,6,FALSE )))*R24</f>
        <v>0</v>
      </c>
      <c r="S93" s="164">
        <f>((VLOOKUP($B$76,Energy_demand!$A$34:$F$66,6,FALSE )))*S24</f>
        <v>0</v>
      </c>
      <c r="T93" s="164">
        <f>((VLOOKUP($B$76,Energy_demand!$A$34:$F$66,6,FALSE )))*T24</f>
        <v>150888914.44280258</v>
      </c>
      <c r="U93" s="164">
        <f>((VLOOKUP($B$76,Energy_demand!$A$34:$F$66,6,FALSE )))*U24</f>
        <v>142360713.73956904</v>
      </c>
      <c r="V93" s="164">
        <f>((VLOOKUP($B$76,Energy_demand!$A$34:$F$66,6,FALSE )))*V24</f>
        <v>126491567.80512062</v>
      </c>
      <c r="W93" s="164">
        <f>((VLOOKUP($B$76,Energy_demand!$A$34:$F$66,6,FALSE )))*W24</f>
        <v>107676064.35831508</v>
      </c>
      <c r="X93" s="164">
        <f>((VLOOKUP($B$76,Energy_demand!$A$34:$F$66,6,FALSE )))*X24</f>
        <v>88402065.772578582</v>
      </c>
      <c r="Y93" s="164">
        <f>((VLOOKUP($B$76,Energy_demand!$A$34:$F$66,6,FALSE )))*Y24</f>
        <v>70280139.514043078</v>
      </c>
      <c r="Z93" s="164">
        <f>((VLOOKUP($B$76,Energy_demand!$A$34:$F$66,6,FALSE )))*Z24</f>
        <v>54254616.56467744</v>
      </c>
      <c r="AA93" s="164">
        <f>((VLOOKUP($B$76,Energy_demand!$A$34:$F$66,6,FALSE )))*AA24</f>
        <v>40754861.849161543</v>
      </c>
      <c r="AB93" s="164">
        <f>((VLOOKUP($B$76,Energy_demand!$A$34:$F$66,6,FALSE )))*AB24</f>
        <v>29838291.963293914</v>
      </c>
    </row>
    <row r="94" spans="1:28">
      <c r="B94" s="163">
        <v>2025</v>
      </c>
      <c r="C94" s="164">
        <f>((VLOOKUP($B$76,Energy_demand!$A$34:$F$66,6,FALSE )))*C25</f>
        <v>0</v>
      </c>
      <c r="D94" s="164">
        <f>((VLOOKUP($B$76,Energy_demand!$A$34:$F$66,6,FALSE )))*D25</f>
        <v>0</v>
      </c>
      <c r="E94" s="164">
        <f>((VLOOKUP($B$76,Energy_demand!$A$34:$F$66,6,FALSE )))*E25</f>
        <v>0</v>
      </c>
      <c r="F94" s="164">
        <f>((VLOOKUP($B$76,Energy_demand!$A$34:$F$66,6,FALSE )))*F25</f>
        <v>0</v>
      </c>
      <c r="G94" s="164">
        <f>((VLOOKUP($B$76,Energy_demand!$A$34:$F$66,6,FALSE )))*G25</f>
        <v>0</v>
      </c>
      <c r="H94" s="164">
        <f>((VLOOKUP($B$76,Energy_demand!$A$34:$F$66,6,FALSE )))*H25</f>
        <v>0</v>
      </c>
      <c r="I94" s="164">
        <f>((VLOOKUP($B$76,Energy_demand!$A$34:$F$66,6,FALSE )))*I25</f>
        <v>0</v>
      </c>
      <c r="J94" s="164">
        <f>((VLOOKUP($B$76,Energy_demand!$A$34:$F$66,6,FALSE )))*J25</f>
        <v>0</v>
      </c>
      <c r="K94" s="164">
        <f>((VLOOKUP($B$76,Energy_demand!$A$34:$F$66,6,FALSE )))*K25</f>
        <v>0</v>
      </c>
      <c r="L94" s="164">
        <f>((VLOOKUP($B$76,Energy_demand!$A$34:$F$66,6,FALSE )))*L25</f>
        <v>0</v>
      </c>
      <c r="M94" s="164">
        <f>((VLOOKUP($B$76,Energy_demand!$A$34:$F$66,6,FALSE )))*M25</f>
        <v>0</v>
      </c>
      <c r="N94" s="164">
        <f>((VLOOKUP($B$76,Energy_demand!$A$34:$F$66,6,FALSE )))*N25</f>
        <v>0</v>
      </c>
      <c r="O94" s="164">
        <f>((VLOOKUP($B$76,Energy_demand!$A$34:$F$66,6,FALSE )))*O25</f>
        <v>0</v>
      </c>
      <c r="P94" s="164">
        <f>((VLOOKUP($B$76,Energy_demand!$A$34:$F$66,6,FALSE )))*P25</f>
        <v>0</v>
      </c>
      <c r="Q94" s="164">
        <f>((VLOOKUP($B$76,Energy_demand!$A$34:$F$66,6,FALSE )))*Q25</f>
        <v>0</v>
      </c>
      <c r="R94" s="164">
        <f>((VLOOKUP($B$76,Energy_demand!$A$34:$F$66,6,FALSE )))*R25</f>
        <v>0</v>
      </c>
      <c r="S94" s="164">
        <f>((VLOOKUP($B$76,Energy_demand!$A$34:$F$66,6,FALSE )))*S25</f>
        <v>0</v>
      </c>
      <c r="T94" s="164">
        <f>((VLOOKUP($B$76,Energy_demand!$A$34:$F$66,6,FALSE )))*T25</f>
        <v>0</v>
      </c>
      <c r="U94" s="164">
        <f>((VLOOKUP($B$76,Energy_demand!$A$34:$F$66,6,FALSE )))*U25</f>
        <v>146246161.36030143</v>
      </c>
      <c r="V94" s="164">
        <f>((VLOOKUP($B$76,Energy_demand!$A$34:$F$66,6,FALSE )))*V25</f>
        <v>137980367.8077147</v>
      </c>
      <c r="W94" s="164">
        <f>((VLOOKUP($B$76,Energy_demand!$A$34:$F$66,6,FALSE )))*W25</f>
        <v>122599505.10120182</v>
      </c>
      <c r="X94" s="164">
        <f>((VLOOKUP($B$76,Energy_demand!$A$34:$F$66,6,FALSE )))*X25</f>
        <v>104362942.37346138</v>
      </c>
      <c r="Y94" s="164">
        <f>((VLOOKUP($B$76,Energy_demand!$A$34:$F$66,6,FALSE )))*Y25</f>
        <v>85681992.101953238</v>
      </c>
      <c r="Z94" s="164">
        <f>((VLOOKUP($B$76,Energy_demand!$A$34:$F$66,6,FALSE )))*Z25</f>
        <v>68117665.646613136</v>
      </c>
      <c r="AA94" s="164">
        <f>((VLOOKUP($B$76,Energy_demand!$A$34:$F$66,6,FALSE )))*AA25</f>
        <v>52585237.543523051</v>
      </c>
      <c r="AB94" s="164">
        <f>((VLOOKUP($B$76,Energy_demand!$A$34:$F$66,6,FALSE )))*AB25</f>
        <v>39500861.439815186</v>
      </c>
    </row>
    <row r="95" spans="1:28">
      <c r="B95" s="163">
        <v>2026</v>
      </c>
      <c r="C95" s="164">
        <f>((VLOOKUP($B$76,Energy_demand!$A$34:$F$66,6,FALSE )))*C26</f>
        <v>0</v>
      </c>
      <c r="D95" s="164">
        <f>((VLOOKUP($B$76,Energy_demand!$A$34:$F$66,6,FALSE )))*D26</f>
        <v>0</v>
      </c>
      <c r="E95" s="164">
        <f>((VLOOKUP($B$76,Energy_demand!$A$34:$F$66,6,FALSE )))*E26</f>
        <v>0</v>
      </c>
      <c r="F95" s="164">
        <f>((VLOOKUP($B$76,Energy_demand!$A$34:$F$66,6,FALSE )))*F26</f>
        <v>0</v>
      </c>
      <c r="G95" s="164">
        <f>((VLOOKUP($B$76,Energy_demand!$A$34:$F$66,6,FALSE )))*G26</f>
        <v>0</v>
      </c>
      <c r="H95" s="164">
        <f>((VLOOKUP($B$76,Energy_demand!$A$34:$F$66,6,FALSE )))*H26</f>
        <v>0</v>
      </c>
      <c r="I95" s="164">
        <f>((VLOOKUP($B$76,Energy_demand!$A$34:$F$66,6,FALSE )))*I26</f>
        <v>0</v>
      </c>
      <c r="J95" s="164">
        <f>((VLOOKUP($B$76,Energy_demand!$A$34:$F$66,6,FALSE )))*J26</f>
        <v>0</v>
      </c>
      <c r="K95" s="164">
        <f>((VLOOKUP($B$76,Energy_demand!$A$34:$F$66,6,FALSE )))*K26</f>
        <v>0</v>
      </c>
      <c r="L95" s="164">
        <f>((VLOOKUP($B$76,Energy_demand!$A$34:$F$66,6,FALSE )))*L26</f>
        <v>0</v>
      </c>
      <c r="M95" s="164">
        <f>((VLOOKUP($B$76,Energy_demand!$A$34:$F$66,6,FALSE )))*M26</f>
        <v>0</v>
      </c>
      <c r="N95" s="164">
        <f>((VLOOKUP($B$76,Energy_demand!$A$34:$F$66,6,FALSE )))*N26</f>
        <v>0</v>
      </c>
      <c r="O95" s="164">
        <f>((VLOOKUP($B$76,Energy_demand!$A$34:$F$66,6,FALSE )))*O26</f>
        <v>0</v>
      </c>
      <c r="P95" s="164">
        <f>((VLOOKUP($B$76,Energy_demand!$A$34:$F$66,6,FALSE )))*P26</f>
        <v>0</v>
      </c>
      <c r="Q95" s="164">
        <f>((VLOOKUP($B$76,Energy_demand!$A$34:$F$66,6,FALSE )))*Q26</f>
        <v>0</v>
      </c>
      <c r="R95" s="164">
        <f>((VLOOKUP($B$76,Energy_demand!$A$34:$F$66,6,FALSE )))*R26</f>
        <v>0</v>
      </c>
      <c r="S95" s="164">
        <f>((VLOOKUP($B$76,Energy_demand!$A$34:$F$66,6,FALSE )))*S26</f>
        <v>0</v>
      </c>
      <c r="T95" s="164">
        <f>((VLOOKUP($B$76,Energy_demand!$A$34:$F$66,6,FALSE )))*T26</f>
        <v>0</v>
      </c>
      <c r="U95" s="164">
        <f>((VLOOKUP($B$76,Energy_demand!$A$34:$F$66,6,FALSE )))*U26</f>
        <v>0</v>
      </c>
      <c r="V95" s="164">
        <f>((VLOOKUP($B$76,Energy_demand!$A$34:$F$66,6,FALSE )))*V26</f>
        <v>141871822.81727621</v>
      </c>
      <c r="W95" s="164">
        <f>((VLOOKUP($B$76,Energy_demand!$A$34:$F$66,6,FALSE )))*W26</f>
        <v>133853265.69803891</v>
      </c>
      <c r="X95" s="164">
        <f>((VLOOKUP($B$76,Energy_demand!$A$34:$F$66,6,FALSE )))*X26</f>
        <v>118932456.77985299</v>
      </c>
      <c r="Y95" s="164">
        <f>((VLOOKUP($B$76,Energy_demand!$A$34:$F$66,6,FALSE )))*Y26</f>
        <v>101241364.09037028</v>
      </c>
      <c r="Z95" s="164">
        <f>((VLOOKUP($B$76,Energy_demand!$A$34:$F$66,6,FALSE )))*Z26</f>
        <v>83119175.840599403</v>
      </c>
      <c r="AA95" s="164">
        <f>((VLOOKUP($B$76,Energy_demand!$A$34:$F$66,6,FALSE )))*AA26</f>
        <v>66080212.304061539</v>
      </c>
      <c r="AB95" s="164">
        <f>((VLOOKUP($B$76,Energy_demand!$A$34:$F$66,6,FALSE )))*AB26</f>
        <v>51012371.43038068</v>
      </c>
    </row>
    <row r="96" spans="1:28">
      <c r="B96" s="163">
        <v>2027</v>
      </c>
      <c r="C96" s="164">
        <f>((VLOOKUP($B$76,Energy_demand!$A$34:$F$66,6,FALSE )))*C27</f>
        <v>0</v>
      </c>
      <c r="D96" s="164">
        <f>((VLOOKUP($B$76,Energy_demand!$A$34:$F$66,6,FALSE )))*D27</f>
        <v>0</v>
      </c>
      <c r="E96" s="164">
        <f>((VLOOKUP($B$76,Energy_demand!$A$34:$F$66,6,FALSE )))*E27</f>
        <v>0</v>
      </c>
      <c r="F96" s="164">
        <f>((VLOOKUP($B$76,Energy_demand!$A$34:$F$66,6,FALSE )))*F27</f>
        <v>0</v>
      </c>
      <c r="G96" s="164">
        <f>((VLOOKUP($B$76,Energy_demand!$A$34:$F$66,6,FALSE )))*G27</f>
        <v>0</v>
      </c>
      <c r="H96" s="164">
        <f>((VLOOKUP($B$76,Energy_demand!$A$34:$F$66,6,FALSE )))*H27</f>
        <v>0</v>
      </c>
      <c r="I96" s="164">
        <f>((VLOOKUP($B$76,Energy_demand!$A$34:$F$66,6,FALSE )))*I27</f>
        <v>0</v>
      </c>
      <c r="J96" s="164">
        <f>((VLOOKUP($B$76,Energy_demand!$A$34:$F$66,6,FALSE )))*J27</f>
        <v>0</v>
      </c>
      <c r="K96" s="164">
        <f>((VLOOKUP($B$76,Energy_demand!$A$34:$F$66,6,FALSE )))*K27</f>
        <v>0</v>
      </c>
      <c r="L96" s="164">
        <f>((VLOOKUP($B$76,Energy_demand!$A$34:$F$66,6,FALSE )))*L27</f>
        <v>0</v>
      </c>
      <c r="M96" s="164">
        <f>((VLOOKUP($B$76,Energy_demand!$A$34:$F$66,6,FALSE )))*M27</f>
        <v>0</v>
      </c>
      <c r="N96" s="164">
        <f>((VLOOKUP($B$76,Energy_demand!$A$34:$F$66,6,FALSE )))*N27</f>
        <v>0</v>
      </c>
      <c r="O96" s="164">
        <f>((VLOOKUP($B$76,Energy_demand!$A$34:$F$66,6,FALSE )))*O27</f>
        <v>0</v>
      </c>
      <c r="P96" s="164">
        <f>((VLOOKUP($B$76,Energy_demand!$A$34:$F$66,6,FALSE )))*P27</f>
        <v>0</v>
      </c>
      <c r="Q96" s="164">
        <f>((VLOOKUP($B$76,Energy_demand!$A$34:$F$66,6,FALSE )))*Q27</f>
        <v>0</v>
      </c>
      <c r="R96" s="164">
        <f>((VLOOKUP($B$76,Energy_demand!$A$34:$F$66,6,FALSE )))*R27</f>
        <v>0</v>
      </c>
      <c r="S96" s="164">
        <f>((VLOOKUP($B$76,Energy_demand!$A$34:$F$66,6,FALSE )))*S27</f>
        <v>0</v>
      </c>
      <c r="T96" s="164">
        <f>((VLOOKUP($B$76,Energy_demand!$A$34:$F$66,6,FALSE )))*T27</f>
        <v>0</v>
      </c>
      <c r="U96" s="164">
        <f>((VLOOKUP($B$76,Energy_demand!$A$34:$F$66,6,FALSE )))*U27</f>
        <v>0</v>
      </c>
      <c r="V96" s="164">
        <f>((VLOOKUP($B$76,Energy_demand!$A$34:$F$66,6,FALSE )))*V27</f>
        <v>0</v>
      </c>
      <c r="W96" s="164">
        <f>((VLOOKUP($B$76,Energy_demand!$A$34:$F$66,6,FALSE )))*W27</f>
        <v>138800959.59329289</v>
      </c>
      <c r="X96" s="164">
        <f>((VLOOKUP($B$76,Energy_demand!$A$34:$F$66,6,FALSE )))*X27</f>
        <v>130955966.83432037</v>
      </c>
      <c r="Y96" s="164">
        <f>((VLOOKUP($B$76,Energy_demand!$A$34:$F$66,6,FALSE )))*Y27</f>
        <v>116358123.83331978</v>
      </c>
      <c r="Z96" s="164">
        <f>((VLOOKUP($B$76,Energy_demand!$A$34:$F$66,6,FALSE )))*Z27</f>
        <v>99049960.783094496</v>
      </c>
      <c r="AA96" s="164">
        <f>((VLOOKUP($B$76,Energy_demand!$A$34:$F$66,6,FALSE )))*AA27</f>
        <v>81320033.380680189</v>
      </c>
      <c r="AB96" s="164">
        <f>((VLOOKUP($B$76,Energy_demand!$A$34:$F$66,6,FALSE )))*AB27</f>
        <v>64649883.928997897</v>
      </c>
    </row>
    <row r="97" spans="1:28">
      <c r="B97" s="163">
        <v>2028</v>
      </c>
      <c r="C97" s="164">
        <f>((VLOOKUP($B$76,Energy_demand!$A$34:$F$66,6,FALSE )))*C28</f>
        <v>0</v>
      </c>
      <c r="D97" s="164">
        <f>((VLOOKUP($B$76,Energy_demand!$A$34:$F$66,6,FALSE )))*D28</f>
        <v>0</v>
      </c>
      <c r="E97" s="164">
        <f>((VLOOKUP($B$76,Energy_demand!$A$34:$F$66,6,FALSE )))*E28</f>
        <v>0</v>
      </c>
      <c r="F97" s="164">
        <f>((VLOOKUP($B$76,Energy_demand!$A$34:$F$66,6,FALSE )))*F28</f>
        <v>0</v>
      </c>
      <c r="G97" s="164">
        <f>((VLOOKUP($B$76,Energy_demand!$A$34:$F$66,6,FALSE )))*G28</f>
        <v>0</v>
      </c>
      <c r="H97" s="164">
        <f>((VLOOKUP($B$76,Energy_demand!$A$34:$F$66,6,FALSE )))*H28</f>
        <v>0</v>
      </c>
      <c r="I97" s="164">
        <f>((VLOOKUP($B$76,Energy_demand!$A$34:$F$66,6,FALSE )))*I28</f>
        <v>0</v>
      </c>
      <c r="J97" s="164">
        <f>((VLOOKUP($B$76,Energy_demand!$A$34:$F$66,6,FALSE )))*J28</f>
        <v>0</v>
      </c>
      <c r="K97" s="164">
        <f>((VLOOKUP($B$76,Energy_demand!$A$34:$F$66,6,FALSE )))*K28</f>
        <v>0</v>
      </c>
      <c r="L97" s="164">
        <f>((VLOOKUP($B$76,Energy_demand!$A$34:$F$66,6,FALSE )))*L28</f>
        <v>0</v>
      </c>
      <c r="M97" s="164">
        <f>((VLOOKUP($B$76,Energy_demand!$A$34:$F$66,6,FALSE )))*M28</f>
        <v>0</v>
      </c>
      <c r="N97" s="164">
        <f>((VLOOKUP($B$76,Energy_demand!$A$34:$F$66,6,FALSE )))*N28</f>
        <v>0</v>
      </c>
      <c r="O97" s="164">
        <f>((VLOOKUP($B$76,Energy_demand!$A$34:$F$66,6,FALSE )))*O28</f>
        <v>0</v>
      </c>
      <c r="P97" s="164">
        <f>((VLOOKUP($B$76,Energy_demand!$A$34:$F$66,6,FALSE )))*P28</f>
        <v>0</v>
      </c>
      <c r="Q97" s="164">
        <f>((VLOOKUP($B$76,Energy_demand!$A$34:$F$66,6,FALSE )))*Q28</f>
        <v>0</v>
      </c>
      <c r="R97" s="164">
        <f>((VLOOKUP($B$76,Energy_demand!$A$34:$F$66,6,FALSE )))*R28</f>
        <v>0</v>
      </c>
      <c r="S97" s="164">
        <f>((VLOOKUP($B$76,Energy_demand!$A$34:$F$66,6,FALSE )))*S28</f>
        <v>0</v>
      </c>
      <c r="T97" s="164">
        <f>((VLOOKUP($B$76,Energy_demand!$A$34:$F$66,6,FALSE )))*T28</f>
        <v>0</v>
      </c>
      <c r="U97" s="164">
        <f>((VLOOKUP($B$76,Energy_demand!$A$34:$F$66,6,FALSE )))*U28</f>
        <v>0</v>
      </c>
      <c r="V97" s="164">
        <f>((VLOOKUP($B$76,Energy_demand!$A$34:$F$66,6,FALSE )))*V28</f>
        <v>0</v>
      </c>
      <c r="W97" s="164">
        <f>((VLOOKUP($B$76,Energy_demand!$A$34:$F$66,6,FALSE )))*W28</f>
        <v>0</v>
      </c>
      <c r="X97" s="164">
        <f>((VLOOKUP($B$76,Energy_demand!$A$34:$F$66,6,FALSE )))*X28</f>
        <v>137392914.8307707</v>
      </c>
      <c r="Y97" s="164">
        <f>((VLOOKUP($B$76,Energy_demand!$A$34:$F$66,6,FALSE )))*Y28</f>
        <v>129627504.38159387</v>
      </c>
      <c r="Z97" s="164">
        <f>((VLOOKUP($B$76,Energy_demand!$A$34:$F$66,6,FALSE )))*Z28</f>
        <v>115177746.93015943</v>
      </c>
      <c r="AA97" s="164">
        <f>((VLOOKUP($B$76,Energy_demand!$A$34:$F$66,6,FALSE )))*AA28</f>
        <v>98045163.850008994</v>
      </c>
      <c r="AB97" s="164">
        <f>((VLOOKUP($B$76,Energy_demand!$A$34:$F$66,6,FALSE )))*AB28</f>
        <v>80495094.940590814</v>
      </c>
    </row>
    <row r="98" spans="1:28">
      <c r="B98" s="163">
        <v>2029</v>
      </c>
      <c r="C98" s="164">
        <f>((VLOOKUP($B$76,Energy_demand!$A$34:$F$66,6,FALSE )))*C29</f>
        <v>0</v>
      </c>
      <c r="D98" s="164">
        <f>((VLOOKUP($B$76,Energy_demand!$A$34:$F$66,6,FALSE )))*D29</f>
        <v>0</v>
      </c>
      <c r="E98" s="164">
        <f>((VLOOKUP($B$76,Energy_demand!$A$34:$F$66,6,FALSE )))*E29</f>
        <v>0</v>
      </c>
      <c r="F98" s="164">
        <f>((VLOOKUP($B$76,Energy_demand!$A$34:$F$66,6,FALSE )))*F29</f>
        <v>0</v>
      </c>
      <c r="G98" s="164">
        <f>((VLOOKUP($B$76,Energy_demand!$A$34:$F$66,6,FALSE )))*G29</f>
        <v>0</v>
      </c>
      <c r="H98" s="164">
        <f>((VLOOKUP($B$76,Energy_demand!$A$34:$F$66,6,FALSE )))*H29</f>
        <v>0</v>
      </c>
      <c r="I98" s="164">
        <f>((VLOOKUP($B$76,Energy_demand!$A$34:$F$66,6,FALSE )))*I29</f>
        <v>0</v>
      </c>
      <c r="J98" s="164">
        <f>((VLOOKUP($B$76,Energy_demand!$A$34:$F$66,6,FALSE )))*J29</f>
        <v>0</v>
      </c>
      <c r="K98" s="164">
        <f>((VLOOKUP($B$76,Energy_demand!$A$34:$F$66,6,FALSE )))*K29</f>
        <v>0</v>
      </c>
      <c r="L98" s="164">
        <f>((VLOOKUP($B$76,Energy_demand!$A$34:$F$66,6,FALSE )))*L29</f>
        <v>0</v>
      </c>
      <c r="M98" s="164">
        <f>((VLOOKUP($B$76,Energy_demand!$A$34:$F$66,6,FALSE )))*M29</f>
        <v>0</v>
      </c>
      <c r="N98" s="164">
        <f>((VLOOKUP($B$76,Energy_demand!$A$34:$F$66,6,FALSE )))*N29</f>
        <v>0</v>
      </c>
      <c r="O98" s="164">
        <f>((VLOOKUP($B$76,Energy_demand!$A$34:$F$66,6,FALSE )))*O29</f>
        <v>0</v>
      </c>
      <c r="P98" s="164">
        <f>((VLOOKUP($B$76,Energy_demand!$A$34:$F$66,6,FALSE )))*P29</f>
        <v>0</v>
      </c>
      <c r="Q98" s="164">
        <f>((VLOOKUP($B$76,Energy_demand!$A$34:$F$66,6,FALSE )))*Q29</f>
        <v>0</v>
      </c>
      <c r="R98" s="164">
        <f>((VLOOKUP($B$76,Energy_demand!$A$34:$F$66,6,FALSE )))*R29</f>
        <v>0</v>
      </c>
      <c r="S98" s="164">
        <f>((VLOOKUP($B$76,Energy_demand!$A$34:$F$66,6,FALSE )))*S29</f>
        <v>0</v>
      </c>
      <c r="T98" s="164">
        <f>((VLOOKUP($B$76,Energy_demand!$A$34:$F$66,6,FALSE )))*T29</f>
        <v>0</v>
      </c>
      <c r="U98" s="164">
        <f>((VLOOKUP($B$76,Energy_demand!$A$34:$F$66,6,FALSE )))*U29</f>
        <v>0</v>
      </c>
      <c r="V98" s="164">
        <f>((VLOOKUP($B$76,Energy_demand!$A$34:$F$66,6,FALSE )))*V29</f>
        <v>0</v>
      </c>
      <c r="W98" s="164">
        <f>((VLOOKUP($B$76,Energy_demand!$A$34:$F$66,6,FALSE )))*W29</f>
        <v>0</v>
      </c>
      <c r="X98" s="164">
        <f>((VLOOKUP($B$76,Energy_demand!$A$34:$F$66,6,FALSE )))*X29</f>
        <v>0</v>
      </c>
      <c r="Y98" s="164">
        <f>((VLOOKUP($B$76,Energy_demand!$A$34:$F$66,6,FALSE )))*Y29</f>
        <v>137534500.55516276</v>
      </c>
      <c r="Z98" s="164">
        <f>((VLOOKUP($B$76,Energy_demand!$A$34:$F$66,6,FALSE )))*Z29</f>
        <v>129761087.71907245</v>
      </c>
      <c r="AA98" s="164">
        <f>((VLOOKUP($B$76,Energy_demand!$A$34:$F$66,6,FALSE )))*AA29</f>
        <v>115296439.54799229</v>
      </c>
      <c r="AB98" s="164">
        <f>((VLOOKUP($B$76,Energy_demand!$A$34:$F$66,6,FALSE )))*AB29</f>
        <v>98146201.050973415</v>
      </c>
    </row>
    <row r="99" spans="1:28">
      <c r="B99" s="163">
        <v>2030</v>
      </c>
      <c r="C99" s="164">
        <f>((VLOOKUP($B$76,Energy_demand!$A$34:$F$66,6,FALSE )))*C30</f>
        <v>0</v>
      </c>
      <c r="D99" s="164">
        <f>((VLOOKUP($B$76,Energy_demand!$A$34:$F$66,6,FALSE )))*D30</f>
        <v>0</v>
      </c>
      <c r="E99" s="164">
        <f>((VLOOKUP($B$76,Energy_demand!$A$34:$F$66,6,FALSE )))*E30</f>
        <v>0</v>
      </c>
      <c r="F99" s="164">
        <f>((VLOOKUP($B$76,Energy_demand!$A$34:$F$66,6,FALSE )))*F30</f>
        <v>0</v>
      </c>
      <c r="G99" s="164">
        <f>((VLOOKUP($B$76,Energy_demand!$A$34:$F$66,6,FALSE )))*G30</f>
        <v>0</v>
      </c>
      <c r="H99" s="164">
        <f>((VLOOKUP($B$76,Energy_demand!$A$34:$F$66,6,FALSE )))*H30</f>
        <v>0</v>
      </c>
      <c r="I99" s="164">
        <f>((VLOOKUP($B$76,Energy_demand!$A$34:$F$66,6,FALSE )))*I30</f>
        <v>0</v>
      </c>
      <c r="J99" s="164">
        <f>((VLOOKUP($B$76,Energy_demand!$A$34:$F$66,6,FALSE )))*J30</f>
        <v>0</v>
      </c>
      <c r="K99" s="164">
        <f>((VLOOKUP($B$76,Energy_demand!$A$34:$F$66,6,FALSE )))*K30</f>
        <v>0</v>
      </c>
      <c r="L99" s="164">
        <f>((VLOOKUP($B$76,Energy_demand!$A$34:$F$66,6,FALSE )))*L30</f>
        <v>0</v>
      </c>
      <c r="M99" s="164">
        <f>((VLOOKUP($B$76,Energy_demand!$A$34:$F$66,6,FALSE )))*M30</f>
        <v>0</v>
      </c>
      <c r="N99" s="164">
        <f>((VLOOKUP($B$76,Energy_demand!$A$34:$F$66,6,FALSE )))*N30</f>
        <v>0</v>
      </c>
      <c r="O99" s="164">
        <f>((VLOOKUP($B$76,Energy_demand!$A$34:$F$66,6,FALSE )))*O30</f>
        <v>0</v>
      </c>
      <c r="P99" s="164">
        <f>((VLOOKUP($B$76,Energy_demand!$A$34:$F$66,6,FALSE )))*P30</f>
        <v>0</v>
      </c>
      <c r="Q99" s="164">
        <f>((VLOOKUP($B$76,Energy_demand!$A$34:$F$66,6,FALSE )))*Q30</f>
        <v>0</v>
      </c>
      <c r="R99" s="164">
        <f>((VLOOKUP($B$76,Energy_demand!$A$34:$F$66,6,FALSE )))*R30</f>
        <v>0</v>
      </c>
      <c r="S99" s="164">
        <f>((VLOOKUP($B$76,Energy_demand!$A$34:$F$66,6,FALSE )))*S30</f>
        <v>0</v>
      </c>
      <c r="T99" s="164">
        <f>((VLOOKUP($B$76,Energy_demand!$A$34:$F$66,6,FALSE )))*T30</f>
        <v>0</v>
      </c>
      <c r="U99" s="164">
        <f>((VLOOKUP($B$76,Energy_demand!$A$34:$F$66,6,FALSE )))*U30</f>
        <v>0</v>
      </c>
      <c r="V99" s="164">
        <f>((VLOOKUP($B$76,Energy_demand!$A$34:$F$66,6,FALSE )))*V30</f>
        <v>0</v>
      </c>
      <c r="W99" s="164">
        <f>((VLOOKUP($B$76,Energy_demand!$A$34:$F$66,6,FALSE )))*W30</f>
        <v>0</v>
      </c>
      <c r="X99" s="164">
        <f>((VLOOKUP($B$76,Energy_demand!$A$34:$F$66,6,FALSE )))*X30</f>
        <v>0</v>
      </c>
      <c r="Y99" s="164">
        <f>((VLOOKUP($B$76,Energy_demand!$A$34:$F$66,6,FALSE )))*Y30</f>
        <v>0</v>
      </c>
      <c r="Z99" s="164">
        <f>((VLOOKUP($B$76,Energy_demand!$A$34:$F$66,6,FALSE )))*Z30</f>
        <v>138849570.58866113</v>
      </c>
      <c r="AA99" s="164">
        <f>((VLOOKUP($B$76,Energy_demand!$A$34:$F$66,6,FALSE )))*AA30</f>
        <v>131001830.34935571</v>
      </c>
      <c r="AB99" s="164">
        <f>((VLOOKUP($B$76,Energy_demand!$A$34:$F$66,6,FALSE )))*AB30</f>
        <v>116398874.87881176</v>
      </c>
    </row>
    <row r="100" spans="1:28">
      <c r="B100" s="163">
        <v>2031</v>
      </c>
      <c r="C100" s="164">
        <f>((VLOOKUP($B$76,Energy_demand!$A$34:$F$66,6,FALSE )))*C31</f>
        <v>0</v>
      </c>
      <c r="D100" s="164">
        <f>((VLOOKUP($B$76,Energy_demand!$A$34:$F$66,6,FALSE )))*D31</f>
        <v>0</v>
      </c>
      <c r="E100" s="164">
        <f>((VLOOKUP($B$76,Energy_demand!$A$34:$F$66,6,FALSE )))*E31</f>
        <v>0</v>
      </c>
      <c r="F100" s="164">
        <f>((VLOOKUP($B$76,Energy_demand!$A$34:$F$66,6,FALSE )))*F31</f>
        <v>0</v>
      </c>
      <c r="G100" s="164">
        <f>((VLOOKUP($B$76,Energy_demand!$A$34:$F$66,6,FALSE )))*G31</f>
        <v>0</v>
      </c>
      <c r="H100" s="164">
        <f>((VLOOKUP($B$76,Energy_demand!$A$34:$F$66,6,FALSE )))*H31</f>
        <v>0</v>
      </c>
      <c r="I100" s="164">
        <f>((VLOOKUP($B$76,Energy_demand!$A$34:$F$66,6,FALSE )))*I31</f>
        <v>0</v>
      </c>
      <c r="J100" s="164">
        <f>((VLOOKUP($B$76,Energy_demand!$A$34:$F$66,6,FALSE )))*J31</f>
        <v>0</v>
      </c>
      <c r="K100" s="164">
        <f>((VLOOKUP($B$76,Energy_demand!$A$34:$F$66,6,FALSE )))*K31</f>
        <v>0</v>
      </c>
      <c r="L100" s="164">
        <f>((VLOOKUP($B$76,Energy_demand!$A$34:$F$66,6,FALSE )))*L31</f>
        <v>0</v>
      </c>
      <c r="M100" s="164">
        <f>((VLOOKUP($B$76,Energy_demand!$A$34:$F$66,6,FALSE )))*M31</f>
        <v>0</v>
      </c>
      <c r="N100" s="164">
        <f>((VLOOKUP($B$76,Energy_demand!$A$34:$F$66,6,FALSE )))*N31</f>
        <v>0</v>
      </c>
      <c r="O100" s="164">
        <f>((VLOOKUP($B$76,Energy_demand!$A$34:$F$66,6,FALSE )))*O31</f>
        <v>0</v>
      </c>
      <c r="P100" s="164">
        <f>((VLOOKUP($B$76,Energy_demand!$A$34:$F$66,6,FALSE )))*P31</f>
        <v>0</v>
      </c>
      <c r="Q100" s="164">
        <f>((VLOOKUP($B$76,Energy_demand!$A$34:$F$66,6,FALSE )))*Q31</f>
        <v>0</v>
      </c>
      <c r="R100" s="164">
        <f>((VLOOKUP($B$76,Energy_demand!$A$34:$F$66,6,FALSE )))*R31</f>
        <v>0</v>
      </c>
      <c r="S100" s="164">
        <f>((VLOOKUP($B$76,Energy_demand!$A$34:$F$66,6,FALSE )))*S31</f>
        <v>0</v>
      </c>
      <c r="T100" s="164">
        <f>((VLOOKUP($B$76,Energy_demand!$A$34:$F$66,6,FALSE )))*T31</f>
        <v>0</v>
      </c>
      <c r="U100" s="164">
        <f>((VLOOKUP($B$76,Energy_demand!$A$34:$F$66,6,FALSE )))*U31</f>
        <v>0</v>
      </c>
      <c r="V100" s="164">
        <f>((VLOOKUP($B$76,Energy_demand!$A$34:$F$66,6,FALSE )))*V31</f>
        <v>0</v>
      </c>
      <c r="W100" s="164">
        <f>((VLOOKUP($B$76,Energy_demand!$A$34:$F$66,6,FALSE )))*W31</f>
        <v>0</v>
      </c>
      <c r="X100" s="164">
        <f>((VLOOKUP($B$76,Energy_demand!$A$34:$F$66,6,FALSE )))*X31</f>
        <v>0</v>
      </c>
      <c r="Y100" s="164">
        <f>((VLOOKUP($B$76,Energy_demand!$A$34:$F$66,6,FALSE )))*Y31</f>
        <v>0</v>
      </c>
      <c r="Z100" s="164">
        <f>((VLOOKUP($B$76,Energy_demand!$A$34:$F$66,6,FALSE )))*Z31</f>
        <v>0</v>
      </c>
      <c r="AA100" s="164">
        <f>((VLOOKUP($B$76,Energy_demand!$A$34:$F$66,6,FALSE )))*AA31</f>
        <v>140877033.51920468</v>
      </c>
      <c r="AB100" s="164">
        <f>((VLOOKUP($B$76,Energy_demand!$A$34:$F$66,6,FALSE )))*AB31</f>
        <v>132914701.62249425</v>
      </c>
    </row>
    <row r="101" spans="1:28">
      <c r="B101" s="163">
        <v>2032</v>
      </c>
      <c r="C101" s="164">
        <f>((VLOOKUP($B$76,Energy_demand!$A$34:$F$66,6,FALSE )))*C32</f>
        <v>0</v>
      </c>
      <c r="D101" s="164">
        <f>((VLOOKUP($B$76,Energy_demand!$A$34:$F$66,6,FALSE )))*D32</f>
        <v>0</v>
      </c>
      <c r="E101" s="164">
        <f>((VLOOKUP($B$76,Energy_demand!$A$34:$F$66,6,FALSE )))*E32</f>
        <v>0</v>
      </c>
      <c r="F101" s="164">
        <f>((VLOOKUP($B$76,Energy_demand!$A$34:$F$66,6,FALSE )))*F32</f>
        <v>0</v>
      </c>
      <c r="G101" s="164">
        <f>((VLOOKUP($B$76,Energy_demand!$A$34:$F$66,6,FALSE )))*G32</f>
        <v>0</v>
      </c>
      <c r="H101" s="164">
        <f>((VLOOKUP($B$76,Energy_demand!$A$34:$F$66,6,FALSE )))*H32</f>
        <v>0</v>
      </c>
      <c r="I101" s="164">
        <f>((VLOOKUP($B$76,Energy_demand!$A$34:$F$66,6,FALSE )))*I32</f>
        <v>0</v>
      </c>
      <c r="J101" s="164">
        <f>((VLOOKUP($B$76,Energy_demand!$A$34:$F$66,6,FALSE )))*J32</f>
        <v>0</v>
      </c>
      <c r="K101" s="164">
        <f>((VLOOKUP($B$76,Energy_demand!$A$34:$F$66,6,FALSE )))*K32</f>
        <v>0</v>
      </c>
      <c r="L101" s="164">
        <f>((VLOOKUP($B$76,Energy_demand!$A$34:$F$66,6,FALSE )))*L32</f>
        <v>0</v>
      </c>
      <c r="M101" s="164">
        <f>((VLOOKUP($B$76,Energy_demand!$A$34:$F$66,6,FALSE )))*M32</f>
        <v>0</v>
      </c>
      <c r="N101" s="164">
        <f>((VLOOKUP($B$76,Energy_demand!$A$34:$F$66,6,FALSE )))*N32</f>
        <v>0</v>
      </c>
      <c r="O101" s="164">
        <f>((VLOOKUP($B$76,Energy_demand!$A$34:$F$66,6,FALSE )))*O32</f>
        <v>0</v>
      </c>
      <c r="P101" s="164">
        <f>((VLOOKUP($B$76,Energy_demand!$A$34:$F$66,6,FALSE )))*P32</f>
        <v>0</v>
      </c>
      <c r="Q101" s="164">
        <f>((VLOOKUP($B$76,Energy_demand!$A$34:$F$66,6,FALSE )))*Q32</f>
        <v>0</v>
      </c>
      <c r="R101" s="164">
        <f>((VLOOKUP($B$76,Energy_demand!$A$34:$F$66,6,FALSE )))*R32</f>
        <v>0</v>
      </c>
      <c r="S101" s="164">
        <f>((VLOOKUP($B$76,Energy_demand!$A$34:$F$66,6,FALSE )))*S32</f>
        <v>0</v>
      </c>
      <c r="T101" s="164">
        <f>((VLOOKUP($B$76,Energy_demand!$A$34:$F$66,6,FALSE )))*T32</f>
        <v>0</v>
      </c>
      <c r="U101" s="164">
        <f>((VLOOKUP($B$76,Energy_demand!$A$34:$F$66,6,FALSE )))*U32</f>
        <v>0</v>
      </c>
      <c r="V101" s="164">
        <f>((VLOOKUP($B$76,Energy_demand!$A$34:$F$66,6,FALSE )))*V32</f>
        <v>0</v>
      </c>
      <c r="W101" s="164">
        <f>((VLOOKUP($B$76,Energy_demand!$A$34:$F$66,6,FALSE )))*W32</f>
        <v>0</v>
      </c>
      <c r="X101" s="164">
        <f>((VLOOKUP($B$76,Energy_demand!$A$34:$F$66,6,FALSE )))*X32</f>
        <v>0</v>
      </c>
      <c r="Y101" s="164">
        <f>((VLOOKUP($B$76,Energy_demand!$A$34:$F$66,6,FALSE )))*Y32</f>
        <v>0</v>
      </c>
      <c r="Z101" s="164">
        <f>((VLOOKUP($B$76,Energy_demand!$A$34:$F$66,6,FALSE )))*Z32</f>
        <v>0</v>
      </c>
      <c r="AA101" s="164">
        <f>((VLOOKUP($B$76,Energy_demand!$A$34:$F$66,6,FALSE )))*AA32</f>
        <v>0</v>
      </c>
      <c r="AB101" s="164">
        <f>((VLOOKUP($B$76,Energy_demand!$A$34:$F$66,6,FALSE )))*AB32</f>
        <v>143192969.22519562</v>
      </c>
    </row>
    <row r="103" spans="1:28" ht="21">
      <c r="B103" s="52" t="s">
        <v>7763</v>
      </c>
    </row>
    <row r="104" spans="1:28">
      <c r="A104" s="1" t="s">
        <v>7762</v>
      </c>
      <c r="B104" s="163">
        <v>2007</v>
      </c>
      <c r="C104" s="164">
        <f>(C76*Emissions_factors!$E$20)/1000</f>
        <v>1845.2438881657959</v>
      </c>
      <c r="D104" s="164">
        <f>(D76*Emissions_factors!$E$20)/1000</f>
        <v>1706.9786178033617</v>
      </c>
      <c r="E104" s="164">
        <f>(E76*Emissions_factors!$E$20)/1000</f>
        <v>1457.1808140460173</v>
      </c>
      <c r="F104" s="164">
        <f>(F76*Emissions_factors!$E$20)/1000</f>
        <v>1174.5732333366748</v>
      </c>
      <c r="G104" s="164">
        <f>(G76*Emissions_factors!$E$20)/1000</f>
        <v>902.00639896721611</v>
      </c>
      <c r="H104" s="164">
        <f>(H76*Emissions_factors!$E$20)/1000</f>
        <v>663.48810308857651</v>
      </c>
      <c r="I104" s="164">
        <f>(I76*Emissions_factors!$E$20)/1000</f>
        <v>469.20906599894079</v>
      </c>
      <c r="J104" s="164">
        <f>(J76*Emissions_factors!$E$20)/1000</f>
        <v>319.90468870436513</v>
      </c>
      <c r="K104" s="164">
        <f>(K76*Emissions_factors!$E$20)/1000</f>
        <v>210.74170953175451</v>
      </c>
      <c r="L104" s="164">
        <f>(L76*Emissions_factors!$E$20)/1000</f>
        <v>134.38026473866131</v>
      </c>
      <c r="M104" s="164">
        <f>(M76*Emissions_factors!$E$20)/1000</f>
        <v>83.067018474890645</v>
      </c>
      <c r="N104" s="164">
        <f>(N76*Emissions_factors!$E$20)/1000</f>
        <v>49.841155470883784</v>
      </c>
      <c r="O104" s="164">
        <f>(O76*Emissions_factors!$E$20)/1000</f>
        <v>29.060209851505572</v>
      </c>
      <c r="P104" s="164">
        <f>(P76*Emissions_factors!$E$20)/1000</f>
        <v>16.481135164984977</v>
      </c>
      <c r="Q104" s="164">
        <f>(Q76*Emissions_factors!$E$20)/1000</f>
        <v>9.0998159449394329</v>
      </c>
      <c r="R104" s="164">
        <f>(R76*Emissions_factors!$E$20)/1000</f>
        <v>4.8952593516549587</v>
      </c>
      <c r="S104" s="164">
        <f>(S76*Emissions_factors!$E$20)/1000</f>
        <v>2.5675824637418034</v>
      </c>
      <c r="T104" s="164">
        <f>(T76*Emissions_factors!$E$20)/1000</f>
        <v>1.3138904500920798</v>
      </c>
      <c r="U104" s="164">
        <f>(U76*Emissions_factors!$E$20)/1000</f>
        <v>0.65635209507135084</v>
      </c>
      <c r="V104" s="164">
        <f>(V76*Emissions_factors!$E$20)/1000</f>
        <v>0.32025366573638153</v>
      </c>
      <c r="W104" s="164">
        <f>(W76*Emissions_factors!$E$20)/1000</f>
        <v>0.15270373836293993</v>
      </c>
      <c r="X104" s="164">
        <f>(X76*Emissions_factors!$E$20)/1000</f>
        <v>7.1188000569926149E-2</v>
      </c>
      <c r="Y104" s="164">
        <f>(Y76*Emissions_factors!$E$20)/1000</f>
        <v>3.2460482047086361E-2</v>
      </c>
      <c r="Z104" s="164">
        <f>(Z76*Emissions_factors!$E$20)/1000</f>
        <v>1.4483429751841971E-2</v>
      </c>
      <c r="AA104" s="164">
        <f>(AA76*Emissions_factors!$E$20)/1000</f>
        <v>6.3259018410423253E-3</v>
      </c>
      <c r="AB104" s="164">
        <f>(AB76*Emissions_factors!$E$20)/1000</f>
        <v>2.7056058107759692E-3</v>
      </c>
    </row>
    <row r="105" spans="1:28">
      <c r="B105" s="163">
        <v>2008</v>
      </c>
      <c r="C105" s="164">
        <f>(C77*Emissions_factors!$E$20)/1000</f>
        <v>0</v>
      </c>
      <c r="D105" s="164">
        <f>(D77*Emissions_factors!$E$20)/1000</f>
        <v>2951.3619001922139</v>
      </c>
      <c r="E105" s="164">
        <f>(E77*Emissions_factors!$E$20)/1000</f>
        <v>2730.2145203338828</v>
      </c>
      <c r="F105" s="164">
        <f>(F77*Emissions_factors!$E$20)/1000</f>
        <v>2330.6772420969387</v>
      </c>
      <c r="G105" s="164">
        <f>(G77*Emissions_factors!$E$20)/1000</f>
        <v>1878.6626050290249</v>
      </c>
      <c r="H105" s="164">
        <f>(H77*Emissions_factors!$E$20)/1000</f>
        <v>1442.7075665795262</v>
      </c>
      <c r="I105" s="164">
        <f>(I77*Emissions_factors!$E$20)/1000</f>
        <v>1061.2112150838261</v>
      </c>
      <c r="J105" s="164">
        <f>(J77*Emissions_factors!$E$20)/1000</f>
        <v>750.47302391586209</v>
      </c>
      <c r="K105" s="164">
        <f>(K77*Emissions_factors!$E$20)/1000</f>
        <v>511.66922485971173</v>
      </c>
      <c r="L105" s="164">
        <f>(L77*Emissions_factors!$E$20)/1000</f>
        <v>337.06929272728729</v>
      </c>
      <c r="M105" s="164">
        <f>(M77*Emissions_factors!$E$20)/1000</f>
        <v>214.93353590330011</v>
      </c>
      <c r="N105" s="164">
        <f>(N77*Emissions_factors!$E$20)/1000</f>
        <v>132.86093782055497</v>
      </c>
      <c r="O105" s="164">
        <f>(O77*Emissions_factors!$E$20)/1000</f>
        <v>79.718073183562908</v>
      </c>
      <c r="P105" s="164">
        <f>(P77*Emissions_factors!$E$20)/1000</f>
        <v>46.480141035761967</v>
      </c>
      <c r="Q105" s="164">
        <f>(Q77*Emissions_factors!$E$20)/1000</f>
        <v>26.360631626969134</v>
      </c>
      <c r="R105" s="164">
        <f>(R77*Emissions_factors!$E$20)/1000</f>
        <v>14.554634349908087</v>
      </c>
      <c r="S105" s="164">
        <f>(S77*Emissions_factors!$E$20)/1000</f>
        <v>7.8296869236051627</v>
      </c>
      <c r="T105" s="164">
        <f>(T77*Emissions_factors!$E$20)/1000</f>
        <v>4.1067010749574901</v>
      </c>
      <c r="U105" s="164">
        <f>(U77*Emissions_factors!$E$20)/1000</f>
        <v>2.1014925128855073</v>
      </c>
      <c r="V105" s="164">
        <f>(V77*Emissions_factors!$E$20)/1000</f>
        <v>1.0497975790238034</v>
      </c>
      <c r="W105" s="164">
        <f>(W77*Emissions_factors!$E$20)/1000</f>
        <v>0.51222739363238234</v>
      </c>
      <c r="X105" s="164">
        <f>(X77*Emissions_factors!$E$20)/1000</f>
        <v>0.24424088236340868</v>
      </c>
      <c r="Y105" s="164">
        <f>(Y77*Emissions_factors!$E$20)/1000</f>
        <v>0.11386112913333431</v>
      </c>
      <c r="Z105" s="164">
        <f>(Z77*Emissions_factors!$E$20)/1000</f>
        <v>5.1918681638812254E-2</v>
      </c>
      <c r="AA105" s="164">
        <f>(AA77*Emissions_factors!$E$20)/1000</f>
        <v>2.3165416250849565E-2</v>
      </c>
      <c r="AB105" s="164">
        <f>(AB77*Emissions_factors!$E$20)/1000</f>
        <v>1.0117917635574137E-2</v>
      </c>
    </row>
    <row r="106" spans="1:28">
      <c r="B106" s="163">
        <v>2009</v>
      </c>
      <c r="C106" s="164">
        <f>(C78*Emissions_factors!$E$20)/1000</f>
        <v>0</v>
      </c>
      <c r="D106" s="164">
        <f>(D78*Emissions_factors!$E$20)/1000</f>
        <v>0</v>
      </c>
      <c r="E106" s="164">
        <f>(E78*Emissions_factors!$E$20)/1000</f>
        <v>2806.5761755407261</v>
      </c>
      <c r="F106" s="164">
        <f>(F78*Emissions_factors!$E$20)/1000</f>
        <v>2596.2776799366375</v>
      </c>
      <c r="G106" s="164">
        <f>(G78*Emissions_factors!$E$20)/1000</f>
        <v>2216.3406053721242</v>
      </c>
      <c r="H106" s="164">
        <f>(H78*Emissions_factors!$E$20)/1000</f>
        <v>1786.5005673517528</v>
      </c>
      <c r="I106" s="164">
        <f>(I78*Emissions_factors!$E$20)/1000</f>
        <v>1371.9322880635987</v>
      </c>
      <c r="J106" s="164">
        <f>(J78*Emissions_factors!$E$20)/1000</f>
        <v>1009.151101827573</v>
      </c>
      <c r="K106" s="164">
        <f>(K78*Emissions_factors!$E$20)/1000</f>
        <v>713.65687453344481</v>
      </c>
      <c r="L106" s="164">
        <f>(L78*Emissions_factors!$E$20)/1000</f>
        <v>486.56813525821167</v>
      </c>
      <c r="M106" s="164">
        <f>(M78*Emissions_factors!$E$20)/1000</f>
        <v>320.53359718886276</v>
      </c>
      <c r="N106" s="164">
        <f>(N78*Emissions_factors!$E$20)/1000</f>
        <v>204.38948580031575</v>
      </c>
      <c r="O106" s="164">
        <f>(O78*Emissions_factors!$E$20)/1000</f>
        <v>126.34314440492118</v>
      </c>
      <c r="P106" s="164">
        <f>(P78*Emissions_factors!$E$20)/1000</f>
        <v>75.807323033623391</v>
      </c>
      <c r="Q106" s="164">
        <f>(Q78*Emissions_factors!$E$20)/1000</f>
        <v>44.199952726314777</v>
      </c>
      <c r="R106" s="164">
        <f>(R78*Emissions_factors!$E$20)/1000</f>
        <v>25.067451298208677</v>
      </c>
      <c r="S106" s="164">
        <f>(S78*Emissions_factors!$E$20)/1000</f>
        <v>13.840623885365723</v>
      </c>
      <c r="T106" s="164">
        <f>(T78*Emissions_factors!$E$20)/1000</f>
        <v>7.445583945602154</v>
      </c>
      <c r="U106" s="164">
        <f>(U78*Emissions_factors!$E$20)/1000</f>
        <v>3.9052375773681107</v>
      </c>
      <c r="V106" s="164">
        <f>(V78*Emissions_factors!$E$20)/1000</f>
        <v>1.9983990507424925</v>
      </c>
      <c r="W106" s="164">
        <f>(W78*Emissions_factors!$E$20)/1000</f>
        <v>0.99829738746598728</v>
      </c>
      <c r="X106" s="164">
        <f>(X78*Emissions_factors!$E$20)/1000</f>
        <v>0.48709892180092812</v>
      </c>
      <c r="Y106" s="164">
        <f>(Y78*Emissions_factors!$E$20)/1000</f>
        <v>0.23225909417938362</v>
      </c>
      <c r="Z106" s="164">
        <f>(Z78*Emissions_factors!$E$20)/1000</f>
        <v>0.1082754142502721</v>
      </c>
      <c r="AA106" s="164">
        <f>(AA78*Emissions_factors!$E$20)/1000</f>
        <v>4.9371693435320246E-2</v>
      </c>
      <c r="AB106" s="164">
        <f>(AB78*Emissions_factors!$E$20)/1000</f>
        <v>2.2028984429826814E-2</v>
      </c>
    </row>
    <row r="107" spans="1:28">
      <c r="B107" s="163">
        <v>2010</v>
      </c>
      <c r="C107" s="164">
        <f>(C79*Emissions_factors!$E$20)/1000</f>
        <v>0</v>
      </c>
      <c r="D107" s="164">
        <f>(D79*Emissions_factors!$E$20)/1000</f>
        <v>0</v>
      </c>
      <c r="E107" s="164">
        <f>(E79*Emissions_factors!$E$20)/1000</f>
        <v>0</v>
      </c>
      <c r="F107" s="164">
        <f>(F79*Emissions_factors!$E$20)/1000</f>
        <v>3241.5374205526591</v>
      </c>
      <c r="G107" s="164">
        <f>(G79*Emissions_factors!$E$20)/1000</f>
        <v>2998.6470087664038</v>
      </c>
      <c r="H107" s="164">
        <f>(H79*Emissions_factors!$E$20)/1000</f>
        <v>2559.827547748605</v>
      </c>
      <c r="I107" s="164">
        <f>(I79*Emissions_factors!$E$20)/1000</f>
        <v>2063.3711963273354</v>
      </c>
      <c r="J107" s="164">
        <f>(J79*Emissions_factors!$E$20)/1000</f>
        <v>1584.5534103009966</v>
      </c>
      <c r="K107" s="164">
        <f>(K79*Emissions_factors!$E$20)/1000</f>
        <v>1165.5486453831179</v>
      </c>
      <c r="L107" s="164">
        <f>(L79*Emissions_factors!$E$20)/1000</f>
        <v>824.25892601654311</v>
      </c>
      <c r="M107" s="164">
        <f>(M79*Emissions_factors!$E$20)/1000</f>
        <v>561.97613014517447</v>
      </c>
      <c r="N107" s="164">
        <f>(N79*Emissions_factors!$E$20)/1000</f>
        <v>370.20967358274868</v>
      </c>
      <c r="O107" s="164">
        <f>(O79*Emissions_factors!$E$20)/1000</f>
        <v>236.0656277079645</v>
      </c>
      <c r="P107" s="164">
        <f>(P79*Emissions_factors!$E$20)/1000</f>
        <v>145.92371801201355</v>
      </c>
      <c r="Q107" s="164">
        <f>(Q79*Emissions_factors!$E$20)/1000</f>
        <v>87.555889808716884</v>
      </c>
      <c r="R107" s="164">
        <f>(R79*Emissions_factors!$E$20)/1000</f>
        <v>51.050030994225125</v>
      </c>
      <c r="S107" s="164">
        <f>(S79*Emissions_factors!$E$20)/1000</f>
        <v>28.952387656240777</v>
      </c>
      <c r="T107" s="164">
        <f>(T79*Emissions_factors!$E$20)/1000</f>
        <v>15.985634254008476</v>
      </c>
      <c r="U107" s="164">
        <f>(U79*Emissions_factors!$E$20)/1000</f>
        <v>8.5994954235958083</v>
      </c>
      <c r="V107" s="164">
        <f>(V79*Emissions_factors!$E$20)/1000</f>
        <v>4.5104686106544793</v>
      </c>
      <c r="W107" s="164">
        <f>(W79*Emissions_factors!$E$20)/1000</f>
        <v>2.3081095609067681</v>
      </c>
      <c r="X107" s="164">
        <f>(X79*Emissions_factors!$E$20)/1000</f>
        <v>1.1530128298361586</v>
      </c>
      <c r="Y107" s="164">
        <f>(Y79*Emissions_factors!$E$20)/1000</f>
        <v>0.56258917762114746</v>
      </c>
      <c r="Z107" s="164">
        <f>(Z79*Emissions_factors!$E$20)/1000</f>
        <v>0.26825444882182264</v>
      </c>
      <c r="AA107" s="164">
        <f>(AA79*Emissions_factors!$E$20)/1000</f>
        <v>0.12505586346697922</v>
      </c>
      <c r="AB107" s="164">
        <f>(AB79*Emissions_factors!$E$20)/1000</f>
        <v>5.7023284520617251E-2</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11708.715477221163</v>
      </c>
      <c r="H108" s="164">
        <f>(H80*Emissions_factors!$E$20)/1000</f>
        <v>10831.374155872025</v>
      </c>
      <c r="I108" s="164">
        <f>(I80*Emissions_factors!$E$20)/1000</f>
        <v>9246.3200447123399</v>
      </c>
      <c r="J108" s="164">
        <f>(J80*Emissions_factors!$E$20)/1000</f>
        <v>7453.0764656640013</v>
      </c>
      <c r="K108" s="164">
        <f>(K80*Emissions_factors!$E$20)/1000</f>
        <v>5723.544921012106</v>
      </c>
      <c r="L108" s="164">
        <f>(L80*Emissions_factors!$E$20)/1000</f>
        <v>4210.0632178803435</v>
      </c>
      <c r="M108" s="164">
        <f>(M80*Emissions_factors!$E$20)/1000</f>
        <v>2977.2950276915708</v>
      </c>
      <c r="N108" s="164">
        <f>(N80*Emissions_factors!$E$20)/1000</f>
        <v>2029.9067260922789</v>
      </c>
      <c r="O108" s="164">
        <f>(O80*Emissions_factors!$E$20)/1000</f>
        <v>1337.229583533943</v>
      </c>
      <c r="P108" s="164">
        <f>(P80*Emissions_factors!$E$20)/1000</f>
        <v>852.68960686960895</v>
      </c>
      <c r="Q108" s="164">
        <f>(Q80*Emissions_factors!$E$20)/1000</f>
        <v>527.08917834723593</v>
      </c>
      <c r="R108" s="164">
        <f>(R80*Emissions_factors!$E$20)/1000</f>
        <v>316.25949946627793</v>
      </c>
      <c r="S108" s="164">
        <f>(S80*Emissions_factors!$E$20)/1000</f>
        <v>184.39715803521253</v>
      </c>
      <c r="T108" s="164">
        <f>(T80*Emissions_factors!$E$20)/1000</f>
        <v>104.57854575540796</v>
      </c>
      <c r="U108" s="164">
        <f>(U80*Emissions_factors!$E$20)/1000</f>
        <v>57.741503157225445</v>
      </c>
      <c r="V108" s="164">
        <f>(V80*Emissions_factors!$E$20)/1000</f>
        <v>31.062126423140914</v>
      </c>
      <c r="W108" s="164">
        <f>(W80*Emissions_factors!$E$20)/1000</f>
        <v>16.292205450488463</v>
      </c>
      <c r="X108" s="164">
        <f>(X80*Emissions_factors!$E$20)/1000</f>
        <v>8.3370927534452619</v>
      </c>
      <c r="Y108" s="164">
        <f>(Y80*Emissions_factors!$E$20)/1000</f>
        <v>4.164782760346939</v>
      </c>
      <c r="Z108" s="164">
        <f>(Z80*Emissions_factors!$E$20)/1000</f>
        <v>2.0321211069674416</v>
      </c>
      <c r="AA108" s="164">
        <f>(AA80*Emissions_factors!$E$20)/1000</f>
        <v>0.96895843214359778</v>
      </c>
      <c r="AB108" s="164">
        <f>(AB80*Emissions_factors!$E$20)/1000</f>
        <v>0.45171267029316992</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27731.966247686036</v>
      </c>
      <c r="I109" s="164">
        <f>(I81*Emissions_factors!$E$20)/1000</f>
        <v>25653.992796312275</v>
      </c>
      <c r="J109" s="164">
        <f>(J81*Emissions_factors!$E$20)/1000</f>
        <v>21899.809239887811</v>
      </c>
      <c r="K109" s="164">
        <f>(K81*Emissions_factors!$E$20)/1000</f>
        <v>17652.531175543667</v>
      </c>
      <c r="L109" s="164">
        <f>(L81*Emissions_factors!$E$20)/1000</f>
        <v>13556.154377089098</v>
      </c>
      <c r="M109" s="164">
        <f>(M81*Emissions_factors!$E$20)/1000</f>
        <v>9971.4892966714469</v>
      </c>
      <c r="N109" s="164">
        <f>(N81*Emissions_factors!$E$20)/1000</f>
        <v>7051.6911422073081</v>
      </c>
      <c r="O109" s="164">
        <f>(O81*Emissions_factors!$E$20)/1000</f>
        <v>4807.81217405601</v>
      </c>
      <c r="P109" s="164">
        <f>(P81*Emissions_factors!$E$20)/1000</f>
        <v>3167.2138372578961</v>
      </c>
      <c r="Q109" s="164">
        <f>(Q81*Emissions_factors!$E$20)/1000</f>
        <v>2019.5861316695657</v>
      </c>
      <c r="R109" s="164">
        <f>(R81*Emissions_factors!$E$20)/1000</f>
        <v>1248.4050305845526</v>
      </c>
      <c r="S109" s="164">
        <f>(S81*Emissions_factors!$E$20)/1000</f>
        <v>749.05721142268351</v>
      </c>
      <c r="T109" s="164">
        <f>(T81*Emissions_factors!$E$20)/1000</f>
        <v>436.74267879770684</v>
      </c>
      <c r="U109" s="164">
        <f>(U81*Emissions_factors!$E$20)/1000</f>
        <v>247.69315701310066</v>
      </c>
      <c r="V109" s="164">
        <f>(V81*Emissions_factors!$E$20)/1000</f>
        <v>136.76012708328844</v>
      </c>
      <c r="W109" s="164">
        <f>(W81*Emissions_factors!$E$20)/1000</f>
        <v>73.570311211656517</v>
      </c>
      <c r="X109" s="164">
        <f>(X81*Emissions_factors!$E$20)/1000</f>
        <v>38.587912784480949</v>
      </c>
      <c r="Y109" s="164">
        <f>(Y81*Emissions_factors!$E$20)/1000</f>
        <v>19.746314212875859</v>
      </c>
      <c r="Z109" s="164">
        <f>(Z81*Emissions_factors!$E$20)/1000</f>
        <v>9.8642430216689405</v>
      </c>
      <c r="AA109" s="164">
        <f>(AA81*Emissions_factors!$E$20)/1000</f>
        <v>4.8130569112612998</v>
      </c>
      <c r="AB109" s="164">
        <f>(AB81*Emissions_factors!$E$20)/1000</f>
        <v>2.2949675895612738</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45330.607616107387</v>
      </c>
      <c r="J110" s="164">
        <f>(J82*Emissions_factors!$E$20)/1000</f>
        <v>41933.957038949993</v>
      </c>
      <c r="K110" s="164">
        <f>(K82*Emissions_factors!$E$20)/1000</f>
        <v>35797.377317368948</v>
      </c>
      <c r="L110" s="164">
        <f>(L82*Emissions_factors!$E$20)/1000</f>
        <v>28854.786458440958</v>
      </c>
      <c r="M110" s="164">
        <f>(M82*Emissions_factors!$E$20)/1000</f>
        <v>22158.858458241397</v>
      </c>
      <c r="N110" s="164">
        <f>(N82*Emissions_factors!$E$20)/1000</f>
        <v>16299.373243804668</v>
      </c>
      <c r="O110" s="164">
        <f>(O82*Emissions_factors!$E$20)/1000</f>
        <v>11526.677962261399</v>
      </c>
      <c r="P110" s="164">
        <f>(P82*Emissions_factors!$E$20)/1000</f>
        <v>7858.8386127241256</v>
      </c>
      <c r="Q110" s="164">
        <f>(Q82*Emissions_factors!$E$20)/1000</f>
        <v>5177.1203819715865</v>
      </c>
      <c r="R110" s="164">
        <f>(R82*Emissions_factors!$E$20)/1000</f>
        <v>3301.2107999837258</v>
      </c>
      <c r="S110" s="164">
        <f>(S82*Emissions_factors!$E$20)/1000</f>
        <v>2040.6399633536575</v>
      </c>
      <c r="T110" s="164">
        <f>(T82*Emissions_factors!$E$20)/1000</f>
        <v>1224.4071779746414</v>
      </c>
      <c r="U110" s="164">
        <f>(U82*Emissions_factors!$E$20)/1000</f>
        <v>713.89856835118599</v>
      </c>
      <c r="V110" s="164">
        <f>(V82*Emissions_factors!$E$20)/1000</f>
        <v>404.87865914277239</v>
      </c>
      <c r="W110" s="164">
        <f>(W82*Emissions_factors!$E$20)/1000</f>
        <v>223.54778608093869</v>
      </c>
      <c r="X110" s="164">
        <f>(X82*Emissions_factors!$E$20)/1000</f>
        <v>120.25785982661006</v>
      </c>
      <c r="Y110" s="164">
        <f>(Y82*Emissions_factors!$E$20)/1000</f>
        <v>63.07571261031066</v>
      </c>
      <c r="Z110" s="164">
        <f>(Z82*Emissions_factors!$E$20)/1000</f>
        <v>32.277279348085479</v>
      </c>
      <c r="AA110" s="164">
        <f>(AA82*Emissions_factors!$E$20)/1000</f>
        <v>16.124068731783876</v>
      </c>
      <c r="AB110" s="164">
        <f>(AB82*Emissions_factors!$E$20)/1000</f>
        <v>7.8674116479780709</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46843.676163526638</v>
      </c>
      <c r="K111" s="164">
        <f>(K83*Emissions_factors!$E$20)/1000</f>
        <v>43333.650420556463</v>
      </c>
      <c r="L111" s="164">
        <f>(L83*Emissions_factors!$E$20)/1000</f>
        <v>36992.240756167506</v>
      </c>
      <c r="M111" s="164">
        <f>(M83*Emissions_factors!$E$20)/1000</f>
        <v>29817.916496372607</v>
      </c>
      <c r="N111" s="164">
        <f>(N83*Emissions_factors!$E$20)/1000</f>
        <v>22898.488336221821</v>
      </c>
      <c r="O111" s="164">
        <f>(O83*Emissions_factors!$E$20)/1000</f>
        <v>16843.422183247618</v>
      </c>
      <c r="P111" s="164">
        <f>(P83*Emissions_factors!$E$20)/1000</f>
        <v>11911.421401586736</v>
      </c>
      <c r="Q111" s="164">
        <f>(Q83*Emissions_factors!$E$20)/1000</f>
        <v>8121.1550066462669</v>
      </c>
      <c r="R111" s="164">
        <f>(R83*Emissions_factors!$E$20)/1000</f>
        <v>5349.9249929863508</v>
      </c>
      <c r="S111" s="164">
        <f>(S83*Emissions_factors!$E$20)/1000</f>
        <v>3411.4003273811318</v>
      </c>
      <c r="T111" s="164">
        <f>(T83*Emissions_factors!$E$20)/1000</f>
        <v>2108.7535031346697</v>
      </c>
      <c r="U111" s="164">
        <f>(U83*Emissions_factors!$E$20)/1000</f>
        <v>1265.276076223636</v>
      </c>
      <c r="V111" s="164">
        <f>(V83*Emissions_factors!$E$20)/1000</f>
        <v>737.72744527618863</v>
      </c>
      <c r="W111" s="164">
        <f>(W83*Emissions_factors!$E$20)/1000</f>
        <v>418.39290915808721</v>
      </c>
      <c r="X111" s="164">
        <f>(X83*Emissions_factors!$E$20)/1000</f>
        <v>231.00948010517862</v>
      </c>
      <c r="Y111" s="164">
        <f>(Y83*Emissions_factors!$E$20)/1000</f>
        <v>124.27188908526354</v>
      </c>
      <c r="Z111" s="164">
        <f>(Z83*Emissions_factors!$E$20)/1000</f>
        <v>65.181086481866814</v>
      </c>
      <c r="AA111" s="164">
        <f>(AA83*Emissions_factors!$E$20)/1000</f>
        <v>33.354647129948155</v>
      </c>
      <c r="AB111" s="164">
        <f>(AB83*Emissions_factors!$E$20)/1000</f>
        <v>16.662266266242238</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43411.314894672963</v>
      </c>
      <c r="L112" s="164">
        <f>(L84*Emissions_factors!$E$20)/1000</f>
        <v>40158.478112936158</v>
      </c>
      <c r="M112" s="164">
        <f>(M84*Emissions_factors!$E$20)/1000</f>
        <v>34281.720472141591</v>
      </c>
      <c r="N112" s="164">
        <f>(N84*Emissions_factors!$E$20)/1000</f>
        <v>27633.078113006122</v>
      </c>
      <c r="O112" s="164">
        <f>(O84*Emissions_factors!$E$20)/1000</f>
        <v>21220.654935483268</v>
      </c>
      <c r="P112" s="164">
        <f>(P84*Emissions_factors!$E$20)/1000</f>
        <v>15609.25965221757</v>
      </c>
      <c r="Q112" s="164">
        <f>(Q84*Emissions_factors!$E$20)/1000</f>
        <v>11038.639740875946</v>
      </c>
      <c r="R112" s="164">
        <f>(R84*Emissions_factors!$E$20)/1000</f>
        <v>7526.0962882429149</v>
      </c>
      <c r="S112" s="164">
        <f>(S84*Emissions_factors!$E$20)/1000</f>
        <v>4957.9216994554235</v>
      </c>
      <c r="T112" s="164">
        <f>(T84*Emissions_factors!$E$20)/1000</f>
        <v>3161.4379137699066</v>
      </c>
      <c r="U112" s="164">
        <f>(U84*Emissions_factors!$E$20)/1000</f>
        <v>1954.2395016192511</v>
      </c>
      <c r="V112" s="164">
        <f>(V84*Emissions_factors!$E$20)/1000</f>
        <v>1172.5659186502514</v>
      </c>
      <c r="W112" s="164">
        <f>(W84*Emissions_factors!$E$20)/1000</f>
        <v>683.67218493972644</v>
      </c>
      <c r="X112" s="164">
        <f>(X84*Emissions_factors!$E$20)/1000</f>
        <v>387.73614320436417</v>
      </c>
      <c r="Y112" s="164">
        <f>(Y84*Emissions_factors!$E$20)/1000</f>
        <v>214.08279848687278</v>
      </c>
      <c r="Z112" s="164">
        <f>(Z84*Emissions_factors!$E$20)/1000</f>
        <v>115.16615585001298</v>
      </c>
      <c r="AA112" s="164">
        <f>(AA84*Emissions_factors!$E$20)/1000</f>
        <v>60.405094180981642</v>
      </c>
      <c r="AB112" s="164">
        <f>(AB84*Emissions_factors!$E$20)/1000</f>
        <v>30.910663046686651</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40568.708885478794</v>
      </c>
      <c r="M113" s="164">
        <f>(M85*Emissions_factors!$E$20)/1000</f>
        <v>37528.870337154811</v>
      </c>
      <c r="N113" s="164">
        <f>(N85*Emissions_factors!$E$20)/1000</f>
        <v>32036.927268893509</v>
      </c>
      <c r="O113" s="164">
        <f>(O85*Emissions_factors!$E$20)/1000</f>
        <v>25823.643082366176</v>
      </c>
      <c r="P113" s="164">
        <f>(P85*Emissions_factors!$E$20)/1000</f>
        <v>19831.110265274656</v>
      </c>
      <c r="Q113" s="164">
        <f>(Q85*Emissions_factors!$E$20)/1000</f>
        <v>14587.15342497886</v>
      </c>
      <c r="R113" s="164">
        <f>(R85*Emissions_factors!$E$20)/1000</f>
        <v>10315.821191452234</v>
      </c>
      <c r="S113" s="164">
        <f>(S85*Emissions_factors!$E$20)/1000</f>
        <v>7033.2817631210673</v>
      </c>
      <c r="T113" s="164">
        <f>(T85*Emissions_factors!$E$20)/1000</f>
        <v>4633.2732051589383</v>
      </c>
      <c r="U113" s="164">
        <f>(U85*Emissions_factors!$E$20)/1000</f>
        <v>2954.4245479416486</v>
      </c>
      <c r="V113" s="164">
        <f>(V85*Emissions_factors!$E$20)/1000</f>
        <v>1826.2744085511031</v>
      </c>
      <c r="W113" s="164">
        <f>(W85*Emissions_factors!$E$20)/1000</f>
        <v>1095.7854079788158</v>
      </c>
      <c r="X113" s="164">
        <f>(X85*Emissions_factors!$E$20)/1000</f>
        <v>638.90480883182033</v>
      </c>
      <c r="Y113" s="164">
        <f>(Y85*Emissions_factors!$E$20)/1000</f>
        <v>362.34688482026144</v>
      </c>
      <c r="Z113" s="164">
        <f>(Z85*Emissions_factors!$E$20)/1000</f>
        <v>200.06449356060193</v>
      </c>
      <c r="AA113" s="164">
        <f>(AA85*Emissions_factors!$E$20)/1000</f>
        <v>107.6249881275119</v>
      </c>
      <c r="AB113" s="164">
        <f>(AB85*Emissions_factors!$E$20)/1000</f>
        <v>56.449722542932768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33564.952568096727</v>
      </c>
      <c r="N114" s="164">
        <f>(N86*Emissions_factors!$E$20)/1000</f>
        <v>31049.909829684908</v>
      </c>
      <c r="O114" s="164">
        <f>(O86*Emissions_factors!$E$20)/1000</f>
        <v>26506.092349241015</v>
      </c>
      <c r="P114" s="164">
        <f>(P86*Emissions_factors!$E$20)/1000</f>
        <v>21365.465626275629</v>
      </c>
      <c r="Q114" s="164">
        <f>(Q86*Emissions_factors!$E$20)/1000</f>
        <v>16407.479895543245</v>
      </c>
      <c r="R114" s="164">
        <f>(R86*Emissions_factors!$E$20)/1000</f>
        <v>12068.836457061105</v>
      </c>
      <c r="S114" s="164">
        <f>(S86*Emissions_factors!$E$20)/1000</f>
        <v>8534.9043266200279</v>
      </c>
      <c r="T114" s="164">
        <f>(T86*Emissions_factors!$E$20)/1000</f>
        <v>5819.0604350664498</v>
      </c>
      <c r="U114" s="164">
        <f>(U86*Emissions_factors!$E$20)/1000</f>
        <v>3833.3878409884201</v>
      </c>
      <c r="V114" s="164">
        <f>(V86*Emissions_factors!$E$20)/1000</f>
        <v>2444.3745571892559</v>
      </c>
      <c r="W114" s="164">
        <f>(W86*Emissions_factors!$E$20)/1000</f>
        <v>1510.9875463965786</v>
      </c>
      <c r="X114" s="164">
        <f>(X86*Emissions_factors!$E$20)/1000</f>
        <v>906.60970620108981</v>
      </c>
      <c r="Y114" s="164">
        <f>(Y86*Emissions_factors!$E$20)/1000</f>
        <v>528.60468555963666</v>
      </c>
      <c r="Z114" s="164">
        <f>(Z86*Emissions_factors!$E$20)/1000</f>
        <v>299.79154713851443</v>
      </c>
      <c r="AA114" s="164">
        <f>(AA86*Emissions_factors!$E$20)/1000</f>
        <v>165.52548556272953</v>
      </c>
      <c r="AB114" s="164">
        <f>(AB86*Emissions_factors!$E$20)/1000</f>
        <v>89.044678050746313</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34259.542752690199</v>
      </c>
      <c r="O115" s="164">
        <f>(O87*Emissions_factors!$E$20)/1000</f>
        <v>31692.453940434243</v>
      </c>
      <c r="P115" s="164">
        <f>(P87*Emissions_factors!$E$20)/1000</f>
        <v>27054.607099570501</v>
      </c>
      <c r="Q115" s="164">
        <f>(Q87*Emissions_factors!$E$20)/1000</f>
        <v>21807.60069806434</v>
      </c>
      <c r="R115" s="164">
        <f>(R87*Emissions_factors!$E$20)/1000</f>
        <v>16747.014845465721</v>
      </c>
      <c r="S115" s="164">
        <f>(S87*Emissions_factors!$E$20)/1000</f>
        <v>12318.587900193081</v>
      </c>
      <c r="T115" s="164">
        <f>(T87*Emissions_factors!$E$20)/1000</f>
        <v>8711.5248881920234</v>
      </c>
      <c r="U115" s="164">
        <f>(U87*Emissions_factors!$E$20)/1000</f>
        <v>5939.4795613426804</v>
      </c>
      <c r="V115" s="164">
        <f>(V87*Emissions_factors!$E$20)/1000</f>
        <v>3912.7156327583784</v>
      </c>
      <c r="W115" s="164">
        <f>(W87*Emissions_factors!$E$20)/1000</f>
        <v>2494.9582298891974</v>
      </c>
      <c r="X115" s="164">
        <f>(X87*Emissions_factors!$E$20)/1000</f>
        <v>1542.2557901589007</v>
      </c>
      <c r="Y115" s="164">
        <f>(Y87*Emissions_factors!$E$20)/1000</f>
        <v>925.37100794602338</v>
      </c>
      <c r="Z115" s="164">
        <f>(Z87*Emissions_factors!$E$20)/1000</f>
        <v>539.54358456075795</v>
      </c>
      <c r="AA115" s="164">
        <f>(AA87*Emissions_factors!$E$20)/1000</f>
        <v>305.99540712145466</v>
      </c>
      <c r="AB115" s="164">
        <f>(AB87*Emissions_factors!$E$20)/1000</f>
        <v>168.95085544337167</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40369.160086585274</v>
      </c>
      <c r="P116" s="164">
        <f>(P88*Emissions_factors!$E$20)/1000</f>
        <v>37344.273853674153</v>
      </c>
      <c r="Q116" s="164">
        <f>(Q88*Emissions_factors!$E$20)/1000</f>
        <v>31879.344478304996</v>
      </c>
      <c r="R116" s="164">
        <f>(R88*Emissions_factors!$E$20)/1000</f>
        <v>25696.622107291816</v>
      </c>
      <c r="S116" s="164">
        <f>(S88*Emissions_factors!$E$20)/1000</f>
        <v>19733.565276960351</v>
      </c>
      <c r="T116" s="164">
        <f>(T88*Emissions_factors!$E$20)/1000</f>
        <v>14515.402338360673</v>
      </c>
      <c r="U116" s="164">
        <f>(U88*Emissions_factors!$E$20)/1000</f>
        <v>10265.079874193023</v>
      </c>
      <c r="V116" s="164">
        <f>(V88*Emissions_factors!$E$20)/1000</f>
        <v>6998.6865549749982</v>
      </c>
      <c r="W116" s="164">
        <f>(W88*Emissions_factors!$E$20)/1000</f>
        <v>4610.4831256016887</v>
      </c>
      <c r="X116" s="164">
        <f>(X88*Emissions_factors!$E$20)/1000</f>
        <v>2939.8923657214177</v>
      </c>
      <c r="Y116" s="164">
        <f>(Y88*Emissions_factors!$E$20)/1000</f>
        <v>1817.2913554866075</v>
      </c>
      <c r="Z116" s="164">
        <f>(Z88*Emissions_factors!$E$20)/1000</f>
        <v>1090.3954740121105</v>
      </c>
      <c r="AA116" s="164">
        <f>(AA88*Emissions_factors!$E$20)/1000</f>
        <v>635.76217277777232</v>
      </c>
      <c r="AB116" s="164">
        <f>(AB88*Emissions_factors!$E$20)/1000</f>
        <v>360.56457802186657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45694.303941451893</v>
      </c>
      <c r="Q117" s="164">
        <f>(Q89*Emissions_factors!$E$20)/1000</f>
        <v>42270.401372795655</v>
      </c>
      <c r="R117" s="164">
        <f>(R89*Emissions_factors!$E$20)/1000</f>
        <v>36084.586672636258</v>
      </c>
      <c r="S117" s="164">
        <f>(S89*Emissions_factors!$E$20)/1000</f>
        <v>29086.294050229921</v>
      </c>
      <c r="T117" s="164">
        <f>(T89*Emissions_factors!$E$20)/1000</f>
        <v>22336.643310880958</v>
      </c>
      <c r="U117" s="164">
        <f>(U89*Emissions_factors!$E$20)/1000</f>
        <v>16430.146301258319</v>
      </c>
      <c r="V117" s="164">
        <f>(V89*Emissions_factors!$E$20)/1000</f>
        <v>11619.158752587589</v>
      </c>
      <c r="W117" s="164">
        <f>(W89*Emissions_factors!$E$20)/1000</f>
        <v>7921.891611023394</v>
      </c>
      <c r="X117" s="164">
        <f>(X89*Emissions_factors!$E$20)/1000</f>
        <v>5218.6574307297888</v>
      </c>
      <c r="Y117" s="164">
        <f>(Y89*Emissions_factors!$E$20)/1000</f>
        <v>3327.6970594953905</v>
      </c>
      <c r="Z117" s="164">
        <f>(Z89*Emissions_factors!$E$20)/1000</f>
        <v>2057.0124166485293</v>
      </c>
      <c r="AA117" s="164">
        <f>(AA89*Emissions_factors!$E$20)/1000</f>
        <v>1234.2308360893978</v>
      </c>
      <c r="AB117" s="164">
        <f>(AB89*Emissions_factors!$E$20)/1000</f>
        <v>719.62631610557014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35176.392791145961</v>
      </c>
      <c r="R118" s="164">
        <f>(R90*Emissions_factors!$E$20)/1000</f>
        <v>32540.603836181552</v>
      </c>
      <c r="S118" s="164">
        <f>(S90*Emissions_factors!$E$20)/1000</f>
        <v>27778.63945863341</v>
      </c>
      <c r="T118" s="164">
        <f>(T90*Emissions_factors!$E$20)/1000</f>
        <v>22391.213260642347</v>
      </c>
      <c r="U118" s="164">
        <f>(U90*Emissions_factors!$E$20)/1000</f>
        <v>17195.196577368108</v>
      </c>
      <c r="V118" s="164">
        <f>(V90*Emissions_factors!$E$20)/1000</f>
        <v>12648.256567155246</v>
      </c>
      <c r="W118" s="164">
        <f>(W90*Emissions_factors!$E$20)/1000</f>
        <v>8944.6617396206657</v>
      </c>
      <c r="X118" s="164">
        <f>(X90*Emissions_factors!$E$20)/1000</f>
        <v>6098.4312468200551</v>
      </c>
      <c r="Y118" s="164">
        <f>(Y90*Emissions_factors!$E$20)/1000</f>
        <v>4017.427289427505</v>
      </c>
      <c r="Z118" s="164">
        <f>(Z90*Emissions_factors!$E$20)/1000</f>
        <v>2561.7280220470275</v>
      </c>
      <c r="AA118" s="164">
        <f>(AA90*Emissions_factors!$E$20)/1000</f>
        <v>1583.5294665393239</v>
      </c>
      <c r="AB118" s="164">
        <f>(AB90*Emissions_factors!$E$20)/1000</f>
        <v>950.13568301322164</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32445.472882584119</v>
      </c>
      <c r="S119" s="164">
        <f>(S91*Emissions_factors!$E$20)/1000</f>
        <v>30014.313452159578</v>
      </c>
      <c r="T119" s="164">
        <f>(T91*Emissions_factors!$E$20)/1000</f>
        <v>25622.044267626843</v>
      </c>
      <c r="U119" s="164">
        <f>(U91*Emissions_factors!$E$20)/1000</f>
        <v>20652.871002713804</v>
      </c>
      <c r="V119" s="164">
        <f>(V91*Emissions_factors!$E$20)/1000</f>
        <v>15860.247171282654</v>
      </c>
      <c r="W119" s="164">
        <f>(W91*Emissions_factors!$E$20)/1000</f>
        <v>11666.308933328037</v>
      </c>
      <c r="X119" s="164">
        <f>(X91*Emissions_factors!$E$20)/1000</f>
        <v>8250.2427591096839</v>
      </c>
      <c r="Y119" s="164">
        <f>(Y91*Emissions_factors!$E$20)/1000</f>
        <v>5624.979423552707</v>
      </c>
      <c r="Z119" s="164">
        <f>(Z91*Emissions_factors!$E$20)/1000</f>
        <v>3705.5342470954697</v>
      </c>
      <c r="AA119" s="164">
        <f>(AA91*Emissions_factors!$E$20)/1000</f>
        <v>2362.8482194116118</v>
      </c>
      <c r="AB119" s="164">
        <f>(AB91*Emissions_factors!$E$20)/1000</f>
        <v>1460.5921269535822</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32445.472882584119</v>
      </c>
      <c r="T120" s="164">
        <f>(T92*Emissions_factors!$E$20)/1000</f>
        <v>30611.66351576753</v>
      </c>
      <c r="U120" s="164">
        <f>(U92*Emissions_factors!$E$20)/1000</f>
        <v>27199.338985584152</v>
      </c>
      <c r="V120" s="164">
        <f>(V92*Emissions_factors!$E$20)/1000</f>
        <v>23153.46252666834</v>
      </c>
      <c r="W120" s="164">
        <f>(W92*Emissions_factors!$E$20)/1000</f>
        <v>19008.996375780025</v>
      </c>
      <c r="X120" s="164">
        <f>(X92*Emissions_factors!$E$20)/1000</f>
        <v>15112.259036441646</v>
      </c>
      <c r="Y120" s="164">
        <f>(Y92*Emissions_factors!$E$20)/1000</f>
        <v>11666.30893332806</v>
      </c>
      <c r="Z120" s="164">
        <f>(Z92*Emissions_factors!$E$20)/1000</f>
        <v>8763.4719213364169</v>
      </c>
      <c r="AA120" s="164">
        <f>(AA92*Emissions_factors!$E$20)/1000</f>
        <v>6416.0942262240505</v>
      </c>
      <c r="AB120" s="164">
        <f>(AB92*Emissions_factors!$E$20)/1000</f>
        <v>4584.5771435015622</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31848.123171442341</v>
      </c>
      <c r="U121" s="164">
        <f>(U93*Emissions_factors!$E$20)/1000</f>
        <v>30048.075849010835</v>
      </c>
      <c r="V121" s="164">
        <f>(V93*Emissions_factors!$E$20)/1000</f>
        <v>26698.575216626807</v>
      </c>
      <c r="W121" s="164">
        <f>(W93*Emissions_factors!$E$20)/1000</f>
        <v>22727.186904109563</v>
      </c>
      <c r="X121" s="164">
        <f>(X93*Emissions_factors!$E$20)/1000</f>
        <v>18659.024022618163</v>
      </c>
      <c r="Y121" s="164">
        <f>(Y93*Emissions_factors!$E$20)/1000</f>
        <v>14834.029047229073</v>
      </c>
      <c r="Z121" s="164">
        <f>(Z93*Emissions_factors!$E$20)/1000</f>
        <v>11451.521918306467</v>
      </c>
      <c r="AA121" s="164">
        <f>(AA93*Emissions_factors!$E$20)/1000</f>
        <v>8602.1286905025281</v>
      </c>
      <c r="AB121" s="164">
        <f>(AB93*Emissions_factors!$E$20)/1000</f>
        <v>6297.968284692447</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30868.177278318824</v>
      </c>
      <c r="V122" s="164">
        <f>(V94*Emissions_factors!$E$20)/1000</f>
        <v>29123.516233174341</v>
      </c>
      <c r="W122" s="164">
        <f>(W94*Emissions_factors!$E$20)/1000</f>
        <v>25877.077541710667</v>
      </c>
      <c r="X122" s="164">
        <f>(X94*Emissions_factors!$E$20)/1000</f>
        <v>22027.886246766491</v>
      </c>
      <c r="Y122" s="164">
        <f>(Y94*Emissions_factors!$E$20)/1000</f>
        <v>18084.898072959269</v>
      </c>
      <c r="Z122" s="164">
        <f>(Z94*Emissions_factors!$E$20)/1000</f>
        <v>14377.595688030637</v>
      </c>
      <c r="AA122" s="164">
        <f>(AA94*Emissions_factors!$E$20)/1000</f>
        <v>11099.166088311411</v>
      </c>
      <c r="AB122" s="164">
        <f>(AB94*Emissions_factors!$E$20)/1000</f>
        <v>8337.4468241017912</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29944.885642042493</v>
      </c>
      <c r="W123" s="164">
        <f>(W95*Emissions_factors!$E$20)/1000</f>
        <v>28252.408790885071</v>
      </c>
      <c r="X123" s="164">
        <f>(X95*Emissions_factors!$E$20)/1000</f>
        <v>25103.07365252357</v>
      </c>
      <c r="Y123" s="164">
        <f>(Y95*Emissions_factors!$E$20)/1000</f>
        <v>21369.014718554456</v>
      </c>
      <c r="Z123" s="164">
        <f>(Z95*Emissions_factors!$E$20)/1000</f>
        <v>17543.964444675315</v>
      </c>
      <c r="AA123" s="164">
        <f>(AA95*Emissions_factors!$E$20)/1000</f>
        <v>13947.550411018268</v>
      </c>
      <c r="AB123" s="164">
        <f>(AB95*Emissions_factors!$E$20)/1000</f>
        <v>10767.18123781045</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29296.718541356331</v>
      </c>
      <c r="X124" s="164">
        <f>(X96*Emissions_factors!$E$20)/1000</f>
        <v>27640.875919720002</v>
      </c>
      <c r="Y124" s="164">
        <f>(Y96*Emissions_factors!$E$20)/1000</f>
        <v>24559.709197498807</v>
      </c>
      <c r="Z124" s="164">
        <f>(Z96*Emissions_factors!$E$20)/1000</f>
        <v>20906.475222487756</v>
      </c>
      <c r="AA124" s="164">
        <f>(AA96*Emissions_factors!$E$20)/1000</f>
        <v>17164.219445660165</v>
      </c>
      <c r="AB124" s="164">
        <f>(AB96*Emissions_factors!$E$20)/1000</f>
        <v>13645.651000893587</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28999.522533330772</v>
      </c>
      <c r="Y125" s="164">
        <f>(Y97*Emissions_factors!$E$20)/1000</f>
        <v>27360.477349823021</v>
      </c>
      <c r="Z125" s="164">
        <f>(Z97*Emissions_factors!$E$20)/1000</f>
        <v>24310.567044548752</v>
      </c>
      <c r="AA125" s="164">
        <f>(AA97*Emissions_factors!$E$20)/1000</f>
        <v>20694.392733821398</v>
      </c>
      <c r="AB125" s="164">
        <f>(AB97*Emissions_factors!$E$20)/1000</f>
        <v>16990.099689110502</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29029.407032178206</v>
      </c>
      <c r="Z126" s="164">
        <f>(Z98*Emissions_factors!$E$20)/1000</f>
        <v>27388.672784864622</v>
      </c>
      <c r="AA126" s="164">
        <f>(AA98*Emissions_factors!$E$20)/1000</f>
        <v>24335.619495394734</v>
      </c>
      <c r="AB126" s="164">
        <f>(AB98*Emissions_factors!$E$20)/1000</f>
        <v>20715.718655828961</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29306.978864148707</v>
      </c>
      <c r="AA127" s="164">
        <f>(AA99*Emissions_factors!$E$20)/1000</f>
        <v>27650.55633183851</v>
      </c>
      <c r="AB127" s="164">
        <f>(AB99*Emissions_factors!$E$20)/1000</f>
        <v>24568.310520670799</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29734.915464898531</v>
      </c>
      <c r="AB128" s="164">
        <f>(AB100*Emissions_factors!$E$20)/1000</f>
        <v>28054.306071459865</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30223.74001436204</v>
      </c>
    </row>
    <row r="131" spans="1:28">
      <c r="B131" s="307" t="s">
        <v>7803</v>
      </c>
      <c r="C131" s="298">
        <f t="shared" ref="C131:AB131" si="24">SUM(C104:C129)</f>
        <v>1845.2438881657959</v>
      </c>
      <c r="D131" s="298">
        <f t="shared" si="24"/>
        <v>4658.3405179955753</v>
      </c>
      <c r="E131" s="298">
        <f t="shared" si="24"/>
        <v>6993.971509920626</v>
      </c>
      <c r="F131" s="298">
        <f t="shared" si="24"/>
        <v>9343.0655759229103</v>
      </c>
      <c r="G131" s="298">
        <f t="shared" si="24"/>
        <v>19704.372095355931</v>
      </c>
      <c r="H131" s="298">
        <f t="shared" si="24"/>
        <v>45015.864188326523</v>
      </c>
      <c r="I131" s="298">
        <f t="shared" si="24"/>
        <v>85196.644222605712</v>
      </c>
      <c r="J131" s="298">
        <f t="shared" si="24"/>
        <v>121794.60113277723</v>
      </c>
      <c r="K131" s="298">
        <f t="shared" si="24"/>
        <v>148520.0351834622</v>
      </c>
      <c r="L131" s="298">
        <f t="shared" si="24"/>
        <v>166122.70842673356</v>
      </c>
      <c r="M131" s="298">
        <f t="shared" si="24"/>
        <v>171481.61293808237</v>
      </c>
      <c r="N131" s="298">
        <f t="shared" si="24"/>
        <v>174016.21866527532</v>
      </c>
      <c r="O131" s="298">
        <f t="shared" si="24"/>
        <v>180598.33335235689</v>
      </c>
      <c r="P131" s="298">
        <f t="shared" si="24"/>
        <v>190973.87621414915</v>
      </c>
      <c r="Q131" s="298">
        <f t="shared" si="24"/>
        <v>189179.17939045059</v>
      </c>
      <c r="R131" s="298">
        <f t="shared" si="24"/>
        <v>183736.4219799306</v>
      </c>
      <c r="S131" s="298">
        <f t="shared" si="24"/>
        <v>178341.6657510786</v>
      </c>
      <c r="T131" s="298">
        <f t="shared" si="24"/>
        <v>173553.72002229508</v>
      </c>
      <c r="U131" s="298">
        <f t="shared" si="24"/>
        <v>169640.28920269312</v>
      </c>
      <c r="V131" s="298">
        <f t="shared" si="24"/>
        <v>166721.026458493</v>
      </c>
      <c r="W131" s="298">
        <f t="shared" si="24"/>
        <v>164826.91148260128</v>
      </c>
      <c r="X131" s="298">
        <f t="shared" si="24"/>
        <v>163925.51954828206</v>
      </c>
      <c r="Y131" s="298">
        <f t="shared" si="24"/>
        <v>163933.84472489764</v>
      </c>
      <c r="Z131" s="298">
        <f t="shared" si="24"/>
        <v>164728.28149124474</v>
      </c>
      <c r="AA131" s="298">
        <f t="shared" si="24"/>
        <v>166156.02920756052</v>
      </c>
      <c r="AB131" s="298">
        <f t="shared" si="24"/>
        <v>168048.64229957643</v>
      </c>
    </row>
    <row r="132" spans="1:28">
      <c r="A132" s="1"/>
      <c r="B132" s="307" t="s">
        <v>7801</v>
      </c>
      <c r="C132" s="164">
        <f>(C148*Emissions_factors!$D$9)/1000</f>
        <v>4062.2261450481592</v>
      </c>
      <c r="D132" s="164">
        <f>D148*(Emissions_factors!$D$9/1000)</f>
        <v>6497.2980272961076</v>
      </c>
      <c r="E132" s="164">
        <f>E148*(Emissions_factors!$D$9/1000)</f>
        <v>6178.5583962473083</v>
      </c>
      <c r="F132" s="164">
        <f>F148*(Emissions_factors!$D$9/1000)</f>
        <v>7136.1071262021951</v>
      </c>
      <c r="G132" s="164">
        <f>G148*(Emissions_factors!$D$9/1000)</f>
        <v>25776.240442544819</v>
      </c>
      <c r="H132" s="164">
        <f>H148*(Emissions_factors!$D$9/1000)</f>
        <v>61050.747311740357</v>
      </c>
      <c r="I132" s="164">
        <f>I148*(Emissions_factors!$D$9/1000)</f>
        <v>99793.409754692155</v>
      </c>
      <c r="J132" s="164">
        <f>J148*(Emissions_factors!$D$9/1000)</f>
        <v>103124.36597787531</v>
      </c>
      <c r="K132" s="164">
        <f>K148*(Emissions_factors!$D$9/1000)</f>
        <v>95568.16824433468</v>
      </c>
      <c r="L132" s="164">
        <f>L148*(Emissions_factors!$D$9/1000)</f>
        <v>89310.291697675159</v>
      </c>
      <c r="M132" s="164">
        <f>M148*(Emissions_factors!$D$9/1000)</f>
        <v>73891.819262415534</v>
      </c>
      <c r="N132" s="164">
        <f>N148*(Emissions_factors!$D$9/1000)</f>
        <v>75420.930089469461</v>
      </c>
      <c r="O132" s="164">
        <f>O148*(Emissions_factors!$D$9/1000)</f>
        <v>88870.993481717378</v>
      </c>
      <c r="P132" s="164">
        <f>P148*(Emissions_factors!$D$9/1000)</f>
        <v>100594.0717870379</v>
      </c>
      <c r="Q132" s="164">
        <f>Q148*(Emissions_factors!$D$9/1000)</f>
        <v>77439.336556598078</v>
      </c>
      <c r="R132" s="164">
        <f>R148*(Emissions_factors!$D$9/1000)</f>
        <v>71427.33222278631</v>
      </c>
      <c r="S132" s="164">
        <f>S148*(Emissions_factors!$D$9/1000)</f>
        <v>71427.33222278631</v>
      </c>
      <c r="T132" s="164">
        <f>T148*(Emissions_factors!$D$9/1000)</f>
        <v>70112.292173121576</v>
      </c>
      <c r="U132" s="164">
        <f>U148*(Emissions_factors!$D$9/1000)</f>
        <v>67954.982858451054</v>
      </c>
      <c r="V132" s="164">
        <f>V148*(Emissions_factors!$D$9/1000)</f>
        <v>65922.395486971291</v>
      </c>
      <c r="W132" s="164">
        <f>W148*(Emissions_factors!$D$9/1000)</f>
        <v>64495.48310988459</v>
      </c>
      <c r="X132" s="164">
        <f>X148*(Emissions_factors!$D$9/1000)</f>
        <v>63841.218705190935</v>
      </c>
      <c r="Y132" s="164">
        <f>Y148*(Emissions_factors!$D$9/1000)</f>
        <v>63907.008161711165</v>
      </c>
      <c r="Z132" s="164">
        <f>Z148*(Emissions_factors!$D$9/1000)</f>
        <v>64518.070775271866</v>
      </c>
      <c r="AA132" s="164">
        <f>AA148*(Emissions_factors!$D$9/1000)</f>
        <v>65460.155048867244</v>
      </c>
      <c r="AB132" s="164">
        <f>AB148*(Emissions_factors!$D$9/1000)</f>
        <v>66536.281558705392</v>
      </c>
    </row>
    <row r="133" spans="1:28">
      <c r="B133" s="307" t="s">
        <v>7802</v>
      </c>
      <c r="C133" s="50">
        <f>(C182*Emissions_factors!$E$30)+(C183*Emissions_factors!$G$30)+(C184*Emissions_factors!$I$30)</f>
        <v>0</v>
      </c>
      <c r="D133" s="50">
        <f>(D182*Emissions_factors!$E$30)+(D183*Emissions_factors!$G$30)+(D184*Emissions_factors!$I$30)</f>
        <v>126.46980355290998</v>
      </c>
      <c r="E133" s="50">
        <f>(E182*Emissions_factors!$E$30)+(E183*Emissions_factors!$G$30)+(E184*Emissions_factors!$I$30)</f>
        <v>430.76943831076591</v>
      </c>
      <c r="F133" s="50">
        <f>(F182*Emissions_factors!$E$30)+(F183*Emissions_factors!$G$30)+(F184*Emissions_factors!$I$30)</f>
        <v>816.30781625951863</v>
      </c>
      <c r="G133" s="50">
        <f>(G182*Emissions_factors!$E$30)+(G183*Emissions_factors!$G$30)+(G184*Emissions_factors!$I$30)</f>
        <v>1232.4551187406698</v>
      </c>
      <c r="H133" s="50">
        <f>(H182*Emissions_factors!$E$30)+(H183*Emissions_factors!$G$30)+(H184*Emissions_factors!$I$30)</f>
        <v>2213.9757124479393</v>
      </c>
      <c r="I133" s="50">
        <f>(I182*Emissions_factors!$E$30)+(I183*Emissions_factors!$G$30)+(I184*Emissions_factors!$I$30)</f>
        <v>4710.4764668792204</v>
      </c>
      <c r="J133" s="50">
        <f>(J182*Emissions_factors!$E$30)+(J183*Emissions_factors!$G$30)+(J184*Emissions_factors!$I$30)</f>
        <v>9371.6219294573002</v>
      </c>
      <c r="K133" s="50">
        <f>(K182*Emissions_factors!$E$30)+(K183*Emissions_factors!$G$30)+(K184*Emissions_factors!$I$30)</f>
        <v>15262.355542678473</v>
      </c>
      <c r="L133" s="50">
        <f>(L182*Emissions_factors!$E$30)+(L183*Emissions_factors!$G$30)+(L184*Emissions_factors!$I$30)</f>
        <v>21006.730135252252</v>
      </c>
      <c r="M133" s="50">
        <f>(M182*Emissions_factors!$E$30)+(M183*Emissions_factors!$G$30)+(M184*Emissions_factors!$I$30)</f>
        <v>25799.696277122774</v>
      </c>
      <c r="N133" s="50">
        <f>(N182*Emissions_factors!$E$30)+(N183*Emissions_factors!$G$30)+(N184*Emissions_factors!$I$30)</f>
        <v>29018.379711482623</v>
      </c>
      <c r="O133" s="50">
        <f>(O182*Emissions_factors!$E$30)+(O183*Emissions_factors!$G$30)+(O184*Emissions_factors!$I$30)</f>
        <v>30904.563409667495</v>
      </c>
      <c r="P133" s="50">
        <f>(P182*Emissions_factors!$E$30)+(P183*Emissions_factors!$G$30)+(P184*Emissions_factors!$I$30)</f>
        <v>32305.601040801499</v>
      </c>
      <c r="Q133" s="50">
        <f>(Q182*Emissions_factors!$E$30)+(Q183*Emissions_factors!$G$30)+(Q184*Emissions_factors!$I$30)</f>
        <v>33816.966068475536</v>
      </c>
      <c r="R133" s="50">
        <f>(R182*Emissions_factors!$E$30)+(R183*Emissions_factors!$G$30)+(R184*Emissions_factors!$I$30)</f>
        <v>34655.862480977776</v>
      </c>
      <c r="S133" s="50">
        <f>(S182*Emissions_factors!$E$30)+(S183*Emissions_factors!$G$30)+(S184*Emissions_factors!$I$30)</f>
        <v>34611.954176251595</v>
      </c>
      <c r="T133" s="50">
        <f>(T182*Emissions_factors!$E$30)+(T183*Emissions_factors!$G$30)+(T184*Emissions_factors!$I$30)</f>
        <v>33510.52368929403</v>
      </c>
      <c r="U133" s="50">
        <f>(U182*Emissions_factors!$E$30)+(U183*Emissions_factors!$G$30)+(U184*Emissions_factors!$I$30)</f>
        <v>31814.278123903663</v>
      </c>
      <c r="V133" s="50">
        <f>(V182*Emissions_factors!$E$30)+(V183*Emissions_factors!$G$30)+(V184*Emissions_factors!$I$30)</f>
        <v>30060.399915900387</v>
      </c>
      <c r="W133" s="50">
        <f>(W182*Emissions_factors!$E$30)+(W183*Emissions_factors!$G$30)+(W184*Emissions_factors!$I$30)</f>
        <v>28529.839968207692</v>
      </c>
      <c r="X133" s="50">
        <f>(X182*Emissions_factors!$E$30)+(X183*Emissions_factors!$G$30)+(X184*Emissions_factors!$I$30)</f>
        <v>27349.97186764099</v>
      </c>
      <c r="Y133" s="50">
        <f>(Y182*Emissions_factors!$E$30)+(Y183*Emissions_factors!$G$30)+(Y184*Emissions_factors!$I$30)</f>
        <v>26545.197762287597</v>
      </c>
      <c r="Z133" s="50">
        <f>(Z182*Emissions_factors!$E$30)+(Z183*Emissions_factors!$G$30)+(Z184*Emissions_factors!$I$30)</f>
        <v>26080.042662764739</v>
      </c>
      <c r="AA133" s="50">
        <f>(AA182*Emissions_factors!$E$30)+(AA183*Emissions_factors!$G$30)+(AA184*Emissions_factors!$I$30)</f>
        <v>25892.193406517323</v>
      </c>
      <c r="AB133" s="50">
        <f>(AB182*Emissions_factors!$E$30)+(AB183*Emissions_factors!$G$30)+(AB184*Emissions_factors!$I$30)</f>
        <v>25914.105661643072</v>
      </c>
    </row>
    <row r="134" spans="1:28">
      <c r="B134" s="307" t="s">
        <v>7804</v>
      </c>
      <c r="C134" s="306">
        <f>SUM(C131:C133)</f>
        <v>5907.4700332139546</v>
      </c>
      <c r="D134" s="306">
        <f t="shared" ref="D134:AB134" si="25">SUM(D131:D133)</f>
        <v>11282.108348844595</v>
      </c>
      <c r="E134" s="306">
        <f t="shared" si="25"/>
        <v>13603.299344478701</v>
      </c>
      <c r="F134" s="306">
        <f t="shared" si="25"/>
        <v>17295.480518384626</v>
      </c>
      <c r="G134" s="306">
        <f t="shared" si="25"/>
        <v>46713.067656641419</v>
      </c>
      <c r="H134" s="306">
        <f t="shared" si="25"/>
        <v>108280.58721251482</v>
      </c>
      <c r="I134" s="306">
        <f t="shared" si="25"/>
        <v>189700.53044417707</v>
      </c>
      <c r="J134" s="306">
        <f t="shared" si="25"/>
        <v>234290.58904010983</v>
      </c>
      <c r="K134" s="306">
        <f t="shared" si="25"/>
        <v>259350.55897047537</v>
      </c>
      <c r="L134" s="306">
        <f t="shared" si="25"/>
        <v>276439.73025966098</v>
      </c>
      <c r="M134" s="306">
        <f t="shared" si="25"/>
        <v>271173.12847762066</v>
      </c>
      <c r="N134" s="306">
        <f t="shared" si="25"/>
        <v>278455.52846622741</v>
      </c>
      <c r="O134" s="306">
        <f t="shared" si="25"/>
        <v>300373.8902437418</v>
      </c>
      <c r="P134" s="306">
        <f t="shared" si="25"/>
        <v>323873.54904198856</v>
      </c>
      <c r="Q134" s="306">
        <f t="shared" si="25"/>
        <v>300435.48201552418</v>
      </c>
      <c r="R134" s="306">
        <f t="shared" si="25"/>
        <v>289819.61668369471</v>
      </c>
      <c r="S134" s="306">
        <f t="shared" si="25"/>
        <v>284380.9521501165</v>
      </c>
      <c r="T134" s="306">
        <f t="shared" si="25"/>
        <v>277176.53588471073</v>
      </c>
      <c r="U134" s="306">
        <f t="shared" si="25"/>
        <v>269409.55018504785</v>
      </c>
      <c r="V134" s="306">
        <f t="shared" si="25"/>
        <v>262703.82186136465</v>
      </c>
      <c r="W134" s="306">
        <f t="shared" si="25"/>
        <v>257852.23456069356</v>
      </c>
      <c r="X134" s="306">
        <f t="shared" si="25"/>
        <v>255116.71012111398</v>
      </c>
      <c r="Y134" s="306">
        <f t="shared" si="25"/>
        <v>254386.0506488964</v>
      </c>
      <c r="Z134" s="306">
        <f t="shared" si="25"/>
        <v>255326.39492928132</v>
      </c>
      <c r="AA134" s="306">
        <f t="shared" si="25"/>
        <v>257508.3776629451</v>
      </c>
      <c r="AB134" s="306">
        <f t="shared" si="25"/>
        <v>260499.02951992489</v>
      </c>
    </row>
    <row r="137" spans="1:28" ht="21">
      <c r="A137" s="293" t="s">
        <v>7793</v>
      </c>
      <c r="B137" s="291" t="s">
        <v>7794</v>
      </c>
    </row>
    <row r="138" spans="1:28">
      <c r="B138" s="294" t="s">
        <v>437</v>
      </c>
      <c r="C138" s="302">
        <f>C38*(BOM_average!B42*BOM_average!B53)/1000000</f>
        <v>15.243014935216967</v>
      </c>
      <c r="D138" s="302">
        <f>D38*(BOM_average!C42*BOM_average!C53)/1000000</f>
        <v>24.38032924123582</v>
      </c>
      <c r="E138" s="302">
        <f>E38*(BOM_average!D42*BOM_average!D53)/1000000</f>
        <v>23.18429711918251</v>
      </c>
      <c r="F138" s="302">
        <f>F38*(BOM_average!E42*BOM_average!E53)/1000000</f>
        <v>26.777383537990772</v>
      </c>
      <c r="G138" s="302">
        <f>G38*(BOM_average!F42*BOM_average!F53)/1000000</f>
        <v>96.722241453348786</v>
      </c>
      <c r="H138" s="302">
        <f>H38*(BOM_average!G42*BOM_average!G53)/1000000</f>
        <v>229.08558505867791</v>
      </c>
      <c r="I138" s="302">
        <f>I38*(BOM_average!H42*BOM_average!H53)/1000000</f>
        <v>374.46276524542566</v>
      </c>
      <c r="J138" s="302">
        <f>J38*(BOM_average!I42*BOM_average!I53)/1000000</f>
        <v>386.96177776850431</v>
      </c>
      <c r="K138" s="302">
        <f>K38*(BOM_average!J42*BOM_average!J53)/1000000</f>
        <v>358.60805476216314</v>
      </c>
      <c r="L138" s="302">
        <f>L38*(BOM_average!K42*BOM_average!K53)/1000000</f>
        <v>335.12612582530329</v>
      </c>
      <c r="M138" s="302">
        <f>M38*(BOM_average!L42*BOM_average!L53)/1000000</f>
        <v>277.2701628097073</v>
      </c>
      <c r="N138" s="302">
        <f>N38*(BOM_average!M42*BOM_average!M53)/1000000</f>
        <v>283.00796724060973</v>
      </c>
      <c r="O138" s="302">
        <f>O38*(BOM_average!N42*BOM_average!N53)/1000000</f>
        <v>333.47771211622882</v>
      </c>
      <c r="P138" s="302">
        <f>P38*(BOM_average!O42*BOM_average!O53)/1000000</f>
        <v>377.46715320447231</v>
      </c>
      <c r="Q138" s="302">
        <f>Q38*(BOM_average!P42*BOM_average!P53)/1000000</f>
        <v>290.58179470003961</v>
      </c>
      <c r="R138" s="302">
        <f>R38*(BOM_average!Q42*BOM_average!Q53)/1000000</f>
        <v>268.02247166417374</v>
      </c>
      <c r="S138" s="302">
        <f>S38*(BOM_average!R42*BOM_average!R53)/1000000</f>
        <v>268.02247166417374</v>
      </c>
      <c r="T138" s="302">
        <f>T38*(BOM_average!S42*BOM_average!S53)/1000000</f>
        <v>263.08794207332778</v>
      </c>
      <c r="U138" s="302">
        <f>U38*(BOM_average!T42*BOM_average!T53)/1000000</f>
        <v>254.99289838810839</v>
      </c>
      <c r="V138" s="302">
        <f>V38*(BOM_average!U42*BOM_average!U53)/1000000</f>
        <v>247.36585879102256</v>
      </c>
      <c r="W138" s="302">
        <f>W38*(BOM_average!V42*BOM_average!V53)/1000000</f>
        <v>242.01154174944372</v>
      </c>
      <c r="X138" s="302">
        <f>X38*(BOM_average!W42*BOM_average!W53)/1000000</f>
        <v>239.55649327694962</v>
      </c>
      <c r="Y138" s="302">
        <f>Y38*(BOM_average!X42*BOM_average!X53)/1000000</f>
        <v>239.80336029826012</v>
      </c>
      <c r="Z138" s="302">
        <f>Z38*(BOM_average!Y42*BOM_average!Y53)/1000000</f>
        <v>242.09629924657855</v>
      </c>
      <c r="AA138" s="302">
        <f>AA38*(BOM_average!Z42*BOM_average!Z53)/1000000</f>
        <v>245.63135715322719</v>
      </c>
      <c r="AB138" s="302">
        <f>AB38*(BOM_average!AA42*BOM_average!AA53)/1000000</f>
        <v>249.66939242648286</v>
      </c>
    </row>
    <row r="139" spans="1:28">
      <c r="B139" s="294" t="s">
        <v>217</v>
      </c>
      <c r="C139" s="302">
        <f>C38*(BOM_average!B43*BOM_average!B53)/1000000</f>
        <v>0.70972617234927715</v>
      </c>
      <c r="D139" s="302">
        <f>D38*(BOM_average!C43*BOM_average!C53)/1000000</f>
        <v>1.1351663582655385</v>
      </c>
      <c r="E139" s="302">
        <f>E38*(BOM_average!D43*BOM_average!D53)/1000000</f>
        <v>1.0794782084080905</v>
      </c>
      <c r="F139" s="302">
        <f>F38*(BOM_average!E43*BOM_average!E53)/1000000</f>
        <v>1.2467749985627254</v>
      </c>
      <c r="G139" s="302">
        <f>G38*(BOM_average!F43*BOM_average!F53)/1000000</f>
        <v>4.5034598797859626</v>
      </c>
      <c r="H139" s="302">
        <f>H38*(BOM_average!G43*BOM_average!G53)/1000000</f>
        <v>10.666396124066777</v>
      </c>
      <c r="I139" s="302">
        <f>I38*(BOM_average!H43*BOM_average!H53)/1000000</f>
        <v>17.435266329821978</v>
      </c>
      <c r="J139" s="302">
        <f>J38*(BOM_average!I43*BOM_average!I53)/1000000</f>
        <v>18.017229698214102</v>
      </c>
      <c r="K139" s="302">
        <f>K38*(BOM_average!J43*BOM_average!J53)/1000000</f>
        <v>16.697059155400439</v>
      </c>
      <c r="L139" s="302">
        <f>L38*(BOM_average!K43*BOM_average!K53)/1000000</f>
        <v>15.603722987026602</v>
      </c>
      <c r="M139" s="302">
        <f>M38*(BOM_average!L43*BOM_average!L53)/1000000</f>
        <v>12.909906091015285</v>
      </c>
      <c r="N139" s="302">
        <f>N38*(BOM_average!M43*BOM_average!M53)/1000000</f>
        <v>13.177062555385378</v>
      </c>
      <c r="O139" s="302">
        <f>O38*(BOM_average!N43*BOM_average!N53)/1000000</f>
        <v>15.526971612238759</v>
      </c>
      <c r="P139" s="302">
        <f>P38*(BOM_average!O43*BOM_average!O53)/1000000</f>
        <v>17.575152879529412</v>
      </c>
      <c r="Q139" s="302">
        <f>Q38*(BOM_average!P43*BOM_average!P53)/1000000</f>
        <v>13.529705624729623</v>
      </c>
      <c r="R139" s="302">
        <f>R38*(BOM_average!Q43*BOM_average!Q53)/1000000</f>
        <v>12.47932667692417</v>
      </c>
      <c r="S139" s="302">
        <f>S38*(BOM_average!R43*BOM_average!R53)/1000000</f>
        <v>12.47932667692417</v>
      </c>
      <c r="T139" s="302">
        <f>T38*(BOM_average!S43*BOM_average!S53)/1000000</f>
        <v>12.249571289703232</v>
      </c>
      <c r="U139" s="302">
        <f>U38*(BOM_average!T43*BOM_average!T53)/1000000</f>
        <v>11.87266000318095</v>
      </c>
      <c r="V139" s="302">
        <f>V38*(BOM_average!U43*BOM_average!U53)/1000000</f>
        <v>11.51753933692156</v>
      </c>
      <c r="W139" s="302">
        <f>W38*(BOM_average!V43*BOM_average!V53)/1000000</f>
        <v>11.268238332125938</v>
      </c>
      <c r="X139" s="302">
        <f>X38*(BOM_average!W43*BOM_average!W53)/1000000</f>
        <v>11.153929439644992</v>
      </c>
      <c r="Y139" s="302">
        <f>Y38*(BOM_average!X43*BOM_average!X53)/1000000</f>
        <v>11.165423752735848</v>
      </c>
      <c r="Z139" s="302">
        <f>Z38*(BOM_average!Y43*BOM_average!Y53)/1000000</f>
        <v>11.272184704564401</v>
      </c>
      <c r="AA139" s="302">
        <f>AA38*(BOM_average!Z43*BOM_average!Z53)/1000000</f>
        <v>11.436779643805867</v>
      </c>
      <c r="AB139" s="302">
        <f>AB38*(BOM_average!AA43*BOM_average!AA53)/1000000</f>
        <v>11.624793585304921</v>
      </c>
    </row>
    <row r="140" spans="1:28">
      <c r="B140" s="294" t="s">
        <v>313</v>
      </c>
      <c r="C140" s="302">
        <f>C38*(BOM_average!B44*BOM_average!B53)/1000000</f>
        <v>6.6447888393676688</v>
      </c>
      <c r="D140" s="302">
        <f>D38*(BOM_average!C44*BOM_average!C53)/1000000</f>
        <v>10.627959122967763</v>
      </c>
      <c r="E140" s="302">
        <f>E38*(BOM_average!D44*BOM_average!D53)/1000000</f>
        <v>10.106580581391734</v>
      </c>
      <c r="F140" s="302">
        <f>F38*(BOM_average!E44*BOM_average!E53)/1000000</f>
        <v>11.672891487472389</v>
      </c>
      <c r="G140" s="302">
        <f>G38*(BOM_average!F44*BOM_average!F53)/1000000</f>
        <v>42.163500676166521</v>
      </c>
      <c r="H140" s="302">
        <f>H38*(BOM_average!G44*BOM_average!G53)/1000000</f>
        <v>99.863796324243964</v>
      </c>
      <c r="I140" s="302">
        <f>I38*(BOM_average!H44*BOM_average!H53)/1000000</f>
        <v>163.23712952041024</v>
      </c>
      <c r="J140" s="302">
        <f>J38*(BOM_average!I44*BOM_average!I53)/1000000</f>
        <v>168.68574314897702</v>
      </c>
      <c r="K140" s="302">
        <f>K38*(BOM_average!J44*BOM_average!J53)/1000000</f>
        <v>156.32568820001978</v>
      </c>
      <c r="L140" s="302">
        <f>L38*(BOM_average!K44*BOM_average!K53)/1000000</f>
        <v>146.08936290678798</v>
      </c>
      <c r="M140" s="302">
        <f>M38*(BOM_average!L44*BOM_average!L53)/1000000</f>
        <v>120.86858742563943</v>
      </c>
      <c r="N140" s="302">
        <f>N38*(BOM_average!M44*BOM_average!M53)/1000000</f>
        <v>123.36983137291449</v>
      </c>
      <c r="O140" s="302">
        <f>O38*(BOM_average!N44*BOM_average!N53)/1000000</f>
        <v>145.37078058804914</v>
      </c>
      <c r="P140" s="302">
        <f>P38*(BOM_average!O44*BOM_average!O53)/1000000</f>
        <v>164.54681291731364</v>
      </c>
      <c r="Q140" s="302">
        <f>Q38*(BOM_average!P44*BOM_average!P53)/1000000</f>
        <v>126.6714409552448</v>
      </c>
      <c r="R140" s="302">
        <f>R38*(BOM_average!Q44*BOM_average!Q53)/1000000</f>
        <v>116.83730128081051</v>
      </c>
      <c r="S140" s="302">
        <f>S38*(BOM_average!R44*BOM_average!R53)/1000000</f>
        <v>116.83730128081051</v>
      </c>
      <c r="T140" s="302">
        <f>T38*(BOM_average!S44*BOM_average!S53)/1000000</f>
        <v>114.68622373531601</v>
      </c>
      <c r="U140" s="302">
        <f>U38*(BOM_average!T44*BOM_average!T53)/1000000</f>
        <v>111.15740373728102</v>
      </c>
      <c r="V140" s="302">
        <f>V38*(BOM_average!U44*BOM_average!U53)/1000000</f>
        <v>107.83259773220118</v>
      </c>
      <c r="W140" s="302">
        <f>W38*(BOM_average!V44*BOM_average!V53)/1000000</f>
        <v>105.49852496040847</v>
      </c>
      <c r="X140" s="302">
        <f>X38*(BOM_average!W44*BOM_average!W53)/1000000</f>
        <v>104.42831157024472</v>
      </c>
      <c r="Y140" s="302">
        <f>Y38*(BOM_average!X44*BOM_average!X53)/1000000</f>
        <v>104.53592671298279</v>
      </c>
      <c r="Z140" s="302">
        <f>Z38*(BOM_average!Y44*BOM_average!Y53)/1000000</f>
        <v>105.5354727475364</v>
      </c>
      <c r="AA140" s="302">
        <f>AA38*(BOM_average!Z44*BOM_average!Z53)/1000000</f>
        <v>107.0764876599044</v>
      </c>
      <c r="AB140" s="302">
        <f>AB38*(BOM_average!AA44*BOM_average!AA53)/1000000</f>
        <v>108.83676224014579</v>
      </c>
    </row>
    <row r="141" spans="1:28">
      <c r="B141" s="294" t="s">
        <v>6911</v>
      </c>
      <c r="C141" s="302">
        <f>C38*(BOM_average!B45*BOM_average!B53)/1000000</f>
        <v>31.857418002626652</v>
      </c>
      <c r="D141" s="302">
        <f>D38*(BOM_average!C45*BOM_average!C53)/1000000</f>
        <v>50.954115244305221</v>
      </c>
      <c r="E141" s="302">
        <f>E38*(BOM_average!D45*BOM_average!D53)/1000000</f>
        <v>48.454446024091439</v>
      </c>
      <c r="F141" s="302">
        <f>F38*(BOM_average!E45*BOM_average!E53)/1000000</f>
        <v>55.963882736580381</v>
      </c>
      <c r="G141" s="302">
        <f>G38*(BOM_average!F45*BOM_average!F53)/1000000</f>
        <v>202.14641848912262</v>
      </c>
      <c r="H141" s="302">
        <f>H38*(BOM_average!G45*BOM_average!G53)/1000000</f>
        <v>478.7816106332973</v>
      </c>
      <c r="I141" s="302">
        <f>I38*(BOM_average!H45*BOM_average!H53)/1000000</f>
        <v>782.6153086868427</v>
      </c>
      <c r="J141" s="302">
        <f>J38*(BOM_average!I45*BOM_average!I53)/1000000</f>
        <v>808.73784863448964</v>
      </c>
      <c r="K141" s="302">
        <f>K38*(BOM_average!J45*BOM_average!J53)/1000000</f>
        <v>749.47946637988707</v>
      </c>
      <c r="L141" s="302">
        <f>L38*(BOM_average!K45*BOM_average!K53)/1000000</f>
        <v>700.40297929194276</v>
      </c>
      <c r="M141" s="302">
        <f>M38*(BOM_average!L45*BOM_average!L53)/1000000</f>
        <v>579.48585065527016</v>
      </c>
      <c r="N141" s="302">
        <f>N38*(BOM_average!M45*BOM_average!M53)/1000000</f>
        <v>591.47768002429245</v>
      </c>
      <c r="O141" s="302">
        <f>O38*(BOM_average!N45*BOM_average!N53)/1000000</f>
        <v>696.95784689560037</v>
      </c>
      <c r="P141" s="302">
        <f>P38*(BOM_average!O45*BOM_average!O53)/1000000</f>
        <v>788.89438428049561</v>
      </c>
      <c r="Q141" s="302">
        <f>Q38*(BOM_average!P45*BOM_average!P53)/1000000</f>
        <v>607.30673931999524</v>
      </c>
      <c r="R141" s="302">
        <f>R38*(BOM_average!Q45*BOM_average!Q53)/1000000</f>
        <v>560.15846931801252</v>
      </c>
      <c r="S141" s="302">
        <f>S38*(BOM_average!R45*BOM_average!R53)/1000000</f>
        <v>560.15846931801252</v>
      </c>
      <c r="T141" s="302">
        <f>T38*(BOM_average!S45*BOM_average!S53)/1000000</f>
        <v>549.84545890045297</v>
      </c>
      <c r="U141" s="302">
        <f>U38*(BOM_average!T45*BOM_average!T53)/1000000</f>
        <v>532.92707421569185</v>
      </c>
      <c r="V141" s="302">
        <f>V38*(BOM_average!U45*BOM_average!U53)/1000000</f>
        <v>516.98680323914255</v>
      </c>
      <c r="W141" s="302">
        <f>W38*(BOM_average!V45*BOM_average!V53)/1000000</f>
        <v>505.79645035704471</v>
      </c>
      <c r="X141" s="302">
        <f>X38*(BOM_average!W45*BOM_average!W53)/1000000</f>
        <v>500.66547687592208</v>
      </c>
      <c r="Y141" s="302">
        <f>Y38*(BOM_average!X45*BOM_average!X53)/1000000</f>
        <v>501.18142112464039</v>
      </c>
      <c r="Z141" s="302">
        <f>Z38*(BOM_average!Y45*BOM_average!Y53)/1000000</f>
        <v>505.97359083919719</v>
      </c>
      <c r="AA141" s="302">
        <f>AA38*(BOM_average!Z45*BOM_average!Z53)/1000000</f>
        <v>513.3617498008083</v>
      </c>
      <c r="AB141" s="302">
        <f>AB38*(BOM_average!AA45*BOM_average!AA53)/1000000</f>
        <v>521.8011155139684</v>
      </c>
    </row>
    <row r="142" spans="1:28">
      <c r="B142" s="294" t="s">
        <v>441</v>
      </c>
      <c r="C142" s="302">
        <f>C38*(BOM_average!B46*BOM_average!B53)/1000000</f>
        <v>37.202137520899818</v>
      </c>
      <c r="D142" s="302">
        <f>D38*(BOM_average!C46*BOM_average!C53)/1000000</f>
        <v>59.502687958519672</v>
      </c>
      <c r="E142" s="302">
        <f>E38*(BOM_average!D46*BOM_average!D53)/1000000</f>
        <v>56.58364919400065</v>
      </c>
      <c r="F142" s="302">
        <f>F38*(BOM_average!E46*BOM_average!E53)/1000000</f>
        <v>65.352944221597468</v>
      </c>
      <c r="G142" s="302">
        <f>G38*(BOM_average!F46*BOM_average!F53)/1000000</f>
        <v>236.06052629154243</v>
      </c>
      <c r="H142" s="302">
        <f>H38*(BOM_average!G46*BOM_average!G53)/1000000</f>
        <v>559.10680896327688</v>
      </c>
      <c r="I142" s="302">
        <f>I38*(BOM_average!H46*BOM_average!H53)/1000000</f>
        <v>913.91469130765245</v>
      </c>
      <c r="J142" s="302">
        <f>J38*(BOM_average!I46*BOM_average!I53)/1000000</f>
        <v>944.4198101922849</v>
      </c>
      <c r="K142" s="302">
        <f>K38*(BOM_average!J46*BOM_average!J53)/1000000</f>
        <v>875.21964821682275</v>
      </c>
      <c r="L142" s="302">
        <f>L38*(BOM_average!K46*BOM_average!K53)/1000000</f>
        <v>817.90959811992423</v>
      </c>
      <c r="M142" s="302">
        <f>M38*(BOM_average!L46*BOM_average!L53)/1000000</f>
        <v>676.70620091419528</v>
      </c>
      <c r="N142" s="302">
        <f>N38*(BOM_average!M46*BOM_average!M53)/1000000</f>
        <v>690.70989968465915</v>
      </c>
      <c r="O142" s="302">
        <f>O38*(BOM_average!N46*BOM_average!N53)/1000000</f>
        <v>813.88647580737927</v>
      </c>
      <c r="P142" s="302">
        <f>P38*(BOM_average!O46*BOM_average!O53)/1000000</f>
        <v>921.24720751219672</v>
      </c>
      <c r="Q142" s="302">
        <f>Q38*(BOM_average!P46*BOM_average!P53)/1000000</f>
        <v>709.19460050682437</v>
      </c>
      <c r="R142" s="302">
        <f>R38*(BOM_average!Q46*BOM_average!Q53)/1000000</f>
        <v>654.13626450666084</v>
      </c>
      <c r="S142" s="302">
        <f>S38*(BOM_average!R46*BOM_average!R53)/1000000</f>
        <v>654.13626450666084</v>
      </c>
      <c r="T142" s="302">
        <f>T38*(BOM_average!S46*BOM_average!S53)/1000000</f>
        <v>642.0930401694942</v>
      </c>
      <c r="U142" s="302">
        <f>U38*(BOM_average!T46*BOM_average!T53)/1000000</f>
        <v>622.33625782065235</v>
      </c>
      <c r="V142" s="302">
        <f>V38*(BOM_average!U46*BOM_average!U53)/1000000</f>
        <v>603.72168733219974</v>
      </c>
      <c r="W142" s="302">
        <f>W38*(BOM_average!V46*BOM_average!V53)/1000000</f>
        <v>590.65392877145018</v>
      </c>
      <c r="X142" s="302">
        <f>X38*(BOM_average!W46*BOM_average!W53)/1000000</f>
        <v>584.66213178887381</v>
      </c>
      <c r="Y142" s="302">
        <f>Y38*(BOM_average!X46*BOM_average!X53)/1000000</f>
        <v>585.26463601229682</v>
      </c>
      <c r="Z142" s="302">
        <f>Z38*(BOM_average!Y46*BOM_average!Y53)/1000000</f>
        <v>590.86078811507332</v>
      </c>
      <c r="AA142" s="302">
        <f>AA38*(BOM_average!Z46*BOM_average!Z53)/1000000</f>
        <v>599.48845862162432</v>
      </c>
      <c r="AB142" s="302">
        <f>AB38*(BOM_average!AA46*BOM_average!AA53)/1000000</f>
        <v>609.34369685292927</v>
      </c>
    </row>
    <row r="143" spans="1:28">
      <c r="B143" s="294" t="s">
        <v>6912</v>
      </c>
      <c r="C143" s="302">
        <f>C38*(BOM_average!B47*BOM_average!B53)/1000000</f>
        <v>10.857073047458544</v>
      </c>
      <c r="D143" s="302">
        <f>D38*(BOM_average!C47*BOM_average!C53)/1000000</f>
        <v>17.36526642650168</v>
      </c>
      <c r="E143" s="302">
        <f>E38*(BOM_average!D47*BOM_average!D53)/1000000</f>
        <v>16.513374056689813</v>
      </c>
      <c r="F143" s="302">
        <f>F38*(BOM_average!E47*BOM_average!E53)/1000000</f>
        <v>19.072605408271329</v>
      </c>
      <c r="G143" s="302">
        <f>G38*(BOM_average!F47*BOM_average!F53)/1000000</f>
        <v>68.891911819017295</v>
      </c>
      <c r="H143" s="302">
        <f>H38*(BOM_average!G47*BOM_average!G53)/1000000</f>
        <v>163.16974966386084</v>
      </c>
      <c r="I143" s="302">
        <f>I38*(BOM_average!H47*BOM_average!H53)/1000000</f>
        <v>266.71689381015744</v>
      </c>
      <c r="J143" s="302">
        <f>J38*(BOM_average!I47*BOM_average!I53)/1000000</f>
        <v>275.61950871678204</v>
      </c>
      <c r="K143" s="302">
        <f>K38*(BOM_average!J47*BOM_average!J53)/1000000</f>
        <v>255.42413115167636</v>
      </c>
      <c r="L143" s="302">
        <f>L38*(BOM_average!K47*BOM_average!K53)/1000000</f>
        <v>238.69876423140252</v>
      </c>
      <c r="M143" s="302">
        <f>M38*(BOM_average!L47*BOM_average!L53)/1000000</f>
        <v>197.48996010957899</v>
      </c>
      <c r="N143" s="302">
        <f>N38*(BOM_average!M47*BOM_average!M53)/1000000</f>
        <v>201.57680002301456</v>
      </c>
      <c r="O143" s="302">
        <f>O38*(BOM_average!N47*BOM_average!N53)/1000000</f>
        <v>237.52465608233118</v>
      </c>
      <c r="P143" s="302">
        <f>P38*(BOM_average!O47*BOM_average!O53)/1000000</f>
        <v>268.85681558238588</v>
      </c>
      <c r="Q143" s="302">
        <f>Q38*(BOM_average!P47*BOM_average!P53)/1000000</f>
        <v>206.97137572377684</v>
      </c>
      <c r="R143" s="302">
        <f>R38*(BOM_average!Q47*BOM_average!Q53)/1000000</f>
        <v>190.90314912014503</v>
      </c>
      <c r="S143" s="302">
        <f>S38*(BOM_average!R47*BOM_average!R53)/1000000</f>
        <v>190.90314912014503</v>
      </c>
      <c r="T143" s="302">
        <f>T38*(BOM_average!S47*BOM_average!S53)/1000000</f>
        <v>187.38845413031837</v>
      </c>
      <c r="U143" s="302">
        <f>U38*(BOM_average!T47*BOM_average!T53)/1000000</f>
        <v>181.62263411463755</v>
      </c>
      <c r="V143" s="302">
        <f>V38*(BOM_average!U47*BOM_average!U53)/1000000</f>
        <v>176.19015724616034</v>
      </c>
      <c r="W143" s="302">
        <f>W38*(BOM_average!V47*BOM_average!V53)/1000000</f>
        <v>172.37646215455692</v>
      </c>
      <c r="X143" s="302">
        <f>X38*(BOM_average!W47*BOM_average!W53)/1000000</f>
        <v>170.62781592451634</v>
      </c>
      <c r="Y143" s="302">
        <f>Y38*(BOM_average!X47*BOM_average!X53)/1000000</f>
        <v>170.80365077705488</v>
      </c>
      <c r="Z143" s="302">
        <f>Z38*(BOM_average!Y47*BOM_average!Y53)/1000000</f>
        <v>172.43683199225794</v>
      </c>
      <c r="AA143" s="302">
        <f>AA38*(BOM_average!Z47*BOM_average!Z53)/1000000</f>
        <v>174.95473163892214</v>
      </c>
      <c r="AB143" s="302">
        <f>AB38*(BOM_average!AA47*BOM_average!AA53)/1000000</f>
        <v>177.83088469107602</v>
      </c>
    </row>
    <row r="144" spans="1:28">
      <c r="B144" s="294" t="s">
        <v>443</v>
      </c>
      <c r="C144" s="302">
        <f>C38*(BOM_average!B48*BOM_average!B53)/1000000</f>
        <v>24.218655440042628</v>
      </c>
      <c r="D144" s="302">
        <f>D38*(BOM_average!C48*BOM_average!C53)/1000000</f>
        <v>38.73635208767719</v>
      </c>
      <c r="E144" s="302">
        <f>E38*(BOM_average!D48*BOM_average!D53)/1000000</f>
        <v>36.836052837014556</v>
      </c>
      <c r="F144" s="302">
        <f>F38*(BOM_average!E48*BOM_average!E53)/1000000</f>
        <v>42.544878965785607</v>
      </c>
      <c r="G144" s="302">
        <f>G38*(BOM_average!F48*BOM_average!F53)/1000000</f>
        <v>153.67580817199533</v>
      </c>
      <c r="H144" s="302">
        <f>H38*(BOM_average!G48*BOM_average!G53)/1000000</f>
        <v>363.97949319057903</v>
      </c>
      <c r="I144" s="302">
        <f>I38*(BOM_average!H48*BOM_average!H53)/1000000</f>
        <v>594.96003416304779</v>
      </c>
      <c r="J144" s="302">
        <f>J38*(BOM_average!I48*BOM_average!I53)/1000000</f>
        <v>614.81891896528271</v>
      </c>
      <c r="K144" s="302">
        <f>K38*(BOM_average!J48*BOM_average!J53)/1000000</f>
        <v>569.76949463214225</v>
      </c>
      <c r="L144" s="302">
        <f>L38*(BOM_average!K48*BOM_average!K53)/1000000</f>
        <v>532.46055355937153</v>
      </c>
      <c r="M144" s="302">
        <f>M38*(BOM_average!L48*BOM_average!L53)/1000000</f>
        <v>440.53689938848316</v>
      </c>
      <c r="N144" s="302">
        <f>N38*(BOM_average!M48*BOM_average!M53)/1000000</f>
        <v>449.6533313466598</v>
      </c>
      <c r="O144" s="302">
        <f>O38*(BOM_average!N48*BOM_average!N53)/1000000</f>
        <v>529.84149402210869</v>
      </c>
      <c r="P144" s="302">
        <f>P38*(BOM_average!O48*BOM_average!O53)/1000000</f>
        <v>599.73351480960002</v>
      </c>
      <c r="Q144" s="302">
        <f>Q38*(BOM_average!P48*BOM_average!P53)/1000000</f>
        <v>461.68690333893551</v>
      </c>
      <c r="R144" s="302">
        <f>R38*(BOM_average!Q48*BOM_average!Q53)/1000000</f>
        <v>425.84383201162422</v>
      </c>
      <c r="S144" s="302">
        <f>S38*(BOM_average!R48*BOM_average!R53)/1000000</f>
        <v>425.84383201162422</v>
      </c>
      <c r="T144" s="302">
        <f>T38*(BOM_average!S48*BOM_average!S53)/1000000</f>
        <v>418.00367227765418</v>
      </c>
      <c r="U144" s="302">
        <f>U38*(BOM_average!T48*BOM_average!T53)/1000000</f>
        <v>405.14197302605317</v>
      </c>
      <c r="V144" s="302">
        <f>V38*(BOM_average!U48*BOM_average!U53)/1000000</f>
        <v>393.02385565790581</v>
      </c>
      <c r="W144" s="302">
        <f>W38*(BOM_average!V48*BOM_average!V53)/1000000</f>
        <v>384.51672238421526</v>
      </c>
      <c r="X144" s="302">
        <f>X38*(BOM_average!W48*BOM_average!W53)/1000000</f>
        <v>380.61605225454372</v>
      </c>
      <c r="Y144" s="302">
        <f>Y38*(BOM_average!X48*BOM_average!X53)/1000000</f>
        <v>381.00828353910509</v>
      </c>
      <c r="Z144" s="302">
        <f>Z38*(BOM_average!Y48*BOM_average!Y53)/1000000</f>
        <v>384.65138817230201</v>
      </c>
      <c r="AA144" s="302">
        <f>AA38*(BOM_average!Z48*BOM_average!Z53)/1000000</f>
        <v>390.26801649455876</v>
      </c>
      <c r="AB144" s="302">
        <f>AB38*(BOM_average!AA48*BOM_average!AA53)/1000000</f>
        <v>396.68379351461351</v>
      </c>
    </row>
    <row r="145" spans="2:28">
      <c r="B145" s="294" t="s">
        <v>445</v>
      </c>
      <c r="C145" s="302">
        <f>C38*(BOM_average!B49*BOM_average!B53)/1000000</f>
        <v>35.580892526692153</v>
      </c>
      <c r="D145" s="302">
        <f>D38*(BOM_average!C49*BOM_average!C53)/1000000</f>
        <v>56.909599458149074</v>
      </c>
      <c r="E145" s="302">
        <f>E38*(BOM_average!D49*BOM_average!D53)/1000000</f>
        <v>54.117770507373031</v>
      </c>
      <c r="F145" s="302">
        <f>F38*(BOM_average!E49*BOM_average!E53)/1000000</f>
        <v>62.50490535242028</v>
      </c>
      <c r="G145" s="302">
        <f>G38*(BOM_average!F49*BOM_average!F53)/1000000</f>
        <v>225.77316185273335</v>
      </c>
      <c r="H145" s="302">
        <f>H38*(BOM_average!G49*BOM_average!G53)/1000000</f>
        <v>534.74129731089135</v>
      </c>
      <c r="I145" s="302">
        <f>I38*(BOM_average!H49*BOM_average!H53)/1000000</f>
        <v>874.08688255384141</v>
      </c>
      <c r="J145" s="302">
        <f>J38*(BOM_average!I49*BOM_average!I53)/1000000</f>
        <v>903.2626081674116</v>
      </c>
      <c r="K145" s="302">
        <f>K38*(BOM_average!J49*BOM_average!J53)/1000000</f>
        <v>837.07814431246868</v>
      </c>
      <c r="L145" s="302">
        <f>L38*(BOM_average!K49*BOM_average!K53)/1000000</f>
        <v>782.2656289818234</v>
      </c>
      <c r="M145" s="302">
        <f>M38*(BOM_average!L49*BOM_average!L53)/1000000</f>
        <v>647.21578412927045</v>
      </c>
      <c r="N145" s="302">
        <f>N38*(BOM_average!M49*BOM_average!M53)/1000000</f>
        <v>660.60921080127616</v>
      </c>
      <c r="O145" s="302">
        <f>O38*(BOM_average!N49*BOM_average!N53)/1000000</f>
        <v>778.41783172705607</v>
      </c>
      <c r="P145" s="302">
        <f>P38*(BOM_average!O49*BOM_average!O53)/1000000</f>
        <v>881.09985246390499</v>
      </c>
      <c r="Q145" s="302">
        <f>Q38*(BOM_average!P49*BOM_average!P53)/1000000</f>
        <v>678.288360365519</v>
      </c>
      <c r="R145" s="302">
        <f>R38*(BOM_average!Q49*BOM_average!Q53)/1000000</f>
        <v>625.62943089352927</v>
      </c>
      <c r="S145" s="302">
        <f>S38*(BOM_average!R49*BOM_average!R53)/1000000</f>
        <v>625.62943089352927</v>
      </c>
      <c r="T145" s="302">
        <f>T38*(BOM_average!S49*BOM_average!S53)/1000000</f>
        <v>614.11104245214369</v>
      </c>
      <c r="U145" s="302">
        <f>U38*(BOM_average!T49*BOM_average!T53)/1000000</f>
        <v>595.21524784807104</v>
      </c>
      <c r="V145" s="302">
        <f>V38*(BOM_average!U49*BOM_average!U53)/1000000</f>
        <v>577.4118882532606</v>
      </c>
      <c r="W145" s="302">
        <f>W38*(BOM_average!V49*BOM_average!V53)/1000000</f>
        <v>564.91361412442643</v>
      </c>
      <c r="X145" s="302">
        <f>X38*(BOM_average!W49*BOM_average!W53)/1000000</f>
        <v>559.18293576329631</v>
      </c>
      <c r="Y145" s="302">
        <f>Y38*(BOM_average!X49*BOM_average!X53)/1000000</f>
        <v>559.75918324392683</v>
      </c>
      <c r="Z145" s="302">
        <f>Z38*(BOM_average!Y49*BOM_average!Y53)/1000000</f>
        <v>565.11145867218841</v>
      </c>
      <c r="AA145" s="302">
        <f>AA38*(BOM_average!Z49*BOM_average!Z53)/1000000</f>
        <v>573.36314090084647</v>
      </c>
      <c r="AB145" s="302">
        <f>AB38*(BOM_average!AA49*BOM_average!AA53)/1000000</f>
        <v>582.78889424999238</v>
      </c>
    </row>
    <row r="146" spans="2:28">
      <c r="B146" s="294" t="s">
        <v>6915</v>
      </c>
      <c r="C146" s="302">
        <f>C38*(BOM_average!B50*BOM_average!B53)/1000000</f>
        <v>0</v>
      </c>
      <c r="D146" s="302">
        <f>D38*(BOM_average!C50*BOM_average!C53)/1000000</f>
        <v>0</v>
      </c>
      <c r="E146" s="302">
        <f>E38*(BOM_average!D50*BOM_average!D53)/1000000</f>
        <v>0</v>
      </c>
      <c r="F146" s="302">
        <f>F38*(BOM_average!E50*BOM_average!E53)/1000000</f>
        <v>0</v>
      </c>
      <c r="G146" s="302">
        <f>G38*(BOM_average!F50*BOM_average!F53)/1000000</f>
        <v>0</v>
      </c>
      <c r="H146" s="302">
        <f>H38*(BOM_average!G50*BOM_average!G53)/1000000</f>
        <v>0</v>
      </c>
      <c r="I146" s="302">
        <f>I38*(BOM_average!H50*BOM_average!H53)/1000000</f>
        <v>0</v>
      </c>
      <c r="J146" s="302">
        <f>J38*(BOM_average!I50*BOM_average!I53)/1000000</f>
        <v>0</v>
      </c>
      <c r="K146" s="302">
        <f>K38*(BOM_average!J50*BOM_average!J53)/1000000</f>
        <v>0</v>
      </c>
      <c r="L146" s="302">
        <f>L38*(BOM_average!K50*BOM_average!K53)/1000000</f>
        <v>0</v>
      </c>
      <c r="M146" s="302">
        <f>M38*(BOM_average!L50*BOM_average!L53)/1000000</f>
        <v>0</v>
      </c>
      <c r="N146" s="302">
        <f>N38*(BOM_average!M50*BOM_average!M53)/1000000</f>
        <v>0</v>
      </c>
      <c r="O146" s="302">
        <f>O38*(BOM_average!N50*BOM_average!N53)/1000000</f>
        <v>0</v>
      </c>
      <c r="P146" s="302">
        <f>P38*(BOM_average!O50*BOM_average!O53)/1000000</f>
        <v>0</v>
      </c>
      <c r="Q146" s="302">
        <f>Q38*(BOM_average!P50*BOM_average!P53)/1000000</f>
        <v>0</v>
      </c>
      <c r="R146" s="302">
        <f>R38*(BOM_average!Q50*BOM_average!Q53)/1000000</f>
        <v>0</v>
      </c>
      <c r="S146" s="302">
        <f>S38*(BOM_average!R50*BOM_average!R53)/1000000</f>
        <v>0</v>
      </c>
      <c r="T146" s="302">
        <f>T38*(BOM_average!S50*BOM_average!S53)/1000000</f>
        <v>0</v>
      </c>
      <c r="U146" s="302">
        <f>U38*(BOM_average!T50*BOM_average!T53)/1000000</f>
        <v>0</v>
      </c>
      <c r="V146" s="302">
        <f>V38*(BOM_average!U50*BOM_average!U53)/1000000</f>
        <v>0</v>
      </c>
      <c r="W146" s="302">
        <f>W38*(BOM_average!V50*BOM_average!V53)/1000000</f>
        <v>0</v>
      </c>
      <c r="X146" s="302">
        <f>X38*(BOM_average!W50*BOM_average!W53)/1000000</f>
        <v>0</v>
      </c>
      <c r="Y146" s="302">
        <f>Y38*(BOM_average!X50*BOM_average!X53)/1000000</f>
        <v>0</v>
      </c>
      <c r="Z146" s="302">
        <f>Z38*(BOM_average!Y50*BOM_average!Y53)/1000000</f>
        <v>0</v>
      </c>
      <c r="AA146" s="302">
        <f>AA38*(BOM_average!Z50*BOM_average!Z53)/1000000</f>
        <v>0</v>
      </c>
      <c r="AB146" s="302">
        <f>AB38*(BOM_average!AA50*BOM_average!AA53)/1000000</f>
        <v>0</v>
      </c>
    </row>
    <row r="147" spans="2:28" ht="17" thickBot="1">
      <c r="B147" s="297" t="s">
        <v>447</v>
      </c>
      <c r="C147" s="302">
        <f>C38*(BOM_average!B51*BOM_average!B53)/1000000</f>
        <v>1.027191490810186</v>
      </c>
      <c r="D147" s="302">
        <f>D38*(BOM_average!C51*BOM_average!C53)/1000000</f>
        <v>1.6429339501524098</v>
      </c>
      <c r="E147" s="302">
        <f>E38*(BOM_average!D51*BOM_average!D53)/1000000</f>
        <v>1.5623361141120871</v>
      </c>
      <c r="F147" s="302">
        <f>F38*(BOM_average!E51*BOM_average!E53)/1000000</f>
        <v>1.8044658903296786</v>
      </c>
      <c r="G147" s="302">
        <f>G38*(BOM_average!F51*BOM_average!F53)/1000000</f>
        <v>6.5178879516432051</v>
      </c>
      <c r="H147" s="302">
        <f>H38*(BOM_average!G51*BOM_average!G53)/1000000</f>
        <v>15.437547272612287</v>
      </c>
      <c r="I147" s="302">
        <f>I38*(BOM_average!H51*BOM_average!H53)/1000000</f>
        <v>25.234178915398303</v>
      </c>
      <c r="J147" s="302">
        <f>J38*(BOM_average!I51*BOM_average!I53)/1000000</f>
        <v>26.076458435677054</v>
      </c>
      <c r="K147" s="302">
        <f>K38*(BOM_average!J51*BOM_average!J53)/1000000</f>
        <v>24.165766677604061</v>
      </c>
      <c r="L147" s="302">
        <f>L38*(BOM_average!K51*BOM_average!K53)/1000000</f>
        <v>22.583373844279148</v>
      </c>
      <c r="M147" s="302">
        <f>M38*(BOM_average!L51*BOM_average!L53)/1000000</f>
        <v>18.684594425980087</v>
      </c>
      <c r="N147" s="302">
        <f>N38*(BOM_average!M51*BOM_average!M53)/1000000</f>
        <v>19.071251784278612</v>
      </c>
      <c r="O147" s="302">
        <f>O38*(BOM_average!N51*BOM_average!N53)/1000000</f>
        <v>22.472291060296289</v>
      </c>
      <c r="P147" s="302">
        <f>P38*(BOM_average!O51*BOM_average!O53)/1000000</f>
        <v>25.436637665175905</v>
      </c>
      <c r="Q147" s="302">
        <f>Q38*(BOM_average!P51*BOM_average!P53)/1000000</f>
        <v>19.581634484305813</v>
      </c>
      <c r="R147" s="302">
        <f>R38*(BOM_average!Q51*BOM_average!Q53)/1000000</f>
        <v>18.061413926931557</v>
      </c>
      <c r="S147" s="302">
        <f>S38*(BOM_average!R51*BOM_average!R53)/1000000</f>
        <v>18.061413926931557</v>
      </c>
      <c r="T147" s="302">
        <f>T38*(BOM_average!S51*BOM_average!S53)/1000000</f>
        <v>17.728887400623602</v>
      </c>
      <c r="U147" s="302">
        <f>U38*(BOM_average!T51*BOM_average!T53)/1000000</f>
        <v>17.183381145690852</v>
      </c>
      <c r="V147" s="302">
        <f>V38*(BOM_average!U51*BOM_average!U53)/1000000</f>
        <v>16.669412602886471</v>
      </c>
      <c r="W147" s="302">
        <f>W38*(BOM_average!V51*BOM_average!V53)/1000000</f>
        <v>16.308597572029093</v>
      </c>
      <c r="X147" s="302">
        <f>X38*(BOM_average!W51*BOM_average!W53)/1000000</f>
        <v>16.143157538598032</v>
      </c>
      <c r="Y147" s="302">
        <f>Y38*(BOM_average!X51*BOM_average!X53)/1000000</f>
        <v>16.159793335697852</v>
      </c>
      <c r="Z147" s="302">
        <f>Z38*(BOM_average!Y51*BOM_average!Y53)/1000000</f>
        <v>16.314309183557999</v>
      </c>
      <c r="AA147" s="302">
        <f>AA38*(BOM_average!Z51*BOM_average!Z53)/1000000</f>
        <v>16.552528552669909</v>
      </c>
      <c r="AB147" s="302">
        <f>AB38*(BOM_average!AA51*BOM_average!AA53)/1000000</f>
        <v>16.824642402187731</v>
      </c>
    </row>
    <row r="148" spans="2:28">
      <c r="B148" s="296" t="s">
        <v>7797</v>
      </c>
      <c r="C148" s="304">
        <f>C38*(BOM_average!B53)/1000000</f>
        <v>163.36812599646331</v>
      </c>
      <c r="D148" s="304">
        <f>D38*(BOM_average!C53)/1000000</f>
        <v>261.29795950769233</v>
      </c>
      <c r="E148" s="304">
        <f>E38*(BOM_average!D53)/1000000</f>
        <v>248.47939787524311</v>
      </c>
      <c r="F148" s="304">
        <f>F38*(BOM_average!E53)/1000000</f>
        <v>286.98856402634834</v>
      </c>
      <c r="G148" s="304">
        <f>G38*(BOM_average!F53)/1000000</f>
        <v>1036.6276878666665</v>
      </c>
      <c r="H148" s="304">
        <f>H38*(BOM_average!G53)/1000000</f>
        <v>2455.2414914567489</v>
      </c>
      <c r="I148" s="304">
        <f>I38*(BOM_average!H53)/1000000</f>
        <v>4013.3320392057985</v>
      </c>
      <c r="J148" s="304">
        <f>J38*(BOM_average!I53)/1000000</f>
        <v>4147.2911189141087</v>
      </c>
      <c r="K148" s="304">
        <f>K38*(BOM_average!J53)/1000000</f>
        <v>3843.4080214917662</v>
      </c>
      <c r="L148" s="304">
        <f>L38*(BOM_average!K53)/1000000</f>
        <v>3591.7387328700061</v>
      </c>
      <c r="M148" s="304">
        <f>M38*(BOM_average!L53)/1000000</f>
        <v>2971.6632231529989</v>
      </c>
      <c r="N148" s="304">
        <f>N38*(BOM_average!M53)/1000000</f>
        <v>3033.158561259967</v>
      </c>
      <c r="O148" s="304">
        <f>O38*(BOM_average!N53)/1000000</f>
        <v>3574.0717385343769</v>
      </c>
      <c r="P148" s="304">
        <f>P38*(BOM_average!O53)/1000000</f>
        <v>4045.531786612843</v>
      </c>
      <c r="Q148" s="304">
        <f>Q38*(BOM_average!P53)/1000000</f>
        <v>3114.331610287752</v>
      </c>
      <c r="R148" s="304">
        <f>R38*(BOM_average!Q53)/1000000</f>
        <v>2872.5504178017786</v>
      </c>
      <c r="S148" s="304">
        <f>S38*(BOM_average!R53)/1000000</f>
        <v>2872.5504178017786</v>
      </c>
      <c r="T148" s="304">
        <f>T38*(BOM_average!S53)/1000000</f>
        <v>2819.6642364684453</v>
      </c>
      <c r="U148" s="304">
        <f>U38*(BOM_average!T53)/1000000</f>
        <v>2732.9050144684452</v>
      </c>
      <c r="V148" s="304">
        <f>V38*(BOM_average!U53)/1000000</f>
        <v>2651.1616604684455</v>
      </c>
      <c r="W148" s="304">
        <f>W38*(BOM_average!V53)/1000000</f>
        <v>2593.7763764684455</v>
      </c>
      <c r="X148" s="304">
        <f>X38*(BOM_average!W53)/1000000</f>
        <v>2567.4642151351118</v>
      </c>
      <c r="Y148" s="304">
        <f>Y38*(BOM_average!X53)/1000000</f>
        <v>2570.1100304684451</v>
      </c>
      <c r="Z148" s="304">
        <f>Z38*(BOM_average!Y53)/1000000</f>
        <v>2594.684771135112</v>
      </c>
      <c r="AA148" s="304">
        <f>AA38*(BOM_average!Z53)/1000000</f>
        <v>2632.5720124684453</v>
      </c>
      <c r="AB148" s="304">
        <f>AB38*(BOM_average!AA53)/1000000</f>
        <v>2675.8499504684455</v>
      </c>
    </row>
    <row r="149" spans="2:28">
      <c r="B149" s="295" t="s">
        <v>7798</v>
      </c>
      <c r="C149" s="302">
        <f>C38*(BOM_average!B54)/1000000</f>
        <v>193.3910140535809</v>
      </c>
      <c r="D149" s="302">
        <f>D38*(BOM_average!C54)/1000000</f>
        <v>309.31784918937063</v>
      </c>
      <c r="E149" s="302">
        <f>E38*(BOM_average!D54)/1000000</f>
        <v>294.14356339961171</v>
      </c>
      <c r="F149" s="302">
        <f>F38*(BOM_average!E54)/1000000</f>
        <v>339.72973051082232</v>
      </c>
      <c r="G149" s="302">
        <f>G38*(BOM_average!F54)/1000000</f>
        <v>1227.1333745781817</v>
      </c>
      <c r="H149" s="302">
        <f>H38*(BOM_average!G54)/1000000</f>
        <v>2906.4521545012176</v>
      </c>
      <c r="I149" s="302">
        <f>I38*(BOM_average!H54)/1000000</f>
        <v>4750.8799410023075</v>
      </c>
      <c r="J149" s="302">
        <f>J38*(BOM_average!I54)/1000000</f>
        <v>4909.4572773612699</v>
      </c>
      <c r="K149" s="302">
        <f>K38*(BOM_average!J54)/1000000</f>
        <v>4549.7282298142463</v>
      </c>
      <c r="L149" s="302">
        <f>L38*(BOM_average!K54)/1000000</f>
        <v>4251.8085552397879</v>
      </c>
      <c r="M149" s="302">
        <f>M38*(BOM_average!L54)/1000000</f>
        <v>3517.7790076610931</v>
      </c>
      <c r="N149" s="302">
        <f>N38*(BOM_average!M54)/1000000</f>
        <v>3590.5756179149917</v>
      </c>
      <c r="O149" s="302">
        <f>O38*(BOM_average!N54)/1000000</f>
        <v>4230.8948186770012</v>
      </c>
      <c r="P149" s="302">
        <f>P38*(BOM_average!O54)/1000000</f>
        <v>4788.9971793885288</v>
      </c>
      <c r="Q149" s="302">
        <f>Q38*(BOM_average!P54)/1000000</f>
        <v>3686.6661996582402</v>
      </c>
      <c r="R149" s="302">
        <f>R38*(BOM_average!Q54)/1000000</f>
        <v>3400.4518006820363</v>
      </c>
      <c r="S149" s="302">
        <f>S38*(BOM_average!R54)/1000000</f>
        <v>3400.4518006820363</v>
      </c>
      <c r="T149" s="302">
        <f>T38*(BOM_average!S54)/1000000</f>
        <v>3337.8464902820369</v>
      </c>
      <c r="U149" s="302">
        <f>U38*(BOM_average!T54)/1000000</f>
        <v>3235.1431396820362</v>
      </c>
      <c r="V149" s="302">
        <f>V38*(BOM_average!U54)/1000000</f>
        <v>3138.3774454820364</v>
      </c>
      <c r="W149" s="302">
        <f>W38*(BOM_average!V54)/1000000</f>
        <v>3070.4462122820369</v>
      </c>
      <c r="X149" s="302">
        <f>X38*(BOM_average!W54)/1000000</f>
        <v>3039.2985478820365</v>
      </c>
      <c r="Y149" s="302">
        <f>Y38*(BOM_average!X54)/1000000</f>
        <v>3042.4305964820364</v>
      </c>
      <c r="Z149" s="302">
        <f>Z38*(BOM_average!Y54)/1000000</f>
        <v>3071.5215466820364</v>
      </c>
      <c r="AA149" s="302">
        <f>AA38*(BOM_average!Z54)/1000000</f>
        <v>3116.3714950820363</v>
      </c>
      <c r="AB149" s="302">
        <f>AB38*(BOM_average!AA54)/1000000</f>
        <v>3167.6028124820364</v>
      </c>
    </row>
    <row r="150" spans="2:28">
      <c r="B150" s="295" t="s">
        <v>7799</v>
      </c>
      <c r="C150" s="302">
        <f>C38*(BOM_average!B55)/1000000</f>
        <v>138.71251066339522</v>
      </c>
      <c r="D150" s="302">
        <f>D38*(BOM_average!C55)/1000000</f>
        <v>221.86271510097902</v>
      </c>
      <c r="E150" s="302">
        <f>E38*(BOM_average!D55)/1000000</f>
        <v>210.97873846058474</v>
      </c>
      <c r="F150" s="302">
        <f>F38*(BOM_average!E55)/1000000</f>
        <v>243.67607821270556</v>
      </c>
      <c r="G150" s="302">
        <f>G38*(BOM_average!F55)/1000000</f>
        <v>880.17921690727269</v>
      </c>
      <c r="H150" s="302">
        <f>H38*(BOM_average!G55)/1000000</f>
        <v>2084.6949763767116</v>
      </c>
      <c r="I150" s="302">
        <f>I38*(BOM_average!H55)/1000000</f>
        <v>3407.6375663153035</v>
      </c>
      <c r="J150" s="302">
        <f>J38*(BOM_average!I55)/1000000</f>
        <v>3521.379461554402</v>
      </c>
      <c r="K150" s="302">
        <f>K38*(BOM_average!J55)/1000000</f>
        <v>3263.3585830353281</v>
      </c>
      <c r="L150" s="302">
        <f>L38*(BOM_average!K55)/1000000</f>
        <v>3049.6713740484856</v>
      </c>
      <c r="M150" s="302">
        <f>M38*(BOM_average!L55)/1000000</f>
        <v>2523.1780313043041</v>
      </c>
      <c r="N150" s="302">
        <f>N38*(BOM_average!M55)/1000000</f>
        <v>2575.3924561860376</v>
      </c>
      <c r="O150" s="302">
        <f>O38*(BOM_average!N55)/1000000</f>
        <v>3034.6706930697246</v>
      </c>
      <c r="P150" s="302">
        <f>P38*(BOM_average!O55)/1000000</f>
        <v>3434.9777085757037</v>
      </c>
      <c r="Q150" s="302">
        <f>Q38*(BOM_average!P55)/1000000</f>
        <v>2644.314820081494</v>
      </c>
      <c r="R150" s="302">
        <f>R38*(BOM_average!Q55)/1000000</f>
        <v>2439.0233898446982</v>
      </c>
      <c r="S150" s="302">
        <f>S38*(BOM_average!R55)/1000000</f>
        <v>2439.0233898446982</v>
      </c>
      <c r="T150" s="302">
        <f>T38*(BOM_average!S55)/1000000</f>
        <v>2394.118822644698</v>
      </c>
      <c r="U150" s="302">
        <f>U38*(BOM_average!T55)/1000000</f>
        <v>2320.4533543446978</v>
      </c>
      <c r="V150" s="302">
        <f>V38*(BOM_average!U55)/1000000</f>
        <v>2251.0467562446979</v>
      </c>
      <c r="W150" s="302">
        <f>W38*(BOM_average!V55)/1000000</f>
        <v>2202.3220936446983</v>
      </c>
      <c r="X150" s="302">
        <f>X38*(BOM_average!W55)/1000000</f>
        <v>2179.9809794446978</v>
      </c>
      <c r="Y150" s="302">
        <f>Y38*(BOM_average!X55)/1000000</f>
        <v>2182.2274867446981</v>
      </c>
      <c r="Z150" s="302">
        <f>Z38*(BOM_average!Y55)/1000000</f>
        <v>2203.093392844698</v>
      </c>
      <c r="AA150" s="302">
        <f>AA38*(BOM_average!Z55)/1000000</f>
        <v>2235.2626690446978</v>
      </c>
      <c r="AB150" s="302">
        <f>AB38*(BOM_average!AA55)/1000000</f>
        <v>2272.009074744698</v>
      </c>
    </row>
    <row r="152" spans="2:28">
      <c r="B152" s="291" t="s">
        <v>7795</v>
      </c>
    </row>
    <row r="153" spans="2:28">
      <c r="B153" s="294" t="s">
        <v>437</v>
      </c>
      <c r="C153" s="299">
        <f>C5*(BOM_average!B42*BOM_average!B53)/1000000</f>
        <v>15.243014935216967</v>
      </c>
      <c r="D153" s="299">
        <f>D5*(BOM_average!C42*BOM_average!C53)/1000000</f>
        <v>38.481172037129163</v>
      </c>
      <c r="E153" s="299">
        <f>E5*(BOM_average!D42*BOM_average!D53)/1000000</f>
        <v>57.775110848727195</v>
      </c>
      <c r="F153" s="299">
        <f>F5*(BOM_average!E42*BOM_average!E53)/1000000</f>
        <v>77.180267826299058</v>
      </c>
      <c r="G153" s="299">
        <f>G5*(BOM_average!F42*BOM_average!F53)/1000000</f>
        <v>162.77197961923403</v>
      </c>
      <c r="H153" s="299">
        <f>H5*(BOM_average!G42*BOM_average!G53)/1000000</f>
        <v>371.8627413694432</v>
      </c>
      <c r="I153" s="299">
        <f>I5*(BOM_average!H42*BOM_average!H53)/1000000</f>
        <v>703.78432419610965</v>
      </c>
      <c r="J153" s="299">
        <f>J5*(BOM_average!I42*BOM_average!I53)/1000000</f>
        <v>1006.1092545323157</v>
      </c>
      <c r="K153" s="299">
        <f>K5*(BOM_average!J42*BOM_average!J53)/1000000</f>
        <v>1226.880159306294</v>
      </c>
      <c r="L153" s="299">
        <f>L5*(BOM_average!K42*BOM_average!K53)/1000000</f>
        <v>1372.2906279175249</v>
      </c>
      <c r="M153" s="299">
        <f>M5*(BOM_average!L42*BOM_average!L53)/1000000</f>
        <v>1416.5589716138441</v>
      </c>
      <c r="N153" s="299">
        <f>N5*(BOM_average!M42*BOM_average!M53)/1000000</f>
        <v>1437.4965955499115</v>
      </c>
      <c r="O153" s="299">
        <f>O5*(BOM_average!N42*BOM_average!N53)/1000000</f>
        <v>1491.8694912368585</v>
      </c>
      <c r="P153" s="299">
        <f>P5*(BOM_average!O42*BOM_average!O53)/1000000</f>
        <v>1577.5787985657296</v>
      </c>
      <c r="Q153" s="299">
        <f>Q5*(BOM_average!P42*BOM_average!P53)/1000000</f>
        <v>1562.7533308617778</v>
      </c>
      <c r="R153" s="299">
        <f>R5*(BOM_average!Q42*BOM_average!Q53)/1000000</f>
        <v>1517.7923117795342</v>
      </c>
      <c r="S153" s="299">
        <f>S5*(BOM_average!R42*BOM_average!R53)/1000000</f>
        <v>1473.2278367017427</v>
      </c>
      <c r="T153" s="299">
        <f>T5*(BOM_average!S42*BOM_average!S53)/1000000</f>
        <v>1433.6760540597315</v>
      </c>
      <c r="U153" s="299">
        <f>U5*(BOM_average!T42*BOM_average!T53)/1000000</f>
        <v>1401.3483345217321</v>
      </c>
      <c r="V153" s="299">
        <f>V5*(BOM_average!U42*BOM_average!U53)/1000000</f>
        <v>1377.2331732089847</v>
      </c>
      <c r="W153" s="299">
        <f>W5*(BOM_average!V42*BOM_average!V53)/1000000</f>
        <v>1361.5864642486808</v>
      </c>
      <c r="X153" s="299">
        <f>X5*(BOM_average!W42*BOM_average!W53)/1000000</f>
        <v>1354.1403134088052</v>
      </c>
      <c r="Y153" s="299">
        <f>Y5*(BOM_average!X42*BOM_average!X53)/1000000</f>
        <v>1354.2090930786062</v>
      </c>
      <c r="Z153" s="299">
        <f>Z5*(BOM_average!Y42*BOM_average!Y53)/1000000</f>
        <v>1360.771713257524</v>
      </c>
      <c r="AA153" s="299">
        <f>AA5*(BOM_average!Z42*BOM_average!Z53)/1000000</f>
        <v>1372.5658926489434</v>
      </c>
      <c r="AB153" s="299">
        <f>AB5*(BOM_average!AA42*BOM_average!AA53)/1000000</f>
        <v>1388.2002136930762</v>
      </c>
    </row>
    <row r="154" spans="2:28">
      <c r="B154" s="294" t="s">
        <v>217</v>
      </c>
      <c r="C154" s="299">
        <f>C5*(BOM_average!B43*BOM_average!B53)/1000000</f>
        <v>0.70972617234927715</v>
      </c>
      <c r="D154" s="299">
        <f>D5*(BOM_average!C43*BOM_average!C53)/1000000</f>
        <v>1.7917121418235349</v>
      </c>
      <c r="E154" s="299">
        <f>E5*(BOM_average!D43*BOM_average!D53)/1000000</f>
        <v>2.6900523586699947</v>
      </c>
      <c r="F154" s="299">
        <f>F5*(BOM_average!E43*BOM_average!E53)/1000000</f>
        <v>3.5935709764802919</v>
      </c>
      <c r="G154" s="299">
        <f>G5*(BOM_average!F43*BOM_average!F53)/1000000</f>
        <v>7.5787850731531936</v>
      </c>
      <c r="H154" s="299">
        <f>H5*(BOM_average!G43*BOM_average!G53)/1000000</f>
        <v>17.314207274158758</v>
      </c>
      <c r="I154" s="299">
        <f>I5*(BOM_average!H43*BOM_average!H53)/1000000</f>
        <v>32.768724343181781</v>
      </c>
      <c r="J154" s="299">
        <f>J5*(BOM_average!I43*BOM_average!I53)/1000000</f>
        <v>46.845199143291488</v>
      </c>
      <c r="K154" s="299">
        <f>K5*(BOM_average!J43*BOM_average!J53)/1000000</f>
        <v>57.124457536545314</v>
      </c>
      <c r="L154" s="299">
        <f>L5*(BOM_average!K43*BOM_average!K53)/1000000</f>
        <v>63.894877676233683</v>
      </c>
      <c r="M154" s="299">
        <f>M5*(BOM_average!L43*BOM_average!L53)/1000000</f>
        <v>65.956044857487498</v>
      </c>
      <c r="N154" s="299">
        <f>N5*(BOM_average!M43*BOM_average!M53)/1000000</f>
        <v>66.930916282687093</v>
      </c>
      <c r="O154" s="299">
        <f>O5*(BOM_average!N43*BOM_average!N53)/1000000</f>
        <v>69.462558959641157</v>
      </c>
      <c r="P154" s="299">
        <f>P5*(BOM_average!O43*BOM_average!O53)/1000000</f>
        <v>73.4532483923916</v>
      </c>
      <c r="Q154" s="299">
        <f>Q5*(BOM_average!P43*BOM_average!P53)/1000000</f>
        <v>72.762963531323607</v>
      </c>
      <c r="R154" s="299">
        <f>R5*(BOM_average!Q43*BOM_average!Q53)/1000000</f>
        <v>70.669544866198521</v>
      </c>
      <c r="S154" s="299">
        <f>S5*(BOM_average!R43*BOM_average!R53)/1000000</f>
        <v>68.594589586410535</v>
      </c>
      <c r="T154" s="299">
        <f>T5*(BOM_average!S43*BOM_average!S53)/1000000</f>
        <v>66.753029014344762</v>
      </c>
      <c r="U154" s="299">
        <f>U5*(BOM_average!T43*BOM_average!T53)/1000000</f>
        <v>65.247826221721596</v>
      </c>
      <c r="V154" s="299">
        <f>V5*(BOM_average!U43*BOM_average!U53)/1000000</f>
        <v>64.125006280468426</v>
      </c>
      <c r="W154" s="299">
        <f>W5*(BOM_average!V43*BOM_average!V53)/1000000</f>
        <v>63.396483812475338</v>
      </c>
      <c r="X154" s="299">
        <f>X5*(BOM_average!W43*BOM_average!W53)/1000000</f>
        <v>63.04978546199937</v>
      </c>
      <c r="Y154" s="299">
        <f>Y5*(BOM_average!X43*BOM_average!X53)/1000000</f>
        <v>63.052987894850787</v>
      </c>
      <c r="Z154" s="299">
        <f>Z5*(BOM_average!Y43*BOM_average!Y53)/1000000</f>
        <v>63.358548397150415</v>
      </c>
      <c r="AA154" s="299">
        <f>AA5*(BOM_average!Z43*BOM_average!Z53)/1000000</f>
        <v>63.907694207939699</v>
      </c>
      <c r="AB154" s="299">
        <f>AB5*(BOM_average!AA43*BOM_average!AA53)/1000000</f>
        <v>64.635639885293585</v>
      </c>
    </row>
    <row r="155" spans="2:28">
      <c r="B155" s="294" t="s">
        <v>313</v>
      </c>
      <c r="C155" s="299">
        <f>C5*(BOM_average!B44*BOM_average!B53)/1000000</f>
        <v>6.6447888393676688</v>
      </c>
      <c r="D155" s="299">
        <f>D5*(BOM_average!C44*BOM_average!C53)/1000000</f>
        <v>16.774848254418739</v>
      </c>
      <c r="E155" s="299">
        <f>E5*(BOM_average!D44*BOM_average!D53)/1000000</f>
        <v>25.185530119365986</v>
      </c>
      <c r="F155" s="299">
        <f>F5*(BOM_average!E44*BOM_average!E53)/1000000</f>
        <v>33.644694599539854</v>
      </c>
      <c r="G155" s="299">
        <f>G5*(BOM_average!F44*BOM_average!F53)/1000000</f>
        <v>70.956135523872518</v>
      </c>
      <c r="H155" s="299">
        <f>H5*(BOM_average!G44*BOM_average!G53)/1000000</f>
        <v>162.10371794096596</v>
      </c>
      <c r="I155" s="299">
        <f>I5*(BOM_average!H44*BOM_average!H53)/1000000</f>
        <v>306.79614515995763</v>
      </c>
      <c r="J155" s="299">
        <f>J5*(BOM_average!I44*BOM_average!I53)/1000000</f>
        <v>438.5866952249167</v>
      </c>
      <c r="K155" s="299">
        <f>K5*(BOM_average!J44*BOM_average!J53)/1000000</f>
        <v>534.82592678992557</v>
      </c>
      <c r="L155" s="299">
        <f>L5*(BOM_average!K44*BOM_average!K53)/1000000</f>
        <v>598.21377119351541</v>
      </c>
      <c r="M155" s="299">
        <f>M5*(BOM_average!L44*BOM_average!L53)/1000000</f>
        <v>617.51138373150422</v>
      </c>
      <c r="N155" s="299">
        <f>N5*(BOM_average!M44*BOM_average!M53)/1000000</f>
        <v>626.63858661390952</v>
      </c>
      <c r="O155" s="299">
        <f>O5*(BOM_average!N44*BOM_average!N53)/1000000</f>
        <v>650.34101109884523</v>
      </c>
      <c r="P155" s="299">
        <f>P5*(BOM_average!O44*BOM_average!O53)/1000000</f>
        <v>687.70371468401436</v>
      </c>
      <c r="Q155" s="299">
        <f>Q5*(BOM_average!P44*BOM_average!P53)/1000000</f>
        <v>681.24094450657208</v>
      </c>
      <c r="R155" s="299">
        <f>R5*(BOM_average!Q44*BOM_average!Q53)/1000000</f>
        <v>661.64137847098084</v>
      </c>
      <c r="S155" s="299">
        <f>S5*(BOM_average!R44*BOM_average!R53)/1000000</f>
        <v>642.21467529659526</v>
      </c>
      <c r="T155" s="299">
        <f>T5*(BOM_average!S44*BOM_average!S53)/1000000</f>
        <v>624.97312269078259</v>
      </c>
      <c r="U155" s="299">
        <f>U5*(BOM_average!T44*BOM_average!T53)/1000000</f>
        <v>610.88070915571382</v>
      </c>
      <c r="V155" s="299">
        <f>V5*(BOM_average!U44*BOM_average!U53)/1000000</f>
        <v>600.3683429714963</v>
      </c>
      <c r="W155" s="299">
        <f>W5*(BOM_average!V44*BOM_average!V53)/1000000</f>
        <v>593.54757440870674</v>
      </c>
      <c r="X155" s="299">
        <f>X5*(BOM_average!W44*BOM_average!W53)/1000000</f>
        <v>590.30162206874411</v>
      </c>
      <c r="Y155" s="299">
        <f>Y5*(BOM_average!X44*BOM_average!X53)/1000000</f>
        <v>590.33160474501983</v>
      </c>
      <c r="Z155" s="299">
        <f>Z5*(BOM_average!Y44*BOM_average!Y53)/1000000</f>
        <v>593.19240528265709</v>
      </c>
      <c r="AA155" s="299">
        <f>AA5*(BOM_average!Z44*BOM_average!Z53)/1000000</f>
        <v>598.33376556621499</v>
      </c>
      <c r="AB155" s="299">
        <f>AB5*(BOM_average!AA44*BOM_average!AA53)/1000000</f>
        <v>605.14913394488963</v>
      </c>
    </row>
    <row r="156" spans="2:28">
      <c r="B156" s="294" t="s">
        <v>6911</v>
      </c>
      <c r="C156" s="299">
        <f>C5*(BOM_average!B45*BOM_average!B53)/1000000</f>
        <v>31.857418002626652</v>
      </c>
      <c r="D156" s="299">
        <f>D5*(BOM_average!C45*BOM_average!C53)/1000000</f>
        <v>80.424429683231992</v>
      </c>
      <c r="E156" s="299">
        <f>E5*(BOM_average!D45*BOM_average!D53)/1000000</f>
        <v>120.74815017097495</v>
      </c>
      <c r="F156" s="299">
        <f>F5*(BOM_average!E45*BOM_average!E53)/1000000</f>
        <v>161.30431309992602</v>
      </c>
      <c r="G156" s="299">
        <f>G5*(BOM_average!F45*BOM_average!F53)/1000000</f>
        <v>340.18827744271022</v>
      </c>
      <c r="H156" s="299">
        <f>H5*(BOM_average!G45*BOM_average!G53)/1000000</f>
        <v>777.1813412082297</v>
      </c>
      <c r="I156" s="299">
        <f>I5*(BOM_average!H45*BOM_average!H53)/1000000</f>
        <v>1470.886927218801</v>
      </c>
      <c r="J156" s="299">
        <f>J5*(BOM_average!I45*BOM_average!I53)/1000000</f>
        <v>2102.7364477545107</v>
      </c>
      <c r="K156" s="299">
        <f>K5*(BOM_average!J45*BOM_average!J53)/1000000</f>
        <v>2564.1406401727349</v>
      </c>
      <c r="L156" s="299">
        <f>L5*(BOM_average!K45*BOM_average!K53)/1000000</f>
        <v>2868.0439099781884</v>
      </c>
      <c r="M156" s="299">
        <f>M5*(BOM_average!L45*BOM_average!L53)/1000000</f>
        <v>2960.5633449725956</v>
      </c>
      <c r="N156" s="299">
        <f>N5*(BOM_average!M45*BOM_average!M53)/1000000</f>
        <v>3004.3223152647552</v>
      </c>
      <c r="O156" s="299">
        <f>O5*(BOM_average!N45*BOM_average!N53)/1000000</f>
        <v>3117.9599435997056</v>
      </c>
      <c r="P156" s="299">
        <f>P5*(BOM_average!O45*BOM_average!O53)/1000000</f>
        <v>3297.0896788847531</v>
      </c>
      <c r="Q156" s="299">
        <f>Q5*(BOM_average!P45*BOM_average!P53)/1000000</f>
        <v>3266.1049213589931</v>
      </c>
      <c r="R156" s="299">
        <f>R5*(BOM_average!Q45*BOM_average!Q53)/1000000</f>
        <v>3172.1378167661951</v>
      </c>
      <c r="S156" s="299">
        <f>S5*(BOM_average!R45*BOM_average!R53)/1000000</f>
        <v>3078.9994765720389</v>
      </c>
      <c r="T156" s="299">
        <f>T5*(BOM_average!S45*BOM_average!S53)/1000000</f>
        <v>2996.3375046635506</v>
      </c>
      <c r="U156" s="299">
        <f>U5*(BOM_average!T45*BOM_average!T53)/1000000</f>
        <v>2928.7735956356623</v>
      </c>
      <c r="V156" s="299">
        <f>V5*(BOM_average!U45*BOM_average!U53)/1000000</f>
        <v>2878.3736729559287</v>
      </c>
      <c r="W156" s="299">
        <f>W5*(BOM_average!V45*BOM_average!V53)/1000000</f>
        <v>2845.6725472381941</v>
      </c>
      <c r="X156" s="299">
        <f>X5*(BOM_average!W45*BOM_average!W53)/1000000</f>
        <v>2830.1103280299403</v>
      </c>
      <c r="Y156" s="299">
        <f>Y5*(BOM_average!X45*BOM_average!X53)/1000000</f>
        <v>2830.2540753594708</v>
      </c>
      <c r="Z156" s="299">
        <f>Z5*(BOM_average!Y45*BOM_average!Y53)/1000000</f>
        <v>2843.9697434947316</v>
      </c>
      <c r="AA156" s="299">
        <f>AA5*(BOM_average!Z45*BOM_average!Z53)/1000000</f>
        <v>2868.6192045408097</v>
      </c>
      <c r="AB156" s="299">
        <f>AB5*(BOM_average!AA45*BOM_average!AA53)/1000000</f>
        <v>2901.2944399064504</v>
      </c>
    </row>
    <row r="157" spans="2:28">
      <c r="B157" s="294" t="s">
        <v>441</v>
      </c>
      <c r="C157" s="299">
        <f>C5*(BOM_average!B46*BOM_average!B53)/1000000</f>
        <v>37.202137520899818</v>
      </c>
      <c r="D157" s="299">
        <f>D5*(BOM_average!C46*BOM_average!C53)/1000000</f>
        <v>93.917237513374317</v>
      </c>
      <c r="E157" s="299">
        <f>E5*(BOM_average!D46*BOM_average!D53)/1000000</f>
        <v>141.00606922018912</v>
      </c>
      <c r="F157" s="299">
        <f>F5*(BOM_average!E46*BOM_average!E53)/1000000</f>
        <v>188.36634024022152</v>
      </c>
      <c r="G157" s="299">
        <f>G5*(BOM_average!F46*BOM_average!F53)/1000000</f>
        <v>397.26167008821176</v>
      </c>
      <c r="H157" s="299">
        <f>H5*(BOM_average!G46*BOM_average!G53)/1000000</f>
        <v>907.56906701987145</v>
      </c>
      <c r="I157" s="299">
        <f>I5*(BOM_average!H46*BOM_average!H53)/1000000</f>
        <v>1717.657650082499</v>
      </c>
      <c r="J157" s="299">
        <f>J5*(BOM_average!I46*BOM_average!I53)/1000000</f>
        <v>2455.5125745947744</v>
      </c>
      <c r="K157" s="299">
        <f>K5*(BOM_average!J46*BOM_average!J53)/1000000</f>
        <v>2994.3265556163124</v>
      </c>
      <c r="L157" s="299">
        <f>L5*(BOM_average!K46*BOM_average!K53)/1000000</f>
        <v>3349.2156817665063</v>
      </c>
      <c r="M157" s="299">
        <f>M5*(BOM_average!L46*BOM_average!L53)/1000000</f>
        <v>3457.2571038219312</v>
      </c>
      <c r="N157" s="299">
        <f>N5*(BOM_average!M46*BOM_average!M53)/1000000</f>
        <v>3508.3575172467627</v>
      </c>
      <c r="O157" s="299">
        <f>O5*(BOM_average!N46*BOM_average!N53)/1000000</f>
        <v>3641.0601322709044</v>
      </c>
      <c r="P157" s="299">
        <f>P5*(BOM_average!O46*BOM_average!O53)/1000000</f>
        <v>3850.2424660559986</v>
      </c>
      <c r="Q157" s="299">
        <f>Q5*(BOM_average!P46*BOM_average!P53)/1000000</f>
        <v>3814.0593952738645</v>
      </c>
      <c r="R157" s="299">
        <f>R5*(BOM_average!Q46*BOM_average!Q53)/1000000</f>
        <v>3704.327428068807</v>
      </c>
      <c r="S157" s="299">
        <f>S5*(BOM_average!R46*BOM_average!R53)/1000000</f>
        <v>3595.5632670785585</v>
      </c>
      <c r="T157" s="299">
        <f>T5*(BOM_average!S46*BOM_average!S53)/1000000</f>
        <v>3499.0330948456799</v>
      </c>
      <c r="U157" s="299">
        <f>U5*(BOM_average!T46*BOM_average!T53)/1000000</f>
        <v>3420.1339877398309</v>
      </c>
      <c r="V157" s="299">
        <f>V5*(BOM_average!U46*BOM_average!U53)/1000000</f>
        <v>3361.2784692411378</v>
      </c>
      <c r="W157" s="299">
        <f>W5*(BOM_average!V46*BOM_average!V53)/1000000</f>
        <v>3323.0910751485249</v>
      </c>
      <c r="X157" s="299">
        <f>X5*(BOM_average!W46*BOM_average!W53)/1000000</f>
        <v>3304.9179821794683</v>
      </c>
      <c r="Y157" s="299">
        <f>Y5*(BOM_average!X46*BOM_average!X53)/1000000</f>
        <v>3305.0858460007298</v>
      </c>
      <c r="Z157" s="299">
        <f>Z5*(BOM_average!Y46*BOM_average!Y53)/1000000</f>
        <v>3321.1025919942981</v>
      </c>
      <c r="AA157" s="299">
        <f>AA5*(BOM_average!Z46*BOM_average!Z53)/1000000</f>
        <v>3349.8874935069271</v>
      </c>
      <c r="AB157" s="299">
        <f>AB5*(BOM_average!AA46*BOM_average!AA53)/1000000</f>
        <v>3388.0446536226686</v>
      </c>
    </row>
    <row r="158" spans="2:28">
      <c r="B158" s="294" t="s">
        <v>6912</v>
      </c>
      <c r="C158" s="299">
        <f>C5*(BOM_average!B47*BOM_average!B53)/1000000</f>
        <v>10.857073047458544</v>
      </c>
      <c r="D158" s="299">
        <f>D5*(BOM_average!C47*BOM_average!C53)/1000000</f>
        <v>27.408809709532946</v>
      </c>
      <c r="E158" s="299">
        <f>E5*(BOM_average!D47*BOM_average!D53)/1000000</f>
        <v>41.151215915981616</v>
      </c>
      <c r="F158" s="299">
        <f>F5*(BOM_average!E47*BOM_average!E53)/1000000</f>
        <v>54.972838980598702</v>
      </c>
      <c r="G158" s="299">
        <f>G5*(BOM_average!F47*BOM_average!F53)/1000000</f>
        <v>115.93685896892438</v>
      </c>
      <c r="H158" s="299">
        <f>H5*(BOM_average!G47*BOM_average!G53)/1000000</f>
        <v>264.8649866076355</v>
      </c>
      <c r="I158" s="299">
        <f>I5*(BOM_average!H47*BOM_average!H53)/1000000</f>
        <v>501.28126554542712</v>
      </c>
      <c r="J158" s="299">
        <f>J5*(BOM_average!I47*BOM_average!I53)/1000000</f>
        <v>716.6168711771279</v>
      </c>
      <c r="K158" s="299">
        <f>K5*(BOM_average!J47*BOM_average!J53)/1000000</f>
        <v>873.86436126170554</v>
      </c>
      <c r="L158" s="299">
        <f>L5*(BOM_average!K47*BOM_average!K53)/1000000</f>
        <v>977.43521560298552</v>
      </c>
      <c r="M158" s="299">
        <f>M5*(BOM_average!L47*BOM_average!L53)/1000000</f>
        <v>1008.9660277975282</v>
      </c>
      <c r="N158" s="299">
        <f>N5*(BOM_average!M47*BOM_average!M53)/1000000</f>
        <v>1023.8791741455586</v>
      </c>
      <c r="O158" s="299">
        <f>O5*(BOM_average!N47*BOM_average!N53)/1000000</f>
        <v>1062.6071097136821</v>
      </c>
      <c r="P158" s="299">
        <f>P5*(BOM_average!O47*BOM_average!O53)/1000000</f>
        <v>1123.6548889405271</v>
      </c>
      <c r="Q158" s="299">
        <f>Q5*(BOM_average!P47*BOM_average!P53)/1000000</f>
        <v>1113.0952203638951</v>
      </c>
      <c r="R158" s="299">
        <f>R5*(BOM_average!Q47*BOM_average!Q53)/1000000</f>
        <v>1081.071039416837</v>
      </c>
      <c r="S158" s="299">
        <f>S5*(BOM_average!R47*BOM_average!R53)/1000000</f>
        <v>1049.3293030675943</v>
      </c>
      <c r="T158" s="299">
        <f>T5*(BOM_average!S47*BOM_average!S53)/1000000</f>
        <v>1021.1579344028947</v>
      </c>
      <c r="U158" s="299">
        <f>U5*(BOM_average!T47*BOM_average!T53)/1000000</f>
        <v>998.13201636938879</v>
      </c>
      <c r="V158" s="299">
        <f>V5*(BOM_average!U47*BOM_average!U53)/1000000</f>
        <v>980.95561989949852</v>
      </c>
      <c r="W158" s="299">
        <f>W5*(BOM_average!V47*BOM_average!V53)/1000000</f>
        <v>969.81100954148712</v>
      </c>
      <c r="X158" s="299">
        <f>X5*(BOM_average!W47*BOM_average!W53)/1000000</f>
        <v>964.50737348690666</v>
      </c>
      <c r="Y158" s="299">
        <f>Y5*(BOM_average!X47*BOM_average!X53)/1000000</f>
        <v>964.55636287006882</v>
      </c>
      <c r="Z158" s="299">
        <f>Z5*(BOM_average!Y47*BOM_average!Y53)/1000000</f>
        <v>969.2306905518335</v>
      </c>
      <c r="AA158" s="299">
        <f>AA5*(BOM_average!Z47*BOM_average!Z53)/1000000</f>
        <v>977.63127716358235</v>
      </c>
      <c r="AB158" s="299">
        <f>AB5*(BOM_average!AA47*BOM_average!AA53)/1000000</f>
        <v>988.76706403678133</v>
      </c>
    </row>
    <row r="159" spans="2:28">
      <c r="B159" s="294" t="s">
        <v>443</v>
      </c>
      <c r="C159" s="299">
        <f>C5*(BOM_average!B48*BOM_average!B53)/1000000</f>
        <v>24.218655440042628</v>
      </c>
      <c r="D159" s="299">
        <f>D5*(BOM_average!C48*BOM_average!C53)/1000000</f>
        <v>61.140282972698486</v>
      </c>
      <c r="E159" s="299">
        <f>E5*(BOM_average!D48*BOM_average!D53)/1000000</f>
        <v>91.795193313289019</v>
      </c>
      <c r="F159" s="299">
        <f>F5*(BOM_average!E48*BOM_average!E53)/1000000</f>
        <v>122.62681111312176</v>
      </c>
      <c r="G159" s="299">
        <f>G5*(BOM_average!F48*BOM_average!F53)/1000000</f>
        <v>258.61802973007184</v>
      </c>
      <c r="H159" s="299">
        <f>H5*(BOM_average!G48*BOM_average!G53)/1000000</f>
        <v>590.8290218498064</v>
      </c>
      <c r="I159" s="299">
        <f>I5*(BOM_average!H48*BOM_average!H53)/1000000</f>
        <v>1118.1980811702344</v>
      </c>
      <c r="J159" s="299">
        <f>J5*(BOM_average!I48*BOM_average!I53)/1000000</f>
        <v>1598.5429046756672</v>
      </c>
      <c r="K159" s="299">
        <f>K5*(BOM_average!J48*BOM_average!J53)/1000000</f>
        <v>1949.3117320127335</v>
      </c>
      <c r="L159" s="299">
        <f>L5*(BOM_average!K48*BOM_average!K53)/1000000</f>
        <v>2180.3451628423682</v>
      </c>
      <c r="M159" s="299">
        <f>M5*(BOM_average!L48*BOM_average!L53)/1000000</f>
        <v>2250.6803142175427</v>
      </c>
      <c r="N159" s="299">
        <f>N5*(BOM_average!M48*BOM_average!M53)/1000000</f>
        <v>2283.9467711485313</v>
      </c>
      <c r="O159" s="299">
        <f>O5*(BOM_average!N48*BOM_average!N53)/1000000</f>
        <v>2370.3364015147108</v>
      </c>
      <c r="P159" s="299">
        <f>P5*(BOM_average!O48*BOM_average!O53)/1000000</f>
        <v>2506.5144601877932</v>
      </c>
      <c r="Q159" s="299">
        <f>Q5*(BOM_average!P48*BOM_average!P53)/1000000</f>
        <v>2482.9592189454625</v>
      </c>
      <c r="R159" s="299">
        <f>R5*(BOM_average!Q48*BOM_average!Q53)/1000000</f>
        <v>2411.5235197734901</v>
      </c>
      <c r="S159" s="299">
        <f>S5*(BOM_average!R48*BOM_average!R53)/1000000</f>
        <v>2340.7178641100663</v>
      </c>
      <c r="T159" s="299">
        <f>T5*(BOM_average!S48*BOM_average!S53)/1000000</f>
        <v>2277.8765561459018</v>
      </c>
      <c r="U159" s="299">
        <f>U5*(BOM_average!T48*BOM_average!T53)/1000000</f>
        <v>2226.513101869919</v>
      </c>
      <c r="V159" s="299">
        <f>V5*(BOM_average!U48*BOM_average!U53)/1000000</f>
        <v>2188.1980582124374</v>
      </c>
      <c r="W159" s="299">
        <f>W5*(BOM_average!V48*BOM_average!V53)/1000000</f>
        <v>2163.3379990515214</v>
      </c>
      <c r="X159" s="299">
        <f>X5*(BOM_average!W48*BOM_average!W53)/1000000</f>
        <v>2151.507284306967</v>
      </c>
      <c r="Y159" s="299">
        <f>Y5*(BOM_average!X48*BOM_average!X53)/1000000</f>
        <v>2151.6165639430014</v>
      </c>
      <c r="Z159" s="299">
        <f>Z5*(BOM_average!Y48*BOM_average!Y53)/1000000</f>
        <v>2162.0434931018699</v>
      </c>
      <c r="AA159" s="299">
        <f>AA5*(BOM_average!Z48*BOM_average!Z53)/1000000</f>
        <v>2180.7825134395662</v>
      </c>
      <c r="AB159" s="299">
        <f>AB5*(BOM_average!AA48*BOM_average!AA53)/1000000</f>
        <v>2205.622890229597</v>
      </c>
    </row>
    <row r="160" spans="2:28">
      <c r="B160" s="294" t="s">
        <v>445</v>
      </c>
      <c r="C160" s="299">
        <f>C5*(BOM_average!B49*BOM_average!B53)/1000000</f>
        <v>35.580892526692153</v>
      </c>
      <c r="D160" s="299">
        <f>D5*(BOM_average!C49*BOM_average!C53)/1000000</f>
        <v>89.824385292105291</v>
      </c>
      <c r="E160" s="299">
        <f>E5*(BOM_average!D49*BOM_average!D53)/1000000</f>
        <v>134.86111629247893</v>
      </c>
      <c r="F160" s="299">
        <f>F5*(BOM_average!E49*BOM_average!E53)/1000000</f>
        <v>180.15745745707196</v>
      </c>
      <c r="G160" s="299">
        <f>G5*(BOM_average!F49*BOM_average!F53)/1000000</f>
        <v>379.94926448626848</v>
      </c>
      <c r="H160" s="299">
        <f>H5*(BOM_average!G49*BOM_average!G53)/1000000</f>
        <v>868.01779645169302</v>
      </c>
      <c r="I160" s="299">
        <f>I5*(BOM_average!H49*BOM_average!H53)/1000000</f>
        <v>1642.8032451334739</v>
      </c>
      <c r="J160" s="299">
        <f>J5*(BOM_average!I49*BOM_average!I53)/1000000</f>
        <v>2348.5029311962121</v>
      </c>
      <c r="K160" s="299">
        <f>K5*(BOM_average!J49*BOM_average!J53)/1000000</f>
        <v>2863.8357488289662</v>
      </c>
      <c r="L160" s="299">
        <f>L5*(BOM_average!K49*BOM_average!K53)/1000000</f>
        <v>3203.2590373254361</v>
      </c>
      <c r="M160" s="299">
        <f>M5*(BOM_average!L49*BOM_average!L53)/1000000</f>
        <v>3306.5920843694512</v>
      </c>
      <c r="N160" s="299">
        <f>N5*(BOM_average!M49*BOM_average!M53)/1000000</f>
        <v>3355.4655749616791</v>
      </c>
      <c r="O160" s="299">
        <f>O5*(BOM_average!N49*BOM_average!N53)/1000000</f>
        <v>3482.3850961997373</v>
      </c>
      <c r="P160" s="299">
        <f>P5*(BOM_average!O49*BOM_average!O53)/1000000</f>
        <v>3682.4513997208383</v>
      </c>
      <c r="Q160" s="299">
        <f>Q5*(BOM_average!P49*BOM_average!P53)/1000000</f>
        <v>3647.8451636662153</v>
      </c>
      <c r="R160" s="299">
        <f>R5*(BOM_average!Q49*BOM_average!Q53)/1000000</f>
        <v>3542.8952443323537</v>
      </c>
      <c r="S160" s="299">
        <f>S5*(BOM_average!R49*BOM_average!R53)/1000000</f>
        <v>3438.8709548469496</v>
      </c>
      <c r="T160" s="299">
        <f>T5*(BOM_average!S49*BOM_average!S53)/1000000</f>
        <v>3346.5475048335843</v>
      </c>
      <c r="U160" s="299">
        <f>U5*(BOM_average!T49*BOM_average!T53)/1000000</f>
        <v>3271.0867695785719</v>
      </c>
      <c r="V160" s="299">
        <f>V5*(BOM_average!U49*BOM_average!U53)/1000000</f>
        <v>3214.79613635546</v>
      </c>
      <c r="W160" s="299">
        <f>W5*(BOM_average!V49*BOM_average!V53)/1000000</f>
        <v>3178.2729240986278</v>
      </c>
      <c r="X160" s="299">
        <f>X5*(BOM_average!W49*BOM_average!W53)/1000000</f>
        <v>3160.8918027196123</v>
      </c>
      <c r="Y160" s="299">
        <f>Y5*(BOM_average!X49*BOM_average!X53)/1000000</f>
        <v>3161.0523511445531</v>
      </c>
      <c r="Z160" s="299">
        <f>Z5*(BOM_average!Y49*BOM_average!Y53)/1000000</f>
        <v>3176.3710977489472</v>
      </c>
      <c r="AA160" s="299">
        <f>AA5*(BOM_average!Z49*BOM_average!Z53)/1000000</f>
        <v>3203.9015719464819</v>
      </c>
      <c r="AB160" s="299">
        <f>AB5*(BOM_average!AA49*BOM_average!AA53)/1000000</f>
        <v>3240.395867803521</v>
      </c>
    </row>
    <row r="161" spans="2:28">
      <c r="B161" s="294" t="s">
        <v>6915</v>
      </c>
      <c r="C161" s="299">
        <f>C5*(BOM_average!B50*BOM_average!B53)/1000000</f>
        <v>0</v>
      </c>
      <c r="D161" s="299">
        <f>D5*(BOM_average!C50*BOM_average!C53)/1000000</f>
        <v>0</v>
      </c>
      <c r="E161" s="299">
        <f>E5*(BOM_average!D50*BOM_average!D53)/1000000</f>
        <v>0</v>
      </c>
      <c r="F161" s="299">
        <f>F5*(BOM_average!E50*BOM_average!E53)/1000000</f>
        <v>0</v>
      </c>
      <c r="G161" s="299">
        <f>G5*(BOM_average!F50*BOM_average!F53)/1000000</f>
        <v>0</v>
      </c>
      <c r="H161" s="299">
        <f>H5*(BOM_average!G50*BOM_average!G53)/1000000</f>
        <v>0</v>
      </c>
      <c r="I161" s="299">
        <f>I5*(BOM_average!H50*BOM_average!H53)/1000000</f>
        <v>0</v>
      </c>
      <c r="J161" s="299">
        <f>J5*(BOM_average!I50*BOM_average!I53)/1000000</f>
        <v>0</v>
      </c>
      <c r="K161" s="299">
        <f>K5*(BOM_average!J50*BOM_average!J53)/1000000</f>
        <v>0</v>
      </c>
      <c r="L161" s="299">
        <f>L5*(BOM_average!K50*BOM_average!K53)/1000000</f>
        <v>0</v>
      </c>
      <c r="M161" s="299">
        <f>M5*(BOM_average!L50*BOM_average!L53)/1000000</f>
        <v>0</v>
      </c>
      <c r="N161" s="299">
        <f>N5*(BOM_average!M50*BOM_average!M53)/1000000</f>
        <v>0</v>
      </c>
      <c r="O161" s="299">
        <f>O5*(BOM_average!N50*BOM_average!N53)/1000000</f>
        <v>0</v>
      </c>
      <c r="P161" s="299">
        <f>P5*(BOM_average!O50*BOM_average!O53)/1000000</f>
        <v>0</v>
      </c>
      <c r="Q161" s="299">
        <f>Q5*(BOM_average!P50*BOM_average!P53)/1000000</f>
        <v>0</v>
      </c>
      <c r="R161" s="299">
        <f>R5*(BOM_average!Q50*BOM_average!Q53)/1000000</f>
        <v>0</v>
      </c>
      <c r="S161" s="299">
        <f>S5*(BOM_average!R50*BOM_average!R53)/1000000</f>
        <v>0</v>
      </c>
      <c r="T161" s="299">
        <f>T5*(BOM_average!S50*BOM_average!S53)/1000000</f>
        <v>0</v>
      </c>
      <c r="U161" s="299">
        <f>U5*(BOM_average!T50*BOM_average!T53)/1000000</f>
        <v>0</v>
      </c>
      <c r="V161" s="299">
        <f>V5*(BOM_average!U50*BOM_average!U53)/1000000</f>
        <v>0</v>
      </c>
      <c r="W161" s="299">
        <f>W5*(BOM_average!V50*BOM_average!V53)/1000000</f>
        <v>0</v>
      </c>
      <c r="X161" s="299">
        <f>X5*(BOM_average!W50*BOM_average!W53)/1000000</f>
        <v>0</v>
      </c>
      <c r="Y161" s="299">
        <f>Y5*(BOM_average!X50*BOM_average!X53)/1000000</f>
        <v>0</v>
      </c>
      <c r="Z161" s="299">
        <f>Z5*(BOM_average!Y50*BOM_average!Y53)/1000000</f>
        <v>0</v>
      </c>
      <c r="AA161" s="299">
        <f>AA5*(BOM_average!Z50*BOM_average!Z53)/1000000</f>
        <v>0</v>
      </c>
      <c r="AB161" s="299">
        <f>AB5*(BOM_average!AA50*BOM_average!AA53)/1000000</f>
        <v>0</v>
      </c>
    </row>
    <row r="162" spans="2:28" ht="17" thickBot="1">
      <c r="B162" s="297" t="s">
        <v>447</v>
      </c>
      <c r="C162" s="300">
        <f>C5*(BOM_average!B51*BOM_average!B53)/1000000</f>
        <v>1.027191490810186</v>
      </c>
      <c r="D162" s="300">
        <f>D5*(BOM_average!C51*BOM_average!C53)/1000000</f>
        <v>2.5931571044792996</v>
      </c>
      <c r="E162" s="300">
        <f>E5*(BOM_average!D51*BOM_average!D53)/1000000</f>
        <v>3.8933309779364271</v>
      </c>
      <c r="F162" s="300">
        <f>F5*(BOM_average!E51*BOM_average!E53)/1000000</f>
        <v>5.2009995861423794</v>
      </c>
      <c r="G162" s="300">
        <f>G5*(BOM_average!F51*BOM_average!F53)/1000000</f>
        <v>10.968826909755064</v>
      </c>
      <c r="H162" s="300">
        <f>H5*(BOM_average!G51*BOM_average!G53)/1000000</f>
        <v>25.0589693251261</v>
      </c>
      <c r="I162" s="300">
        <f>I5*(BOM_average!H51*BOM_average!H53)/1000000</f>
        <v>47.426396434843554</v>
      </c>
      <c r="J162" s="300">
        <f>J5*(BOM_average!I51*BOM_average!I53)/1000000</f>
        <v>67.79937364577961</v>
      </c>
      <c r="K162" s="300">
        <f>K5*(BOM_average!J51*BOM_average!J53)/1000000</f>
        <v>82.676613861451443</v>
      </c>
      <c r="L162" s="300">
        <f>L5*(BOM_average!K51*BOM_average!K53)/1000000</f>
        <v>92.475488734104857</v>
      </c>
      <c r="M162" s="300">
        <f>M5*(BOM_average!L51*BOM_average!L53)/1000000</f>
        <v>95.458629940118016</v>
      </c>
      <c r="N162" s="300">
        <f>N5*(BOM_average!M51*BOM_average!M53)/1000000</f>
        <v>96.869567949187541</v>
      </c>
      <c r="O162" s="300">
        <f>O5*(BOM_average!N51*BOM_average!N53)/1000000</f>
        <v>100.5336315230744</v>
      </c>
      <c r="P162" s="300">
        <f>P5*(BOM_average!O51*BOM_average!O53)/1000000</f>
        <v>106.30938333763486</v>
      </c>
      <c r="Q162" s="300">
        <f>Q5*(BOM_average!P51*BOM_average!P53)/1000000</f>
        <v>105.31032938816999</v>
      </c>
      <c r="R162" s="300">
        <f>R5*(BOM_average!Q51*BOM_average!Q53)/1000000</f>
        <v>102.28051039135629</v>
      </c>
      <c r="S162" s="300">
        <f>S5*(BOM_average!R51*BOM_average!R53)/1000000</f>
        <v>99.27741357705284</v>
      </c>
      <c r="T162" s="300">
        <f>T5*(BOM_average!S51*BOM_average!S53)/1000000</f>
        <v>96.61211050224027</v>
      </c>
      <c r="U162" s="300">
        <f>U5*(BOM_average!T51*BOM_average!T53)/1000000</f>
        <v>94.433620317204017</v>
      </c>
      <c r="V162" s="300">
        <f>V5*(BOM_average!U51*BOM_average!U53)/1000000</f>
        <v>92.808555419921831</v>
      </c>
      <c r="W162" s="300">
        <f>W5*(BOM_average!V51*BOM_average!V53)/1000000</f>
        <v>91.754159923262236</v>
      </c>
      <c r="X162" s="300">
        <f>X5*(BOM_average!W51*BOM_average!W53)/1000000</f>
        <v>91.252381055071396</v>
      </c>
      <c r="Y162" s="300">
        <f>Y5*(BOM_average!X51*BOM_average!X53)/1000000</f>
        <v>91.257015957802935</v>
      </c>
      <c r="Z162" s="300">
        <f>Z5*(BOM_average!Y51*BOM_average!Y53)/1000000</f>
        <v>91.699255740014877</v>
      </c>
      <c r="AA162" s="300">
        <f>AA5*(BOM_average!Z51*BOM_average!Z53)/1000000</f>
        <v>92.494038187151702</v>
      </c>
      <c r="AB162" s="300">
        <f>AB5*(BOM_average!AA51*BOM_average!AA53)/1000000</f>
        <v>93.547598890816985</v>
      </c>
    </row>
    <row r="163" spans="2:28">
      <c r="B163" s="296" t="s">
        <v>7756</v>
      </c>
      <c r="C163" s="301">
        <f>C5*(BOM_average!B53)/1000000</f>
        <v>163.36812599646331</v>
      </c>
      <c r="D163" s="301">
        <f>D5*(BOM_average!C53)/1000000</f>
        <v>412.42477217082222</v>
      </c>
      <c r="E163" s="301">
        <f>E5*(BOM_average!D53)/1000000</f>
        <v>619.20897071273191</v>
      </c>
      <c r="F163" s="301">
        <f>F5*(BOM_average!E53)/1000000</f>
        <v>827.18515807241351</v>
      </c>
      <c r="G163" s="301">
        <f>G5*(BOM_average!F53)/1000000</f>
        <v>1744.5205812724134</v>
      </c>
      <c r="H163" s="301">
        <f>H5*(BOM_average!G53)/1000000</f>
        <v>3985.4660933958294</v>
      </c>
      <c r="I163" s="301">
        <f>I5*(BOM_average!H53)/1000000</f>
        <v>7542.8599026016282</v>
      </c>
      <c r="J163" s="301">
        <f>J5*(BOM_average!I53)/1000000</f>
        <v>10783.049426849069</v>
      </c>
      <c r="K163" s="301">
        <f>K5*(BOM_average!J53)/1000000</f>
        <v>13149.177725007501</v>
      </c>
      <c r="L163" s="301">
        <f>L5*(BOM_average!K53)/1000000</f>
        <v>14707.625043877508</v>
      </c>
      <c r="M163" s="301">
        <f>M5*(BOM_average!L53)/1000000</f>
        <v>15182.074251030506</v>
      </c>
      <c r="N163" s="301">
        <f>N5*(BOM_average!M53)/1000000</f>
        <v>15406.474764957142</v>
      </c>
      <c r="O163" s="301">
        <f>O5*(BOM_average!N53)/1000000</f>
        <v>15989.220246158184</v>
      </c>
      <c r="P163" s="301">
        <f>P5*(BOM_average!O53)/1000000</f>
        <v>16907.816008104364</v>
      </c>
      <c r="Q163" s="301">
        <f>Q5*(BOM_average!P53)/1000000</f>
        <v>16748.922975058784</v>
      </c>
      <c r="R163" s="301">
        <f>R5*(BOM_average!Q53)/1000000</f>
        <v>16267.049968860561</v>
      </c>
      <c r="S163" s="301">
        <f>S5*(BOM_average!R53)/1000000</f>
        <v>15789.426951995674</v>
      </c>
      <c r="T163" s="301">
        <f>T5*(BOM_average!S53)/1000000</f>
        <v>15365.52783246412</v>
      </c>
      <c r="U163" s="301">
        <f>U5*(BOM_average!T53)/1000000</f>
        <v>15019.053136932565</v>
      </c>
      <c r="V163" s="301">
        <f>V5*(BOM_average!U53)/1000000</f>
        <v>14760.597134067679</v>
      </c>
      <c r="W163" s="301">
        <f>W5*(BOM_average!V53)/1000000</f>
        <v>14592.902387869457</v>
      </c>
      <c r="X163" s="301">
        <f>X5*(BOM_average!W53)/1000000</f>
        <v>14513.097722337901</v>
      </c>
      <c r="Y163" s="301">
        <f>Y5*(BOM_average!X53)/1000000</f>
        <v>14513.834873473015</v>
      </c>
      <c r="Z163" s="301">
        <f>Z5*(BOM_average!Y53)/1000000</f>
        <v>14584.170234608127</v>
      </c>
      <c r="AA163" s="301">
        <f>AA5*(BOM_average!Z53)/1000000</f>
        <v>14710.575213743239</v>
      </c>
      <c r="AB163" s="301">
        <f>AB5*(BOM_average!AA53)/1000000</f>
        <v>14878.13719154502</v>
      </c>
    </row>
    <row r="164" spans="2:28">
      <c r="B164" s="295" t="s">
        <v>7757</v>
      </c>
      <c r="C164" s="299">
        <f>C5*(BOM_average!B54)/1000000</f>
        <v>193.3910140535809</v>
      </c>
      <c r="D164" s="299">
        <f>D5*(BOM_average!C54)/1000000</f>
        <v>488.21790924295152</v>
      </c>
      <c r="E164" s="299">
        <f>E5*(BOM_average!D54)/1000000</f>
        <v>733.00376084256322</v>
      </c>
      <c r="F164" s="299">
        <f>F5*(BOM_average!E54)/1000000</f>
        <v>979.20065835338539</v>
      </c>
      <c r="G164" s="299">
        <f>G5*(BOM_average!F54)/1000000</f>
        <v>2065.1188975315672</v>
      </c>
      <c r="H164" s="299">
        <f>H5*(BOM_average!G54)/1000000</f>
        <v>4717.8929462327842</v>
      </c>
      <c r="I164" s="299">
        <f>I5*(BOM_average!H54)/1000000</f>
        <v>8929.0448582350928</v>
      </c>
      <c r="J164" s="299">
        <f>J5*(BOM_average!I54)/1000000</f>
        <v>12764.698441196362</v>
      </c>
      <c r="K164" s="299">
        <f>K5*(BOM_average!J54)/1000000</f>
        <v>15565.660674010609</v>
      </c>
      <c r="L164" s="299">
        <f>L5*(BOM_average!K54)/1000000</f>
        <v>17410.510797050396</v>
      </c>
      <c r="M164" s="299">
        <f>M5*(BOM_average!L54)/1000000</f>
        <v>17972.151647911487</v>
      </c>
      <c r="N164" s="299">
        <f>N5*(BOM_average!M54)/1000000</f>
        <v>18237.791243626481</v>
      </c>
      <c r="O164" s="299">
        <f>O5*(BOM_average!N54)/1000000</f>
        <v>18927.630457103482</v>
      </c>
      <c r="P164" s="299">
        <f>P5*(BOM_average!O54)/1000000</f>
        <v>20015.040653092015</v>
      </c>
      <c r="Q164" s="299">
        <f>Q5*(BOM_average!P54)/1000000</f>
        <v>19826.947139750257</v>
      </c>
      <c r="R164" s="299">
        <f>R5*(BOM_average!Q54)/1000000</f>
        <v>19256.518185232293</v>
      </c>
      <c r="S164" s="299">
        <f>S5*(BOM_average!R54)/1000000</f>
        <v>18691.12025951433</v>
      </c>
      <c r="T164" s="299">
        <f>T5*(BOM_average!S54)/1000000</f>
        <v>18189.319310996365</v>
      </c>
      <c r="U164" s="299">
        <f>U5*(BOM_average!T54)/1000000</f>
        <v>17779.171417678401</v>
      </c>
      <c r="V164" s="299">
        <f>V5*(BOM_average!U54)/1000000</f>
        <v>17473.217804160438</v>
      </c>
      <c r="W164" s="299">
        <f>W5*(BOM_average!V54)/1000000</f>
        <v>17274.705047642474</v>
      </c>
      <c r="X164" s="299">
        <f>X5*(BOM_average!W54)/1000000</f>
        <v>17180.234323324512</v>
      </c>
      <c r="Y164" s="299">
        <f>Y5*(BOM_average!X54)/1000000</f>
        <v>17181.106944006551</v>
      </c>
      <c r="Z164" s="299">
        <f>Z5*(BOM_average!Y54)/1000000</f>
        <v>17264.368147688587</v>
      </c>
      <c r="AA164" s="299">
        <f>AA5*(BOM_average!Z54)/1000000</f>
        <v>17414.003132770624</v>
      </c>
      <c r="AB164" s="299">
        <f>AB5*(BOM_average!AA54)/1000000</f>
        <v>17612.35872145266</v>
      </c>
    </row>
    <row r="165" spans="2:28">
      <c r="B165" s="295" t="s">
        <v>7758</v>
      </c>
      <c r="C165" s="299">
        <f>C5*(BOM_average!B55)/1000000</f>
        <v>138.71251066339522</v>
      </c>
      <c r="D165" s="299">
        <f>D5*(BOM_average!C55)/1000000</f>
        <v>350.18137876437424</v>
      </c>
      <c r="E165" s="299">
        <f>E5*(BOM_average!D55)/1000000</f>
        <v>525.757582324959</v>
      </c>
      <c r="F165" s="299">
        <f>F5*(BOM_average!E55)/1000000</f>
        <v>702.34587903766442</v>
      </c>
      <c r="G165" s="299">
        <f>G5*(BOM_average!F55)/1000000</f>
        <v>1481.2364912449373</v>
      </c>
      <c r="H165" s="299">
        <f>H5*(BOM_average!G55)/1000000</f>
        <v>3383.9771657216488</v>
      </c>
      <c r="I165" s="299">
        <f>I5*(BOM_average!H55)/1000000</f>
        <v>6404.4869725369517</v>
      </c>
      <c r="J165" s="299">
        <f>J5*(BOM_average!I55)/1000000</f>
        <v>9155.6651548913542</v>
      </c>
      <c r="K165" s="299">
        <f>K5*(BOM_average!J55)/1000000</f>
        <v>11164.695954426681</v>
      </c>
      <c r="L165" s="299">
        <f>L5*(BOM_average!K55)/1000000</f>
        <v>12487.941471375168</v>
      </c>
      <c r="M165" s="299">
        <f>M5*(BOM_average!L55)/1000000</f>
        <v>12890.786520279471</v>
      </c>
      <c r="N165" s="299">
        <f>N5*(BOM_average!M55)/1000000</f>
        <v>13081.320374365509</v>
      </c>
      <c r="O165" s="299">
        <f>O5*(BOM_average!N55)/1000000</f>
        <v>13576.117558835234</v>
      </c>
      <c r="P165" s="299">
        <f>P5*(BOM_average!O55)/1000000</f>
        <v>14356.07829871094</v>
      </c>
      <c r="Q165" s="299">
        <f>Q5*(BOM_average!P55)/1000000</f>
        <v>14221.165497292433</v>
      </c>
      <c r="R165" s="299">
        <f>R5*(BOM_average!Q55)/1000000</f>
        <v>13812.017053537131</v>
      </c>
      <c r="S165" s="299">
        <f>S5*(BOM_average!R55)/1000000</f>
        <v>13406.477188181829</v>
      </c>
      <c r="T165" s="299">
        <f>T5*(BOM_average!S55)/1000000</f>
        <v>13046.553177426527</v>
      </c>
      <c r="U165" s="299">
        <f>U5*(BOM_average!T55)/1000000</f>
        <v>12752.368650271224</v>
      </c>
      <c r="V165" s="299">
        <f>V5*(BOM_average!U55)/1000000</f>
        <v>12532.918982015923</v>
      </c>
      <c r="W165" s="299">
        <f>W5*(BOM_average!V55)/1000000</f>
        <v>12390.53282726062</v>
      </c>
      <c r="X165" s="299">
        <f>X5*(BOM_average!W55)/1000000</f>
        <v>12322.772329605319</v>
      </c>
      <c r="Y165" s="299">
        <f>Y5*(BOM_average!X55)/1000000</f>
        <v>12323.398229450018</v>
      </c>
      <c r="Z165" s="299">
        <f>Z5*(BOM_average!Y55)/1000000</f>
        <v>12383.118535794716</v>
      </c>
      <c r="AA165" s="299">
        <f>AA5*(BOM_average!Z55)/1000000</f>
        <v>12490.446399839413</v>
      </c>
      <c r="AB165" s="299">
        <f>AB5*(BOM_average!AA55)/1000000</f>
        <v>12632.71982368411</v>
      </c>
    </row>
    <row r="167" spans="2:28">
      <c r="B167" s="291" t="s">
        <v>7796</v>
      </c>
    </row>
    <row r="168" spans="2:28">
      <c r="B168" s="294" t="s">
        <v>437</v>
      </c>
      <c r="C168" s="299">
        <f>C67*(BOM_average!B42*BOM_average!B53)/1000000</f>
        <v>0</v>
      </c>
      <c r="D168" s="299">
        <f>D67*(BOM_average!C42*BOM_average!C53)/1000000</f>
        <v>1.1421721393236162</v>
      </c>
      <c r="E168" s="299">
        <f>E67*(BOM_average!D42*BOM_average!D53)/1000000</f>
        <v>3.8903583075844761</v>
      </c>
      <c r="F168" s="299">
        <f>F67*(BOM_average!E42*BOM_average!E53)/1000000</f>
        <v>7.3722265604189019</v>
      </c>
      <c r="G168" s="299">
        <f>G67*(BOM_average!F42*BOM_average!F53)/1000000</f>
        <v>11.13052966041381</v>
      </c>
      <c r="H168" s="299">
        <f>H67*(BOM_average!G42*BOM_average!G53)/1000000</f>
        <v>19.994823308468764</v>
      </c>
      <c r="I168" s="299">
        <f>I67*(BOM_average!H42*BOM_average!H53)/1000000</f>
        <v>42.541182418759234</v>
      </c>
      <c r="J168" s="299">
        <f>J67*(BOM_average!I42*BOM_average!I53)/1000000</f>
        <v>84.636847432298154</v>
      </c>
      <c r="K168" s="299">
        <f>K67*(BOM_average!J42*BOM_average!J53)/1000000</f>
        <v>137.83714998818482</v>
      </c>
      <c r="L168" s="299">
        <f>L67*(BOM_average!K42*BOM_average!K53)/1000000</f>
        <v>189.71565721407237</v>
      </c>
      <c r="M168" s="299">
        <f>M67*(BOM_average!L42*BOM_average!L53)/1000000</f>
        <v>233.00181911338808</v>
      </c>
      <c r="N168" s="299">
        <f>N67*(BOM_average!M42*BOM_average!M53)/1000000</f>
        <v>262.07034330454218</v>
      </c>
      <c r="O168" s="299">
        <f>O67*(BOM_average!N42*BOM_average!N53)/1000000</f>
        <v>279.10481642928175</v>
      </c>
      <c r="P168" s="299">
        <f>P67*(BOM_average!O42*BOM_average!O53)/1000000</f>
        <v>291.75784587560133</v>
      </c>
      <c r="Q168" s="299">
        <f>Q67*(BOM_average!P42*BOM_average!P53)/1000000</f>
        <v>305.40726240399158</v>
      </c>
      <c r="R168" s="299">
        <f>R67*(BOM_average!Q42*BOM_average!Q53)/1000000</f>
        <v>312.98349074641743</v>
      </c>
      <c r="S168" s="299">
        <f>S67*(BOM_average!R42*BOM_average!R53)/1000000</f>
        <v>312.58694674196505</v>
      </c>
      <c r="T168" s="299">
        <f>T67*(BOM_average!S42*BOM_average!S53)/1000000</f>
        <v>302.63972471533896</v>
      </c>
      <c r="U168" s="299">
        <f>U67*(BOM_average!T42*BOM_average!T53)/1000000</f>
        <v>287.3206179261079</v>
      </c>
      <c r="V168" s="299">
        <f>V67*(BOM_average!U42*BOM_average!U53)/1000000</f>
        <v>271.48102010376999</v>
      </c>
      <c r="W168" s="299">
        <f>W67*(BOM_average!V42*BOM_average!V53)/1000000</f>
        <v>257.65825070974751</v>
      </c>
      <c r="X168" s="299">
        <f>X67*(BOM_average!W42*BOM_average!W53)/1000000</f>
        <v>247.00264411682528</v>
      </c>
      <c r="Y168" s="299">
        <f>Y67*(BOM_average!X42*BOM_average!X53)/1000000</f>
        <v>239.73458062845921</v>
      </c>
      <c r="Z168" s="299">
        <f>Z67*(BOM_average!Y42*BOM_average!Y53)/1000000</f>
        <v>235.53367906766064</v>
      </c>
      <c r="AA168" s="299">
        <f>AA67*(BOM_average!Z42*BOM_average!Z53)/1000000</f>
        <v>233.83717776180774</v>
      </c>
      <c r="AB168" s="299">
        <f>AB67*(BOM_average!AA42*BOM_average!AA53)/1000000</f>
        <v>234.03507138235025</v>
      </c>
    </row>
    <row r="169" spans="2:28">
      <c r="B169" s="294" t="s">
        <v>217</v>
      </c>
      <c r="C169" s="299">
        <f>C67*(BOM_average!B43*BOM_average!B53)/1000000</f>
        <v>0</v>
      </c>
      <c r="D169" s="299">
        <f>D67*(BOM_average!C43*BOM_average!C53)/1000000</f>
        <v>5.3180388791280626E-2</v>
      </c>
      <c r="E169" s="299">
        <f>E67*(BOM_average!D43*BOM_average!D53)/1000000</f>
        <v>0.18113799156163077</v>
      </c>
      <c r="F169" s="299">
        <f>F67*(BOM_average!E43*BOM_average!E53)/1000000</f>
        <v>0.3432563807524282</v>
      </c>
      <c r="G169" s="299">
        <f>G67*(BOM_average!F43*BOM_average!F53)/1000000</f>
        <v>0.51824578311306047</v>
      </c>
      <c r="H169" s="299">
        <f>H67*(BOM_average!G43*BOM_average!G53)/1000000</f>
        <v>0.93097392306121607</v>
      </c>
      <c r="I169" s="299">
        <f>I67*(BOM_average!H43*BOM_average!H53)/1000000</f>
        <v>1.9807492607989496</v>
      </c>
      <c r="J169" s="299">
        <f>J67*(BOM_average!I43*BOM_average!I53)/1000000</f>
        <v>3.9407548981043958</v>
      </c>
      <c r="K169" s="299">
        <f>K67*(BOM_average!J43*BOM_average!J53)/1000000</f>
        <v>6.4178007621466113</v>
      </c>
      <c r="L169" s="299">
        <f>L67*(BOM_average!K43*BOM_average!K53)/1000000</f>
        <v>8.8333028473382278</v>
      </c>
      <c r="M169" s="299">
        <f>M67*(BOM_average!L43*BOM_average!L53)/1000000</f>
        <v>10.848738909761476</v>
      </c>
      <c r="N169" s="299">
        <f>N67*(BOM_average!M43*BOM_average!M53)/1000000</f>
        <v>12.202191130185774</v>
      </c>
      <c r="O169" s="299">
        <f>O67*(BOM_average!N43*BOM_average!N53)/1000000</f>
        <v>12.995328935284697</v>
      </c>
      <c r="P169" s="299">
        <f>P67*(BOM_average!O43*BOM_average!O53)/1000000</f>
        <v>13.584463446778978</v>
      </c>
      <c r="Q169" s="299">
        <f>Q67*(BOM_average!P43*BOM_average!P53)/1000000</f>
        <v>14.219990485797618</v>
      </c>
      <c r="R169" s="299">
        <f>R67*(BOM_average!Q43*BOM_average!Q53)/1000000</f>
        <v>14.572745342049256</v>
      </c>
      <c r="S169" s="299">
        <f>S67*(BOM_average!R43*BOM_average!R53)/1000000</f>
        <v>14.55428195671216</v>
      </c>
      <c r="T169" s="299">
        <f>T67*(BOM_average!S43*BOM_average!S53)/1000000</f>
        <v>14.091131861768996</v>
      </c>
      <c r="U169" s="299">
        <f>U67*(BOM_average!T43*BOM_average!T53)/1000000</f>
        <v>13.377862795804125</v>
      </c>
      <c r="V169" s="299">
        <f>V67*(BOM_average!U43*BOM_average!U53)/1000000</f>
        <v>12.640359278174737</v>
      </c>
      <c r="W169" s="299">
        <f>W67*(BOM_average!V43*BOM_average!V53)/1000000</f>
        <v>11.996760800119011</v>
      </c>
      <c r="X169" s="299">
        <f>X67*(BOM_average!W43*BOM_average!W53)/1000000</f>
        <v>11.500627790120962</v>
      </c>
      <c r="Y169" s="299">
        <f>Y67*(BOM_average!X43*BOM_average!X53)/1000000</f>
        <v>11.162221319884427</v>
      </c>
      <c r="Z169" s="299">
        <f>Z67*(BOM_average!Y43*BOM_average!Y53)/1000000</f>
        <v>10.966624202264779</v>
      </c>
      <c r="AA169" s="299">
        <f>AA67*(BOM_average!Z43*BOM_average!Z53)/1000000</f>
        <v>10.887633833016583</v>
      </c>
      <c r="AB169" s="299">
        <f>AB67*(BOM_average!AA43*BOM_average!AA53)/1000000</f>
        <v>10.896847907951031</v>
      </c>
    </row>
    <row r="170" spans="2:28">
      <c r="B170" s="294" t="s">
        <v>313</v>
      </c>
      <c r="C170" s="299">
        <f>C67*(BOM_average!B44*BOM_average!B53)/1000000</f>
        <v>0</v>
      </c>
      <c r="D170" s="299">
        <f>D67*(BOM_average!C44*BOM_average!C53)/1000000</f>
        <v>0.4978997079166893</v>
      </c>
      <c r="E170" s="299">
        <f>E67*(BOM_average!D44*BOM_average!D53)/1000000</f>
        <v>1.6958987164444885</v>
      </c>
      <c r="F170" s="299">
        <f>F67*(BOM_average!E44*BOM_average!E53)/1000000</f>
        <v>3.2137270072985169</v>
      </c>
      <c r="G170" s="299">
        <f>G67*(BOM_average!F44*BOM_average!F53)/1000000</f>
        <v>4.85205975183385</v>
      </c>
      <c r="H170" s="299">
        <f>H67*(BOM_average!G44*BOM_average!G53)/1000000</f>
        <v>8.7162139071505571</v>
      </c>
      <c r="I170" s="299">
        <f>I67*(BOM_average!H44*BOM_average!H53)/1000000</f>
        <v>18.544702301418553</v>
      </c>
      <c r="J170" s="299">
        <f>J67*(BOM_average!I44*BOM_average!I53)/1000000</f>
        <v>36.895193084017926</v>
      </c>
      <c r="K170" s="299">
        <f>K67*(BOM_average!J44*BOM_average!J53)/1000000</f>
        <v>60.086456635010911</v>
      </c>
      <c r="L170" s="299">
        <f>L67*(BOM_average!K44*BOM_average!K53)/1000000</f>
        <v>82.701518503198088</v>
      </c>
      <c r="M170" s="299">
        <f>M67*(BOM_average!L44*BOM_average!L53)/1000000</f>
        <v>101.57097488765061</v>
      </c>
      <c r="N170" s="299">
        <f>N67*(BOM_average!M44*BOM_average!M53)/1000000</f>
        <v>114.24262849050923</v>
      </c>
      <c r="O170" s="299">
        <f>O67*(BOM_average!N44*BOM_average!N53)/1000000</f>
        <v>121.66835610311338</v>
      </c>
      <c r="P170" s="299">
        <f>P67*(BOM_average!O44*BOM_average!O53)/1000000</f>
        <v>127.18410933214464</v>
      </c>
      <c r="Q170" s="299">
        <f>Q67*(BOM_average!P44*BOM_average!P53)/1000000</f>
        <v>133.13421113268697</v>
      </c>
      <c r="R170" s="299">
        <f>R67*(BOM_average!Q44*BOM_average!Q53)/1000000</f>
        <v>136.43686731640184</v>
      </c>
      <c r="S170" s="299">
        <f>S67*(BOM_average!R44*BOM_average!R53)/1000000</f>
        <v>136.2640044551961</v>
      </c>
      <c r="T170" s="299">
        <f>T67*(BOM_average!S44*BOM_average!S53)/1000000</f>
        <v>131.92777634112869</v>
      </c>
      <c r="U170" s="299">
        <f>U67*(BOM_average!T44*BOM_average!T53)/1000000</f>
        <v>125.2498172723498</v>
      </c>
      <c r="V170" s="299">
        <f>V67*(BOM_average!U44*BOM_average!U53)/1000000</f>
        <v>118.34496391641855</v>
      </c>
      <c r="W170" s="299">
        <f>W67*(BOM_average!V44*BOM_average!V53)/1000000</f>
        <v>112.31929352319811</v>
      </c>
      <c r="X170" s="299">
        <f>X67*(BOM_average!W44*BOM_average!W53)/1000000</f>
        <v>107.67426391020742</v>
      </c>
      <c r="Y170" s="299">
        <f>Y67*(BOM_average!X44*BOM_average!X53)/1000000</f>
        <v>104.50594403670708</v>
      </c>
      <c r="Z170" s="299">
        <f>Z67*(BOM_average!Y44*BOM_average!Y53)/1000000</f>
        <v>102.67467220989907</v>
      </c>
      <c r="AA170" s="299">
        <f>AA67*(BOM_average!Z44*BOM_average!Z53)/1000000</f>
        <v>101.93512737634651</v>
      </c>
      <c r="AB170" s="299">
        <f>AB67*(BOM_average!AA44*BOM_average!AA53)/1000000</f>
        <v>102.02139386147113</v>
      </c>
    </row>
    <row r="171" spans="2:28">
      <c r="B171" s="294" t="s">
        <v>6911</v>
      </c>
      <c r="C171" s="299">
        <f>C67*(BOM_average!B45*BOM_average!B53)/1000000</f>
        <v>0</v>
      </c>
      <c r="D171" s="299">
        <f>D67*(BOM_average!C45*BOM_average!C53)/1000000</f>
        <v>2.3871035636998705</v>
      </c>
      <c r="E171" s="299">
        <f>E67*(BOM_average!D45*BOM_average!D53)/1000000</f>
        <v>8.1307255363484785</v>
      </c>
      <c r="F171" s="299">
        <f>F67*(BOM_average!E45*BOM_average!E53)/1000000</f>
        <v>15.407719807629285</v>
      </c>
      <c r="G171" s="299">
        <f>G67*(BOM_average!F45*BOM_average!F53)/1000000</f>
        <v>23.262454146338449</v>
      </c>
      <c r="H171" s="299">
        <f>H67*(BOM_average!G45*BOM_average!G53)/1000000</f>
        <v>41.788546867777839</v>
      </c>
      <c r="I171" s="299">
        <f>I67*(BOM_average!H45*BOM_average!H53)/1000000</f>
        <v>88.909722676271485</v>
      </c>
      <c r="J171" s="299">
        <f>J67*(BOM_average!I45*BOM_average!I53)/1000000</f>
        <v>176.88832809877985</v>
      </c>
      <c r="K171" s="299">
        <f>K67*(BOM_average!J45*BOM_average!J53)/1000000</f>
        <v>288.07527396166302</v>
      </c>
      <c r="L171" s="299">
        <f>L67*(BOM_average!K45*BOM_average!K53)/1000000</f>
        <v>396.49970948648877</v>
      </c>
      <c r="M171" s="299">
        <f>M67*(BOM_average!L45*BOM_average!L53)/1000000</f>
        <v>486.96641566086305</v>
      </c>
      <c r="N171" s="299">
        <f>N67*(BOM_average!M45*BOM_average!M53)/1000000</f>
        <v>547.71870973213288</v>
      </c>
      <c r="O171" s="299">
        <f>O67*(BOM_average!N45*BOM_average!N53)/1000000</f>
        <v>583.32021856064966</v>
      </c>
      <c r="P171" s="299">
        <f>P67*(BOM_average!O45*BOM_average!O53)/1000000</f>
        <v>609.76464899544862</v>
      </c>
      <c r="Q171" s="299">
        <f>Q67*(BOM_average!P45*BOM_average!P53)/1000000</f>
        <v>638.29149684575532</v>
      </c>
      <c r="R171" s="299">
        <f>R67*(BOM_average!Q45*BOM_average!Q53)/1000000</f>
        <v>654.1255739108102</v>
      </c>
      <c r="S171" s="299">
        <f>S67*(BOM_average!R45*BOM_average!R53)/1000000</f>
        <v>653.29680951216835</v>
      </c>
      <c r="T171" s="299">
        <f>T67*(BOM_average!S45*BOM_average!S53)/1000000</f>
        <v>632.50743080894188</v>
      </c>
      <c r="U171" s="299">
        <f>U67*(BOM_average!T45*BOM_average!T53)/1000000</f>
        <v>600.49098324357954</v>
      </c>
      <c r="V171" s="299">
        <f>V67*(BOM_average!U45*BOM_average!U53)/1000000</f>
        <v>567.38672591887655</v>
      </c>
      <c r="W171" s="299">
        <f>W67*(BOM_average!V45*BOM_average!V53)/1000000</f>
        <v>538.49757607477966</v>
      </c>
      <c r="X171" s="299">
        <f>X67*(BOM_average!W45*BOM_average!W53)/1000000</f>
        <v>516.22769608417559</v>
      </c>
      <c r="Y171" s="299">
        <f>Y67*(BOM_average!X45*BOM_average!X53)/1000000</f>
        <v>501.03767379510992</v>
      </c>
      <c r="Z171" s="299">
        <f>Z67*(BOM_average!Y45*BOM_average!Y53)/1000000</f>
        <v>492.25792270393629</v>
      </c>
      <c r="AA171" s="299">
        <f>AA67*(BOM_average!Z45*BOM_average!Z53)/1000000</f>
        <v>488.71228875473042</v>
      </c>
      <c r="AB171" s="299">
        <f>AB67*(BOM_average!AA45*BOM_average!AA53)/1000000</f>
        <v>489.1258801483275</v>
      </c>
    </row>
    <row r="172" spans="2:28">
      <c r="B172" s="294" t="s">
        <v>441</v>
      </c>
      <c r="C172" s="299">
        <f>C67*(BOM_average!B46*BOM_average!B53)/1000000</f>
        <v>0</v>
      </c>
      <c r="D172" s="299">
        <f>D67*(BOM_average!C46*BOM_average!C53)/1000000</f>
        <v>2.7875879660451641</v>
      </c>
      <c r="E172" s="299">
        <f>E67*(BOM_average!D46*BOM_average!D53)/1000000</f>
        <v>9.4948174871858253</v>
      </c>
      <c r="F172" s="299">
        <f>F67*(BOM_average!E46*BOM_average!E53)/1000000</f>
        <v>17.992673201565058</v>
      </c>
      <c r="G172" s="299">
        <f>G67*(BOM_average!F46*BOM_average!F53)/1000000</f>
        <v>27.165196443552194</v>
      </c>
      <c r="H172" s="299">
        <f>H67*(BOM_average!G46*BOM_average!G53)/1000000</f>
        <v>48.79941203161723</v>
      </c>
      <c r="I172" s="299">
        <f>I67*(BOM_average!H46*BOM_average!H53)/1000000</f>
        <v>103.8261082450248</v>
      </c>
      <c r="J172" s="299">
        <f>J67*(BOM_average!I46*BOM_average!I53)/1000000</f>
        <v>206.56488568000967</v>
      </c>
      <c r="K172" s="299">
        <f>K67*(BOM_average!J46*BOM_average!J53)/1000000</f>
        <v>336.40566719528425</v>
      </c>
      <c r="L172" s="299">
        <f>L67*(BOM_average!K46*BOM_average!K53)/1000000</f>
        <v>463.02047196973052</v>
      </c>
      <c r="M172" s="299">
        <f>M67*(BOM_average!L46*BOM_average!L53)/1000000</f>
        <v>568.66477885877021</v>
      </c>
      <c r="N172" s="299">
        <f>N67*(BOM_average!M46*BOM_average!M53)/1000000</f>
        <v>639.60948625982769</v>
      </c>
      <c r="O172" s="299">
        <f>O67*(BOM_average!N46*BOM_average!N53)/1000000</f>
        <v>681.18386078323726</v>
      </c>
      <c r="P172" s="299">
        <f>P67*(BOM_average!O46*BOM_average!O53)/1000000</f>
        <v>712.06487372710308</v>
      </c>
      <c r="Q172" s="299">
        <f>Q67*(BOM_average!P46*BOM_average!P53)/1000000</f>
        <v>745.37767128895803</v>
      </c>
      <c r="R172" s="299">
        <f>R67*(BOM_average!Q46*BOM_average!Q53)/1000000</f>
        <v>763.86823171171829</v>
      </c>
      <c r="S172" s="299">
        <f>S67*(BOM_average!R46*BOM_average!R53)/1000000</f>
        <v>762.90042549690975</v>
      </c>
      <c r="T172" s="299">
        <f>T67*(BOM_average!S46*BOM_average!S53)/1000000</f>
        <v>738.62321240237281</v>
      </c>
      <c r="U172" s="299">
        <f>U67*(BOM_average!T46*BOM_average!T53)/1000000</f>
        <v>701.23536492650135</v>
      </c>
      <c r="V172" s="299">
        <f>V67*(BOM_average!U46*BOM_average!U53)/1000000</f>
        <v>662.57720583089258</v>
      </c>
      <c r="W172" s="299">
        <f>W67*(BOM_average!V46*BOM_average!V53)/1000000</f>
        <v>628.84132286406327</v>
      </c>
      <c r="X172" s="299">
        <f>X67*(BOM_average!W46*BOM_average!W53)/1000000</f>
        <v>602.83522475793052</v>
      </c>
      <c r="Y172" s="299">
        <f>Y67*(BOM_average!X46*BOM_average!X53)/1000000</f>
        <v>585.09677219103503</v>
      </c>
      <c r="Z172" s="299">
        <f>Z67*(BOM_average!Y46*BOM_average!Y53)/1000000</f>
        <v>574.84404212150514</v>
      </c>
      <c r="AA172" s="299">
        <f>AA67*(BOM_average!Z46*BOM_average!Z53)/1000000</f>
        <v>570.7035571089956</v>
      </c>
      <c r="AB172" s="299">
        <f>AB67*(BOM_average!AA46*BOM_average!AA53)/1000000</f>
        <v>571.18653673718723</v>
      </c>
    </row>
    <row r="173" spans="2:28">
      <c r="B173" s="294" t="s">
        <v>6912</v>
      </c>
      <c r="C173" s="299">
        <f>C67*(BOM_average!B47*BOM_average!B53)/1000000</f>
        <v>0</v>
      </c>
      <c r="D173" s="299">
        <f>D67*(BOM_average!C47*BOM_average!C53)/1000000</f>
        <v>0.81352976442727543</v>
      </c>
      <c r="E173" s="299">
        <f>E67*(BOM_average!D47*BOM_average!D53)/1000000</f>
        <v>2.770967850241147</v>
      </c>
      <c r="F173" s="299">
        <f>F67*(BOM_average!E47*BOM_average!E53)/1000000</f>
        <v>5.2509823436542336</v>
      </c>
      <c r="G173" s="299">
        <f>G67*(BOM_average!F47*BOM_average!F53)/1000000</f>
        <v>7.9278918306916033</v>
      </c>
      <c r="H173" s="299">
        <f>H67*(BOM_average!G47*BOM_average!G53)/1000000</f>
        <v>14.241622025149722</v>
      </c>
      <c r="I173" s="299">
        <f>I67*(BOM_average!H47*BOM_average!H53)/1000000</f>
        <v>30.300614872365731</v>
      </c>
      <c r="J173" s="299">
        <f>J67*(BOM_average!I47*BOM_average!I53)/1000000</f>
        <v>60.283903085081221</v>
      </c>
      <c r="K173" s="299">
        <f>K67*(BOM_average!J47*BOM_average!J53)/1000000</f>
        <v>98.176641067098785</v>
      </c>
      <c r="L173" s="299">
        <f>L67*(BOM_average!K47*BOM_average!K53)/1000000</f>
        <v>135.12790989012251</v>
      </c>
      <c r="M173" s="299">
        <f>M67*(BOM_average!L47*BOM_average!L53)/1000000</f>
        <v>165.95914791503611</v>
      </c>
      <c r="N173" s="299">
        <f>N67*(BOM_average!M47*BOM_average!M53)/1000000</f>
        <v>186.66365367498429</v>
      </c>
      <c r="O173" s="299">
        <f>O67*(BOM_average!N47*BOM_average!N53)/1000000</f>
        <v>198.79672051420764</v>
      </c>
      <c r="P173" s="299">
        <f>P67*(BOM_average!O47*BOM_average!O53)/1000000</f>
        <v>207.80903635554094</v>
      </c>
      <c r="Q173" s="299">
        <f>Q67*(BOM_average!P47*BOM_average!P53)/1000000</f>
        <v>217.53104430040889</v>
      </c>
      <c r="R173" s="299">
        <f>R67*(BOM_average!Q47*BOM_average!Q53)/1000000</f>
        <v>222.92733006720314</v>
      </c>
      <c r="S173" s="299">
        <f>S67*(BOM_average!R47*BOM_average!R53)/1000000</f>
        <v>222.64488546938776</v>
      </c>
      <c r="T173" s="299">
        <f>T67*(BOM_average!S47*BOM_average!S53)/1000000</f>
        <v>215.55982279501788</v>
      </c>
      <c r="U173" s="299">
        <f>U67*(BOM_average!T47*BOM_average!T53)/1000000</f>
        <v>204.64855214814355</v>
      </c>
      <c r="V173" s="299">
        <f>V67*(BOM_average!U47*BOM_average!U53)/1000000</f>
        <v>193.36655371605059</v>
      </c>
      <c r="W173" s="299">
        <f>W67*(BOM_average!V47*BOM_average!V53)/1000000</f>
        <v>183.52107251256842</v>
      </c>
      <c r="X173" s="299">
        <f>X67*(BOM_average!W47*BOM_average!W53)/1000000</f>
        <v>175.93145197909678</v>
      </c>
      <c r="Y173" s="299">
        <f>Y67*(BOM_average!X47*BOM_average!X53)/1000000</f>
        <v>170.75466139389269</v>
      </c>
      <c r="Z173" s="299">
        <f>Z67*(BOM_average!Y47*BOM_average!Y53)/1000000</f>
        <v>167.76250431049323</v>
      </c>
      <c r="AA173" s="299">
        <f>AA67*(BOM_average!Z47*BOM_average!Z53)/1000000</f>
        <v>166.55414502717332</v>
      </c>
      <c r="AB173" s="299">
        <f>AB67*(BOM_average!AA47*BOM_average!AA53)/1000000</f>
        <v>166.69509781787696</v>
      </c>
    </row>
    <row r="174" spans="2:28">
      <c r="B174" s="294" t="s">
        <v>443</v>
      </c>
      <c r="C174" s="299">
        <f>C67*(BOM_average!B48*BOM_average!B53)/1000000</f>
        <v>0</v>
      </c>
      <c r="D174" s="299">
        <f>D67*(BOM_average!C48*BOM_average!C53)/1000000</f>
        <v>1.8147245550213253</v>
      </c>
      <c r="E174" s="299">
        <f>E67*(BOM_average!D48*BOM_average!D53)/1000000</f>
        <v>6.181142496424032</v>
      </c>
      <c r="F174" s="299">
        <f>F67*(BOM_average!E48*BOM_average!E53)/1000000</f>
        <v>11.713261165952837</v>
      </c>
      <c r="G174" s="299">
        <f>G67*(BOM_average!F48*BOM_average!F53)/1000000</f>
        <v>17.68458955504525</v>
      </c>
      <c r="H174" s="299">
        <f>H67*(BOM_average!G48*BOM_average!G53)/1000000</f>
        <v>31.768501070844454</v>
      </c>
      <c r="I174" s="299">
        <f>I67*(BOM_average!H48*BOM_average!H53)/1000000</f>
        <v>67.590974842619886</v>
      </c>
      <c r="J174" s="299">
        <f>J67*(BOM_average!I48*BOM_average!I53)/1000000</f>
        <v>134.47409545985002</v>
      </c>
      <c r="K174" s="299">
        <f>K67*(BOM_average!J48*BOM_average!J53)/1000000</f>
        <v>219.00066729507591</v>
      </c>
      <c r="L174" s="299">
        <f>L67*(BOM_average!K48*BOM_average!K53)/1000000</f>
        <v>301.42712272973694</v>
      </c>
      <c r="M174" s="299">
        <f>M67*(BOM_average!L48*BOM_average!L53)/1000000</f>
        <v>370.20174801330825</v>
      </c>
      <c r="N174" s="299">
        <f>N67*(BOM_average!M48*BOM_average!M53)/1000000</f>
        <v>416.38687441567134</v>
      </c>
      <c r="O174" s="299">
        <f>O67*(BOM_average!N48*BOM_average!N53)/1000000</f>
        <v>443.45186365592912</v>
      </c>
      <c r="P174" s="299">
        <f>P67*(BOM_average!O48*BOM_average!O53)/1000000</f>
        <v>463.55545613651765</v>
      </c>
      <c r="Q174" s="299">
        <f>Q67*(BOM_average!P48*BOM_average!P53)/1000000</f>
        <v>485.24214458126659</v>
      </c>
      <c r="R174" s="299">
        <f>R67*(BOM_average!Q48*BOM_average!Q53)/1000000</f>
        <v>497.27953118359665</v>
      </c>
      <c r="S174" s="299">
        <f>S67*(BOM_average!R48*BOM_average!R53)/1000000</f>
        <v>496.64948767504779</v>
      </c>
      <c r="T174" s="299">
        <f>T67*(BOM_average!S48*BOM_average!S53)/1000000</f>
        <v>480.84498024181858</v>
      </c>
      <c r="U174" s="299">
        <f>U67*(BOM_average!T48*BOM_average!T53)/1000000</f>
        <v>456.50542730203637</v>
      </c>
      <c r="V174" s="299">
        <f>V67*(BOM_average!U48*BOM_average!U53)/1000000</f>
        <v>431.3388993153871</v>
      </c>
      <c r="W174" s="299">
        <f>W67*(BOM_average!V48*BOM_average!V53)/1000000</f>
        <v>409.37678154513156</v>
      </c>
      <c r="X174" s="299">
        <f>X67*(BOM_average!W48*BOM_average!W53)/1000000</f>
        <v>392.44676699909809</v>
      </c>
      <c r="Y174" s="299">
        <f>Y67*(BOM_average!X48*BOM_average!X53)/1000000</f>
        <v>380.89900390307071</v>
      </c>
      <c r="Z174" s="299">
        <f>Z67*(BOM_average!Y48*BOM_average!Y53)/1000000</f>
        <v>374.22445901343332</v>
      </c>
      <c r="AA174" s="299">
        <f>AA67*(BOM_average!Z48*BOM_average!Z53)/1000000</f>
        <v>371.52899615686238</v>
      </c>
      <c r="AB174" s="299">
        <f>AB67*(BOM_average!AA48*BOM_average!AA53)/1000000</f>
        <v>371.84341672458282</v>
      </c>
    </row>
    <row r="175" spans="2:28">
      <c r="B175" s="294" t="s">
        <v>445</v>
      </c>
      <c r="C175" s="299">
        <f>C67*(BOM_average!B49*BOM_average!B53)/1000000</f>
        <v>0</v>
      </c>
      <c r="D175" s="299">
        <f>D67*(BOM_average!C49*BOM_average!C53)/1000000</f>
        <v>2.6661066927359269</v>
      </c>
      <c r="E175" s="299">
        <f>E67*(BOM_average!D49*BOM_average!D53)/1000000</f>
        <v>9.081039506999403</v>
      </c>
      <c r="F175" s="299">
        <f>F67*(BOM_average!E49*BOM_average!E53)/1000000</f>
        <v>17.208564187827228</v>
      </c>
      <c r="G175" s="299">
        <f>G67*(BOM_average!F49*BOM_average!F53)/1000000</f>
        <v>25.981354823536812</v>
      </c>
      <c r="H175" s="299">
        <f>H67*(BOM_average!G49*BOM_average!G53)/1000000</f>
        <v>46.672765345466736</v>
      </c>
      <c r="I175" s="299">
        <f>I67*(BOM_average!H49*BOM_average!H53)/1000000</f>
        <v>99.301433872060471</v>
      </c>
      <c r="J175" s="299">
        <f>J67*(BOM_average!I49*BOM_average!I53)/1000000</f>
        <v>197.56292210467331</v>
      </c>
      <c r="K175" s="299">
        <f>K67*(BOM_average!J49*BOM_average!J53)/1000000</f>
        <v>321.74532667971448</v>
      </c>
      <c r="L175" s="299">
        <f>L67*(BOM_average!K49*BOM_average!K53)/1000000</f>
        <v>442.84234048535336</v>
      </c>
      <c r="M175" s="299">
        <f>M67*(BOM_average!L49*BOM_average!L53)/1000000</f>
        <v>543.88273708525514</v>
      </c>
      <c r="N175" s="299">
        <f>N67*(BOM_average!M49*BOM_average!M53)/1000000</f>
        <v>611.7357202090484</v>
      </c>
      <c r="O175" s="299">
        <f>O67*(BOM_average!N49*BOM_average!N53)/1000000</f>
        <v>651.49831048899807</v>
      </c>
      <c r="P175" s="299">
        <f>P67*(BOM_average!O49*BOM_average!O53)/1000000</f>
        <v>681.0335489428046</v>
      </c>
      <c r="Q175" s="299">
        <f>Q67*(BOM_average!P49*BOM_average!P53)/1000000</f>
        <v>712.89459642014174</v>
      </c>
      <c r="R175" s="299">
        <f>R67*(BOM_average!Q49*BOM_average!Q53)/1000000</f>
        <v>730.57935022739093</v>
      </c>
      <c r="S175" s="299">
        <f>S67*(BOM_average!R49*BOM_average!R53)/1000000</f>
        <v>729.65372037893314</v>
      </c>
      <c r="T175" s="299">
        <f>T67*(BOM_average!S49*BOM_average!S53)/1000000</f>
        <v>706.43449246550915</v>
      </c>
      <c r="U175" s="299">
        <f>U67*(BOM_average!T49*BOM_average!T53)/1000000</f>
        <v>670.67598310308347</v>
      </c>
      <c r="V175" s="299">
        <f>V67*(BOM_average!U49*BOM_average!U53)/1000000</f>
        <v>633.70252147637223</v>
      </c>
      <c r="W175" s="299">
        <f>W67*(BOM_average!V49*BOM_average!V53)/1000000</f>
        <v>601.43682638125915</v>
      </c>
      <c r="X175" s="299">
        <f>X67*(BOM_average!W49*BOM_average!W53)/1000000</f>
        <v>576.56405714231198</v>
      </c>
      <c r="Y175" s="299">
        <f>Y67*(BOM_average!X49*BOM_average!X53)/1000000</f>
        <v>559.5986348189856</v>
      </c>
      <c r="Z175" s="299">
        <f>Z67*(BOM_average!Y49*BOM_average!Y53)/1000000</f>
        <v>549.79271206779458</v>
      </c>
      <c r="AA175" s="299">
        <f>AA67*(BOM_average!Z49*BOM_average!Z53)/1000000</f>
        <v>545.83266670331204</v>
      </c>
      <c r="AB175" s="299">
        <f>AB67*(BOM_average!AA49*BOM_average!AA53)/1000000</f>
        <v>546.29459839295259</v>
      </c>
    </row>
    <row r="176" spans="2:28">
      <c r="B176" s="294" t="s">
        <v>6915</v>
      </c>
      <c r="C176" s="299">
        <f>C67*(BOM_average!B50*BOM_average!B53)/1000000</f>
        <v>0</v>
      </c>
      <c r="D176" s="299">
        <f>D67*(BOM_average!C50*BOM_average!C53)/1000000</f>
        <v>0</v>
      </c>
      <c r="E176" s="299">
        <f>E67*(BOM_average!D50*BOM_average!D53)/1000000</f>
        <v>0</v>
      </c>
      <c r="F176" s="299">
        <f>F67*(BOM_average!E50*BOM_average!E53)/1000000</f>
        <v>0</v>
      </c>
      <c r="G176" s="299">
        <f>G67*(BOM_average!F50*BOM_average!F53)/1000000</f>
        <v>0</v>
      </c>
      <c r="H176" s="299">
        <f>H67*(BOM_average!G50*BOM_average!G53)/1000000</f>
        <v>0</v>
      </c>
      <c r="I176" s="299">
        <f>I67*(BOM_average!H50*BOM_average!H53)/1000000</f>
        <v>0</v>
      </c>
      <c r="J176" s="299">
        <f>J67*(BOM_average!I50*BOM_average!I53)/1000000</f>
        <v>0</v>
      </c>
      <c r="K176" s="299">
        <f>K67*(BOM_average!J50*BOM_average!J53)/1000000</f>
        <v>0</v>
      </c>
      <c r="L176" s="299">
        <f>L67*(BOM_average!K50*BOM_average!K53)/1000000</f>
        <v>0</v>
      </c>
      <c r="M176" s="299">
        <f>M67*(BOM_average!L50*BOM_average!L53)/1000000</f>
        <v>0</v>
      </c>
      <c r="N176" s="299">
        <f>N67*(BOM_average!M50*BOM_average!M53)/1000000</f>
        <v>0</v>
      </c>
      <c r="O176" s="299">
        <f>O67*(BOM_average!N50*BOM_average!N53)/1000000</f>
        <v>0</v>
      </c>
      <c r="P176" s="299">
        <f>P67*(BOM_average!O50*BOM_average!O53)/1000000</f>
        <v>0</v>
      </c>
      <c r="Q176" s="299">
        <f>Q67*(BOM_average!P50*BOM_average!P53)/1000000</f>
        <v>0</v>
      </c>
      <c r="R176" s="299">
        <f>R67*(BOM_average!Q50*BOM_average!Q53)/1000000</f>
        <v>0</v>
      </c>
      <c r="S176" s="299">
        <f>S67*(BOM_average!R50*BOM_average!R53)/1000000</f>
        <v>0</v>
      </c>
      <c r="T176" s="299">
        <f>T67*(BOM_average!S50*BOM_average!S53)/1000000</f>
        <v>0</v>
      </c>
      <c r="U176" s="299">
        <f>U67*(BOM_average!T50*BOM_average!T53)/1000000</f>
        <v>0</v>
      </c>
      <c r="V176" s="299">
        <f>V67*(BOM_average!U50*BOM_average!U53)/1000000</f>
        <v>0</v>
      </c>
      <c r="W176" s="299">
        <f>W67*(BOM_average!V50*BOM_average!V53)/1000000</f>
        <v>0</v>
      </c>
      <c r="X176" s="299">
        <f>X67*(BOM_average!W50*BOM_average!W53)/1000000</f>
        <v>0</v>
      </c>
      <c r="Y176" s="299">
        <f>Y67*(BOM_average!X50*BOM_average!X53)/1000000</f>
        <v>0</v>
      </c>
      <c r="Z176" s="299">
        <f>Z67*(BOM_average!Y50*BOM_average!Y53)/1000000</f>
        <v>0</v>
      </c>
      <c r="AA176" s="299">
        <f>AA67*(BOM_average!Z50*BOM_average!Z53)/1000000</f>
        <v>0</v>
      </c>
      <c r="AB176" s="299">
        <f>AB67*(BOM_average!AA50*BOM_average!AA53)/1000000</f>
        <v>0</v>
      </c>
    </row>
    <row r="177" spans="1:28">
      <c r="B177" s="294" t="s">
        <v>447</v>
      </c>
      <c r="C177" s="299">
        <f>C67*(BOM_average!B51*BOM_average!B53)/1000000</f>
        <v>0</v>
      </c>
      <c r="D177" s="299">
        <f>D67*(BOM_average!C51*BOM_average!C53)/1000000</f>
        <v>7.6968336483295915E-2</v>
      </c>
      <c r="E177" s="299">
        <f>E67*(BOM_average!D51*BOM_average!D53)/1000000</f>
        <v>0.26216224065495936</v>
      </c>
      <c r="F177" s="299">
        <f>F67*(BOM_average!E51*BOM_average!E53)/1000000</f>
        <v>0.4967972821237252</v>
      </c>
      <c r="G177" s="299">
        <f>G67*(BOM_average!F51*BOM_average!F53)/1000000</f>
        <v>0.7500606280305212</v>
      </c>
      <c r="H177" s="299">
        <f>H67*(BOM_average!G51*BOM_average!G53)/1000000</f>
        <v>1.3474048572412516</v>
      </c>
      <c r="I177" s="299">
        <f>I67*(BOM_average!H51*BOM_average!H53)/1000000</f>
        <v>2.8667518056808476</v>
      </c>
      <c r="J177" s="299">
        <f>J67*(BOM_average!I51*BOM_average!I53)/1000000</f>
        <v>5.7034812247409983</v>
      </c>
      <c r="K177" s="299">
        <f>K67*(BOM_average!J51*BOM_average!J53)/1000000</f>
        <v>9.2885264619322143</v>
      </c>
      <c r="L177" s="299">
        <f>L67*(BOM_average!K51*BOM_average!K53)/1000000</f>
        <v>12.784498971625748</v>
      </c>
      <c r="M177" s="299">
        <f>M67*(BOM_average!L51*BOM_average!L53)/1000000</f>
        <v>15.701453219966925</v>
      </c>
      <c r="N177" s="299">
        <f>N67*(BOM_average!M51*BOM_average!M53)/1000000</f>
        <v>17.660313775209076</v>
      </c>
      <c r="O177" s="299">
        <f>O67*(BOM_average!N51*BOM_average!N53)/1000000</f>
        <v>18.808227486409429</v>
      </c>
      <c r="P177" s="299">
        <f>P67*(BOM_average!O51*BOM_average!O53)/1000000</f>
        <v>19.660885850615461</v>
      </c>
      <c r="Q177" s="299">
        <f>Q67*(BOM_average!P51*BOM_average!P53)/1000000</f>
        <v>20.580688433770689</v>
      </c>
      <c r="R177" s="299">
        <f>R67*(BOM_average!Q51*BOM_average!Q53)/1000000</f>
        <v>21.091232923745245</v>
      </c>
      <c r="S177" s="299">
        <f>S67*(BOM_average!R51*BOM_average!R53)/1000000</f>
        <v>21.064510741235001</v>
      </c>
      <c r="T177" s="299">
        <f>T67*(BOM_average!S51*BOM_average!S53)/1000000</f>
        <v>20.394190475436176</v>
      </c>
      <c r="U177" s="299">
        <f>U67*(BOM_average!T51*BOM_average!T53)/1000000</f>
        <v>19.361871330727112</v>
      </c>
      <c r="V177" s="299">
        <f>V67*(BOM_average!U51*BOM_average!U53)/1000000</f>
        <v>18.294477500168654</v>
      </c>
      <c r="W177" s="299">
        <f>W67*(BOM_average!V51*BOM_average!V53)/1000000</f>
        <v>17.362993068688677</v>
      </c>
      <c r="X177" s="299">
        <f>X67*(BOM_average!W51*BOM_average!W53)/1000000</f>
        <v>16.644936406788883</v>
      </c>
      <c r="Y177" s="299">
        <f>Y67*(BOM_average!X51*BOM_average!X53)/1000000</f>
        <v>16.155158432966306</v>
      </c>
      <c r="Z177" s="299">
        <f>Z67*(BOM_average!Y51*BOM_average!Y53)/1000000</f>
        <v>15.87206940134606</v>
      </c>
      <c r="AA177" s="299">
        <f>AA67*(BOM_average!Z51*BOM_average!Z53)/1000000</f>
        <v>15.75774610553308</v>
      </c>
      <c r="AB177" s="299">
        <f>AB67*(BOM_average!AA51*BOM_average!AA53)/1000000</f>
        <v>15.771081698522449</v>
      </c>
    </row>
    <row r="178" spans="1:28">
      <c r="B178" s="294" t="s">
        <v>7756</v>
      </c>
      <c r="C178" s="299">
        <f>C67*(BOM_average!B53)/1000000</f>
        <v>0</v>
      </c>
      <c r="D178" s="299">
        <f>D67*(BOM_average!C53)/1000000</f>
        <v>12.241313333333332</v>
      </c>
      <c r="E178" s="299">
        <f>E67*(BOM_average!D53)/1000000</f>
        <v>41.695199333333328</v>
      </c>
      <c r="F178" s="299">
        <f>F67*(BOM_average!E53)/1000000</f>
        <v>79.012376666666654</v>
      </c>
      <c r="G178" s="299">
        <f>G67*(BOM_average!F53)/1000000</f>
        <v>119.29226466666665</v>
      </c>
      <c r="H178" s="299">
        <f>H67*(BOM_average!G53)/1000000</f>
        <v>214.29597933333332</v>
      </c>
      <c r="I178" s="299">
        <f>I67*(BOM_average!H53)/1000000</f>
        <v>455.93822999999992</v>
      </c>
      <c r="J178" s="299">
        <f>J67*(BOM_average!I53)/1000000</f>
        <v>907.10159466666653</v>
      </c>
      <c r="K178" s="299">
        <f>K67*(BOM_average!J53)/1000000</f>
        <v>1477.2797233333333</v>
      </c>
      <c r="L178" s="299">
        <f>L67*(BOM_average!K53)/1000000</f>
        <v>2033.2914139999998</v>
      </c>
      <c r="M178" s="299">
        <f>M67*(BOM_average!L53)/1000000</f>
        <v>2497.2140159999994</v>
      </c>
      <c r="N178" s="299">
        <f>N67*(BOM_average!M53)/1000000</f>
        <v>2808.7580473333328</v>
      </c>
      <c r="O178" s="299">
        <f>O67*(BOM_average!N53)/1000000</f>
        <v>2991.3262573333332</v>
      </c>
      <c r="P178" s="299">
        <f>P67*(BOM_average!O53)/1000000</f>
        <v>3126.9360246666661</v>
      </c>
      <c r="Q178" s="299">
        <f>Q67*(BOM_average!P53)/1000000</f>
        <v>3273.224643333333</v>
      </c>
      <c r="R178" s="299">
        <f>R67*(BOM_average!Q53)/1000000</f>
        <v>3354.4234239999996</v>
      </c>
      <c r="S178" s="299">
        <f>S67*(BOM_average!R53)/1000000</f>
        <v>3350.1734346666663</v>
      </c>
      <c r="T178" s="299">
        <f>T67*(BOM_average!S53)/1000000</f>
        <v>3243.5633559999997</v>
      </c>
      <c r="U178" s="299">
        <f>U67*(BOM_average!T53)/1000000</f>
        <v>3079.3797099999997</v>
      </c>
      <c r="V178" s="299">
        <f>V67*(BOM_average!U53)/1000000</f>
        <v>2909.617663333333</v>
      </c>
      <c r="W178" s="299">
        <f>W67*(BOM_average!V53)/1000000</f>
        <v>2761.4711226666664</v>
      </c>
      <c r="X178" s="299">
        <f>X67*(BOM_average!W53)/1000000</f>
        <v>2647.2688806666665</v>
      </c>
      <c r="Y178" s="299">
        <f>Y67*(BOM_average!X53)/1000000</f>
        <v>2569.372879333333</v>
      </c>
      <c r="Z178" s="299">
        <f>Z67*(BOM_average!Y53)/1000000</f>
        <v>2524.3494099999994</v>
      </c>
      <c r="AA178" s="299">
        <f>AA67*(BOM_average!Z53)/1000000</f>
        <v>2506.1670333333332</v>
      </c>
      <c r="AB178" s="299">
        <f>AB67*(BOM_average!AA53)/1000000</f>
        <v>2508.2879726666665</v>
      </c>
    </row>
    <row r="179" spans="1:28">
      <c r="B179" s="295" t="s">
        <v>7757</v>
      </c>
      <c r="C179" s="299">
        <f>C67*(BOM_average!B54)/1000000</f>
        <v>0</v>
      </c>
      <c r="D179" s="299">
        <f>D67*(BOM_average!C54)/1000000</f>
        <v>14.490953999999999</v>
      </c>
      <c r="E179" s="299">
        <f>E67*(BOM_average!D54)/1000000</f>
        <v>49.357711799999997</v>
      </c>
      <c r="F179" s="299">
        <f>F67*(BOM_average!E54)/1000000</f>
        <v>93.532832999999997</v>
      </c>
      <c r="G179" s="299">
        <f>G67*(BOM_average!F54)/1000000</f>
        <v>141.21513539999998</v>
      </c>
      <c r="H179" s="299">
        <f>H67*(BOM_average!G54)/1000000</f>
        <v>253.67810579999997</v>
      </c>
      <c r="I179" s="299">
        <f>I67*(BOM_average!H54)/1000000</f>
        <v>539.72802899999999</v>
      </c>
      <c r="J179" s="299">
        <f>J67*(BOM_average!I54)/1000000</f>
        <v>1073.8036943999998</v>
      </c>
      <c r="K179" s="299">
        <f>K67*(BOM_average!J54)/1000000</f>
        <v>1748.765997</v>
      </c>
      <c r="L179" s="299">
        <f>L67*(BOM_average!K54)/1000000</f>
        <v>2406.9584321999996</v>
      </c>
      <c r="M179" s="299">
        <f>M67*(BOM_average!L54)/1000000</f>
        <v>2956.1381567999997</v>
      </c>
      <c r="N179" s="299">
        <f>N67*(BOM_average!M54)/1000000</f>
        <v>3324.9360222</v>
      </c>
      <c r="O179" s="299">
        <f>O67*(BOM_average!N54)/1000000</f>
        <v>3541.0556051999997</v>
      </c>
      <c r="P179" s="299">
        <f>P67*(BOM_average!O54)/1000000</f>
        <v>3701.5869833999996</v>
      </c>
      <c r="Q179" s="299">
        <f>Q67*(BOM_average!P54)/1000000</f>
        <v>3874.7597129999995</v>
      </c>
      <c r="R179" s="299">
        <f>R67*(BOM_average!Q54)/1000000</f>
        <v>3970.8807551999998</v>
      </c>
      <c r="S179" s="299">
        <f>S67*(BOM_average!R54)/1000000</f>
        <v>3965.8497263999998</v>
      </c>
      <c r="T179" s="299">
        <f>T67*(BOM_average!S54)/1000000</f>
        <v>3839.6474387999997</v>
      </c>
      <c r="U179" s="299">
        <f>U67*(BOM_average!T54)/1000000</f>
        <v>3645.2910329999995</v>
      </c>
      <c r="V179" s="299">
        <f>V67*(BOM_average!U54)/1000000</f>
        <v>3444.3310590000001</v>
      </c>
      <c r="W179" s="299">
        <f>W67*(BOM_average!V54)/1000000</f>
        <v>3268.9589687999996</v>
      </c>
      <c r="X179" s="299">
        <f>X67*(BOM_average!W54)/1000000</f>
        <v>3133.7692721999997</v>
      </c>
      <c r="Y179" s="299">
        <f>Y67*(BOM_average!X54)/1000000</f>
        <v>3041.5579757999999</v>
      </c>
      <c r="Z179" s="299">
        <f>Z67*(BOM_average!Y54)/1000000</f>
        <v>2988.2603429999999</v>
      </c>
      <c r="AA179" s="299">
        <f>AA67*(BOM_average!Z54)/1000000</f>
        <v>2966.7365100000002</v>
      </c>
      <c r="AB179" s="299">
        <f>AB67*(BOM_average!AA54)/1000000</f>
        <v>2969.2472237999996</v>
      </c>
    </row>
    <row r="180" spans="1:28">
      <c r="B180" s="295" t="s">
        <v>7758</v>
      </c>
      <c r="C180" s="299">
        <f>C67*(BOM_average!B55)/1000000</f>
        <v>0</v>
      </c>
      <c r="D180" s="299">
        <f>D67*(BOM_average!C55)/1000000</f>
        <v>10.393846999999999</v>
      </c>
      <c r="E180" s="299">
        <f>E67*(BOM_average!D55)/1000000</f>
        <v>35.402534899999999</v>
      </c>
      <c r="F180" s="299">
        <f>F67*(BOM_average!E55)/1000000</f>
        <v>67.087781500000006</v>
      </c>
      <c r="G180" s="299">
        <f>G67*(BOM_average!F55)/1000000</f>
        <v>101.28860469999999</v>
      </c>
      <c r="H180" s="299">
        <f>H67*(BOM_average!G55)/1000000</f>
        <v>181.95430190000002</v>
      </c>
      <c r="I180" s="299">
        <f>I67*(BOM_average!H55)/1000000</f>
        <v>387.12775950000002</v>
      </c>
      <c r="J180" s="299">
        <f>J67*(BOM_average!I55)/1000000</f>
        <v>770.20127919999993</v>
      </c>
      <c r="K180" s="299">
        <f>K67*(BOM_average!J55)/1000000</f>
        <v>1254.3277834999999</v>
      </c>
      <c r="L180" s="299">
        <f>L67*(BOM_average!K55)/1000000</f>
        <v>1726.4258570999998</v>
      </c>
      <c r="M180" s="299">
        <f>M67*(BOM_average!L55)/1000000</f>
        <v>2120.3329823999998</v>
      </c>
      <c r="N180" s="299">
        <f>N67*(BOM_average!M55)/1000000</f>
        <v>2384.8586021000001</v>
      </c>
      <c r="O180" s="299">
        <f>O67*(BOM_average!N55)/1000000</f>
        <v>2539.8735085999997</v>
      </c>
      <c r="P180" s="299">
        <f>P67*(BOM_average!O55)/1000000</f>
        <v>2655.0169686999998</v>
      </c>
      <c r="Q180" s="299">
        <f>Q67*(BOM_average!P55)/1000000</f>
        <v>2779.2276215000002</v>
      </c>
      <c r="R180" s="299">
        <f>R67*(BOM_average!Q55)/1000000</f>
        <v>2848.1718335999999</v>
      </c>
      <c r="S180" s="299">
        <f>S67*(BOM_average!R55)/1000000</f>
        <v>2844.5632551999997</v>
      </c>
      <c r="T180" s="299">
        <f>T67*(BOM_average!S55)/1000000</f>
        <v>2754.0428334000003</v>
      </c>
      <c r="U180" s="299">
        <f>U67*(BOM_average!T55)/1000000</f>
        <v>2614.6378814999998</v>
      </c>
      <c r="V180" s="299">
        <f>V67*(BOM_average!U55)/1000000</f>
        <v>2470.4964245000001</v>
      </c>
      <c r="W180" s="299">
        <f>W67*(BOM_average!V55)/1000000</f>
        <v>2344.7082484000002</v>
      </c>
      <c r="X180" s="299">
        <f>X67*(BOM_average!W55)/1000000</f>
        <v>2247.7414770999999</v>
      </c>
      <c r="Y180" s="299">
        <f>Y67*(BOM_average!X55)/1000000</f>
        <v>2181.6015869000003</v>
      </c>
      <c r="Z180" s="299">
        <f>Z67*(BOM_average!Y55)/1000000</f>
        <v>2143.3730865000002</v>
      </c>
      <c r="AA180" s="299">
        <f>AA67*(BOM_average!Z55)/1000000</f>
        <v>2127.9348049999999</v>
      </c>
      <c r="AB180" s="299">
        <f>AB67*(BOM_average!AA55)/1000000</f>
        <v>2129.7356508999997</v>
      </c>
    </row>
    <row r="182" spans="1:28">
      <c r="B182" s="7" t="s">
        <v>6905</v>
      </c>
      <c r="C182" s="91">
        <f>C178*Outflow_routing!B4</f>
        <v>0</v>
      </c>
      <c r="D182" s="91">
        <f>D178*Outflow_routing!C4</f>
        <v>4.6438365469731187</v>
      </c>
      <c r="E182" s="91">
        <f>E178*Outflow_routing!D4</f>
        <v>15.817395178523535</v>
      </c>
      <c r="F182" s="91">
        <f>F178*Outflow_routing!E4</f>
        <v>29.973953973446697</v>
      </c>
      <c r="G182" s="91">
        <f>G178*Outflow_routing!F4</f>
        <v>45.254439891002164</v>
      </c>
      <c r="H182" s="91">
        <f>H178*Outflow_routing!G4</f>
        <v>81.294831167151131</v>
      </c>
      <c r="I182" s="91">
        <f>I178*Outflow_routing!H4</f>
        <v>172.96368110035868</v>
      </c>
      <c r="J182" s="91">
        <f>J178*Outflow_routing!I4</f>
        <v>344.11598024046407</v>
      </c>
      <c r="K182" s="91">
        <f>K178*Outflow_routing!J4</f>
        <v>560.41744725519686</v>
      </c>
      <c r="L182" s="91">
        <f>L178*Outflow_routing!K4</f>
        <v>771.34476684526624</v>
      </c>
      <c r="M182" s="91">
        <f>M178*Outflow_routing!L4</f>
        <v>947.33738099296909</v>
      </c>
      <c r="N182" s="91">
        <f>N178*Outflow_routing!M4</f>
        <v>1065.5240100989749</v>
      </c>
      <c r="O182" s="91">
        <f>O178*Outflow_routing!N4</f>
        <v>1134.7826674690828</v>
      </c>
      <c r="P182" s="91">
        <f>P178*Outflow_routing!O4</f>
        <v>1186.2272777425762</v>
      </c>
      <c r="Q182" s="91">
        <f>Q178*Outflow_routing!P4</f>
        <v>1241.722992562703</v>
      </c>
      <c r="R182" s="91">
        <f>R178*Outflow_routing!Q4</f>
        <v>1272.5263757424098</v>
      </c>
      <c r="S182" s="91">
        <f>S178*Outflow_routing!R4</f>
        <v>1270.9141095375544</v>
      </c>
      <c r="T182" s="91">
        <f>T178*Outflow_routing!S4</f>
        <v>1230.4707546370771</v>
      </c>
      <c r="U182" s="91">
        <f>U178*Outflow_routing!T4</f>
        <v>1168.1864232954429</v>
      </c>
      <c r="V182" s="91">
        <f>V178*Outflow_routing!U4</f>
        <v>1103.7858826726538</v>
      </c>
      <c r="W182" s="91">
        <f>W178*Outflow_routing!V4</f>
        <v>1047.585350824314</v>
      </c>
      <c r="X182" s="91">
        <f>X178*Outflow_routing!W4</f>
        <v>1004.2618502566298</v>
      </c>
      <c r="Y182" s="91">
        <f>Y178*Outflow_routing!X4</f>
        <v>974.71140186889136</v>
      </c>
      <c r="Z182" s="91">
        <f>Z178*Outflow_routing!Y4</f>
        <v>957.63140181756319</v>
      </c>
      <c r="AA182" s="91">
        <f>AA178*Outflow_routing!Z4</f>
        <v>950.73377711208525</v>
      </c>
      <c r="AB182" s="91">
        <f>AB178*Outflow_routing!AA4</f>
        <v>951.53837179256175</v>
      </c>
    </row>
    <row r="183" spans="1:28">
      <c r="B183" s="7" t="s">
        <v>6907</v>
      </c>
      <c r="C183" s="91">
        <f>C179*Outflow_routing!B5</f>
        <v>0</v>
      </c>
      <c r="D183" s="91">
        <f>D179*Outflow_routing!C5</f>
        <v>1.2392333987510442</v>
      </c>
      <c r="E183" s="91">
        <f>E179*Outflow_routing!D5</f>
        <v>4.2209591548278</v>
      </c>
      <c r="F183" s="91">
        <f>F179*Outflow_routing!E5</f>
        <v>7.9987149592362128</v>
      </c>
      <c r="G183" s="91">
        <f>G179*Outflow_routing!F5</f>
        <v>12.076396916091991</v>
      </c>
      <c r="H183" s="91">
        <f>H179*Outflow_routing!G5</f>
        <v>21.693974133053008</v>
      </c>
      <c r="I183" s="91">
        <f>I179*Outflow_routing!H5</f>
        <v>46.156312398677976</v>
      </c>
      <c r="J183" s="91">
        <f>J179*Outflow_routing!I5</f>
        <v>91.829247529371742</v>
      </c>
      <c r="K183" s="91">
        <f>K179*Outflow_routing!J5</f>
        <v>149.55048715788959</v>
      </c>
      <c r="L183" s="91">
        <f>L179*Outflow_routing!K5</f>
        <v>205.83760590142586</v>
      </c>
      <c r="M183" s="91">
        <f>M179*Outflow_routing!L5</f>
        <v>252.80220579189688</v>
      </c>
      <c r="N183" s="91">
        <f>N179*Outflow_routing!M5</f>
        <v>284.34095970635775</v>
      </c>
      <c r="O183" s="91">
        <f>O179*Outflow_routing!N5</f>
        <v>302.82301446809038</v>
      </c>
      <c r="P183" s="91">
        <f>P179*Outflow_routing!O5</f>
        <v>316.55129249678157</v>
      </c>
      <c r="Q183" s="91">
        <f>Q179*Outflow_routing!P5</f>
        <v>331.3606301203227</v>
      </c>
      <c r="R183" s="91">
        <f>R179*Outflow_routing!Q5</f>
        <v>339.58068283852185</v>
      </c>
      <c r="S183" s="91">
        <f>S179*Outflow_routing!R5</f>
        <v>339.15044070822194</v>
      </c>
      <c r="T183" s="91">
        <f>T179*Outflow_routing!S5</f>
        <v>328.35790836061358</v>
      </c>
      <c r="U183" s="91">
        <f>U179*Outflow_routing!T5</f>
        <v>311.73699097114621</v>
      </c>
      <c r="V183" s="91">
        <f>V179*Outflow_routing!U5</f>
        <v>294.55135146163286</v>
      </c>
      <c r="W183" s="91">
        <f>W179*Outflow_routing!V5</f>
        <v>279.55392952622253</v>
      </c>
      <c r="X183" s="91">
        <f>X179*Outflow_routing!W5</f>
        <v>267.99281441994725</v>
      </c>
      <c r="Y183" s="91">
        <f>Y179*Outflow_routing!X5</f>
        <v>260.10711426238606</v>
      </c>
      <c r="Z183" s="91">
        <f>Z179*Outflow_routing!Y5</f>
        <v>255.54922203250743</v>
      </c>
      <c r="AA183" s="91">
        <f>AA179*Outflow_routing!Z5</f>
        <v>253.70855283138101</v>
      </c>
      <c r="AB183" s="91">
        <f>AB179*Outflow_routing!AA5</f>
        <v>253.92326336014705</v>
      </c>
    </row>
    <row r="184" spans="1:28">
      <c r="B184" s="7" t="s">
        <v>6908</v>
      </c>
      <c r="C184" s="91">
        <f>C180*Outflow_routing!B6</f>
        <v>0</v>
      </c>
      <c r="D184" s="91">
        <f>D180*Outflow_routing!C6</f>
        <v>0.1437460291798659</v>
      </c>
      <c r="E184" s="91">
        <f>E180*Outflow_routing!D6</f>
        <v>0.48961407790365025</v>
      </c>
      <c r="F184" s="91">
        <f>F180*Outflow_routing!E6</f>
        <v>0.92781837149531543</v>
      </c>
      <c r="G184" s="91">
        <f>G180*Outflow_routing!F6</f>
        <v>1.4008128777337305</v>
      </c>
      <c r="H184" s="91">
        <f>H180*Outflow_routing!G6</f>
        <v>2.5164126805329667</v>
      </c>
      <c r="I184" s="91">
        <f>I180*Outflow_routing!H6</f>
        <v>5.3539443300852048</v>
      </c>
      <c r="J184" s="91">
        <f>J180*Outflow_routing!I6</f>
        <v>10.651818864973983</v>
      </c>
      <c r="K184" s="91">
        <f>K180*Outflow_routing!J6</f>
        <v>17.347247671445185</v>
      </c>
      <c r="L184" s="91">
        <f>L180*Outflow_routing!K6</f>
        <v>23.876324293745288</v>
      </c>
      <c r="M184" s="91">
        <f>M180*Outflow_routing!L6</f>
        <v>29.324026682238298</v>
      </c>
      <c r="N184" s="91">
        <f>N180*Outflow_routing!M6</f>
        <v>32.982393738076077</v>
      </c>
      <c r="O184" s="91">
        <f>O180*Outflow_routing!N6</f>
        <v>35.126236847664195</v>
      </c>
      <c r="P184" s="91">
        <f>P180*Outflow_routing!O6</f>
        <v>36.718661209443368</v>
      </c>
      <c r="Q184" s="91">
        <f>Q180*Outflow_routing!P6</f>
        <v>38.436484083095351</v>
      </c>
      <c r="R184" s="91">
        <f>R180*Outflow_routing!Q6</f>
        <v>39.389976733536464</v>
      </c>
      <c r="S184" s="91">
        <f>S180*Outflow_routing!R6</f>
        <v>39.340070397991575</v>
      </c>
      <c r="T184" s="91">
        <f>T180*Outflow_routing!S6</f>
        <v>38.088180583427587</v>
      </c>
      <c r="U184" s="91">
        <f>U180*Outflow_routing!T6</f>
        <v>36.160221832097562</v>
      </c>
      <c r="V184" s="91">
        <f>V180*Outflow_routing!U6</f>
        <v>34.16675761389709</v>
      </c>
      <c r="W184" s="91">
        <f>W180*Outflow_routing!V6</f>
        <v>32.427117725783219</v>
      </c>
      <c r="X184" s="91">
        <f>X180*Outflow_routing!W6</f>
        <v>31.086075440211069</v>
      </c>
      <c r="Y184" s="91">
        <f>Y180*Outflow_routing!X6</f>
        <v>30.171366325612567</v>
      </c>
      <c r="Z184" s="91">
        <f>Z180*Outflow_routing!Y6</f>
        <v>29.642669382700007</v>
      </c>
      <c r="AA184" s="91">
        <f>AA180*Outflow_routing!Z6</f>
        <v>29.429159248965494</v>
      </c>
      <c r="AB184" s="91">
        <f>AB180*Outflow_routing!AA6</f>
        <v>29.454064796188753</v>
      </c>
    </row>
    <row r="187" spans="1:28" ht="21">
      <c r="A187" s="293" t="s">
        <v>7800</v>
      </c>
      <c r="B187" s="166" t="s">
        <v>7862</v>
      </c>
      <c r="C187" s="375"/>
      <c r="D187" s="375"/>
      <c r="E187" s="375"/>
      <c r="F187" s="375"/>
      <c r="G187" s="375"/>
      <c r="H187" s="375"/>
      <c r="I187" s="375"/>
      <c r="J187" s="375"/>
      <c r="K187" s="375"/>
      <c r="L187" s="375"/>
      <c r="M187" s="375"/>
      <c r="N187" s="375"/>
      <c r="O187" s="375"/>
      <c r="P187" s="375"/>
      <c r="Q187" s="375"/>
      <c r="R187" s="375"/>
      <c r="S187" s="167">
        <v>0</v>
      </c>
      <c r="T187" s="167">
        <v>91288</v>
      </c>
      <c r="U187" s="167">
        <v>241045</v>
      </c>
      <c r="V187" s="167">
        <v>382144</v>
      </c>
      <c r="W187" s="167">
        <v>481198</v>
      </c>
      <c r="X187" s="167">
        <v>526616</v>
      </c>
      <c r="Y187" s="167">
        <v>522049</v>
      </c>
      <c r="Z187" s="167">
        <v>479630</v>
      </c>
      <c r="AA187" s="167">
        <v>414232</v>
      </c>
      <c r="AB187" s="167">
        <v>339529</v>
      </c>
    </row>
    <row r="188" spans="1:28" ht="19">
      <c r="B188" s="166" t="s">
        <v>7863</v>
      </c>
      <c r="C188" s="7"/>
      <c r="D188" s="7"/>
      <c r="E188" s="7"/>
      <c r="F188" s="7"/>
      <c r="G188" s="7"/>
      <c r="H188" s="7"/>
      <c r="I188" s="7"/>
      <c r="J188" s="7"/>
      <c r="K188" s="7"/>
      <c r="L188" s="7"/>
      <c r="M188" s="7"/>
      <c r="N188" s="7"/>
      <c r="O188" s="7"/>
      <c r="P188" s="7"/>
      <c r="Q188" s="7"/>
      <c r="R188" s="7"/>
      <c r="S188" s="7">
        <v>427.5</v>
      </c>
      <c r="T188" s="7">
        <v>427.5</v>
      </c>
      <c r="U188" s="7">
        <v>427.5</v>
      </c>
      <c r="V188" s="7">
        <v>427.5</v>
      </c>
      <c r="W188" s="7">
        <v>427.5</v>
      </c>
      <c r="X188" s="7">
        <v>427.5</v>
      </c>
      <c r="Y188" s="7">
        <v>427.5</v>
      </c>
      <c r="Z188" s="7">
        <v>427.5</v>
      </c>
      <c r="AA188" s="7">
        <v>427.5</v>
      </c>
      <c r="AB188" s="7">
        <v>427.5</v>
      </c>
    </row>
    <row r="189" spans="1:28">
      <c r="B189" s="7" t="s">
        <v>7861</v>
      </c>
      <c r="C189" s="8"/>
      <c r="D189" s="8"/>
      <c r="E189" s="8"/>
      <c r="F189" s="8"/>
      <c r="G189" s="8"/>
      <c r="H189" s="8"/>
      <c r="I189" s="8"/>
      <c r="J189" s="8"/>
      <c r="K189" s="8"/>
      <c r="L189" s="8"/>
      <c r="M189" s="8"/>
      <c r="N189" s="8"/>
      <c r="O189" s="8"/>
      <c r="P189" s="8"/>
      <c r="Q189" s="8"/>
      <c r="R189" s="8"/>
      <c r="S189" s="379">
        <f>S187*S188</f>
        <v>0</v>
      </c>
      <c r="T189" s="379">
        <f t="shared" ref="T189:AB189" si="26">T187*T188</f>
        <v>39025620</v>
      </c>
      <c r="U189" s="379">
        <f t="shared" si="26"/>
        <v>103046737.5</v>
      </c>
      <c r="V189" s="379">
        <f t="shared" si="26"/>
        <v>163366560</v>
      </c>
      <c r="W189" s="379">
        <f t="shared" si="26"/>
        <v>205712145</v>
      </c>
      <c r="X189" s="379">
        <f t="shared" si="26"/>
        <v>225128340</v>
      </c>
      <c r="Y189" s="379">
        <f t="shared" si="26"/>
        <v>223175947.5</v>
      </c>
      <c r="Z189" s="379">
        <f t="shared" si="26"/>
        <v>205041825</v>
      </c>
      <c r="AA189" s="379">
        <f t="shared" si="26"/>
        <v>177084180</v>
      </c>
      <c r="AB189" s="379">
        <f t="shared" si="26"/>
        <v>145148647.5</v>
      </c>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DC647-8D52-B849-8361-6F08684FB392}">
  <dimension ref="A1:AF189"/>
  <sheetViews>
    <sheetView zoomScale="50" zoomScaleNormal="50" workbookViewId="0">
      <pane xSplit="2" ySplit="2" topLeftCell="C3" activePane="bottomRight" state="frozen"/>
      <selection pane="topRight" activeCell="C1" sqref="C1"/>
      <selection pane="bottomLeft" activeCell="A3" sqref="A3"/>
      <selection pane="bottomRight" activeCell="Q188" sqref="Q188"/>
    </sheetView>
  </sheetViews>
  <sheetFormatPr baseColWidth="10" defaultRowHeight="16"/>
  <cols>
    <col min="1" max="1" width="14.6640625" customWidth="1"/>
    <col min="2" max="2" width="10.6640625" style="1" customWidth="1"/>
    <col min="3" max="3" width="15" style="1" customWidth="1"/>
    <col min="4" max="10" width="13" style="1" bestFit="1" customWidth="1"/>
    <col min="11" max="16" width="14.5" style="1" bestFit="1" customWidth="1"/>
    <col min="17" max="18" width="14.5" bestFit="1" customWidth="1"/>
    <col min="19" max="19" width="15.6640625" customWidth="1"/>
    <col min="20" max="20" width="15.83203125" customWidth="1"/>
    <col min="21" max="21" width="15.6640625" customWidth="1"/>
    <col min="22" max="25" width="14.5" bestFit="1" customWidth="1"/>
    <col min="26" max="26" width="15.33203125" customWidth="1"/>
    <col min="27" max="27" width="12.83203125" customWidth="1"/>
    <col min="28" max="28" width="14.5" bestFit="1" customWidth="1"/>
    <col min="30" max="30" width="12.5" bestFit="1" customWidth="1"/>
    <col min="31" max="31" width="15.1640625" bestFit="1" customWidth="1"/>
    <col min="32" max="32" width="14" bestFit="1" customWidth="1"/>
  </cols>
  <sheetData>
    <row r="1" spans="1:29" ht="21">
      <c r="A1" s="52"/>
      <c r="B1" s="52"/>
      <c r="U1" s="1"/>
      <c r="V1" s="81"/>
    </row>
    <row r="2" spans="1:29" ht="22" thickBot="1">
      <c r="A2" s="52"/>
      <c r="B2" s="212" t="s">
        <v>175</v>
      </c>
      <c r="C2" s="213">
        <v>2007</v>
      </c>
      <c r="D2" s="213">
        <v>2008</v>
      </c>
      <c r="E2" s="213">
        <v>2009</v>
      </c>
      <c r="F2" s="213">
        <v>2010</v>
      </c>
      <c r="G2" s="213">
        <v>2011</v>
      </c>
      <c r="H2" s="213">
        <v>2012</v>
      </c>
      <c r="I2" s="213">
        <v>2013</v>
      </c>
      <c r="J2" s="213">
        <v>2014</v>
      </c>
      <c r="K2" s="213">
        <v>2015</v>
      </c>
      <c r="L2" s="213">
        <v>2016</v>
      </c>
      <c r="M2" s="213">
        <v>2017</v>
      </c>
      <c r="N2" s="213">
        <v>2018</v>
      </c>
      <c r="O2" s="213">
        <v>2019</v>
      </c>
      <c r="P2" s="213">
        <v>2020</v>
      </c>
      <c r="Q2" s="213">
        <v>2021</v>
      </c>
      <c r="R2" s="213">
        <v>2022</v>
      </c>
      <c r="S2" s="213">
        <v>2023</v>
      </c>
      <c r="T2" s="213">
        <v>2024</v>
      </c>
      <c r="U2" s="213">
        <v>2025</v>
      </c>
      <c r="V2" s="213">
        <v>2026</v>
      </c>
      <c r="W2" s="213">
        <v>2027</v>
      </c>
      <c r="X2" s="213">
        <v>2028</v>
      </c>
      <c r="Y2" s="213">
        <v>2029</v>
      </c>
      <c r="Z2" s="213">
        <v>2030</v>
      </c>
      <c r="AA2" s="213">
        <v>2031</v>
      </c>
      <c r="AB2" s="213">
        <v>2032</v>
      </c>
    </row>
    <row r="3" spans="1:29" ht="17" thickTop="1"/>
    <row r="4" spans="1:29" ht="26">
      <c r="A4" s="292" t="s">
        <v>7791</v>
      </c>
      <c r="B4" s="52" t="s">
        <v>174</v>
      </c>
      <c r="C4" s="86"/>
      <c r="D4" s="86"/>
      <c r="E4" s="86"/>
      <c r="F4" s="86"/>
      <c r="G4" s="86"/>
      <c r="H4" s="86"/>
      <c r="I4" s="86"/>
      <c r="J4" s="86"/>
      <c r="K4" s="86"/>
      <c r="L4" s="86"/>
      <c r="M4" s="86"/>
      <c r="N4" s="86"/>
      <c r="O4" s="86"/>
      <c r="P4" s="86"/>
      <c r="Q4" s="86"/>
      <c r="R4" s="86"/>
      <c r="S4" s="86"/>
      <c r="T4" s="86"/>
      <c r="U4" s="86"/>
      <c r="V4" s="86"/>
      <c r="W4" s="86"/>
      <c r="X4" s="86"/>
      <c r="Y4" s="86"/>
      <c r="Z4" s="86"/>
      <c r="AA4" s="86"/>
      <c r="AB4" s="86"/>
    </row>
    <row r="5" spans="1:29">
      <c r="A5" s="1"/>
      <c r="B5" s="82"/>
      <c r="C5" s="47">
        <f>B5+C38-C67</f>
        <v>281993.3129973475</v>
      </c>
      <c r="D5" s="47">
        <f t="shared" ref="D5:AB5" si="0">C5+D38-D67</f>
        <v>711895.46404629853</v>
      </c>
      <c r="E5" s="47">
        <f t="shared" si="0"/>
        <v>1068830.2141186399</v>
      </c>
      <c r="F5" s="47">
        <f t="shared" si="0"/>
        <v>1427822.4822884011</v>
      </c>
      <c r="G5" s="47">
        <f t="shared" si="0"/>
        <v>3011255.3186520375</v>
      </c>
      <c r="H5" s="47">
        <f t="shared" si="0"/>
        <v>6879400.621511789</v>
      </c>
      <c r="I5" s="47">
        <f t="shared" si="0"/>
        <v>13019896.264559774</v>
      </c>
      <c r="J5" s="47">
        <f t="shared" si="0"/>
        <v>18612858.619417269</v>
      </c>
      <c r="K5" s="47">
        <f t="shared" si="0"/>
        <v>22697084.680680387</v>
      </c>
      <c r="L5" s="47">
        <f t="shared" si="0"/>
        <v>25387154.851342078</v>
      </c>
      <c r="M5" s="47">
        <f t="shared" si="0"/>
        <v>26206112.055863939</v>
      </c>
      <c r="N5" s="47">
        <f t="shared" si="0"/>
        <v>26593454.715115897</v>
      </c>
      <c r="O5" s="47">
        <f t="shared" si="0"/>
        <v>27599344.498546928</v>
      </c>
      <c r="P5" s="47">
        <f t="shared" si="0"/>
        <v>29184952.833321691</v>
      </c>
      <c r="Q5" s="47">
        <f t="shared" si="0"/>
        <v>28910684.076626211</v>
      </c>
      <c r="R5" s="47">
        <f t="shared" si="0"/>
        <v>28267261.489402585</v>
      </c>
      <c r="S5" s="47">
        <f t="shared" si="0"/>
        <v>27442825.902178954</v>
      </c>
      <c r="T5" s="47">
        <f t="shared" si="0"/>
        <v>26711124.314955324</v>
      </c>
      <c r="U5" s="47">
        <f t="shared" si="0"/>
        <v>26107907.727731694</v>
      </c>
      <c r="V5" s="47">
        <f t="shared" si="0"/>
        <v>25638556.140508063</v>
      </c>
      <c r="W5" s="47">
        <f t="shared" si="0"/>
        <v>25290761.553284433</v>
      </c>
      <c r="X5" s="47">
        <f t="shared" si="0"/>
        <v>25043902.966060802</v>
      </c>
      <c r="Y5" s="47">
        <f t="shared" si="0"/>
        <v>24875396.378837172</v>
      </c>
      <c r="Z5" s="47">
        <f t="shared" si="0"/>
        <v>24764449.791613542</v>
      </c>
      <c r="AA5" s="47">
        <f t="shared" si="0"/>
        <v>24693829.204389911</v>
      </c>
      <c r="AB5" s="47">
        <f t="shared" si="0"/>
        <v>24650290.617166281</v>
      </c>
    </row>
    <row r="6" spans="1:29">
      <c r="A6" s="1"/>
      <c r="B6" s="82"/>
      <c r="C6" s="83"/>
      <c r="D6" s="83"/>
      <c r="E6" s="83"/>
      <c r="F6" s="83"/>
      <c r="G6" s="83"/>
      <c r="H6" s="83"/>
      <c r="I6" s="83"/>
      <c r="J6" s="83"/>
      <c r="K6" s="83"/>
      <c r="L6" s="83"/>
      <c r="M6" s="83"/>
      <c r="N6" s="83"/>
      <c r="O6" s="83"/>
      <c r="P6" s="83"/>
      <c r="Q6" s="83"/>
      <c r="R6" s="83"/>
      <c r="S6" s="83"/>
      <c r="T6" s="83"/>
      <c r="U6" s="83"/>
      <c r="V6" s="83"/>
      <c r="W6" s="83"/>
      <c r="X6" s="83"/>
      <c r="Y6" s="83"/>
      <c r="Z6" s="83"/>
      <c r="AA6" s="83"/>
      <c r="AB6" s="83"/>
    </row>
    <row r="7" spans="1:29">
      <c r="A7" s="1" t="s">
        <v>7762</v>
      </c>
      <c r="B7" s="7">
        <v>2007</v>
      </c>
      <c r="C7" s="83">
        <f>$C$38*Product_lifespan!B26</f>
        <v>281993.3129973475</v>
      </c>
      <c r="D7" s="83">
        <f>$C$38*Product_lifespan!C26</f>
        <v>260863.378947961</v>
      </c>
      <c r="E7" s="83">
        <f>$C$38*Product_lifespan!D26</f>
        <v>222688.85323200552</v>
      </c>
      <c r="F7" s="83">
        <f>$C$38*Product_lifespan!E26</f>
        <v>179500.2815350634</v>
      </c>
      <c r="G7" s="83">
        <f>$C$38*Product_lifespan!F26</f>
        <v>137846.15379076556</v>
      </c>
      <c r="H7" s="83">
        <f>$C$38*Product_lifespan!G26</f>
        <v>101395.38167513083</v>
      </c>
      <c r="I7" s="83">
        <f>$C$38*Product_lifespan!H26</f>
        <v>71705.328416480814</v>
      </c>
      <c r="J7" s="83">
        <f>$C$38*Product_lifespan!I26</f>
        <v>48888.379248772537</v>
      </c>
      <c r="K7" s="83">
        <f>$C$38*Product_lifespan!J26</f>
        <v>32205.906893238021</v>
      </c>
      <c r="L7" s="83">
        <f>$C$38*Product_lifespan!K26</f>
        <v>20536.220874728577</v>
      </c>
      <c r="M7" s="83">
        <f>$C$38*Product_lifespan!L26</f>
        <v>12694.443206545711</v>
      </c>
      <c r="N7" s="83">
        <f>$C$38*Product_lifespan!M26</f>
        <v>7616.8102465962775</v>
      </c>
      <c r="O7" s="83">
        <f>$C$38*Product_lifespan!N26</f>
        <v>4441.030752075797</v>
      </c>
      <c r="P7" s="83">
        <f>$C$38*Product_lifespan!O26</f>
        <v>2518.6751393340005</v>
      </c>
      <c r="Q7" s="83">
        <f>$C$38*Product_lifespan!P26</f>
        <v>1390.6493675100551</v>
      </c>
      <c r="R7" s="83">
        <f>$C$38*Product_lifespan!Q26</f>
        <v>748.10186957269946</v>
      </c>
      <c r="S7" s="83">
        <f>$C$38*Product_lifespan!R26</f>
        <v>392.38232408624981</v>
      </c>
      <c r="T7" s="83">
        <f>$C$38*Product_lifespan!S26</f>
        <v>200.79097582343613</v>
      </c>
      <c r="U7" s="83">
        <f>$C$38*Product_lifespan!T26</f>
        <v>100.30484477902797</v>
      </c>
      <c r="V7" s="83">
        <f>$C$38*Product_lifespan!U26</f>
        <v>48.941710513029484</v>
      </c>
      <c r="W7" s="83">
        <f>$C$38*Product_lifespan!V26</f>
        <v>23.336445314472432</v>
      </c>
      <c r="X7" s="83">
        <f>$C$38*Product_lifespan!W26</f>
        <v>10.879071463190142</v>
      </c>
      <c r="Y7" s="83">
        <f>$C$38*Product_lifespan!X26</f>
        <v>4.9606661388526136</v>
      </c>
      <c r="Z7" s="83">
        <f>$C$38*Product_lifespan!Y26</f>
        <v>2.2133823964842194</v>
      </c>
      <c r="AA7" s="83">
        <f>$C$38*Product_lifespan!Z26</f>
        <v>0.96673509084196707</v>
      </c>
      <c r="AB7" s="83">
        <f>$C$38*Product_lifespan!AA26</f>
        <v>0.41347528700067288</v>
      </c>
    </row>
    <row r="8" spans="1:29">
      <c r="A8" s="1"/>
      <c r="B8" s="7">
        <v>2008</v>
      </c>
      <c r="C8" s="83"/>
      <c r="D8" s="83">
        <f>$D$38*Product_lifespan!B26</f>
        <v>451032.15104895108</v>
      </c>
      <c r="E8" s="83">
        <f>$D$38*Product_lifespan!C26</f>
        <v>417236.0318980444</v>
      </c>
      <c r="F8" s="83">
        <f>$D$38*Product_lifespan!D26</f>
        <v>356178.06472169916</v>
      </c>
      <c r="G8" s="83">
        <f>$D$38*Product_lifespan!E26</f>
        <v>287100.41821244708</v>
      </c>
      <c r="H8" s="83">
        <f>$D$38*Product_lifespan!F26</f>
        <v>220477.02690970662</v>
      </c>
      <c r="I8" s="83">
        <f>$D$38*Product_lifespan!G26</f>
        <v>162176.10487733028</v>
      </c>
      <c r="J8" s="83">
        <f>$D$38*Product_lifespan!H26</f>
        <v>114688.56539041772</v>
      </c>
      <c r="K8" s="83">
        <f>$D$38*Product_lifespan!I26</f>
        <v>78194.162193052383</v>
      </c>
      <c r="L8" s="83">
        <f>$D$38*Product_lifespan!J26</f>
        <v>51511.503262760067</v>
      </c>
      <c r="M8" s="83">
        <f>$D$38*Product_lifespan!K26</f>
        <v>32846.508937012724</v>
      </c>
      <c r="N8" s="83">
        <f>$D$38*Product_lifespan!L26</f>
        <v>20304.034748054157</v>
      </c>
      <c r="O8" s="83">
        <f>$D$38*Product_lifespan!M26</f>
        <v>12182.651684674256</v>
      </c>
      <c r="P8" s="83">
        <f>$D$38*Product_lifespan!N26</f>
        <v>7103.1742976193518</v>
      </c>
      <c r="Q8" s="83">
        <f>$D$38*Product_lifespan!O26</f>
        <v>4028.4766110677824</v>
      </c>
      <c r="R8" s="83">
        <f>$D$38*Product_lifespan!P26</f>
        <v>2224.2640044050381</v>
      </c>
      <c r="S8" s="83">
        <f>$D$38*Product_lifespan!Q26</f>
        <v>1196.5460877446067</v>
      </c>
      <c r="T8" s="83">
        <f>$D$38*Product_lifespan!R26</f>
        <v>627.59305100214408</v>
      </c>
      <c r="U8" s="83">
        <f>$D$38*Product_lifespan!S26</f>
        <v>321.15366415697309</v>
      </c>
      <c r="V8" s="83">
        <f>$D$38*Product_lifespan!T26</f>
        <v>160.43185357995239</v>
      </c>
      <c r="W8" s="83">
        <f>$D$38*Product_lifespan!U26</f>
        <v>78.279462495319478</v>
      </c>
      <c r="X8" s="83">
        <f>$D$38*Product_lifespan!V26</f>
        <v>37.325307526429611</v>
      </c>
      <c r="Y8" s="83">
        <f>$D$38*Product_lifespan!W26</f>
        <v>17.400451632355072</v>
      </c>
      <c r="Z8" s="83">
        <f>$D$38*Product_lifespan!X26</f>
        <v>7.9343013331079764</v>
      </c>
      <c r="AA8" s="83">
        <f>$D$38*Product_lifespan!Y26</f>
        <v>3.54017835660362</v>
      </c>
      <c r="AB8" s="83">
        <f>$D$38*Product_lifespan!Z26</f>
        <v>1.5462374014558882</v>
      </c>
    </row>
    <row r="9" spans="1:29">
      <c r="A9" s="1"/>
      <c r="B9" s="7">
        <v>2009</v>
      </c>
      <c r="C9" s="83"/>
      <c r="D9" s="83"/>
      <c r="E9" s="83">
        <f>$E$38*Product_lifespan!B26</f>
        <v>428905.75007234141</v>
      </c>
      <c r="F9" s="83">
        <f>$E$38*Product_lifespan!C26</f>
        <v>396767.57588621636</v>
      </c>
      <c r="G9" s="83">
        <f>$E$38*Product_lifespan!D26</f>
        <v>338704.94520953868</v>
      </c>
      <c r="H9" s="83">
        <f>$E$38*Product_lifespan!E26</f>
        <v>273016.0586847568</v>
      </c>
      <c r="I9" s="83">
        <f>$E$38*Product_lifespan!F26</f>
        <v>209661.02833357523</v>
      </c>
      <c r="J9" s="83">
        <f>$E$38*Product_lifespan!G26</f>
        <v>154220.18972362086</v>
      </c>
      <c r="K9" s="83">
        <f>$E$38*Product_lifespan!H26</f>
        <v>109062.25875272286</v>
      </c>
      <c r="L9" s="83">
        <f>$E$38*Product_lifespan!I26</f>
        <v>74358.170939014817</v>
      </c>
      <c r="M9" s="83">
        <f>$E$38*Product_lifespan!J26</f>
        <v>48984.490114253793</v>
      </c>
      <c r="N9" s="83">
        <f>$E$38*Product_lifespan!K26</f>
        <v>31235.1492462858</v>
      </c>
      <c r="O9" s="83">
        <f>$E$38*Product_lifespan!L26</f>
        <v>19307.974460037785</v>
      </c>
      <c r="P9" s="83">
        <f>$E$38*Product_lifespan!M26</f>
        <v>11585.004187690796</v>
      </c>
      <c r="Q9" s="83">
        <f>$E$38*Product_lifespan!N26</f>
        <v>6754.7120375557315</v>
      </c>
      <c r="R9" s="83">
        <f>$E$38*Product_lifespan!O26</f>
        <v>3830.8505912506157</v>
      </c>
      <c r="S9" s="83">
        <f>$E$38*Product_lifespan!P26</f>
        <v>2115.1477094250736</v>
      </c>
      <c r="T9" s="83">
        <f>$E$38*Product_lifespan!Q26</f>
        <v>1137.8468166109233</v>
      </c>
      <c r="U9" s="83">
        <f>$E$38*Product_lifespan!R26</f>
        <v>596.80505625650972</v>
      </c>
      <c r="V9" s="83">
        <f>$E$38*Product_lifespan!S26</f>
        <v>305.39874572883338</v>
      </c>
      <c r="W9" s="83">
        <f>$E$38*Product_lifespan!T26</f>
        <v>152.5615066136105</v>
      </c>
      <c r="X9" s="83">
        <f>$E$38*Product_lifespan!U26</f>
        <v>74.439286642274936</v>
      </c>
      <c r="Y9" s="83">
        <f>$E$38*Product_lifespan!V26</f>
        <v>35.494230254034868</v>
      </c>
      <c r="Z9" s="83">
        <f>$E$38*Product_lifespan!W26</f>
        <v>16.546833172792518</v>
      </c>
      <c r="AA9" s="83">
        <f>$E$38*Product_lifespan!X26</f>
        <v>7.5450662589401878</v>
      </c>
      <c r="AB9" s="83">
        <f>$E$38*Product_lifespan!Y26</f>
        <v>3.3665069106440493</v>
      </c>
    </row>
    <row r="10" spans="1:29">
      <c r="A10" s="1"/>
      <c r="B10" s="7">
        <v>2010</v>
      </c>
      <c r="C10" s="83"/>
      <c r="D10" s="83"/>
      <c r="E10" s="83"/>
      <c r="F10" s="83">
        <f>$F$38*Product_lifespan!B26</f>
        <v>495377.26816976129</v>
      </c>
      <c r="G10" s="83">
        <f>$F$38*Product_lifespan!C26</f>
        <v>458258.3418564598</v>
      </c>
      <c r="H10" s="83">
        <f>$F$38*Product_lifespan!D26</f>
        <v>391197.2046194069</v>
      </c>
      <c r="I10" s="83">
        <f>$F$38*Product_lifespan!E26</f>
        <v>315327.89964909264</v>
      </c>
      <c r="J10" s="83">
        <f>$F$38*Product_lifespan!F26</f>
        <v>242154.15027667885</v>
      </c>
      <c r="K10" s="83">
        <f>$F$38*Product_lifespan!G26</f>
        <v>178121.12863729167</v>
      </c>
      <c r="L10" s="83">
        <f>$F$38*Product_lifespan!H26</f>
        <v>125964.65258914116</v>
      </c>
      <c r="M10" s="83">
        <f>$F$38*Product_lifespan!I26</f>
        <v>85882.149119372858</v>
      </c>
      <c r="N10" s="83">
        <f>$F$38*Product_lifespan!J26</f>
        <v>56576.072695213181</v>
      </c>
      <c r="O10" s="83">
        <f>$F$38*Product_lifespan!K26</f>
        <v>36075.95118948639</v>
      </c>
      <c r="P10" s="83">
        <f>$F$38*Product_lifespan!L26</f>
        <v>22300.311059695061</v>
      </c>
      <c r="Q10" s="83">
        <f>$F$38*Product_lifespan!M26</f>
        <v>13380.440167252482</v>
      </c>
      <c r="R10" s="83">
        <f>$F$38*Product_lifespan!N26</f>
        <v>7801.5526624984277</v>
      </c>
      <c r="S10" s="83">
        <f>$F$38*Product_lifespan!O26</f>
        <v>4424.5531806000881</v>
      </c>
      <c r="T10" s="83">
        <f>$F$38*Product_lifespan!P26</f>
        <v>2442.9518463993413</v>
      </c>
      <c r="U10" s="83">
        <f>$F$38*Product_lifespan!Q26</f>
        <v>1314.1895335124518</v>
      </c>
      <c r="V10" s="83">
        <f>$F$38*Product_lifespan!R26</f>
        <v>689.29749332664744</v>
      </c>
      <c r="W10" s="83">
        <f>$F$38*Product_lifespan!S26</f>
        <v>352.72923325486795</v>
      </c>
      <c r="X10" s="83">
        <f>$F$38*Product_lifespan!T26</f>
        <v>176.20538395991753</v>
      </c>
      <c r="Y10" s="83">
        <f>$F$38*Product_lifespan!U26</f>
        <v>85.975836078523898</v>
      </c>
      <c r="Z10" s="83">
        <f>$F$38*Product_lifespan!V26</f>
        <v>40.995101641949638</v>
      </c>
      <c r="AA10" s="83">
        <f>$F$38*Product_lifespan!W26</f>
        <v>19.111249995170748</v>
      </c>
      <c r="AB10" s="83">
        <f>$F$38*Product_lifespan!X26</f>
        <v>8.7143954374200376</v>
      </c>
    </row>
    <row r="11" spans="1:29">
      <c r="A11" s="1"/>
      <c r="B11" s="7">
        <v>2011</v>
      </c>
      <c r="C11" s="83"/>
      <c r="D11" s="83"/>
      <c r="E11" s="83"/>
      <c r="F11" s="83"/>
      <c r="G11" s="83">
        <f>$G$38*Product_lifespan!B26</f>
        <v>1789345.8363636364</v>
      </c>
      <c r="H11" s="83">
        <f>$G$38*Product_lifespan!C26</f>
        <v>1655269.0417331778</v>
      </c>
      <c r="I11" s="83">
        <f>$G$38*Product_lifespan!D26</f>
        <v>1413038.3734987008</v>
      </c>
      <c r="J11" s="83">
        <f>$G$38*Product_lifespan!E26</f>
        <v>1138991.8362847399</v>
      </c>
      <c r="K11" s="83">
        <f>$G$38*Product_lifespan!F26</f>
        <v>874681.88065355981</v>
      </c>
      <c r="L11" s="83">
        <f>$G$38*Product_lifespan!G26</f>
        <v>643389.02968455746</v>
      </c>
      <c r="M11" s="83">
        <f>$G$38*Product_lifespan!H26</f>
        <v>454995.29575130017</v>
      </c>
      <c r="N11" s="83">
        <f>$G$38*Product_lifespan!I26</f>
        <v>310213.80232580332</v>
      </c>
      <c r="O11" s="83">
        <f>$G$38*Product_lifespan!J26</f>
        <v>204357.70193696916</v>
      </c>
      <c r="P11" s="83">
        <f>$G$38*Product_lifespan!K26</f>
        <v>130309.47764773847</v>
      </c>
      <c r="Q11" s="83">
        <f>$G$38*Product_lifespan!L26</f>
        <v>80550.665741498902</v>
      </c>
      <c r="R11" s="83">
        <f>$G$38*Product_lifespan!M26</f>
        <v>48331.315222524907</v>
      </c>
      <c r="S11" s="83">
        <f>$G$38*Product_lifespan!N26</f>
        <v>28179.887675082722</v>
      </c>
      <c r="T11" s="83">
        <f>$G$38*Product_lifespan!O26</f>
        <v>15981.871434526845</v>
      </c>
      <c r="U11" s="83">
        <f>$G$38*Product_lifespan!P26</f>
        <v>8824.1548324206105</v>
      </c>
      <c r="V11" s="83">
        <f>$G$38*Product_lifespan!Q26</f>
        <v>4746.9670513369701</v>
      </c>
      <c r="W11" s="83">
        <f>$G$38*Product_lifespan!R26</f>
        <v>2489.8025786626449</v>
      </c>
      <c r="X11" s="83">
        <f>$G$38*Product_lifespan!S26</f>
        <v>1274.0887106512223</v>
      </c>
      <c r="Y11" s="83">
        <f>$G$38*Product_lifespan!T26</f>
        <v>636.46919306254176</v>
      </c>
      <c r="Z11" s="83">
        <f>$G$38*Product_lifespan!U26</f>
        <v>310.55220778170531</v>
      </c>
      <c r="AA11" s="83">
        <f>$G$38*Product_lifespan!V26</f>
        <v>148.07787750403753</v>
      </c>
      <c r="AB11" s="83">
        <f>$G$38*Product_lifespan!W26</f>
        <v>69.031499432558675</v>
      </c>
    </row>
    <row r="12" spans="1:29">
      <c r="A12" s="1"/>
      <c r="B12" s="7">
        <v>2012</v>
      </c>
      <c r="C12" s="83"/>
      <c r="D12" s="83"/>
      <c r="E12" s="83"/>
      <c r="F12" s="83"/>
      <c r="G12" s="83"/>
      <c r="H12" s="83">
        <f>$H$38*Product_lifespan!B26</f>
        <v>4238046.3028597515</v>
      </c>
      <c r="I12" s="83">
        <f>$H$38*Product_lifespan!C26</f>
        <v>3920486.861730326</v>
      </c>
      <c r="J12" s="83">
        <f>$H$38*Product_lifespan!D26</f>
        <v>3346766.1381631983</v>
      </c>
      <c r="K12" s="83">
        <f>$H$38*Product_lifespan!E26</f>
        <v>2697689.8722740836</v>
      </c>
      <c r="L12" s="83">
        <f>$H$38*Product_lifespan!F26</f>
        <v>2071674.5947868833</v>
      </c>
      <c r="M12" s="83">
        <f>$H$38*Product_lifespan!G26</f>
        <v>1523859.9733724312</v>
      </c>
      <c r="N12" s="83">
        <f>$H$38*Product_lifespan!H26</f>
        <v>1077651.4476911346</v>
      </c>
      <c r="O12" s="83">
        <f>$H$38*Product_lifespan!I26</f>
        <v>734738.04299045459</v>
      </c>
      <c r="P12" s="83">
        <f>$H$38*Product_lifespan!J26</f>
        <v>484019.01161541604</v>
      </c>
      <c r="Q12" s="83">
        <f>$H$38*Product_lifespan!K26</f>
        <v>308636.59151262691</v>
      </c>
      <c r="R12" s="83">
        <f>$H$38*Product_lifespan!L26</f>
        <v>190783.38250832987</v>
      </c>
      <c r="S12" s="83">
        <f>$H$38*Product_lifespan!M26</f>
        <v>114472.19851442102</v>
      </c>
      <c r="T12" s="83">
        <f>$H$38*Product_lifespan!N26</f>
        <v>66743.759841916297</v>
      </c>
      <c r="U12" s="83">
        <f>$H$38*Product_lifespan!O26</f>
        <v>37852.890016791411</v>
      </c>
      <c r="V12" s="83">
        <f>$H$38*Product_lifespan!P26</f>
        <v>20899.915490569372</v>
      </c>
      <c r="W12" s="83">
        <f>$H$38*Product_lifespan!Q26</f>
        <v>11243.140231963122</v>
      </c>
      <c r="X12" s="83">
        <f>$H$38*Product_lifespan!R26</f>
        <v>5897.0705376864371</v>
      </c>
      <c r="Y12" s="83">
        <f>$H$38*Product_lifespan!S26</f>
        <v>3017.6653612496111</v>
      </c>
      <c r="Z12" s="83">
        <f>$H$38*Product_lifespan!T26</f>
        <v>1507.4704150118598</v>
      </c>
      <c r="AA12" s="83">
        <f>$H$38*Product_lifespan!U26</f>
        <v>735.5395526606967</v>
      </c>
      <c r="AB12" s="83">
        <f>$H$38*Product_lifespan!V26</f>
        <v>350.72085481622378</v>
      </c>
      <c r="AC12" s="83"/>
    </row>
    <row r="13" spans="1:29">
      <c r="A13" s="1"/>
      <c r="B13" s="7">
        <v>2013</v>
      </c>
      <c r="C13" s="83"/>
      <c r="D13" s="83"/>
      <c r="E13" s="83"/>
      <c r="F13" s="83"/>
      <c r="G13" s="83"/>
      <c r="H13" s="83"/>
      <c r="I13" s="83">
        <f>$I$38*Product_lifespan!B26</f>
        <v>6927500.6430479847</v>
      </c>
      <c r="J13" s="83">
        <f>$I$38*Product_lifespan!C26</f>
        <v>6408418.7181653781</v>
      </c>
      <c r="K13" s="83">
        <f>$I$38*Product_lifespan!D26</f>
        <v>5470616.1559896534</v>
      </c>
      <c r="L13" s="83">
        <f>$I$38*Product_lifespan!E26</f>
        <v>4409637.5993608851</v>
      </c>
      <c r="M13" s="83">
        <f>$I$38*Product_lifespan!F26</f>
        <v>3386354.4808106921</v>
      </c>
      <c r="N13" s="83">
        <f>$I$38*Product_lifespan!G26</f>
        <v>2490897.9730422604</v>
      </c>
      <c r="O13" s="83">
        <f>$I$38*Product_lifespan!H26</f>
        <v>1761526.5533612501</v>
      </c>
      <c r="P13" s="83">
        <f>$I$38*Product_lifespan!I26</f>
        <v>1201001.0985141024</v>
      </c>
      <c r="Q13" s="83">
        <f>$I$38*Product_lifespan!J26</f>
        <v>791176.35216743068</v>
      </c>
      <c r="R13" s="83">
        <f>$I$38*Product_lifespan!K26</f>
        <v>504496.6556238723</v>
      </c>
      <c r="S13" s="83">
        <f>$I$38*Product_lifespan!L26</f>
        <v>311854.07392021641</v>
      </c>
      <c r="T13" s="83">
        <f>$I$38*Product_lifespan!M26</f>
        <v>187115.98980989493</v>
      </c>
      <c r="U13" s="83">
        <f>$I$38*Product_lifespan!N26</f>
        <v>109099.19481349668</v>
      </c>
      <c r="V13" s="83">
        <f>$I$38*Product_lifespan!O26</f>
        <v>61874.246101464763</v>
      </c>
      <c r="W13" s="83">
        <f>$I$38*Product_lifespan!P26</f>
        <v>34162.953317161802</v>
      </c>
      <c r="X13" s="83">
        <f>$I$38*Product_lifespan!Q26</f>
        <v>18378.010908999899</v>
      </c>
      <c r="Y13" s="83">
        <f>$I$38*Product_lifespan!R26</f>
        <v>9639.3378039206436</v>
      </c>
      <c r="Z13" s="83">
        <f>$I$38*Product_lifespan!S26</f>
        <v>4932.6687904410346</v>
      </c>
      <c r="AA13" s="83">
        <f>$I$38*Product_lifespan!T26</f>
        <v>2464.1076390136973</v>
      </c>
      <c r="AB13" s="83">
        <f>$I$38*Product_lifespan!U26</f>
        <v>1202.3112443594334</v>
      </c>
    </row>
    <row r="14" spans="1:29">
      <c r="A14" s="1"/>
      <c r="B14" s="7">
        <v>2014</v>
      </c>
      <c r="C14" s="83"/>
      <c r="D14" s="83"/>
      <c r="E14" s="83"/>
      <c r="F14" s="83"/>
      <c r="G14" s="83"/>
      <c r="H14" s="83"/>
      <c r="I14" s="83"/>
      <c r="J14" s="83">
        <f>$J$38*Product_lifespan!B26</f>
        <v>7158730.354857496</v>
      </c>
      <c r="K14" s="83">
        <f>$J$38*Product_lifespan!C26</f>
        <v>6622322.24408466</v>
      </c>
      <c r="L14" s="83">
        <f>$J$38*Product_lifespan!D26</f>
        <v>5653217.2212727573</v>
      </c>
      <c r="M14" s="83">
        <f>$J$38*Product_lifespan!E26</f>
        <v>4556824.771737094</v>
      </c>
      <c r="N14" s="83">
        <f>$J$38*Product_lifespan!F26</f>
        <v>3499385.9781759796</v>
      </c>
      <c r="O14" s="83">
        <f>$J$38*Product_lifespan!G26</f>
        <v>2574040.4583528126</v>
      </c>
      <c r="P14" s="83">
        <f>$J$38*Product_lifespan!H26</f>
        <v>1820323.7008847632</v>
      </c>
      <c r="Q14" s="83">
        <f>$J$38*Product_lifespan!I26</f>
        <v>1241088.7364951991</v>
      </c>
      <c r="R14" s="83">
        <f>$J$38*Product_lifespan!J26</f>
        <v>817584.64706752088</v>
      </c>
      <c r="S14" s="83">
        <f>$J$38*Product_lifespan!K26</f>
        <v>521336.00682708551</v>
      </c>
      <c r="T14" s="83">
        <f>$J$38*Product_lifespan!L26</f>
        <v>322263.30105057528</v>
      </c>
      <c r="U14" s="83">
        <f>$J$38*Product_lifespan!M26</f>
        <v>193361.64443023963</v>
      </c>
      <c r="V14" s="83">
        <f>$J$38*Product_lifespan!N26</f>
        <v>112740.76436003881</v>
      </c>
      <c r="W14" s="83">
        <f>$J$38*Product_lifespan!O26</f>
        <v>63939.516800332225</v>
      </c>
      <c r="X14" s="83">
        <f>$J$38*Product_lifespan!P26</f>
        <v>35303.262103421759</v>
      </c>
      <c r="Y14" s="83">
        <f>$J$38*Product_lifespan!Q26</f>
        <v>18991.441695236586</v>
      </c>
      <c r="Z14" s="83">
        <f>$J$38*Product_lifespan!R26</f>
        <v>9961.0846239186885</v>
      </c>
      <c r="AA14" s="83">
        <f>$J$38*Product_lifespan!S26</f>
        <v>5097.3139693642679</v>
      </c>
      <c r="AB14" s="83">
        <f>$J$38*Product_lifespan!T26</f>
        <v>2546.3559026509652</v>
      </c>
    </row>
    <row r="15" spans="1:29">
      <c r="A15" s="1"/>
      <c r="B15" s="7">
        <v>2015</v>
      </c>
      <c r="C15" s="83"/>
      <c r="D15" s="83"/>
      <c r="E15" s="83"/>
      <c r="F15" s="83"/>
      <c r="G15" s="83"/>
      <c r="H15" s="83"/>
      <c r="I15" s="83"/>
      <c r="J15" s="83"/>
      <c r="K15" s="83">
        <f>$K$38*Product_lifespan!B26</f>
        <v>6634191.0612631189</v>
      </c>
      <c r="L15" s="83">
        <f>$K$38*Product_lifespan!C26</f>
        <v>6137087.005477095</v>
      </c>
      <c r="M15" s="83">
        <f>$K$38*Product_lifespan!D26</f>
        <v>5238990.8961018585</v>
      </c>
      <c r="N15" s="83">
        <f>$K$38*Product_lifespan!E26</f>
        <v>4222934.0497351876</v>
      </c>
      <c r="O15" s="83">
        <f>$K$38*Product_lifespan!F26</f>
        <v>3242976.6209271778</v>
      </c>
      <c r="P15" s="83">
        <f>$K$38*Product_lifespan!G26</f>
        <v>2385433.6388779636</v>
      </c>
      <c r="Q15" s="83">
        <f>$K$38*Product_lifespan!H26</f>
        <v>1686943.7213570662</v>
      </c>
      <c r="R15" s="83">
        <f>$K$38*Product_lifespan!I26</f>
        <v>1150150.8499064972</v>
      </c>
      <c r="S15" s="83">
        <f>$K$38*Product_lifespan!J26</f>
        <v>757678.03626251838</v>
      </c>
      <c r="T15" s="83">
        <f>$K$38*Product_lifespan!K26</f>
        <v>483136.32515296881</v>
      </c>
      <c r="U15" s="83">
        <f>$K$38*Product_lifespan!L26</f>
        <v>298650.20823869697</v>
      </c>
      <c r="V15" s="83">
        <f>$K$38*Product_lifespan!M26</f>
        <v>179193.5202867086</v>
      </c>
      <c r="W15" s="83">
        <f>$K$38*Product_lifespan!N26</f>
        <v>104479.9474322748</v>
      </c>
      <c r="X15" s="83">
        <f>$K$38*Product_lifespan!O26</f>
        <v>59254.497626163356</v>
      </c>
      <c r="Y15" s="83">
        <f>$K$38*Product_lifespan!P26</f>
        <v>32716.49779643249</v>
      </c>
      <c r="Z15" s="83">
        <f>$K$38*Product_lifespan!Q26</f>
        <v>17599.888037345459</v>
      </c>
      <c r="AA15" s="83">
        <f>$K$38*Product_lifespan!R26</f>
        <v>9231.2093481278134</v>
      </c>
      <c r="AB15" s="83">
        <f>$K$38*Product_lifespan!S26</f>
        <v>4723.8201602414201</v>
      </c>
    </row>
    <row r="16" spans="1:29">
      <c r="A16" s="1"/>
      <c r="B16" s="7">
        <v>2016</v>
      </c>
      <c r="C16" s="83"/>
      <c r="D16" s="83"/>
      <c r="E16" s="83"/>
      <c r="F16" s="83"/>
      <c r="G16" s="83"/>
      <c r="H16" s="83"/>
      <c r="I16" s="83"/>
      <c r="J16" s="83"/>
      <c r="K16" s="83"/>
      <c r="L16" s="83">
        <f>$L$38*Product_lifespan!B26</f>
        <v>6199779.1706616916</v>
      </c>
      <c r="M16" s="83">
        <f>$L$38*Product_lifespan!C26</f>
        <v>5735225.8675907282</v>
      </c>
      <c r="N16" s="83">
        <f>$L$38*Product_lifespan!D26</f>
        <v>4895937.776436964</v>
      </c>
      <c r="O16" s="83">
        <f>$L$38*Product_lifespan!E26</f>
        <v>3946413.1073188372</v>
      </c>
      <c r="P16" s="83">
        <f>$L$38*Product_lifespan!F26</f>
        <v>3030624.038364538</v>
      </c>
      <c r="Q16" s="83">
        <f>$L$38*Product_lifespan!G26</f>
        <v>2229233.624829541</v>
      </c>
      <c r="R16" s="83">
        <f>$L$38*Product_lifespan!H26</f>
        <v>1576481.3598474772</v>
      </c>
      <c r="S16" s="83">
        <f>$L$38*Product_lifespan!I26</f>
        <v>1074838.0950324174</v>
      </c>
      <c r="T16" s="83">
        <f>$L$38*Product_lifespan!J26</f>
        <v>708064.70056559471</v>
      </c>
      <c r="U16" s="83">
        <f>$L$38*Product_lifespan!K26</f>
        <v>451500.19009297446</v>
      </c>
      <c r="V16" s="83">
        <f>$L$38*Product_lifespan!L26</f>
        <v>279094.36482215521</v>
      </c>
      <c r="W16" s="83">
        <f>$L$38*Product_lifespan!M26</f>
        <v>167459.79190710216</v>
      </c>
      <c r="X16" s="83">
        <f>$L$38*Product_lifespan!N26</f>
        <v>97638.520787358328</v>
      </c>
      <c r="Y16" s="83">
        <f>$L$38*Product_lifespan!O26</f>
        <v>55374.467928086124</v>
      </c>
      <c r="Z16" s="83">
        <f>$L$38*Product_lifespan!P26</f>
        <v>30574.196567788091</v>
      </c>
      <c r="AA16" s="83">
        <f>$L$38*Product_lifespan!Q26</f>
        <v>16447.433945192588</v>
      </c>
      <c r="AB16" s="83">
        <f>$L$38*Product_lifespan!R26</f>
        <v>8626.7427193517851</v>
      </c>
    </row>
    <row r="17" spans="1:28">
      <c r="A17" s="86"/>
      <c r="B17" s="7">
        <v>2017</v>
      </c>
      <c r="C17" s="83"/>
      <c r="D17" s="83"/>
      <c r="E17" s="83"/>
      <c r="F17" s="83"/>
      <c r="G17" s="83"/>
      <c r="H17" s="83"/>
      <c r="I17" s="83"/>
      <c r="J17" s="83"/>
      <c r="K17" s="83"/>
      <c r="L17" s="83"/>
      <c r="M17" s="83">
        <f>$M$38*Product_lifespan!B26</f>
        <v>5129453.2045218628</v>
      </c>
      <c r="N17" s="83">
        <f>$M$38*Product_lifespan!C26</f>
        <v>4745100.0907230945</v>
      </c>
      <c r="O17" s="83">
        <f>$M$38*Product_lifespan!D26</f>
        <v>4050706.1663301</v>
      </c>
      <c r="P17" s="83">
        <f>$M$38*Product_lifespan!E26</f>
        <v>3265106.8372719469</v>
      </c>
      <c r="Q17" s="83">
        <f>$M$38*Product_lifespan!F26</f>
        <v>2507419.0156406537</v>
      </c>
      <c r="R17" s="83">
        <f>$M$38*Product_lifespan!G26</f>
        <v>1844380.1377024476</v>
      </c>
      <c r="S17" s="83">
        <f>$M$38*Product_lifespan!H26</f>
        <v>1304318.612089464</v>
      </c>
      <c r="T17" s="83">
        <f>$M$38*Product_lifespan!I26</f>
        <v>889278.72415136034</v>
      </c>
      <c r="U17" s="83">
        <f>$M$38*Product_lifespan!J26</f>
        <v>585824.85720009403</v>
      </c>
      <c r="V17" s="83">
        <f>$M$38*Product_lifespan!K26</f>
        <v>373553.48201336997</v>
      </c>
      <c r="W17" s="83">
        <f>$M$38*Product_lifespan!L26</f>
        <v>230911.68968978061</v>
      </c>
      <c r="X17" s="83">
        <f>$M$38*Product_lifespan!M26</f>
        <v>138549.63904057446</v>
      </c>
      <c r="Y17" s="83">
        <f>$M$38*Product_lifespan!N26</f>
        <v>80782.26813424335</v>
      </c>
      <c r="Z17" s="83">
        <f>$M$38*Product_lifespan!O26</f>
        <v>45814.654706822294</v>
      </c>
      <c r="AA17" s="83">
        <f>$M$38*Product_lifespan!P26</f>
        <v>25295.886553905097</v>
      </c>
      <c r="AB17" s="83">
        <f>$M$38*Product_lifespan!Q26</f>
        <v>13607.959321448785</v>
      </c>
    </row>
    <row r="18" spans="1:28">
      <c r="A18" s="1"/>
      <c r="B18" s="7">
        <v>2018</v>
      </c>
      <c r="C18" s="83"/>
      <c r="D18" s="83"/>
      <c r="E18" s="83"/>
      <c r="F18" s="83"/>
      <c r="G18" s="83"/>
      <c r="H18" s="83"/>
      <c r="I18" s="83"/>
      <c r="J18" s="83"/>
      <c r="K18" s="83"/>
      <c r="L18" s="83"/>
      <c r="M18" s="83"/>
      <c r="N18" s="83">
        <f>$N$38*Product_lifespan!B26</f>
        <v>5235601.6592519572</v>
      </c>
      <c r="O18" s="83">
        <f>$N$38*Product_lifespan!C26</f>
        <v>4843294.7758263452</v>
      </c>
      <c r="P18" s="83">
        <f>$N$38*Product_lifespan!D26</f>
        <v>4134531.1244645379</v>
      </c>
      <c r="Q18" s="83">
        <f>$N$38*Product_lifespan!E26</f>
        <v>3332674.6717927009</v>
      </c>
      <c r="R18" s="83">
        <f>$N$38*Product_lifespan!F26</f>
        <v>2559307.3248344054</v>
      </c>
      <c r="S18" s="83">
        <f>$N$38*Product_lifespan!G26</f>
        <v>1882547.578508693</v>
      </c>
      <c r="T18" s="83">
        <f>$N$38*Product_lifespan!H26</f>
        <v>1331310.0670513588</v>
      </c>
      <c r="U18" s="83">
        <f>$N$38*Product_lifespan!I26</f>
        <v>907681.38007378939</v>
      </c>
      <c r="V18" s="83">
        <f>$N$38*Product_lifespan!J26</f>
        <v>597947.86541458557</v>
      </c>
      <c r="W18" s="83">
        <f>$N$38*Product_lifespan!K26</f>
        <v>381283.76500723959</v>
      </c>
      <c r="X18" s="83">
        <f>$N$38*Product_lifespan!L26</f>
        <v>235690.15594385966</v>
      </c>
      <c r="Y18" s="83">
        <f>$N$38*Product_lifespan!M26</f>
        <v>141416.77311923311</v>
      </c>
      <c r="Z18" s="83">
        <f>$N$38*Product_lifespan!N26</f>
        <v>82453.969305916558</v>
      </c>
      <c r="AA18" s="83">
        <f>$N$38*Product_lifespan!O26</f>
        <v>46762.739153101073</v>
      </c>
      <c r="AB18" s="83">
        <f>$N$38*Product_lifespan!P26</f>
        <v>25819.357411648321</v>
      </c>
    </row>
    <row r="19" spans="1:28">
      <c r="A19" s="1"/>
      <c r="B19" s="7">
        <v>2019</v>
      </c>
      <c r="C19" s="83"/>
      <c r="D19" s="83"/>
      <c r="E19" s="83"/>
      <c r="F19" s="83"/>
      <c r="G19" s="83"/>
      <c r="H19" s="83"/>
      <c r="I19" s="83"/>
      <c r="J19" s="83"/>
      <c r="K19" s="83"/>
      <c r="L19" s="83"/>
      <c r="M19" s="83"/>
      <c r="N19" s="83"/>
      <c r="O19" s="83">
        <f>$O$38*Product_lifespan!B26</f>
        <v>6169283.7834310317</v>
      </c>
      <c r="P19" s="83">
        <f>$O$38*Product_lifespan!C26</f>
        <v>5707015.5186616695</v>
      </c>
      <c r="Q19" s="83">
        <f>$O$38*Product_lifespan!D26</f>
        <v>4871855.7060535233</v>
      </c>
      <c r="R19" s="83">
        <f>$O$38*Product_lifespan!E26</f>
        <v>3927001.5456217136</v>
      </c>
      <c r="S19" s="83">
        <f>$O$38*Product_lifespan!F26</f>
        <v>3015717.0471546222</v>
      </c>
      <c r="T19" s="83">
        <f>$O$38*Product_lifespan!G26</f>
        <v>2218268.501597655</v>
      </c>
      <c r="U19" s="83">
        <f>$O$38*Product_lifespan!H26</f>
        <v>1568726.9853436293</v>
      </c>
      <c r="V19" s="83">
        <f>$O$38*Product_lifespan!I26</f>
        <v>1069551.1964161915</v>
      </c>
      <c r="W19" s="83">
        <f>$O$38*Product_lifespan!J26</f>
        <v>704581.88180161535</v>
      </c>
      <c r="X19" s="83">
        <f>$O$38*Product_lifespan!K26</f>
        <v>449279.3572612573</v>
      </c>
      <c r="Y19" s="83">
        <f>$O$38*Product_lifespan!L26</f>
        <v>277721.55935685377</v>
      </c>
      <c r="Z19" s="83">
        <f>$O$38*Product_lifespan!M26</f>
        <v>166636.09302054526</v>
      </c>
      <c r="AA19" s="83">
        <f>$O$38*Product_lifespan!N26</f>
        <v>97158.257794423116</v>
      </c>
      <c r="AB19" s="83">
        <f>$O$38*Product_lifespan!O26</f>
        <v>55102.092768314338</v>
      </c>
    </row>
    <row r="20" spans="1:28">
      <c r="A20" s="1"/>
      <c r="B20" s="7">
        <v>2020</v>
      </c>
      <c r="C20" s="83"/>
      <c r="D20" s="83"/>
      <c r="E20" s="83"/>
      <c r="F20" s="83"/>
      <c r="G20" s="83"/>
      <c r="H20" s="83"/>
      <c r="I20" s="83"/>
      <c r="J20" s="83"/>
      <c r="K20" s="83"/>
      <c r="L20" s="83"/>
      <c r="M20" s="83"/>
      <c r="N20" s="83"/>
      <c r="O20" s="83"/>
      <c r="P20" s="83">
        <f>$P$38*Product_lifespan!B26</f>
        <v>6983081.3347747587</v>
      </c>
      <c r="Q20" s="83">
        <f>$P$38*Product_lifespan!C26</f>
        <v>6459834.7141476925</v>
      </c>
      <c r="R20" s="83">
        <f>$P$38*Product_lifespan!D26</f>
        <v>5514507.978710263</v>
      </c>
      <c r="S20" s="83">
        <f>$P$38*Product_lifespan!E26</f>
        <v>4445016.983739987</v>
      </c>
      <c r="T20" s="83">
        <f>$P$38*Product_lifespan!F26</f>
        <v>3413523.8647160409</v>
      </c>
      <c r="U20" s="83">
        <f>$P$38*Product_lifespan!G26</f>
        <v>2510882.9343574853</v>
      </c>
      <c r="V20" s="83">
        <f>$P$38*Product_lifespan!H26</f>
        <v>1775659.6252115071</v>
      </c>
      <c r="W20" s="83">
        <f>$P$38*Product_lifespan!I26</f>
        <v>1210636.9650783327</v>
      </c>
      <c r="X20" s="83">
        <f>$P$38*Product_lifespan!J26</f>
        <v>797524.1146862926</v>
      </c>
      <c r="Y20" s="83">
        <f>$P$38*Product_lifespan!K26</f>
        <v>508544.33090219338</v>
      </c>
      <c r="Z20" s="83">
        <f>$P$38*Product_lifespan!L26</f>
        <v>314356.14011110051</v>
      </c>
      <c r="AA20" s="83">
        <f>$P$38*Product_lifespan!M26</f>
        <v>188617.25797032606</v>
      </c>
      <c r="AB20" s="83">
        <f>$P$38*Product_lifespan!N26</f>
        <v>109974.51897830257</v>
      </c>
    </row>
    <row r="21" spans="1:28">
      <c r="A21" s="1"/>
      <c r="B21" s="7">
        <v>2021</v>
      </c>
      <c r="C21" s="83"/>
      <c r="D21" s="83"/>
      <c r="E21" s="83"/>
      <c r="F21" s="83"/>
      <c r="G21" s="83"/>
      <c r="H21" s="83"/>
      <c r="I21" s="83"/>
      <c r="J21" s="83"/>
      <c r="K21" s="83"/>
      <c r="L21" s="83"/>
      <c r="M21" s="83"/>
      <c r="N21" s="83"/>
      <c r="O21" s="83"/>
      <c r="P21" s="83"/>
      <c r="Q21" s="83">
        <f>$Q$38*Product_lifespan!B40</f>
        <v>5375716.2433045208</v>
      </c>
      <c r="R21" s="83">
        <f>$Q$38*Product_lifespan!C40</f>
        <v>5161259.539780844</v>
      </c>
      <c r="S21" s="83">
        <f>$Q$38*Product_lifespan!D40</f>
        <v>4751586.7769212555</v>
      </c>
      <c r="T21" s="83">
        <f>$Q$38*Product_lifespan!E40</f>
        <v>4245185.3963934463</v>
      </c>
      <c r="U21" s="83">
        <f>$Q$38*Product_lifespan!F40</f>
        <v>3697929.0944999349</v>
      </c>
      <c r="V21" s="83">
        <f>$Q$38*Product_lifespan!G40</f>
        <v>3149509.3496234613</v>
      </c>
      <c r="W21" s="83">
        <f>$Q$38*Product_lifespan!H40</f>
        <v>2627811.2559486055</v>
      </c>
      <c r="X21" s="83">
        <f>$Q$38*Product_lifespan!I40</f>
        <v>2151025.1260045748</v>
      </c>
      <c r="Y21" s="83">
        <f>$Q$38*Product_lifespan!J40</f>
        <v>1729401.6972857486</v>
      </c>
      <c r="Z21" s="83">
        <f>$Q$38*Product_lifespan!K40</f>
        <v>1366950.4154064334</v>
      </c>
      <c r="AA21" s="83">
        <f>$Q$38*Product_lifespan!L40</f>
        <v>1063059.2377910011</v>
      </c>
      <c r="AB21" s="83">
        <f>$Q$38*Product_lifespan!M40</f>
        <v>813957.57847739407</v>
      </c>
    </row>
    <row r="22" spans="1:28">
      <c r="A22" s="1"/>
      <c r="B22" s="7">
        <v>2022</v>
      </c>
      <c r="C22" s="83"/>
      <c r="D22" s="83"/>
      <c r="E22" s="83"/>
      <c r="F22" s="83"/>
      <c r="G22" s="83"/>
      <c r="H22" s="83"/>
      <c r="I22" s="83"/>
      <c r="J22" s="83"/>
      <c r="K22" s="83"/>
      <c r="L22" s="83"/>
      <c r="M22" s="83"/>
      <c r="N22" s="83"/>
      <c r="O22" s="83"/>
      <c r="P22" s="83"/>
      <c r="Q22" s="83"/>
      <c r="R22" s="83">
        <f>$R$38*Product_lifespan!B40</f>
        <v>4958372.4127763733</v>
      </c>
      <c r="S22" s="83">
        <f>$R$38*Product_lifespan!C40</f>
        <v>4760565.0594192874</v>
      </c>
      <c r="T22" s="83">
        <f>$R$38*Product_lifespan!D40</f>
        <v>4382697.2491235221</v>
      </c>
      <c r="U22" s="83">
        <f>$R$38*Product_lifespan!E40</f>
        <v>3915610.3491911953</v>
      </c>
      <c r="V22" s="83">
        <f>$R$38*Product_lifespan!F40</f>
        <v>3410840.3004732258</v>
      </c>
      <c r="W22" s="83">
        <f>$R$38*Product_lifespan!G40</f>
        <v>2904997.1326899137</v>
      </c>
      <c r="X22" s="83">
        <f>$R$38*Product_lifespan!H40</f>
        <v>2423801.0802202048</v>
      </c>
      <c r="Y22" s="83">
        <f>$R$38*Product_lifespan!I40</f>
        <v>1984030.2503417919</v>
      </c>
      <c r="Z22" s="83">
        <f>$R$38*Product_lifespan!J40</f>
        <v>1595139.5643530323</v>
      </c>
      <c r="AA22" s="83">
        <f>$R$38*Product_lifespan!K40</f>
        <v>1260827.1944833966</v>
      </c>
      <c r="AB22" s="83">
        <f>$R$38*Product_lifespan!L40</f>
        <v>980528.61409399856</v>
      </c>
    </row>
    <row r="23" spans="1:28">
      <c r="A23" s="1"/>
      <c r="B23" s="7">
        <v>2023</v>
      </c>
      <c r="C23" s="83"/>
      <c r="D23" s="83"/>
      <c r="E23" s="83"/>
      <c r="F23" s="83"/>
      <c r="G23" s="83"/>
      <c r="H23" s="83"/>
      <c r="I23" s="83"/>
      <c r="J23" s="83"/>
      <c r="K23" s="83"/>
      <c r="L23" s="83"/>
      <c r="M23" s="83"/>
      <c r="N23" s="83"/>
      <c r="O23" s="83"/>
      <c r="P23" s="83"/>
      <c r="Q23" s="83"/>
      <c r="R23" s="83"/>
      <c r="S23" s="83">
        <f>$S$38*Product_lifespan!B40</f>
        <v>4466587.4127763696</v>
      </c>
      <c r="T23" s="83">
        <f>$S$38*Product_lifespan!C40</f>
        <v>4288399.1362397447</v>
      </c>
      <c r="U23" s="83">
        <f>$S$38*Product_lifespan!D40</f>
        <v>3948009.2936350456</v>
      </c>
      <c r="V23" s="83">
        <f>$S$38*Product_lifespan!E40</f>
        <v>3527249.3558508884</v>
      </c>
      <c r="W23" s="83">
        <f>$S$38*Product_lifespan!F40</f>
        <v>3072543.7875194922</v>
      </c>
      <c r="X23" s="83">
        <f>$S$38*Product_lifespan!G40</f>
        <v>2616871.5350202592</v>
      </c>
      <c r="Y23" s="83">
        <f>$S$38*Product_lifespan!H40</f>
        <v>2183401.8292150418</v>
      </c>
      <c r="Z23" s="83">
        <f>$S$38*Product_lifespan!I40</f>
        <v>1787248.6786005909</v>
      </c>
      <c r="AA23" s="83">
        <f>$S$38*Product_lifespan!J40</f>
        <v>1436929.2394016413</v>
      </c>
      <c r="AB23" s="83">
        <f>$S$38*Product_lifespan!K40</f>
        <v>1135774.8889644914</v>
      </c>
    </row>
    <row r="24" spans="1:28">
      <c r="A24" s="1"/>
      <c r="B24" s="7">
        <v>2024</v>
      </c>
      <c r="C24" s="83"/>
      <c r="D24" s="83"/>
      <c r="E24" s="83"/>
      <c r="F24" s="83"/>
      <c r="G24" s="83"/>
      <c r="H24" s="83"/>
      <c r="I24" s="83"/>
      <c r="J24" s="83"/>
      <c r="K24" s="83"/>
      <c r="L24" s="83"/>
      <c r="M24" s="83"/>
      <c r="N24" s="83"/>
      <c r="O24" s="83"/>
      <c r="P24" s="83"/>
      <c r="Q24" s="83"/>
      <c r="R24" s="83"/>
      <c r="S24" s="83"/>
      <c r="T24" s="83">
        <f>$T$38*Product_lifespan!B40</f>
        <v>4154746.4127763696</v>
      </c>
      <c r="U24" s="83">
        <f>$T$38*Product_lifespan!C40</f>
        <v>3988998.5980976084</v>
      </c>
      <c r="V24" s="83">
        <f>$T$38*Product_lifespan!D40</f>
        <v>3672373.5448271697</v>
      </c>
      <c r="W24" s="83">
        <f>$T$38*Product_lifespan!E40</f>
        <v>3280989.5461286851</v>
      </c>
      <c r="X24" s="83">
        <f>$T$38*Product_lifespan!F40</f>
        <v>2858029.8781973198</v>
      </c>
      <c r="Y24" s="83">
        <f>$T$38*Product_lifespan!G40</f>
        <v>2434171.0164950863</v>
      </c>
      <c r="Z24" s="83">
        <f>$T$38*Product_lifespan!H40</f>
        <v>2030964.5998715272</v>
      </c>
      <c r="AA24" s="83">
        <f>$T$38*Product_lifespan!I40</f>
        <v>1662469.4313414281</v>
      </c>
      <c r="AB24" s="83">
        <f>$T$38*Product_lifespan!J40</f>
        <v>1336608.0300455887</v>
      </c>
    </row>
    <row r="25" spans="1:28">
      <c r="A25" s="86"/>
      <c r="B25" s="7">
        <v>2025</v>
      </c>
      <c r="C25" s="83"/>
      <c r="D25" s="83"/>
      <c r="E25" s="83"/>
      <c r="F25" s="83"/>
      <c r="G25" s="83"/>
      <c r="H25" s="83"/>
      <c r="I25" s="83"/>
      <c r="J25" s="83"/>
      <c r="K25" s="83"/>
      <c r="L25" s="83"/>
      <c r="M25" s="83"/>
      <c r="N25" s="83"/>
      <c r="O25" s="83"/>
      <c r="P25" s="83"/>
      <c r="Q25" s="83"/>
      <c r="R25" s="83"/>
      <c r="S25" s="83"/>
      <c r="T25" s="83"/>
      <c r="U25" s="83">
        <f>$U$38*Product_lifespan!B40</f>
        <v>3882623.4127763696</v>
      </c>
      <c r="V25" s="83">
        <f>$U$38*Product_lifespan!C40</f>
        <v>3727731.5657290216</v>
      </c>
      <c r="W25" s="83">
        <f>$U$38*Product_lifespan!D40</f>
        <v>3431844.4711234379</v>
      </c>
      <c r="X25" s="83">
        <f>$U$38*Product_lifespan!E40</f>
        <v>3066094.9100768669</v>
      </c>
      <c r="Y25" s="83">
        <f>$U$38*Product_lifespan!F40</f>
        <v>2670837.7881691405</v>
      </c>
      <c r="Z25" s="83">
        <f>$U$38*Product_lifespan!G40</f>
        <v>2274740.366892803</v>
      </c>
      <c r="AA25" s="83">
        <f>$U$38*Product_lifespan!H40</f>
        <v>1897942.7196163803</v>
      </c>
      <c r="AB25" s="83">
        <f>$U$38*Product_lifespan!I40</f>
        <v>1553582.8413744092</v>
      </c>
    </row>
    <row r="26" spans="1:28">
      <c r="A26" s="1"/>
      <c r="B26" s="7">
        <v>2026</v>
      </c>
      <c r="C26" s="83"/>
      <c r="D26" s="83"/>
      <c r="E26" s="83"/>
      <c r="F26" s="83"/>
      <c r="G26" s="83"/>
      <c r="H26" s="83"/>
      <c r="I26" s="83"/>
      <c r="J26" s="83"/>
      <c r="K26" s="83"/>
      <c r="L26" s="83"/>
      <c r="M26" s="83"/>
      <c r="N26" s="83"/>
      <c r="O26" s="83"/>
      <c r="P26" s="83"/>
      <c r="Q26" s="83"/>
      <c r="R26" s="83"/>
      <c r="S26" s="83"/>
      <c r="T26" s="83"/>
      <c r="U26" s="83"/>
      <c r="V26" s="83">
        <f>$V$38*Product_lifespan!B40</f>
        <v>3674386.4127763696</v>
      </c>
      <c r="W26" s="83">
        <f>$V$38*Product_lifespan!C40</f>
        <v>3527801.8904743111</v>
      </c>
      <c r="X26" s="83">
        <f>$V$38*Product_lifespan!D40</f>
        <v>3247784.128113681</v>
      </c>
      <c r="Y26" s="83">
        <f>$V$38*Product_lifespan!E40</f>
        <v>2901650.8376260907</v>
      </c>
      <c r="Z26" s="83">
        <f>$V$38*Product_lifespan!F40</f>
        <v>2527592.5672536059</v>
      </c>
      <c r="AA26" s="83">
        <f>$V$38*Product_lifespan!G40</f>
        <v>2152739.0653444934</v>
      </c>
      <c r="AB26" s="83">
        <f>$V$38*Product_lifespan!H40</f>
        <v>1796150.2313713916</v>
      </c>
    </row>
    <row r="27" spans="1:28">
      <c r="A27" s="1"/>
      <c r="B27" s="7">
        <v>2027</v>
      </c>
      <c r="C27" s="83"/>
      <c r="D27" s="83"/>
      <c r="E27" s="83"/>
      <c r="F27" s="83"/>
      <c r="G27" s="83"/>
      <c r="H27" s="83"/>
      <c r="I27" s="83"/>
      <c r="J27" s="83"/>
      <c r="K27" s="83"/>
      <c r="L27" s="83"/>
      <c r="M27" s="83"/>
      <c r="N27" s="83"/>
      <c r="O27" s="83"/>
      <c r="P27" s="83"/>
      <c r="Q27" s="83"/>
      <c r="R27" s="83"/>
      <c r="S27" s="83"/>
      <c r="T27" s="83"/>
      <c r="U27" s="83"/>
      <c r="V27" s="83"/>
      <c r="W27" s="83">
        <f>$W$38*Product_lifespan!B40</f>
        <v>3532977.4127763696</v>
      </c>
      <c r="X27" s="83">
        <f>$W$38*Product_lifespan!C40</f>
        <v>3392034.2053458598</v>
      </c>
      <c r="Y27" s="83">
        <f>$W$38*Product_lifespan!D40</f>
        <v>3122792.9447761057</v>
      </c>
      <c r="Z27" s="83">
        <f>$W$38*Product_lifespan!E40</f>
        <v>2789980.6164781116</v>
      </c>
      <c r="AA27" s="83">
        <f>$W$38*Product_lifespan!F40</f>
        <v>2430318.0029617422</v>
      </c>
      <c r="AB27" s="83">
        <f>$W$38*Product_lifespan!G40</f>
        <v>2069890.7624461378</v>
      </c>
    </row>
    <row r="28" spans="1:28">
      <c r="A28" s="1"/>
      <c r="B28" s="7">
        <v>2028</v>
      </c>
      <c r="C28" s="83"/>
      <c r="D28" s="83"/>
      <c r="E28" s="83"/>
      <c r="F28" s="83"/>
      <c r="G28" s="83"/>
      <c r="H28" s="83"/>
      <c r="I28" s="83"/>
      <c r="J28" s="83"/>
      <c r="K28" s="83"/>
      <c r="L28" s="83"/>
      <c r="M28" s="83"/>
      <c r="N28" s="83"/>
      <c r="O28" s="83"/>
      <c r="P28" s="83"/>
      <c r="Q28" s="83"/>
      <c r="R28" s="83"/>
      <c r="S28" s="83"/>
      <c r="T28" s="83"/>
      <c r="U28" s="83"/>
      <c r="V28" s="83"/>
      <c r="W28" s="83"/>
      <c r="X28" s="83">
        <f>$X$38*Product_lifespan!B40</f>
        <v>3449174.4127763696</v>
      </c>
      <c r="Y28" s="83">
        <f>$X$38*Product_lifespan!C40</f>
        <v>3311574.4091743319</v>
      </c>
      <c r="Z28" s="83">
        <f>$X$38*Product_lifespan!D40</f>
        <v>3048719.6104251174</v>
      </c>
      <c r="AA28" s="83">
        <f>$X$38*Product_lifespan!E40</f>
        <v>2723801.6636330723</v>
      </c>
      <c r="AB28" s="83">
        <f>$X$38*Product_lifespan!F40</f>
        <v>2372670.3262838009</v>
      </c>
    </row>
    <row r="29" spans="1:28">
      <c r="A29" s="1"/>
      <c r="B29" s="7">
        <v>2029</v>
      </c>
      <c r="C29" s="83"/>
      <c r="D29" s="83"/>
      <c r="E29" s="83"/>
      <c r="F29" s="83"/>
      <c r="G29" s="83"/>
      <c r="H29" s="83"/>
      <c r="I29" s="83"/>
      <c r="J29" s="83"/>
      <c r="K29" s="83"/>
      <c r="L29" s="83"/>
      <c r="M29" s="83"/>
      <c r="N29" s="83"/>
      <c r="O29" s="83"/>
      <c r="P29" s="83"/>
      <c r="Q29" s="83"/>
      <c r="R29" s="83"/>
      <c r="S29" s="83"/>
      <c r="T29" s="83"/>
      <c r="U29" s="83"/>
      <c r="V29" s="83"/>
      <c r="W29" s="83"/>
      <c r="X29" s="83"/>
      <c r="Y29" s="83">
        <f>$Y$38*Product_lifespan!B40</f>
        <v>3408550.4127763696</v>
      </c>
      <c r="Z29" s="83">
        <f>$Y$38*Product_lifespan!C40</f>
        <v>3272571.0470074387</v>
      </c>
      <c r="AA29" s="83">
        <f>$Y$38*Product_lifespan!D40</f>
        <v>3012812.123405864</v>
      </c>
      <c r="AB29" s="83">
        <f>$Y$38*Product_lifespan!E40</f>
        <v>2691721.024749299</v>
      </c>
    </row>
    <row r="30" spans="1:28">
      <c r="A30" s="1"/>
      <c r="B30" s="7">
        <v>2030</v>
      </c>
      <c r="C30" s="83"/>
      <c r="D30" s="83"/>
      <c r="E30" s="83"/>
      <c r="F30" s="83"/>
      <c r="G30" s="83"/>
      <c r="H30" s="83"/>
      <c r="I30" s="83"/>
      <c r="J30" s="83"/>
      <c r="K30" s="83"/>
      <c r="L30" s="83"/>
      <c r="M30" s="83"/>
      <c r="N30" s="83"/>
      <c r="O30" s="83"/>
      <c r="P30" s="83"/>
      <c r="Q30" s="83"/>
      <c r="R30" s="83"/>
      <c r="S30" s="83"/>
      <c r="T30" s="83"/>
      <c r="U30" s="83"/>
      <c r="V30" s="83"/>
      <c r="W30" s="83"/>
      <c r="X30" s="83"/>
      <c r="Y30" s="83"/>
      <c r="Z30" s="83">
        <f>$Z$38*Product_lifespan!B40</f>
        <v>3396327.4127763696</v>
      </c>
      <c r="AA30" s="83">
        <f>$Z$38*Product_lifespan!C40</f>
        <v>3260835.6665484505</v>
      </c>
      <c r="AB30" s="83">
        <f>$Z$38*Product_lifespan!D40</f>
        <v>3002008.2337387623</v>
      </c>
    </row>
    <row r="31" spans="1:28">
      <c r="A31" s="1"/>
      <c r="B31" s="7">
        <v>2031</v>
      </c>
      <c r="C31" s="83"/>
      <c r="D31" s="83"/>
      <c r="E31" s="83"/>
      <c r="F31" s="83"/>
      <c r="G31" s="83"/>
      <c r="H31" s="83"/>
      <c r="I31" s="83"/>
      <c r="J31" s="83"/>
      <c r="K31" s="83"/>
      <c r="L31" s="83"/>
      <c r="M31" s="83"/>
      <c r="N31" s="83"/>
      <c r="O31" s="83"/>
      <c r="P31" s="83"/>
      <c r="Q31" s="83"/>
      <c r="R31" s="83"/>
      <c r="S31" s="83"/>
      <c r="T31" s="83"/>
      <c r="U31" s="83"/>
      <c r="V31" s="83"/>
      <c r="W31" s="83"/>
      <c r="X31" s="83"/>
      <c r="Y31" s="83"/>
      <c r="Z31" s="83"/>
      <c r="AA31" s="83">
        <f>$AA$38*Product_lifespan!B40</f>
        <v>3400105.4127763696</v>
      </c>
      <c r="AB31" s="83">
        <f>$AA$38*Product_lifespan!C40</f>
        <v>3264462.9485065667</v>
      </c>
    </row>
    <row r="32" spans="1:28">
      <c r="A32" s="1"/>
      <c r="B32" s="7">
        <v>2032</v>
      </c>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f>$AB$38*Product_lifespan!B40</f>
        <v>3410897.4127763696</v>
      </c>
    </row>
    <row r="33" spans="1:32">
      <c r="A33" s="1"/>
      <c r="G33" s="84"/>
      <c r="H33" s="84"/>
      <c r="I33" s="84"/>
      <c r="J33" s="84"/>
      <c r="K33" s="84"/>
      <c r="L33" s="84"/>
      <c r="M33" s="84"/>
      <c r="N33" s="84"/>
      <c r="O33" s="84"/>
      <c r="P33" s="84"/>
      <c r="Q33" s="84"/>
      <c r="R33" s="84"/>
      <c r="S33" s="84"/>
      <c r="T33" s="84"/>
      <c r="U33" s="84"/>
      <c r="V33" s="84"/>
      <c r="W33" s="84"/>
      <c r="X33" s="84"/>
      <c r="Y33" s="84"/>
      <c r="Z33" s="84"/>
      <c r="AA33" s="84"/>
      <c r="AB33" s="84"/>
    </row>
    <row r="34" spans="1:32" ht="21">
      <c r="B34" s="52" t="s">
        <v>6927</v>
      </c>
      <c r="G34" s="85"/>
      <c r="H34" s="85"/>
      <c r="I34" s="85"/>
      <c r="J34" s="85"/>
      <c r="K34" s="85"/>
      <c r="L34" s="85"/>
      <c r="M34" s="85"/>
      <c r="N34" s="85"/>
      <c r="O34" s="85"/>
      <c r="P34" s="85"/>
      <c r="Q34" s="85"/>
      <c r="R34" s="85"/>
      <c r="S34" s="85"/>
      <c r="T34" s="85"/>
      <c r="U34" s="85"/>
      <c r="V34" s="85"/>
      <c r="W34" s="85"/>
      <c r="X34" s="85"/>
      <c r="Y34" s="85"/>
      <c r="Z34" s="85"/>
      <c r="AA34" s="85"/>
      <c r="AB34" s="85"/>
    </row>
    <row r="35" spans="1:32" ht="19">
      <c r="B35" s="166" t="s">
        <v>7656</v>
      </c>
      <c r="C35" s="167" t="e">
        <f>(VLOOKUP(C2,Inflows!$E$214:$H$227,4,FALSE ))</f>
        <v>#N/A</v>
      </c>
      <c r="D35" s="167">
        <f>(VLOOKUP(D2,Inflows!$E$214:$H$227,4,FALSE ))</f>
        <v>7354.3818181818178</v>
      </c>
      <c r="E35" s="167">
        <f>(VLOOKUP(E2,Inflows!$E$214:$H$227,4,FALSE ))</f>
        <v>6644.5590909090906</v>
      </c>
      <c r="F35" s="167">
        <f>(VLOOKUP(F2,Inflows!$E$214:$H$227,4,FALSE ))</f>
        <v>6853.3</v>
      </c>
      <c r="G35" s="167">
        <f>(VLOOKUP(G2,Inflows!$E$214:$H$227,4,FALSE ))</f>
        <v>21387.200000000001</v>
      </c>
      <c r="H35" s="167">
        <f>(VLOOKUP(H2,Inflows!$E$214:$H$227,4,FALSE ))</f>
        <v>40792.355491329479</v>
      </c>
      <c r="I35" s="167">
        <f>(VLOOKUP(I2,Inflows!$E$214:$H$227,4,FALSE ))</f>
        <v>57052.19910179641</v>
      </c>
      <c r="J35" s="167">
        <f>(VLOOKUP(J2,Inflows!$E$214:$H$227,4,FALSE ))</f>
        <v>53587.955883080278</v>
      </c>
      <c r="K35" s="167">
        <f>(VLOOKUP(K2,Inflows!$E$214:$H$227,4,FALSE ))</f>
        <v>57816.825653462671</v>
      </c>
      <c r="L35" s="167">
        <f>(VLOOKUP(L2,Inflows!$E$214:$H$227,4,FALSE ))</f>
        <v>53836.192041000897</v>
      </c>
      <c r="M35" s="167">
        <f>(VLOOKUP(M2,Inflows!$E$214:$H$227,4,FALSE ))</f>
        <v>68177.300952966485</v>
      </c>
      <c r="N35" s="167">
        <f>(VLOOKUP(N2,Inflows!$E$214:$H$227,4,FALSE ))</f>
        <v>73028.202495201534</v>
      </c>
      <c r="O35" s="167">
        <f>(VLOOKUP(O2,Inflows!$E$214:$H$227,4,FALSE ))</f>
        <v>73463.018867924533</v>
      </c>
      <c r="P35" s="167">
        <f>(VLOOKUP(P2,Inflows!$E$214:$H$227,4,FALSE ))</f>
        <v>111617.55310880829</v>
      </c>
      <c r="Q35" s="167">
        <f>(VLOOKUP(Q2,Inflows!$E$214:$H$227,4,FALSE ))</f>
        <v>80337.843227137288</v>
      </c>
      <c r="R35" s="167">
        <v>80337.843227137288</v>
      </c>
      <c r="S35" s="167" t="e">
        <f>(VLOOKUP(S2,Inflows!$E$214:$H$227,4,FALSE ))</f>
        <v>#N/A</v>
      </c>
      <c r="T35" s="167" t="e">
        <f>(VLOOKUP(T2,Inflows!$E$214:$H$227,4,FALSE ))</f>
        <v>#N/A</v>
      </c>
      <c r="U35" s="167" t="e">
        <f>(VLOOKUP(U2,Inflows!$E$214:$H$227,4,FALSE ))</f>
        <v>#N/A</v>
      </c>
      <c r="V35" s="167" t="e">
        <f>(VLOOKUP(V2,Inflows!$E$214:$H$227,4,FALSE ))</f>
        <v>#N/A</v>
      </c>
      <c r="W35" s="167" t="e">
        <f>(VLOOKUP(W2,Inflows!$E$214:$H$227,4,FALSE ))</f>
        <v>#N/A</v>
      </c>
      <c r="X35" s="167" t="e">
        <f>(VLOOKUP(X2,Inflows!$E$214:$H$227,4,FALSE ))</f>
        <v>#N/A</v>
      </c>
      <c r="Y35" s="167" t="e">
        <f>(VLOOKUP(Y2,Inflows!$E$214:$H$227,4,FALSE ))</f>
        <v>#N/A</v>
      </c>
      <c r="Z35" s="167" t="e">
        <f>(VLOOKUP(Z2,Inflows!$E$214:$H$227,4,FALSE ))</f>
        <v>#N/A</v>
      </c>
      <c r="AA35" s="167" t="e">
        <f>(VLOOKUP(AA2,Inflows!$E$214:$H$227,4,FALSE ))</f>
        <v>#N/A</v>
      </c>
      <c r="AB35" s="167" t="e">
        <f>(VLOOKUP(AB2,Inflows!$E$214:$H$227,4,FALSE ))</f>
        <v>#N/A</v>
      </c>
    </row>
    <row r="36" spans="1:32" ht="19">
      <c r="B36" s="166" t="s">
        <v>214</v>
      </c>
      <c r="C36" s="167">
        <f>(VLOOKUP(C2,Inflows!$E$228:$H$251,4,FALSE ))</f>
        <v>357658.51989389921</v>
      </c>
      <c r="D36" s="167">
        <f>(VLOOKUP(D2,Inflows!$E$228:$H$251,4,FALSE ))</f>
        <v>541594.3448275862</v>
      </c>
      <c r="E36" s="167">
        <f>(VLOOKUP(E2,Inflows!$E$228:$H$251,4,FALSE ))</f>
        <v>520505.10079575598</v>
      </c>
      <c r="F36" s="167">
        <f>(VLOOKUP(F2,Inflows!$E$228:$H$251,4,FALSE ))</f>
        <v>619382.20954907162</v>
      </c>
      <c r="G36" s="167">
        <f>(VLOOKUP(G2,Inflows!$E$228:$H$251,4,FALSE ))</f>
        <v>2188470.0909090908</v>
      </c>
      <c r="H36" s="167">
        <f>(VLOOKUP(H2,Inflows!$E$228:$H$251,4,FALSE ))</f>
        <v>5259366.3259109315</v>
      </c>
      <c r="I36" s="167">
        <f>(VLOOKUP(I2,Inflows!$E$228:$H$251,4,FALSE ))</f>
        <v>8229972.7982062781</v>
      </c>
      <c r="J36" s="167">
        <f>(VLOOKUP(J2,Inflows!$E$228:$H$251,4,FALSE ))</f>
        <v>8358966.1613065042</v>
      </c>
      <c r="K36" s="167">
        <f>(VLOOKUP(K2,Inflows!$E$228:$H$251,4,FALSE ))</f>
        <v>7885826.2842995673</v>
      </c>
      <c r="L36" s="167">
        <f>(VLOOKUP(L2,Inflows!$E$228:$H$251,4,FALSE ))</f>
        <v>7430381.6400000006</v>
      </c>
      <c r="M36" s="167">
        <f>(VLOOKUP(M2,Inflows!$E$228:$H$251,4,FALSE ))</f>
        <v>6682216.589222406</v>
      </c>
      <c r="N36" s="167">
        <f>(VLOOKUP(N2,Inflows!$E$228:$H$251,4,FALSE ))</f>
        <v>6472267.345945945</v>
      </c>
      <c r="O36" s="167">
        <f>(VLOOKUP(O2,Inflows!$E$228:$H$251,4,FALSE ))</f>
        <v>7330820.9587378642</v>
      </c>
      <c r="P36" s="167">
        <f>(VLOOKUP(P2,Inflows!$E$228:$H$251,4,FALSE ))</f>
        <v>8116710.3896522103</v>
      </c>
      <c r="Q36" s="167">
        <f>(VLOOKUP(Q2,Inflows!$E$228:$H$251,4,FALSE ))</f>
        <v>6587362.3428129228</v>
      </c>
      <c r="R36" s="167">
        <f>(VLOOKUP(R2,Inflows!$E$228:$H$251,4,FALSE ))</f>
        <v>6163967.448249178</v>
      </c>
      <c r="S36" s="167">
        <f>(VLOOKUP(S2,Inflows!$E$228:$H$251,4,FALSE ))</f>
        <v>560906.79048171791</v>
      </c>
      <c r="T36" s="167" t="e">
        <f>(VLOOKUP(T2,Inflows!$E$228:$H$251,4,FALSE ))</f>
        <v>#N/A</v>
      </c>
      <c r="U36" s="167" t="e">
        <f>(VLOOKUP(U2,Inflows!$E$228:$H$251,4,FALSE ))</f>
        <v>#N/A</v>
      </c>
      <c r="V36" s="167" t="e">
        <f>(VLOOKUP(V2,Inflows!$E$228:$H$251,4,FALSE ))</f>
        <v>#N/A</v>
      </c>
      <c r="W36" s="167" t="e">
        <f>(VLOOKUP(W2,Inflows!$E$228:$H$251,4,FALSE ))</f>
        <v>#N/A</v>
      </c>
      <c r="X36" s="167" t="e">
        <f>(VLOOKUP(X2,Inflows!$E$228:$H$251,4,FALSE ))</f>
        <v>#N/A</v>
      </c>
      <c r="Y36" s="167" t="e">
        <f>(VLOOKUP(Y2,Inflows!$E$228:$H$251,4,FALSE ))</f>
        <v>#N/A</v>
      </c>
      <c r="Z36" s="167" t="e">
        <f>(VLOOKUP(Z2,Inflows!$E$228:$H$251,4,FALSE ))</f>
        <v>#N/A</v>
      </c>
      <c r="AA36" s="167" t="e">
        <f>(VLOOKUP(AA2,Inflows!$E$228:$H$251,4,FALSE ))</f>
        <v>#N/A</v>
      </c>
      <c r="AB36" s="167" t="e">
        <f>(VLOOKUP(AB2,Inflows!$E$228:$H$251,4,FALSE ))</f>
        <v>#N/A</v>
      </c>
    </row>
    <row r="37" spans="1:32" ht="19">
      <c r="B37" s="166" t="s">
        <v>7856</v>
      </c>
      <c r="C37" s="7">
        <f>(VLOOKUP(C2,Inflows!$E$252:$H$275,4,FALSE ))</f>
        <v>75665.206896551725</v>
      </c>
      <c r="D37" s="7">
        <f>(VLOOKUP(D2,Inflows!$E$252:$H$275,4,FALSE ))</f>
        <v>97916.575596816983</v>
      </c>
      <c r="E37" s="7">
        <f>(VLOOKUP(E2,Inflows!$E$252:$H$275,4,FALSE ))</f>
        <v>98243.909814323619</v>
      </c>
      <c r="F37" s="7">
        <f>(VLOOKUP(F2,Inflows!$E$252:$H$275,4,FALSE ))</f>
        <v>130858.24137931035</v>
      </c>
      <c r="G37" s="7">
        <f>(VLOOKUP(G2,Inflows!$E$252:$H$275,4,FALSE ))</f>
        <v>420511.45454545453</v>
      </c>
      <c r="H37" s="7">
        <f>(VLOOKUP(H2,Inflows!$E$252:$H$275,4,FALSE ))</f>
        <v>1062112.3785425101</v>
      </c>
      <c r="I37" s="7">
        <f>(VLOOKUP(I2,Inflows!$E$252:$H$275,4,FALSE ))</f>
        <v>1359524.3542600896</v>
      </c>
      <c r="J37" s="7">
        <f>(VLOOKUP(J2,Inflows!$E$252:$H$275,4,FALSE ))</f>
        <v>1253823.7623320883</v>
      </c>
      <c r="K37" s="7">
        <f>(VLOOKUP(K2,Inflows!$E$252:$H$275,4,FALSE ))</f>
        <v>1309452.0486899114</v>
      </c>
      <c r="L37" s="7">
        <f>(VLOOKUP(L2,Inflows!$E$252:$H$275,4,FALSE ))</f>
        <v>1284438.6613793105</v>
      </c>
      <c r="M37" s="7">
        <f>(VLOOKUP(M2,Inflows!$E$252:$H$275,4,FALSE ))</f>
        <v>1620940.6856535098</v>
      </c>
      <c r="N37" s="7">
        <f>(VLOOKUP(N2,Inflows!$E$252:$H$275,4,FALSE ))</f>
        <v>1309693.8891891891</v>
      </c>
      <c r="O37" s="7">
        <f>(VLOOKUP(O2,Inflows!$E$252:$H$275,4,FALSE ))</f>
        <v>1235000.1941747572</v>
      </c>
      <c r="P37" s="7">
        <f>(VLOOKUP(P2,Inflows!$E$252:$H$275,4,FALSE ))</f>
        <v>1245246.6079862602</v>
      </c>
      <c r="Q37" s="7">
        <f>(VLOOKUP(Q2,Inflows!$E$252:$H$275,4,FALSE ))</f>
        <v>1291983.9427355388</v>
      </c>
      <c r="R37" s="7">
        <f>(VLOOKUP(R2,Inflows!$E$252:$H$275,4,FALSE ))</f>
        <v>1285932.878699942</v>
      </c>
      <c r="S37" s="7">
        <f>(VLOOKUP(S2,Inflows!$E$252:$H$275,4,FALSE ))</f>
        <v>61438.202747146453</v>
      </c>
      <c r="T37" s="7" t="e">
        <f>(VLOOKUP(T2,Inflows!$E$252:$H$275,4,FALSE ))</f>
        <v>#N/A</v>
      </c>
      <c r="U37" s="7" t="e">
        <f>(VLOOKUP(U2,Inflows!$E$252:$H$275,4,FALSE ))</f>
        <v>#N/A</v>
      </c>
      <c r="V37" s="7" t="e">
        <f>(VLOOKUP(V2,Inflows!$E$252:$H$275,4,FALSE ))</f>
        <v>#N/A</v>
      </c>
      <c r="W37" s="7" t="e">
        <f>(VLOOKUP(W2,Inflows!$E$252:$H$275,4,FALSE ))</f>
        <v>#N/A</v>
      </c>
      <c r="X37" s="7" t="e">
        <f>(VLOOKUP(X2,Inflows!$E$252:$H$275,4,FALSE ))</f>
        <v>#N/A</v>
      </c>
      <c r="Y37" s="7" t="e">
        <f>(VLOOKUP(Y2,Inflows!$E$252:$H$275,4,FALSE ))</f>
        <v>#N/A</v>
      </c>
      <c r="Z37" s="7" t="e">
        <f>(VLOOKUP(Z2,Inflows!$E$252:$H$275,4,FALSE ))</f>
        <v>#N/A</v>
      </c>
      <c r="AA37" s="7" t="e">
        <f>(VLOOKUP(AA2,Inflows!$E$252:$H$275,4,FALSE ))</f>
        <v>#N/A</v>
      </c>
      <c r="AB37" s="7" t="e">
        <f>(VLOOKUP(AB2,Inflows!$E$252:$H$275,4,FALSE ))</f>
        <v>#N/A</v>
      </c>
    </row>
    <row r="38" spans="1:32">
      <c r="A38" s="1"/>
      <c r="B38" s="7" t="s">
        <v>7877</v>
      </c>
      <c r="C38" s="374">
        <f>C36-C37</f>
        <v>281993.3129973475</v>
      </c>
      <c r="D38" s="374">
        <f>D35+D36-D37</f>
        <v>451032.15104895108</v>
      </c>
      <c r="E38" s="374">
        <f t="shared" ref="E38:R38" si="1">E35+E36-E37</f>
        <v>428905.75007234141</v>
      </c>
      <c r="F38" s="374">
        <f t="shared" si="1"/>
        <v>495377.26816976129</v>
      </c>
      <c r="G38" s="374">
        <f t="shared" si="1"/>
        <v>1789345.8363636364</v>
      </c>
      <c r="H38" s="374">
        <f t="shared" si="1"/>
        <v>4238046.3028597515</v>
      </c>
      <c r="I38" s="374">
        <f t="shared" si="1"/>
        <v>6927500.6430479847</v>
      </c>
      <c r="J38" s="374">
        <f t="shared" si="1"/>
        <v>7158730.354857496</v>
      </c>
      <c r="K38" s="374">
        <f t="shared" si="1"/>
        <v>6634191.0612631189</v>
      </c>
      <c r="L38" s="374">
        <f t="shared" si="1"/>
        <v>6199779.1706616916</v>
      </c>
      <c r="M38" s="374">
        <f t="shared" si="1"/>
        <v>5129453.2045218628</v>
      </c>
      <c r="N38" s="374">
        <f t="shared" si="1"/>
        <v>5235601.6592519572</v>
      </c>
      <c r="O38" s="374">
        <f t="shared" si="1"/>
        <v>6169283.7834310317</v>
      </c>
      <c r="P38" s="374">
        <f t="shared" si="1"/>
        <v>6983081.3347747587</v>
      </c>
      <c r="Q38" s="374">
        <f t="shared" si="1"/>
        <v>5375716.2433045208</v>
      </c>
      <c r="R38" s="374">
        <f t="shared" si="1"/>
        <v>4958372.4127763733</v>
      </c>
      <c r="S38" s="379">
        <v>4466587.4127763696</v>
      </c>
      <c r="T38" s="379">
        <v>4154746.4127763696</v>
      </c>
      <c r="U38" s="379">
        <v>3882623.4127763696</v>
      </c>
      <c r="V38" s="379">
        <v>3674386.4127763696</v>
      </c>
      <c r="W38" s="379">
        <v>3532977.4127763696</v>
      </c>
      <c r="X38" s="379">
        <v>3449174.4127763696</v>
      </c>
      <c r="Y38" s="379">
        <v>3408550.4127763696</v>
      </c>
      <c r="Z38" s="379">
        <v>3396327.4127763696</v>
      </c>
      <c r="AA38" s="379">
        <v>3400105.4127763696</v>
      </c>
      <c r="AB38" s="379">
        <v>3410897.4127763696</v>
      </c>
    </row>
    <row r="39" spans="1:32">
      <c r="H39" s="87"/>
      <c r="I39" s="87"/>
      <c r="J39" s="87"/>
      <c r="K39" s="87"/>
      <c r="L39" s="87"/>
      <c r="M39" s="87"/>
      <c r="N39" s="87"/>
      <c r="O39" s="87"/>
      <c r="P39" s="87"/>
      <c r="Q39" s="87"/>
      <c r="R39" s="87"/>
      <c r="S39" s="87"/>
      <c r="T39" s="87"/>
      <c r="U39" s="87"/>
      <c r="V39" s="87"/>
      <c r="W39" s="87"/>
      <c r="X39" s="87"/>
      <c r="Y39" s="87"/>
      <c r="Z39" s="87"/>
      <c r="AA39" s="87"/>
      <c r="AB39" s="87"/>
    </row>
    <row r="40" spans="1:32" ht="21">
      <c r="B40" s="52" t="s">
        <v>6926</v>
      </c>
      <c r="K40" s="86"/>
      <c r="L40" s="86"/>
    </row>
    <row r="41" spans="1:32">
      <c r="A41" s="1" t="s">
        <v>7762</v>
      </c>
      <c r="B41" s="7">
        <v>2007</v>
      </c>
      <c r="C41" s="50"/>
      <c r="D41" s="50">
        <f t="shared" ref="D41:AB41" si="2">C7-D7</f>
        <v>21129.934049386502</v>
      </c>
      <c r="E41" s="50">
        <f t="shared" si="2"/>
        <v>38174.525715955475</v>
      </c>
      <c r="F41" s="50">
        <f t="shared" si="2"/>
        <v>43188.571696942119</v>
      </c>
      <c r="G41" s="50">
        <f t="shared" si="2"/>
        <v>41654.127744297846</v>
      </c>
      <c r="H41" s="50">
        <f t="shared" si="2"/>
        <v>36450.772115634725</v>
      </c>
      <c r="I41" s="50">
        <f t="shared" si="2"/>
        <v>29690.053258650019</v>
      </c>
      <c r="J41" s="50">
        <f t="shared" si="2"/>
        <v>22816.949167708277</v>
      </c>
      <c r="K41" s="50">
        <f t="shared" si="2"/>
        <v>16682.472355534515</v>
      </c>
      <c r="L41" s="50">
        <f t="shared" si="2"/>
        <v>11669.686018509445</v>
      </c>
      <c r="M41" s="50">
        <f t="shared" si="2"/>
        <v>7841.7776681828655</v>
      </c>
      <c r="N41" s="50">
        <f t="shared" si="2"/>
        <v>5077.6329599494338</v>
      </c>
      <c r="O41" s="50">
        <f t="shared" si="2"/>
        <v>3175.7794945204805</v>
      </c>
      <c r="P41" s="50">
        <f t="shared" si="2"/>
        <v>1922.3556127417964</v>
      </c>
      <c r="Q41" s="50">
        <f t="shared" si="2"/>
        <v>1128.0257718239454</v>
      </c>
      <c r="R41" s="50">
        <f t="shared" si="2"/>
        <v>642.54749793735562</v>
      </c>
      <c r="S41" s="50">
        <f t="shared" si="2"/>
        <v>355.71954548644965</v>
      </c>
      <c r="T41" s="50">
        <f t="shared" si="2"/>
        <v>191.59134826281368</v>
      </c>
      <c r="U41" s="50">
        <f t="shared" si="2"/>
        <v>100.48613104440815</v>
      </c>
      <c r="V41" s="50">
        <f t="shared" si="2"/>
        <v>51.36313426599849</v>
      </c>
      <c r="W41" s="50">
        <f t="shared" si="2"/>
        <v>25.605265198557053</v>
      </c>
      <c r="X41" s="50">
        <f t="shared" si="2"/>
        <v>12.45737385128229</v>
      </c>
      <c r="Y41" s="50">
        <f t="shared" si="2"/>
        <v>5.9184053243375283</v>
      </c>
      <c r="Z41" s="50">
        <f t="shared" si="2"/>
        <v>2.7472837423683942</v>
      </c>
      <c r="AA41" s="50">
        <f t="shared" si="2"/>
        <v>1.2466473056422522</v>
      </c>
      <c r="AB41" s="50">
        <f t="shared" si="2"/>
        <v>0.55325980384129414</v>
      </c>
    </row>
    <row r="42" spans="1:32">
      <c r="B42" s="7">
        <v>2008</v>
      </c>
      <c r="C42" s="8"/>
      <c r="D42" s="50"/>
      <c r="E42" s="50">
        <f t="shared" ref="E42:AB42" si="3">D8-E8</f>
        <v>33796.119150906685</v>
      </c>
      <c r="F42" s="50">
        <f t="shared" si="3"/>
        <v>61057.967176345235</v>
      </c>
      <c r="G42" s="50">
        <f t="shared" si="3"/>
        <v>69077.646509252081</v>
      </c>
      <c r="H42" s="50">
        <f t="shared" si="3"/>
        <v>66623.391302740463</v>
      </c>
      <c r="I42" s="50">
        <f t="shared" si="3"/>
        <v>58300.922032376344</v>
      </c>
      <c r="J42" s="50">
        <f t="shared" si="3"/>
        <v>47487.539486912559</v>
      </c>
      <c r="K42" s="50">
        <f t="shared" si="3"/>
        <v>36494.403197365333</v>
      </c>
      <c r="L42" s="50">
        <f t="shared" si="3"/>
        <v>26682.658930292317</v>
      </c>
      <c r="M42" s="50">
        <f t="shared" si="3"/>
        <v>18664.994325747342</v>
      </c>
      <c r="N42" s="50">
        <f t="shared" si="3"/>
        <v>12542.474188958568</v>
      </c>
      <c r="O42" s="50">
        <f t="shared" si="3"/>
        <v>8121.3830633799007</v>
      </c>
      <c r="P42" s="50">
        <f t="shared" si="3"/>
        <v>5079.4773870549043</v>
      </c>
      <c r="Q42" s="50">
        <f t="shared" si="3"/>
        <v>3074.6976865515694</v>
      </c>
      <c r="R42" s="50">
        <f t="shared" si="3"/>
        <v>1804.2126066627443</v>
      </c>
      <c r="S42" s="50">
        <f t="shared" si="3"/>
        <v>1027.7179166604315</v>
      </c>
      <c r="T42" s="50">
        <f t="shared" si="3"/>
        <v>568.95303674246259</v>
      </c>
      <c r="U42" s="50">
        <f t="shared" si="3"/>
        <v>306.43938684517099</v>
      </c>
      <c r="V42" s="50">
        <f t="shared" si="3"/>
        <v>160.7218105770207</v>
      </c>
      <c r="W42" s="50">
        <f t="shared" si="3"/>
        <v>82.15239108463291</v>
      </c>
      <c r="X42" s="50">
        <f t="shared" si="3"/>
        <v>40.954154968889867</v>
      </c>
      <c r="Y42" s="50">
        <f t="shared" si="3"/>
        <v>19.92485589407454</v>
      </c>
      <c r="Z42" s="50">
        <f t="shared" si="3"/>
        <v>9.4661502992470954</v>
      </c>
      <c r="AA42" s="50">
        <f t="shared" si="3"/>
        <v>4.3941229765043559</v>
      </c>
      <c r="AB42" s="50">
        <f t="shared" si="3"/>
        <v>1.9939409551477318</v>
      </c>
    </row>
    <row r="43" spans="1:32">
      <c r="B43" s="7">
        <v>2009</v>
      </c>
      <c r="C43" s="8"/>
      <c r="D43" s="8"/>
      <c r="E43" s="50"/>
      <c r="F43" s="50">
        <f t="shared" ref="F43:AB43" si="4">E9-F9</f>
        <v>32138.174186125048</v>
      </c>
      <c r="G43" s="50">
        <f t="shared" si="4"/>
        <v>58062.630676677683</v>
      </c>
      <c r="H43" s="50">
        <f t="shared" si="4"/>
        <v>65688.886524781876</v>
      </c>
      <c r="I43" s="50">
        <f t="shared" si="4"/>
        <v>63355.030351181573</v>
      </c>
      <c r="J43" s="50">
        <f t="shared" si="4"/>
        <v>55440.838609954371</v>
      </c>
      <c r="K43" s="50">
        <f t="shared" si="4"/>
        <v>45157.930970898</v>
      </c>
      <c r="L43" s="50">
        <f t="shared" si="4"/>
        <v>34704.087813708044</v>
      </c>
      <c r="M43" s="50">
        <f t="shared" si="4"/>
        <v>25373.680824761024</v>
      </c>
      <c r="N43" s="50">
        <f t="shared" si="4"/>
        <v>17749.340867967992</v>
      </c>
      <c r="O43" s="50">
        <f t="shared" si="4"/>
        <v>11927.174786248015</v>
      </c>
      <c r="P43" s="50">
        <f t="shared" si="4"/>
        <v>7722.9702723469891</v>
      </c>
      <c r="Q43" s="50">
        <f t="shared" si="4"/>
        <v>4830.2921501350647</v>
      </c>
      <c r="R43" s="50">
        <f t="shared" si="4"/>
        <v>2923.8614463051158</v>
      </c>
      <c r="S43" s="50">
        <f t="shared" si="4"/>
        <v>1715.7028818255421</v>
      </c>
      <c r="T43" s="50">
        <f t="shared" si="4"/>
        <v>977.3008928141503</v>
      </c>
      <c r="U43" s="50">
        <f t="shared" si="4"/>
        <v>541.04176035441355</v>
      </c>
      <c r="V43" s="50">
        <f t="shared" si="4"/>
        <v>291.40631052767634</v>
      </c>
      <c r="W43" s="50">
        <f t="shared" si="4"/>
        <v>152.83723911522287</v>
      </c>
      <c r="X43" s="50">
        <f t="shared" si="4"/>
        <v>78.122219971335568</v>
      </c>
      <c r="Y43" s="50">
        <f t="shared" si="4"/>
        <v>38.945056388240069</v>
      </c>
      <c r="Z43" s="50">
        <f t="shared" si="4"/>
        <v>18.94739708124235</v>
      </c>
      <c r="AA43" s="50">
        <f t="shared" si="4"/>
        <v>9.0017669138523289</v>
      </c>
      <c r="AB43" s="50">
        <f t="shared" si="4"/>
        <v>4.1785593482961385</v>
      </c>
      <c r="AD43" s="1"/>
    </row>
    <row r="44" spans="1:32">
      <c r="B44" s="7">
        <v>2010</v>
      </c>
      <c r="C44" s="8"/>
      <c r="D44" s="8"/>
      <c r="E44" s="8"/>
      <c r="F44" s="50"/>
      <c r="G44" s="50">
        <f t="shared" ref="G44:AB44" si="5">F10-G10</f>
        <v>37118.92631330149</v>
      </c>
      <c r="H44" s="50">
        <f t="shared" si="5"/>
        <v>67061.137237052899</v>
      </c>
      <c r="I44" s="50">
        <f t="shared" si="5"/>
        <v>75869.304970314261</v>
      </c>
      <c r="J44" s="50">
        <f t="shared" si="5"/>
        <v>73173.749372413789</v>
      </c>
      <c r="K44" s="50">
        <f t="shared" si="5"/>
        <v>64033.021639387181</v>
      </c>
      <c r="L44" s="50">
        <f t="shared" si="5"/>
        <v>52156.476048150507</v>
      </c>
      <c r="M44" s="50">
        <f t="shared" si="5"/>
        <v>40082.5034697683</v>
      </c>
      <c r="N44" s="50">
        <f t="shared" si="5"/>
        <v>29306.076424159677</v>
      </c>
      <c r="O44" s="50">
        <f t="shared" si="5"/>
        <v>20500.121505726791</v>
      </c>
      <c r="P44" s="50">
        <f t="shared" si="5"/>
        <v>13775.640129791329</v>
      </c>
      <c r="Q44" s="50">
        <f t="shared" si="5"/>
        <v>8919.8708924425791</v>
      </c>
      <c r="R44" s="50">
        <f t="shared" si="5"/>
        <v>5578.8875047540541</v>
      </c>
      <c r="S44" s="50">
        <f t="shared" si="5"/>
        <v>3376.9994818983396</v>
      </c>
      <c r="T44" s="50">
        <f t="shared" si="5"/>
        <v>1981.6013342007468</v>
      </c>
      <c r="U44" s="50">
        <f t="shared" si="5"/>
        <v>1128.7623128868895</v>
      </c>
      <c r="V44" s="50">
        <f t="shared" si="5"/>
        <v>624.89204018580438</v>
      </c>
      <c r="W44" s="50">
        <f t="shared" si="5"/>
        <v>336.56826007177949</v>
      </c>
      <c r="X44" s="50">
        <f t="shared" si="5"/>
        <v>176.52384929495042</v>
      </c>
      <c r="Y44" s="50">
        <f t="shared" si="5"/>
        <v>90.229547881393628</v>
      </c>
      <c r="Z44" s="50">
        <f t="shared" si="5"/>
        <v>44.980734436574259</v>
      </c>
      <c r="AA44" s="50">
        <f t="shared" si="5"/>
        <v>21.88385164677889</v>
      </c>
      <c r="AB44" s="50">
        <f t="shared" si="5"/>
        <v>10.396854557750711</v>
      </c>
    </row>
    <row r="45" spans="1:32">
      <c r="B45" s="7">
        <v>2011</v>
      </c>
      <c r="C45" s="8"/>
      <c r="D45" s="8"/>
      <c r="E45" s="8"/>
      <c r="F45" s="8"/>
      <c r="G45" s="50"/>
      <c r="H45" s="50">
        <f t="shared" ref="H45:AB45" si="6">G11-H11</f>
        <v>134076.79463045858</v>
      </c>
      <c r="I45" s="50">
        <f t="shared" si="6"/>
        <v>242230.66823447705</v>
      </c>
      <c r="J45" s="50">
        <f t="shared" si="6"/>
        <v>274046.5372139609</v>
      </c>
      <c r="K45" s="50">
        <f t="shared" si="6"/>
        <v>264309.95563118008</v>
      </c>
      <c r="L45" s="50">
        <f t="shared" si="6"/>
        <v>231292.85096900235</v>
      </c>
      <c r="M45" s="50">
        <f t="shared" si="6"/>
        <v>188393.73393325729</v>
      </c>
      <c r="N45" s="50">
        <f t="shared" si="6"/>
        <v>144781.49342549685</v>
      </c>
      <c r="O45" s="50">
        <f t="shared" si="6"/>
        <v>105856.10038883417</v>
      </c>
      <c r="P45" s="50">
        <f t="shared" si="6"/>
        <v>74048.224289230682</v>
      </c>
      <c r="Q45" s="50">
        <f t="shared" si="6"/>
        <v>49758.811906239571</v>
      </c>
      <c r="R45" s="50">
        <f t="shared" si="6"/>
        <v>32219.350518973995</v>
      </c>
      <c r="S45" s="50">
        <f t="shared" si="6"/>
        <v>20151.427547442185</v>
      </c>
      <c r="T45" s="50">
        <f t="shared" si="6"/>
        <v>12198.016240555877</v>
      </c>
      <c r="U45" s="50">
        <f t="shared" si="6"/>
        <v>7157.7166021062349</v>
      </c>
      <c r="V45" s="50">
        <f t="shared" si="6"/>
        <v>4077.1877810836404</v>
      </c>
      <c r="W45" s="50">
        <f t="shared" si="6"/>
        <v>2257.1644726743252</v>
      </c>
      <c r="X45" s="50">
        <f t="shared" si="6"/>
        <v>1215.7138680114226</v>
      </c>
      <c r="Y45" s="50">
        <f t="shared" si="6"/>
        <v>637.61951758868054</v>
      </c>
      <c r="Z45" s="50">
        <f t="shared" si="6"/>
        <v>325.91698528083646</v>
      </c>
      <c r="AA45" s="50">
        <f t="shared" si="6"/>
        <v>162.47433027766778</v>
      </c>
      <c r="AB45" s="50">
        <f t="shared" si="6"/>
        <v>79.046378071478856</v>
      </c>
      <c r="AD45" s="1"/>
      <c r="AE45" s="1"/>
      <c r="AF45" s="1"/>
    </row>
    <row r="46" spans="1:32">
      <c r="B46" s="7">
        <v>2012</v>
      </c>
      <c r="C46" s="8"/>
      <c r="D46" s="8"/>
      <c r="E46" s="8"/>
      <c r="F46" s="8"/>
      <c r="G46" s="8"/>
      <c r="H46" s="50"/>
      <c r="I46" s="50">
        <f t="shared" ref="I46:AB46" si="7">H12-I12</f>
        <v>317559.44112942554</v>
      </c>
      <c r="J46" s="50">
        <f t="shared" si="7"/>
        <v>573720.72356712772</v>
      </c>
      <c r="K46" s="50">
        <f t="shared" si="7"/>
        <v>649076.2658891147</v>
      </c>
      <c r="L46" s="50">
        <f t="shared" si="7"/>
        <v>626015.27748720022</v>
      </c>
      <c r="M46" s="50">
        <f t="shared" si="7"/>
        <v>547814.62141445209</v>
      </c>
      <c r="N46" s="50">
        <f t="shared" si="7"/>
        <v>446208.5256812966</v>
      </c>
      <c r="O46" s="50">
        <f t="shared" si="7"/>
        <v>342913.40470068005</v>
      </c>
      <c r="P46" s="50">
        <f t="shared" si="7"/>
        <v>250719.03137503855</v>
      </c>
      <c r="Q46" s="50">
        <f t="shared" si="7"/>
        <v>175382.42010278912</v>
      </c>
      <c r="R46" s="50">
        <f t="shared" si="7"/>
        <v>117853.20900429704</v>
      </c>
      <c r="S46" s="50">
        <f t="shared" si="7"/>
        <v>76311.183993908853</v>
      </c>
      <c r="T46" s="50">
        <f t="shared" si="7"/>
        <v>47728.438672504722</v>
      </c>
      <c r="U46" s="50">
        <f t="shared" si="7"/>
        <v>28890.869825124886</v>
      </c>
      <c r="V46" s="50">
        <f t="shared" si="7"/>
        <v>16952.974526222039</v>
      </c>
      <c r="W46" s="50">
        <f t="shared" si="7"/>
        <v>9656.7752586062506</v>
      </c>
      <c r="X46" s="50">
        <f t="shared" si="7"/>
        <v>5346.0696942766845</v>
      </c>
      <c r="Y46" s="50">
        <f t="shared" si="7"/>
        <v>2879.405176436826</v>
      </c>
      <c r="Z46" s="50">
        <f t="shared" si="7"/>
        <v>1510.1949462377513</v>
      </c>
      <c r="AA46" s="50">
        <f t="shared" si="7"/>
        <v>771.93086235116311</v>
      </c>
      <c r="AB46" s="50">
        <f t="shared" si="7"/>
        <v>384.81869784447292</v>
      </c>
    </row>
    <row r="47" spans="1:32">
      <c r="B47" s="7">
        <v>2013</v>
      </c>
      <c r="C47" s="8"/>
      <c r="D47" s="8"/>
      <c r="E47" s="8"/>
      <c r="F47" s="8"/>
      <c r="G47" s="8"/>
      <c r="H47" s="8"/>
      <c r="I47" s="50"/>
      <c r="J47" s="50">
        <f t="shared" ref="J47:AB47" si="8">I13-J13</f>
        <v>519081.9248826066</v>
      </c>
      <c r="K47" s="50">
        <f t="shared" si="8"/>
        <v>937802.56217572466</v>
      </c>
      <c r="L47" s="50">
        <f t="shared" si="8"/>
        <v>1060978.5566287683</v>
      </c>
      <c r="M47" s="50">
        <f t="shared" si="8"/>
        <v>1023283.118550193</v>
      </c>
      <c r="N47" s="50">
        <f t="shared" si="8"/>
        <v>895456.50776843168</v>
      </c>
      <c r="O47" s="50">
        <f t="shared" si="8"/>
        <v>729371.4196810103</v>
      </c>
      <c r="P47" s="50">
        <f t="shared" si="8"/>
        <v>560525.45484714769</v>
      </c>
      <c r="Q47" s="50">
        <f t="shared" si="8"/>
        <v>409824.74634667172</v>
      </c>
      <c r="R47" s="50">
        <f t="shared" si="8"/>
        <v>286679.69654355838</v>
      </c>
      <c r="S47" s="50">
        <f t="shared" si="8"/>
        <v>192642.58170365589</v>
      </c>
      <c r="T47" s="50">
        <f t="shared" si="8"/>
        <v>124738.08411032148</v>
      </c>
      <c r="U47" s="50">
        <f t="shared" si="8"/>
        <v>78016.794996398254</v>
      </c>
      <c r="V47" s="50">
        <f t="shared" si="8"/>
        <v>47224.948712031917</v>
      </c>
      <c r="W47" s="50">
        <f t="shared" si="8"/>
        <v>27711.292784302961</v>
      </c>
      <c r="X47" s="50">
        <f t="shared" si="8"/>
        <v>15784.942408161904</v>
      </c>
      <c r="Y47" s="50">
        <f t="shared" si="8"/>
        <v>8738.673105079255</v>
      </c>
      <c r="Z47" s="50">
        <f t="shared" si="8"/>
        <v>4706.669013479609</v>
      </c>
      <c r="AA47" s="50">
        <f t="shared" si="8"/>
        <v>2468.5611514273373</v>
      </c>
      <c r="AB47" s="50">
        <f t="shared" si="8"/>
        <v>1261.7963946542638</v>
      </c>
    </row>
    <row r="48" spans="1:32">
      <c r="B48" s="7">
        <v>2014</v>
      </c>
      <c r="C48" s="8"/>
      <c r="D48" s="8"/>
      <c r="E48" s="8"/>
      <c r="F48" s="8"/>
      <c r="G48" s="8"/>
      <c r="H48" s="8"/>
      <c r="I48" s="8"/>
      <c r="J48" s="50"/>
      <c r="K48" s="50">
        <f t="shared" ref="K48:AB48" si="9">J14-K14</f>
        <v>536408.11077283602</v>
      </c>
      <c r="L48" s="50">
        <f t="shared" si="9"/>
        <v>969105.02281190269</v>
      </c>
      <c r="M48" s="50">
        <f t="shared" si="9"/>
        <v>1096392.4495356632</v>
      </c>
      <c r="N48" s="50">
        <f t="shared" si="9"/>
        <v>1057438.7935611145</v>
      </c>
      <c r="O48" s="50">
        <f t="shared" si="9"/>
        <v>925345.51982316701</v>
      </c>
      <c r="P48" s="50">
        <f t="shared" si="9"/>
        <v>753716.75746804941</v>
      </c>
      <c r="Q48" s="50">
        <f t="shared" si="9"/>
        <v>579234.964389564</v>
      </c>
      <c r="R48" s="50">
        <f t="shared" si="9"/>
        <v>423504.08942767826</v>
      </c>
      <c r="S48" s="50">
        <f t="shared" si="9"/>
        <v>296248.64024043537</v>
      </c>
      <c r="T48" s="50">
        <f t="shared" si="9"/>
        <v>199072.70577651024</v>
      </c>
      <c r="U48" s="50">
        <f t="shared" si="9"/>
        <v>128901.65662033565</v>
      </c>
      <c r="V48" s="50">
        <f t="shared" si="9"/>
        <v>80620.880070200816</v>
      </c>
      <c r="W48" s="50">
        <f t="shared" si="9"/>
        <v>48801.247559706586</v>
      </c>
      <c r="X48" s="50">
        <f t="shared" si="9"/>
        <v>28636.254696910466</v>
      </c>
      <c r="Y48" s="50">
        <f t="shared" si="9"/>
        <v>16311.820408185173</v>
      </c>
      <c r="Z48" s="50">
        <f t="shared" si="9"/>
        <v>9030.3570713178979</v>
      </c>
      <c r="AA48" s="50">
        <f t="shared" si="9"/>
        <v>4863.7706545544206</v>
      </c>
      <c r="AB48" s="50">
        <f t="shared" si="9"/>
        <v>2550.9580667133027</v>
      </c>
      <c r="AD48" s="1"/>
    </row>
    <row r="49" spans="2:32">
      <c r="B49" s="7">
        <v>2015</v>
      </c>
      <c r="C49" s="8"/>
      <c r="D49" s="8"/>
      <c r="E49" s="8"/>
      <c r="F49" s="8"/>
      <c r="G49" s="8"/>
      <c r="H49" s="8"/>
      <c r="I49" s="8"/>
      <c r="J49" s="8"/>
      <c r="K49" s="50"/>
      <c r="L49" s="50">
        <f t="shared" ref="L49:AB49" si="10">K15-L15</f>
        <v>497104.05578602385</v>
      </c>
      <c r="M49" s="50">
        <f t="shared" si="10"/>
        <v>898096.10937523656</v>
      </c>
      <c r="N49" s="50">
        <f t="shared" si="10"/>
        <v>1016056.8463666709</v>
      </c>
      <c r="O49" s="50">
        <f t="shared" si="10"/>
        <v>979957.42880800972</v>
      </c>
      <c r="P49" s="50">
        <f t="shared" si="10"/>
        <v>857542.98204921419</v>
      </c>
      <c r="Q49" s="50">
        <f t="shared" si="10"/>
        <v>698489.91752089746</v>
      </c>
      <c r="R49" s="50">
        <f t="shared" si="10"/>
        <v>536792.87145056901</v>
      </c>
      <c r="S49" s="50">
        <f t="shared" si="10"/>
        <v>392472.81364397879</v>
      </c>
      <c r="T49" s="50">
        <f t="shared" si="10"/>
        <v>274541.71110954956</v>
      </c>
      <c r="U49" s="50">
        <f t="shared" si="10"/>
        <v>184486.11691427184</v>
      </c>
      <c r="V49" s="50">
        <f t="shared" si="10"/>
        <v>119456.68795198837</v>
      </c>
      <c r="W49" s="50">
        <f t="shared" si="10"/>
        <v>74713.572854433805</v>
      </c>
      <c r="X49" s="50">
        <f t="shared" si="10"/>
        <v>45225.449806111443</v>
      </c>
      <c r="Y49" s="50">
        <f t="shared" si="10"/>
        <v>26537.999829730867</v>
      </c>
      <c r="Z49" s="50">
        <f t="shared" si="10"/>
        <v>15116.60975908703</v>
      </c>
      <c r="AA49" s="50">
        <f t="shared" si="10"/>
        <v>8368.678689217646</v>
      </c>
      <c r="AB49" s="50">
        <f t="shared" si="10"/>
        <v>4507.3891878863933</v>
      </c>
    </row>
    <row r="50" spans="2:32">
      <c r="B50" s="7">
        <v>2016</v>
      </c>
      <c r="C50" s="8"/>
      <c r="D50" s="8"/>
      <c r="E50" s="8"/>
      <c r="F50" s="8"/>
      <c r="G50" s="8"/>
      <c r="H50" s="8"/>
      <c r="I50" s="8"/>
      <c r="J50" s="8"/>
      <c r="K50" s="8"/>
      <c r="L50" s="50"/>
      <c r="M50" s="50">
        <f t="shared" ref="M50:AB50" si="11">L16-M16</f>
        <v>464553.30307096336</v>
      </c>
      <c r="N50" s="50">
        <f t="shared" si="11"/>
        <v>839288.09115376417</v>
      </c>
      <c r="O50" s="50">
        <f t="shared" si="11"/>
        <v>949524.66911812685</v>
      </c>
      <c r="P50" s="50">
        <f t="shared" si="11"/>
        <v>915789.0689542992</v>
      </c>
      <c r="Q50" s="50">
        <f t="shared" si="11"/>
        <v>801390.41353499703</v>
      </c>
      <c r="R50" s="50">
        <f t="shared" si="11"/>
        <v>652752.26498206379</v>
      </c>
      <c r="S50" s="50">
        <f t="shared" si="11"/>
        <v>501643.26481505972</v>
      </c>
      <c r="T50" s="50">
        <f t="shared" si="11"/>
        <v>366773.39446682273</v>
      </c>
      <c r="U50" s="50">
        <f t="shared" si="11"/>
        <v>256564.51047262026</v>
      </c>
      <c r="V50" s="50">
        <f t="shared" si="11"/>
        <v>172405.82527081924</v>
      </c>
      <c r="W50" s="50">
        <f t="shared" si="11"/>
        <v>111634.57291505305</v>
      </c>
      <c r="X50" s="50">
        <f t="shared" si="11"/>
        <v>69821.271119743833</v>
      </c>
      <c r="Y50" s="50">
        <f t="shared" si="11"/>
        <v>42264.052859272204</v>
      </c>
      <c r="Z50" s="50">
        <f t="shared" si="11"/>
        <v>24800.271360298033</v>
      </c>
      <c r="AA50" s="50">
        <f t="shared" si="11"/>
        <v>14126.762622595503</v>
      </c>
      <c r="AB50" s="50">
        <f t="shared" si="11"/>
        <v>7820.6912258408029</v>
      </c>
      <c r="AD50" s="1"/>
      <c r="AE50" s="1"/>
      <c r="AF50" s="1"/>
    </row>
    <row r="51" spans="2:32">
      <c r="B51" s="7">
        <v>2017</v>
      </c>
      <c r="C51" s="8"/>
      <c r="D51" s="8"/>
      <c r="E51" s="8"/>
      <c r="F51" s="8"/>
      <c r="G51" s="8"/>
      <c r="H51" s="8"/>
      <c r="I51" s="8"/>
      <c r="J51" s="8"/>
      <c r="K51" s="8"/>
      <c r="L51" s="8"/>
      <c r="M51" s="50"/>
      <c r="N51" s="50">
        <f t="shared" ref="N51:AB51" si="12">M17-N17</f>
        <v>384353.11379876826</v>
      </c>
      <c r="O51" s="50">
        <f t="shared" si="12"/>
        <v>694393.92439299449</v>
      </c>
      <c r="P51" s="50">
        <f t="shared" si="12"/>
        <v>785599.32905815309</v>
      </c>
      <c r="Q51" s="50">
        <f t="shared" si="12"/>
        <v>757687.82163129328</v>
      </c>
      <c r="R51" s="50">
        <f t="shared" si="12"/>
        <v>663038.87793820607</v>
      </c>
      <c r="S51" s="50">
        <f t="shared" si="12"/>
        <v>540061.52561298362</v>
      </c>
      <c r="T51" s="50">
        <f t="shared" si="12"/>
        <v>415039.88793810364</v>
      </c>
      <c r="U51" s="50">
        <f t="shared" si="12"/>
        <v>303453.8669512663</v>
      </c>
      <c r="V51" s="50">
        <f t="shared" si="12"/>
        <v>212271.37518672406</v>
      </c>
      <c r="W51" s="50">
        <f t="shared" si="12"/>
        <v>142641.79232358935</v>
      </c>
      <c r="X51" s="50">
        <f t="shared" si="12"/>
        <v>92362.050649206154</v>
      </c>
      <c r="Y51" s="50">
        <f t="shared" si="12"/>
        <v>57767.370906331111</v>
      </c>
      <c r="Z51" s="50">
        <f t="shared" si="12"/>
        <v>34967.613427421056</v>
      </c>
      <c r="AA51" s="50">
        <f t="shared" si="12"/>
        <v>20518.768152917197</v>
      </c>
      <c r="AB51" s="50">
        <f t="shared" si="12"/>
        <v>11687.927232456312</v>
      </c>
      <c r="AD51" s="97"/>
      <c r="AE51" s="268"/>
      <c r="AF51" s="97"/>
    </row>
    <row r="52" spans="2:32">
      <c r="B52" s="7">
        <v>2018</v>
      </c>
      <c r="C52" s="8"/>
      <c r="D52" s="8"/>
      <c r="E52" s="8"/>
      <c r="F52" s="8"/>
      <c r="G52" s="8"/>
      <c r="H52" s="8"/>
      <c r="I52" s="8"/>
      <c r="J52" s="8"/>
      <c r="K52" s="8"/>
      <c r="L52" s="8"/>
      <c r="M52" s="8"/>
      <c r="N52" s="50"/>
      <c r="O52" s="50">
        <f t="shared" ref="O52:AB52" si="13">N18-O18</f>
        <v>392306.883425612</v>
      </c>
      <c r="P52" s="50">
        <f t="shared" si="13"/>
        <v>708763.65136180725</v>
      </c>
      <c r="Q52" s="50">
        <f t="shared" si="13"/>
        <v>801856.45267183706</v>
      </c>
      <c r="R52" s="50">
        <f t="shared" si="13"/>
        <v>773367.34695829544</v>
      </c>
      <c r="S52" s="50">
        <f t="shared" si="13"/>
        <v>676759.74632571242</v>
      </c>
      <c r="T52" s="50">
        <f t="shared" si="13"/>
        <v>551237.51145733427</v>
      </c>
      <c r="U52" s="50">
        <f t="shared" si="13"/>
        <v>423628.68697756936</v>
      </c>
      <c r="V52" s="50">
        <f t="shared" si="13"/>
        <v>309733.51465920382</v>
      </c>
      <c r="W52" s="50">
        <f t="shared" si="13"/>
        <v>216664.10040734598</v>
      </c>
      <c r="X52" s="50">
        <f t="shared" si="13"/>
        <v>145593.60906337993</v>
      </c>
      <c r="Y52" s="50">
        <f t="shared" si="13"/>
        <v>94273.382824626548</v>
      </c>
      <c r="Z52" s="50">
        <f t="shared" si="13"/>
        <v>58962.803813316554</v>
      </c>
      <c r="AA52" s="50">
        <f t="shared" si="13"/>
        <v>35691.230152815486</v>
      </c>
      <c r="AB52" s="50">
        <f t="shared" si="13"/>
        <v>20943.381741452751</v>
      </c>
    </row>
    <row r="53" spans="2:32">
      <c r="B53" s="7">
        <v>2019</v>
      </c>
      <c r="C53" s="8"/>
      <c r="D53" s="8"/>
      <c r="E53" s="8"/>
      <c r="F53" s="8"/>
      <c r="G53" s="8"/>
      <c r="H53" s="8"/>
      <c r="I53" s="8"/>
      <c r="J53" s="8"/>
      <c r="K53" s="8"/>
      <c r="L53" s="8"/>
      <c r="M53" s="8"/>
      <c r="N53" s="8"/>
      <c r="O53" s="50"/>
      <c r="P53" s="50">
        <f t="shared" ref="P53:AB53" si="14">O19-P19</f>
        <v>462268.26476936229</v>
      </c>
      <c r="Q53" s="50">
        <f t="shared" si="14"/>
        <v>835159.81260814611</v>
      </c>
      <c r="R53" s="50">
        <f t="shared" si="14"/>
        <v>944854.16043180972</v>
      </c>
      <c r="S53" s="50">
        <f t="shared" si="14"/>
        <v>911284.49846709147</v>
      </c>
      <c r="T53" s="50">
        <f t="shared" si="14"/>
        <v>797448.54555696715</v>
      </c>
      <c r="U53" s="50">
        <f t="shared" si="14"/>
        <v>649541.51625402574</v>
      </c>
      <c r="V53" s="50">
        <f t="shared" si="14"/>
        <v>499175.78892743774</v>
      </c>
      <c r="W53" s="50">
        <f t="shared" si="14"/>
        <v>364969.31461457617</v>
      </c>
      <c r="X53" s="50">
        <f t="shared" si="14"/>
        <v>255302.52454035805</v>
      </c>
      <c r="Y53" s="50">
        <f t="shared" si="14"/>
        <v>171557.79790440353</v>
      </c>
      <c r="Z53" s="50">
        <f t="shared" si="14"/>
        <v>111085.46633630851</v>
      </c>
      <c r="AA53" s="50">
        <f t="shared" si="14"/>
        <v>69477.835226122144</v>
      </c>
      <c r="AB53" s="50">
        <f t="shared" si="14"/>
        <v>42056.165026108778</v>
      </c>
    </row>
    <row r="54" spans="2:32">
      <c r="B54" s="7">
        <v>2020</v>
      </c>
      <c r="C54" s="8"/>
      <c r="D54" s="8"/>
      <c r="E54" s="8"/>
      <c r="F54" s="8"/>
      <c r="G54" s="8"/>
      <c r="H54" s="8"/>
      <c r="I54" s="8"/>
      <c r="J54" s="8"/>
      <c r="K54" s="8"/>
      <c r="L54" s="8"/>
      <c r="M54" s="8"/>
      <c r="N54" s="8"/>
      <c r="O54" s="8"/>
      <c r="P54" s="50"/>
      <c r="Q54" s="50">
        <f t="shared" ref="Q54:AB54" si="15">P20-Q20</f>
        <v>523246.62062706612</v>
      </c>
      <c r="R54" s="50">
        <f t="shared" si="15"/>
        <v>945326.73543742951</v>
      </c>
      <c r="S54" s="50">
        <f t="shared" si="15"/>
        <v>1069490.994970276</v>
      </c>
      <c r="T54" s="50">
        <f t="shared" si="15"/>
        <v>1031493.1190239461</v>
      </c>
      <c r="U54" s="50">
        <f t="shared" si="15"/>
        <v>902640.93035855563</v>
      </c>
      <c r="V54" s="50">
        <f t="shared" si="15"/>
        <v>735223.30914597819</v>
      </c>
      <c r="W54" s="50">
        <f t="shared" si="15"/>
        <v>565022.66013317439</v>
      </c>
      <c r="X54" s="50">
        <f t="shared" si="15"/>
        <v>413112.8503920401</v>
      </c>
      <c r="Y54" s="50">
        <f t="shared" si="15"/>
        <v>288979.78378409921</v>
      </c>
      <c r="Z54" s="50">
        <f t="shared" si="15"/>
        <v>194188.19079109287</v>
      </c>
      <c r="AA54" s="50">
        <f t="shared" si="15"/>
        <v>125738.88214077445</v>
      </c>
      <c r="AB54" s="50">
        <f t="shared" si="15"/>
        <v>78642.738992023485</v>
      </c>
    </row>
    <row r="55" spans="2:32">
      <c r="B55" s="7">
        <v>2021</v>
      </c>
      <c r="C55" s="8"/>
      <c r="D55" s="8"/>
      <c r="E55" s="8"/>
      <c r="F55" s="8"/>
      <c r="G55" s="8"/>
      <c r="H55" s="8"/>
      <c r="I55" s="8"/>
      <c r="J55" s="8"/>
      <c r="K55" s="8"/>
      <c r="L55" s="8"/>
      <c r="M55" s="8"/>
      <c r="N55" s="8"/>
      <c r="O55" s="8"/>
      <c r="P55" s="8"/>
      <c r="Q55" s="50"/>
      <c r="R55" s="50">
        <f t="shared" ref="R55:AB55" si="16">Q21-R21</f>
        <v>214456.70352367684</v>
      </c>
      <c r="S55" s="50">
        <f t="shared" si="16"/>
        <v>409672.76285958849</v>
      </c>
      <c r="T55" s="50">
        <f t="shared" si="16"/>
        <v>506401.38052780926</v>
      </c>
      <c r="U55" s="50">
        <f t="shared" si="16"/>
        <v>547256.30189351132</v>
      </c>
      <c r="V55" s="50">
        <f t="shared" si="16"/>
        <v>548419.74487647368</v>
      </c>
      <c r="W55" s="50">
        <f t="shared" si="16"/>
        <v>521698.09367485577</v>
      </c>
      <c r="X55" s="50">
        <f t="shared" si="16"/>
        <v>476786.12994403066</v>
      </c>
      <c r="Y55" s="50">
        <f t="shared" si="16"/>
        <v>421623.42871882627</v>
      </c>
      <c r="Z55" s="50">
        <f t="shared" si="16"/>
        <v>362451.28187931515</v>
      </c>
      <c r="AA55" s="50">
        <f t="shared" si="16"/>
        <v>303891.1776154323</v>
      </c>
      <c r="AB55" s="50">
        <f t="shared" si="16"/>
        <v>249101.65931360703</v>
      </c>
    </row>
    <row r="56" spans="2:32">
      <c r="B56" s="7">
        <v>2022</v>
      </c>
      <c r="C56" s="8"/>
      <c r="D56" s="8"/>
      <c r="E56" s="8"/>
      <c r="F56" s="8"/>
      <c r="G56" s="8"/>
      <c r="H56" s="8"/>
      <c r="I56" s="8"/>
      <c r="J56" s="8"/>
      <c r="K56" s="8"/>
      <c r="L56" s="8"/>
      <c r="M56" s="8"/>
      <c r="N56" s="8"/>
      <c r="O56" s="8"/>
      <c r="P56" s="8"/>
      <c r="Q56" s="51"/>
      <c r="R56" s="50"/>
      <c r="S56" s="50">
        <f t="shared" ref="S56:AB56" si="17">R22-S22</f>
        <v>197807.35335708596</v>
      </c>
      <c r="T56" s="50">
        <f t="shared" si="17"/>
        <v>377867.81029576529</v>
      </c>
      <c r="U56" s="50">
        <f t="shared" si="17"/>
        <v>467086.89993232675</v>
      </c>
      <c r="V56" s="50">
        <f t="shared" si="17"/>
        <v>504770.04871796956</v>
      </c>
      <c r="W56" s="50">
        <f t="shared" si="17"/>
        <v>505843.16778331203</v>
      </c>
      <c r="X56" s="50">
        <f t="shared" si="17"/>
        <v>481196.05246970896</v>
      </c>
      <c r="Y56" s="50">
        <f t="shared" si="17"/>
        <v>439770.82987841289</v>
      </c>
      <c r="Z56" s="50">
        <f t="shared" si="17"/>
        <v>388890.68598875962</v>
      </c>
      <c r="AA56" s="50">
        <f t="shared" si="17"/>
        <v>334312.36986963567</v>
      </c>
      <c r="AB56" s="50">
        <f t="shared" si="17"/>
        <v>280298.58038939803</v>
      </c>
    </row>
    <row r="57" spans="2:32">
      <c r="B57" s="7">
        <v>2023</v>
      </c>
      <c r="C57" s="8"/>
      <c r="D57" s="8"/>
      <c r="E57" s="8"/>
      <c r="F57" s="8"/>
      <c r="G57" s="8"/>
      <c r="H57" s="8"/>
      <c r="I57" s="8"/>
      <c r="J57" s="8"/>
      <c r="K57" s="8"/>
      <c r="L57" s="8"/>
      <c r="M57" s="8"/>
      <c r="N57" s="8"/>
      <c r="O57" s="8"/>
      <c r="P57" s="8"/>
      <c r="Q57" s="51"/>
      <c r="R57" s="51"/>
      <c r="S57" s="50"/>
      <c r="T57" s="50">
        <f t="shared" ref="T57:AB57" si="18">S23-T23</f>
        <v>178188.27653662488</v>
      </c>
      <c r="U57" s="50">
        <f t="shared" si="18"/>
        <v>340389.84260469908</v>
      </c>
      <c r="V57" s="50">
        <f t="shared" si="18"/>
        <v>420759.93778415723</v>
      </c>
      <c r="W57" s="50">
        <f t="shared" si="18"/>
        <v>454705.56833139621</v>
      </c>
      <c r="X57" s="50">
        <f t="shared" si="18"/>
        <v>455672.252499233</v>
      </c>
      <c r="Y57" s="50">
        <f t="shared" si="18"/>
        <v>433469.70580521738</v>
      </c>
      <c r="Z57" s="50">
        <f t="shared" si="18"/>
        <v>396153.15061445092</v>
      </c>
      <c r="AA57" s="50">
        <f t="shared" si="18"/>
        <v>350319.43919894961</v>
      </c>
      <c r="AB57" s="50">
        <f t="shared" si="18"/>
        <v>301154.35043714987</v>
      </c>
    </row>
    <row r="58" spans="2:32">
      <c r="B58" s="7">
        <v>2024</v>
      </c>
      <c r="C58" s="8"/>
      <c r="D58" s="8"/>
      <c r="E58" s="8"/>
      <c r="F58" s="8"/>
      <c r="G58" s="8"/>
      <c r="H58" s="8"/>
      <c r="I58" s="8"/>
      <c r="J58" s="8"/>
      <c r="K58" s="8"/>
      <c r="L58" s="8"/>
      <c r="M58" s="8"/>
      <c r="N58" s="8"/>
      <c r="O58" s="8"/>
      <c r="P58" s="8"/>
      <c r="Q58" s="51"/>
      <c r="R58" s="51"/>
      <c r="S58" s="51"/>
      <c r="T58" s="50"/>
      <c r="U58" s="50">
        <f t="shared" ref="U58:AB58" si="19">T24-U24</f>
        <v>165747.81467876118</v>
      </c>
      <c r="V58" s="50">
        <f t="shared" si="19"/>
        <v>316625.05327043869</v>
      </c>
      <c r="W58" s="50">
        <f t="shared" si="19"/>
        <v>391383.99869848462</v>
      </c>
      <c r="X58" s="50">
        <f t="shared" si="19"/>
        <v>422959.66793136531</v>
      </c>
      <c r="Y58" s="50">
        <f t="shared" si="19"/>
        <v>423858.86170223355</v>
      </c>
      <c r="Z58" s="50">
        <f t="shared" si="19"/>
        <v>403206.41662355908</v>
      </c>
      <c r="AA58" s="50">
        <f t="shared" si="19"/>
        <v>368495.16853009909</v>
      </c>
      <c r="AB58" s="50">
        <f t="shared" si="19"/>
        <v>325861.40129583934</v>
      </c>
    </row>
    <row r="59" spans="2:32">
      <c r="B59" s="7">
        <v>2025</v>
      </c>
      <c r="C59" s="8"/>
      <c r="D59" s="8"/>
      <c r="E59" s="8"/>
      <c r="F59" s="8"/>
      <c r="G59" s="8"/>
      <c r="H59" s="8"/>
      <c r="I59" s="8"/>
      <c r="J59" s="8"/>
      <c r="K59" s="8"/>
      <c r="L59" s="8"/>
      <c r="M59" s="8"/>
      <c r="N59" s="8"/>
      <c r="O59" s="8"/>
      <c r="P59" s="8"/>
      <c r="Q59" s="51"/>
      <c r="R59" s="51"/>
      <c r="S59" s="51"/>
      <c r="T59" s="51"/>
      <c r="U59" s="50"/>
      <c r="V59" s="50">
        <f t="shared" ref="V59:AB59" si="20">U25-V25</f>
        <v>154891.84704734804</v>
      </c>
      <c r="W59" s="50">
        <f t="shared" si="20"/>
        <v>295887.0946055837</v>
      </c>
      <c r="X59" s="50">
        <f t="shared" si="20"/>
        <v>365749.56104657101</v>
      </c>
      <c r="Y59" s="50">
        <f t="shared" si="20"/>
        <v>395257.1219077264</v>
      </c>
      <c r="Z59" s="50">
        <f t="shared" si="20"/>
        <v>396097.42127633747</v>
      </c>
      <c r="AA59" s="50">
        <f t="shared" si="20"/>
        <v>376797.64727642271</v>
      </c>
      <c r="AB59" s="50">
        <f t="shared" si="20"/>
        <v>344359.87824197114</v>
      </c>
    </row>
    <row r="60" spans="2:32">
      <c r="B60" s="7">
        <v>2026</v>
      </c>
      <c r="C60" s="8"/>
      <c r="D60" s="8"/>
      <c r="E60" s="8"/>
      <c r="F60" s="8"/>
      <c r="G60" s="8"/>
      <c r="H60" s="8"/>
      <c r="I60" s="8"/>
      <c r="J60" s="8"/>
      <c r="K60" s="8"/>
      <c r="L60" s="8"/>
      <c r="M60" s="8"/>
      <c r="N60" s="8"/>
      <c r="O60" s="8"/>
      <c r="P60" s="8"/>
      <c r="Q60" s="51"/>
      <c r="R60" s="51"/>
      <c r="S60" s="51"/>
      <c r="T60" s="51"/>
      <c r="U60" s="51"/>
      <c r="V60" s="50"/>
      <c r="W60" s="50">
        <f t="shared" ref="W60:AB60" si="21">V26-W26</f>
        <v>146584.52230205853</v>
      </c>
      <c r="X60" s="50">
        <f t="shared" si="21"/>
        <v>280017.76236063009</v>
      </c>
      <c r="Y60" s="50">
        <f t="shared" si="21"/>
        <v>346133.29048759025</v>
      </c>
      <c r="Z60" s="50">
        <f t="shared" si="21"/>
        <v>374058.27037248481</v>
      </c>
      <c r="AA60" s="50">
        <f t="shared" si="21"/>
        <v>374853.50190911256</v>
      </c>
      <c r="AB60" s="50">
        <f t="shared" si="21"/>
        <v>356588.83397310181</v>
      </c>
    </row>
    <row r="61" spans="2:32">
      <c r="B61" s="7">
        <v>2027</v>
      </c>
      <c r="C61" s="8"/>
      <c r="D61" s="8"/>
      <c r="E61" s="8"/>
      <c r="F61" s="8"/>
      <c r="G61" s="8"/>
      <c r="H61" s="8"/>
      <c r="I61" s="8"/>
      <c r="J61" s="8"/>
      <c r="K61" s="8"/>
      <c r="L61" s="8"/>
      <c r="M61" s="8"/>
      <c r="N61" s="8"/>
      <c r="O61" s="8"/>
      <c r="P61" s="8"/>
      <c r="Q61" s="51"/>
      <c r="R61" s="51"/>
      <c r="S61" s="51"/>
      <c r="T61" s="51"/>
      <c r="U61" s="51"/>
      <c r="V61" s="51"/>
      <c r="W61" s="50"/>
      <c r="X61" s="50">
        <f>W27-X27</f>
        <v>140943.20743050985</v>
      </c>
      <c r="Y61" s="50">
        <f>X27-Y27</f>
        <v>269241.26056975406</v>
      </c>
      <c r="Z61" s="50">
        <f>Y27-Z27</f>
        <v>332812.3282979941</v>
      </c>
      <c r="AA61" s="50">
        <f>Z27-AA27</f>
        <v>359662.61351636937</v>
      </c>
      <c r="AB61" s="50">
        <f>AA27-AB27</f>
        <v>360427.24051560438</v>
      </c>
    </row>
    <row r="62" spans="2:32">
      <c r="B62" s="7">
        <v>2028</v>
      </c>
      <c r="C62" s="8"/>
      <c r="D62" s="8"/>
      <c r="E62" s="8"/>
      <c r="F62" s="8"/>
      <c r="G62" s="8"/>
      <c r="H62" s="8"/>
      <c r="I62" s="8"/>
      <c r="J62" s="8"/>
      <c r="K62" s="8"/>
      <c r="L62" s="8"/>
      <c r="M62" s="8"/>
      <c r="N62" s="8"/>
      <c r="O62" s="8"/>
      <c r="P62" s="8"/>
      <c r="Q62" s="51"/>
      <c r="R62" s="51"/>
      <c r="S62" s="51"/>
      <c r="T62" s="51"/>
      <c r="U62" s="51"/>
      <c r="V62" s="51"/>
      <c r="W62" s="51"/>
      <c r="X62" s="50"/>
      <c r="Y62" s="50">
        <f>X28-Y28</f>
        <v>137600.00360203767</v>
      </c>
      <c r="Z62" s="50">
        <f>Y28-Z28</f>
        <v>262854.7987492145</v>
      </c>
      <c r="AA62" s="50">
        <f>Z28-AA28</f>
        <v>324917.94679204514</v>
      </c>
      <c r="AB62" s="50">
        <f>AA28-AB28</f>
        <v>351131.3373492714</v>
      </c>
    </row>
    <row r="63" spans="2:32">
      <c r="B63" s="7">
        <v>2029</v>
      </c>
      <c r="C63" s="8"/>
      <c r="D63" s="8"/>
      <c r="E63" s="8"/>
      <c r="F63" s="8"/>
      <c r="G63" s="8"/>
      <c r="H63" s="8"/>
      <c r="I63" s="8"/>
      <c r="J63" s="8"/>
      <c r="K63" s="8"/>
      <c r="L63" s="8"/>
      <c r="M63" s="8"/>
      <c r="N63" s="8"/>
      <c r="O63" s="8"/>
      <c r="P63" s="8"/>
      <c r="Q63" s="51"/>
      <c r="R63" s="51"/>
      <c r="S63" s="51"/>
      <c r="T63" s="51"/>
      <c r="U63" s="51"/>
      <c r="V63" s="51"/>
      <c r="W63" s="51"/>
      <c r="X63" s="51"/>
      <c r="Y63" s="50"/>
      <c r="Z63" s="50">
        <f>Y29-Z29</f>
        <v>135979.36576893087</v>
      </c>
      <c r="AA63" s="50">
        <f>Z29-AA29</f>
        <v>259758.92360157473</v>
      </c>
      <c r="AB63" s="50">
        <f>AA29-AB29</f>
        <v>321091.09865656495</v>
      </c>
    </row>
    <row r="64" spans="2:32">
      <c r="B64" s="7">
        <v>2030</v>
      </c>
      <c r="C64" s="8"/>
      <c r="D64" s="8"/>
      <c r="E64" s="8"/>
      <c r="F64" s="8"/>
      <c r="G64" s="8"/>
      <c r="H64" s="8"/>
      <c r="I64" s="8"/>
      <c r="J64" s="8"/>
      <c r="K64" s="8"/>
      <c r="L64" s="8"/>
      <c r="M64" s="8"/>
      <c r="N64" s="8"/>
      <c r="O64" s="8"/>
      <c r="P64" s="8"/>
      <c r="Q64" s="51"/>
      <c r="R64" s="51"/>
      <c r="S64" s="51"/>
      <c r="T64" s="51"/>
      <c r="U64" s="51"/>
      <c r="V64" s="51"/>
      <c r="W64" s="51"/>
      <c r="X64" s="51"/>
      <c r="Y64" s="51"/>
      <c r="Z64" s="50"/>
      <c r="AA64" s="50">
        <f>Z30-AA30</f>
        <v>135491.74622791912</v>
      </c>
      <c r="AB64" s="50">
        <f>AA30-AB30</f>
        <v>258827.43280968815</v>
      </c>
    </row>
    <row r="65" spans="1:32">
      <c r="B65" s="7">
        <v>2031</v>
      </c>
      <c r="C65" s="8"/>
      <c r="D65" s="8"/>
      <c r="E65" s="8"/>
      <c r="F65" s="8"/>
      <c r="G65" s="8"/>
      <c r="H65" s="8"/>
      <c r="I65" s="8"/>
      <c r="J65" s="8"/>
      <c r="K65" s="8"/>
      <c r="L65" s="8"/>
      <c r="M65" s="8"/>
      <c r="N65" s="8"/>
      <c r="O65" s="8"/>
      <c r="P65" s="8"/>
      <c r="Q65" s="51"/>
      <c r="R65" s="51"/>
      <c r="S65" s="51"/>
      <c r="T65" s="51"/>
      <c r="U65" s="51"/>
      <c r="V65" s="51"/>
      <c r="W65" s="51"/>
      <c r="X65" s="51"/>
      <c r="Y65" s="51"/>
      <c r="Z65" s="51"/>
      <c r="AA65" s="50"/>
      <c r="AB65" s="50">
        <f>AA31-AB31</f>
        <v>135642.46426980291</v>
      </c>
    </row>
    <row r="66" spans="1:32" ht="17" thickBot="1">
      <c r="C66" s="88"/>
      <c r="D66" s="88"/>
      <c r="E66" s="88"/>
      <c r="F66" s="88"/>
      <c r="G66" s="88"/>
      <c r="H66" s="88"/>
      <c r="I66" s="88"/>
      <c r="J66" s="88"/>
      <c r="K66" s="88"/>
      <c r="L66" s="88"/>
      <c r="M66" s="88"/>
      <c r="N66" s="88"/>
      <c r="O66" s="88"/>
      <c r="P66" s="88"/>
      <c r="Q66" s="89"/>
      <c r="R66" s="89"/>
      <c r="S66" s="89"/>
      <c r="T66" s="89"/>
      <c r="U66" s="89"/>
      <c r="V66" s="89"/>
      <c r="W66" s="89"/>
      <c r="X66" s="89"/>
      <c r="Y66" s="89"/>
      <c r="Z66" s="89"/>
      <c r="AA66" s="89"/>
      <c r="AB66" s="89"/>
    </row>
    <row r="67" spans="1:32" ht="17" thickTop="1">
      <c r="A67" s="1" t="s">
        <v>6928</v>
      </c>
      <c r="C67" s="90">
        <f t="shared" ref="C67:AB67" si="22">ROUND(SUM(C41:C66),0)</f>
        <v>0</v>
      </c>
      <c r="D67" s="90">
        <f t="shared" si="22"/>
        <v>21130</v>
      </c>
      <c r="E67" s="90">
        <f t="shared" si="22"/>
        <v>71971</v>
      </c>
      <c r="F67" s="90">
        <f t="shared" si="22"/>
        <v>136385</v>
      </c>
      <c r="G67" s="90">
        <f t="shared" si="22"/>
        <v>205913</v>
      </c>
      <c r="H67" s="90">
        <f t="shared" si="22"/>
        <v>369901</v>
      </c>
      <c r="I67" s="90">
        <f t="shared" si="22"/>
        <v>787005</v>
      </c>
      <c r="J67" s="90">
        <f t="shared" si="22"/>
        <v>1565768</v>
      </c>
      <c r="K67" s="90">
        <f t="shared" si="22"/>
        <v>2549965</v>
      </c>
      <c r="L67" s="90">
        <f t="shared" si="22"/>
        <v>3509709</v>
      </c>
      <c r="M67" s="90">
        <f t="shared" si="22"/>
        <v>4310496</v>
      </c>
      <c r="N67" s="90">
        <f t="shared" si="22"/>
        <v>4848259</v>
      </c>
      <c r="O67" s="90">
        <f t="shared" si="22"/>
        <v>5163394</v>
      </c>
      <c r="P67" s="90">
        <f t="shared" si="22"/>
        <v>5397473</v>
      </c>
      <c r="Q67" s="90">
        <f t="shared" si="22"/>
        <v>5649985</v>
      </c>
      <c r="R67" s="90">
        <f t="shared" si="22"/>
        <v>5601795</v>
      </c>
      <c r="S67" s="90">
        <f t="shared" si="22"/>
        <v>5291023</v>
      </c>
      <c r="T67" s="90">
        <f t="shared" si="22"/>
        <v>4886448</v>
      </c>
      <c r="U67" s="90">
        <f t="shared" si="22"/>
        <v>4485840</v>
      </c>
      <c r="V67" s="90">
        <f t="shared" si="22"/>
        <v>4143738</v>
      </c>
      <c r="W67" s="90">
        <f t="shared" si="22"/>
        <v>3880772</v>
      </c>
      <c r="X67" s="90">
        <f t="shared" si="22"/>
        <v>3696033</v>
      </c>
      <c r="Y67" s="90">
        <f t="shared" si="22"/>
        <v>3577057</v>
      </c>
      <c r="Z67" s="90">
        <f t="shared" si="22"/>
        <v>3507274</v>
      </c>
      <c r="AA67" s="90">
        <f t="shared" si="22"/>
        <v>3470726</v>
      </c>
      <c r="AB67" s="267">
        <f t="shared" si="22"/>
        <v>3454436</v>
      </c>
      <c r="AD67" s="1"/>
      <c r="AE67" s="1"/>
      <c r="AF67" s="1"/>
    </row>
    <row r="68" spans="1:32">
      <c r="R68" s="97"/>
      <c r="S68" s="97"/>
      <c r="T68" s="97"/>
      <c r="U68" s="97"/>
      <c r="V68" s="97"/>
      <c r="W68" s="97"/>
      <c r="X68" s="97"/>
      <c r="Y68" s="97"/>
      <c r="Z68" s="97"/>
      <c r="AA68" s="97"/>
      <c r="AB68" s="97"/>
      <c r="AD68" s="97"/>
      <c r="AE68" s="268"/>
      <c r="AF68" s="97"/>
    </row>
    <row r="69" spans="1:32" ht="21">
      <c r="B69" s="52" t="s">
        <v>7652</v>
      </c>
      <c r="Q69" s="46"/>
      <c r="R69" s="46"/>
      <c r="S69" s="46"/>
      <c r="T69" s="46"/>
      <c r="U69" s="46"/>
      <c r="V69" s="46"/>
      <c r="W69" s="46"/>
      <c r="X69" s="46"/>
      <c r="Y69" s="46"/>
      <c r="Z69" s="46"/>
      <c r="AA69" s="46"/>
      <c r="AB69" s="46"/>
    </row>
    <row r="70" spans="1:32">
      <c r="B70" s="7" t="s">
        <v>7761</v>
      </c>
      <c r="C70" s="50">
        <f>C67*Outflow_routing!B3</f>
        <v>0</v>
      </c>
      <c r="D70" s="50">
        <f>D67*Outflow_routing!C3</f>
        <v>0</v>
      </c>
      <c r="E70" s="50">
        <f>E67*Outflow_routing!D3</f>
        <v>0</v>
      </c>
      <c r="F70" s="50">
        <f>F67*Outflow_routing!E3</f>
        <v>0</v>
      </c>
      <c r="G70" s="50">
        <f>G67*Outflow_routing!F3</f>
        <v>0</v>
      </c>
      <c r="H70" s="50">
        <f>H67*Outflow_routing!G3</f>
        <v>0</v>
      </c>
      <c r="I70" s="50">
        <f>I67*Outflow_routing!H3</f>
        <v>0</v>
      </c>
      <c r="J70" s="50">
        <f>J67*Outflow_routing!I3</f>
        <v>0</v>
      </c>
      <c r="K70" s="50">
        <f>K67*Outflow_routing!J3</f>
        <v>0</v>
      </c>
      <c r="L70" s="50">
        <f>L67*Outflow_routing!K3</f>
        <v>0</v>
      </c>
      <c r="M70" s="50">
        <f>M67*Outflow_routing!L3</f>
        <v>0</v>
      </c>
      <c r="N70" s="50">
        <f>N67*Outflow_routing!M3</f>
        <v>0</v>
      </c>
      <c r="O70" s="50">
        <f>O67*Outflow_routing!N3</f>
        <v>0</v>
      </c>
      <c r="P70" s="50">
        <f>P67*Outflow_routing!O3</f>
        <v>0</v>
      </c>
      <c r="Q70" s="50">
        <f>Q67*Outflow_routing!P3</f>
        <v>0</v>
      </c>
      <c r="R70" s="50">
        <f>R67*Outflow_routing!Q3</f>
        <v>0</v>
      </c>
      <c r="S70" s="50">
        <f>S67*Outflow_routing!R3</f>
        <v>0</v>
      </c>
      <c r="T70" s="50">
        <f>T67*Outflow_routing!S3</f>
        <v>0</v>
      </c>
      <c r="U70" s="50">
        <f>U67*Outflow_routing!T3</f>
        <v>0</v>
      </c>
      <c r="V70" s="50">
        <f>V67*Outflow_routing!U3</f>
        <v>0</v>
      </c>
      <c r="W70" s="50">
        <f>W67*Outflow_routing!V3</f>
        <v>0</v>
      </c>
      <c r="X70" s="50">
        <f>X67*Outflow_routing!W3</f>
        <v>0</v>
      </c>
      <c r="Y70" s="50">
        <f>Y67*Outflow_routing!X3</f>
        <v>0</v>
      </c>
      <c r="Z70" s="50">
        <f>Z67*Outflow_routing!Y3</f>
        <v>0</v>
      </c>
      <c r="AA70" s="50">
        <f>AA67*Outflow_routing!Z3</f>
        <v>0</v>
      </c>
      <c r="AB70" s="50">
        <f>AB67*Outflow_routing!AA3</f>
        <v>0</v>
      </c>
    </row>
    <row r="71" spans="1:32">
      <c r="B71" s="7" t="s">
        <v>6905</v>
      </c>
      <c r="C71" s="91">
        <f>C67*Outflow_routing!B4</f>
        <v>0</v>
      </c>
      <c r="D71" s="91">
        <f>D67*Outflow_routing!C4</f>
        <v>8015.8283319443935</v>
      </c>
      <c r="E71" s="91">
        <f>E67*Outflow_routing!D4</f>
        <v>27302.753472710363</v>
      </c>
      <c r="F71" s="91">
        <f>F67*Outflow_routing!E4</f>
        <v>51738.70075968936</v>
      </c>
      <c r="G71" s="91">
        <f>G67*Outflow_routing!F4</f>
        <v>78114.68335616024</v>
      </c>
      <c r="H71" s="91">
        <f>H67*Outflow_routing!G4</f>
        <v>140324.79488000771</v>
      </c>
      <c r="I71" s="91">
        <f>I67*Outflow_routing!H4</f>
        <v>298556.4115656364</v>
      </c>
      <c r="J71" s="91">
        <f>J67*Outflow_routing!I4</f>
        <v>593986.15691679646</v>
      </c>
      <c r="K71" s="91">
        <f>K67*Outflow_routing!J4</f>
        <v>967348.87328284839</v>
      </c>
      <c r="L71" s="91">
        <f>L67*Outflow_routing!K4</f>
        <v>1331435.155659263</v>
      </c>
      <c r="M71" s="91">
        <f>M67*Outflow_routing!L4</f>
        <v>1635219.8751317076</v>
      </c>
      <c r="N71" s="91">
        <f>N67*Outflow_routing!M4</f>
        <v>1839224.4132893702</v>
      </c>
      <c r="O71" s="91">
        <f>O67*Outflow_routing!N4</f>
        <v>1958773.3040317886</v>
      </c>
      <c r="P71" s="91">
        <f>P67*Outflow_routing!O4</f>
        <v>2047572.9765406959</v>
      </c>
      <c r="Q71" s="91">
        <f>Q67*Outflow_routing!P4</f>
        <v>2143365.3496479341</v>
      </c>
      <c r="R71" s="91">
        <f>R67*Outflow_routing!Q4</f>
        <v>2125084.1017862963</v>
      </c>
      <c r="S71" s="91">
        <f>S67*Outflow_routing!R4</f>
        <v>2007190.3487160162</v>
      </c>
      <c r="T71" s="91">
        <f>T67*Outflow_routing!S4</f>
        <v>1853711.7047313307</v>
      </c>
      <c r="U71" s="91">
        <f>U67*Outflow_routing!T4</f>
        <v>1701737.9727671291</v>
      </c>
      <c r="V71" s="91">
        <f>V67*Outflow_routing!U4</f>
        <v>1571958.9427616943</v>
      </c>
      <c r="W71" s="91">
        <f>W67*Outflow_routing!V4</f>
        <v>1472200.7641938718</v>
      </c>
      <c r="X71" s="91">
        <f>X67*Outflow_routing!W4</f>
        <v>1402118.6009087285</v>
      </c>
      <c r="Y71" s="91">
        <f>Y67*Outflow_routing!X4</f>
        <v>1356984.1384562242</v>
      </c>
      <c r="Z71" s="91">
        <f>Z67*Outflow_routing!Y4</f>
        <v>1330511.4196446731</v>
      </c>
      <c r="AA71" s="91">
        <f>AA67*Outflow_routing!Z4</f>
        <v>1316646.6541985821</v>
      </c>
      <c r="AB71" s="91">
        <f>AB67*Outflow_routing!AA4</f>
        <v>1310466.9171646314</v>
      </c>
    </row>
    <row r="72" spans="1:32">
      <c r="B72" s="7" t="s">
        <v>6907</v>
      </c>
      <c r="C72" s="91">
        <f>C67*Outflow_routing!B5</f>
        <v>0</v>
      </c>
      <c r="D72" s="91">
        <f>D67*Outflow_routing!C5</f>
        <v>1806.9894994911701</v>
      </c>
      <c r="E72" s="91">
        <f>E67*Outflow_routing!D5</f>
        <v>6154.7960846132983</v>
      </c>
      <c r="F72" s="91">
        <f>F67*Outflow_routing!E5</f>
        <v>11663.334732044639</v>
      </c>
      <c r="G72" s="91">
        <f>G67*Outflow_routing!F5</f>
        <v>17609.211017923582</v>
      </c>
      <c r="H72" s="91">
        <f>H67*Outflow_routing!G5</f>
        <v>31633.091474268022</v>
      </c>
      <c r="I72" s="91">
        <f>I67*Outflow_routing!H5</f>
        <v>67302.876055231813</v>
      </c>
      <c r="J72" s="91">
        <f>J67*Outflow_routing!I5</f>
        <v>133900.91503262141</v>
      </c>
      <c r="K72" s="91">
        <f>K67*Outflow_routing!J5</f>
        <v>218067.20203833419</v>
      </c>
      <c r="L72" s="91">
        <f>L67*Outflow_routing!K5</f>
        <v>300142.32414906082</v>
      </c>
      <c r="M72" s="91">
        <f>M67*Outflow_routing!L5</f>
        <v>368623.80547083251</v>
      </c>
      <c r="N72" s="91">
        <f>N67*Outflow_routing!M5</f>
        <v>414612.07306263893</v>
      </c>
      <c r="O72" s="91">
        <f>O67*Outflow_routing!N5</f>
        <v>441561.70088668767</v>
      </c>
      <c r="P72" s="91">
        <f>P67*Outflow_routing!O5</f>
        <v>461579.60410729313</v>
      </c>
      <c r="Q72" s="91">
        <f>Q67*Outflow_routing!P5</f>
        <v>483173.85552686313</v>
      </c>
      <c r="R72" s="91">
        <f>R67*Outflow_routing!Q5</f>
        <v>479052.75642698241</v>
      </c>
      <c r="S72" s="91">
        <f>S67*Outflow_routing!R5</f>
        <v>452476.24243096396</v>
      </c>
      <c r="T72" s="91">
        <f>T67*Outflow_routing!S5</f>
        <v>417877.90940887976</v>
      </c>
      <c r="U72" s="91">
        <f>U67*Outflow_routing!T5</f>
        <v>383618.82519628346</v>
      </c>
      <c r="V72" s="91">
        <f>V67*Outflow_routing!U5</f>
        <v>354363.04092013923</v>
      </c>
      <c r="W72" s="91">
        <f>W67*Outflow_routing!V5</f>
        <v>331874.7872181423</v>
      </c>
      <c r="X72" s="91">
        <f>X67*Outflow_routing!W5</f>
        <v>316076.32847954793</v>
      </c>
      <c r="Y72" s="91">
        <f>Y67*Outflow_routing!X5</f>
        <v>305901.77179750998</v>
      </c>
      <c r="Z72" s="91">
        <f>Z67*Outflow_routing!Y5</f>
        <v>299934.0884921152</v>
      </c>
      <c r="AA72" s="91">
        <f>AA67*Outflow_routing!Z5</f>
        <v>296808.58673028823</v>
      </c>
      <c r="AB72" s="91">
        <f>AB67*Outflow_routing!AA5</f>
        <v>295415.50301298057</v>
      </c>
    </row>
    <row r="73" spans="1:32">
      <c r="B73" s="7" t="s">
        <v>6908</v>
      </c>
      <c r="C73" s="91">
        <f>C67*Outflow_routing!B6</f>
        <v>0</v>
      </c>
      <c r="D73" s="91">
        <f>D67*Outflow_routing!C6</f>
        <v>292.22612152849342</v>
      </c>
      <c r="E73" s="91">
        <f>E67*Outflow_routing!D6</f>
        <v>995.35287233919541</v>
      </c>
      <c r="F73" s="91">
        <f>F67*Outflow_routing!E6</f>
        <v>1886.193070736563</v>
      </c>
      <c r="G73" s="91">
        <f>G67*Outflow_routing!F6</f>
        <v>2847.7594586983751</v>
      </c>
      <c r="H73" s="91">
        <f>H67*Outflow_routing!G6</f>
        <v>5115.699696143457</v>
      </c>
      <c r="I73" s="91">
        <f>I67*Outflow_routing!H6</f>
        <v>10884.212909301086</v>
      </c>
      <c r="J73" s="91">
        <f>J67*Outflow_routing!I6</f>
        <v>21654.439652315479</v>
      </c>
      <c r="K73" s="91">
        <f>K67*Outflow_routing!J6</f>
        <v>35265.801324344757</v>
      </c>
      <c r="L73" s="91">
        <f>L67*Outflow_routing!K6</f>
        <v>48538.980064536066</v>
      </c>
      <c r="M73" s="91">
        <f>M67*Outflow_routing!L6</f>
        <v>59613.796873832689</v>
      </c>
      <c r="N73" s="91">
        <f>N67*Outflow_routing!M6</f>
        <v>67051.01390135409</v>
      </c>
      <c r="O73" s="91">
        <f>O67*Outflow_routing!N6</f>
        <v>71409.304427046562</v>
      </c>
      <c r="P73" s="91">
        <f>P67*Outflow_routing!O6</f>
        <v>74646.597295066822</v>
      </c>
      <c r="Q73" s="91">
        <f>Q67*Outflow_routing!P6</f>
        <v>78138.817001616888</v>
      </c>
      <c r="R73" s="91">
        <f>R67*Outflow_routing!Q6</f>
        <v>77472.353357676606</v>
      </c>
      <c r="S73" s="91">
        <f>S67*Outflow_routing!R6</f>
        <v>73174.402754758819</v>
      </c>
      <c r="T73" s="91">
        <f>T67*Outflow_routing!S6</f>
        <v>67579.164557059325</v>
      </c>
      <c r="U73" s="91">
        <f>U67*Outflow_routing!T6</f>
        <v>62038.789635465073</v>
      </c>
      <c r="V73" s="91">
        <f>V67*Outflow_routing!U6</f>
        <v>57307.547769533187</v>
      </c>
      <c r="W73" s="91">
        <f>W67*Outflow_routing!V6</f>
        <v>53670.750122876219</v>
      </c>
      <c r="X73" s="91">
        <f>X67*Outflow_routing!W6</f>
        <v>51115.825302002937</v>
      </c>
      <c r="Y73" s="91">
        <f>Y67*Outflow_routing!X6</f>
        <v>49470.397235984296</v>
      </c>
      <c r="Z73" s="91">
        <f>Z67*Outflow_routing!Y6</f>
        <v>48505.304219485341</v>
      </c>
      <c r="AA73" s="91">
        <f>AA67*Outflow_routing!Z6</f>
        <v>47999.848455660285</v>
      </c>
      <c r="AB73" s="91">
        <f>AB67*Outflow_routing!AA6</f>
        <v>47774.559126758293</v>
      </c>
    </row>
    <row r="75" spans="1:32" ht="21">
      <c r="A75" s="293" t="s">
        <v>7792</v>
      </c>
      <c r="B75" s="52" t="s">
        <v>7805</v>
      </c>
      <c r="C75" s="162"/>
      <c r="D75" s="162"/>
      <c r="E75" s="162"/>
      <c r="F75" s="162"/>
      <c r="G75" s="162"/>
      <c r="H75" s="162"/>
      <c r="I75" s="162"/>
      <c r="J75" s="162"/>
      <c r="K75" s="162"/>
      <c r="L75" s="162"/>
      <c r="M75" s="162"/>
      <c r="N75" s="162"/>
      <c r="O75" s="162"/>
    </row>
    <row r="76" spans="1:32">
      <c r="A76" s="1" t="s">
        <v>7762</v>
      </c>
      <c r="B76" s="163">
        <v>2007</v>
      </c>
      <c r="C76" s="164">
        <f>((VLOOKUP($B$76,Energy_demand!$A$34:$F$66,6,FALSE )))*C7</f>
        <v>8742331.3979523182</v>
      </c>
      <c r="D76" s="164">
        <f>((VLOOKUP($B$76,Energy_demand!$A$34:$F$66,6,FALSE )))*D7</f>
        <v>8087263.077667891</v>
      </c>
      <c r="E76" s="164">
        <f>((VLOOKUP($B$76,Energy_demand!$A$34:$F$66,6,FALSE )))*E7</f>
        <v>6903779.8552424181</v>
      </c>
      <c r="F76" s="164">
        <f>((VLOOKUP($B$76,Energy_demand!$A$34:$F$66,6,FALSE )))*F7</f>
        <v>5564851.6290172683</v>
      </c>
      <c r="G76" s="164">
        <f>((VLOOKUP($B$76,Energy_demand!$A$34:$F$66,6,FALSE )))*G7</f>
        <v>4273494.0965898335</v>
      </c>
      <c r="H76" s="164">
        <f>((VLOOKUP($B$76,Energy_demand!$A$34:$F$66,6,FALSE )))*H7</f>
        <v>3143450.5286804209</v>
      </c>
      <c r="I76" s="164">
        <f>((VLOOKUP($B$76,Energy_demand!$A$34:$F$66,6,FALSE )))*I7</f>
        <v>2223002.160415695</v>
      </c>
      <c r="J76" s="164">
        <f>((VLOOKUP($B$76,Energy_demand!$A$34:$F$66,6,FALSE )))*J7</f>
        <v>1515633.1487391156</v>
      </c>
      <c r="K76" s="164">
        <f>((VLOOKUP($B$76,Energy_demand!$A$34:$F$66,6,FALSE )))*K7</f>
        <v>998444.63700077939</v>
      </c>
      <c r="L76" s="164">
        <f>((VLOOKUP($B$76,Energy_demand!$A$34:$F$66,6,FALSE )))*L7</f>
        <v>636662.07769299916</v>
      </c>
      <c r="M76" s="164">
        <f>((VLOOKUP($B$76,Energy_demand!$A$34:$F$66,6,FALSE )))*M7</f>
        <v>393551.98974222125</v>
      </c>
      <c r="N76" s="164">
        <f>((VLOOKUP($B$76,Energy_demand!$A$34:$F$66,6,FALSE )))*N7</f>
        <v>236135.66812376835</v>
      </c>
      <c r="O76" s="164">
        <f>((VLOOKUP($B$76,Energy_demand!$A$34:$F$66,6,FALSE )))*O7</f>
        <v>137680.43706592871</v>
      </c>
      <c r="P76" s="164">
        <f>((VLOOKUP($B$76,Energy_demand!$A$34:$F$66,6,FALSE )))*P7</f>
        <v>78083.740773132027</v>
      </c>
      <c r="Q76" s="164">
        <f>((VLOOKUP($B$76,Energy_demand!$A$34:$F$66,6,FALSE )))*Q7</f>
        <v>43112.786966122294</v>
      </c>
      <c r="R76" s="164">
        <f>((VLOOKUP($B$76,Energy_demand!$A$34:$F$66,6,FALSE )))*R7</f>
        <v>23192.587064267584</v>
      </c>
      <c r="S76" s="164">
        <f>((VLOOKUP($B$76,Energy_demand!$A$34:$F$66,6,FALSE )))*S7</f>
        <v>12164.601619092262</v>
      </c>
      <c r="T76" s="164">
        <f>((VLOOKUP($B$76,Energy_demand!$A$34:$F$66,6,FALSE )))*T7</f>
        <v>6224.9038238123831</v>
      </c>
      <c r="U76" s="164">
        <f>((VLOOKUP($B$76,Energy_demand!$A$34:$F$66,6,FALSE )))*U7</f>
        <v>3109.6418016361908</v>
      </c>
      <c r="V76" s="164">
        <f>((VLOOKUP($B$76,Energy_demand!$A$34:$F$66,6,FALSE )))*V7</f>
        <v>1517.2865198104018</v>
      </c>
      <c r="W76" s="164">
        <f>((VLOOKUP($B$76,Energy_demand!$A$34:$F$66,6,FALSE )))*W7</f>
        <v>723.4743846256689</v>
      </c>
      <c r="X76" s="164">
        <f>((VLOOKUP($B$76,Energy_demand!$A$34:$F$66,6,FALSE )))*X7</f>
        <v>337.27199777290065</v>
      </c>
      <c r="Y76" s="164">
        <f>((VLOOKUP($B$76,Energy_demand!$A$34:$F$66,6,FALSE )))*Y7</f>
        <v>153.79012672140217</v>
      </c>
      <c r="Z76" s="164">
        <f>((VLOOKUP($B$76,Energy_demand!$A$34:$F$66,6,FALSE )))*Z7</f>
        <v>68.619082540588295</v>
      </c>
      <c r="AA76" s="164">
        <f>((VLOOKUP($B$76,Energy_demand!$A$34:$F$66,6,FALSE )))*AA7</f>
        <v>29.970634581145237</v>
      </c>
      <c r="AB76" s="164">
        <f>((VLOOKUP($B$76,Energy_demand!$A$34:$F$66,6,FALSE )))*AB7</f>
        <v>12.818523763566443</v>
      </c>
    </row>
    <row r="77" spans="1:32">
      <c r="B77" s="163">
        <v>2008</v>
      </c>
      <c r="C77" s="164">
        <f>((VLOOKUP($B$76,Energy_demand!$A$34:$F$66,6,FALSE )))*C8</f>
        <v>0</v>
      </c>
      <c r="D77" s="164">
        <f>((VLOOKUP($B$76,Energy_demand!$A$34:$F$66,6,FALSE )))*D8</f>
        <v>13982858.294367809</v>
      </c>
      <c r="E77" s="164">
        <f>((VLOOKUP($B$76,Energy_demand!$A$34:$F$66,6,FALSE )))*E8</f>
        <v>12935114.03957873</v>
      </c>
      <c r="F77" s="164">
        <f>((VLOOKUP($B$76,Energy_demand!$A$34:$F$66,6,FALSE )))*F8</f>
        <v>11042200.417382568</v>
      </c>
      <c r="G77" s="164">
        <f>((VLOOKUP($B$76,Energy_demand!$A$34:$F$66,6,FALSE )))*G8</f>
        <v>8900661.4157816116</v>
      </c>
      <c r="H77" s="164">
        <f>((VLOOKUP($B$76,Energy_demand!$A$34:$F$66,6,FALSE )))*H8</f>
        <v>6835209.0139741609</v>
      </c>
      <c r="I77" s="164">
        <f>((VLOOKUP($B$76,Energy_demand!$A$34:$F$66,6,FALSE )))*I8</f>
        <v>5027769.0580557445</v>
      </c>
      <c r="J77" s="164">
        <f>((VLOOKUP($B$76,Energy_demand!$A$34:$F$66,6,FALSE )))*J8</f>
        <v>3555564.6179744257</v>
      </c>
      <c r="K77" s="164">
        <f>((VLOOKUP($B$76,Energy_demand!$A$34:$F$66,6,FALSE )))*K8</f>
        <v>2424168.403182412</v>
      </c>
      <c r="L77" s="164">
        <f>((VLOOKUP($B$76,Energy_demand!$A$34:$F$66,6,FALSE )))*L8</f>
        <v>1596955.0041563807</v>
      </c>
      <c r="M77" s="164">
        <f>((VLOOKUP($B$76,Energy_demand!$A$34:$F$66,6,FALSE )))*M8</f>
        <v>1018304.5241071687</v>
      </c>
      <c r="N77" s="164">
        <f>((VLOOKUP($B$76,Energy_demand!$A$34:$F$66,6,FALSE )))*N8</f>
        <v>629463.86421829229</v>
      </c>
      <c r="O77" s="164">
        <f>((VLOOKUP($B$76,Energy_demand!$A$34:$F$66,6,FALSE )))*O8</f>
        <v>377685.47488303838</v>
      </c>
      <c r="P77" s="164">
        <f>((VLOOKUP($B$76,Energy_demand!$A$34:$F$66,6,FALSE )))*P8</f>
        <v>220211.97250088581</v>
      </c>
      <c r="Q77" s="164">
        <f>((VLOOKUP($B$76,Energy_demand!$A$34:$F$66,6,FALSE )))*Q8</f>
        <v>124890.47058781036</v>
      </c>
      <c r="R77" s="164">
        <f>((VLOOKUP($B$76,Energy_demand!$A$34:$F$66,6,FALSE )))*R8</f>
        <v>68956.433173393118</v>
      </c>
      <c r="S77" s="164">
        <f>((VLOOKUP($B$76,Energy_demand!$A$34:$F$66,6,FALSE )))*S8</f>
        <v>37095.214495689404</v>
      </c>
      <c r="T77" s="164">
        <f>((VLOOKUP($B$76,Energy_demand!$A$34:$F$66,6,FALSE )))*T8</f>
        <v>19456.583479213012</v>
      </c>
      <c r="U77" s="164">
        <f>((VLOOKUP($B$76,Energy_demand!$A$34:$F$66,6,FALSE )))*U8</f>
        <v>9956.3770923651282</v>
      </c>
      <c r="V77" s="164">
        <f>((VLOOKUP($B$76,Energy_demand!$A$34:$F$66,6,FALSE )))*V8</f>
        <v>4973.6939357739293</v>
      </c>
      <c r="W77" s="164">
        <f>((VLOOKUP($B$76,Energy_demand!$A$34:$F$66,6,FALSE )))*W8</f>
        <v>2426.8128755028301</v>
      </c>
      <c r="X77" s="164">
        <f>((VLOOKUP($B$76,Energy_demand!$A$34:$F$66,6,FALSE )))*X8</f>
        <v>1157.1558362790006</v>
      </c>
      <c r="Y77" s="164">
        <f>((VLOOKUP($B$76,Energy_demand!$A$34:$F$66,6,FALSE )))*Y8</f>
        <v>539.44724088375563</v>
      </c>
      <c r="Z77" s="164">
        <f>((VLOOKUP($B$76,Energy_demand!$A$34:$F$66,6,FALSE )))*Z8</f>
        <v>245.97849831246623</v>
      </c>
      <c r="AA77" s="164">
        <f>((VLOOKUP($B$76,Energy_demand!$A$34:$F$66,6,FALSE )))*AA8</f>
        <v>109.7522918977096</v>
      </c>
      <c r="AB77" s="164">
        <f>((VLOOKUP($B$76,Energy_demand!$A$34:$F$66,6,FALSE )))*AB8</f>
        <v>47.936313240034764</v>
      </c>
    </row>
    <row r="78" spans="1:32">
      <c r="B78" s="163">
        <v>2009</v>
      </c>
      <c r="C78" s="164">
        <f>((VLOOKUP($B$76,Energy_demand!$A$34:$F$66,6,FALSE )))*C9</f>
        <v>0</v>
      </c>
      <c r="D78" s="164">
        <f>((VLOOKUP($B$76,Energy_demand!$A$34:$F$66,6,FALSE )))*D9</f>
        <v>0</v>
      </c>
      <c r="E78" s="164">
        <f>((VLOOKUP($B$76,Energy_demand!$A$34:$F$66,6,FALSE )))*E9</f>
        <v>13296897.595777353</v>
      </c>
      <c r="F78" s="164">
        <f>((VLOOKUP($B$76,Energy_demand!$A$34:$F$66,6,FALSE )))*F9</f>
        <v>12300552.802087637</v>
      </c>
      <c r="G78" s="164">
        <f>((VLOOKUP($B$76,Energy_demand!$A$34:$F$66,6,FALSE )))*G9</f>
        <v>10500500.333406568</v>
      </c>
      <c r="H78" s="164">
        <f>((VLOOKUP($B$76,Energy_demand!$A$34:$F$66,6,FALSE )))*H9</f>
        <v>8464019.3649109434</v>
      </c>
      <c r="I78" s="164">
        <f>((VLOOKUP($B$76,Energy_demand!$A$34:$F$66,6,FALSE )))*I9</f>
        <v>6499892.3961889353</v>
      </c>
      <c r="J78" s="164">
        <f>((VLOOKUP($B$76,Energy_demand!$A$34:$F$66,6,FALSE )))*J9</f>
        <v>4781120.4900155067</v>
      </c>
      <c r="K78" s="164">
        <f>((VLOOKUP($B$76,Energy_demand!$A$34:$F$66,6,FALSE )))*K9</f>
        <v>3381138.3642082945</v>
      </c>
      <c r="L78" s="164">
        <f>((VLOOKUP($B$76,Energy_demand!$A$34:$F$66,6,FALSE )))*L9</f>
        <v>2305245.3463695063</v>
      </c>
      <c r="M78" s="164">
        <f>((VLOOKUP($B$76,Energy_demand!$A$34:$F$66,6,FALSE )))*M9</f>
        <v>1518612.7691707145</v>
      </c>
      <c r="N78" s="164">
        <f>((VLOOKUP($B$76,Energy_demand!$A$34:$F$66,6,FALSE )))*N9</f>
        <v>968349.29549588158</v>
      </c>
      <c r="O78" s="164">
        <f>((VLOOKUP($B$76,Energy_demand!$A$34:$F$66,6,FALSE )))*O9</f>
        <v>598584.09250448272</v>
      </c>
      <c r="P78" s="164">
        <f>((VLOOKUP($B$76,Energy_demand!$A$34:$F$66,6,FALSE )))*P9</f>
        <v>359157.26078373712</v>
      </c>
      <c r="Q78" s="164">
        <f>((VLOOKUP($B$76,Energy_demand!$A$34:$F$66,6,FALSE )))*Q9</f>
        <v>209408.97676749312</v>
      </c>
      <c r="R78" s="164">
        <f>((VLOOKUP($B$76,Energy_demand!$A$34:$F$66,6,FALSE )))*R9</f>
        <v>118763.6864462438</v>
      </c>
      <c r="S78" s="164">
        <f>((VLOOKUP($B$76,Energy_demand!$A$34:$F$66,6,FALSE )))*S9</f>
        <v>65573.619582914311</v>
      </c>
      <c r="T78" s="164">
        <f>((VLOOKUP($B$76,Energy_demand!$A$34:$F$66,6,FALSE )))*T9</f>
        <v>35275.424956659655</v>
      </c>
      <c r="U78" s="164">
        <f>((VLOOKUP($B$76,Energy_demand!$A$34:$F$66,6,FALSE )))*U9</f>
        <v>18502.096827441655</v>
      </c>
      <c r="V78" s="164">
        <f>((VLOOKUP($B$76,Energy_demand!$A$34:$F$66,6,FALSE )))*V9</f>
        <v>9467.9445242928523</v>
      </c>
      <c r="W78" s="164">
        <f>((VLOOKUP($B$76,Energy_demand!$A$34:$F$66,6,FALSE )))*W9</f>
        <v>4729.6981450039666</v>
      </c>
      <c r="X78" s="164">
        <f>((VLOOKUP($B$76,Energy_demand!$A$34:$F$66,6,FALSE )))*X9</f>
        <v>2307.7600881268208</v>
      </c>
      <c r="Y78" s="164">
        <f>((VLOOKUP($B$76,Energy_demand!$A$34:$F$66,6,FALSE )))*Y9</f>
        <v>1100.3889429070148</v>
      </c>
      <c r="Z78" s="164">
        <f>((VLOOKUP($B$76,Energy_demand!$A$34:$F$66,6,FALSE )))*Z9</f>
        <v>512.98343796026006</v>
      </c>
      <c r="AA78" s="164">
        <f>((VLOOKUP($B$76,Energy_demand!$A$34:$F$66,6,FALSE )))*AA9</f>
        <v>233.91146745307358</v>
      </c>
      <c r="AB78" s="164">
        <f>((VLOOKUP($B$76,Energy_demand!$A$34:$F$66,6,FALSE )))*AB9</f>
        <v>104.36814530642353</v>
      </c>
    </row>
    <row r="79" spans="1:32">
      <c r="B79" s="163">
        <v>2010</v>
      </c>
      <c r="C79" s="164">
        <f>((VLOOKUP($B$76,Energy_demand!$A$34:$F$66,6,FALSE )))*C10</f>
        <v>0</v>
      </c>
      <c r="D79" s="164">
        <f>((VLOOKUP($B$76,Energy_demand!$A$34:$F$66,6,FALSE )))*D10</f>
        <v>0</v>
      </c>
      <c r="E79" s="164">
        <f>((VLOOKUP($B$76,Energy_demand!$A$34:$F$66,6,FALSE )))*E10</f>
        <v>0</v>
      </c>
      <c r="F79" s="164">
        <f>((VLOOKUP($B$76,Energy_demand!$A$34:$F$66,6,FALSE )))*F10</f>
        <v>15357641.638094751</v>
      </c>
      <c r="G79" s="164">
        <f>((VLOOKUP($B$76,Energy_demand!$A$34:$F$66,6,FALSE )))*G10</f>
        <v>14206884.013675103</v>
      </c>
      <c r="H79" s="164">
        <f>((VLOOKUP($B$76,Energy_demand!$A$34:$F$66,6,FALSE )))*H10</f>
        <v>12127860.651672928</v>
      </c>
      <c r="I79" s="164">
        <f>((VLOOKUP($B$76,Energy_demand!$A$34:$F$66,6,FALSE )))*I10</f>
        <v>9775767.2635966036</v>
      </c>
      <c r="J79" s="164">
        <f>((VLOOKUP($B$76,Energy_demand!$A$34:$F$66,6,FALSE )))*J10</f>
        <v>7507241.2484057257</v>
      </c>
      <c r="K79" s="164">
        <f>((VLOOKUP($B$76,Energy_demand!$A$34:$F$66,6,FALSE )))*K10</f>
        <v>5522095.2545748707</v>
      </c>
      <c r="L79" s="164">
        <f>((VLOOKUP($B$76,Energy_demand!$A$34:$F$66,6,FALSE )))*L10</f>
        <v>3905144.8619725355</v>
      </c>
      <c r="M79" s="164">
        <f>((VLOOKUP($B$76,Energy_demand!$A$34:$F$66,6,FALSE )))*M10</f>
        <v>2662510.6843472519</v>
      </c>
      <c r="N79" s="164">
        <f>((VLOOKUP($B$76,Energy_demand!$A$34:$F$66,6,FALSE )))*N10</f>
        <v>1753966.3314670424</v>
      </c>
      <c r="O79" s="164">
        <f>((VLOOKUP($B$76,Energy_demand!$A$34:$F$66,6,FALSE )))*O10</f>
        <v>1118423.4031741342</v>
      </c>
      <c r="P79" s="164">
        <f>((VLOOKUP($B$76,Energy_demand!$A$34:$F$66,6,FALSE )))*P10</f>
        <v>691352.24338851357</v>
      </c>
      <c r="Q79" s="164">
        <f>((VLOOKUP($B$76,Energy_demand!$A$34:$F$66,6,FALSE )))*Q10</f>
        <v>414819.20599193097</v>
      </c>
      <c r="R79" s="164">
        <f>((VLOOKUP($B$76,Energy_demand!$A$34:$F$66,6,FALSE )))*R10</f>
        <v>241863.03593227424</v>
      </c>
      <c r="S79" s="164">
        <f>((VLOOKUP($B$76,Energy_demand!$A$34:$F$66,6,FALSE )))*S10</f>
        <v>137169.60087288945</v>
      </c>
      <c r="T79" s="164">
        <f>((VLOOKUP($B$76,Energy_demand!$A$34:$F$66,6,FALSE )))*T10</f>
        <v>75736.174037089469</v>
      </c>
      <c r="U79" s="164">
        <f>((VLOOKUP($B$76,Energy_demand!$A$34:$F$66,6,FALSE )))*U10</f>
        <v>40742.386050105692</v>
      </c>
      <c r="V79" s="164">
        <f>((VLOOKUP($B$76,Energy_demand!$A$34:$F$66,6,FALSE )))*V10</f>
        <v>21369.539065970908</v>
      </c>
      <c r="W79" s="164">
        <f>((VLOOKUP($B$76,Energy_demand!$A$34:$F$66,6,FALSE )))*W10</f>
        <v>10935.280053568806</v>
      </c>
      <c r="X79" s="164">
        <f>((VLOOKUP($B$76,Energy_demand!$A$34:$F$66,6,FALSE )))*X10</f>
        <v>5462.7035099074164</v>
      </c>
      <c r="Y79" s="164">
        <f>((VLOOKUP($B$76,Energy_demand!$A$34:$F$66,6,FALSE )))*Y10</f>
        <v>2665.4151590521979</v>
      </c>
      <c r="Z79" s="164">
        <f>((VLOOKUP($B$76,Energy_demand!$A$34:$F$66,6,FALSE )))*Z10</f>
        <v>1270.9264643095778</v>
      </c>
      <c r="AA79" s="164">
        <f>((VLOOKUP($B$76,Energy_demand!$A$34:$F$66,6,FALSE )))*AA10</f>
        <v>592.48525828862091</v>
      </c>
      <c r="AB79" s="164">
        <f>((VLOOKUP($B$76,Energy_demand!$A$34:$F$66,6,FALSE )))*AB10</f>
        <v>270.16290576878407</v>
      </c>
    </row>
    <row r="80" spans="1:32">
      <c r="B80" s="163">
        <v>2011</v>
      </c>
      <c r="C80" s="164">
        <f>((VLOOKUP($B$76,Energy_demand!$A$34:$F$66,6,FALSE )))*C11</f>
        <v>0</v>
      </c>
      <c r="D80" s="164">
        <f>((VLOOKUP($B$76,Energy_demand!$A$34:$F$66,6,FALSE )))*D11</f>
        <v>0</v>
      </c>
      <c r="E80" s="164">
        <f>((VLOOKUP($B$76,Energy_demand!$A$34:$F$66,6,FALSE )))*E11</f>
        <v>0</v>
      </c>
      <c r="F80" s="164">
        <f>((VLOOKUP($B$76,Energy_demand!$A$34:$F$66,6,FALSE )))*F11</f>
        <v>0</v>
      </c>
      <c r="G80" s="164">
        <f>((VLOOKUP($B$76,Energy_demand!$A$34:$F$66,6,FALSE )))*G11</f>
        <v>55473139.134984426</v>
      </c>
      <c r="H80" s="164">
        <f>((VLOOKUP($B$76,Energy_demand!$A$34:$F$66,6,FALSE )))*H11</f>
        <v>51316502.373013809</v>
      </c>
      <c r="I80" s="164">
        <f>((VLOOKUP($B$76,Energy_demand!$A$34:$F$66,6,FALSE )))*I11</f>
        <v>43806888.921743214</v>
      </c>
      <c r="J80" s="164">
        <f>((VLOOKUP($B$76,Energy_demand!$A$34:$F$66,6,FALSE )))*J11</f>
        <v>35310922.753892079</v>
      </c>
      <c r="K80" s="164">
        <f>((VLOOKUP($B$76,Energy_demand!$A$34:$F$66,6,FALSE )))*K11</f>
        <v>27116809.215009741</v>
      </c>
      <c r="L80" s="164">
        <f>((VLOOKUP($B$76,Energy_demand!$A$34:$F$66,6,FALSE )))*L11</f>
        <v>19946288.993605644</v>
      </c>
      <c r="M80" s="164">
        <f>((VLOOKUP($B$76,Energy_demand!$A$34:$F$66,6,FALSE )))*M11</f>
        <v>14105723.350981051</v>
      </c>
      <c r="N80" s="164">
        <f>((VLOOKUP($B$76,Energy_demand!$A$34:$F$66,6,FALSE )))*N11</f>
        <v>9617220.4770563263</v>
      </c>
      <c r="O80" s="164">
        <f>((VLOOKUP($B$76,Energy_demand!$A$34:$F$66,6,FALSE )))*O11</f>
        <v>6335479.1468893867</v>
      </c>
      <c r="P80" s="164">
        <f>((VLOOKUP($B$76,Energy_demand!$A$34:$F$66,6,FALSE )))*P11</f>
        <v>4039842.7387578003</v>
      </c>
      <c r="Q80" s="164">
        <f>((VLOOKUP($B$76,Energy_demand!$A$34:$F$66,6,FALSE )))*Q11</f>
        <v>2497224.5148397968</v>
      </c>
      <c r="R80" s="164">
        <f>((VLOOKUP($B$76,Energy_demand!$A$34:$F$66,6,FALSE )))*R11</f>
        <v>1498363.0997596909</v>
      </c>
      <c r="S80" s="164">
        <f>((VLOOKUP($B$76,Energy_demand!$A$34:$F$66,6,FALSE )))*S11</f>
        <v>873630.35028764163</v>
      </c>
      <c r="T80" s="164">
        <f>((VLOOKUP($B$76,Energy_demand!$A$34:$F$66,6,FALSE )))*T11</f>
        <v>495468.5448211871</v>
      </c>
      <c r="U80" s="164">
        <f>((VLOOKUP($B$76,Energy_demand!$A$34:$F$66,6,FALSE )))*U11</f>
        <v>273565.65668842301</v>
      </c>
      <c r="V80" s="164">
        <f>((VLOOKUP($B$76,Energy_demand!$A$34:$F$66,6,FALSE )))*V11</f>
        <v>147165.04677661872</v>
      </c>
      <c r="W80" s="164">
        <f>((VLOOKUP($B$76,Energy_demand!$A$34:$F$66,6,FALSE )))*W11</f>
        <v>77188.636236738821</v>
      </c>
      <c r="X80" s="164">
        <f>((VLOOKUP($B$76,Energy_demand!$A$34:$F$66,6,FALSE )))*X11</f>
        <v>39499.183936349371</v>
      </c>
      <c r="Y80" s="164">
        <f>((VLOOKUP($B$76,Energy_demand!$A$34:$F$66,6,FALSE )))*Y11</f>
        <v>19731.760839280516</v>
      </c>
      <c r="Z80" s="164">
        <f>((VLOOKUP($B$76,Energy_demand!$A$34:$F$66,6,FALSE )))*Z11</f>
        <v>9627.7116926490817</v>
      </c>
      <c r="AA80" s="164">
        <f>((VLOOKUP($B$76,Energy_demand!$A$34:$F$66,6,FALSE )))*AA11</f>
        <v>4590.6970774794981</v>
      </c>
      <c r="AB80" s="164">
        <f>((VLOOKUP($B$76,Energy_demand!$A$34:$F$66,6,FALSE )))*AB11</f>
        <v>2140.1083540681761</v>
      </c>
    </row>
    <row r="81" spans="1:28">
      <c r="B81" s="163">
        <v>2012</v>
      </c>
      <c r="C81" s="164">
        <f>((VLOOKUP($B$76,Energy_demand!$A$34:$F$66,6,FALSE )))*C12</f>
        <v>0</v>
      </c>
      <c r="D81" s="164">
        <f>((VLOOKUP($B$76,Energy_demand!$A$34:$F$66,6,FALSE )))*D12</f>
        <v>0</v>
      </c>
      <c r="E81" s="164">
        <f>((VLOOKUP($B$76,Energy_demand!$A$34:$F$66,6,FALSE )))*E12</f>
        <v>0</v>
      </c>
      <c r="F81" s="164">
        <f>((VLOOKUP($B$76,Energy_demand!$A$34:$F$66,6,FALSE )))*F12</f>
        <v>0</v>
      </c>
      <c r="G81" s="164">
        <f>((VLOOKUP($B$76,Energy_demand!$A$34:$F$66,6,FALSE )))*G12</f>
        <v>0</v>
      </c>
      <c r="H81" s="164">
        <f>((VLOOKUP($B$76,Energy_demand!$A$34:$F$66,6,FALSE )))*H12</f>
        <v>131387531.37672827</v>
      </c>
      <c r="I81" s="164">
        <f>((VLOOKUP($B$76,Energy_demand!$A$34:$F$66,6,FALSE )))*I12</f>
        <v>121542582.06430225</v>
      </c>
      <c r="J81" s="164">
        <f>((VLOOKUP($B$76,Energy_demand!$A$34:$F$66,6,FALSE )))*J12</f>
        <v>103756143.64849485</v>
      </c>
      <c r="K81" s="164">
        <f>((VLOOKUP($B$76,Energy_demand!$A$34:$F$66,6,FALSE )))*K12</f>
        <v>83633539.468155891</v>
      </c>
      <c r="L81" s="164">
        <f>((VLOOKUP($B$76,Energy_demand!$A$34:$F$66,6,FALSE )))*L12</f>
        <v>64225869.981944844</v>
      </c>
      <c r="M81" s="164">
        <f>((VLOOKUP($B$76,Energy_demand!$A$34:$F$66,6,FALSE )))*M12</f>
        <v>47242570.221592106</v>
      </c>
      <c r="N81" s="164">
        <f>((VLOOKUP($B$76,Energy_demand!$A$34:$F$66,6,FALSE )))*N12</f>
        <v>33409253.528248012</v>
      </c>
      <c r="O81" s="164">
        <f>((VLOOKUP($B$76,Energy_demand!$A$34:$F$66,6,FALSE )))*O12</f>
        <v>22778282.911148008</v>
      </c>
      <c r="P81" s="164">
        <f>((VLOOKUP($B$76,Energy_demand!$A$34:$F$66,6,FALSE )))*P12</f>
        <v>15005513.987103311</v>
      </c>
      <c r="Q81" s="164">
        <f>((VLOOKUP($B$76,Energy_demand!$A$34:$F$66,6,FALSE )))*Q12</f>
        <v>9568323.9288840946</v>
      </c>
      <c r="R81" s="164">
        <f>((VLOOKUP($B$76,Energy_demand!$A$34:$F$66,6,FALSE )))*R12</f>
        <v>5914649.3134247055</v>
      </c>
      <c r="S81" s="164">
        <f>((VLOOKUP($B$76,Energy_demand!$A$34:$F$66,6,FALSE )))*S12</f>
        <v>3548856.8314904226</v>
      </c>
      <c r="T81" s="164">
        <f>((VLOOKUP($B$76,Energy_demand!$A$34:$F$66,6,FALSE )))*T12</f>
        <v>2069184.0564632909</v>
      </c>
      <c r="U81" s="164">
        <f>((VLOOKUP($B$76,Energy_demand!$A$34:$F$66,6,FALSE )))*U12</f>
        <v>1173511.901327051</v>
      </c>
      <c r="V81" s="164">
        <f>((VLOOKUP($B$76,Energy_demand!$A$34:$F$66,6,FALSE )))*V12</f>
        <v>647937.30555402685</v>
      </c>
      <c r="W81" s="164">
        <f>((VLOOKUP($B$76,Energy_demand!$A$34:$F$66,6,FALSE )))*W12</f>
        <v>348558.82508957462</v>
      </c>
      <c r="X81" s="164">
        <f>((VLOOKUP($B$76,Energy_demand!$A$34:$F$66,6,FALSE )))*X12</f>
        <v>182820.4519092289</v>
      </c>
      <c r="Y81" s="164">
        <f>((VLOOKUP($B$76,Energy_demand!$A$34:$F$66,6,FALSE )))*Y12</f>
        <v>93553.390879214756</v>
      </c>
      <c r="Z81" s="164">
        <f>((VLOOKUP($B$76,Energy_demand!$A$34:$F$66,6,FALSE )))*Z12</f>
        <v>46734.462603254564</v>
      </c>
      <c r="AA81" s="164">
        <f>((VLOOKUP($B$76,Energy_demand!$A$34:$F$66,6,FALSE )))*AA12</f>
        <v>22803.131242058556</v>
      </c>
      <c r="AB81" s="164">
        <f>((VLOOKUP($B$76,Energy_demand!$A$34:$F$66,6,FALSE )))*AB12</f>
        <v>10873.016485342652</v>
      </c>
    </row>
    <row r="82" spans="1:28">
      <c r="B82" s="163">
        <v>2013</v>
      </c>
      <c r="C82" s="164">
        <f>((VLOOKUP($B$76,Energy_demand!$A$34:$F$66,6,FALSE )))*C13</f>
        <v>0</v>
      </c>
      <c r="D82" s="164">
        <f>((VLOOKUP($B$76,Energy_demand!$A$34:$F$66,6,FALSE )))*D13</f>
        <v>0</v>
      </c>
      <c r="E82" s="164">
        <f>((VLOOKUP($B$76,Energy_demand!$A$34:$F$66,6,FALSE )))*E13</f>
        <v>0</v>
      </c>
      <c r="F82" s="164">
        <f>((VLOOKUP($B$76,Energy_demand!$A$34:$F$66,6,FALSE )))*F13</f>
        <v>0</v>
      </c>
      <c r="G82" s="164">
        <f>((VLOOKUP($B$76,Energy_demand!$A$34:$F$66,6,FALSE )))*G13</f>
        <v>0</v>
      </c>
      <c r="H82" s="164">
        <f>((VLOOKUP($B$76,Energy_demand!$A$34:$F$66,6,FALSE )))*H13</f>
        <v>0</v>
      </c>
      <c r="I82" s="164">
        <f>((VLOOKUP($B$76,Energy_demand!$A$34:$F$66,6,FALSE )))*I13</f>
        <v>214765753.61779216</v>
      </c>
      <c r="J82" s="164">
        <f>((VLOOKUP($B$76,Energy_demand!$A$34:$F$66,6,FALSE )))*J13</f>
        <v>198673222.33832374</v>
      </c>
      <c r="K82" s="164">
        <f>((VLOOKUP($B$76,Energy_demand!$A$34:$F$66,6,FALSE )))*K13</f>
        <v>169599551.41597074</v>
      </c>
      <c r="L82" s="164">
        <f>((VLOOKUP($B$76,Energy_demand!$A$34:$F$66,6,FALSE )))*L13</f>
        <v>136707189.36106959</v>
      </c>
      <c r="M82" s="164">
        <f>((VLOOKUP($B$76,Energy_demand!$A$34:$F$66,6,FALSE )))*M13</f>
        <v>104983457.89662859</v>
      </c>
      <c r="N82" s="164">
        <f>((VLOOKUP($B$76,Energy_demand!$A$34:$F$66,6,FALSE )))*N13</f>
        <v>77222595.555051252</v>
      </c>
      <c r="O82" s="164">
        <f>((VLOOKUP($B$76,Energy_demand!$A$34:$F$66,6,FALSE )))*O13</f>
        <v>54610688.218417585</v>
      </c>
      <c r="P82" s="164">
        <f>((VLOOKUP($B$76,Energy_demand!$A$34:$F$66,6,FALSE )))*P13</f>
        <v>37233328.340001538</v>
      </c>
      <c r="Q82" s="164">
        <f>((VLOOKUP($B$76,Energy_demand!$A$34:$F$66,6,FALSE )))*Q13</f>
        <v>24527978.310378484</v>
      </c>
      <c r="R82" s="164">
        <f>((VLOOKUP($B$76,Energy_demand!$A$34:$F$66,6,FALSE )))*R13</f>
        <v>15640360.070041815</v>
      </c>
      <c r="S82" s="164">
        <f>((VLOOKUP($B$76,Energy_demand!$A$34:$F$66,6,FALSE )))*S13</f>
        <v>9668072.0299126245</v>
      </c>
      <c r="T82" s="164">
        <f>((VLOOKUP($B$76,Energy_demand!$A$34:$F$66,6,FALSE )))*T13</f>
        <v>5800953.1339112204</v>
      </c>
      <c r="U82" s="164">
        <f>((VLOOKUP($B$76,Energy_demand!$A$34:$F$66,6,FALSE )))*U13</f>
        <v>3382283.4526516604</v>
      </c>
      <c r="V82" s="164">
        <f>((VLOOKUP($B$76,Energy_demand!$A$34:$F$66,6,FALSE )))*V13</f>
        <v>1918219.8282217861</v>
      </c>
      <c r="W82" s="164">
        <f>((VLOOKUP($B$76,Energy_demand!$A$34:$F$66,6,FALSE )))*W13</f>
        <v>1059116.814710469</v>
      </c>
      <c r="X82" s="164">
        <f>((VLOOKUP($B$76,Energy_demand!$A$34:$F$66,6,FALSE )))*X13</f>
        <v>569753.4459023549</v>
      </c>
      <c r="Y82" s="164">
        <f>((VLOOKUP($B$76,Energy_demand!$A$34:$F$66,6,FALSE )))*Y13</f>
        <v>298837.88605823024</v>
      </c>
      <c r="Z82" s="164">
        <f>((VLOOKUP($B$76,Energy_demand!$A$34:$F$66,6,FALSE )))*Z13</f>
        <v>152922.15543699</v>
      </c>
      <c r="AA82" s="164">
        <f>((VLOOKUP($B$76,Energy_demand!$A$34:$F$66,6,FALSE )))*AA13</f>
        <v>76392.04402228586</v>
      </c>
      <c r="AB82" s="164">
        <f>((VLOOKUP($B$76,Energy_demand!$A$34:$F$66,6,FALSE )))*AB13</f>
        <v>37273.94536399332</v>
      </c>
    </row>
    <row r="83" spans="1:28">
      <c r="B83" s="163">
        <v>2014</v>
      </c>
      <c r="C83" s="164">
        <f>((VLOOKUP($B$76,Energy_demand!$A$34:$F$66,6,FALSE )))*C14</f>
        <v>0</v>
      </c>
      <c r="D83" s="164">
        <f>((VLOOKUP($B$76,Energy_demand!$A$34:$F$66,6,FALSE )))*D14</f>
        <v>0</v>
      </c>
      <c r="E83" s="164">
        <f>((VLOOKUP($B$76,Energy_demand!$A$34:$F$66,6,FALSE )))*E14</f>
        <v>0</v>
      </c>
      <c r="F83" s="164">
        <f>((VLOOKUP($B$76,Energy_demand!$A$34:$F$66,6,FALSE )))*F14</f>
        <v>0</v>
      </c>
      <c r="G83" s="164">
        <f>((VLOOKUP($B$76,Energy_demand!$A$34:$F$66,6,FALSE )))*G14</f>
        <v>0</v>
      </c>
      <c r="H83" s="164">
        <f>((VLOOKUP($B$76,Energy_demand!$A$34:$F$66,6,FALSE )))*H14</f>
        <v>0</v>
      </c>
      <c r="I83" s="164">
        <f>((VLOOKUP($B$76,Energy_demand!$A$34:$F$66,6,FALSE )))*I14</f>
        <v>0</v>
      </c>
      <c r="J83" s="164">
        <f>((VLOOKUP($B$76,Energy_demand!$A$34:$F$66,6,FALSE )))*J14</f>
        <v>221934316.40463656</v>
      </c>
      <c r="K83" s="164">
        <f>((VLOOKUP($B$76,Energy_demand!$A$34:$F$66,6,FALSE )))*K14</f>
        <v>205304640.26416099</v>
      </c>
      <c r="L83" s="164">
        <f>((VLOOKUP($B$76,Energy_demand!$A$34:$F$66,6,FALSE )))*L14</f>
        <v>175260533.26463974</v>
      </c>
      <c r="M83" s="164">
        <f>((VLOOKUP($B$76,Energy_demand!$A$34:$F$66,6,FALSE )))*M14</f>
        <v>141270272.87806228</v>
      </c>
      <c r="N83" s="164">
        <f>((VLOOKUP($B$76,Energy_demand!$A$34:$F$66,6,FALSE )))*N14</f>
        <v>108487650.24030806</v>
      </c>
      <c r="O83" s="164">
        <f>((VLOOKUP($B$76,Energy_demand!$A$34:$F$66,6,FALSE )))*O14</f>
        <v>79800171.427714109</v>
      </c>
      <c r="P83" s="164">
        <f>((VLOOKUP($B$76,Energy_demand!$A$34:$F$66,6,FALSE )))*P14</f>
        <v>56433512.112506442</v>
      </c>
      <c r="Q83" s="164">
        <f>((VLOOKUP($B$76,Energy_demand!$A$34:$F$66,6,FALSE )))*Q14</f>
        <v>38476121.697286524</v>
      </c>
      <c r="R83" s="164">
        <f>((VLOOKUP($B$76,Energy_demand!$A$34:$F$66,6,FALSE )))*R14</f>
        <v>25346685.90034752</v>
      </c>
      <c r="S83" s="164">
        <f>((VLOOKUP($B$76,Energy_demand!$A$34:$F$66,6,FALSE )))*S14</f>
        <v>16162412.125745637</v>
      </c>
      <c r="T83" s="164">
        <f>((VLOOKUP($B$76,Energy_demand!$A$34:$F$66,6,FALSE )))*T14</f>
        <v>9990777.9558187798</v>
      </c>
      <c r="U83" s="164">
        <f>((VLOOKUP($B$76,Energy_demand!$A$34:$F$66,6,FALSE )))*U14</f>
        <v>5994580.3582869945</v>
      </c>
      <c r="V83" s="164">
        <f>((VLOOKUP($B$76,Energy_demand!$A$34:$F$66,6,FALSE )))*V14</f>
        <v>3495179.0651262077</v>
      </c>
      <c r="W83" s="164">
        <f>((VLOOKUP($B$76,Energy_demand!$A$34:$F$66,6,FALSE )))*W14</f>
        <v>1982247.1651967936</v>
      </c>
      <c r="X83" s="164">
        <f>((VLOOKUP($B$76,Energy_demand!$A$34:$F$66,6,FALSE )))*X14</f>
        <v>1094468.5654293771</v>
      </c>
      <c r="Y83" s="164">
        <f>((VLOOKUP($B$76,Energy_demand!$A$34:$F$66,6,FALSE )))*Y14</f>
        <v>588770.97211950319</v>
      </c>
      <c r="Z83" s="164">
        <f>((VLOOKUP($B$76,Energy_demand!$A$34:$F$66,6,FALSE )))*Z14</f>
        <v>308812.65211478097</v>
      </c>
      <c r="AA83" s="164">
        <f>((VLOOKUP($B$76,Energy_demand!$A$34:$F$66,6,FALSE )))*AA14</f>
        <v>158026.47050716897</v>
      </c>
      <c r="AB83" s="164">
        <f>((VLOOKUP($B$76,Energy_demand!$A$34:$F$66,6,FALSE )))*AB14</f>
        <v>78941.897314835063</v>
      </c>
    </row>
    <row r="84" spans="1:28">
      <c r="B84" s="163">
        <v>2015</v>
      </c>
      <c r="C84" s="164">
        <f>((VLOOKUP($B$76,Energy_demand!$A$34:$F$66,6,FALSE )))*C15</f>
        <v>0</v>
      </c>
      <c r="D84" s="164">
        <f>((VLOOKUP($B$76,Energy_demand!$A$34:$F$66,6,FALSE )))*D15</f>
        <v>0</v>
      </c>
      <c r="E84" s="164">
        <f>((VLOOKUP($B$76,Energy_demand!$A$34:$F$66,6,FALSE )))*E15</f>
        <v>0</v>
      </c>
      <c r="F84" s="164">
        <f>((VLOOKUP($B$76,Energy_demand!$A$34:$F$66,6,FALSE )))*F15</f>
        <v>0</v>
      </c>
      <c r="G84" s="164">
        <f>((VLOOKUP($B$76,Energy_demand!$A$34:$F$66,6,FALSE )))*G15</f>
        <v>0</v>
      </c>
      <c r="H84" s="164">
        <f>((VLOOKUP($B$76,Energy_demand!$A$34:$F$66,6,FALSE )))*H15</f>
        <v>0</v>
      </c>
      <c r="I84" s="164">
        <f>((VLOOKUP($B$76,Energy_demand!$A$34:$F$66,6,FALSE )))*I15</f>
        <v>0</v>
      </c>
      <c r="J84" s="164">
        <f>((VLOOKUP($B$76,Energy_demand!$A$34:$F$66,6,FALSE )))*J15</f>
        <v>0</v>
      </c>
      <c r="K84" s="164">
        <f>((VLOOKUP($B$76,Energy_demand!$A$34:$F$66,6,FALSE )))*K15</f>
        <v>205672596.26982972</v>
      </c>
      <c r="L84" s="164">
        <f>((VLOOKUP($B$76,Energy_demand!$A$34:$F$66,6,FALSE )))*L15</f>
        <v>190261420.9169288</v>
      </c>
      <c r="M84" s="164">
        <f>((VLOOKUP($B$76,Energy_demand!$A$34:$F$66,6,FALSE )))*M15</f>
        <v>162418725.88307953</v>
      </c>
      <c r="N84" s="164">
        <f>((VLOOKUP($B$76,Energy_demand!$A$34:$F$66,6,FALSE )))*N15</f>
        <v>130919022.66075768</v>
      </c>
      <c r="O84" s="164">
        <f>((VLOOKUP($B$76,Energy_demand!$A$34:$F$66,6,FALSE )))*O15</f>
        <v>100538470.34388244</v>
      </c>
      <c r="P84" s="164">
        <f>((VLOOKUP($B$76,Energy_demand!$A$34:$F$66,6,FALSE )))*P15</f>
        <v>73952999.726240441</v>
      </c>
      <c r="Q84" s="164">
        <f>((VLOOKUP($B$76,Energy_demand!$A$34:$F$66,6,FALSE )))*Q15</f>
        <v>52298477.949855246</v>
      </c>
      <c r="R84" s="164">
        <f>((VLOOKUP($B$76,Energy_demand!$A$34:$F$66,6,FALSE )))*R15</f>
        <v>35656873.493357249</v>
      </c>
      <c r="S84" s="164">
        <f>((VLOOKUP($B$76,Energy_demand!$A$34:$F$66,6,FALSE )))*S15</f>
        <v>23489466.52511216</v>
      </c>
      <c r="T84" s="164">
        <f>((VLOOKUP($B$76,Energy_demand!$A$34:$F$66,6,FALSE )))*T15</f>
        <v>14978149.020561455</v>
      </c>
      <c r="U84" s="164">
        <f>((VLOOKUP($B$76,Energy_demand!$A$34:$F$66,6,FALSE )))*U15</f>
        <v>9258726.9702906664</v>
      </c>
      <c r="V84" s="164">
        <f>((VLOOKUP($B$76,Energy_demand!$A$34:$F$66,6,FALSE )))*V15</f>
        <v>5555341.4443087662</v>
      </c>
      <c r="W84" s="164">
        <f>((VLOOKUP($B$76,Energy_demand!$A$34:$F$66,6,FALSE )))*W15</f>
        <v>3239077.9596329485</v>
      </c>
      <c r="X84" s="164">
        <f>((VLOOKUP($B$76,Energy_demand!$A$34:$F$66,6,FALSE )))*X15</f>
        <v>1837002.6209521207</v>
      </c>
      <c r="Y84" s="164">
        <f>((VLOOKUP($B$76,Energy_demand!$A$34:$F$66,6,FALSE )))*Y15</f>
        <v>1014273.9303874201</v>
      </c>
      <c r="Z84" s="164">
        <f>((VLOOKUP($B$76,Energy_demand!$A$34:$F$66,6,FALSE )))*Z15</f>
        <v>545630.15042409149</v>
      </c>
      <c r="AA84" s="164">
        <f>((VLOOKUP($B$76,Energy_demand!$A$34:$F$66,6,FALSE )))*AA15</f>
        <v>286185.12427621946</v>
      </c>
      <c r="AB84" s="164">
        <f>((VLOOKUP($B$76,Energy_demand!$A$34:$F$66,6,FALSE )))*AB15</f>
        <v>146447.44893488724</v>
      </c>
    </row>
    <row r="85" spans="1:28">
      <c r="A85" s="21"/>
      <c r="B85" s="163">
        <v>2016</v>
      </c>
      <c r="C85" s="164">
        <f>((VLOOKUP($B$76,Energy_demand!$A$34:$F$66,6,FALSE )))*C16</f>
        <v>0</v>
      </c>
      <c r="D85" s="164">
        <f>((VLOOKUP($B$76,Energy_demand!$A$34:$F$66,6,FALSE )))*D16</f>
        <v>0</v>
      </c>
      <c r="E85" s="164">
        <f>((VLOOKUP($B$76,Energy_demand!$A$34:$F$66,6,FALSE )))*E16</f>
        <v>0</v>
      </c>
      <c r="F85" s="164">
        <f>((VLOOKUP($B$76,Energy_demand!$A$34:$F$66,6,FALSE )))*F16</f>
        <v>0</v>
      </c>
      <c r="G85" s="164">
        <f>((VLOOKUP($B$76,Energy_demand!$A$34:$F$66,6,FALSE )))*G16</f>
        <v>0</v>
      </c>
      <c r="H85" s="164">
        <f>((VLOOKUP($B$76,Energy_demand!$A$34:$F$66,6,FALSE )))*H16</f>
        <v>0</v>
      </c>
      <c r="I85" s="164">
        <f>((VLOOKUP($B$76,Energy_demand!$A$34:$F$66,6,FALSE )))*I16</f>
        <v>0</v>
      </c>
      <c r="J85" s="164">
        <f>((VLOOKUP($B$76,Energy_demand!$A$34:$F$66,6,FALSE )))*J16</f>
        <v>0</v>
      </c>
      <c r="K85" s="164">
        <f>((VLOOKUP($B$76,Energy_demand!$A$34:$F$66,6,FALSE )))*K16</f>
        <v>0</v>
      </c>
      <c r="L85" s="164">
        <f>((VLOOKUP($B$76,Energy_demand!$A$34:$F$66,6,FALSE )))*L16</f>
        <v>192204997.79920781</v>
      </c>
      <c r="M85" s="164">
        <f>((VLOOKUP($B$76,Energy_demand!$A$34:$F$66,6,FALSE )))*M16</f>
        <v>177802957.96254706</v>
      </c>
      <c r="N85" s="164">
        <f>((VLOOKUP($B$76,Energy_demand!$A$34:$F$66,6,FALSE )))*N16</f>
        <v>151783423.83518979</v>
      </c>
      <c r="O85" s="164">
        <f>((VLOOKUP($B$76,Energy_demand!$A$34:$F$66,6,FALSE )))*O16</f>
        <v>122346345.20474806</v>
      </c>
      <c r="P85" s="164">
        <f>((VLOOKUP($B$76,Energy_demand!$A$34:$F$66,6,FALSE )))*P16</f>
        <v>93955134.624885842</v>
      </c>
      <c r="Q85" s="164">
        <f>((VLOOKUP($B$76,Energy_demand!$A$34:$F$66,6,FALSE )))*Q16</f>
        <v>69110500.900075138</v>
      </c>
      <c r="R85" s="164">
        <f>((VLOOKUP($B$76,Energy_demand!$A$34:$F$66,6,FALSE )))*R16</f>
        <v>48873933.725551873</v>
      </c>
      <c r="S85" s="164">
        <f>((VLOOKUP($B$76,Energy_demand!$A$34:$F$66,6,FALSE )))*S16</f>
        <v>33322034.221448179</v>
      </c>
      <c r="T85" s="164">
        <f>((VLOOKUP($B$76,Energy_demand!$A$34:$F$66,6,FALSE )))*T16</f>
        <v>21951358.341587808</v>
      </c>
      <c r="U85" s="164">
        <f>((VLOOKUP($B$76,Energy_demand!$A$34:$F$66,6,FALSE )))*U16</f>
        <v>13997368.398832845</v>
      </c>
      <c r="V85" s="164">
        <f>((VLOOKUP($B$76,Energy_demand!$A$34:$F$66,6,FALSE )))*V16</f>
        <v>8652458.4666276723</v>
      </c>
      <c r="W85" s="164">
        <f>((VLOOKUP($B$76,Energy_demand!$A$34:$F$66,6,FALSE )))*W16</f>
        <v>5191573.4494661279</v>
      </c>
      <c r="X85" s="164">
        <f>((VLOOKUP($B$76,Energy_demand!$A$34:$F$66,6,FALSE )))*X16</f>
        <v>3026980.6643853714</v>
      </c>
      <c r="Y85" s="164">
        <f>((VLOOKUP($B$76,Energy_demand!$A$34:$F$66,6,FALSE )))*Y16</f>
        <v>1716714.2882468444</v>
      </c>
      <c r="Z85" s="164">
        <f>((VLOOKUP($B$76,Energy_demand!$A$34:$F$66,6,FALSE )))*Z16</f>
        <v>947858.49983702996</v>
      </c>
      <c r="AA85" s="164">
        <f>((VLOOKUP($B$76,Energy_demand!$A$34:$F$66,6,FALSE )))*AA16</f>
        <v>509901.87202118675</v>
      </c>
      <c r="AB85" s="164">
        <f>((VLOOKUP($B$76,Energy_demand!$A$34:$F$66,6,FALSE )))*AB16</f>
        <v>267445.50406468357</v>
      </c>
    </row>
    <row r="86" spans="1:28">
      <c r="B86" s="163">
        <v>2017</v>
      </c>
      <c r="C86" s="164">
        <f>((VLOOKUP($B$76,Energy_demand!$A$34:$F$66,6,FALSE )))*C17</f>
        <v>0</v>
      </c>
      <c r="D86" s="164">
        <f>((VLOOKUP($B$76,Energy_demand!$A$34:$F$66,6,FALSE )))*D17</f>
        <v>0</v>
      </c>
      <c r="E86" s="164">
        <f>((VLOOKUP($B$76,Energy_demand!$A$34:$F$66,6,FALSE )))*E17</f>
        <v>0</v>
      </c>
      <c r="F86" s="164">
        <f>((VLOOKUP($B$76,Energy_demand!$A$34:$F$66,6,FALSE )))*F17</f>
        <v>0</v>
      </c>
      <c r="G86" s="164">
        <f>((VLOOKUP($B$76,Energy_demand!$A$34:$F$66,6,FALSE )))*G17</f>
        <v>0</v>
      </c>
      <c r="H86" s="164">
        <f>((VLOOKUP($B$76,Energy_demand!$A$34:$F$66,6,FALSE )))*H17</f>
        <v>0</v>
      </c>
      <c r="I86" s="164">
        <f>((VLOOKUP($B$76,Energy_demand!$A$34:$F$66,6,FALSE )))*I17</f>
        <v>0</v>
      </c>
      <c r="J86" s="164">
        <f>((VLOOKUP($B$76,Energy_demand!$A$34:$F$66,6,FALSE )))*J17</f>
        <v>0</v>
      </c>
      <c r="K86" s="164">
        <f>((VLOOKUP($B$76,Energy_demand!$A$34:$F$66,6,FALSE )))*K17</f>
        <v>0</v>
      </c>
      <c r="L86" s="164">
        <f>((VLOOKUP($B$76,Energy_demand!$A$34:$F$66,6,FALSE )))*L17</f>
        <v>0</v>
      </c>
      <c r="M86" s="164">
        <f>((VLOOKUP($B$76,Energy_demand!$A$34:$F$66,6,FALSE )))*M17</f>
        <v>159022848.19300103</v>
      </c>
      <c r="N86" s="164">
        <f>((VLOOKUP($B$76,Energy_demand!$A$34:$F$66,6,FALSE )))*N17</f>
        <v>147107167.43111247</v>
      </c>
      <c r="O86" s="164">
        <f>((VLOOKUP($B$76,Energy_demand!$A$34:$F$66,6,FALSE )))*O17</f>
        <v>125579629.26631457</v>
      </c>
      <c r="P86" s="164">
        <f>((VLOOKUP($B$76,Energy_demand!$A$34:$F$66,6,FALSE )))*P17</f>
        <v>101224549.32617439</v>
      </c>
      <c r="Q86" s="164">
        <f>((VLOOKUP($B$76,Energy_demand!$A$34:$F$66,6,FALSE )))*Q17</f>
        <v>77734779.435937107</v>
      </c>
      <c r="R86" s="164">
        <f>((VLOOKUP($B$76,Energy_demand!$A$34:$F$66,6,FALSE )))*R17</f>
        <v>57179307.609139644</v>
      </c>
      <c r="S86" s="164">
        <f>((VLOOKUP($B$76,Energy_demand!$A$34:$F$66,6,FALSE )))*S17</f>
        <v>40436368.629459552</v>
      </c>
      <c r="T86" s="164">
        <f>((VLOOKUP($B$76,Energy_demand!$A$34:$F$66,6,FALSE )))*T17</f>
        <v>27569339.247957785</v>
      </c>
      <c r="U86" s="164">
        <f>((VLOOKUP($B$76,Energy_demand!$A$34:$F$66,6,FALSE )))*U17</f>
        <v>18161689.68109357</v>
      </c>
      <c r="V86" s="164">
        <f>((VLOOKUP($B$76,Energy_demand!$A$34:$F$66,6,FALSE )))*V17</f>
        <v>11580871.545881726</v>
      </c>
      <c r="W86" s="164">
        <f>((VLOOKUP($B$76,Energy_demand!$A$34:$F$66,6,FALSE )))*W17</f>
        <v>7158703.4936114969</v>
      </c>
      <c r="X86" s="164">
        <f>((VLOOKUP($B$76,Energy_demand!$A$34:$F$66,6,FALSE )))*X17</f>
        <v>4295303.4832097869</v>
      </c>
      <c r="Y86" s="164">
        <f>((VLOOKUP($B$76,Energy_demand!$A$34:$F$66,6,FALSE )))*Y17</f>
        <v>2504404.6314475606</v>
      </c>
      <c r="Z86" s="164">
        <f>((VLOOKUP($B$76,Energy_demand!$A$34:$F$66,6,FALSE )))*Z17</f>
        <v>1420341.8161676903</v>
      </c>
      <c r="AA86" s="164">
        <f>((VLOOKUP($B$76,Energy_demand!$A$34:$F$66,6,FALSE )))*AA17</f>
        <v>784220.80619097711</v>
      </c>
      <c r="AB86" s="164">
        <f>((VLOOKUP($B$76,Energy_demand!$A$34:$F$66,6,FALSE )))*AB17</f>
        <v>421872.73440444551</v>
      </c>
    </row>
    <row r="87" spans="1:28">
      <c r="B87" s="163">
        <v>2018</v>
      </c>
      <c r="C87" s="164">
        <f>((VLOOKUP($B$76,Energy_demand!$A$34:$F$66,6,FALSE )))*C18</f>
        <v>0</v>
      </c>
      <c r="D87" s="164">
        <f>((VLOOKUP($B$76,Energy_demand!$A$34:$F$66,6,FALSE )))*D18</f>
        <v>0</v>
      </c>
      <c r="E87" s="164">
        <f>((VLOOKUP($B$76,Energy_demand!$A$34:$F$66,6,FALSE )))*E18</f>
        <v>0</v>
      </c>
      <c r="F87" s="164">
        <f>((VLOOKUP($B$76,Energy_demand!$A$34:$F$66,6,FALSE )))*F18</f>
        <v>0</v>
      </c>
      <c r="G87" s="164">
        <f>((VLOOKUP($B$76,Energy_demand!$A$34:$F$66,6,FALSE )))*G18</f>
        <v>0</v>
      </c>
      <c r="H87" s="164">
        <f>((VLOOKUP($B$76,Energy_demand!$A$34:$F$66,6,FALSE )))*H18</f>
        <v>0</v>
      </c>
      <c r="I87" s="164">
        <f>((VLOOKUP($B$76,Energy_demand!$A$34:$F$66,6,FALSE )))*I18</f>
        <v>0</v>
      </c>
      <c r="J87" s="164">
        <f>((VLOOKUP($B$76,Energy_demand!$A$34:$F$66,6,FALSE )))*J18</f>
        <v>0</v>
      </c>
      <c r="K87" s="164">
        <f>((VLOOKUP($B$76,Energy_demand!$A$34:$F$66,6,FALSE )))*K18</f>
        <v>0</v>
      </c>
      <c r="L87" s="164">
        <f>((VLOOKUP($B$76,Energy_demand!$A$34:$F$66,6,FALSE )))*L18</f>
        <v>0</v>
      </c>
      <c r="M87" s="164">
        <f>((VLOOKUP($B$76,Energy_demand!$A$34:$F$66,6,FALSE )))*M18</f>
        <v>0</v>
      </c>
      <c r="N87" s="164">
        <f>((VLOOKUP($B$76,Energy_demand!$A$34:$F$66,6,FALSE )))*N18</f>
        <v>162313653.06623489</v>
      </c>
      <c r="O87" s="164">
        <f>((VLOOKUP($B$76,Energy_demand!$A$34:$F$66,6,FALSE )))*O18</f>
        <v>150151390.25173753</v>
      </c>
      <c r="P87" s="164">
        <f>((VLOOKUP($B$76,Energy_demand!$A$34:$F$66,6,FALSE )))*P18</f>
        <v>128178363.10025348</v>
      </c>
      <c r="Q87" s="164">
        <f>((VLOOKUP($B$76,Energy_demand!$A$34:$F$66,6,FALSE )))*Q18</f>
        <v>103319281.27192087</v>
      </c>
      <c r="R87" s="164">
        <f>((VLOOKUP($B$76,Energy_demand!$A$34:$F$66,6,FALSE )))*R18</f>
        <v>79343416.143770888</v>
      </c>
      <c r="S87" s="164">
        <f>((VLOOKUP($B$76,Energy_demand!$A$34:$F$66,6,FALSE )))*S18</f>
        <v>58362571.185829721</v>
      </c>
      <c r="T87" s="164">
        <f>((VLOOKUP($B$76,Energy_demand!$A$34:$F$66,6,FALSE )))*T18</f>
        <v>41273155.295361839</v>
      </c>
      <c r="U87" s="164">
        <f>((VLOOKUP($B$76,Energy_demand!$A$34:$F$66,6,FALSE )))*U18</f>
        <v>28139856.736356094</v>
      </c>
      <c r="V87" s="164">
        <f>((VLOOKUP($B$76,Energy_demand!$A$34:$F$66,6,FALSE )))*V18</f>
        <v>18537526.094463345</v>
      </c>
      <c r="W87" s="164">
        <f>((VLOOKUP($B$76,Energy_demand!$A$34:$F$66,6,FALSE )))*W18</f>
        <v>11820525.085939249</v>
      </c>
      <c r="X87" s="164">
        <f>((VLOOKUP($B$76,Energy_demand!$A$34:$F$66,6,FALSE )))*X18</f>
        <v>7306845.0758464048</v>
      </c>
      <c r="Y87" s="164">
        <f>((VLOOKUP($B$76,Energy_demand!$A$34:$F$66,6,FALSE )))*Y18</f>
        <v>4384190.11676706</v>
      </c>
      <c r="Z87" s="164">
        <f>((VLOOKUP($B$76,Energy_demand!$A$34:$F$66,6,FALSE )))*Z18</f>
        <v>2556230.5612392002</v>
      </c>
      <c r="AA87" s="164">
        <f>((VLOOKUP($B$76,Energy_demand!$A$34:$F$66,6,FALSE )))*AA18</f>
        <v>1449734.2451388384</v>
      </c>
      <c r="AB87" s="164">
        <f>((VLOOKUP($B$76,Energy_demand!$A$34:$F$66,6,FALSE )))*AB18</f>
        <v>800449.40277335315</v>
      </c>
    </row>
    <row r="88" spans="1:28">
      <c r="B88" s="163">
        <v>2019</v>
      </c>
      <c r="C88" s="164">
        <f>((VLOOKUP($B$76,Energy_demand!$A$34:$F$66,6,FALSE )))*C19</f>
        <v>0</v>
      </c>
      <c r="D88" s="164">
        <f>((VLOOKUP($B$76,Energy_demand!$A$34:$F$66,6,FALSE )))*D19</f>
        <v>0</v>
      </c>
      <c r="E88" s="164">
        <f>((VLOOKUP($B$76,Energy_demand!$A$34:$F$66,6,FALSE )))*E19</f>
        <v>0</v>
      </c>
      <c r="F88" s="164">
        <f>((VLOOKUP($B$76,Energy_demand!$A$34:$F$66,6,FALSE )))*F19</f>
        <v>0</v>
      </c>
      <c r="G88" s="164">
        <f>((VLOOKUP($B$76,Energy_demand!$A$34:$F$66,6,FALSE )))*G19</f>
        <v>0</v>
      </c>
      <c r="H88" s="164">
        <f>((VLOOKUP($B$76,Energy_demand!$A$34:$F$66,6,FALSE )))*H19</f>
        <v>0</v>
      </c>
      <c r="I88" s="164">
        <f>((VLOOKUP($B$76,Energy_demand!$A$34:$F$66,6,FALSE )))*I19</f>
        <v>0</v>
      </c>
      <c r="J88" s="164">
        <f>((VLOOKUP($B$76,Energy_demand!$A$34:$F$66,6,FALSE )))*J19</f>
        <v>0</v>
      </c>
      <c r="K88" s="164">
        <f>((VLOOKUP($B$76,Energy_demand!$A$34:$F$66,6,FALSE )))*K19</f>
        <v>0</v>
      </c>
      <c r="L88" s="164">
        <f>((VLOOKUP($B$76,Energy_demand!$A$34:$F$66,6,FALSE )))*L19</f>
        <v>0</v>
      </c>
      <c r="M88" s="164">
        <f>((VLOOKUP($B$76,Energy_demand!$A$34:$F$66,6,FALSE )))*M19</f>
        <v>0</v>
      </c>
      <c r="N88" s="164">
        <f>((VLOOKUP($B$76,Energy_demand!$A$34:$F$66,6,FALSE )))*N19</f>
        <v>0</v>
      </c>
      <c r="O88" s="164">
        <f>((VLOOKUP($B$76,Energy_demand!$A$34:$F$66,6,FALSE )))*O19</f>
        <v>191259582.53937212</v>
      </c>
      <c r="P88" s="164">
        <f>((VLOOKUP($B$76,Energy_demand!$A$34:$F$66,6,FALSE )))*P19</f>
        <v>176928383.25519568</v>
      </c>
      <c r="Q88" s="164">
        <f>((VLOOKUP($B$76,Energy_demand!$A$34:$F$66,6,FALSE )))*Q19</f>
        <v>151036833.64905006</v>
      </c>
      <c r="R88" s="164">
        <f>((VLOOKUP($B$76,Energy_demand!$A$34:$F$66,6,FALSE )))*R19</f>
        <v>121744549.71001004</v>
      </c>
      <c r="S88" s="164">
        <f>((VLOOKUP($B$76,Energy_demand!$A$34:$F$66,6,FALSE )))*S19</f>
        <v>93492989.420383513</v>
      </c>
      <c r="T88" s="164">
        <f>((VLOOKUP($B$76,Energy_demand!$A$34:$F$66,6,FALSE )))*T19</f>
        <v>68770561.133086994</v>
      </c>
      <c r="U88" s="164">
        <f>((VLOOKUP($B$76,Energy_demand!$A$34:$F$66,6,FALSE )))*U19</f>
        <v>48633533.302662738</v>
      </c>
      <c r="V88" s="164">
        <f>((VLOOKUP($B$76,Energy_demand!$A$34:$F$66,6,FALSE )))*V19</f>
        <v>33158130.264722593</v>
      </c>
      <c r="W88" s="164">
        <f>((VLOOKUP($B$76,Energy_demand!$A$34:$F$66,6,FALSE )))*W19</f>
        <v>21843384.306636132</v>
      </c>
      <c r="X88" s="164">
        <f>((VLOOKUP($B$76,Energy_demand!$A$34:$F$66,6,FALSE )))*X19</f>
        <v>13928518.338567384</v>
      </c>
      <c r="Y88" s="164">
        <f>((VLOOKUP($B$76,Energy_demand!$A$34:$F$66,6,FALSE )))*Y19</f>
        <v>8609898.8747174274</v>
      </c>
      <c r="Z88" s="164">
        <f>((VLOOKUP($B$76,Energy_demand!$A$34:$F$66,6,FALSE )))*Z19</f>
        <v>5166037.2104615085</v>
      </c>
      <c r="AA88" s="164">
        <f>((VLOOKUP($B$76,Energy_demand!$A$34:$F$66,6,FALSE )))*AA19</f>
        <v>3012091.5941525195</v>
      </c>
      <c r="AB88" s="164">
        <f>((VLOOKUP($B$76,Energy_demand!$A$34:$F$66,6,FALSE )))*AB19</f>
        <v>1708270.1379725521</v>
      </c>
    </row>
    <row r="89" spans="1:28">
      <c r="B89" s="163">
        <v>2020</v>
      </c>
      <c r="C89" s="164">
        <f>((VLOOKUP($B$76,Energy_demand!$A$34:$F$66,6,FALSE )))*C20</f>
        <v>0</v>
      </c>
      <c r="D89" s="164">
        <f>((VLOOKUP($B$76,Energy_demand!$A$34:$F$66,6,FALSE )))*D20</f>
        <v>0</v>
      </c>
      <c r="E89" s="164">
        <f>((VLOOKUP($B$76,Energy_demand!$A$34:$F$66,6,FALSE )))*E20</f>
        <v>0</v>
      </c>
      <c r="F89" s="164">
        <f>((VLOOKUP($B$76,Energy_demand!$A$34:$F$66,6,FALSE )))*F20</f>
        <v>0</v>
      </c>
      <c r="G89" s="164">
        <f>((VLOOKUP($B$76,Energy_demand!$A$34:$F$66,6,FALSE )))*G20</f>
        <v>0</v>
      </c>
      <c r="H89" s="164">
        <f>((VLOOKUP($B$76,Energy_demand!$A$34:$F$66,6,FALSE )))*H20</f>
        <v>0</v>
      </c>
      <c r="I89" s="164">
        <f>((VLOOKUP($B$76,Energy_demand!$A$34:$F$66,6,FALSE )))*I20</f>
        <v>0</v>
      </c>
      <c r="J89" s="164">
        <f>((VLOOKUP($B$76,Energy_demand!$A$34:$F$66,6,FALSE )))*J20</f>
        <v>0</v>
      </c>
      <c r="K89" s="164">
        <f>((VLOOKUP($B$76,Energy_demand!$A$34:$F$66,6,FALSE )))*K20</f>
        <v>0</v>
      </c>
      <c r="L89" s="164">
        <f>((VLOOKUP($B$76,Energy_demand!$A$34:$F$66,6,FALSE )))*L20</f>
        <v>0</v>
      </c>
      <c r="M89" s="164">
        <f>((VLOOKUP($B$76,Energy_demand!$A$34:$F$66,6,FALSE )))*M20</f>
        <v>0</v>
      </c>
      <c r="N89" s="164">
        <f>((VLOOKUP($B$76,Energy_demand!$A$34:$F$66,6,FALSE )))*N20</f>
        <v>0</v>
      </c>
      <c r="O89" s="164">
        <f>((VLOOKUP($B$76,Energy_demand!$A$34:$F$66,6,FALSE )))*O20</f>
        <v>0</v>
      </c>
      <c r="P89" s="164">
        <f>((VLOOKUP($B$76,Energy_demand!$A$34:$F$66,6,FALSE )))*P20</f>
        <v>216488861.23774999</v>
      </c>
      <c r="Q89" s="164">
        <f>((VLOOKUP($B$76,Energy_demand!$A$34:$F$66,6,FALSE )))*Q20</f>
        <v>200267216.43433768</v>
      </c>
      <c r="R89" s="164">
        <f>((VLOOKUP($B$76,Energy_demand!$A$34:$F$66,6,FALSE )))*R20</f>
        <v>170960281.76735801</v>
      </c>
      <c r="S89" s="164">
        <f>((VLOOKUP($B$76,Energy_demand!$A$34:$F$66,6,FALSE )))*S20</f>
        <v>137804017.86246231</v>
      </c>
      <c r="T89" s="164">
        <f>((VLOOKUP($B$76,Energy_demand!$A$34:$F$66,6,FALSE )))*T20</f>
        <v>105825760.69967763</v>
      </c>
      <c r="U89" s="164">
        <f>((VLOOKUP($B$76,Energy_demand!$A$34:$F$66,6,FALSE )))*U20</f>
        <v>77842167.533322215</v>
      </c>
      <c r="V89" s="164">
        <f>((VLOOKUP($B$76,Energy_demand!$A$34:$F$66,6,FALSE )))*V20</f>
        <v>55048840.444343522</v>
      </c>
      <c r="W89" s="164">
        <f>((VLOOKUP($B$76,Energy_demand!$A$34:$F$66,6,FALSE )))*W20</f>
        <v>37532058.610998221</v>
      </c>
      <c r="X89" s="164">
        <f>((VLOOKUP($B$76,Energy_demand!$A$34:$F$66,6,FALSE )))*X20</f>
        <v>24724771.074666172</v>
      </c>
      <c r="Y89" s="164">
        <f>((VLOOKUP($B$76,Energy_demand!$A$34:$F$66,6,FALSE )))*Y20</f>
        <v>15765845.73598991</v>
      </c>
      <c r="Z89" s="164">
        <f>((VLOOKUP($B$76,Energy_demand!$A$34:$F$66,6,FALSE )))*Z20</f>
        <v>9745640.8615555465</v>
      </c>
      <c r="AA89" s="164">
        <f>((VLOOKUP($B$76,Energy_demand!$A$34:$F$66,6,FALSE )))*AA20</f>
        <v>5847495.3147742348</v>
      </c>
      <c r="AB89" s="164">
        <f>((VLOOKUP($B$76,Energy_demand!$A$34:$F$66,6,FALSE )))*AB20</f>
        <v>3409420.1739023551</v>
      </c>
    </row>
    <row r="90" spans="1:28">
      <c r="B90" s="163">
        <v>2021</v>
      </c>
      <c r="C90" s="164">
        <f>((VLOOKUP($B$76,Energy_demand!$A$34:$F$66,6,FALSE )))*C21</f>
        <v>0</v>
      </c>
      <c r="D90" s="164">
        <f>((VLOOKUP($B$76,Energy_demand!$A$34:$F$66,6,FALSE )))*D21</f>
        <v>0</v>
      </c>
      <c r="E90" s="164">
        <f>((VLOOKUP($B$76,Energy_demand!$A$34:$F$66,6,FALSE )))*E21</f>
        <v>0</v>
      </c>
      <c r="F90" s="164">
        <f>((VLOOKUP($B$76,Energy_demand!$A$34:$F$66,6,FALSE )))*F21</f>
        <v>0</v>
      </c>
      <c r="G90" s="164">
        <f>((VLOOKUP($B$76,Energy_demand!$A$34:$F$66,6,FALSE )))*G21</f>
        <v>0</v>
      </c>
      <c r="H90" s="164">
        <f>((VLOOKUP($B$76,Energy_demand!$A$34:$F$66,6,FALSE )))*H21</f>
        <v>0</v>
      </c>
      <c r="I90" s="164">
        <f>((VLOOKUP($B$76,Energy_demand!$A$34:$F$66,6,FALSE )))*I21</f>
        <v>0</v>
      </c>
      <c r="J90" s="164">
        <f>((VLOOKUP($B$76,Energy_demand!$A$34:$F$66,6,FALSE )))*J21</f>
        <v>0</v>
      </c>
      <c r="K90" s="164">
        <f>((VLOOKUP($B$76,Energy_demand!$A$34:$F$66,6,FALSE )))*K21</f>
        <v>0</v>
      </c>
      <c r="L90" s="164">
        <f>((VLOOKUP($B$76,Energy_demand!$A$34:$F$66,6,FALSE )))*L21</f>
        <v>0</v>
      </c>
      <c r="M90" s="164">
        <f>((VLOOKUP($B$76,Energy_demand!$A$34:$F$66,6,FALSE )))*M21</f>
        <v>0</v>
      </c>
      <c r="N90" s="164">
        <f>((VLOOKUP($B$76,Energy_demand!$A$34:$F$66,6,FALSE )))*N21</f>
        <v>0</v>
      </c>
      <c r="O90" s="164">
        <f>((VLOOKUP($B$76,Energy_demand!$A$34:$F$66,6,FALSE )))*O21</f>
        <v>0</v>
      </c>
      <c r="P90" s="164">
        <f>((VLOOKUP($B$76,Energy_demand!$A$34:$F$66,6,FALSE )))*P21</f>
        <v>0</v>
      </c>
      <c r="Q90" s="164">
        <f>((VLOOKUP($B$76,Energy_demand!$A$34:$F$66,6,FALSE )))*Q21</f>
        <v>166657472.83434859</v>
      </c>
      <c r="R90" s="164">
        <f>((VLOOKUP($B$76,Energy_demand!$A$34:$F$66,6,FALSE )))*R21</f>
        <v>160008905.34603363</v>
      </c>
      <c r="S90" s="164">
        <f>((VLOOKUP($B$76,Energy_demand!$A$34:$F$66,6,FALSE )))*S21</f>
        <v>147308267.09484592</v>
      </c>
      <c r="T90" s="164">
        <f>((VLOOKUP($B$76,Energy_demand!$A$34:$F$66,6,FALSE )))*T21</f>
        <v>131608856.91416441</v>
      </c>
      <c r="U90" s="164">
        <f>((VLOOKUP($B$76,Energy_demand!$A$34:$F$66,6,FALSE )))*U21</f>
        <v>114642866.12552497</v>
      </c>
      <c r="V90" s="164">
        <f>((VLOOKUP($B$76,Energy_demand!$A$34:$F$66,6,FALSE )))*V21</f>
        <v>97640806.381875321</v>
      </c>
      <c r="W90" s="164">
        <f>((VLOOKUP($B$76,Energy_demand!$A$34:$F$66,6,FALSE )))*W21</f>
        <v>81467168.872150183</v>
      </c>
      <c r="X90" s="164">
        <f>((VLOOKUP($B$76,Energy_demand!$A$34:$F$66,6,FALSE )))*X21</f>
        <v>66685888.033915974</v>
      </c>
      <c r="Y90" s="164">
        <f>((VLOOKUP($B$76,Energy_demand!$A$34:$F$66,6,FALSE )))*Y21</f>
        <v>53614756.311598934</v>
      </c>
      <c r="Z90" s="164">
        <f>((VLOOKUP($B$76,Energy_demand!$A$34:$F$66,6,FALSE )))*Z21</f>
        <v>42378074.178532153</v>
      </c>
      <c r="AA90" s="164">
        <f>((VLOOKUP($B$76,Energy_demand!$A$34:$F$66,6,FALSE )))*AA21</f>
        <v>32956867.145679258</v>
      </c>
      <c r="AB90" s="164">
        <f>((VLOOKUP($B$76,Energy_demand!$A$34:$F$66,6,FALSE )))*AB21</f>
        <v>25234239.845223192</v>
      </c>
    </row>
    <row r="91" spans="1:28">
      <c r="B91" s="163">
        <v>2022</v>
      </c>
      <c r="C91" s="164">
        <f>((VLOOKUP($B$76,Energy_demand!$A$34:$F$66,6,FALSE )))*C22</f>
        <v>0</v>
      </c>
      <c r="D91" s="164">
        <f>((VLOOKUP($B$76,Energy_demand!$A$34:$F$66,6,FALSE )))*D22</f>
        <v>0</v>
      </c>
      <c r="E91" s="164">
        <f>((VLOOKUP($B$76,Energy_demand!$A$34:$F$66,6,FALSE )))*E22</f>
        <v>0</v>
      </c>
      <c r="F91" s="164">
        <f>((VLOOKUP($B$76,Energy_demand!$A$34:$F$66,6,FALSE )))*F22</f>
        <v>0</v>
      </c>
      <c r="G91" s="164">
        <f>((VLOOKUP($B$76,Energy_demand!$A$34:$F$66,6,FALSE )))*G22</f>
        <v>0</v>
      </c>
      <c r="H91" s="164">
        <f>((VLOOKUP($B$76,Energy_demand!$A$34:$F$66,6,FALSE )))*H22</f>
        <v>0</v>
      </c>
      <c r="I91" s="164">
        <f>((VLOOKUP($B$76,Energy_demand!$A$34:$F$66,6,FALSE )))*I22</f>
        <v>0</v>
      </c>
      <c r="J91" s="164">
        <f>((VLOOKUP($B$76,Energy_demand!$A$34:$F$66,6,FALSE )))*J22</f>
        <v>0</v>
      </c>
      <c r="K91" s="164">
        <f>((VLOOKUP($B$76,Energy_demand!$A$34:$F$66,6,FALSE )))*K22</f>
        <v>0</v>
      </c>
      <c r="L91" s="164">
        <f>((VLOOKUP($B$76,Energy_demand!$A$34:$F$66,6,FALSE )))*L22</f>
        <v>0</v>
      </c>
      <c r="M91" s="164">
        <f>((VLOOKUP($B$76,Energy_demand!$A$34:$F$66,6,FALSE )))*M22</f>
        <v>0</v>
      </c>
      <c r="N91" s="164">
        <f>((VLOOKUP($B$76,Energy_demand!$A$34:$F$66,6,FALSE )))*N22</f>
        <v>0</v>
      </c>
      <c r="O91" s="164">
        <f>((VLOOKUP($B$76,Energy_demand!$A$34:$F$66,6,FALSE )))*O22</f>
        <v>0</v>
      </c>
      <c r="P91" s="164">
        <f>((VLOOKUP($B$76,Energy_demand!$A$34:$F$66,6,FALSE )))*P22</f>
        <v>0</v>
      </c>
      <c r="Q91" s="164">
        <f>((VLOOKUP($B$76,Energy_demand!$A$34:$F$66,6,FALSE )))*Q22</f>
        <v>0</v>
      </c>
      <c r="R91" s="164">
        <f>((VLOOKUP($B$76,Energy_demand!$A$34:$F$66,6,FALSE )))*R22</f>
        <v>153719016.83130771</v>
      </c>
      <c r="S91" s="164">
        <f>((VLOOKUP($B$76,Energy_demand!$A$34:$F$66,6,FALSE )))*S22</f>
        <v>147586611.00360012</v>
      </c>
      <c r="T91" s="164">
        <f>((VLOOKUP($B$76,Energy_demand!$A$34:$F$66,6,FALSE )))*T22</f>
        <v>135871987.03925374</v>
      </c>
      <c r="U91" s="164">
        <f>((VLOOKUP($B$76,Energy_demand!$A$34:$F$66,6,FALSE )))*U22</f>
        <v>121391400.85993181</v>
      </c>
      <c r="V91" s="164">
        <f>((VLOOKUP($B$76,Energy_demand!$A$34:$F$66,6,FALSE )))*V22</f>
        <v>105742565.08170705</v>
      </c>
      <c r="W91" s="164">
        <f>((VLOOKUP($B$76,Energy_demand!$A$34:$F$66,6,FALSE )))*W22</f>
        <v>90060460.562465101</v>
      </c>
      <c r="X91" s="164">
        <f>((VLOOKUP($B$76,Energy_demand!$A$34:$F$66,6,FALSE )))*X22</f>
        <v>75142463.701609686</v>
      </c>
      <c r="Y91" s="164">
        <f>((VLOOKUP($B$76,Energy_demand!$A$34:$F$66,6,FALSE )))*Y22</f>
        <v>61508727.876158535</v>
      </c>
      <c r="Z91" s="164">
        <f>((VLOOKUP($B$76,Energy_demand!$A$34:$F$66,6,FALSE )))*Z22</f>
        <v>49452373.708204456</v>
      </c>
      <c r="AA91" s="164">
        <f>((VLOOKUP($B$76,Energy_demand!$A$34:$F$66,6,FALSE )))*AA22</f>
        <v>39088051.601521537</v>
      </c>
      <c r="AB91" s="164">
        <f>((VLOOKUP($B$76,Energy_demand!$A$34:$F$66,6,FALSE )))*AB22</f>
        <v>30398260.151882637</v>
      </c>
    </row>
    <row r="92" spans="1:28">
      <c r="B92" s="163">
        <v>2023</v>
      </c>
      <c r="C92" s="164">
        <f>((VLOOKUP($B$76,Energy_demand!$A$34:$F$66,6,FALSE )))*C23</f>
        <v>0</v>
      </c>
      <c r="D92" s="164">
        <f>((VLOOKUP($B$76,Energy_demand!$A$34:$F$66,6,FALSE )))*D23</f>
        <v>0</v>
      </c>
      <c r="E92" s="164">
        <f>((VLOOKUP($B$76,Energy_demand!$A$34:$F$66,6,FALSE )))*E23</f>
        <v>0</v>
      </c>
      <c r="F92" s="164">
        <f>((VLOOKUP($B$76,Energy_demand!$A$34:$F$66,6,FALSE )))*F23</f>
        <v>0</v>
      </c>
      <c r="G92" s="164">
        <f>((VLOOKUP($B$76,Energy_demand!$A$34:$F$66,6,FALSE )))*G23</f>
        <v>0</v>
      </c>
      <c r="H92" s="164">
        <f>((VLOOKUP($B$76,Energy_demand!$A$34:$F$66,6,FALSE )))*H23</f>
        <v>0</v>
      </c>
      <c r="I92" s="164">
        <f>((VLOOKUP($B$76,Energy_demand!$A$34:$F$66,6,FALSE )))*I23</f>
        <v>0</v>
      </c>
      <c r="J92" s="164">
        <f>((VLOOKUP($B$76,Energy_demand!$A$34:$F$66,6,FALSE )))*J23</f>
        <v>0</v>
      </c>
      <c r="K92" s="164">
        <f>((VLOOKUP($B$76,Energy_demand!$A$34:$F$66,6,FALSE )))*K23</f>
        <v>0</v>
      </c>
      <c r="L92" s="164">
        <f>((VLOOKUP($B$76,Energy_demand!$A$34:$F$66,6,FALSE )))*L23</f>
        <v>0</v>
      </c>
      <c r="M92" s="164">
        <f>((VLOOKUP($B$76,Energy_demand!$A$34:$F$66,6,FALSE )))*M23</f>
        <v>0</v>
      </c>
      <c r="N92" s="164">
        <f>((VLOOKUP($B$76,Energy_demand!$A$34:$F$66,6,FALSE )))*N23</f>
        <v>0</v>
      </c>
      <c r="O92" s="164">
        <f>((VLOOKUP($B$76,Energy_demand!$A$34:$F$66,6,FALSE )))*O23</f>
        <v>0</v>
      </c>
      <c r="P92" s="164">
        <f>((VLOOKUP($B$76,Energy_demand!$A$34:$F$66,6,FALSE )))*P23</f>
        <v>0</v>
      </c>
      <c r="Q92" s="164">
        <f>((VLOOKUP($B$76,Energy_demand!$A$34:$F$66,6,FALSE )))*Q23</f>
        <v>0</v>
      </c>
      <c r="R92" s="164">
        <f>((VLOOKUP($B$76,Energy_demand!$A$34:$F$66,6,FALSE )))*R23</f>
        <v>0</v>
      </c>
      <c r="S92" s="164">
        <f>((VLOOKUP($B$76,Energy_demand!$A$34:$F$66,6,FALSE )))*S23</f>
        <v>138472742.36882621</v>
      </c>
      <c r="T92" s="164">
        <f>((VLOOKUP($B$76,Energy_demand!$A$34:$F$66,6,FALSE )))*T23</f>
        <v>132948565.40109861</v>
      </c>
      <c r="U92" s="164">
        <f>((VLOOKUP($B$76,Energy_demand!$A$34:$F$66,6,FALSE )))*U23</f>
        <v>122395830.0297634</v>
      </c>
      <c r="V92" s="164">
        <f>((VLOOKUP($B$76,Energy_demand!$A$34:$F$66,6,FALSE )))*V23</f>
        <v>109351468.17595766</v>
      </c>
      <c r="W92" s="164">
        <f>((VLOOKUP($B$76,Energy_demand!$A$34:$F$66,6,FALSE )))*W23</f>
        <v>95254726.928463221</v>
      </c>
      <c r="X92" s="164">
        <f>((VLOOKUP($B$76,Energy_demand!$A$34:$F$66,6,FALSE )))*X23</f>
        <v>81128016.625098079</v>
      </c>
      <c r="Y92" s="164">
        <f>((VLOOKUP($B$76,Energy_demand!$A$34:$F$66,6,FALSE )))*Y23</f>
        <v>67689627.683025002</v>
      </c>
      <c r="Z92" s="164">
        <f>((VLOOKUP($B$76,Energy_demand!$A$34:$F$66,6,FALSE )))*Z23</f>
        <v>55408123.238105685</v>
      </c>
      <c r="AA92" s="164">
        <f>((VLOOKUP($B$76,Energy_demand!$A$34:$F$66,6,FALSE )))*AA23</f>
        <v>44547551.403727345</v>
      </c>
      <c r="AB92" s="164">
        <f>((VLOOKUP($B$76,Energy_demand!$A$34:$F$66,6,FALSE )))*AB23</f>
        <v>35211191.241593309</v>
      </c>
    </row>
    <row r="93" spans="1:28">
      <c r="B93" s="163">
        <v>2024</v>
      </c>
      <c r="C93" s="164">
        <f>((VLOOKUP($B$76,Energy_demand!$A$34:$F$66,6,FALSE )))*C24</f>
        <v>0</v>
      </c>
      <c r="D93" s="164">
        <f>((VLOOKUP($B$76,Energy_demand!$A$34:$F$66,6,FALSE )))*D24</f>
        <v>0</v>
      </c>
      <c r="E93" s="164">
        <f>((VLOOKUP($B$76,Energy_demand!$A$34:$F$66,6,FALSE )))*E24</f>
        <v>0</v>
      </c>
      <c r="F93" s="164">
        <f>((VLOOKUP($B$76,Energy_demand!$A$34:$F$66,6,FALSE )))*F24</f>
        <v>0</v>
      </c>
      <c r="G93" s="164">
        <f>((VLOOKUP($B$76,Energy_demand!$A$34:$F$66,6,FALSE )))*G24</f>
        <v>0</v>
      </c>
      <c r="H93" s="164">
        <f>((VLOOKUP($B$76,Energy_demand!$A$34:$F$66,6,FALSE )))*H24</f>
        <v>0</v>
      </c>
      <c r="I93" s="164">
        <f>((VLOOKUP($B$76,Energy_demand!$A$34:$F$66,6,FALSE )))*I24</f>
        <v>0</v>
      </c>
      <c r="J93" s="164">
        <f>((VLOOKUP($B$76,Energy_demand!$A$34:$F$66,6,FALSE )))*J24</f>
        <v>0</v>
      </c>
      <c r="K93" s="164">
        <f>((VLOOKUP($B$76,Energy_demand!$A$34:$F$66,6,FALSE )))*K24</f>
        <v>0</v>
      </c>
      <c r="L93" s="164">
        <f>((VLOOKUP($B$76,Energy_demand!$A$34:$F$66,6,FALSE )))*L24</f>
        <v>0</v>
      </c>
      <c r="M93" s="164">
        <f>((VLOOKUP($B$76,Energy_demand!$A$34:$F$66,6,FALSE )))*M24</f>
        <v>0</v>
      </c>
      <c r="N93" s="164">
        <f>((VLOOKUP($B$76,Energy_demand!$A$34:$F$66,6,FALSE )))*N24</f>
        <v>0</v>
      </c>
      <c r="O93" s="164">
        <f>((VLOOKUP($B$76,Energy_demand!$A$34:$F$66,6,FALSE )))*O24</f>
        <v>0</v>
      </c>
      <c r="P93" s="164">
        <f>((VLOOKUP($B$76,Energy_demand!$A$34:$F$66,6,FALSE )))*P24</f>
        <v>0</v>
      </c>
      <c r="Q93" s="164">
        <f>((VLOOKUP($B$76,Energy_demand!$A$34:$F$66,6,FALSE )))*Q24</f>
        <v>0</v>
      </c>
      <c r="R93" s="164">
        <f>((VLOOKUP($B$76,Energy_demand!$A$34:$F$66,6,FALSE )))*R24</f>
        <v>0</v>
      </c>
      <c r="S93" s="164">
        <f>((VLOOKUP($B$76,Energy_demand!$A$34:$F$66,6,FALSE )))*S24</f>
        <v>0</v>
      </c>
      <c r="T93" s="164">
        <f>((VLOOKUP($B$76,Energy_demand!$A$34:$F$66,6,FALSE )))*T24</f>
        <v>128805075.65541555</v>
      </c>
      <c r="U93" s="164">
        <f>((VLOOKUP($B$76,Energy_demand!$A$34:$F$66,6,FALSE )))*U24</f>
        <v>123666576.77043757</v>
      </c>
      <c r="V93" s="164">
        <f>((VLOOKUP($B$76,Energy_demand!$A$34:$F$66,6,FALSE )))*V24</f>
        <v>113850595.26661192</v>
      </c>
      <c r="W93" s="164">
        <f>((VLOOKUP($B$76,Energy_demand!$A$34:$F$66,6,FALSE )))*W24</f>
        <v>101716943.64165272</v>
      </c>
      <c r="X93" s="164">
        <f>((VLOOKUP($B$76,Energy_demand!$A$34:$F$66,6,FALSE )))*X24</f>
        <v>88604385.951113999</v>
      </c>
      <c r="Y93" s="164">
        <f>((VLOOKUP($B$76,Energy_demand!$A$34:$F$66,6,FALSE )))*Y24</f>
        <v>75463951.535938278</v>
      </c>
      <c r="Z93" s="164">
        <f>((VLOOKUP($B$76,Energy_demand!$A$34:$F$66,6,FALSE )))*Z24</f>
        <v>62963782.370802291</v>
      </c>
      <c r="AA93" s="164">
        <f>((VLOOKUP($B$76,Energy_demand!$A$34:$F$66,6,FALSE )))*AA24</f>
        <v>51539728.205855764</v>
      </c>
      <c r="AB93" s="164">
        <f>((VLOOKUP($B$76,Energy_demand!$A$34:$F$66,6,FALSE )))*AB24</f>
        <v>41437402.268941961</v>
      </c>
    </row>
    <row r="94" spans="1:28">
      <c r="B94" s="163">
        <v>2025</v>
      </c>
      <c r="C94" s="164">
        <f>((VLOOKUP($B$76,Energy_demand!$A$34:$F$66,6,FALSE )))*C25</f>
        <v>0</v>
      </c>
      <c r="D94" s="164">
        <f>((VLOOKUP($B$76,Energy_demand!$A$34:$F$66,6,FALSE )))*D25</f>
        <v>0</v>
      </c>
      <c r="E94" s="164">
        <f>((VLOOKUP($B$76,Energy_demand!$A$34:$F$66,6,FALSE )))*E25</f>
        <v>0</v>
      </c>
      <c r="F94" s="164">
        <f>((VLOOKUP($B$76,Energy_demand!$A$34:$F$66,6,FALSE )))*F25</f>
        <v>0</v>
      </c>
      <c r="G94" s="164">
        <f>((VLOOKUP($B$76,Energy_demand!$A$34:$F$66,6,FALSE )))*G25</f>
        <v>0</v>
      </c>
      <c r="H94" s="164">
        <f>((VLOOKUP($B$76,Energy_demand!$A$34:$F$66,6,FALSE )))*H25</f>
        <v>0</v>
      </c>
      <c r="I94" s="164">
        <f>((VLOOKUP($B$76,Energy_demand!$A$34:$F$66,6,FALSE )))*I25</f>
        <v>0</v>
      </c>
      <c r="J94" s="164">
        <f>((VLOOKUP($B$76,Energy_demand!$A$34:$F$66,6,FALSE )))*J25</f>
        <v>0</v>
      </c>
      <c r="K94" s="164">
        <f>((VLOOKUP($B$76,Energy_demand!$A$34:$F$66,6,FALSE )))*K25</f>
        <v>0</v>
      </c>
      <c r="L94" s="164">
        <f>((VLOOKUP($B$76,Energy_demand!$A$34:$F$66,6,FALSE )))*L25</f>
        <v>0</v>
      </c>
      <c r="M94" s="164">
        <f>((VLOOKUP($B$76,Energy_demand!$A$34:$F$66,6,FALSE )))*M25</f>
        <v>0</v>
      </c>
      <c r="N94" s="164">
        <f>((VLOOKUP($B$76,Energy_demand!$A$34:$F$66,6,FALSE )))*N25</f>
        <v>0</v>
      </c>
      <c r="O94" s="164">
        <f>((VLOOKUP($B$76,Energy_demand!$A$34:$F$66,6,FALSE )))*O25</f>
        <v>0</v>
      </c>
      <c r="P94" s="164">
        <f>((VLOOKUP($B$76,Energy_demand!$A$34:$F$66,6,FALSE )))*P25</f>
        <v>0</v>
      </c>
      <c r="Q94" s="164">
        <f>((VLOOKUP($B$76,Energy_demand!$A$34:$F$66,6,FALSE )))*Q25</f>
        <v>0</v>
      </c>
      <c r="R94" s="164">
        <f>((VLOOKUP($B$76,Energy_demand!$A$34:$F$66,6,FALSE )))*R25</f>
        <v>0</v>
      </c>
      <c r="S94" s="164">
        <f>((VLOOKUP($B$76,Energy_demand!$A$34:$F$66,6,FALSE )))*S25</f>
        <v>0</v>
      </c>
      <c r="T94" s="164">
        <f>((VLOOKUP($B$76,Energy_demand!$A$34:$F$66,6,FALSE )))*T25</f>
        <v>0</v>
      </c>
      <c r="U94" s="164">
        <f>((VLOOKUP($B$76,Energy_demand!$A$34:$F$66,6,FALSE )))*U25</f>
        <v>120368742.81575224</v>
      </c>
      <c r="V94" s="164">
        <f>((VLOOKUP($B$76,Energy_demand!$A$34:$F$66,6,FALSE )))*V25</f>
        <v>115566799.66562656</v>
      </c>
      <c r="W94" s="164">
        <f>((VLOOKUP($B$76,Energy_demand!$A$34:$F$66,6,FALSE )))*W25</f>
        <v>106393734.49636981</v>
      </c>
      <c r="X94" s="164">
        <f>((VLOOKUP($B$76,Energy_demand!$A$34:$F$66,6,FALSE )))*X25</f>
        <v>95054799.408377886</v>
      </c>
      <c r="Y94" s="164">
        <f>((VLOOKUP($B$76,Energy_demand!$A$34:$F$66,6,FALSE )))*Y25</f>
        <v>82801073.565060854</v>
      </c>
      <c r="Z94" s="164">
        <f>((VLOOKUP($B$76,Energy_demand!$A$34:$F$66,6,FALSE )))*Z25</f>
        <v>70521296.836083442</v>
      </c>
      <c r="AA94" s="164">
        <f>((VLOOKUP($B$76,Energy_demand!$A$34:$F$66,6,FALSE )))*AA25</f>
        <v>58839849.969681263</v>
      </c>
      <c r="AB94" s="164">
        <f>((VLOOKUP($B$76,Energy_demand!$A$34:$F$66,6,FALSE )))*AB25</f>
        <v>48164035.90958637</v>
      </c>
    </row>
    <row r="95" spans="1:28">
      <c r="B95" s="163">
        <v>2026</v>
      </c>
      <c r="C95" s="164">
        <f>((VLOOKUP($B$76,Energy_demand!$A$34:$F$66,6,FALSE )))*C26</f>
        <v>0</v>
      </c>
      <c r="D95" s="164">
        <f>((VLOOKUP($B$76,Energy_demand!$A$34:$F$66,6,FALSE )))*D26</f>
        <v>0</v>
      </c>
      <c r="E95" s="164">
        <f>((VLOOKUP($B$76,Energy_demand!$A$34:$F$66,6,FALSE )))*E26</f>
        <v>0</v>
      </c>
      <c r="F95" s="164">
        <f>((VLOOKUP($B$76,Energy_demand!$A$34:$F$66,6,FALSE )))*F26</f>
        <v>0</v>
      </c>
      <c r="G95" s="164">
        <f>((VLOOKUP($B$76,Energy_demand!$A$34:$F$66,6,FALSE )))*G26</f>
        <v>0</v>
      </c>
      <c r="H95" s="164">
        <f>((VLOOKUP($B$76,Energy_demand!$A$34:$F$66,6,FALSE )))*H26</f>
        <v>0</v>
      </c>
      <c r="I95" s="164">
        <f>((VLOOKUP($B$76,Energy_demand!$A$34:$F$66,6,FALSE )))*I26</f>
        <v>0</v>
      </c>
      <c r="J95" s="164">
        <f>((VLOOKUP($B$76,Energy_demand!$A$34:$F$66,6,FALSE )))*J26</f>
        <v>0</v>
      </c>
      <c r="K95" s="164">
        <f>((VLOOKUP($B$76,Energy_demand!$A$34:$F$66,6,FALSE )))*K26</f>
        <v>0</v>
      </c>
      <c r="L95" s="164">
        <f>((VLOOKUP($B$76,Energy_demand!$A$34:$F$66,6,FALSE )))*L26</f>
        <v>0</v>
      </c>
      <c r="M95" s="164">
        <f>((VLOOKUP($B$76,Energy_demand!$A$34:$F$66,6,FALSE )))*M26</f>
        <v>0</v>
      </c>
      <c r="N95" s="164">
        <f>((VLOOKUP($B$76,Energy_demand!$A$34:$F$66,6,FALSE )))*N26</f>
        <v>0</v>
      </c>
      <c r="O95" s="164">
        <f>((VLOOKUP($B$76,Energy_demand!$A$34:$F$66,6,FALSE )))*O26</f>
        <v>0</v>
      </c>
      <c r="P95" s="164">
        <f>((VLOOKUP($B$76,Energy_demand!$A$34:$F$66,6,FALSE )))*P26</f>
        <v>0</v>
      </c>
      <c r="Q95" s="164">
        <f>((VLOOKUP($B$76,Energy_demand!$A$34:$F$66,6,FALSE )))*Q26</f>
        <v>0</v>
      </c>
      <c r="R95" s="164">
        <f>((VLOOKUP($B$76,Energy_demand!$A$34:$F$66,6,FALSE )))*R26</f>
        <v>0</v>
      </c>
      <c r="S95" s="164">
        <f>((VLOOKUP($B$76,Energy_demand!$A$34:$F$66,6,FALSE )))*S26</f>
        <v>0</v>
      </c>
      <c r="T95" s="164">
        <f>((VLOOKUP($B$76,Energy_demand!$A$34:$F$66,6,FALSE )))*T26</f>
        <v>0</v>
      </c>
      <c r="U95" s="164">
        <f>((VLOOKUP($B$76,Energy_demand!$A$34:$F$66,6,FALSE )))*U26</f>
        <v>0</v>
      </c>
      <c r="V95" s="164">
        <f>((VLOOKUP($B$76,Energy_demand!$A$34:$F$66,6,FALSE )))*V26</f>
        <v>113912998.01824166</v>
      </c>
      <c r="W95" s="164">
        <f>((VLOOKUP($B$76,Energy_demand!$A$34:$F$66,6,FALSE )))*W26</f>
        <v>109368597.80479695</v>
      </c>
      <c r="X95" s="164">
        <f>((VLOOKUP($B$76,Energy_demand!$A$34:$F$66,6,FALSE )))*X26</f>
        <v>100687512.25049973</v>
      </c>
      <c r="Y95" s="164">
        <f>((VLOOKUP($B$76,Energy_demand!$A$34:$F$66,6,FALSE )))*Y26</f>
        <v>89956719.023021057</v>
      </c>
      <c r="Z95" s="164">
        <f>((VLOOKUP($B$76,Energy_demand!$A$34:$F$66,6,FALSE )))*Z26</f>
        <v>78360198.073703825</v>
      </c>
      <c r="AA95" s="164">
        <f>((VLOOKUP($B$76,Energy_demand!$A$34:$F$66,6,FALSE )))*AA26</f>
        <v>66739023.427611277</v>
      </c>
      <c r="AB95" s="164">
        <f>((VLOOKUP($B$76,Energy_demand!$A$34:$F$66,6,FALSE )))*AB26</f>
        <v>55684088.378738046</v>
      </c>
    </row>
    <row r="96" spans="1:28">
      <c r="B96" s="163">
        <v>2027</v>
      </c>
      <c r="C96" s="164">
        <f>((VLOOKUP($B$76,Energy_demand!$A$34:$F$66,6,FALSE )))*C27</f>
        <v>0</v>
      </c>
      <c r="D96" s="164">
        <f>((VLOOKUP($B$76,Energy_demand!$A$34:$F$66,6,FALSE )))*D27</f>
        <v>0</v>
      </c>
      <c r="E96" s="164">
        <f>((VLOOKUP($B$76,Energy_demand!$A$34:$F$66,6,FALSE )))*E27</f>
        <v>0</v>
      </c>
      <c r="F96" s="164">
        <f>((VLOOKUP($B$76,Energy_demand!$A$34:$F$66,6,FALSE )))*F27</f>
        <v>0</v>
      </c>
      <c r="G96" s="164">
        <f>((VLOOKUP($B$76,Energy_demand!$A$34:$F$66,6,FALSE )))*G27</f>
        <v>0</v>
      </c>
      <c r="H96" s="164">
        <f>((VLOOKUP($B$76,Energy_demand!$A$34:$F$66,6,FALSE )))*H27</f>
        <v>0</v>
      </c>
      <c r="I96" s="164">
        <f>((VLOOKUP($B$76,Energy_demand!$A$34:$F$66,6,FALSE )))*I27</f>
        <v>0</v>
      </c>
      <c r="J96" s="164">
        <f>((VLOOKUP($B$76,Energy_demand!$A$34:$F$66,6,FALSE )))*J27</f>
        <v>0</v>
      </c>
      <c r="K96" s="164">
        <f>((VLOOKUP($B$76,Energy_demand!$A$34:$F$66,6,FALSE )))*K27</f>
        <v>0</v>
      </c>
      <c r="L96" s="164">
        <f>((VLOOKUP($B$76,Energy_demand!$A$34:$F$66,6,FALSE )))*L27</f>
        <v>0</v>
      </c>
      <c r="M96" s="164">
        <f>((VLOOKUP($B$76,Energy_demand!$A$34:$F$66,6,FALSE )))*M27</f>
        <v>0</v>
      </c>
      <c r="N96" s="164">
        <f>((VLOOKUP($B$76,Energy_demand!$A$34:$F$66,6,FALSE )))*N27</f>
        <v>0</v>
      </c>
      <c r="O96" s="164">
        <f>((VLOOKUP($B$76,Energy_demand!$A$34:$F$66,6,FALSE )))*O27</f>
        <v>0</v>
      </c>
      <c r="P96" s="164">
        <f>((VLOOKUP($B$76,Energy_demand!$A$34:$F$66,6,FALSE )))*P27</f>
        <v>0</v>
      </c>
      <c r="Q96" s="164">
        <f>((VLOOKUP($B$76,Energy_demand!$A$34:$F$66,6,FALSE )))*Q27</f>
        <v>0</v>
      </c>
      <c r="R96" s="164">
        <f>((VLOOKUP($B$76,Energy_demand!$A$34:$F$66,6,FALSE )))*R27</f>
        <v>0</v>
      </c>
      <c r="S96" s="164">
        <f>((VLOOKUP($B$76,Energy_demand!$A$34:$F$66,6,FALSE )))*S27</f>
        <v>0</v>
      </c>
      <c r="T96" s="164">
        <f>((VLOOKUP($B$76,Energy_demand!$A$34:$F$66,6,FALSE )))*T27</f>
        <v>0</v>
      </c>
      <c r="U96" s="164">
        <f>((VLOOKUP($B$76,Energy_demand!$A$34:$F$66,6,FALSE )))*U27</f>
        <v>0</v>
      </c>
      <c r="V96" s="164">
        <f>((VLOOKUP($B$76,Energy_demand!$A$34:$F$66,6,FALSE )))*V27</f>
        <v>0</v>
      </c>
      <c r="W96" s="164">
        <f>((VLOOKUP($B$76,Energy_demand!$A$34:$F$66,6,FALSE )))*W27</f>
        <v>109529048.88301991</v>
      </c>
      <c r="X96" s="164">
        <f>((VLOOKUP($B$76,Energy_demand!$A$34:$F$66,6,FALSE )))*X27</f>
        <v>105159540.20726119</v>
      </c>
      <c r="Y96" s="164">
        <f>((VLOOKUP($B$76,Energy_demand!$A$34:$F$66,6,FALSE )))*Y27</f>
        <v>96812546.794955119</v>
      </c>
      <c r="Z96" s="164">
        <f>((VLOOKUP($B$76,Energy_demand!$A$34:$F$66,6,FALSE )))*Z27</f>
        <v>86494728.842539579</v>
      </c>
      <c r="AA96" s="164">
        <f>((VLOOKUP($B$76,Energy_demand!$A$34:$F$66,6,FALSE )))*AA27</f>
        <v>75344500.75594902</v>
      </c>
      <c r="AB96" s="164">
        <f>((VLOOKUP($B$76,Energy_demand!$A$34:$F$66,6,FALSE )))*AB27</f>
        <v>64170567.771706514</v>
      </c>
    </row>
    <row r="97" spans="1:28">
      <c r="B97" s="163">
        <v>2028</v>
      </c>
      <c r="C97" s="164">
        <f>((VLOOKUP($B$76,Energy_demand!$A$34:$F$66,6,FALSE )))*C28</f>
        <v>0</v>
      </c>
      <c r="D97" s="164">
        <f>((VLOOKUP($B$76,Energy_demand!$A$34:$F$66,6,FALSE )))*D28</f>
        <v>0</v>
      </c>
      <c r="E97" s="164">
        <f>((VLOOKUP($B$76,Energy_demand!$A$34:$F$66,6,FALSE )))*E28</f>
        <v>0</v>
      </c>
      <c r="F97" s="164">
        <f>((VLOOKUP($B$76,Energy_demand!$A$34:$F$66,6,FALSE )))*F28</f>
        <v>0</v>
      </c>
      <c r="G97" s="164">
        <f>((VLOOKUP($B$76,Energy_demand!$A$34:$F$66,6,FALSE )))*G28</f>
        <v>0</v>
      </c>
      <c r="H97" s="164">
        <f>((VLOOKUP($B$76,Energy_demand!$A$34:$F$66,6,FALSE )))*H28</f>
        <v>0</v>
      </c>
      <c r="I97" s="164">
        <f>((VLOOKUP($B$76,Energy_demand!$A$34:$F$66,6,FALSE )))*I28</f>
        <v>0</v>
      </c>
      <c r="J97" s="164">
        <f>((VLOOKUP($B$76,Energy_demand!$A$34:$F$66,6,FALSE )))*J28</f>
        <v>0</v>
      </c>
      <c r="K97" s="164">
        <f>((VLOOKUP($B$76,Energy_demand!$A$34:$F$66,6,FALSE )))*K28</f>
        <v>0</v>
      </c>
      <c r="L97" s="164">
        <f>((VLOOKUP($B$76,Energy_demand!$A$34:$F$66,6,FALSE )))*L28</f>
        <v>0</v>
      </c>
      <c r="M97" s="164">
        <f>((VLOOKUP($B$76,Energy_demand!$A$34:$F$66,6,FALSE )))*M28</f>
        <v>0</v>
      </c>
      <c r="N97" s="164">
        <f>((VLOOKUP($B$76,Energy_demand!$A$34:$F$66,6,FALSE )))*N28</f>
        <v>0</v>
      </c>
      <c r="O97" s="164">
        <f>((VLOOKUP($B$76,Energy_demand!$A$34:$F$66,6,FALSE )))*O28</f>
        <v>0</v>
      </c>
      <c r="P97" s="164">
        <f>((VLOOKUP($B$76,Energy_demand!$A$34:$F$66,6,FALSE )))*P28</f>
        <v>0</v>
      </c>
      <c r="Q97" s="164">
        <f>((VLOOKUP($B$76,Energy_demand!$A$34:$F$66,6,FALSE )))*Q28</f>
        <v>0</v>
      </c>
      <c r="R97" s="164">
        <f>((VLOOKUP($B$76,Energy_demand!$A$34:$F$66,6,FALSE )))*R28</f>
        <v>0</v>
      </c>
      <c r="S97" s="164">
        <f>((VLOOKUP($B$76,Energy_demand!$A$34:$F$66,6,FALSE )))*S28</f>
        <v>0</v>
      </c>
      <c r="T97" s="164">
        <f>((VLOOKUP($B$76,Energy_demand!$A$34:$F$66,6,FALSE )))*T28</f>
        <v>0</v>
      </c>
      <c r="U97" s="164">
        <f>((VLOOKUP($B$76,Energy_demand!$A$34:$F$66,6,FALSE )))*U28</f>
        <v>0</v>
      </c>
      <c r="V97" s="164">
        <f>((VLOOKUP($B$76,Energy_demand!$A$34:$F$66,6,FALSE )))*V28</f>
        <v>0</v>
      </c>
      <c r="W97" s="164">
        <f>((VLOOKUP($B$76,Energy_demand!$A$34:$F$66,6,FALSE )))*W28</f>
        <v>0</v>
      </c>
      <c r="X97" s="164">
        <f>((VLOOKUP($B$76,Energy_demand!$A$34:$F$66,6,FALSE )))*X28</f>
        <v>106930995.79319543</v>
      </c>
      <c r="Y97" s="164">
        <f>((VLOOKUP($B$76,Energy_demand!$A$34:$F$66,6,FALSE )))*Y28</f>
        <v>102665132.82267967</v>
      </c>
      <c r="Z97" s="164">
        <f>((VLOOKUP($B$76,Energy_demand!$A$34:$F$66,6,FALSE )))*Z28</f>
        <v>94516131.926941007</v>
      </c>
      <c r="AA97" s="164">
        <f>((VLOOKUP($B$76,Energy_demand!$A$34:$F$66,6,FALSE )))*AA28</f>
        <v>84443054.881936699</v>
      </c>
      <c r="AB97" s="164">
        <f>((VLOOKUP($B$76,Energy_demand!$A$34:$F$66,6,FALSE )))*AB28</f>
        <v>73557312.653920114</v>
      </c>
    </row>
    <row r="98" spans="1:28">
      <c r="B98" s="163">
        <v>2029</v>
      </c>
      <c r="C98" s="164">
        <f>((VLOOKUP($B$76,Energy_demand!$A$34:$F$66,6,FALSE )))*C29</f>
        <v>0</v>
      </c>
      <c r="D98" s="164">
        <f>((VLOOKUP($B$76,Energy_demand!$A$34:$F$66,6,FALSE )))*D29</f>
        <v>0</v>
      </c>
      <c r="E98" s="164">
        <f>((VLOOKUP($B$76,Energy_demand!$A$34:$F$66,6,FALSE )))*E29</f>
        <v>0</v>
      </c>
      <c r="F98" s="164">
        <f>((VLOOKUP($B$76,Energy_demand!$A$34:$F$66,6,FALSE )))*F29</f>
        <v>0</v>
      </c>
      <c r="G98" s="164">
        <f>((VLOOKUP($B$76,Energy_demand!$A$34:$F$66,6,FALSE )))*G29</f>
        <v>0</v>
      </c>
      <c r="H98" s="164">
        <f>((VLOOKUP($B$76,Energy_demand!$A$34:$F$66,6,FALSE )))*H29</f>
        <v>0</v>
      </c>
      <c r="I98" s="164">
        <f>((VLOOKUP($B$76,Energy_demand!$A$34:$F$66,6,FALSE )))*I29</f>
        <v>0</v>
      </c>
      <c r="J98" s="164">
        <f>((VLOOKUP($B$76,Energy_demand!$A$34:$F$66,6,FALSE )))*J29</f>
        <v>0</v>
      </c>
      <c r="K98" s="164">
        <f>((VLOOKUP($B$76,Energy_demand!$A$34:$F$66,6,FALSE )))*K29</f>
        <v>0</v>
      </c>
      <c r="L98" s="164">
        <f>((VLOOKUP($B$76,Energy_demand!$A$34:$F$66,6,FALSE )))*L29</f>
        <v>0</v>
      </c>
      <c r="M98" s="164">
        <f>((VLOOKUP($B$76,Energy_demand!$A$34:$F$66,6,FALSE )))*M29</f>
        <v>0</v>
      </c>
      <c r="N98" s="164">
        <f>((VLOOKUP($B$76,Energy_demand!$A$34:$F$66,6,FALSE )))*N29</f>
        <v>0</v>
      </c>
      <c r="O98" s="164">
        <f>((VLOOKUP($B$76,Energy_demand!$A$34:$F$66,6,FALSE )))*O29</f>
        <v>0</v>
      </c>
      <c r="P98" s="164">
        <f>((VLOOKUP($B$76,Energy_demand!$A$34:$F$66,6,FALSE )))*P29</f>
        <v>0</v>
      </c>
      <c r="Q98" s="164">
        <f>((VLOOKUP($B$76,Energy_demand!$A$34:$F$66,6,FALSE )))*Q29</f>
        <v>0</v>
      </c>
      <c r="R98" s="164">
        <f>((VLOOKUP($B$76,Energy_demand!$A$34:$F$66,6,FALSE )))*R29</f>
        <v>0</v>
      </c>
      <c r="S98" s="164">
        <f>((VLOOKUP($B$76,Energy_demand!$A$34:$F$66,6,FALSE )))*S29</f>
        <v>0</v>
      </c>
      <c r="T98" s="164">
        <f>((VLOOKUP($B$76,Energy_demand!$A$34:$F$66,6,FALSE )))*T29</f>
        <v>0</v>
      </c>
      <c r="U98" s="164">
        <f>((VLOOKUP($B$76,Energy_demand!$A$34:$F$66,6,FALSE )))*U29</f>
        <v>0</v>
      </c>
      <c r="V98" s="164">
        <f>((VLOOKUP($B$76,Energy_demand!$A$34:$F$66,6,FALSE )))*V29</f>
        <v>0</v>
      </c>
      <c r="W98" s="164">
        <f>((VLOOKUP($B$76,Energy_demand!$A$34:$F$66,6,FALSE )))*W29</f>
        <v>0</v>
      </c>
      <c r="X98" s="164">
        <f>((VLOOKUP($B$76,Energy_demand!$A$34:$F$66,6,FALSE )))*X29</f>
        <v>0</v>
      </c>
      <c r="Y98" s="164">
        <f>((VLOOKUP($B$76,Energy_demand!$A$34:$F$66,6,FALSE )))*Y29</f>
        <v>105671574.18870598</v>
      </c>
      <c r="Z98" s="164">
        <f>((VLOOKUP($B$76,Energy_demand!$A$34:$F$66,6,FALSE )))*Z29</f>
        <v>101455954.08693942</v>
      </c>
      <c r="AA98" s="164">
        <f>((VLOOKUP($B$76,Energy_demand!$A$34:$F$66,6,FALSE )))*AA29</f>
        <v>93402931.234863117</v>
      </c>
      <c r="AB98" s="164">
        <f>((VLOOKUP($B$76,Energy_demand!$A$34:$F$66,6,FALSE )))*AB29</f>
        <v>83448493.792530239</v>
      </c>
    </row>
    <row r="99" spans="1:28">
      <c r="B99" s="163">
        <v>2030</v>
      </c>
      <c r="C99" s="164">
        <f>((VLOOKUP($B$76,Energy_demand!$A$34:$F$66,6,FALSE )))*C30</f>
        <v>0</v>
      </c>
      <c r="D99" s="164">
        <f>((VLOOKUP($B$76,Energy_demand!$A$34:$F$66,6,FALSE )))*D30</f>
        <v>0</v>
      </c>
      <c r="E99" s="164">
        <f>((VLOOKUP($B$76,Energy_demand!$A$34:$F$66,6,FALSE )))*E30</f>
        <v>0</v>
      </c>
      <c r="F99" s="164">
        <f>((VLOOKUP($B$76,Energy_demand!$A$34:$F$66,6,FALSE )))*F30</f>
        <v>0</v>
      </c>
      <c r="G99" s="164">
        <f>((VLOOKUP($B$76,Energy_demand!$A$34:$F$66,6,FALSE )))*G30</f>
        <v>0</v>
      </c>
      <c r="H99" s="164">
        <f>((VLOOKUP($B$76,Energy_demand!$A$34:$F$66,6,FALSE )))*H30</f>
        <v>0</v>
      </c>
      <c r="I99" s="164">
        <f>((VLOOKUP($B$76,Energy_demand!$A$34:$F$66,6,FALSE )))*I30</f>
        <v>0</v>
      </c>
      <c r="J99" s="164">
        <f>((VLOOKUP($B$76,Energy_demand!$A$34:$F$66,6,FALSE )))*J30</f>
        <v>0</v>
      </c>
      <c r="K99" s="164">
        <f>((VLOOKUP($B$76,Energy_demand!$A$34:$F$66,6,FALSE )))*K30</f>
        <v>0</v>
      </c>
      <c r="L99" s="164">
        <f>((VLOOKUP($B$76,Energy_demand!$A$34:$F$66,6,FALSE )))*L30</f>
        <v>0</v>
      </c>
      <c r="M99" s="164">
        <f>((VLOOKUP($B$76,Energy_demand!$A$34:$F$66,6,FALSE )))*M30</f>
        <v>0</v>
      </c>
      <c r="N99" s="164">
        <f>((VLOOKUP($B$76,Energy_demand!$A$34:$F$66,6,FALSE )))*N30</f>
        <v>0</v>
      </c>
      <c r="O99" s="164">
        <f>((VLOOKUP($B$76,Energy_demand!$A$34:$F$66,6,FALSE )))*O30</f>
        <v>0</v>
      </c>
      <c r="P99" s="164">
        <f>((VLOOKUP($B$76,Energy_demand!$A$34:$F$66,6,FALSE )))*P30</f>
        <v>0</v>
      </c>
      <c r="Q99" s="164">
        <f>((VLOOKUP($B$76,Energy_demand!$A$34:$F$66,6,FALSE )))*Q30</f>
        <v>0</v>
      </c>
      <c r="R99" s="164">
        <f>((VLOOKUP($B$76,Energy_demand!$A$34:$F$66,6,FALSE )))*R30</f>
        <v>0</v>
      </c>
      <c r="S99" s="164">
        <f>((VLOOKUP($B$76,Energy_demand!$A$34:$F$66,6,FALSE )))*S30</f>
        <v>0</v>
      </c>
      <c r="T99" s="164">
        <f>((VLOOKUP($B$76,Energy_demand!$A$34:$F$66,6,FALSE )))*T30</f>
        <v>0</v>
      </c>
      <c r="U99" s="164">
        <f>((VLOOKUP($B$76,Energy_demand!$A$34:$F$66,6,FALSE )))*U30</f>
        <v>0</v>
      </c>
      <c r="V99" s="164">
        <f>((VLOOKUP($B$76,Energy_demand!$A$34:$F$66,6,FALSE )))*V30</f>
        <v>0</v>
      </c>
      <c r="W99" s="164">
        <f>((VLOOKUP($B$76,Energy_demand!$A$34:$F$66,6,FALSE )))*W30</f>
        <v>0</v>
      </c>
      <c r="X99" s="164">
        <f>((VLOOKUP($B$76,Energy_demand!$A$34:$F$66,6,FALSE )))*X30</f>
        <v>0</v>
      </c>
      <c r="Y99" s="164">
        <f>((VLOOKUP($B$76,Energy_demand!$A$34:$F$66,6,FALSE )))*Y30</f>
        <v>0</v>
      </c>
      <c r="Z99" s="164">
        <f>((VLOOKUP($B$76,Energy_demand!$A$34:$F$66,6,FALSE )))*Z30</f>
        <v>105292637.83897001</v>
      </c>
      <c r="AA99" s="164">
        <f>((VLOOKUP($B$76,Energy_demand!$A$34:$F$66,6,FALSE )))*AA30</f>
        <v>101092134.87447996</v>
      </c>
      <c r="AB99" s="164">
        <f>((VLOOKUP($B$76,Energy_demand!$A$34:$F$66,6,FALSE )))*AB30</f>
        <v>93067990.016389608</v>
      </c>
    </row>
    <row r="100" spans="1:28">
      <c r="B100" s="163">
        <v>2031</v>
      </c>
      <c r="C100" s="164">
        <f>((VLOOKUP($B$76,Energy_demand!$A$34:$F$66,6,FALSE )))*C31</f>
        <v>0</v>
      </c>
      <c r="D100" s="164">
        <f>((VLOOKUP($B$76,Energy_demand!$A$34:$F$66,6,FALSE )))*D31</f>
        <v>0</v>
      </c>
      <c r="E100" s="164">
        <f>((VLOOKUP($B$76,Energy_demand!$A$34:$F$66,6,FALSE )))*E31</f>
        <v>0</v>
      </c>
      <c r="F100" s="164">
        <f>((VLOOKUP($B$76,Energy_demand!$A$34:$F$66,6,FALSE )))*F31</f>
        <v>0</v>
      </c>
      <c r="G100" s="164">
        <f>((VLOOKUP($B$76,Energy_demand!$A$34:$F$66,6,FALSE )))*G31</f>
        <v>0</v>
      </c>
      <c r="H100" s="164">
        <f>((VLOOKUP($B$76,Energy_demand!$A$34:$F$66,6,FALSE )))*H31</f>
        <v>0</v>
      </c>
      <c r="I100" s="164">
        <f>((VLOOKUP($B$76,Energy_demand!$A$34:$F$66,6,FALSE )))*I31</f>
        <v>0</v>
      </c>
      <c r="J100" s="164">
        <f>((VLOOKUP($B$76,Energy_demand!$A$34:$F$66,6,FALSE )))*J31</f>
        <v>0</v>
      </c>
      <c r="K100" s="164">
        <f>((VLOOKUP($B$76,Energy_demand!$A$34:$F$66,6,FALSE )))*K31</f>
        <v>0</v>
      </c>
      <c r="L100" s="164">
        <f>((VLOOKUP($B$76,Energy_demand!$A$34:$F$66,6,FALSE )))*L31</f>
        <v>0</v>
      </c>
      <c r="M100" s="164">
        <f>((VLOOKUP($B$76,Energy_demand!$A$34:$F$66,6,FALSE )))*M31</f>
        <v>0</v>
      </c>
      <c r="N100" s="164">
        <f>((VLOOKUP($B$76,Energy_demand!$A$34:$F$66,6,FALSE )))*N31</f>
        <v>0</v>
      </c>
      <c r="O100" s="164">
        <f>((VLOOKUP($B$76,Energy_demand!$A$34:$F$66,6,FALSE )))*O31</f>
        <v>0</v>
      </c>
      <c r="P100" s="164">
        <f>((VLOOKUP($B$76,Energy_demand!$A$34:$F$66,6,FALSE )))*P31</f>
        <v>0</v>
      </c>
      <c r="Q100" s="164">
        <f>((VLOOKUP($B$76,Energy_demand!$A$34:$F$66,6,FALSE )))*Q31</f>
        <v>0</v>
      </c>
      <c r="R100" s="164">
        <f>((VLOOKUP($B$76,Energy_demand!$A$34:$F$66,6,FALSE )))*R31</f>
        <v>0</v>
      </c>
      <c r="S100" s="164">
        <f>((VLOOKUP($B$76,Energy_demand!$A$34:$F$66,6,FALSE )))*S31</f>
        <v>0</v>
      </c>
      <c r="T100" s="164">
        <f>((VLOOKUP($B$76,Energy_demand!$A$34:$F$66,6,FALSE )))*T31</f>
        <v>0</v>
      </c>
      <c r="U100" s="164">
        <f>((VLOOKUP($B$76,Energy_demand!$A$34:$F$66,6,FALSE )))*U31</f>
        <v>0</v>
      </c>
      <c r="V100" s="164">
        <f>((VLOOKUP($B$76,Energy_demand!$A$34:$F$66,6,FALSE )))*V31</f>
        <v>0</v>
      </c>
      <c r="W100" s="164">
        <f>((VLOOKUP($B$76,Energy_demand!$A$34:$F$66,6,FALSE )))*W31</f>
        <v>0</v>
      </c>
      <c r="X100" s="164">
        <f>((VLOOKUP($B$76,Energy_demand!$A$34:$F$66,6,FALSE )))*X31</f>
        <v>0</v>
      </c>
      <c r="Y100" s="164">
        <f>((VLOOKUP($B$76,Energy_demand!$A$34:$F$66,6,FALSE )))*Y31</f>
        <v>0</v>
      </c>
      <c r="Z100" s="164">
        <f>((VLOOKUP($B$76,Energy_demand!$A$34:$F$66,6,FALSE )))*Z31</f>
        <v>0</v>
      </c>
      <c r="AA100" s="164">
        <f>((VLOOKUP($B$76,Energy_demand!$A$34:$F$66,6,FALSE )))*AA31</f>
        <v>105409763.05612639</v>
      </c>
      <c r="AB100" s="164">
        <f>((VLOOKUP($B$76,Energy_demand!$A$34:$F$66,6,FALSE )))*AB31</f>
        <v>101204587.54441956</v>
      </c>
    </row>
    <row r="101" spans="1:28">
      <c r="B101" s="163">
        <v>2032</v>
      </c>
      <c r="C101" s="164">
        <f>((VLOOKUP($B$76,Energy_demand!$A$34:$F$66,6,FALSE )))*C32</f>
        <v>0</v>
      </c>
      <c r="D101" s="164">
        <f>((VLOOKUP($B$76,Energy_demand!$A$34:$F$66,6,FALSE )))*D32</f>
        <v>0</v>
      </c>
      <c r="E101" s="164">
        <f>((VLOOKUP($B$76,Energy_demand!$A$34:$F$66,6,FALSE )))*E32</f>
        <v>0</v>
      </c>
      <c r="F101" s="164">
        <f>((VLOOKUP($B$76,Energy_demand!$A$34:$F$66,6,FALSE )))*F32</f>
        <v>0</v>
      </c>
      <c r="G101" s="164">
        <f>((VLOOKUP($B$76,Energy_demand!$A$34:$F$66,6,FALSE )))*G32</f>
        <v>0</v>
      </c>
      <c r="H101" s="164">
        <f>((VLOOKUP($B$76,Energy_demand!$A$34:$F$66,6,FALSE )))*H32</f>
        <v>0</v>
      </c>
      <c r="I101" s="164">
        <f>((VLOOKUP($B$76,Energy_demand!$A$34:$F$66,6,FALSE )))*I32</f>
        <v>0</v>
      </c>
      <c r="J101" s="164">
        <f>((VLOOKUP($B$76,Energy_demand!$A$34:$F$66,6,FALSE )))*J32</f>
        <v>0</v>
      </c>
      <c r="K101" s="164">
        <f>((VLOOKUP($B$76,Energy_demand!$A$34:$F$66,6,FALSE )))*K32</f>
        <v>0</v>
      </c>
      <c r="L101" s="164">
        <f>((VLOOKUP($B$76,Energy_demand!$A$34:$F$66,6,FALSE )))*L32</f>
        <v>0</v>
      </c>
      <c r="M101" s="164">
        <f>((VLOOKUP($B$76,Energy_demand!$A$34:$F$66,6,FALSE )))*M32</f>
        <v>0</v>
      </c>
      <c r="N101" s="164">
        <f>((VLOOKUP($B$76,Energy_demand!$A$34:$F$66,6,FALSE )))*N32</f>
        <v>0</v>
      </c>
      <c r="O101" s="164">
        <f>((VLOOKUP($B$76,Energy_demand!$A$34:$F$66,6,FALSE )))*O32</f>
        <v>0</v>
      </c>
      <c r="P101" s="164">
        <f>((VLOOKUP($B$76,Energy_demand!$A$34:$F$66,6,FALSE )))*P32</f>
        <v>0</v>
      </c>
      <c r="Q101" s="164">
        <f>((VLOOKUP($B$76,Energy_demand!$A$34:$F$66,6,FALSE )))*Q32</f>
        <v>0</v>
      </c>
      <c r="R101" s="164">
        <f>((VLOOKUP($B$76,Energy_demand!$A$34:$F$66,6,FALSE )))*R32</f>
        <v>0</v>
      </c>
      <c r="S101" s="164">
        <f>((VLOOKUP($B$76,Energy_demand!$A$34:$F$66,6,FALSE )))*S32</f>
        <v>0</v>
      </c>
      <c r="T101" s="164">
        <f>((VLOOKUP($B$76,Energy_demand!$A$34:$F$66,6,FALSE )))*T32</f>
        <v>0</v>
      </c>
      <c r="U101" s="164">
        <f>((VLOOKUP($B$76,Energy_demand!$A$34:$F$66,6,FALSE )))*U32</f>
        <v>0</v>
      </c>
      <c r="V101" s="164">
        <f>((VLOOKUP($B$76,Energy_demand!$A$34:$F$66,6,FALSE )))*V32</f>
        <v>0</v>
      </c>
      <c r="W101" s="164">
        <f>((VLOOKUP($B$76,Energy_demand!$A$34:$F$66,6,FALSE )))*W32</f>
        <v>0</v>
      </c>
      <c r="X101" s="164">
        <f>((VLOOKUP($B$76,Energy_demand!$A$34:$F$66,6,FALSE )))*X32</f>
        <v>0</v>
      </c>
      <c r="Y101" s="164">
        <f>((VLOOKUP($B$76,Energy_demand!$A$34:$F$66,6,FALSE )))*Y32</f>
        <v>0</v>
      </c>
      <c r="Z101" s="164">
        <f>((VLOOKUP($B$76,Energy_demand!$A$34:$F$66,6,FALSE )))*Z32</f>
        <v>0</v>
      </c>
      <c r="AA101" s="164">
        <f>((VLOOKUP($B$76,Energy_demand!$A$34:$F$66,6,FALSE )))*AA32</f>
        <v>0</v>
      </c>
      <c r="AB101" s="164">
        <f>((VLOOKUP($B$76,Energy_demand!$A$34:$F$66,6,FALSE )))*AB32</f>
        <v>105744335.67220679</v>
      </c>
    </row>
    <row r="103" spans="1:28" ht="21">
      <c r="B103" s="52" t="s">
        <v>7763</v>
      </c>
    </row>
    <row r="104" spans="1:28">
      <c r="A104" s="1" t="s">
        <v>7762</v>
      </c>
      <c r="B104" s="163">
        <v>2007</v>
      </c>
      <c r="C104" s="164">
        <f>(C76*Emissions_factors!$E$20)/1000</f>
        <v>1845.2438881657959</v>
      </c>
      <c r="D104" s="164">
        <f>(D76*Emissions_factors!$E$20)/1000</f>
        <v>1706.9786178033617</v>
      </c>
      <c r="E104" s="164">
        <f>(E76*Emissions_factors!$E$20)/1000</f>
        <v>1457.1808140460173</v>
      </c>
      <c r="F104" s="164">
        <f>(F76*Emissions_factors!$E$20)/1000</f>
        <v>1174.5732333366748</v>
      </c>
      <c r="G104" s="164">
        <f>(G76*Emissions_factors!$E$20)/1000</f>
        <v>902.00639896721611</v>
      </c>
      <c r="H104" s="164">
        <f>(H76*Emissions_factors!$E$20)/1000</f>
        <v>663.48810308857651</v>
      </c>
      <c r="I104" s="164">
        <f>(I76*Emissions_factors!$E$20)/1000</f>
        <v>469.20906599894079</v>
      </c>
      <c r="J104" s="164">
        <f>(J76*Emissions_factors!$E$20)/1000</f>
        <v>319.90468870436513</v>
      </c>
      <c r="K104" s="164">
        <f>(K76*Emissions_factors!$E$20)/1000</f>
        <v>210.74170953175451</v>
      </c>
      <c r="L104" s="164">
        <f>(L76*Emissions_factors!$E$20)/1000</f>
        <v>134.38026473866131</v>
      </c>
      <c r="M104" s="164">
        <f>(M76*Emissions_factors!$E$20)/1000</f>
        <v>83.067018474890645</v>
      </c>
      <c r="N104" s="164">
        <f>(N76*Emissions_factors!$E$20)/1000</f>
        <v>49.841155470883784</v>
      </c>
      <c r="O104" s="164">
        <f>(O76*Emissions_factors!$E$20)/1000</f>
        <v>29.060209851505572</v>
      </c>
      <c r="P104" s="164">
        <f>(P76*Emissions_factors!$E$20)/1000</f>
        <v>16.481135164984977</v>
      </c>
      <c r="Q104" s="164">
        <f>(Q76*Emissions_factors!$E$20)/1000</f>
        <v>9.0998159449394329</v>
      </c>
      <c r="R104" s="164">
        <f>(R76*Emissions_factors!$E$20)/1000</f>
        <v>4.8952593516549587</v>
      </c>
      <c r="S104" s="164">
        <f>(S76*Emissions_factors!$E$20)/1000</f>
        <v>2.5675824637418034</v>
      </c>
      <c r="T104" s="164">
        <f>(T76*Emissions_factors!$E$20)/1000</f>
        <v>1.3138904500920798</v>
      </c>
      <c r="U104" s="164">
        <f>(U76*Emissions_factors!$E$20)/1000</f>
        <v>0.65635209507135084</v>
      </c>
      <c r="V104" s="164">
        <f>(V76*Emissions_factors!$E$20)/1000</f>
        <v>0.32025366573638153</v>
      </c>
      <c r="W104" s="164">
        <f>(W76*Emissions_factors!$E$20)/1000</f>
        <v>0.15270373836293993</v>
      </c>
      <c r="X104" s="164">
        <f>(X76*Emissions_factors!$E$20)/1000</f>
        <v>7.1188000569926149E-2</v>
      </c>
      <c r="Y104" s="164">
        <f>(Y76*Emissions_factors!$E$20)/1000</f>
        <v>3.2460482047086361E-2</v>
      </c>
      <c r="Z104" s="164">
        <f>(Z76*Emissions_factors!$E$20)/1000</f>
        <v>1.4483429751841971E-2</v>
      </c>
      <c r="AA104" s="164">
        <f>(AA76*Emissions_factors!$E$20)/1000</f>
        <v>6.3259018410423253E-3</v>
      </c>
      <c r="AB104" s="164">
        <f>(AB76*Emissions_factors!$E$20)/1000</f>
        <v>2.7056058107759692E-3</v>
      </c>
    </row>
    <row r="105" spans="1:28">
      <c r="B105" s="163">
        <v>2008</v>
      </c>
      <c r="C105" s="164">
        <f>(C77*Emissions_factors!$E$20)/1000</f>
        <v>0</v>
      </c>
      <c r="D105" s="164">
        <f>(D77*Emissions_factors!$E$20)/1000</f>
        <v>2951.3619001922139</v>
      </c>
      <c r="E105" s="164">
        <f>(E77*Emissions_factors!$E$20)/1000</f>
        <v>2730.2145203338828</v>
      </c>
      <c r="F105" s="164">
        <f>(F77*Emissions_factors!$E$20)/1000</f>
        <v>2330.6772420969387</v>
      </c>
      <c r="G105" s="164">
        <f>(G77*Emissions_factors!$E$20)/1000</f>
        <v>1878.6626050290249</v>
      </c>
      <c r="H105" s="164">
        <f>(H77*Emissions_factors!$E$20)/1000</f>
        <v>1442.7075665795262</v>
      </c>
      <c r="I105" s="164">
        <f>(I77*Emissions_factors!$E$20)/1000</f>
        <v>1061.2112150838261</v>
      </c>
      <c r="J105" s="164">
        <f>(J77*Emissions_factors!$E$20)/1000</f>
        <v>750.47302391586209</v>
      </c>
      <c r="K105" s="164">
        <f>(K77*Emissions_factors!$E$20)/1000</f>
        <v>511.66922485971173</v>
      </c>
      <c r="L105" s="164">
        <f>(L77*Emissions_factors!$E$20)/1000</f>
        <v>337.06929272728729</v>
      </c>
      <c r="M105" s="164">
        <f>(M77*Emissions_factors!$E$20)/1000</f>
        <v>214.93353590330011</v>
      </c>
      <c r="N105" s="164">
        <f>(N77*Emissions_factors!$E$20)/1000</f>
        <v>132.86093782055497</v>
      </c>
      <c r="O105" s="164">
        <f>(O77*Emissions_factors!$E$20)/1000</f>
        <v>79.718073183562908</v>
      </c>
      <c r="P105" s="164">
        <f>(P77*Emissions_factors!$E$20)/1000</f>
        <v>46.480141035761967</v>
      </c>
      <c r="Q105" s="164">
        <f>(Q77*Emissions_factors!$E$20)/1000</f>
        <v>26.360631626969134</v>
      </c>
      <c r="R105" s="164">
        <f>(R77*Emissions_factors!$E$20)/1000</f>
        <v>14.554634349908087</v>
      </c>
      <c r="S105" s="164">
        <f>(S77*Emissions_factors!$E$20)/1000</f>
        <v>7.8296869236051627</v>
      </c>
      <c r="T105" s="164">
        <f>(T77*Emissions_factors!$E$20)/1000</f>
        <v>4.1067010749574901</v>
      </c>
      <c r="U105" s="164">
        <f>(U77*Emissions_factors!$E$20)/1000</f>
        <v>2.1014925128855073</v>
      </c>
      <c r="V105" s="164">
        <f>(V77*Emissions_factors!$E$20)/1000</f>
        <v>1.0497975790238034</v>
      </c>
      <c r="W105" s="164">
        <f>(W77*Emissions_factors!$E$20)/1000</f>
        <v>0.51222739363238234</v>
      </c>
      <c r="X105" s="164">
        <f>(X77*Emissions_factors!$E$20)/1000</f>
        <v>0.24424088236340868</v>
      </c>
      <c r="Y105" s="164">
        <f>(Y77*Emissions_factors!$E$20)/1000</f>
        <v>0.11386112913333431</v>
      </c>
      <c r="Z105" s="164">
        <f>(Z77*Emissions_factors!$E$20)/1000</f>
        <v>5.1918681638812254E-2</v>
      </c>
      <c r="AA105" s="164">
        <f>(AA77*Emissions_factors!$E$20)/1000</f>
        <v>2.3165416250849565E-2</v>
      </c>
      <c r="AB105" s="164">
        <f>(AB77*Emissions_factors!$E$20)/1000</f>
        <v>1.0117917635574137E-2</v>
      </c>
    </row>
    <row r="106" spans="1:28">
      <c r="B106" s="163">
        <v>2009</v>
      </c>
      <c r="C106" s="164">
        <f>(C78*Emissions_factors!$E$20)/1000</f>
        <v>0</v>
      </c>
      <c r="D106" s="164">
        <f>(D78*Emissions_factors!$E$20)/1000</f>
        <v>0</v>
      </c>
      <c r="E106" s="164">
        <f>(E78*Emissions_factors!$E$20)/1000</f>
        <v>2806.5761755407261</v>
      </c>
      <c r="F106" s="164">
        <f>(F78*Emissions_factors!$E$20)/1000</f>
        <v>2596.2776799366375</v>
      </c>
      <c r="G106" s="164">
        <f>(G78*Emissions_factors!$E$20)/1000</f>
        <v>2216.3406053721242</v>
      </c>
      <c r="H106" s="164">
        <f>(H78*Emissions_factors!$E$20)/1000</f>
        <v>1786.5005673517528</v>
      </c>
      <c r="I106" s="164">
        <f>(I78*Emissions_factors!$E$20)/1000</f>
        <v>1371.9322880635987</v>
      </c>
      <c r="J106" s="164">
        <f>(J78*Emissions_factors!$E$20)/1000</f>
        <v>1009.151101827573</v>
      </c>
      <c r="K106" s="164">
        <f>(K78*Emissions_factors!$E$20)/1000</f>
        <v>713.65687453344481</v>
      </c>
      <c r="L106" s="164">
        <f>(L78*Emissions_factors!$E$20)/1000</f>
        <v>486.56813525821167</v>
      </c>
      <c r="M106" s="164">
        <f>(M78*Emissions_factors!$E$20)/1000</f>
        <v>320.53359718886276</v>
      </c>
      <c r="N106" s="164">
        <f>(N78*Emissions_factors!$E$20)/1000</f>
        <v>204.38948580031575</v>
      </c>
      <c r="O106" s="164">
        <f>(O78*Emissions_factors!$E$20)/1000</f>
        <v>126.34314440492118</v>
      </c>
      <c r="P106" s="164">
        <f>(P78*Emissions_factors!$E$20)/1000</f>
        <v>75.807323033623391</v>
      </c>
      <c r="Q106" s="164">
        <f>(Q78*Emissions_factors!$E$20)/1000</f>
        <v>44.199952726314777</v>
      </c>
      <c r="R106" s="164">
        <f>(R78*Emissions_factors!$E$20)/1000</f>
        <v>25.067451298208677</v>
      </c>
      <c r="S106" s="164">
        <f>(S78*Emissions_factors!$E$20)/1000</f>
        <v>13.840623885365723</v>
      </c>
      <c r="T106" s="164">
        <f>(T78*Emissions_factors!$E$20)/1000</f>
        <v>7.445583945602154</v>
      </c>
      <c r="U106" s="164">
        <f>(U78*Emissions_factors!$E$20)/1000</f>
        <v>3.9052375773681107</v>
      </c>
      <c r="V106" s="164">
        <f>(V78*Emissions_factors!$E$20)/1000</f>
        <v>1.9983990507424925</v>
      </c>
      <c r="W106" s="164">
        <f>(W78*Emissions_factors!$E$20)/1000</f>
        <v>0.99829738746598728</v>
      </c>
      <c r="X106" s="164">
        <f>(X78*Emissions_factors!$E$20)/1000</f>
        <v>0.48709892180092812</v>
      </c>
      <c r="Y106" s="164">
        <f>(Y78*Emissions_factors!$E$20)/1000</f>
        <v>0.23225909417938362</v>
      </c>
      <c r="Z106" s="164">
        <f>(Z78*Emissions_factors!$E$20)/1000</f>
        <v>0.1082754142502721</v>
      </c>
      <c r="AA106" s="164">
        <f>(AA78*Emissions_factors!$E$20)/1000</f>
        <v>4.9371693435320246E-2</v>
      </c>
      <c r="AB106" s="164">
        <f>(AB78*Emissions_factors!$E$20)/1000</f>
        <v>2.2028984429826814E-2</v>
      </c>
    </row>
    <row r="107" spans="1:28">
      <c r="B107" s="163">
        <v>2010</v>
      </c>
      <c r="C107" s="164">
        <f>(C79*Emissions_factors!$E$20)/1000</f>
        <v>0</v>
      </c>
      <c r="D107" s="164">
        <f>(D79*Emissions_factors!$E$20)/1000</f>
        <v>0</v>
      </c>
      <c r="E107" s="164">
        <f>(E79*Emissions_factors!$E$20)/1000</f>
        <v>0</v>
      </c>
      <c r="F107" s="164">
        <f>(F79*Emissions_factors!$E$20)/1000</f>
        <v>3241.5374205526591</v>
      </c>
      <c r="G107" s="164">
        <f>(G79*Emissions_factors!$E$20)/1000</f>
        <v>2998.6470087664038</v>
      </c>
      <c r="H107" s="164">
        <f>(H79*Emissions_factors!$E$20)/1000</f>
        <v>2559.827547748605</v>
      </c>
      <c r="I107" s="164">
        <f>(I79*Emissions_factors!$E$20)/1000</f>
        <v>2063.3711963273354</v>
      </c>
      <c r="J107" s="164">
        <f>(J79*Emissions_factors!$E$20)/1000</f>
        <v>1584.5534103009966</v>
      </c>
      <c r="K107" s="164">
        <f>(K79*Emissions_factors!$E$20)/1000</f>
        <v>1165.5486453831179</v>
      </c>
      <c r="L107" s="164">
        <f>(L79*Emissions_factors!$E$20)/1000</f>
        <v>824.25892601654311</v>
      </c>
      <c r="M107" s="164">
        <f>(M79*Emissions_factors!$E$20)/1000</f>
        <v>561.97613014517447</v>
      </c>
      <c r="N107" s="164">
        <f>(N79*Emissions_factors!$E$20)/1000</f>
        <v>370.20967358274868</v>
      </c>
      <c r="O107" s="164">
        <f>(O79*Emissions_factors!$E$20)/1000</f>
        <v>236.0656277079645</v>
      </c>
      <c r="P107" s="164">
        <f>(P79*Emissions_factors!$E$20)/1000</f>
        <v>145.92371801201355</v>
      </c>
      <c r="Q107" s="164">
        <f>(Q79*Emissions_factors!$E$20)/1000</f>
        <v>87.555889808716884</v>
      </c>
      <c r="R107" s="164">
        <f>(R79*Emissions_factors!$E$20)/1000</f>
        <v>51.050030994225125</v>
      </c>
      <c r="S107" s="164">
        <f>(S79*Emissions_factors!$E$20)/1000</f>
        <v>28.952387656240777</v>
      </c>
      <c r="T107" s="164">
        <f>(T79*Emissions_factors!$E$20)/1000</f>
        <v>15.985634254008476</v>
      </c>
      <c r="U107" s="164">
        <f>(U79*Emissions_factors!$E$20)/1000</f>
        <v>8.5994954235958083</v>
      </c>
      <c r="V107" s="164">
        <f>(V79*Emissions_factors!$E$20)/1000</f>
        <v>4.5104686106544793</v>
      </c>
      <c r="W107" s="164">
        <f>(W79*Emissions_factors!$E$20)/1000</f>
        <v>2.3081095609067681</v>
      </c>
      <c r="X107" s="164">
        <f>(X79*Emissions_factors!$E$20)/1000</f>
        <v>1.1530128298361586</v>
      </c>
      <c r="Y107" s="164">
        <f>(Y79*Emissions_factors!$E$20)/1000</f>
        <v>0.56258917762114746</v>
      </c>
      <c r="Z107" s="164">
        <f>(Z79*Emissions_factors!$E$20)/1000</f>
        <v>0.26825444882182264</v>
      </c>
      <c r="AA107" s="164">
        <f>(AA79*Emissions_factors!$E$20)/1000</f>
        <v>0.12505586346697922</v>
      </c>
      <c r="AB107" s="164">
        <f>(AB79*Emissions_factors!$E$20)/1000</f>
        <v>5.7023284520617251E-2</v>
      </c>
    </row>
    <row r="108" spans="1:28">
      <c r="B108" s="163">
        <v>2011</v>
      </c>
      <c r="C108" s="164">
        <f>(C80*Emissions_factors!$E$20)/1000</f>
        <v>0</v>
      </c>
      <c r="D108" s="164">
        <f>(D80*Emissions_factors!$E$20)/1000</f>
        <v>0</v>
      </c>
      <c r="E108" s="164">
        <f>(E80*Emissions_factors!$E$20)/1000</f>
        <v>0</v>
      </c>
      <c r="F108" s="164">
        <f>(F80*Emissions_factors!$E$20)/1000</f>
        <v>0</v>
      </c>
      <c r="G108" s="164">
        <f>(G80*Emissions_factors!$E$20)/1000</f>
        <v>11708.715477221163</v>
      </c>
      <c r="H108" s="164">
        <f>(H80*Emissions_factors!$E$20)/1000</f>
        <v>10831.374155872025</v>
      </c>
      <c r="I108" s="164">
        <f>(I80*Emissions_factors!$E$20)/1000</f>
        <v>9246.3200447123399</v>
      </c>
      <c r="J108" s="164">
        <f>(J80*Emissions_factors!$E$20)/1000</f>
        <v>7453.0764656640013</v>
      </c>
      <c r="K108" s="164">
        <f>(K80*Emissions_factors!$E$20)/1000</f>
        <v>5723.544921012106</v>
      </c>
      <c r="L108" s="164">
        <f>(L80*Emissions_factors!$E$20)/1000</f>
        <v>4210.0632178803435</v>
      </c>
      <c r="M108" s="164">
        <f>(M80*Emissions_factors!$E$20)/1000</f>
        <v>2977.2950276915708</v>
      </c>
      <c r="N108" s="164">
        <f>(N80*Emissions_factors!$E$20)/1000</f>
        <v>2029.9067260922789</v>
      </c>
      <c r="O108" s="164">
        <f>(O80*Emissions_factors!$E$20)/1000</f>
        <v>1337.229583533943</v>
      </c>
      <c r="P108" s="164">
        <f>(P80*Emissions_factors!$E$20)/1000</f>
        <v>852.68960686960895</v>
      </c>
      <c r="Q108" s="164">
        <f>(Q80*Emissions_factors!$E$20)/1000</f>
        <v>527.08917834723593</v>
      </c>
      <c r="R108" s="164">
        <f>(R80*Emissions_factors!$E$20)/1000</f>
        <v>316.25949946627793</v>
      </c>
      <c r="S108" s="164">
        <f>(S80*Emissions_factors!$E$20)/1000</f>
        <v>184.39715803521253</v>
      </c>
      <c r="T108" s="164">
        <f>(T80*Emissions_factors!$E$20)/1000</f>
        <v>104.57854575540796</v>
      </c>
      <c r="U108" s="164">
        <f>(U80*Emissions_factors!$E$20)/1000</f>
        <v>57.741503157225445</v>
      </c>
      <c r="V108" s="164">
        <f>(V80*Emissions_factors!$E$20)/1000</f>
        <v>31.062126423140914</v>
      </c>
      <c r="W108" s="164">
        <f>(W80*Emissions_factors!$E$20)/1000</f>
        <v>16.292205450488463</v>
      </c>
      <c r="X108" s="164">
        <f>(X80*Emissions_factors!$E$20)/1000</f>
        <v>8.3370927534452619</v>
      </c>
      <c r="Y108" s="164">
        <f>(Y80*Emissions_factors!$E$20)/1000</f>
        <v>4.164782760346939</v>
      </c>
      <c r="Z108" s="164">
        <f>(Z80*Emissions_factors!$E$20)/1000</f>
        <v>2.0321211069674416</v>
      </c>
      <c r="AA108" s="164">
        <f>(AA80*Emissions_factors!$E$20)/1000</f>
        <v>0.96895843214359778</v>
      </c>
      <c r="AB108" s="164">
        <f>(AB80*Emissions_factors!$E$20)/1000</f>
        <v>0.45171267029316992</v>
      </c>
    </row>
    <row r="109" spans="1:28">
      <c r="B109" s="163">
        <v>2012</v>
      </c>
      <c r="C109" s="164">
        <f>(C81*Emissions_factors!$E$20)/1000</f>
        <v>0</v>
      </c>
      <c r="D109" s="164">
        <f>(D81*Emissions_factors!$E$20)/1000</f>
        <v>0</v>
      </c>
      <c r="E109" s="164">
        <f>(E81*Emissions_factors!$E$20)/1000</f>
        <v>0</v>
      </c>
      <c r="F109" s="164">
        <f>(F81*Emissions_factors!$E$20)/1000</f>
        <v>0</v>
      </c>
      <c r="G109" s="164">
        <f>(G81*Emissions_factors!$E$20)/1000</f>
        <v>0</v>
      </c>
      <c r="H109" s="164">
        <f>(H81*Emissions_factors!$E$20)/1000</f>
        <v>27731.966247686036</v>
      </c>
      <c r="I109" s="164">
        <f>(I81*Emissions_factors!$E$20)/1000</f>
        <v>25653.992796312275</v>
      </c>
      <c r="J109" s="164">
        <f>(J81*Emissions_factors!$E$20)/1000</f>
        <v>21899.809239887811</v>
      </c>
      <c r="K109" s="164">
        <f>(K81*Emissions_factors!$E$20)/1000</f>
        <v>17652.531175543667</v>
      </c>
      <c r="L109" s="164">
        <f>(L81*Emissions_factors!$E$20)/1000</f>
        <v>13556.154377089098</v>
      </c>
      <c r="M109" s="164">
        <f>(M81*Emissions_factors!$E$20)/1000</f>
        <v>9971.4892966714469</v>
      </c>
      <c r="N109" s="164">
        <f>(N81*Emissions_factors!$E$20)/1000</f>
        <v>7051.6911422073081</v>
      </c>
      <c r="O109" s="164">
        <f>(O81*Emissions_factors!$E$20)/1000</f>
        <v>4807.81217405601</v>
      </c>
      <c r="P109" s="164">
        <f>(P81*Emissions_factors!$E$20)/1000</f>
        <v>3167.2138372578961</v>
      </c>
      <c r="Q109" s="164">
        <f>(Q81*Emissions_factors!$E$20)/1000</f>
        <v>2019.5861316695657</v>
      </c>
      <c r="R109" s="164">
        <f>(R81*Emissions_factors!$E$20)/1000</f>
        <v>1248.4050305845526</v>
      </c>
      <c r="S109" s="164">
        <f>(S81*Emissions_factors!$E$20)/1000</f>
        <v>749.05721142268351</v>
      </c>
      <c r="T109" s="164">
        <f>(T81*Emissions_factors!$E$20)/1000</f>
        <v>436.74267879770684</v>
      </c>
      <c r="U109" s="164">
        <f>(U81*Emissions_factors!$E$20)/1000</f>
        <v>247.69315701310066</v>
      </c>
      <c r="V109" s="164">
        <f>(V81*Emissions_factors!$E$20)/1000</f>
        <v>136.76012708328844</v>
      </c>
      <c r="W109" s="164">
        <f>(W81*Emissions_factors!$E$20)/1000</f>
        <v>73.570311211656517</v>
      </c>
      <c r="X109" s="164">
        <f>(X81*Emissions_factors!$E$20)/1000</f>
        <v>38.587912784480949</v>
      </c>
      <c r="Y109" s="164">
        <f>(Y81*Emissions_factors!$E$20)/1000</f>
        <v>19.746314212875859</v>
      </c>
      <c r="Z109" s="164">
        <f>(Z81*Emissions_factors!$E$20)/1000</f>
        <v>9.8642430216689405</v>
      </c>
      <c r="AA109" s="164">
        <f>(AA81*Emissions_factors!$E$20)/1000</f>
        <v>4.8130569112612998</v>
      </c>
      <c r="AB109" s="164">
        <f>(AB81*Emissions_factors!$E$20)/1000</f>
        <v>2.2949675895612738</v>
      </c>
    </row>
    <row r="110" spans="1:28">
      <c r="B110" s="163">
        <v>2013</v>
      </c>
      <c r="C110" s="164">
        <f>(C82*Emissions_factors!$E$20)/1000</f>
        <v>0</v>
      </c>
      <c r="D110" s="164">
        <f>(D82*Emissions_factors!$E$20)/1000</f>
        <v>0</v>
      </c>
      <c r="E110" s="164">
        <f>(E82*Emissions_factors!$E$20)/1000</f>
        <v>0</v>
      </c>
      <c r="F110" s="164">
        <f>(F82*Emissions_factors!$E$20)/1000</f>
        <v>0</v>
      </c>
      <c r="G110" s="164">
        <f>(G82*Emissions_factors!$E$20)/1000</f>
        <v>0</v>
      </c>
      <c r="H110" s="164">
        <f>(H82*Emissions_factors!$E$20)/1000</f>
        <v>0</v>
      </c>
      <c r="I110" s="164">
        <f>(I82*Emissions_factors!$E$20)/1000</f>
        <v>45330.607616107387</v>
      </c>
      <c r="J110" s="164">
        <f>(J82*Emissions_factors!$E$20)/1000</f>
        <v>41933.957038949993</v>
      </c>
      <c r="K110" s="164">
        <f>(K82*Emissions_factors!$E$20)/1000</f>
        <v>35797.377317368948</v>
      </c>
      <c r="L110" s="164">
        <f>(L82*Emissions_factors!$E$20)/1000</f>
        <v>28854.786458440958</v>
      </c>
      <c r="M110" s="164">
        <f>(M82*Emissions_factors!$E$20)/1000</f>
        <v>22158.858458241397</v>
      </c>
      <c r="N110" s="164">
        <f>(N82*Emissions_factors!$E$20)/1000</f>
        <v>16299.373243804668</v>
      </c>
      <c r="O110" s="164">
        <f>(O82*Emissions_factors!$E$20)/1000</f>
        <v>11526.677962261399</v>
      </c>
      <c r="P110" s="164">
        <f>(P82*Emissions_factors!$E$20)/1000</f>
        <v>7858.8386127241256</v>
      </c>
      <c r="Q110" s="164">
        <f>(Q82*Emissions_factors!$E$20)/1000</f>
        <v>5177.1203819715865</v>
      </c>
      <c r="R110" s="164">
        <f>(R82*Emissions_factors!$E$20)/1000</f>
        <v>3301.2107999837258</v>
      </c>
      <c r="S110" s="164">
        <f>(S82*Emissions_factors!$E$20)/1000</f>
        <v>2040.6399633536575</v>
      </c>
      <c r="T110" s="164">
        <f>(T82*Emissions_factors!$E$20)/1000</f>
        <v>1224.4071779746414</v>
      </c>
      <c r="U110" s="164">
        <f>(U82*Emissions_factors!$E$20)/1000</f>
        <v>713.89856835118599</v>
      </c>
      <c r="V110" s="164">
        <f>(V82*Emissions_factors!$E$20)/1000</f>
        <v>404.87865914277239</v>
      </c>
      <c r="W110" s="164">
        <f>(W82*Emissions_factors!$E$20)/1000</f>
        <v>223.54778608093869</v>
      </c>
      <c r="X110" s="164">
        <f>(X82*Emissions_factors!$E$20)/1000</f>
        <v>120.25785982661006</v>
      </c>
      <c r="Y110" s="164">
        <f>(Y82*Emissions_factors!$E$20)/1000</f>
        <v>63.07571261031066</v>
      </c>
      <c r="Z110" s="164">
        <f>(Z82*Emissions_factors!$E$20)/1000</f>
        <v>32.277279348085479</v>
      </c>
      <c r="AA110" s="164">
        <f>(AA82*Emissions_factors!$E$20)/1000</f>
        <v>16.124068731783876</v>
      </c>
      <c r="AB110" s="164">
        <f>(AB82*Emissions_factors!$E$20)/1000</f>
        <v>7.8674116479780709</v>
      </c>
    </row>
    <row r="111" spans="1:28">
      <c r="B111" s="163">
        <v>2014</v>
      </c>
      <c r="C111" s="164">
        <f>(C83*Emissions_factors!$E$20)/1000</f>
        <v>0</v>
      </c>
      <c r="D111" s="164">
        <f>(D83*Emissions_factors!$E$20)/1000</f>
        <v>0</v>
      </c>
      <c r="E111" s="164">
        <f>(E83*Emissions_factors!$E$20)/1000</f>
        <v>0</v>
      </c>
      <c r="F111" s="164">
        <f>(F83*Emissions_factors!$E$20)/1000</f>
        <v>0</v>
      </c>
      <c r="G111" s="164">
        <f>(G83*Emissions_factors!$E$20)/1000</f>
        <v>0</v>
      </c>
      <c r="H111" s="164">
        <f>(H83*Emissions_factors!$E$20)/1000</f>
        <v>0</v>
      </c>
      <c r="I111" s="164">
        <f>(I83*Emissions_factors!$E$20)/1000</f>
        <v>0</v>
      </c>
      <c r="J111" s="164">
        <f>(J83*Emissions_factors!$E$20)/1000</f>
        <v>46843.676163526638</v>
      </c>
      <c r="K111" s="164">
        <f>(K83*Emissions_factors!$E$20)/1000</f>
        <v>43333.650420556463</v>
      </c>
      <c r="L111" s="164">
        <f>(L83*Emissions_factors!$E$20)/1000</f>
        <v>36992.240756167506</v>
      </c>
      <c r="M111" s="164">
        <f>(M83*Emissions_factors!$E$20)/1000</f>
        <v>29817.916496372607</v>
      </c>
      <c r="N111" s="164">
        <f>(N83*Emissions_factors!$E$20)/1000</f>
        <v>22898.488336221821</v>
      </c>
      <c r="O111" s="164">
        <f>(O83*Emissions_factors!$E$20)/1000</f>
        <v>16843.422183247618</v>
      </c>
      <c r="P111" s="164">
        <f>(P83*Emissions_factors!$E$20)/1000</f>
        <v>11911.421401586736</v>
      </c>
      <c r="Q111" s="164">
        <f>(Q83*Emissions_factors!$E$20)/1000</f>
        <v>8121.1550066462669</v>
      </c>
      <c r="R111" s="164">
        <f>(R83*Emissions_factors!$E$20)/1000</f>
        <v>5349.9249929863508</v>
      </c>
      <c r="S111" s="164">
        <f>(S83*Emissions_factors!$E$20)/1000</f>
        <v>3411.4003273811318</v>
      </c>
      <c r="T111" s="164">
        <f>(T83*Emissions_factors!$E$20)/1000</f>
        <v>2108.7535031346697</v>
      </c>
      <c r="U111" s="164">
        <f>(U83*Emissions_factors!$E$20)/1000</f>
        <v>1265.276076223636</v>
      </c>
      <c r="V111" s="164">
        <f>(V83*Emissions_factors!$E$20)/1000</f>
        <v>737.72744527618863</v>
      </c>
      <c r="W111" s="164">
        <f>(W83*Emissions_factors!$E$20)/1000</f>
        <v>418.39290915808721</v>
      </c>
      <c r="X111" s="164">
        <f>(X83*Emissions_factors!$E$20)/1000</f>
        <v>231.00948010517862</v>
      </c>
      <c r="Y111" s="164">
        <f>(Y83*Emissions_factors!$E$20)/1000</f>
        <v>124.27188908526354</v>
      </c>
      <c r="Z111" s="164">
        <f>(Z83*Emissions_factors!$E$20)/1000</f>
        <v>65.181086481866814</v>
      </c>
      <c r="AA111" s="164">
        <f>(AA83*Emissions_factors!$E$20)/1000</f>
        <v>33.354647129948155</v>
      </c>
      <c r="AB111" s="164">
        <f>(AB83*Emissions_factors!$E$20)/1000</f>
        <v>16.662266266242238</v>
      </c>
    </row>
    <row r="112" spans="1:28">
      <c r="B112" s="163">
        <v>2015</v>
      </c>
      <c r="C112" s="164">
        <f>(C84*Emissions_factors!$E$20)/1000</f>
        <v>0</v>
      </c>
      <c r="D112" s="164">
        <f>(D84*Emissions_factors!$E$20)/1000</f>
        <v>0</v>
      </c>
      <c r="E112" s="164">
        <f>(E84*Emissions_factors!$E$20)/1000</f>
        <v>0</v>
      </c>
      <c r="F112" s="164">
        <f>(F84*Emissions_factors!$E$20)/1000</f>
        <v>0</v>
      </c>
      <c r="G112" s="164">
        <f>(G84*Emissions_factors!$E$20)/1000</f>
        <v>0</v>
      </c>
      <c r="H112" s="164">
        <f>(H84*Emissions_factors!$E$20)/1000</f>
        <v>0</v>
      </c>
      <c r="I112" s="164">
        <f>(I84*Emissions_factors!$E$20)/1000</f>
        <v>0</v>
      </c>
      <c r="J112" s="164">
        <f>(J84*Emissions_factors!$E$20)/1000</f>
        <v>0</v>
      </c>
      <c r="K112" s="164">
        <f>(K84*Emissions_factors!$E$20)/1000</f>
        <v>43411.314894672963</v>
      </c>
      <c r="L112" s="164">
        <f>(L84*Emissions_factors!$E$20)/1000</f>
        <v>40158.478112936158</v>
      </c>
      <c r="M112" s="164">
        <f>(M84*Emissions_factors!$E$20)/1000</f>
        <v>34281.720472141591</v>
      </c>
      <c r="N112" s="164">
        <f>(N84*Emissions_factors!$E$20)/1000</f>
        <v>27633.078113006122</v>
      </c>
      <c r="O112" s="164">
        <f>(O84*Emissions_factors!$E$20)/1000</f>
        <v>21220.654935483268</v>
      </c>
      <c r="P112" s="164">
        <f>(P84*Emissions_factors!$E$20)/1000</f>
        <v>15609.25965221757</v>
      </c>
      <c r="Q112" s="164">
        <f>(Q84*Emissions_factors!$E$20)/1000</f>
        <v>11038.639740875946</v>
      </c>
      <c r="R112" s="164">
        <f>(R84*Emissions_factors!$E$20)/1000</f>
        <v>7526.0962882429149</v>
      </c>
      <c r="S112" s="164">
        <f>(S84*Emissions_factors!$E$20)/1000</f>
        <v>4957.9216994554235</v>
      </c>
      <c r="T112" s="164">
        <f>(T84*Emissions_factors!$E$20)/1000</f>
        <v>3161.4379137699066</v>
      </c>
      <c r="U112" s="164">
        <f>(U84*Emissions_factors!$E$20)/1000</f>
        <v>1954.2395016192511</v>
      </c>
      <c r="V112" s="164">
        <f>(V84*Emissions_factors!$E$20)/1000</f>
        <v>1172.5659186502514</v>
      </c>
      <c r="W112" s="164">
        <f>(W84*Emissions_factors!$E$20)/1000</f>
        <v>683.67218493972644</v>
      </c>
      <c r="X112" s="164">
        <f>(X84*Emissions_factors!$E$20)/1000</f>
        <v>387.73614320436417</v>
      </c>
      <c r="Y112" s="164">
        <f>(Y84*Emissions_factors!$E$20)/1000</f>
        <v>214.08279848687278</v>
      </c>
      <c r="Z112" s="164">
        <f>(Z84*Emissions_factors!$E$20)/1000</f>
        <v>115.16615585001298</v>
      </c>
      <c r="AA112" s="164">
        <f>(AA84*Emissions_factors!$E$20)/1000</f>
        <v>60.405094180981642</v>
      </c>
      <c r="AB112" s="164">
        <f>(AB84*Emissions_factors!$E$20)/1000</f>
        <v>30.910663046686651</v>
      </c>
    </row>
    <row r="113" spans="2:28">
      <c r="B113" s="163">
        <v>2016</v>
      </c>
      <c r="C113" s="164">
        <f>(C85*Emissions_factors!$E$20)/1000</f>
        <v>0</v>
      </c>
      <c r="D113" s="164">
        <f>(D85*Emissions_factors!$E$20)/1000</f>
        <v>0</v>
      </c>
      <c r="E113" s="164">
        <f>(E85*Emissions_factors!$E$20)/1000</f>
        <v>0</v>
      </c>
      <c r="F113" s="164">
        <f>(F85*Emissions_factors!$E$20)/1000</f>
        <v>0</v>
      </c>
      <c r="G113" s="164">
        <f>(G85*Emissions_factors!$E$20)/1000</f>
        <v>0</v>
      </c>
      <c r="H113" s="164">
        <f>(H85*Emissions_factors!$E$20)/1000</f>
        <v>0</v>
      </c>
      <c r="I113" s="164">
        <f>(I85*Emissions_factors!$E$20)/1000</f>
        <v>0</v>
      </c>
      <c r="J113" s="164">
        <f>(J85*Emissions_factors!$E$20)/1000</f>
        <v>0</v>
      </c>
      <c r="K113" s="164">
        <f>(K85*Emissions_factors!$E$20)/1000</f>
        <v>0</v>
      </c>
      <c r="L113" s="164">
        <f>(L85*Emissions_factors!$E$20)/1000</f>
        <v>40568.708885478794</v>
      </c>
      <c r="M113" s="164">
        <f>(M85*Emissions_factors!$E$20)/1000</f>
        <v>37528.870337154811</v>
      </c>
      <c r="N113" s="164">
        <f>(N85*Emissions_factors!$E$20)/1000</f>
        <v>32036.927268893509</v>
      </c>
      <c r="O113" s="164">
        <f>(O85*Emissions_factors!$E$20)/1000</f>
        <v>25823.643082366176</v>
      </c>
      <c r="P113" s="164">
        <f>(P85*Emissions_factors!$E$20)/1000</f>
        <v>19831.110265274656</v>
      </c>
      <c r="Q113" s="164">
        <f>(Q85*Emissions_factors!$E$20)/1000</f>
        <v>14587.15342497886</v>
      </c>
      <c r="R113" s="164">
        <f>(R85*Emissions_factors!$E$20)/1000</f>
        <v>10315.821191452234</v>
      </c>
      <c r="S113" s="164">
        <f>(S85*Emissions_factors!$E$20)/1000</f>
        <v>7033.2817631210673</v>
      </c>
      <c r="T113" s="164">
        <f>(T85*Emissions_factors!$E$20)/1000</f>
        <v>4633.2732051589383</v>
      </c>
      <c r="U113" s="164">
        <f>(U85*Emissions_factors!$E$20)/1000</f>
        <v>2954.4245479416486</v>
      </c>
      <c r="V113" s="164">
        <f>(V85*Emissions_factors!$E$20)/1000</f>
        <v>1826.2744085511031</v>
      </c>
      <c r="W113" s="164">
        <f>(W85*Emissions_factors!$E$20)/1000</f>
        <v>1095.7854079788158</v>
      </c>
      <c r="X113" s="164">
        <f>(X85*Emissions_factors!$E$20)/1000</f>
        <v>638.90480883182033</v>
      </c>
      <c r="Y113" s="164">
        <f>(Y85*Emissions_factors!$E$20)/1000</f>
        <v>362.34688482026144</v>
      </c>
      <c r="Z113" s="164">
        <f>(Z85*Emissions_factors!$E$20)/1000</f>
        <v>200.06449356060193</v>
      </c>
      <c r="AA113" s="164">
        <f>(AA85*Emissions_factors!$E$20)/1000</f>
        <v>107.6249881275119</v>
      </c>
      <c r="AB113" s="164">
        <f>(AB85*Emissions_factors!$E$20)/1000</f>
        <v>56.449722542932768</v>
      </c>
    </row>
    <row r="114" spans="2:28">
      <c r="B114" s="163">
        <v>2017</v>
      </c>
      <c r="C114" s="164">
        <f>(C86*Emissions_factors!$E$20)/1000</f>
        <v>0</v>
      </c>
      <c r="D114" s="164">
        <f>(D86*Emissions_factors!$E$20)/1000</f>
        <v>0</v>
      </c>
      <c r="E114" s="164">
        <f>(E86*Emissions_factors!$E$20)/1000</f>
        <v>0</v>
      </c>
      <c r="F114" s="164">
        <f>(F86*Emissions_factors!$E$20)/1000</f>
        <v>0</v>
      </c>
      <c r="G114" s="164">
        <f>(G86*Emissions_factors!$E$20)/1000</f>
        <v>0</v>
      </c>
      <c r="H114" s="164">
        <f>(H86*Emissions_factors!$E$20)/1000</f>
        <v>0</v>
      </c>
      <c r="I114" s="164">
        <f>(I86*Emissions_factors!$E$20)/1000</f>
        <v>0</v>
      </c>
      <c r="J114" s="164">
        <f>(J86*Emissions_factors!$E$20)/1000</f>
        <v>0</v>
      </c>
      <c r="K114" s="164">
        <f>(K86*Emissions_factors!$E$20)/1000</f>
        <v>0</v>
      </c>
      <c r="L114" s="164">
        <f>(L86*Emissions_factors!$E$20)/1000</f>
        <v>0</v>
      </c>
      <c r="M114" s="164">
        <f>(M86*Emissions_factors!$E$20)/1000</f>
        <v>33564.952568096727</v>
      </c>
      <c r="N114" s="164">
        <f>(N86*Emissions_factors!$E$20)/1000</f>
        <v>31049.909829684908</v>
      </c>
      <c r="O114" s="164">
        <f>(O86*Emissions_factors!$E$20)/1000</f>
        <v>26506.092349241015</v>
      </c>
      <c r="P114" s="164">
        <f>(P86*Emissions_factors!$E$20)/1000</f>
        <v>21365.465626275629</v>
      </c>
      <c r="Q114" s="164">
        <f>(Q86*Emissions_factors!$E$20)/1000</f>
        <v>16407.479895543245</v>
      </c>
      <c r="R114" s="164">
        <f>(R86*Emissions_factors!$E$20)/1000</f>
        <v>12068.836457061105</v>
      </c>
      <c r="S114" s="164">
        <f>(S86*Emissions_factors!$E$20)/1000</f>
        <v>8534.9043266200279</v>
      </c>
      <c r="T114" s="164">
        <f>(T86*Emissions_factors!$E$20)/1000</f>
        <v>5819.0604350664498</v>
      </c>
      <c r="U114" s="164">
        <f>(U86*Emissions_factors!$E$20)/1000</f>
        <v>3833.3878409884201</v>
      </c>
      <c r="V114" s="164">
        <f>(V86*Emissions_factors!$E$20)/1000</f>
        <v>2444.3745571892559</v>
      </c>
      <c r="W114" s="164">
        <f>(W86*Emissions_factors!$E$20)/1000</f>
        <v>1510.9875463965786</v>
      </c>
      <c r="X114" s="164">
        <f>(X86*Emissions_factors!$E$20)/1000</f>
        <v>906.60970620108981</v>
      </c>
      <c r="Y114" s="164">
        <f>(Y86*Emissions_factors!$E$20)/1000</f>
        <v>528.60468555963666</v>
      </c>
      <c r="Z114" s="164">
        <f>(Z86*Emissions_factors!$E$20)/1000</f>
        <v>299.79154713851443</v>
      </c>
      <c r="AA114" s="164">
        <f>(AA86*Emissions_factors!$E$20)/1000</f>
        <v>165.52548556272953</v>
      </c>
      <c r="AB114" s="164">
        <f>(AB86*Emissions_factors!$E$20)/1000</f>
        <v>89.044678050746313</v>
      </c>
    </row>
    <row r="115" spans="2:28">
      <c r="B115" s="163">
        <v>2018</v>
      </c>
      <c r="C115" s="164">
        <f>(C87*Emissions_factors!$E$20)/1000</f>
        <v>0</v>
      </c>
      <c r="D115" s="164">
        <f>(D87*Emissions_factors!$E$20)/1000</f>
        <v>0</v>
      </c>
      <c r="E115" s="164">
        <f>(E87*Emissions_factors!$E$20)/1000</f>
        <v>0</v>
      </c>
      <c r="F115" s="164">
        <f>(F87*Emissions_factors!$E$20)/1000</f>
        <v>0</v>
      </c>
      <c r="G115" s="164">
        <f>(G87*Emissions_factors!$E$20)/1000</f>
        <v>0</v>
      </c>
      <c r="H115" s="164">
        <f>(H87*Emissions_factors!$E$20)/1000</f>
        <v>0</v>
      </c>
      <c r="I115" s="164">
        <f>(I87*Emissions_factors!$E$20)/1000</f>
        <v>0</v>
      </c>
      <c r="J115" s="164">
        <f>(J87*Emissions_factors!$E$20)/1000</f>
        <v>0</v>
      </c>
      <c r="K115" s="164">
        <f>(K87*Emissions_factors!$E$20)/1000</f>
        <v>0</v>
      </c>
      <c r="L115" s="164">
        <f>(L87*Emissions_factors!$E$20)/1000</f>
        <v>0</v>
      </c>
      <c r="M115" s="164">
        <f>(M87*Emissions_factors!$E$20)/1000</f>
        <v>0</v>
      </c>
      <c r="N115" s="164">
        <f>(N87*Emissions_factors!$E$20)/1000</f>
        <v>34259.542752690199</v>
      </c>
      <c r="O115" s="164">
        <f>(O87*Emissions_factors!$E$20)/1000</f>
        <v>31692.453940434243</v>
      </c>
      <c r="P115" s="164">
        <f>(P87*Emissions_factors!$E$20)/1000</f>
        <v>27054.607099570501</v>
      </c>
      <c r="Q115" s="164">
        <f>(Q87*Emissions_factors!$E$20)/1000</f>
        <v>21807.60069806434</v>
      </c>
      <c r="R115" s="164">
        <f>(R87*Emissions_factors!$E$20)/1000</f>
        <v>16747.014845465721</v>
      </c>
      <c r="S115" s="164">
        <f>(S87*Emissions_factors!$E$20)/1000</f>
        <v>12318.587900193081</v>
      </c>
      <c r="T115" s="164">
        <f>(T87*Emissions_factors!$E$20)/1000</f>
        <v>8711.5248881920234</v>
      </c>
      <c r="U115" s="164">
        <f>(U87*Emissions_factors!$E$20)/1000</f>
        <v>5939.4795613426804</v>
      </c>
      <c r="V115" s="164">
        <f>(V87*Emissions_factors!$E$20)/1000</f>
        <v>3912.7156327583784</v>
      </c>
      <c r="W115" s="164">
        <f>(W87*Emissions_factors!$E$20)/1000</f>
        <v>2494.9582298891974</v>
      </c>
      <c r="X115" s="164">
        <f>(X87*Emissions_factors!$E$20)/1000</f>
        <v>1542.2557901589007</v>
      </c>
      <c r="Y115" s="164">
        <f>(Y87*Emissions_factors!$E$20)/1000</f>
        <v>925.37100794602338</v>
      </c>
      <c r="Z115" s="164">
        <f>(Z87*Emissions_factors!$E$20)/1000</f>
        <v>539.54358456075795</v>
      </c>
      <c r="AA115" s="164">
        <f>(AA87*Emissions_factors!$E$20)/1000</f>
        <v>305.99540712145466</v>
      </c>
      <c r="AB115" s="164">
        <f>(AB87*Emissions_factors!$E$20)/1000</f>
        <v>168.95085544337167</v>
      </c>
    </row>
    <row r="116" spans="2:28">
      <c r="B116" s="163">
        <v>2019</v>
      </c>
      <c r="C116" s="164">
        <f>(C88*Emissions_factors!$E$20)/1000</f>
        <v>0</v>
      </c>
      <c r="D116" s="164">
        <f>(D88*Emissions_factors!$E$20)/1000</f>
        <v>0</v>
      </c>
      <c r="E116" s="164">
        <f>(E88*Emissions_factors!$E$20)/1000</f>
        <v>0</v>
      </c>
      <c r="F116" s="164">
        <f>(F88*Emissions_factors!$E$20)/1000</f>
        <v>0</v>
      </c>
      <c r="G116" s="164">
        <f>(G88*Emissions_factors!$E$20)/1000</f>
        <v>0</v>
      </c>
      <c r="H116" s="164">
        <f>(H88*Emissions_factors!$E$20)/1000</f>
        <v>0</v>
      </c>
      <c r="I116" s="164">
        <f>(I88*Emissions_factors!$E$20)/1000</f>
        <v>0</v>
      </c>
      <c r="J116" s="164">
        <f>(J88*Emissions_factors!$E$20)/1000</f>
        <v>0</v>
      </c>
      <c r="K116" s="164">
        <f>(K88*Emissions_factors!$E$20)/1000</f>
        <v>0</v>
      </c>
      <c r="L116" s="164">
        <f>(L88*Emissions_factors!$E$20)/1000</f>
        <v>0</v>
      </c>
      <c r="M116" s="164">
        <f>(M88*Emissions_factors!$E$20)/1000</f>
        <v>0</v>
      </c>
      <c r="N116" s="164">
        <f>(N88*Emissions_factors!$E$20)/1000</f>
        <v>0</v>
      </c>
      <c r="O116" s="164">
        <f>(O88*Emissions_factors!$E$20)/1000</f>
        <v>40369.160086585274</v>
      </c>
      <c r="P116" s="164">
        <f>(P88*Emissions_factors!$E$20)/1000</f>
        <v>37344.273853674153</v>
      </c>
      <c r="Q116" s="164">
        <f>(Q88*Emissions_factors!$E$20)/1000</f>
        <v>31879.344478304996</v>
      </c>
      <c r="R116" s="164">
        <f>(R88*Emissions_factors!$E$20)/1000</f>
        <v>25696.622107291816</v>
      </c>
      <c r="S116" s="164">
        <f>(S88*Emissions_factors!$E$20)/1000</f>
        <v>19733.565276960351</v>
      </c>
      <c r="T116" s="164">
        <f>(T88*Emissions_factors!$E$20)/1000</f>
        <v>14515.402338360673</v>
      </c>
      <c r="U116" s="164">
        <f>(U88*Emissions_factors!$E$20)/1000</f>
        <v>10265.079874193023</v>
      </c>
      <c r="V116" s="164">
        <f>(V88*Emissions_factors!$E$20)/1000</f>
        <v>6998.6865549749982</v>
      </c>
      <c r="W116" s="164">
        <f>(W88*Emissions_factors!$E$20)/1000</f>
        <v>4610.4831256016887</v>
      </c>
      <c r="X116" s="164">
        <f>(X88*Emissions_factors!$E$20)/1000</f>
        <v>2939.8923657214177</v>
      </c>
      <c r="Y116" s="164">
        <f>(Y88*Emissions_factors!$E$20)/1000</f>
        <v>1817.2913554866075</v>
      </c>
      <c r="Z116" s="164">
        <f>(Z88*Emissions_factors!$E$20)/1000</f>
        <v>1090.3954740121105</v>
      </c>
      <c r="AA116" s="164">
        <f>(AA88*Emissions_factors!$E$20)/1000</f>
        <v>635.76217277777232</v>
      </c>
      <c r="AB116" s="164">
        <f>(AB88*Emissions_factors!$E$20)/1000</f>
        <v>360.56457802186657</v>
      </c>
    </row>
    <row r="117" spans="2:28">
      <c r="B117" s="163">
        <v>2020</v>
      </c>
      <c r="C117" s="164">
        <f>(C89*Emissions_factors!$E$20)/1000</f>
        <v>0</v>
      </c>
      <c r="D117" s="164">
        <f>(D89*Emissions_factors!$E$20)/1000</f>
        <v>0</v>
      </c>
      <c r="E117" s="164">
        <f>(E89*Emissions_factors!$E$20)/1000</f>
        <v>0</v>
      </c>
      <c r="F117" s="164">
        <f>(F89*Emissions_factors!$E$20)/1000</f>
        <v>0</v>
      </c>
      <c r="G117" s="164">
        <f>(G89*Emissions_factors!$E$20)/1000</f>
        <v>0</v>
      </c>
      <c r="H117" s="164">
        <f>(H89*Emissions_factors!$E$20)/1000</f>
        <v>0</v>
      </c>
      <c r="I117" s="164">
        <f>(I89*Emissions_factors!$E$20)/1000</f>
        <v>0</v>
      </c>
      <c r="J117" s="164">
        <f>(J89*Emissions_factors!$E$20)/1000</f>
        <v>0</v>
      </c>
      <c r="K117" s="164">
        <f>(K89*Emissions_factors!$E$20)/1000</f>
        <v>0</v>
      </c>
      <c r="L117" s="164">
        <f>(L89*Emissions_factors!$E$20)/1000</f>
        <v>0</v>
      </c>
      <c r="M117" s="164">
        <f>(M89*Emissions_factors!$E$20)/1000</f>
        <v>0</v>
      </c>
      <c r="N117" s="164">
        <f>(N89*Emissions_factors!$E$20)/1000</f>
        <v>0</v>
      </c>
      <c r="O117" s="164">
        <f>(O89*Emissions_factors!$E$20)/1000</f>
        <v>0</v>
      </c>
      <c r="P117" s="164">
        <f>(P89*Emissions_factors!$E$20)/1000</f>
        <v>45694.303941451893</v>
      </c>
      <c r="Q117" s="164">
        <f>(Q89*Emissions_factors!$E$20)/1000</f>
        <v>42270.401372795655</v>
      </c>
      <c r="R117" s="164">
        <f>(R89*Emissions_factors!$E$20)/1000</f>
        <v>36084.586672636258</v>
      </c>
      <c r="S117" s="164">
        <f>(S89*Emissions_factors!$E$20)/1000</f>
        <v>29086.294050229921</v>
      </c>
      <c r="T117" s="164">
        <f>(T89*Emissions_factors!$E$20)/1000</f>
        <v>22336.643310880958</v>
      </c>
      <c r="U117" s="164">
        <f>(U89*Emissions_factors!$E$20)/1000</f>
        <v>16430.146301258319</v>
      </c>
      <c r="V117" s="164">
        <f>(V89*Emissions_factors!$E$20)/1000</f>
        <v>11619.158752587589</v>
      </c>
      <c r="W117" s="164">
        <f>(W89*Emissions_factors!$E$20)/1000</f>
        <v>7921.891611023394</v>
      </c>
      <c r="X117" s="164">
        <f>(X89*Emissions_factors!$E$20)/1000</f>
        <v>5218.6574307297888</v>
      </c>
      <c r="Y117" s="164">
        <f>(Y89*Emissions_factors!$E$20)/1000</f>
        <v>3327.6970594953905</v>
      </c>
      <c r="Z117" s="164">
        <f>(Z89*Emissions_factors!$E$20)/1000</f>
        <v>2057.0124166485293</v>
      </c>
      <c r="AA117" s="164">
        <f>(AA89*Emissions_factors!$E$20)/1000</f>
        <v>1234.2308360893978</v>
      </c>
      <c r="AB117" s="164">
        <f>(AB89*Emissions_factors!$E$20)/1000</f>
        <v>719.62631610557014</v>
      </c>
    </row>
    <row r="118" spans="2:28">
      <c r="B118" s="163">
        <v>2021</v>
      </c>
      <c r="C118" s="164">
        <f>(C90*Emissions_factors!$E$20)/1000</f>
        <v>0</v>
      </c>
      <c r="D118" s="164">
        <f>(D90*Emissions_factors!$E$20)/1000</f>
        <v>0</v>
      </c>
      <c r="E118" s="164">
        <f>(E90*Emissions_factors!$E$20)/1000</f>
        <v>0</v>
      </c>
      <c r="F118" s="164">
        <f>(F90*Emissions_factors!$E$20)/1000</f>
        <v>0</v>
      </c>
      <c r="G118" s="164">
        <f>(G90*Emissions_factors!$E$20)/1000</f>
        <v>0</v>
      </c>
      <c r="H118" s="164">
        <f>(H90*Emissions_factors!$E$20)/1000</f>
        <v>0</v>
      </c>
      <c r="I118" s="164">
        <f>(I90*Emissions_factors!$E$20)/1000</f>
        <v>0</v>
      </c>
      <c r="J118" s="164">
        <f>(J90*Emissions_factors!$E$20)/1000</f>
        <v>0</v>
      </c>
      <c r="K118" s="164">
        <f>(K90*Emissions_factors!$E$20)/1000</f>
        <v>0</v>
      </c>
      <c r="L118" s="164">
        <f>(L90*Emissions_factors!$E$20)/1000</f>
        <v>0</v>
      </c>
      <c r="M118" s="164">
        <f>(M90*Emissions_factors!$E$20)/1000</f>
        <v>0</v>
      </c>
      <c r="N118" s="164">
        <f>(N90*Emissions_factors!$E$20)/1000</f>
        <v>0</v>
      </c>
      <c r="O118" s="164">
        <f>(O90*Emissions_factors!$E$20)/1000</f>
        <v>0</v>
      </c>
      <c r="P118" s="164">
        <f>(P90*Emissions_factors!$E$20)/1000</f>
        <v>0</v>
      </c>
      <c r="Q118" s="164">
        <f>(Q90*Emissions_factors!$E$20)/1000</f>
        <v>35176.392791145961</v>
      </c>
      <c r="R118" s="164">
        <f>(R90*Emissions_factors!$E$20)/1000</f>
        <v>33773.079651387321</v>
      </c>
      <c r="S118" s="164">
        <f>(S90*Emissions_factors!$E$20)/1000</f>
        <v>31092.355935709129</v>
      </c>
      <c r="T118" s="164">
        <f>(T90*Emissions_factors!$E$20)/1000</f>
        <v>27778.681428872682</v>
      </c>
      <c r="U118" s="164">
        <f>(U90*Emissions_factors!$E$20)/1000</f>
        <v>24197.669753114555</v>
      </c>
      <c r="V118" s="164">
        <f>(V90*Emissions_factors!$E$20)/1000</f>
        <v>20609.045003022424</v>
      </c>
      <c r="W118" s="164">
        <f>(W90*Emissions_factors!$E$20)/1000</f>
        <v>17195.27533384474</v>
      </c>
      <c r="X118" s="164">
        <f>(X90*Emissions_factors!$E$20)/1000</f>
        <v>14075.390387318645</v>
      </c>
      <c r="Y118" s="164">
        <f>(Y90*Emissions_factors!$E$20)/1000</f>
        <v>11316.466614689189</v>
      </c>
      <c r="Z118" s="164">
        <f>(Z90*Emissions_factors!$E$20)/1000</f>
        <v>8944.7401168627821</v>
      </c>
      <c r="AA118" s="164">
        <f>(AA90*Emissions_factors!$E$20)/1000</f>
        <v>6956.2059484385218</v>
      </c>
      <c r="AB118" s="164">
        <f>(AB90*Emissions_factors!$E$20)/1000</f>
        <v>5326.1910041312594</v>
      </c>
    </row>
    <row r="119" spans="2:28">
      <c r="B119" s="163">
        <v>2022</v>
      </c>
      <c r="C119" s="164">
        <f>(C91*Emissions_factors!$E$20)/1000</f>
        <v>0</v>
      </c>
      <c r="D119" s="164">
        <f>(D91*Emissions_factors!$E$20)/1000</f>
        <v>0</v>
      </c>
      <c r="E119" s="164">
        <f>(E91*Emissions_factors!$E$20)/1000</f>
        <v>0</v>
      </c>
      <c r="F119" s="164">
        <f>(F91*Emissions_factors!$E$20)/1000</f>
        <v>0</v>
      </c>
      <c r="G119" s="164">
        <f>(G91*Emissions_factors!$E$20)/1000</f>
        <v>0</v>
      </c>
      <c r="H119" s="164">
        <f>(H91*Emissions_factors!$E$20)/1000</f>
        <v>0</v>
      </c>
      <c r="I119" s="164">
        <f>(I91*Emissions_factors!$E$20)/1000</f>
        <v>0</v>
      </c>
      <c r="J119" s="164">
        <f>(J91*Emissions_factors!$E$20)/1000</f>
        <v>0</v>
      </c>
      <c r="K119" s="164">
        <f>(K91*Emissions_factors!$E$20)/1000</f>
        <v>0</v>
      </c>
      <c r="L119" s="164">
        <f>(L91*Emissions_factors!$E$20)/1000</f>
        <v>0</v>
      </c>
      <c r="M119" s="164">
        <f>(M91*Emissions_factors!$E$20)/1000</f>
        <v>0</v>
      </c>
      <c r="N119" s="164">
        <f>(N91*Emissions_factors!$E$20)/1000</f>
        <v>0</v>
      </c>
      <c r="O119" s="164">
        <f>(O91*Emissions_factors!$E$20)/1000</f>
        <v>0</v>
      </c>
      <c r="P119" s="164">
        <f>(P91*Emissions_factors!$E$20)/1000</f>
        <v>0</v>
      </c>
      <c r="Q119" s="164">
        <f>(Q91*Emissions_factors!$E$20)/1000</f>
        <v>0</v>
      </c>
      <c r="R119" s="164">
        <f>(R91*Emissions_factors!$E$20)/1000</f>
        <v>32445.472882584119</v>
      </c>
      <c r="S119" s="164">
        <f>(S91*Emissions_factors!$E$20)/1000</f>
        <v>31151.105984529881</v>
      </c>
      <c r="T119" s="164">
        <f>(T91*Emissions_factors!$E$20)/1000</f>
        <v>28678.500304375288</v>
      </c>
      <c r="U119" s="164">
        <f>(U91*Emissions_factors!$E$20)/1000</f>
        <v>25622.082979505809</v>
      </c>
      <c r="V119" s="164">
        <f>(V91*Emissions_factors!$E$20)/1000</f>
        <v>22319.083211795907</v>
      </c>
      <c r="W119" s="164">
        <f>(W91*Emissions_factors!$E$20)/1000</f>
        <v>19009.061410919508</v>
      </c>
      <c r="X119" s="164">
        <f>(X91*Emissions_factors!$E$20)/1000</f>
        <v>15860.319813498758</v>
      </c>
      <c r="Y119" s="164">
        <f>(Y91*Emissions_factors!$E$20)/1000</f>
        <v>12982.647192820781</v>
      </c>
      <c r="Z119" s="164">
        <f>(Z91*Emissions_factors!$E$20)/1000</f>
        <v>10437.912518590714</v>
      </c>
      <c r="AA119" s="164">
        <f>(AA91*Emissions_factors!$E$20)/1000</f>
        <v>8250.3150515331508</v>
      </c>
      <c r="AB119" s="164">
        <f>(AB91*Emissions_factors!$E$20)/1000</f>
        <v>6416.1607702578685</v>
      </c>
    </row>
    <row r="120" spans="2:28">
      <c r="B120" s="163">
        <v>2023</v>
      </c>
      <c r="C120" s="164">
        <f>(C92*Emissions_factors!$E$20)/1000</f>
        <v>0</v>
      </c>
      <c r="D120" s="164">
        <f>(D92*Emissions_factors!$E$20)/1000</f>
        <v>0</v>
      </c>
      <c r="E120" s="164">
        <f>(E92*Emissions_factors!$E$20)/1000</f>
        <v>0</v>
      </c>
      <c r="F120" s="164">
        <f>(F92*Emissions_factors!$E$20)/1000</f>
        <v>0</v>
      </c>
      <c r="G120" s="164">
        <f>(G92*Emissions_factors!$E$20)/1000</f>
        <v>0</v>
      </c>
      <c r="H120" s="164">
        <f>(H92*Emissions_factors!$E$20)/1000</f>
        <v>0</v>
      </c>
      <c r="I120" s="164">
        <f>(I92*Emissions_factors!$E$20)/1000</f>
        <v>0</v>
      </c>
      <c r="J120" s="164">
        <f>(J92*Emissions_factors!$E$20)/1000</f>
        <v>0</v>
      </c>
      <c r="K120" s="164">
        <f>(K92*Emissions_factors!$E$20)/1000</f>
        <v>0</v>
      </c>
      <c r="L120" s="164">
        <f>(L92*Emissions_factors!$E$20)/1000</f>
        <v>0</v>
      </c>
      <c r="M120" s="164">
        <f>(M92*Emissions_factors!$E$20)/1000</f>
        <v>0</v>
      </c>
      <c r="N120" s="164">
        <f>(N92*Emissions_factors!$E$20)/1000</f>
        <v>0</v>
      </c>
      <c r="O120" s="164">
        <f>(O92*Emissions_factors!$E$20)/1000</f>
        <v>0</v>
      </c>
      <c r="P120" s="164">
        <f>(P92*Emissions_factors!$E$20)/1000</f>
        <v>0</v>
      </c>
      <c r="Q120" s="164">
        <f>(Q92*Emissions_factors!$E$20)/1000</f>
        <v>0</v>
      </c>
      <c r="R120" s="164">
        <f>(R92*Emissions_factors!$E$20)/1000</f>
        <v>0</v>
      </c>
      <c r="S120" s="164">
        <f>(S92*Emissions_factors!$E$20)/1000</f>
        <v>29227.441731788153</v>
      </c>
      <c r="T120" s="164">
        <f>(T92*Emissions_factors!$E$20)/1000</f>
        <v>28061.453699209884</v>
      </c>
      <c r="U120" s="164">
        <f>(U92*Emissions_factors!$E$20)/1000</f>
        <v>25834.087844382164</v>
      </c>
      <c r="V120" s="164">
        <f>(V92*Emissions_factors!$E$20)/1000</f>
        <v>23080.814387899383</v>
      </c>
      <c r="W120" s="164">
        <f>(W92*Emissions_factors!$E$20)/1000</f>
        <v>20105.415212790733</v>
      </c>
      <c r="X120" s="164">
        <f>(X92*Emissions_factors!$E$20)/1000</f>
        <v>17123.690469059453</v>
      </c>
      <c r="Y120" s="164">
        <f>(Y92*Emissions_factors!$E$20)/1000</f>
        <v>14287.249715056088</v>
      </c>
      <c r="Z120" s="164">
        <f>(Z92*Emissions_factors!$E$20)/1000</f>
        <v>11694.992571866967</v>
      </c>
      <c r="AA120" s="164">
        <f>(AA92*Emissions_factors!$E$20)/1000</f>
        <v>9402.6516747847309</v>
      </c>
      <c r="AB120" s="164">
        <f>(AB92*Emissions_factors!$E$20)/1000</f>
        <v>7432.0261353631004</v>
      </c>
    </row>
    <row r="121" spans="2:28">
      <c r="B121" s="163">
        <v>2024</v>
      </c>
      <c r="C121" s="164">
        <f>(C93*Emissions_factors!$E$20)/1000</f>
        <v>0</v>
      </c>
      <c r="D121" s="164">
        <f>(D93*Emissions_factors!$E$20)/1000</f>
        <v>0</v>
      </c>
      <c r="E121" s="164">
        <f>(E93*Emissions_factors!$E$20)/1000</f>
        <v>0</v>
      </c>
      <c r="F121" s="164">
        <f>(F93*Emissions_factors!$E$20)/1000</f>
        <v>0</v>
      </c>
      <c r="G121" s="164">
        <f>(G93*Emissions_factors!$E$20)/1000</f>
        <v>0</v>
      </c>
      <c r="H121" s="164">
        <f>(H93*Emissions_factors!$E$20)/1000</f>
        <v>0</v>
      </c>
      <c r="I121" s="164">
        <f>(I93*Emissions_factors!$E$20)/1000</f>
        <v>0</v>
      </c>
      <c r="J121" s="164">
        <f>(J93*Emissions_factors!$E$20)/1000</f>
        <v>0</v>
      </c>
      <c r="K121" s="164">
        <f>(K93*Emissions_factors!$E$20)/1000</f>
        <v>0</v>
      </c>
      <c r="L121" s="164">
        <f>(L93*Emissions_factors!$E$20)/1000</f>
        <v>0</v>
      </c>
      <c r="M121" s="164">
        <f>(M93*Emissions_factors!$E$20)/1000</f>
        <v>0</v>
      </c>
      <c r="N121" s="164">
        <f>(N93*Emissions_factors!$E$20)/1000</f>
        <v>0</v>
      </c>
      <c r="O121" s="164">
        <f>(O93*Emissions_factors!$E$20)/1000</f>
        <v>0</v>
      </c>
      <c r="P121" s="164">
        <f>(P93*Emissions_factors!$E$20)/1000</f>
        <v>0</v>
      </c>
      <c r="Q121" s="164">
        <f>(Q93*Emissions_factors!$E$20)/1000</f>
        <v>0</v>
      </c>
      <c r="R121" s="164">
        <f>(R93*Emissions_factors!$E$20)/1000</f>
        <v>0</v>
      </c>
      <c r="S121" s="164">
        <f>(S93*Emissions_factors!$E$20)/1000</f>
        <v>0</v>
      </c>
      <c r="T121" s="164">
        <f>(T93*Emissions_factors!$E$20)/1000</f>
        <v>27186.887318588564</v>
      </c>
      <c r="U121" s="164">
        <f>(U93*Emissions_factors!$E$20)/1000</f>
        <v>26102.304358936257</v>
      </c>
      <c r="V121" s="164">
        <f>(V93*Emissions_factors!$E$20)/1000</f>
        <v>24030.445142923782</v>
      </c>
      <c r="W121" s="164">
        <f>(W93*Emissions_factors!$E$20)/1000</f>
        <v>21469.395294443642</v>
      </c>
      <c r="X121" s="164">
        <f>(X93*Emissions_factors!$E$20)/1000</f>
        <v>18701.727742701631</v>
      </c>
      <c r="Y121" s="164">
        <f>(Y93*Emissions_factors!$E$20)/1000</f>
        <v>15928.176250690494</v>
      </c>
      <c r="Z121" s="164">
        <f>(Z93*Emissions_factors!$E$20)/1000</f>
        <v>13289.765545005239</v>
      </c>
      <c r="AA121" s="164">
        <f>(AA93*Emissions_factors!$E$20)/1000</f>
        <v>10878.490432409975</v>
      </c>
      <c r="AB121" s="164">
        <f>(AB93*Emissions_factors!$E$20)/1000</f>
        <v>8746.1924969055799</v>
      </c>
    </row>
    <row r="122" spans="2:28">
      <c r="B122" s="163">
        <v>2025</v>
      </c>
      <c r="C122" s="164">
        <f>(C94*Emissions_factors!$E$20)/1000</f>
        <v>0</v>
      </c>
      <c r="D122" s="164">
        <f>(D94*Emissions_factors!$E$20)/1000</f>
        <v>0</v>
      </c>
      <c r="E122" s="164">
        <f>(E94*Emissions_factors!$E$20)/1000</f>
        <v>0</v>
      </c>
      <c r="F122" s="164">
        <f>(F94*Emissions_factors!$E$20)/1000</f>
        <v>0</v>
      </c>
      <c r="G122" s="164">
        <f>(G94*Emissions_factors!$E$20)/1000</f>
        <v>0</v>
      </c>
      <c r="H122" s="164">
        <f>(H94*Emissions_factors!$E$20)/1000</f>
        <v>0</v>
      </c>
      <c r="I122" s="164">
        <f>(I94*Emissions_factors!$E$20)/1000</f>
        <v>0</v>
      </c>
      <c r="J122" s="164">
        <f>(J94*Emissions_factors!$E$20)/1000</f>
        <v>0</v>
      </c>
      <c r="K122" s="164">
        <f>(K94*Emissions_factors!$E$20)/1000</f>
        <v>0</v>
      </c>
      <c r="L122" s="164">
        <f>(L94*Emissions_factors!$E$20)/1000</f>
        <v>0</v>
      </c>
      <c r="M122" s="164">
        <f>(M94*Emissions_factors!$E$20)/1000</f>
        <v>0</v>
      </c>
      <c r="N122" s="164">
        <f>(N94*Emissions_factors!$E$20)/1000</f>
        <v>0</v>
      </c>
      <c r="O122" s="164">
        <f>(O94*Emissions_factors!$E$20)/1000</f>
        <v>0</v>
      </c>
      <c r="P122" s="164">
        <f>(P94*Emissions_factors!$E$20)/1000</f>
        <v>0</v>
      </c>
      <c r="Q122" s="164">
        <f>(Q94*Emissions_factors!$E$20)/1000</f>
        <v>0</v>
      </c>
      <c r="R122" s="164">
        <f>(R94*Emissions_factors!$E$20)/1000</f>
        <v>0</v>
      </c>
      <c r="S122" s="164">
        <f>(S94*Emissions_factors!$E$20)/1000</f>
        <v>0</v>
      </c>
      <c r="T122" s="164">
        <f>(T94*Emissions_factors!$E$20)/1000</f>
        <v>0</v>
      </c>
      <c r="U122" s="164">
        <f>(U94*Emissions_factors!$E$20)/1000</f>
        <v>25406.230546120827</v>
      </c>
      <c r="V122" s="164">
        <f>(V94*Emissions_factors!$E$20)/1000</f>
        <v>24392.684405423799</v>
      </c>
      <c r="W122" s="164">
        <f>(W94*Emissions_factors!$E$20)/1000</f>
        <v>22456.525540148778</v>
      </c>
      <c r="X122" s="164">
        <f>(X94*Emissions_factors!$E$20)/1000</f>
        <v>20063.21651112632</v>
      </c>
      <c r="Y122" s="164">
        <f>(Y94*Emissions_factors!$E$20)/1000</f>
        <v>17476.822597377395</v>
      </c>
      <c r="Z122" s="164">
        <f>(Z94*Emissions_factors!$E$20)/1000</f>
        <v>14884.930123192133</v>
      </c>
      <c r="AA122" s="164">
        <f>(AA94*Emissions_factors!$E$20)/1000</f>
        <v>12419.327133100625</v>
      </c>
      <c r="AB122" s="164">
        <f>(AB94*Emissions_factors!$E$20)/1000</f>
        <v>10165.983059436396</v>
      </c>
    </row>
    <row r="123" spans="2:28">
      <c r="B123" s="163">
        <v>2026</v>
      </c>
      <c r="C123" s="164">
        <f>(C95*Emissions_factors!$E$20)/1000</f>
        <v>0</v>
      </c>
      <c r="D123" s="164">
        <f>(D95*Emissions_factors!$E$20)/1000</f>
        <v>0</v>
      </c>
      <c r="E123" s="164">
        <f>(E95*Emissions_factors!$E$20)/1000</f>
        <v>0</v>
      </c>
      <c r="F123" s="164">
        <f>(F95*Emissions_factors!$E$20)/1000</f>
        <v>0</v>
      </c>
      <c r="G123" s="164">
        <f>(G95*Emissions_factors!$E$20)/1000</f>
        <v>0</v>
      </c>
      <c r="H123" s="164">
        <f>(H95*Emissions_factors!$E$20)/1000</f>
        <v>0</v>
      </c>
      <c r="I123" s="164">
        <f>(I95*Emissions_factors!$E$20)/1000</f>
        <v>0</v>
      </c>
      <c r="J123" s="164">
        <f>(J95*Emissions_factors!$E$20)/1000</f>
        <v>0</v>
      </c>
      <c r="K123" s="164">
        <f>(K95*Emissions_factors!$E$20)/1000</f>
        <v>0</v>
      </c>
      <c r="L123" s="164">
        <f>(L95*Emissions_factors!$E$20)/1000</f>
        <v>0</v>
      </c>
      <c r="M123" s="164">
        <f>(M95*Emissions_factors!$E$20)/1000</f>
        <v>0</v>
      </c>
      <c r="N123" s="164">
        <f>(N95*Emissions_factors!$E$20)/1000</f>
        <v>0</v>
      </c>
      <c r="O123" s="164">
        <f>(O95*Emissions_factors!$E$20)/1000</f>
        <v>0</v>
      </c>
      <c r="P123" s="164">
        <f>(P95*Emissions_factors!$E$20)/1000</f>
        <v>0</v>
      </c>
      <c r="Q123" s="164">
        <f>(Q95*Emissions_factors!$E$20)/1000</f>
        <v>0</v>
      </c>
      <c r="R123" s="164">
        <f>(R95*Emissions_factors!$E$20)/1000</f>
        <v>0</v>
      </c>
      <c r="S123" s="164">
        <f>(S95*Emissions_factors!$E$20)/1000</f>
        <v>0</v>
      </c>
      <c r="T123" s="164">
        <f>(T95*Emissions_factors!$E$20)/1000</f>
        <v>0</v>
      </c>
      <c r="U123" s="164">
        <f>(U95*Emissions_factors!$E$20)/1000</f>
        <v>0</v>
      </c>
      <c r="V123" s="164">
        <f>(V95*Emissions_factors!$E$20)/1000</f>
        <v>24043.616491710269</v>
      </c>
      <c r="W123" s="164">
        <f>(W95*Emissions_factors!$E$20)/1000</f>
        <v>23084.429938658493</v>
      </c>
      <c r="X123" s="164">
        <f>(X95*Emissions_factors!$E$20)/1000</f>
        <v>21252.113210712978</v>
      </c>
      <c r="Y123" s="164">
        <f>(Y95*Emissions_factors!$E$20)/1000</f>
        <v>18987.164684189054</v>
      </c>
      <c r="Z123" s="164">
        <f>(Z95*Emissions_factors!$E$20)/1000</f>
        <v>16539.487007416668</v>
      </c>
      <c r="AA123" s="164">
        <f>(AA95*Emissions_factors!$E$20)/1000</f>
        <v>14086.605674865912</v>
      </c>
      <c r="AB123" s="164">
        <f>(AB95*Emissions_factors!$E$20)/1000</f>
        <v>11753.24053410024</v>
      </c>
    </row>
    <row r="124" spans="2:28">
      <c r="B124" s="163">
        <v>2027</v>
      </c>
      <c r="C124" s="164">
        <f>(C96*Emissions_factors!$E$20)/1000</f>
        <v>0</v>
      </c>
      <c r="D124" s="164">
        <f>(D96*Emissions_factors!$E$20)/1000</f>
        <v>0</v>
      </c>
      <c r="E124" s="164">
        <f>(E96*Emissions_factors!$E$20)/1000</f>
        <v>0</v>
      </c>
      <c r="F124" s="164">
        <f>(F96*Emissions_factors!$E$20)/1000</f>
        <v>0</v>
      </c>
      <c r="G124" s="164">
        <f>(G96*Emissions_factors!$E$20)/1000</f>
        <v>0</v>
      </c>
      <c r="H124" s="164">
        <f>(H96*Emissions_factors!$E$20)/1000</f>
        <v>0</v>
      </c>
      <c r="I124" s="164">
        <f>(I96*Emissions_factors!$E$20)/1000</f>
        <v>0</v>
      </c>
      <c r="J124" s="164">
        <f>(J96*Emissions_factors!$E$20)/1000</f>
        <v>0</v>
      </c>
      <c r="K124" s="164">
        <f>(K96*Emissions_factors!$E$20)/1000</f>
        <v>0</v>
      </c>
      <c r="L124" s="164">
        <f>(L96*Emissions_factors!$E$20)/1000</f>
        <v>0</v>
      </c>
      <c r="M124" s="164">
        <f>(M96*Emissions_factors!$E$20)/1000</f>
        <v>0</v>
      </c>
      <c r="N124" s="164">
        <f>(N96*Emissions_factors!$E$20)/1000</f>
        <v>0</v>
      </c>
      <c r="O124" s="164">
        <f>(O96*Emissions_factors!$E$20)/1000</f>
        <v>0</v>
      </c>
      <c r="P124" s="164">
        <f>(P96*Emissions_factors!$E$20)/1000</f>
        <v>0</v>
      </c>
      <c r="Q124" s="164">
        <f>(Q96*Emissions_factors!$E$20)/1000</f>
        <v>0</v>
      </c>
      <c r="R124" s="164">
        <f>(R96*Emissions_factors!$E$20)/1000</f>
        <v>0</v>
      </c>
      <c r="S124" s="164">
        <f>(S96*Emissions_factors!$E$20)/1000</f>
        <v>0</v>
      </c>
      <c r="T124" s="164">
        <f>(T96*Emissions_factors!$E$20)/1000</f>
        <v>0</v>
      </c>
      <c r="U124" s="164">
        <f>(U96*Emissions_factors!$E$20)/1000</f>
        <v>0</v>
      </c>
      <c r="V124" s="164">
        <f>(V96*Emissions_factors!$E$20)/1000</f>
        <v>0</v>
      </c>
      <c r="W124" s="164">
        <f>(W96*Emissions_factors!$E$20)/1000</f>
        <v>23118.296347739015</v>
      </c>
      <c r="X124" s="164">
        <f>(X96*Emissions_factors!$E$20)/1000</f>
        <v>22196.024151546619</v>
      </c>
      <c r="Y124" s="164">
        <f>(Y96*Emissions_factors!$E$20)/1000</f>
        <v>20434.224252011176</v>
      </c>
      <c r="Z124" s="164">
        <f>(Z96*Emissions_factors!$E$20)/1000</f>
        <v>18256.442416794827</v>
      </c>
      <c r="AA124" s="164">
        <f>(AA96*Emissions_factors!$E$20)/1000</f>
        <v>15902.96377455816</v>
      </c>
      <c r="AB124" s="164">
        <f>(AB96*Emissions_factors!$E$20)/1000</f>
        <v>13544.481739574096</v>
      </c>
    </row>
    <row r="125" spans="2:28">
      <c r="B125" s="163">
        <v>2028</v>
      </c>
      <c r="C125" s="164">
        <f>(C97*Emissions_factors!$E$20)/1000</f>
        <v>0</v>
      </c>
      <c r="D125" s="164">
        <f>(D97*Emissions_factors!$E$20)/1000</f>
        <v>0</v>
      </c>
      <c r="E125" s="164">
        <f>(E97*Emissions_factors!$E$20)/1000</f>
        <v>0</v>
      </c>
      <c r="F125" s="164">
        <f>(F97*Emissions_factors!$E$20)/1000</f>
        <v>0</v>
      </c>
      <c r="G125" s="164">
        <f>(G97*Emissions_factors!$E$20)/1000</f>
        <v>0</v>
      </c>
      <c r="H125" s="164">
        <f>(H97*Emissions_factors!$E$20)/1000</f>
        <v>0</v>
      </c>
      <c r="I125" s="164">
        <f>(I97*Emissions_factors!$E$20)/1000</f>
        <v>0</v>
      </c>
      <c r="J125" s="164">
        <f>(J97*Emissions_factors!$E$20)/1000</f>
        <v>0</v>
      </c>
      <c r="K125" s="164">
        <f>(K97*Emissions_factors!$E$20)/1000</f>
        <v>0</v>
      </c>
      <c r="L125" s="164">
        <f>(L97*Emissions_factors!$E$20)/1000</f>
        <v>0</v>
      </c>
      <c r="M125" s="164">
        <f>(M97*Emissions_factors!$E$20)/1000</f>
        <v>0</v>
      </c>
      <c r="N125" s="164">
        <f>(N97*Emissions_factors!$E$20)/1000</f>
        <v>0</v>
      </c>
      <c r="O125" s="164">
        <f>(O97*Emissions_factors!$E$20)/1000</f>
        <v>0</v>
      </c>
      <c r="P125" s="164">
        <f>(P97*Emissions_factors!$E$20)/1000</f>
        <v>0</v>
      </c>
      <c r="Q125" s="164">
        <f>(Q97*Emissions_factors!$E$20)/1000</f>
        <v>0</v>
      </c>
      <c r="R125" s="164">
        <f>(R97*Emissions_factors!$E$20)/1000</f>
        <v>0</v>
      </c>
      <c r="S125" s="164">
        <f>(S97*Emissions_factors!$E$20)/1000</f>
        <v>0</v>
      </c>
      <c r="T125" s="164">
        <f>(T97*Emissions_factors!$E$20)/1000</f>
        <v>0</v>
      </c>
      <c r="U125" s="164">
        <f>(U97*Emissions_factors!$E$20)/1000</f>
        <v>0</v>
      </c>
      <c r="V125" s="164">
        <f>(V97*Emissions_factors!$E$20)/1000</f>
        <v>0</v>
      </c>
      <c r="W125" s="164">
        <f>(W97*Emissions_factors!$E$20)/1000</f>
        <v>0</v>
      </c>
      <c r="X125" s="164">
        <f>(X97*Emissions_factors!$E$20)/1000</f>
        <v>22569.925282069762</v>
      </c>
      <c r="Y125" s="164">
        <f>(Y97*Emissions_factors!$E$20)/1000</f>
        <v>21669.529584882996</v>
      </c>
      <c r="Z125" s="164">
        <f>(Z97*Emissions_factors!$E$20)/1000</f>
        <v>19949.51996581944</v>
      </c>
      <c r="AA125" s="164">
        <f>(AA97*Emissions_factors!$E$20)/1000</f>
        <v>17823.395593930378</v>
      </c>
      <c r="AB125" s="164">
        <f>(AB97*Emissions_factors!$E$20)/1000</f>
        <v>15525.741981862919</v>
      </c>
    </row>
    <row r="126" spans="2:28">
      <c r="B126" s="163">
        <v>2029</v>
      </c>
      <c r="C126" s="164">
        <f>(C98*Emissions_factors!$E$20)/1000</f>
        <v>0</v>
      </c>
      <c r="D126" s="164">
        <f>(D98*Emissions_factors!$E$20)/1000</f>
        <v>0</v>
      </c>
      <c r="E126" s="164">
        <f>(E98*Emissions_factors!$E$20)/1000</f>
        <v>0</v>
      </c>
      <c r="F126" s="164">
        <f>(F98*Emissions_factors!$E$20)/1000</f>
        <v>0</v>
      </c>
      <c r="G126" s="164">
        <f>(G98*Emissions_factors!$E$20)/1000</f>
        <v>0</v>
      </c>
      <c r="H126" s="164">
        <f>(H98*Emissions_factors!$E$20)/1000</f>
        <v>0</v>
      </c>
      <c r="I126" s="164">
        <f>(I98*Emissions_factors!$E$20)/1000</f>
        <v>0</v>
      </c>
      <c r="J126" s="164">
        <f>(J98*Emissions_factors!$E$20)/1000</f>
        <v>0</v>
      </c>
      <c r="K126" s="164">
        <f>(K98*Emissions_factors!$E$20)/1000</f>
        <v>0</v>
      </c>
      <c r="L126" s="164">
        <f>(L98*Emissions_factors!$E$20)/1000</f>
        <v>0</v>
      </c>
      <c r="M126" s="164">
        <f>(M98*Emissions_factors!$E$20)/1000</f>
        <v>0</v>
      </c>
      <c r="N126" s="164">
        <f>(N98*Emissions_factors!$E$20)/1000</f>
        <v>0</v>
      </c>
      <c r="O126" s="164">
        <f>(O98*Emissions_factors!$E$20)/1000</f>
        <v>0</v>
      </c>
      <c r="P126" s="164">
        <f>(P98*Emissions_factors!$E$20)/1000</f>
        <v>0</v>
      </c>
      <c r="Q126" s="164">
        <f>(Q98*Emissions_factors!$E$20)/1000</f>
        <v>0</v>
      </c>
      <c r="R126" s="164">
        <f>(R98*Emissions_factors!$E$20)/1000</f>
        <v>0</v>
      </c>
      <c r="S126" s="164">
        <f>(S98*Emissions_factors!$E$20)/1000</f>
        <v>0</v>
      </c>
      <c r="T126" s="164">
        <f>(T98*Emissions_factors!$E$20)/1000</f>
        <v>0</v>
      </c>
      <c r="U126" s="164">
        <f>(U98*Emissions_factors!$E$20)/1000</f>
        <v>0</v>
      </c>
      <c r="V126" s="164">
        <f>(V98*Emissions_factors!$E$20)/1000</f>
        <v>0</v>
      </c>
      <c r="W126" s="164">
        <f>(W98*Emissions_factors!$E$20)/1000</f>
        <v>0</v>
      </c>
      <c r="X126" s="164">
        <f>(X98*Emissions_factors!$E$20)/1000</f>
        <v>0</v>
      </c>
      <c r="Y126" s="164">
        <f>(Y98*Emissions_factors!$E$20)/1000</f>
        <v>22304.099164010171</v>
      </c>
      <c r="Z126" s="164">
        <f>(Z98*Emissions_factors!$E$20)/1000</f>
        <v>21414.308229130307</v>
      </c>
      <c r="AA126" s="164">
        <f>(AA98*Emissions_factors!$E$20)/1000</f>
        <v>19714.556695742558</v>
      </c>
      <c r="AB126" s="164">
        <f>(AB98*Emissions_factors!$E$20)/1000</f>
        <v>17613.473584789357</v>
      </c>
    </row>
    <row r="127" spans="2:28">
      <c r="B127" s="163">
        <v>2030</v>
      </c>
      <c r="C127" s="164">
        <f>(C99*Emissions_factors!$E$20)/1000</f>
        <v>0</v>
      </c>
      <c r="D127" s="164">
        <f>(D99*Emissions_factors!$E$20)/1000</f>
        <v>0</v>
      </c>
      <c r="E127" s="164">
        <f>(E99*Emissions_factors!$E$20)/1000</f>
        <v>0</v>
      </c>
      <c r="F127" s="164">
        <f>(F99*Emissions_factors!$E$20)/1000</f>
        <v>0</v>
      </c>
      <c r="G127" s="164">
        <f>(G99*Emissions_factors!$E$20)/1000</f>
        <v>0</v>
      </c>
      <c r="H127" s="164">
        <f>(H99*Emissions_factors!$E$20)/1000</f>
        <v>0</v>
      </c>
      <c r="I127" s="164">
        <f>(I99*Emissions_factors!$E$20)/1000</f>
        <v>0</v>
      </c>
      <c r="J127" s="164">
        <f>(J99*Emissions_factors!$E$20)/1000</f>
        <v>0</v>
      </c>
      <c r="K127" s="164">
        <f>(K99*Emissions_factors!$E$20)/1000</f>
        <v>0</v>
      </c>
      <c r="L127" s="164">
        <f>(L99*Emissions_factors!$E$20)/1000</f>
        <v>0</v>
      </c>
      <c r="M127" s="164">
        <f>(M99*Emissions_factors!$E$20)/1000</f>
        <v>0</v>
      </c>
      <c r="N127" s="164">
        <f>(N99*Emissions_factors!$E$20)/1000</f>
        <v>0</v>
      </c>
      <c r="O127" s="164">
        <f>(O99*Emissions_factors!$E$20)/1000</f>
        <v>0</v>
      </c>
      <c r="P127" s="164">
        <f>(P99*Emissions_factors!$E$20)/1000</f>
        <v>0</v>
      </c>
      <c r="Q127" s="164">
        <f>(Q99*Emissions_factors!$E$20)/1000</f>
        <v>0</v>
      </c>
      <c r="R127" s="164">
        <f>(R99*Emissions_factors!$E$20)/1000</f>
        <v>0</v>
      </c>
      <c r="S127" s="164">
        <f>(S99*Emissions_factors!$E$20)/1000</f>
        <v>0</v>
      </c>
      <c r="T127" s="164">
        <f>(T99*Emissions_factors!$E$20)/1000</f>
        <v>0</v>
      </c>
      <c r="U127" s="164">
        <f>(U99*Emissions_factors!$E$20)/1000</f>
        <v>0</v>
      </c>
      <c r="V127" s="164">
        <f>(V99*Emissions_factors!$E$20)/1000</f>
        <v>0</v>
      </c>
      <c r="W127" s="164">
        <f>(W99*Emissions_factors!$E$20)/1000</f>
        <v>0</v>
      </c>
      <c r="X127" s="164">
        <f>(X99*Emissions_factors!$E$20)/1000</f>
        <v>0</v>
      </c>
      <c r="Y127" s="164">
        <f>(Y99*Emissions_factors!$E$20)/1000</f>
        <v>0</v>
      </c>
      <c r="Z127" s="164">
        <f>(Z99*Emissions_factors!$E$20)/1000</f>
        <v>22224.117068671403</v>
      </c>
      <c r="AA127" s="164">
        <f>(AA99*Emissions_factors!$E$20)/1000</f>
        <v>21337.516907956488</v>
      </c>
      <c r="AB127" s="164">
        <f>(AB99*Emissions_factors!$E$20)/1000</f>
        <v>19643.860652759355</v>
      </c>
    </row>
    <row r="128" spans="2:28">
      <c r="B128" s="163">
        <v>2031</v>
      </c>
      <c r="C128" s="164">
        <f>(C100*Emissions_factors!$E$20)/1000</f>
        <v>0</v>
      </c>
      <c r="D128" s="164">
        <f>(D100*Emissions_factors!$E$20)/1000</f>
        <v>0</v>
      </c>
      <c r="E128" s="164">
        <f>(E100*Emissions_factors!$E$20)/1000</f>
        <v>0</v>
      </c>
      <c r="F128" s="164">
        <f>(F100*Emissions_factors!$E$20)/1000</f>
        <v>0</v>
      </c>
      <c r="G128" s="164">
        <f>(G100*Emissions_factors!$E$20)/1000</f>
        <v>0</v>
      </c>
      <c r="H128" s="164">
        <f>(H100*Emissions_factors!$E$20)/1000</f>
        <v>0</v>
      </c>
      <c r="I128" s="164">
        <f>(I100*Emissions_factors!$E$20)/1000</f>
        <v>0</v>
      </c>
      <c r="J128" s="164">
        <f>(J100*Emissions_factors!$E$20)/1000</f>
        <v>0</v>
      </c>
      <c r="K128" s="164">
        <f>(K100*Emissions_factors!$E$20)/1000</f>
        <v>0</v>
      </c>
      <c r="L128" s="164">
        <f>(L100*Emissions_factors!$E$20)/1000</f>
        <v>0</v>
      </c>
      <c r="M128" s="164">
        <f>(M100*Emissions_factors!$E$20)/1000</f>
        <v>0</v>
      </c>
      <c r="N128" s="164">
        <f>(N100*Emissions_factors!$E$20)/1000</f>
        <v>0</v>
      </c>
      <c r="O128" s="164">
        <f>(O100*Emissions_factors!$E$20)/1000</f>
        <v>0</v>
      </c>
      <c r="P128" s="164">
        <f>(P100*Emissions_factors!$E$20)/1000</f>
        <v>0</v>
      </c>
      <c r="Q128" s="164">
        <f>(Q100*Emissions_factors!$E$20)/1000</f>
        <v>0</v>
      </c>
      <c r="R128" s="164">
        <f>(R100*Emissions_factors!$E$20)/1000</f>
        <v>0</v>
      </c>
      <c r="S128" s="164">
        <f>(S100*Emissions_factors!$E$20)/1000</f>
        <v>0</v>
      </c>
      <c r="T128" s="164">
        <f>(T100*Emissions_factors!$E$20)/1000</f>
        <v>0</v>
      </c>
      <c r="U128" s="164">
        <f>(U100*Emissions_factors!$E$20)/1000</f>
        <v>0</v>
      </c>
      <c r="V128" s="164">
        <f>(V100*Emissions_factors!$E$20)/1000</f>
        <v>0</v>
      </c>
      <c r="W128" s="164">
        <f>(W100*Emissions_factors!$E$20)/1000</f>
        <v>0</v>
      </c>
      <c r="X128" s="164">
        <f>(X100*Emissions_factors!$E$20)/1000</f>
        <v>0</v>
      </c>
      <c r="Y128" s="164">
        <f>(Y100*Emissions_factors!$E$20)/1000</f>
        <v>0</v>
      </c>
      <c r="Z128" s="164">
        <f>(Z100*Emissions_factors!$E$20)/1000</f>
        <v>0</v>
      </c>
      <c r="AA128" s="164">
        <f>(AA100*Emissions_factors!$E$20)/1000</f>
        <v>22248.838688256594</v>
      </c>
      <c r="AB128" s="164">
        <f>(AB100*Emissions_factors!$E$20)/1000</f>
        <v>21361.252293000638</v>
      </c>
    </row>
    <row r="129" spans="1:28">
      <c r="B129" s="163">
        <v>2032</v>
      </c>
      <c r="C129" s="164">
        <f>(C101*Emissions_factors!$E$20)/1000</f>
        <v>0</v>
      </c>
      <c r="D129" s="164">
        <f>(D101*Emissions_factors!$E$20)/1000</f>
        <v>0</v>
      </c>
      <c r="E129" s="164">
        <f>(E101*Emissions_factors!$E$20)/1000</f>
        <v>0</v>
      </c>
      <c r="F129" s="164">
        <f>(F101*Emissions_factors!$E$20)/1000</f>
        <v>0</v>
      </c>
      <c r="G129" s="164">
        <f>(G101*Emissions_factors!$E$20)/1000</f>
        <v>0</v>
      </c>
      <c r="H129" s="164">
        <f>(H101*Emissions_factors!$E$20)/1000</f>
        <v>0</v>
      </c>
      <c r="I129" s="164">
        <f>(I101*Emissions_factors!$E$20)/1000</f>
        <v>0</v>
      </c>
      <c r="J129" s="164">
        <f>(J101*Emissions_factors!$E$20)/1000</f>
        <v>0</v>
      </c>
      <c r="K129" s="164">
        <f>(K101*Emissions_factors!$E$20)/1000</f>
        <v>0</v>
      </c>
      <c r="L129" s="164">
        <f>(L101*Emissions_factors!$E$20)/1000</f>
        <v>0</v>
      </c>
      <c r="M129" s="164">
        <f>(M101*Emissions_factors!$E$20)/1000</f>
        <v>0</v>
      </c>
      <c r="N129" s="164">
        <f>(N101*Emissions_factors!$E$20)/1000</f>
        <v>0</v>
      </c>
      <c r="O129" s="164">
        <f>(O101*Emissions_factors!$E$20)/1000</f>
        <v>0</v>
      </c>
      <c r="P129" s="164">
        <f>(P101*Emissions_factors!$E$20)/1000</f>
        <v>0</v>
      </c>
      <c r="Q129" s="164">
        <f>(Q101*Emissions_factors!$E$20)/1000</f>
        <v>0</v>
      </c>
      <c r="R129" s="164">
        <f>(R101*Emissions_factors!$E$20)/1000</f>
        <v>0</v>
      </c>
      <c r="S129" s="164">
        <f>(S101*Emissions_factors!$E$20)/1000</f>
        <v>0</v>
      </c>
      <c r="T129" s="164">
        <f>(T101*Emissions_factors!$E$20)/1000</f>
        <v>0</v>
      </c>
      <c r="U129" s="164">
        <f>(U101*Emissions_factors!$E$20)/1000</f>
        <v>0</v>
      </c>
      <c r="V129" s="164">
        <f>(V101*Emissions_factors!$E$20)/1000</f>
        <v>0</v>
      </c>
      <c r="W129" s="164">
        <f>(W101*Emissions_factors!$E$20)/1000</f>
        <v>0</v>
      </c>
      <c r="X129" s="164">
        <f>(X101*Emissions_factors!$E$20)/1000</f>
        <v>0</v>
      </c>
      <c r="Y129" s="164">
        <f>(Y101*Emissions_factors!$E$20)/1000</f>
        <v>0</v>
      </c>
      <c r="Z129" s="164">
        <f>(Z101*Emissions_factors!$E$20)/1000</f>
        <v>0</v>
      </c>
      <c r="AA129" s="164">
        <f>(AA101*Emissions_factors!$E$20)/1000</f>
        <v>0</v>
      </c>
      <c r="AB129" s="164">
        <f>(AB101*Emissions_factors!$E$20)/1000</f>
        <v>22319.456930332686</v>
      </c>
    </row>
    <row r="131" spans="1:28">
      <c r="B131" s="307" t="s">
        <v>7803</v>
      </c>
      <c r="C131" s="298">
        <f t="shared" ref="C131:AB131" si="23">SUM(C104:C129)</f>
        <v>1845.2438881657959</v>
      </c>
      <c r="D131" s="298">
        <f t="shared" si="23"/>
        <v>4658.3405179955753</v>
      </c>
      <c r="E131" s="298">
        <f t="shared" si="23"/>
        <v>6993.971509920626</v>
      </c>
      <c r="F131" s="298">
        <f t="shared" si="23"/>
        <v>9343.0655759229103</v>
      </c>
      <c r="G131" s="298">
        <f t="shared" si="23"/>
        <v>19704.372095355931</v>
      </c>
      <c r="H131" s="298">
        <f t="shared" si="23"/>
        <v>45015.864188326523</v>
      </c>
      <c r="I131" s="298">
        <f t="shared" si="23"/>
        <v>85196.644222605712</v>
      </c>
      <c r="J131" s="298">
        <f t="shared" si="23"/>
        <v>121794.60113277723</v>
      </c>
      <c r="K131" s="298">
        <f t="shared" si="23"/>
        <v>148520.0351834622</v>
      </c>
      <c r="L131" s="298">
        <f t="shared" si="23"/>
        <v>166122.70842673356</v>
      </c>
      <c r="M131" s="298">
        <f t="shared" si="23"/>
        <v>171481.61293808237</v>
      </c>
      <c r="N131" s="298">
        <f t="shared" si="23"/>
        <v>174016.21866527532</v>
      </c>
      <c r="O131" s="298">
        <f t="shared" si="23"/>
        <v>180598.33335235689</v>
      </c>
      <c r="P131" s="298">
        <f t="shared" si="23"/>
        <v>190973.87621414915</v>
      </c>
      <c r="Q131" s="298">
        <f t="shared" si="23"/>
        <v>189179.17939045059</v>
      </c>
      <c r="R131" s="298">
        <f t="shared" si="23"/>
        <v>184968.89779513638</v>
      </c>
      <c r="S131" s="298">
        <f t="shared" si="23"/>
        <v>179574.14360972866</v>
      </c>
      <c r="T131" s="298">
        <f t="shared" si="23"/>
        <v>174786.19855786243</v>
      </c>
      <c r="U131" s="298">
        <f t="shared" si="23"/>
        <v>170839.00499175701</v>
      </c>
      <c r="V131" s="298">
        <f t="shared" si="23"/>
        <v>167767.77174431868</v>
      </c>
      <c r="W131" s="298">
        <f t="shared" si="23"/>
        <v>165491.95173435588</v>
      </c>
      <c r="X131" s="298">
        <f t="shared" si="23"/>
        <v>163876.61169898586</v>
      </c>
      <c r="Y131" s="298">
        <f t="shared" si="23"/>
        <v>162773.9737160739</v>
      </c>
      <c r="Z131" s="298">
        <f t="shared" si="23"/>
        <v>162047.98689705407</v>
      </c>
      <c r="AA131" s="298">
        <f t="shared" si="23"/>
        <v>161585.87620951707</v>
      </c>
      <c r="AB131" s="298">
        <f t="shared" si="23"/>
        <v>161300.97622969112</v>
      </c>
    </row>
    <row r="132" spans="1:28">
      <c r="A132" s="1"/>
      <c r="B132" s="307" t="s">
        <v>7801</v>
      </c>
      <c r="C132" s="164">
        <f>(C148*Emissions_factors!$D$9)/1000</f>
        <v>4062.2261450481592</v>
      </c>
      <c r="D132" s="164">
        <f>D148*(Emissions_factors!$D$9/1000)</f>
        <v>6497.2980272961076</v>
      </c>
      <c r="E132" s="164">
        <f>E148*(Emissions_factors!$D$9/1000)</f>
        <v>6178.5583962473083</v>
      </c>
      <c r="F132" s="164">
        <f>F148*(Emissions_factors!$D$9/1000)</f>
        <v>7136.1071262021951</v>
      </c>
      <c r="G132" s="164">
        <f>G148*(Emissions_factors!$D$9/1000)</f>
        <v>25776.240442544819</v>
      </c>
      <c r="H132" s="164">
        <f>H148*(Emissions_factors!$D$9/1000)</f>
        <v>61050.747311740357</v>
      </c>
      <c r="I132" s="164">
        <f>I148*(Emissions_factors!$D$9/1000)</f>
        <v>99793.409754692155</v>
      </c>
      <c r="J132" s="164">
        <f>J148*(Emissions_factors!$D$9/1000)</f>
        <v>103124.36597787531</v>
      </c>
      <c r="K132" s="164">
        <f>K148*(Emissions_factors!$D$9/1000)</f>
        <v>95568.16824433468</v>
      </c>
      <c r="L132" s="164">
        <f>L148*(Emissions_factors!$D$9/1000)</f>
        <v>89310.291697675159</v>
      </c>
      <c r="M132" s="164">
        <f>M148*(Emissions_factors!$D$9/1000)</f>
        <v>73891.819262415534</v>
      </c>
      <c r="N132" s="164">
        <f>N148*(Emissions_factors!$D$9/1000)</f>
        <v>75420.930089469461</v>
      </c>
      <c r="O132" s="164">
        <f>O148*(Emissions_factors!$D$9/1000)</f>
        <v>88870.993481717378</v>
      </c>
      <c r="P132" s="164">
        <f>P148*(Emissions_factors!$D$9/1000)</f>
        <v>100594.0717870379</v>
      </c>
      <c r="Q132" s="164">
        <f>Q148*(Emissions_factors!$D$9/1000)</f>
        <v>77439.336556598078</v>
      </c>
      <c r="R132" s="164">
        <f>R148*(Emissions_factors!$D$9/1000)</f>
        <v>71427.33222278631</v>
      </c>
      <c r="S132" s="164">
        <f>S148*(Emissions_factors!$D$9/1000)</f>
        <v>64342.97315232383</v>
      </c>
      <c r="T132" s="164">
        <f>T148*(Emissions_factors!$D$9/1000)</f>
        <v>59850.779171433656</v>
      </c>
      <c r="U132" s="164">
        <f>U148*(Emissions_factors!$D$9/1000)</f>
        <v>55930.738821826722</v>
      </c>
      <c r="V132" s="164">
        <f>V148*(Emissions_factors!$D$9/1000)</f>
        <v>52931.001782763138</v>
      </c>
      <c r="W132" s="164">
        <f>W148*(Emissions_factors!$D$9/1000)</f>
        <v>50893.94873764176</v>
      </c>
      <c r="X132" s="164">
        <f>X148*(Emissions_factors!$D$9/1000)</f>
        <v>49686.733098323835</v>
      </c>
      <c r="Y132" s="164">
        <f>Y148*(Emissions_factors!$D$9/1000)</f>
        <v>49101.528175687999</v>
      </c>
      <c r="Z132" s="164">
        <f>Z148*(Emissions_factors!$D$9/1000)</f>
        <v>48925.450985618634</v>
      </c>
      <c r="AA132" s="164">
        <f>AA148*(Emissions_factors!$D$9/1000)</f>
        <v>48979.874582451004</v>
      </c>
      <c r="AB132" s="164">
        <f>AB148*(Emissions_factors!$D$9/1000)</f>
        <v>49135.337646774708</v>
      </c>
    </row>
    <row r="133" spans="1:28">
      <c r="B133" s="307" t="s">
        <v>7802</v>
      </c>
      <c r="C133" s="50">
        <f>(C182*Emissions_factors!$E$30)+(C183*Emissions_factors!$G$30)+(C184*Emissions_factors!$I$30)</f>
        <v>0</v>
      </c>
      <c r="D133" s="50">
        <f>(D182*Emissions_factors!$E$30)+(D183*Emissions_factors!$G$30)+(D184*Emissions_factors!$I$30)</f>
        <v>126.46980355290998</v>
      </c>
      <c r="E133" s="50">
        <f>(E182*Emissions_factors!$E$30)+(E183*Emissions_factors!$G$30)+(E184*Emissions_factors!$I$30)</f>
        <v>430.76943831076591</v>
      </c>
      <c r="F133" s="50">
        <f>(F182*Emissions_factors!$E$30)+(F183*Emissions_factors!$G$30)+(F184*Emissions_factors!$I$30)</f>
        <v>816.30781625951863</v>
      </c>
      <c r="G133" s="50">
        <f>(G182*Emissions_factors!$E$30)+(G183*Emissions_factors!$G$30)+(G184*Emissions_factors!$I$30)</f>
        <v>1232.4551187406698</v>
      </c>
      <c r="H133" s="50">
        <f>(H182*Emissions_factors!$E$30)+(H183*Emissions_factors!$G$30)+(H184*Emissions_factors!$I$30)</f>
        <v>2213.9757124479393</v>
      </c>
      <c r="I133" s="50">
        <f>(I182*Emissions_factors!$E$30)+(I183*Emissions_factors!$G$30)+(I184*Emissions_factors!$I$30)</f>
        <v>4710.4764668792204</v>
      </c>
      <c r="J133" s="50">
        <f>(J182*Emissions_factors!$E$30)+(J183*Emissions_factors!$G$30)+(J184*Emissions_factors!$I$30)</f>
        <v>9371.6219294573002</v>
      </c>
      <c r="K133" s="50">
        <f>(K182*Emissions_factors!$E$30)+(K183*Emissions_factors!$G$30)+(K184*Emissions_factors!$I$30)</f>
        <v>15262.355542678473</v>
      </c>
      <c r="L133" s="50">
        <f>(L182*Emissions_factors!$E$30)+(L183*Emissions_factors!$G$30)+(L184*Emissions_factors!$I$30)</f>
        <v>21006.730135252252</v>
      </c>
      <c r="M133" s="50">
        <f>(M182*Emissions_factors!$E$30)+(M183*Emissions_factors!$G$30)+(M184*Emissions_factors!$I$30)</f>
        <v>25799.696277122774</v>
      </c>
      <c r="N133" s="50">
        <f>(N182*Emissions_factors!$E$30)+(N183*Emissions_factors!$G$30)+(N184*Emissions_factors!$I$30)</f>
        <v>29018.379711482623</v>
      </c>
      <c r="O133" s="50">
        <f>(O182*Emissions_factors!$E$30)+(O183*Emissions_factors!$G$30)+(O184*Emissions_factors!$I$30)</f>
        <v>30904.563409667495</v>
      </c>
      <c r="P133" s="50">
        <f>(P182*Emissions_factors!$E$30)+(P183*Emissions_factors!$G$30)+(P184*Emissions_factors!$I$30)</f>
        <v>32305.601040801499</v>
      </c>
      <c r="Q133" s="50">
        <f>(Q182*Emissions_factors!$E$30)+(Q183*Emissions_factors!$G$30)+(Q184*Emissions_factors!$I$30)</f>
        <v>33816.966068475536</v>
      </c>
      <c r="R133" s="50">
        <f>(R182*Emissions_factors!$E$30)+(R183*Emissions_factors!$G$30)+(R184*Emissions_factors!$I$30)</f>
        <v>33528.533516028081</v>
      </c>
      <c r="S133" s="50">
        <f>(S182*Emissions_factors!$E$30)+(S183*Emissions_factors!$G$30)+(S184*Emissions_factors!$I$30)</f>
        <v>31668.463767341622</v>
      </c>
      <c r="T133" s="50">
        <f>(T182*Emissions_factors!$E$30)+(T183*Emissions_factors!$G$30)+(T184*Emissions_factors!$I$30)</f>
        <v>29246.953082418833</v>
      </c>
      <c r="U133" s="50">
        <f>(U182*Emissions_factors!$E$30)+(U183*Emissions_factors!$G$30)+(U184*Emissions_factors!$I$30)</f>
        <v>26849.186160425263</v>
      </c>
      <c r="V133" s="50">
        <f>(V182*Emissions_factors!$E$30)+(V183*Emissions_factors!$G$30)+(V184*Emissions_factors!$I$30)</f>
        <v>24801.596348070427</v>
      </c>
      <c r="W133" s="50">
        <f>(W182*Emissions_factors!$E$30)+(W183*Emissions_factors!$G$30)+(W184*Emissions_factors!$I$30)</f>
        <v>23227.660789097659</v>
      </c>
      <c r="X133" s="50">
        <f>(X182*Emissions_factors!$E$30)+(X183*Emissions_factors!$G$30)+(X184*Emissions_factors!$I$30)</f>
        <v>22121.938827973143</v>
      </c>
      <c r="Y133" s="50">
        <f>(Y182*Emissions_factors!$E$30)+(Y183*Emissions_factors!$G$30)+(Y184*Emissions_factors!$I$30)</f>
        <v>21409.829440963629</v>
      </c>
      <c r="Z133" s="50">
        <f>(Z182*Emissions_factors!$E$30)+(Z183*Emissions_factors!$G$30)+(Z184*Emissions_factors!$I$30)</f>
        <v>20992.155881979594</v>
      </c>
      <c r="AA133" s="50">
        <f>(AA182*Emissions_factors!$E$30)+(AA183*Emissions_factors!$G$30)+(AA184*Emissions_factors!$I$30)</f>
        <v>20773.404420538431</v>
      </c>
      <c r="AB133" s="50">
        <f>(AB182*Emissions_factors!$E$30)+(AB183*Emissions_factors!$G$30)+(AB184*Emissions_factors!$I$30)</f>
        <v>20675.903563942269</v>
      </c>
    </row>
    <row r="134" spans="1:28">
      <c r="B134" s="307" t="s">
        <v>7804</v>
      </c>
      <c r="C134" s="306">
        <f>SUM(C131:C133)</f>
        <v>5907.4700332139546</v>
      </c>
      <c r="D134" s="306">
        <f t="shared" ref="D134:AB134" si="24">SUM(D131:D133)</f>
        <v>11282.108348844595</v>
      </c>
      <c r="E134" s="306">
        <f t="shared" si="24"/>
        <v>13603.299344478701</v>
      </c>
      <c r="F134" s="306">
        <f t="shared" si="24"/>
        <v>17295.480518384626</v>
      </c>
      <c r="G134" s="306">
        <f t="shared" si="24"/>
        <v>46713.067656641419</v>
      </c>
      <c r="H134" s="306">
        <f t="shared" si="24"/>
        <v>108280.58721251482</v>
      </c>
      <c r="I134" s="306">
        <f t="shared" si="24"/>
        <v>189700.53044417707</v>
      </c>
      <c r="J134" s="306">
        <f t="shared" si="24"/>
        <v>234290.58904010983</v>
      </c>
      <c r="K134" s="306">
        <f t="shared" si="24"/>
        <v>259350.55897047537</v>
      </c>
      <c r="L134" s="306">
        <f t="shared" si="24"/>
        <v>276439.73025966098</v>
      </c>
      <c r="M134" s="306">
        <f t="shared" si="24"/>
        <v>271173.12847762066</v>
      </c>
      <c r="N134" s="306">
        <f t="shared" si="24"/>
        <v>278455.52846622741</v>
      </c>
      <c r="O134" s="306">
        <f t="shared" si="24"/>
        <v>300373.8902437418</v>
      </c>
      <c r="P134" s="306">
        <f t="shared" si="24"/>
        <v>323873.54904198856</v>
      </c>
      <c r="Q134" s="306">
        <f t="shared" si="24"/>
        <v>300435.48201552418</v>
      </c>
      <c r="R134" s="306">
        <f t="shared" si="24"/>
        <v>289924.76353395078</v>
      </c>
      <c r="S134" s="306">
        <f t="shared" si="24"/>
        <v>275585.58052939409</v>
      </c>
      <c r="T134" s="306">
        <f t="shared" si="24"/>
        <v>263883.9308117149</v>
      </c>
      <c r="U134" s="306">
        <f t="shared" si="24"/>
        <v>253618.92997400899</v>
      </c>
      <c r="V134" s="306">
        <f t="shared" si="24"/>
        <v>245500.36987515225</v>
      </c>
      <c r="W134" s="306">
        <f t="shared" si="24"/>
        <v>239613.56126109531</v>
      </c>
      <c r="X134" s="306">
        <f t="shared" si="24"/>
        <v>235685.28362528284</v>
      </c>
      <c r="Y134" s="306">
        <f t="shared" si="24"/>
        <v>233285.33133272553</v>
      </c>
      <c r="Z134" s="306">
        <f t="shared" si="24"/>
        <v>231965.59376465229</v>
      </c>
      <c r="AA134" s="306">
        <f t="shared" si="24"/>
        <v>231339.15521250651</v>
      </c>
      <c r="AB134" s="306">
        <f t="shared" si="24"/>
        <v>231112.2174404081</v>
      </c>
    </row>
    <row r="137" spans="1:28" ht="21">
      <c r="A137" s="293" t="s">
        <v>7793</v>
      </c>
      <c r="B137" s="291" t="s">
        <v>7794</v>
      </c>
    </row>
    <row r="138" spans="1:28">
      <c r="B138" s="294" t="s">
        <v>437</v>
      </c>
      <c r="C138" s="302">
        <f>C38*(BOM_average!B42*BOM_average!B53)/1000000</f>
        <v>15.243014935216967</v>
      </c>
      <c r="D138" s="302">
        <f>D38*(BOM_average!C42*BOM_average!C53)/1000000</f>
        <v>24.38032924123582</v>
      </c>
      <c r="E138" s="302">
        <f>E38*(BOM_average!D42*BOM_average!D53)/1000000</f>
        <v>23.18429711918251</v>
      </c>
      <c r="F138" s="302">
        <f>F38*(BOM_average!E42*BOM_average!E53)/1000000</f>
        <v>26.777383537990772</v>
      </c>
      <c r="G138" s="302">
        <f>G38*(BOM_average!F42*BOM_average!F53)/1000000</f>
        <v>96.722241453348786</v>
      </c>
      <c r="H138" s="302">
        <f>H38*(BOM_average!G42*BOM_average!G53)/1000000</f>
        <v>229.08558505867791</v>
      </c>
      <c r="I138" s="302">
        <f>I38*(BOM_average!H42*BOM_average!H53)/1000000</f>
        <v>374.46276524542566</v>
      </c>
      <c r="J138" s="302">
        <f>J38*(BOM_average!I42*BOM_average!I53)/1000000</f>
        <v>386.96177776850431</v>
      </c>
      <c r="K138" s="302">
        <f>K38*(BOM_average!J42*BOM_average!J53)/1000000</f>
        <v>358.60805476216314</v>
      </c>
      <c r="L138" s="302">
        <f>L38*(BOM_average!K42*BOM_average!K53)/1000000</f>
        <v>335.12612582530329</v>
      </c>
      <c r="M138" s="302">
        <f>M38*(BOM_average!L42*BOM_average!L53)/1000000</f>
        <v>277.2701628097073</v>
      </c>
      <c r="N138" s="302">
        <f>N38*(BOM_average!M42*BOM_average!M53)/1000000</f>
        <v>283.00796724060973</v>
      </c>
      <c r="O138" s="302">
        <f>O38*(BOM_average!N42*BOM_average!N53)/1000000</f>
        <v>333.47771211622882</v>
      </c>
      <c r="P138" s="302">
        <f>P38*(BOM_average!O42*BOM_average!O53)/1000000</f>
        <v>377.46715320447231</v>
      </c>
      <c r="Q138" s="302">
        <f>Q38*(BOM_average!P42*BOM_average!P53)/1000000</f>
        <v>290.58179470003961</v>
      </c>
      <c r="R138" s="302">
        <f>R38*(BOM_average!Q42*BOM_average!Q53)/1000000</f>
        <v>268.02247166417374</v>
      </c>
      <c r="S138" s="302">
        <f>S38*(BOM_average!R42*BOM_average!R53)/1000000</f>
        <v>241.43926648020457</v>
      </c>
      <c r="T138" s="302">
        <f>T38*(BOM_average!S42*BOM_average!S53)/1000000</f>
        <v>224.58284896487959</v>
      </c>
      <c r="U138" s="302">
        <f>U38*(BOM_average!T42*BOM_average!T53)/1000000</f>
        <v>209.87336912251519</v>
      </c>
      <c r="V138" s="302">
        <f>V38*(BOM_average!U42*BOM_average!U53)/1000000</f>
        <v>198.61721674313364</v>
      </c>
      <c r="W138" s="302">
        <f>W38*(BOM_average!V42*BOM_average!V53)/1000000</f>
        <v>190.9734202429153</v>
      </c>
      <c r="X138" s="302">
        <f>X38*(BOM_average!W42*BOM_average!W53)/1000000</f>
        <v>186.44348878093061</v>
      </c>
      <c r="Y138" s="302">
        <f>Y38*(BOM_average!X42*BOM_average!X53)/1000000</f>
        <v>184.24757770720214</v>
      </c>
      <c r="Z138" s="302">
        <f>Z38*(BOM_average!Y42*BOM_average!Y53)/1000000</f>
        <v>183.58686923304441</v>
      </c>
      <c r="AA138" s="302">
        <f>AA38*(BOM_average!Z42*BOM_average!Z53)/1000000</f>
        <v>183.79108723315633</v>
      </c>
      <c r="AB138" s="302">
        <f>AB38*(BOM_average!AA42*BOM_average!AA53)/1000000</f>
        <v>184.37444368027323</v>
      </c>
    </row>
    <row r="139" spans="1:28">
      <c r="B139" s="294" t="s">
        <v>217</v>
      </c>
      <c r="C139" s="302">
        <f>C38*(BOM_average!B43*BOM_average!B53)/1000000</f>
        <v>0.70972617234927715</v>
      </c>
      <c r="D139" s="302">
        <f>D38*(BOM_average!C43*BOM_average!C53)/1000000</f>
        <v>1.1351663582655385</v>
      </c>
      <c r="E139" s="302">
        <f>E38*(BOM_average!D43*BOM_average!D53)/1000000</f>
        <v>1.0794782084080905</v>
      </c>
      <c r="F139" s="302">
        <f>F38*(BOM_average!E43*BOM_average!E53)/1000000</f>
        <v>1.2467749985627254</v>
      </c>
      <c r="G139" s="302">
        <f>G38*(BOM_average!F43*BOM_average!F53)/1000000</f>
        <v>4.5034598797859626</v>
      </c>
      <c r="H139" s="302">
        <f>H38*(BOM_average!G43*BOM_average!G53)/1000000</f>
        <v>10.666396124066777</v>
      </c>
      <c r="I139" s="302">
        <f>I38*(BOM_average!H43*BOM_average!H53)/1000000</f>
        <v>17.435266329821978</v>
      </c>
      <c r="J139" s="302">
        <f>J38*(BOM_average!I43*BOM_average!I53)/1000000</f>
        <v>18.017229698214102</v>
      </c>
      <c r="K139" s="302">
        <f>K38*(BOM_average!J43*BOM_average!J53)/1000000</f>
        <v>16.697059155400439</v>
      </c>
      <c r="L139" s="302">
        <f>L38*(BOM_average!K43*BOM_average!K53)/1000000</f>
        <v>15.603722987026602</v>
      </c>
      <c r="M139" s="302">
        <f>M38*(BOM_average!L43*BOM_average!L53)/1000000</f>
        <v>12.909906091015285</v>
      </c>
      <c r="N139" s="302">
        <f>N38*(BOM_average!M43*BOM_average!M53)/1000000</f>
        <v>13.177062555385378</v>
      </c>
      <c r="O139" s="302">
        <f>O38*(BOM_average!N43*BOM_average!N53)/1000000</f>
        <v>15.526971612238759</v>
      </c>
      <c r="P139" s="302">
        <f>P38*(BOM_average!O43*BOM_average!O53)/1000000</f>
        <v>17.575152879529412</v>
      </c>
      <c r="Q139" s="302">
        <f>Q38*(BOM_average!P43*BOM_average!P53)/1000000</f>
        <v>13.529705624729623</v>
      </c>
      <c r="R139" s="302">
        <f>R38*(BOM_average!Q43*BOM_average!Q53)/1000000</f>
        <v>12.47932667692417</v>
      </c>
      <c r="S139" s="302">
        <f>S38*(BOM_average!R43*BOM_average!R53)/1000000</f>
        <v>11.241592767708831</v>
      </c>
      <c r="T139" s="302">
        <f>T38*(BOM_average!S43*BOM_average!S53)/1000000</f>
        <v>10.456745364913669</v>
      </c>
      <c r="U139" s="302">
        <f>U38*(BOM_average!T43*BOM_average!T53)/1000000</f>
        <v>9.7718609854035101</v>
      </c>
      <c r="V139" s="302">
        <f>V38*(BOM_average!U43*BOM_average!U53)/1000000</f>
        <v>9.2477661145691563</v>
      </c>
      <c r="W139" s="302">
        <f>W38*(BOM_average!V43*BOM_average!V53)/1000000</f>
        <v>8.8918652343710392</v>
      </c>
      <c r="X139" s="302">
        <f>X38*(BOM_average!W43*BOM_average!W53)/1000000</f>
        <v>8.6809482385416175</v>
      </c>
      <c r="Y139" s="302">
        <f>Y38*(BOM_average!X43*BOM_average!X53)/1000000</f>
        <v>8.5787049771002089</v>
      </c>
      <c r="Z139" s="302">
        <f>Z38*(BOM_average!Y43*BOM_average!Y53)/1000000</f>
        <v>8.5479418965419587</v>
      </c>
      <c r="AA139" s="302">
        <f>AA38*(BOM_average!Z43*BOM_average!Z53)/1000000</f>
        <v>8.5574504393177957</v>
      </c>
      <c r="AB139" s="302">
        <f>AB38*(BOM_average!AA43*BOM_average!AA53)/1000000</f>
        <v>8.5846119516621169</v>
      </c>
    </row>
    <row r="140" spans="1:28">
      <c r="B140" s="294" t="s">
        <v>313</v>
      </c>
      <c r="C140" s="302">
        <f>C38*(BOM_average!B44*BOM_average!B53)/1000000</f>
        <v>6.6447888393676688</v>
      </c>
      <c r="D140" s="302">
        <f>D38*(BOM_average!C44*BOM_average!C53)/1000000</f>
        <v>10.627959122967763</v>
      </c>
      <c r="E140" s="302">
        <f>E38*(BOM_average!D44*BOM_average!D53)/1000000</f>
        <v>10.106580581391734</v>
      </c>
      <c r="F140" s="302">
        <f>F38*(BOM_average!E44*BOM_average!E53)/1000000</f>
        <v>11.672891487472389</v>
      </c>
      <c r="G140" s="302">
        <f>G38*(BOM_average!F44*BOM_average!F53)/1000000</f>
        <v>42.163500676166521</v>
      </c>
      <c r="H140" s="302">
        <f>H38*(BOM_average!G44*BOM_average!G53)/1000000</f>
        <v>99.863796324243964</v>
      </c>
      <c r="I140" s="302">
        <f>I38*(BOM_average!H44*BOM_average!H53)/1000000</f>
        <v>163.23712952041024</v>
      </c>
      <c r="J140" s="302">
        <f>J38*(BOM_average!I44*BOM_average!I53)/1000000</f>
        <v>168.68574314897702</v>
      </c>
      <c r="K140" s="302">
        <f>K38*(BOM_average!J44*BOM_average!J53)/1000000</f>
        <v>156.32568820001978</v>
      </c>
      <c r="L140" s="302">
        <f>L38*(BOM_average!K44*BOM_average!K53)/1000000</f>
        <v>146.08936290678798</v>
      </c>
      <c r="M140" s="302">
        <f>M38*(BOM_average!L44*BOM_average!L53)/1000000</f>
        <v>120.86858742563943</v>
      </c>
      <c r="N140" s="302">
        <f>N38*(BOM_average!M44*BOM_average!M53)/1000000</f>
        <v>123.36983137291449</v>
      </c>
      <c r="O140" s="302">
        <f>O38*(BOM_average!N44*BOM_average!N53)/1000000</f>
        <v>145.37078058804914</v>
      </c>
      <c r="P140" s="302">
        <f>P38*(BOM_average!O44*BOM_average!O53)/1000000</f>
        <v>164.54681291731364</v>
      </c>
      <c r="Q140" s="302">
        <f>Q38*(BOM_average!P44*BOM_average!P53)/1000000</f>
        <v>126.6714409552448</v>
      </c>
      <c r="R140" s="302">
        <f>R38*(BOM_average!Q44*BOM_average!Q53)/1000000</f>
        <v>116.83730128081051</v>
      </c>
      <c r="S140" s="302">
        <f>S38*(BOM_average!R44*BOM_average!R53)/1000000</f>
        <v>105.24905670637554</v>
      </c>
      <c r="T140" s="302">
        <f>T38*(BOM_average!S44*BOM_average!S53)/1000000</f>
        <v>97.900947723107748</v>
      </c>
      <c r="U140" s="302">
        <f>U38*(BOM_average!T44*BOM_average!T53)/1000000</f>
        <v>91.48873938342895</v>
      </c>
      <c r="V140" s="302">
        <f>V38*(BOM_average!U44*BOM_average!U53)/1000000</f>
        <v>86.581917732816194</v>
      </c>
      <c r="W140" s="302">
        <f>W38*(BOM_average!V44*BOM_average!V53)/1000000</f>
        <v>83.249806999413863</v>
      </c>
      <c r="X140" s="302">
        <f>X38*(BOM_average!W44*BOM_average!W53)/1000000</f>
        <v>81.275103297447828</v>
      </c>
      <c r="Y140" s="302">
        <f>Y38*(BOM_average!X44*BOM_average!X53)/1000000</f>
        <v>80.31785399624539</v>
      </c>
      <c r="Z140" s="302">
        <f>Z38*(BOM_average!Y44*BOM_average!Y53)/1000000</f>
        <v>80.029835627581605</v>
      </c>
      <c r="AA140" s="302">
        <f>AA38*(BOM_average!Z44*BOM_average!Z53)/1000000</f>
        <v>80.118859058556964</v>
      </c>
      <c r="AB140" s="302">
        <f>AB38*(BOM_average!AA44*BOM_average!AA53)/1000000</f>
        <v>80.373157858738537</v>
      </c>
    </row>
    <row r="141" spans="1:28">
      <c r="B141" s="294" t="s">
        <v>6911</v>
      </c>
      <c r="C141" s="302">
        <f>C38*(BOM_average!B45*BOM_average!B53)/1000000</f>
        <v>31.857418002626652</v>
      </c>
      <c r="D141" s="302">
        <f>D38*(BOM_average!C45*BOM_average!C53)/1000000</f>
        <v>50.954115244305221</v>
      </c>
      <c r="E141" s="302">
        <f>E38*(BOM_average!D45*BOM_average!D53)/1000000</f>
        <v>48.454446024091439</v>
      </c>
      <c r="F141" s="302">
        <f>F38*(BOM_average!E45*BOM_average!E53)/1000000</f>
        <v>55.963882736580381</v>
      </c>
      <c r="G141" s="302">
        <f>G38*(BOM_average!F45*BOM_average!F53)/1000000</f>
        <v>202.14641848912262</v>
      </c>
      <c r="H141" s="302">
        <f>H38*(BOM_average!G45*BOM_average!G53)/1000000</f>
        <v>478.7816106332973</v>
      </c>
      <c r="I141" s="302">
        <f>I38*(BOM_average!H45*BOM_average!H53)/1000000</f>
        <v>782.6153086868427</v>
      </c>
      <c r="J141" s="302">
        <f>J38*(BOM_average!I45*BOM_average!I53)/1000000</f>
        <v>808.73784863448964</v>
      </c>
      <c r="K141" s="302">
        <f>K38*(BOM_average!J45*BOM_average!J53)/1000000</f>
        <v>749.47946637988707</v>
      </c>
      <c r="L141" s="302">
        <f>L38*(BOM_average!K45*BOM_average!K53)/1000000</f>
        <v>700.40297929194276</v>
      </c>
      <c r="M141" s="302">
        <f>M38*(BOM_average!L45*BOM_average!L53)/1000000</f>
        <v>579.48585065527016</v>
      </c>
      <c r="N141" s="302">
        <f>N38*(BOM_average!M45*BOM_average!M53)/1000000</f>
        <v>591.47768002429245</v>
      </c>
      <c r="O141" s="302">
        <f>O38*(BOM_average!N45*BOM_average!N53)/1000000</f>
        <v>696.95784689560037</v>
      </c>
      <c r="P141" s="302">
        <f>P38*(BOM_average!O45*BOM_average!O53)/1000000</f>
        <v>788.89438428049561</v>
      </c>
      <c r="Q141" s="302">
        <f>Q38*(BOM_average!P45*BOM_average!P53)/1000000</f>
        <v>607.30673931999524</v>
      </c>
      <c r="R141" s="302">
        <f>R38*(BOM_average!Q45*BOM_average!Q53)/1000000</f>
        <v>560.15846931801252</v>
      </c>
      <c r="S141" s="302">
        <f>S38*(BOM_average!R45*BOM_average!R53)/1000000</f>
        <v>504.6004131857764</v>
      </c>
      <c r="T141" s="302">
        <f>T38*(BOM_average!S45*BOM_average!S53)/1000000</f>
        <v>469.37103493647533</v>
      </c>
      <c r="U141" s="302">
        <f>U38*(BOM_average!T45*BOM_average!T53)/1000000</f>
        <v>438.62868836455391</v>
      </c>
      <c r="V141" s="302">
        <f>V38*(BOM_average!U45*BOM_average!U53)/1000000</f>
        <v>415.10368671788234</v>
      </c>
      <c r="W141" s="302">
        <f>W38*(BOM_average!V45*BOM_average!V53)/1000000</f>
        <v>399.12839434498903</v>
      </c>
      <c r="X141" s="302">
        <f>X38*(BOM_average!W45*BOM_average!W53)/1000000</f>
        <v>389.66098119076565</v>
      </c>
      <c r="Y141" s="302">
        <f>Y38*(BOM_average!X45*BOM_average!X53)/1000000</f>
        <v>385.07159665826481</v>
      </c>
      <c r="Z141" s="302">
        <f>Z38*(BOM_average!Y45*BOM_average!Y53)/1000000</f>
        <v>383.69073689209807</v>
      </c>
      <c r="AA141" s="302">
        <f>AA38*(BOM_average!Z45*BOM_average!Z53)/1000000</f>
        <v>384.11754603850875</v>
      </c>
      <c r="AB141" s="302">
        <f>AB38*(BOM_average!AA45*BOM_average!AA53)/1000000</f>
        <v>385.33674252026213</v>
      </c>
    </row>
    <row r="142" spans="1:28">
      <c r="B142" s="294" t="s">
        <v>441</v>
      </c>
      <c r="C142" s="302">
        <f>C38*(BOM_average!B46*BOM_average!B53)/1000000</f>
        <v>37.202137520899818</v>
      </c>
      <c r="D142" s="302">
        <f>D38*(BOM_average!C46*BOM_average!C53)/1000000</f>
        <v>59.502687958519672</v>
      </c>
      <c r="E142" s="302">
        <f>E38*(BOM_average!D46*BOM_average!D53)/1000000</f>
        <v>56.58364919400065</v>
      </c>
      <c r="F142" s="302">
        <f>F38*(BOM_average!E46*BOM_average!E53)/1000000</f>
        <v>65.352944221597468</v>
      </c>
      <c r="G142" s="302">
        <f>G38*(BOM_average!F46*BOM_average!F53)/1000000</f>
        <v>236.06052629154243</v>
      </c>
      <c r="H142" s="302">
        <f>H38*(BOM_average!G46*BOM_average!G53)/1000000</f>
        <v>559.10680896327688</v>
      </c>
      <c r="I142" s="302">
        <f>I38*(BOM_average!H46*BOM_average!H53)/1000000</f>
        <v>913.91469130765245</v>
      </c>
      <c r="J142" s="302">
        <f>J38*(BOM_average!I46*BOM_average!I53)/1000000</f>
        <v>944.4198101922849</v>
      </c>
      <c r="K142" s="302">
        <f>K38*(BOM_average!J46*BOM_average!J53)/1000000</f>
        <v>875.21964821682275</v>
      </c>
      <c r="L142" s="302">
        <f>L38*(BOM_average!K46*BOM_average!K53)/1000000</f>
        <v>817.90959811992423</v>
      </c>
      <c r="M142" s="302">
        <f>M38*(BOM_average!L46*BOM_average!L53)/1000000</f>
        <v>676.70620091419528</v>
      </c>
      <c r="N142" s="302">
        <f>N38*(BOM_average!M46*BOM_average!M53)/1000000</f>
        <v>690.70989968465915</v>
      </c>
      <c r="O142" s="302">
        <f>O38*(BOM_average!N46*BOM_average!N53)/1000000</f>
        <v>813.88647580737927</v>
      </c>
      <c r="P142" s="302">
        <f>P38*(BOM_average!O46*BOM_average!O53)/1000000</f>
        <v>921.24720751219672</v>
      </c>
      <c r="Q142" s="302">
        <f>Q38*(BOM_average!P46*BOM_average!P53)/1000000</f>
        <v>709.19460050682437</v>
      </c>
      <c r="R142" s="302">
        <f>R38*(BOM_average!Q46*BOM_average!Q53)/1000000</f>
        <v>654.13626450666084</v>
      </c>
      <c r="S142" s="302">
        <f>S38*(BOM_average!R46*BOM_average!R53)/1000000</f>
        <v>589.25723242518745</v>
      </c>
      <c r="T142" s="302">
        <f>T38*(BOM_average!S46*BOM_average!S53)/1000000</f>
        <v>548.117420834109</v>
      </c>
      <c r="U142" s="302">
        <f>U38*(BOM_average!T46*BOM_average!T53)/1000000</f>
        <v>512.21743029534366</v>
      </c>
      <c r="V142" s="302">
        <f>V38*(BOM_average!U46*BOM_average!U53)/1000000</f>
        <v>484.74563875320706</v>
      </c>
      <c r="W142" s="302">
        <f>W38*(BOM_average!V46*BOM_average!V53)/1000000</f>
        <v>466.09017132819616</v>
      </c>
      <c r="X142" s="302">
        <f>X38*(BOM_average!W46*BOM_average!W53)/1000000</f>
        <v>455.03441012050655</v>
      </c>
      <c r="Y142" s="302">
        <f>Y38*(BOM_average!X46*BOM_average!X53)/1000000</f>
        <v>449.67506447296182</v>
      </c>
      <c r="Z142" s="302">
        <f>Z38*(BOM_average!Y46*BOM_average!Y53)/1000000</f>
        <v>448.06253784215397</v>
      </c>
      <c r="AA142" s="302">
        <f>AA38*(BOM_average!Z46*BOM_average!Z53)/1000000</f>
        <v>448.56095276575638</v>
      </c>
      <c r="AB142" s="302">
        <f>AB38*(BOM_average!AA46*BOM_average!AA53)/1000000</f>
        <v>449.98469386038767</v>
      </c>
    </row>
    <row r="143" spans="1:28">
      <c r="B143" s="294" t="s">
        <v>6912</v>
      </c>
      <c r="C143" s="302">
        <f>C38*(BOM_average!B47*BOM_average!B53)/1000000</f>
        <v>10.857073047458544</v>
      </c>
      <c r="D143" s="302">
        <f>D38*(BOM_average!C47*BOM_average!C53)/1000000</f>
        <v>17.36526642650168</v>
      </c>
      <c r="E143" s="302">
        <f>E38*(BOM_average!D47*BOM_average!D53)/1000000</f>
        <v>16.513374056689813</v>
      </c>
      <c r="F143" s="302">
        <f>F38*(BOM_average!E47*BOM_average!E53)/1000000</f>
        <v>19.072605408271329</v>
      </c>
      <c r="G143" s="302">
        <f>G38*(BOM_average!F47*BOM_average!F53)/1000000</f>
        <v>68.891911819017295</v>
      </c>
      <c r="H143" s="302">
        <f>H38*(BOM_average!G47*BOM_average!G53)/1000000</f>
        <v>163.16974966386084</v>
      </c>
      <c r="I143" s="302">
        <f>I38*(BOM_average!H47*BOM_average!H53)/1000000</f>
        <v>266.71689381015744</v>
      </c>
      <c r="J143" s="302">
        <f>J38*(BOM_average!I47*BOM_average!I53)/1000000</f>
        <v>275.61950871678204</v>
      </c>
      <c r="K143" s="302">
        <f>K38*(BOM_average!J47*BOM_average!J53)/1000000</f>
        <v>255.42413115167636</v>
      </c>
      <c r="L143" s="302">
        <f>L38*(BOM_average!K47*BOM_average!K53)/1000000</f>
        <v>238.69876423140252</v>
      </c>
      <c r="M143" s="302">
        <f>M38*(BOM_average!L47*BOM_average!L53)/1000000</f>
        <v>197.48996010957899</v>
      </c>
      <c r="N143" s="302">
        <f>N38*(BOM_average!M47*BOM_average!M53)/1000000</f>
        <v>201.57680002301456</v>
      </c>
      <c r="O143" s="302">
        <f>O38*(BOM_average!N47*BOM_average!N53)/1000000</f>
        <v>237.52465608233118</v>
      </c>
      <c r="P143" s="302">
        <f>P38*(BOM_average!O47*BOM_average!O53)/1000000</f>
        <v>268.85681558238588</v>
      </c>
      <c r="Q143" s="302">
        <f>Q38*(BOM_average!P47*BOM_average!P53)/1000000</f>
        <v>206.97137572377684</v>
      </c>
      <c r="R143" s="302">
        <f>R38*(BOM_average!Q47*BOM_average!Q53)/1000000</f>
        <v>190.90314912014503</v>
      </c>
      <c r="S143" s="302">
        <f>S38*(BOM_average!R47*BOM_average!R53)/1000000</f>
        <v>171.96885024655907</v>
      </c>
      <c r="T143" s="302">
        <f>T38*(BOM_average!S47*BOM_average!S53)/1000000</f>
        <v>159.96260626791423</v>
      </c>
      <c r="U143" s="302">
        <f>U38*(BOM_average!T47*BOM_average!T53)/1000000</f>
        <v>149.48555183889181</v>
      </c>
      <c r="V143" s="302">
        <f>V38*(BOM_average!U47*BOM_average!U53)/1000000</f>
        <v>141.4681832844648</v>
      </c>
      <c r="W143" s="302">
        <f>W38*(BOM_average!V47*BOM_average!V53)/1000000</f>
        <v>136.02377105266658</v>
      </c>
      <c r="X143" s="302">
        <f>X38*(BOM_average!W47*BOM_average!W53)/1000000</f>
        <v>132.79725733528377</v>
      </c>
      <c r="Y143" s="302">
        <f>Y38*(BOM_average!X47*BOM_average!X53)/1000000</f>
        <v>131.23318572382641</v>
      </c>
      <c r="Z143" s="302">
        <f>Z38*(BOM_average!Y47*BOM_average!Y53)/1000000</f>
        <v>130.7625858984315</v>
      </c>
      <c r="AA143" s="302">
        <f>AA38*(BOM_average!Z47*BOM_average!Z53)/1000000</f>
        <v>130.90804332625953</v>
      </c>
      <c r="AB143" s="302">
        <f>AB38*(BOM_average!AA47*BOM_average!AA53)/1000000</f>
        <v>131.32354797451791</v>
      </c>
    </row>
    <row r="144" spans="1:28">
      <c r="B144" s="294" t="s">
        <v>443</v>
      </c>
      <c r="C144" s="302">
        <f>C38*(BOM_average!B48*BOM_average!B53)/1000000</f>
        <v>24.218655440042628</v>
      </c>
      <c r="D144" s="302">
        <f>D38*(BOM_average!C48*BOM_average!C53)/1000000</f>
        <v>38.73635208767719</v>
      </c>
      <c r="E144" s="302">
        <f>E38*(BOM_average!D48*BOM_average!D53)/1000000</f>
        <v>36.836052837014556</v>
      </c>
      <c r="F144" s="302">
        <f>F38*(BOM_average!E48*BOM_average!E53)/1000000</f>
        <v>42.544878965785607</v>
      </c>
      <c r="G144" s="302">
        <f>G38*(BOM_average!F48*BOM_average!F53)/1000000</f>
        <v>153.67580817199533</v>
      </c>
      <c r="H144" s="302">
        <f>H38*(BOM_average!G48*BOM_average!G53)/1000000</f>
        <v>363.97949319057903</v>
      </c>
      <c r="I144" s="302">
        <f>I38*(BOM_average!H48*BOM_average!H53)/1000000</f>
        <v>594.96003416304779</v>
      </c>
      <c r="J144" s="302">
        <f>J38*(BOM_average!I48*BOM_average!I53)/1000000</f>
        <v>614.81891896528271</v>
      </c>
      <c r="K144" s="302">
        <f>K38*(BOM_average!J48*BOM_average!J53)/1000000</f>
        <v>569.76949463214225</v>
      </c>
      <c r="L144" s="302">
        <f>L38*(BOM_average!K48*BOM_average!K53)/1000000</f>
        <v>532.46055355937153</v>
      </c>
      <c r="M144" s="302">
        <f>M38*(BOM_average!L48*BOM_average!L53)/1000000</f>
        <v>440.53689938848316</v>
      </c>
      <c r="N144" s="302">
        <f>N38*(BOM_average!M48*BOM_average!M53)/1000000</f>
        <v>449.6533313466598</v>
      </c>
      <c r="O144" s="302">
        <f>O38*(BOM_average!N48*BOM_average!N53)/1000000</f>
        <v>529.84149402210869</v>
      </c>
      <c r="P144" s="302">
        <f>P38*(BOM_average!O48*BOM_average!O53)/1000000</f>
        <v>599.73351480960002</v>
      </c>
      <c r="Q144" s="302">
        <f>Q38*(BOM_average!P48*BOM_average!P53)/1000000</f>
        <v>461.68690333893551</v>
      </c>
      <c r="R144" s="302">
        <f>R38*(BOM_average!Q48*BOM_average!Q53)/1000000</f>
        <v>425.84383201162422</v>
      </c>
      <c r="S144" s="302">
        <f>S38*(BOM_average!R48*BOM_average!R53)/1000000</f>
        <v>383.60747066324893</v>
      </c>
      <c r="T144" s="302">
        <f>T38*(BOM_average!S48*BOM_average!S53)/1000000</f>
        <v>356.82538263852553</v>
      </c>
      <c r="U144" s="302">
        <f>U38*(BOM_average!T48*BOM_average!T53)/1000000</f>
        <v>333.45442712096434</v>
      </c>
      <c r="V144" s="302">
        <f>V38*(BOM_average!U48*BOM_average!U53)/1000000</f>
        <v>315.57024363000482</v>
      </c>
      <c r="W144" s="302">
        <f>W38*(BOM_average!V48*BOM_average!V53)/1000000</f>
        <v>303.42550228589641</v>
      </c>
      <c r="X144" s="302">
        <f>X38*(BOM_average!W48*BOM_average!W53)/1000000</f>
        <v>296.22818274569516</v>
      </c>
      <c r="Y144" s="302">
        <f>Y38*(BOM_average!X48*BOM_average!X53)/1000000</f>
        <v>292.73923952169201</v>
      </c>
      <c r="Z144" s="302">
        <f>Z38*(BOM_average!Y48*BOM_average!Y53)/1000000</f>
        <v>291.68948191468655</v>
      </c>
      <c r="AA144" s="302">
        <f>AA38*(BOM_average!Z48*BOM_average!Z53)/1000000</f>
        <v>292.01395088623747</v>
      </c>
      <c r="AB144" s="302">
        <f>AB38*(BOM_average!AA48*BOM_average!AA53)/1000000</f>
        <v>292.94080878485505</v>
      </c>
    </row>
    <row r="145" spans="2:28">
      <c r="B145" s="294" t="s">
        <v>445</v>
      </c>
      <c r="C145" s="302">
        <f>C38*(BOM_average!B49*BOM_average!B53)/1000000</f>
        <v>35.580892526692153</v>
      </c>
      <c r="D145" s="302">
        <f>D38*(BOM_average!C49*BOM_average!C53)/1000000</f>
        <v>56.909599458149074</v>
      </c>
      <c r="E145" s="302">
        <f>E38*(BOM_average!D49*BOM_average!D53)/1000000</f>
        <v>54.117770507373031</v>
      </c>
      <c r="F145" s="302">
        <f>F38*(BOM_average!E49*BOM_average!E53)/1000000</f>
        <v>62.50490535242028</v>
      </c>
      <c r="G145" s="302">
        <f>G38*(BOM_average!F49*BOM_average!F53)/1000000</f>
        <v>225.77316185273335</v>
      </c>
      <c r="H145" s="302">
        <f>H38*(BOM_average!G49*BOM_average!G53)/1000000</f>
        <v>534.74129731089135</v>
      </c>
      <c r="I145" s="302">
        <f>I38*(BOM_average!H49*BOM_average!H53)/1000000</f>
        <v>874.08688255384141</v>
      </c>
      <c r="J145" s="302">
        <f>J38*(BOM_average!I49*BOM_average!I53)/1000000</f>
        <v>903.2626081674116</v>
      </c>
      <c r="K145" s="302">
        <f>K38*(BOM_average!J49*BOM_average!J53)/1000000</f>
        <v>837.07814431246868</v>
      </c>
      <c r="L145" s="302">
        <f>L38*(BOM_average!K49*BOM_average!K53)/1000000</f>
        <v>782.2656289818234</v>
      </c>
      <c r="M145" s="302">
        <f>M38*(BOM_average!L49*BOM_average!L53)/1000000</f>
        <v>647.21578412927045</v>
      </c>
      <c r="N145" s="302">
        <f>N38*(BOM_average!M49*BOM_average!M53)/1000000</f>
        <v>660.60921080127616</v>
      </c>
      <c r="O145" s="302">
        <f>O38*(BOM_average!N49*BOM_average!N53)/1000000</f>
        <v>778.41783172705607</v>
      </c>
      <c r="P145" s="302">
        <f>P38*(BOM_average!O49*BOM_average!O53)/1000000</f>
        <v>881.09985246390499</v>
      </c>
      <c r="Q145" s="302">
        <f>Q38*(BOM_average!P49*BOM_average!P53)/1000000</f>
        <v>678.288360365519</v>
      </c>
      <c r="R145" s="302">
        <f>R38*(BOM_average!Q49*BOM_average!Q53)/1000000</f>
        <v>625.62943089352927</v>
      </c>
      <c r="S145" s="302">
        <f>S38*(BOM_average!R49*BOM_average!R53)/1000000</f>
        <v>563.57778489792361</v>
      </c>
      <c r="T145" s="302">
        <f>T38*(BOM_average!S49*BOM_average!S53)/1000000</f>
        <v>524.23081957991769</v>
      </c>
      <c r="U145" s="302">
        <f>U38*(BOM_average!T49*BOM_average!T53)/1000000</f>
        <v>489.89532731548906</v>
      </c>
      <c r="V145" s="302">
        <f>V38*(BOM_average!U49*BOM_average!U53)/1000000</f>
        <v>463.62073860866218</v>
      </c>
      <c r="W145" s="302">
        <f>W38*(BOM_average!V49*BOM_average!V53)/1000000</f>
        <v>445.77826433923036</v>
      </c>
      <c r="X145" s="302">
        <f>X38*(BOM_average!W49*BOM_average!W53)/1000000</f>
        <v>435.20430602539466</v>
      </c>
      <c r="Y145" s="302">
        <f>Y38*(BOM_average!X49*BOM_average!X53)/1000000</f>
        <v>430.07851718082748</v>
      </c>
      <c r="Z145" s="302">
        <f>Z38*(BOM_average!Y49*BOM_average!Y53)/1000000</f>
        <v>428.53626341342044</v>
      </c>
      <c r="AA145" s="302">
        <f>AA38*(BOM_average!Z49*BOM_average!Z53)/1000000</f>
        <v>429.01295773832129</v>
      </c>
      <c r="AB145" s="302">
        <f>AB38*(BOM_average!AA49*BOM_average!AA53)/1000000</f>
        <v>430.3746531206217</v>
      </c>
    </row>
    <row r="146" spans="2:28">
      <c r="B146" s="294" t="s">
        <v>6915</v>
      </c>
      <c r="C146" s="302">
        <f>C38*(BOM_average!B50*BOM_average!B53)/1000000</f>
        <v>0</v>
      </c>
      <c r="D146" s="302">
        <f>D38*(BOM_average!C50*BOM_average!C53)/1000000</f>
        <v>0</v>
      </c>
      <c r="E146" s="302">
        <f>E38*(BOM_average!D50*BOM_average!D53)/1000000</f>
        <v>0</v>
      </c>
      <c r="F146" s="302">
        <f>F38*(BOM_average!E50*BOM_average!E53)/1000000</f>
        <v>0</v>
      </c>
      <c r="G146" s="302">
        <f>G38*(BOM_average!F50*BOM_average!F53)/1000000</f>
        <v>0</v>
      </c>
      <c r="H146" s="302">
        <f>H38*(BOM_average!G50*BOM_average!G53)/1000000</f>
        <v>0</v>
      </c>
      <c r="I146" s="302">
        <f>I38*(BOM_average!H50*BOM_average!H53)/1000000</f>
        <v>0</v>
      </c>
      <c r="J146" s="302">
        <f>J38*(BOM_average!I50*BOM_average!I53)/1000000</f>
        <v>0</v>
      </c>
      <c r="K146" s="302">
        <f>K38*(BOM_average!J50*BOM_average!J53)/1000000</f>
        <v>0</v>
      </c>
      <c r="L146" s="302">
        <f>L38*(BOM_average!K50*BOM_average!K53)/1000000</f>
        <v>0</v>
      </c>
      <c r="M146" s="302">
        <f>M38*(BOM_average!L50*BOM_average!L53)/1000000</f>
        <v>0</v>
      </c>
      <c r="N146" s="302">
        <f>N38*(BOM_average!M50*BOM_average!M53)/1000000</f>
        <v>0</v>
      </c>
      <c r="O146" s="302">
        <f>O38*(BOM_average!N50*BOM_average!N53)/1000000</f>
        <v>0</v>
      </c>
      <c r="P146" s="302">
        <f>P38*(BOM_average!O50*BOM_average!O53)/1000000</f>
        <v>0</v>
      </c>
      <c r="Q146" s="302">
        <f>Q38*(BOM_average!P50*BOM_average!P53)/1000000</f>
        <v>0</v>
      </c>
      <c r="R146" s="302">
        <f>R38*(BOM_average!Q50*BOM_average!Q53)/1000000</f>
        <v>0</v>
      </c>
      <c r="S146" s="302">
        <f>S38*(BOM_average!R50*BOM_average!R53)/1000000</f>
        <v>0</v>
      </c>
      <c r="T146" s="302">
        <f>T38*(BOM_average!S50*BOM_average!S53)/1000000</f>
        <v>0</v>
      </c>
      <c r="U146" s="302">
        <f>U38*(BOM_average!T50*BOM_average!T53)/1000000</f>
        <v>0</v>
      </c>
      <c r="V146" s="302">
        <f>V38*(BOM_average!U50*BOM_average!U53)/1000000</f>
        <v>0</v>
      </c>
      <c r="W146" s="302">
        <f>W38*(BOM_average!V50*BOM_average!V53)/1000000</f>
        <v>0</v>
      </c>
      <c r="X146" s="302">
        <f>X38*(BOM_average!W50*BOM_average!W53)/1000000</f>
        <v>0</v>
      </c>
      <c r="Y146" s="302">
        <f>Y38*(BOM_average!X50*BOM_average!X53)/1000000</f>
        <v>0</v>
      </c>
      <c r="Z146" s="302">
        <f>Z38*(BOM_average!Y50*BOM_average!Y53)/1000000</f>
        <v>0</v>
      </c>
      <c r="AA146" s="302">
        <f>AA38*(BOM_average!Z50*BOM_average!Z53)/1000000</f>
        <v>0</v>
      </c>
      <c r="AB146" s="302">
        <f>AB38*(BOM_average!AA50*BOM_average!AA53)/1000000</f>
        <v>0</v>
      </c>
    </row>
    <row r="147" spans="2:28" ht="17" thickBot="1">
      <c r="B147" s="297" t="s">
        <v>447</v>
      </c>
      <c r="C147" s="302">
        <f>C38*(BOM_average!B51*BOM_average!B53)/1000000</f>
        <v>1.027191490810186</v>
      </c>
      <c r="D147" s="302">
        <f>D38*(BOM_average!C51*BOM_average!C53)/1000000</f>
        <v>1.6429339501524098</v>
      </c>
      <c r="E147" s="302">
        <f>E38*(BOM_average!D51*BOM_average!D53)/1000000</f>
        <v>1.5623361141120871</v>
      </c>
      <c r="F147" s="302">
        <f>F38*(BOM_average!E51*BOM_average!E53)/1000000</f>
        <v>1.8044658903296786</v>
      </c>
      <c r="G147" s="302">
        <f>G38*(BOM_average!F51*BOM_average!F53)/1000000</f>
        <v>6.5178879516432051</v>
      </c>
      <c r="H147" s="302">
        <f>H38*(BOM_average!G51*BOM_average!G53)/1000000</f>
        <v>15.437547272612287</v>
      </c>
      <c r="I147" s="302">
        <f>I38*(BOM_average!H51*BOM_average!H53)/1000000</f>
        <v>25.234178915398303</v>
      </c>
      <c r="J147" s="302">
        <f>J38*(BOM_average!I51*BOM_average!I53)/1000000</f>
        <v>26.076458435677054</v>
      </c>
      <c r="K147" s="302">
        <f>K38*(BOM_average!J51*BOM_average!J53)/1000000</f>
        <v>24.165766677604061</v>
      </c>
      <c r="L147" s="302">
        <f>L38*(BOM_average!K51*BOM_average!K53)/1000000</f>
        <v>22.583373844279148</v>
      </c>
      <c r="M147" s="302">
        <f>M38*(BOM_average!L51*BOM_average!L53)/1000000</f>
        <v>18.684594425980087</v>
      </c>
      <c r="N147" s="302">
        <f>N38*(BOM_average!M51*BOM_average!M53)/1000000</f>
        <v>19.071251784278612</v>
      </c>
      <c r="O147" s="302">
        <f>O38*(BOM_average!N51*BOM_average!N53)/1000000</f>
        <v>22.472291060296289</v>
      </c>
      <c r="P147" s="302">
        <f>P38*(BOM_average!O51*BOM_average!O53)/1000000</f>
        <v>25.436637665175905</v>
      </c>
      <c r="Q147" s="302">
        <f>Q38*(BOM_average!P51*BOM_average!P53)/1000000</f>
        <v>19.581634484305813</v>
      </c>
      <c r="R147" s="302">
        <f>R38*(BOM_average!Q51*BOM_average!Q53)/1000000</f>
        <v>18.061413926931557</v>
      </c>
      <c r="S147" s="302">
        <f>S38*(BOM_average!R51*BOM_average!R53)/1000000</f>
        <v>16.270033266380775</v>
      </c>
      <c r="T147" s="302">
        <f>T38*(BOM_average!S51*BOM_average!S53)/1000000</f>
        <v>15.1341183105224</v>
      </c>
      <c r="U147" s="302">
        <f>U38*(BOM_average!T51*BOM_average!T53)/1000000</f>
        <v>14.142880514552502</v>
      </c>
      <c r="V147" s="302">
        <f>V38*(BOM_average!U51*BOM_average!U53)/1000000</f>
        <v>13.384354462291638</v>
      </c>
      <c r="W147" s="302">
        <f>W38*(BOM_average!V51*BOM_average!V53)/1000000</f>
        <v>12.869256710575289</v>
      </c>
      <c r="X147" s="302">
        <f>X38*(BOM_average!W51*BOM_average!W53)/1000000</f>
        <v>12.5639951155772</v>
      </c>
      <c r="Y147" s="302">
        <f>Y38*(BOM_average!X51*BOM_average!X53)/1000000</f>
        <v>12.41601775157827</v>
      </c>
      <c r="Z147" s="302">
        <f>Z38*(BOM_average!Y51*BOM_average!Y53)/1000000</f>
        <v>12.371494136962307</v>
      </c>
      <c r="AA147" s="302">
        <f>AA38*(BOM_average!Z51*BOM_average!Z53)/1000000</f>
        <v>12.385255915250706</v>
      </c>
      <c r="AB147" s="302">
        <f>AB38*(BOM_average!AA51*BOM_average!AA53)/1000000</f>
        <v>12.424566955824663</v>
      </c>
    </row>
    <row r="148" spans="2:28">
      <c r="B148" s="296" t="s">
        <v>7797</v>
      </c>
      <c r="C148" s="304">
        <f>C38*(BOM_average!B53)/1000000</f>
        <v>163.36812599646331</v>
      </c>
      <c r="D148" s="304">
        <f>D38*(BOM_average!C53)/1000000</f>
        <v>261.29795950769233</v>
      </c>
      <c r="E148" s="304">
        <f>E38*(BOM_average!D53)/1000000</f>
        <v>248.47939787524311</v>
      </c>
      <c r="F148" s="304">
        <f>F38*(BOM_average!E53)/1000000</f>
        <v>286.98856402634834</v>
      </c>
      <c r="G148" s="304">
        <f>G38*(BOM_average!F53)/1000000</f>
        <v>1036.6276878666665</v>
      </c>
      <c r="H148" s="304">
        <f>H38*(BOM_average!G53)/1000000</f>
        <v>2455.2414914567489</v>
      </c>
      <c r="I148" s="304">
        <f>I38*(BOM_average!H53)/1000000</f>
        <v>4013.3320392057985</v>
      </c>
      <c r="J148" s="304">
        <f>J38*(BOM_average!I53)/1000000</f>
        <v>4147.2911189141087</v>
      </c>
      <c r="K148" s="304">
        <f>K38*(BOM_average!J53)/1000000</f>
        <v>3843.4080214917662</v>
      </c>
      <c r="L148" s="304">
        <f>L38*(BOM_average!K53)/1000000</f>
        <v>3591.7387328700061</v>
      </c>
      <c r="M148" s="304">
        <f>M38*(BOM_average!L53)/1000000</f>
        <v>2971.6632231529989</v>
      </c>
      <c r="N148" s="304">
        <f>N38*(BOM_average!M53)/1000000</f>
        <v>3033.158561259967</v>
      </c>
      <c r="O148" s="304">
        <f>O38*(BOM_average!N53)/1000000</f>
        <v>3574.0717385343769</v>
      </c>
      <c r="P148" s="304">
        <f>P38*(BOM_average!O53)/1000000</f>
        <v>4045.531786612843</v>
      </c>
      <c r="Q148" s="304">
        <f>Q38*(BOM_average!P53)/1000000</f>
        <v>3114.331610287752</v>
      </c>
      <c r="R148" s="304">
        <f>R38*(BOM_average!Q53)/1000000</f>
        <v>2872.5504178017786</v>
      </c>
      <c r="S148" s="304">
        <f>S38*(BOM_average!R53)/1000000</f>
        <v>2587.6429744684428</v>
      </c>
      <c r="T148" s="304">
        <f>T38*(BOM_average!S53)/1000000</f>
        <v>2406.9830884684429</v>
      </c>
      <c r="U148" s="304">
        <f>U38*(BOM_average!T53)/1000000</f>
        <v>2249.3331638017762</v>
      </c>
      <c r="V148" s="304">
        <f>V38*(BOM_average!U53)/1000000</f>
        <v>2128.694528468443</v>
      </c>
      <c r="W148" s="304">
        <f>W38*(BOM_average!V53)/1000000</f>
        <v>2046.77158113511</v>
      </c>
      <c r="X148" s="304">
        <f>X38*(BOM_average!W53)/1000000</f>
        <v>1998.2217098017763</v>
      </c>
      <c r="Y148" s="304">
        <f>Y38*(BOM_average!X53)/1000000</f>
        <v>1974.6868724684432</v>
      </c>
      <c r="Z148" s="304">
        <f>Z38*(BOM_average!Y53)/1000000</f>
        <v>1967.60568113511</v>
      </c>
      <c r="AA148" s="304">
        <f>AA38*(BOM_average!Z53)/1000000</f>
        <v>1969.7944024684432</v>
      </c>
      <c r="AB148" s="304">
        <f>AB38*(BOM_average!AA53)/1000000</f>
        <v>1976.0465678017767</v>
      </c>
    </row>
    <row r="149" spans="2:28">
      <c r="B149" s="295" t="s">
        <v>7798</v>
      </c>
      <c r="C149" s="302">
        <f>C38*(BOM_average!B54)/1000000</f>
        <v>193.3910140535809</v>
      </c>
      <c r="D149" s="302">
        <f>D38*(BOM_average!C54)/1000000</f>
        <v>309.31784918937063</v>
      </c>
      <c r="E149" s="302">
        <f>E38*(BOM_average!D54)/1000000</f>
        <v>294.14356339961171</v>
      </c>
      <c r="F149" s="302">
        <f>F38*(BOM_average!E54)/1000000</f>
        <v>339.72973051082232</v>
      </c>
      <c r="G149" s="302">
        <f>G38*(BOM_average!F54)/1000000</f>
        <v>1227.1333745781817</v>
      </c>
      <c r="H149" s="302">
        <f>H38*(BOM_average!G54)/1000000</f>
        <v>2906.4521545012176</v>
      </c>
      <c r="I149" s="302">
        <f>I38*(BOM_average!H54)/1000000</f>
        <v>4750.8799410023075</v>
      </c>
      <c r="J149" s="302">
        <f>J38*(BOM_average!I54)/1000000</f>
        <v>4909.4572773612699</v>
      </c>
      <c r="K149" s="302">
        <f>K38*(BOM_average!J54)/1000000</f>
        <v>4549.7282298142463</v>
      </c>
      <c r="L149" s="302">
        <f>L38*(BOM_average!K54)/1000000</f>
        <v>4251.8085552397879</v>
      </c>
      <c r="M149" s="302">
        <f>M38*(BOM_average!L54)/1000000</f>
        <v>3517.7790076610931</v>
      </c>
      <c r="N149" s="302">
        <f>N38*(BOM_average!M54)/1000000</f>
        <v>3590.5756179149917</v>
      </c>
      <c r="O149" s="302">
        <f>O38*(BOM_average!N54)/1000000</f>
        <v>4230.8948186770012</v>
      </c>
      <c r="P149" s="302">
        <f>P38*(BOM_average!O54)/1000000</f>
        <v>4788.9971793885288</v>
      </c>
      <c r="Q149" s="302">
        <f>Q38*(BOM_average!P54)/1000000</f>
        <v>3686.6661996582402</v>
      </c>
      <c r="R149" s="302">
        <f>R38*(BOM_average!Q54)/1000000</f>
        <v>3400.4518006820363</v>
      </c>
      <c r="S149" s="302">
        <f>S38*(BOM_average!R54)/1000000</f>
        <v>3063.185647682034</v>
      </c>
      <c r="T149" s="302">
        <f>T38*(BOM_average!S54)/1000000</f>
        <v>2849.3250898820343</v>
      </c>
      <c r="U149" s="302">
        <f>U38*(BOM_average!T54)/1000000</f>
        <v>2662.7031364820341</v>
      </c>
      <c r="V149" s="302">
        <f>V38*(BOM_average!U54)/1000000</f>
        <v>2519.8942018820344</v>
      </c>
      <c r="W149" s="302">
        <f>W38*(BOM_average!V54)/1000000</f>
        <v>2422.915909682034</v>
      </c>
      <c r="X149" s="302">
        <f>X38*(BOM_average!W54)/1000000</f>
        <v>2365.4438122820338</v>
      </c>
      <c r="Y149" s="302">
        <f>Y38*(BOM_average!X54)/1000000</f>
        <v>2337.5838730820342</v>
      </c>
      <c r="Z149" s="302">
        <f>Z38*(BOM_average!Y54)/1000000</f>
        <v>2329.2013396820339</v>
      </c>
      <c r="AA149" s="302">
        <f>AA38*(BOM_average!Z54)/1000000</f>
        <v>2331.7922920820342</v>
      </c>
      <c r="AB149" s="302">
        <f>AB38*(BOM_average!AA54)/1000000</f>
        <v>2339.1934456820341</v>
      </c>
    </row>
    <row r="150" spans="2:28">
      <c r="B150" s="295" t="s">
        <v>7799</v>
      </c>
      <c r="C150" s="302">
        <f>C38*(BOM_average!B55)/1000000</f>
        <v>138.71251066339522</v>
      </c>
      <c r="D150" s="302">
        <f>D38*(BOM_average!C55)/1000000</f>
        <v>221.86271510097902</v>
      </c>
      <c r="E150" s="302">
        <f>E38*(BOM_average!D55)/1000000</f>
        <v>210.97873846058474</v>
      </c>
      <c r="F150" s="302">
        <f>F38*(BOM_average!E55)/1000000</f>
        <v>243.67607821270556</v>
      </c>
      <c r="G150" s="302">
        <f>G38*(BOM_average!F55)/1000000</f>
        <v>880.17921690727269</v>
      </c>
      <c r="H150" s="302">
        <f>H38*(BOM_average!G55)/1000000</f>
        <v>2084.6949763767116</v>
      </c>
      <c r="I150" s="302">
        <f>I38*(BOM_average!H55)/1000000</f>
        <v>3407.6375663153035</v>
      </c>
      <c r="J150" s="302">
        <f>J38*(BOM_average!I55)/1000000</f>
        <v>3521.379461554402</v>
      </c>
      <c r="K150" s="302">
        <f>K38*(BOM_average!J55)/1000000</f>
        <v>3263.3585830353281</v>
      </c>
      <c r="L150" s="302">
        <f>L38*(BOM_average!K55)/1000000</f>
        <v>3049.6713740484856</v>
      </c>
      <c r="M150" s="302">
        <f>M38*(BOM_average!L55)/1000000</f>
        <v>2523.1780313043041</v>
      </c>
      <c r="N150" s="302">
        <f>N38*(BOM_average!M55)/1000000</f>
        <v>2575.3924561860376</v>
      </c>
      <c r="O150" s="302">
        <f>O38*(BOM_average!N55)/1000000</f>
        <v>3034.6706930697246</v>
      </c>
      <c r="P150" s="302">
        <f>P38*(BOM_average!O55)/1000000</f>
        <v>3434.9777085757037</v>
      </c>
      <c r="Q150" s="302">
        <f>Q38*(BOM_average!P55)/1000000</f>
        <v>2644.314820081494</v>
      </c>
      <c r="R150" s="302">
        <f>R38*(BOM_average!Q55)/1000000</f>
        <v>2439.0233898446982</v>
      </c>
      <c r="S150" s="302">
        <f>S38*(BOM_average!R55)/1000000</f>
        <v>2197.1143483446958</v>
      </c>
      <c r="T150" s="302">
        <f>T38*(BOM_average!S55)/1000000</f>
        <v>2043.7197604446962</v>
      </c>
      <c r="U150" s="302">
        <f>U38*(BOM_average!T55)/1000000</f>
        <v>1909.8624567446961</v>
      </c>
      <c r="V150" s="302">
        <f>V38*(BOM_average!U55)/1000000</f>
        <v>1807.4306764446962</v>
      </c>
      <c r="W150" s="302">
        <f>W38*(BOM_average!V55)/1000000</f>
        <v>1737.8715893446961</v>
      </c>
      <c r="X150" s="302">
        <f>X38*(BOM_average!W55)/1000000</f>
        <v>1696.6488936446963</v>
      </c>
      <c r="Y150" s="302">
        <f>Y38*(BOM_average!X55)/1000000</f>
        <v>1676.6659480446961</v>
      </c>
      <c r="Z150" s="302">
        <f>Z38*(BOM_average!Y55)/1000000</f>
        <v>1670.653454344696</v>
      </c>
      <c r="AA150" s="302">
        <f>AA38*(BOM_average!Z55)/1000000</f>
        <v>1672.511852544696</v>
      </c>
      <c r="AB150" s="302">
        <f>AB38*(BOM_average!AA55)/1000000</f>
        <v>1677.8204373446961</v>
      </c>
    </row>
    <row r="152" spans="2:28">
      <c r="B152" s="291" t="s">
        <v>7795</v>
      </c>
    </row>
    <row r="153" spans="2:28">
      <c r="B153" s="294" t="s">
        <v>437</v>
      </c>
      <c r="C153" s="299">
        <f>C5*(BOM_average!B42*BOM_average!B53)/1000000</f>
        <v>15.243014935216967</v>
      </c>
      <c r="D153" s="299">
        <f>D5*(BOM_average!C42*BOM_average!C53)/1000000</f>
        <v>38.481172037129163</v>
      </c>
      <c r="E153" s="299">
        <f>E5*(BOM_average!D42*BOM_average!D53)/1000000</f>
        <v>57.775110848727195</v>
      </c>
      <c r="F153" s="299">
        <f>F5*(BOM_average!E42*BOM_average!E53)/1000000</f>
        <v>77.180267826299058</v>
      </c>
      <c r="G153" s="299">
        <f>G5*(BOM_average!F42*BOM_average!F53)/1000000</f>
        <v>162.77197961923403</v>
      </c>
      <c r="H153" s="299">
        <f>H5*(BOM_average!G42*BOM_average!G53)/1000000</f>
        <v>371.8627413694432</v>
      </c>
      <c r="I153" s="299">
        <f>I5*(BOM_average!H42*BOM_average!H53)/1000000</f>
        <v>703.78432419610965</v>
      </c>
      <c r="J153" s="299">
        <f>J5*(BOM_average!I42*BOM_average!I53)/1000000</f>
        <v>1006.1092545323157</v>
      </c>
      <c r="K153" s="299">
        <f>K5*(BOM_average!J42*BOM_average!J53)/1000000</f>
        <v>1226.880159306294</v>
      </c>
      <c r="L153" s="299">
        <f>L5*(BOM_average!K42*BOM_average!K53)/1000000</f>
        <v>1372.2906279175249</v>
      </c>
      <c r="M153" s="299">
        <f>M5*(BOM_average!L42*BOM_average!L53)/1000000</f>
        <v>1416.5589716138441</v>
      </c>
      <c r="N153" s="299">
        <f>N5*(BOM_average!M42*BOM_average!M53)/1000000</f>
        <v>1437.4965955499115</v>
      </c>
      <c r="O153" s="299">
        <f>O5*(BOM_average!N42*BOM_average!N53)/1000000</f>
        <v>1491.8694912368585</v>
      </c>
      <c r="P153" s="299">
        <f>P5*(BOM_average!O42*BOM_average!O53)/1000000</f>
        <v>1577.5787985657296</v>
      </c>
      <c r="Q153" s="299">
        <f>Q5*(BOM_average!P42*BOM_average!P53)/1000000</f>
        <v>1562.7533308617778</v>
      </c>
      <c r="R153" s="299">
        <f>R5*(BOM_average!Q42*BOM_average!Q53)/1000000</f>
        <v>1527.9734277411746</v>
      </c>
      <c r="S153" s="299">
        <f>S5*(BOM_average!R42*BOM_average!R53)/1000000</f>
        <v>1483.4089526633829</v>
      </c>
      <c r="T153" s="299">
        <f>T5*(BOM_average!S42*BOM_average!S53)/1000000</f>
        <v>1443.8571700213715</v>
      </c>
      <c r="U153" s="299">
        <f>U5*(BOM_average!T42*BOM_average!T53)/1000000</f>
        <v>1411.2505831825308</v>
      </c>
      <c r="V153" s="299">
        <f>V5*(BOM_average!U42*BOM_average!U53)/1000000</f>
        <v>1385.8800054979997</v>
      </c>
      <c r="W153" s="299">
        <f>W5*(BOM_average!V42*BOM_average!V53)/1000000</f>
        <v>1367.0801338588899</v>
      </c>
      <c r="X153" s="299">
        <f>X5*(BOM_average!W42*BOM_average!W53)/1000000</f>
        <v>1353.7363098797314</v>
      </c>
      <c r="Y153" s="299">
        <f>Y5*(BOM_average!X42*BOM_average!X53)/1000000</f>
        <v>1344.6277661400561</v>
      </c>
      <c r="Z153" s="299">
        <f>Z5*(BOM_average!Y42*BOM_average!Y53)/1000000</f>
        <v>1338.630600930408</v>
      </c>
      <c r="AA153" s="299">
        <f>AA5*(BOM_average!Z42*BOM_average!Z53)/1000000</f>
        <v>1334.8132385456704</v>
      </c>
      <c r="AB153" s="299">
        <f>AB5*(BOM_average!AA42*BOM_average!AA53)/1000000</f>
        <v>1332.459780840401</v>
      </c>
    </row>
    <row r="154" spans="2:28">
      <c r="B154" s="294" t="s">
        <v>217</v>
      </c>
      <c r="C154" s="299">
        <f>C5*(BOM_average!B43*BOM_average!B53)/1000000</f>
        <v>0.70972617234927715</v>
      </c>
      <c r="D154" s="299">
        <f>D5*(BOM_average!C43*BOM_average!C53)/1000000</f>
        <v>1.7917121418235349</v>
      </c>
      <c r="E154" s="299">
        <f>E5*(BOM_average!D43*BOM_average!D53)/1000000</f>
        <v>2.6900523586699947</v>
      </c>
      <c r="F154" s="299">
        <f>F5*(BOM_average!E43*BOM_average!E53)/1000000</f>
        <v>3.5935709764802919</v>
      </c>
      <c r="G154" s="299">
        <f>G5*(BOM_average!F43*BOM_average!F53)/1000000</f>
        <v>7.5787850731531936</v>
      </c>
      <c r="H154" s="299">
        <f>H5*(BOM_average!G43*BOM_average!G53)/1000000</f>
        <v>17.314207274158758</v>
      </c>
      <c r="I154" s="299">
        <f>I5*(BOM_average!H43*BOM_average!H53)/1000000</f>
        <v>32.768724343181781</v>
      </c>
      <c r="J154" s="299">
        <f>J5*(BOM_average!I43*BOM_average!I53)/1000000</f>
        <v>46.845199143291488</v>
      </c>
      <c r="K154" s="299">
        <f>K5*(BOM_average!J43*BOM_average!J53)/1000000</f>
        <v>57.124457536545314</v>
      </c>
      <c r="L154" s="299">
        <f>L5*(BOM_average!K43*BOM_average!K53)/1000000</f>
        <v>63.894877676233683</v>
      </c>
      <c r="M154" s="299">
        <f>M5*(BOM_average!L43*BOM_average!L53)/1000000</f>
        <v>65.956044857487498</v>
      </c>
      <c r="N154" s="299">
        <f>N5*(BOM_average!M43*BOM_average!M53)/1000000</f>
        <v>66.930916282687093</v>
      </c>
      <c r="O154" s="299">
        <f>O5*(BOM_average!N43*BOM_average!N53)/1000000</f>
        <v>69.462558959641157</v>
      </c>
      <c r="P154" s="299">
        <f>P5*(BOM_average!O43*BOM_average!O53)/1000000</f>
        <v>73.4532483923916</v>
      </c>
      <c r="Q154" s="299">
        <f>Q5*(BOM_average!P43*BOM_average!P53)/1000000</f>
        <v>72.762963531323607</v>
      </c>
      <c r="R154" s="299">
        <f>R5*(BOM_average!Q43*BOM_average!Q53)/1000000</f>
        <v>71.143585237634824</v>
      </c>
      <c r="S154" s="299">
        <f>S5*(BOM_average!R43*BOM_average!R53)/1000000</f>
        <v>69.068629957846824</v>
      </c>
      <c r="T154" s="299">
        <f>T5*(BOM_average!S43*BOM_average!S53)/1000000</f>
        <v>67.22706938578105</v>
      </c>
      <c r="U154" s="299">
        <f>U5*(BOM_average!T43*BOM_average!T53)/1000000</f>
        <v>65.708882323125948</v>
      </c>
      <c r="V154" s="299">
        <f>V5*(BOM_average!U43*BOM_average!U53)/1000000</f>
        <v>64.527609256947187</v>
      </c>
      <c r="W154" s="299">
        <f>W5*(BOM_average!V43*BOM_average!V53)/1000000</f>
        <v>63.652273177058134</v>
      </c>
      <c r="X154" s="299">
        <f>X5*(BOM_average!W43*BOM_average!W53)/1000000</f>
        <v>63.03097475561853</v>
      </c>
      <c r="Y154" s="299">
        <f>Y5*(BOM_average!X43*BOM_average!X53)/1000000</f>
        <v>62.606874148782538</v>
      </c>
      <c r="Z154" s="299">
        <f>Z5*(BOM_average!Y43*BOM_average!Y53)/1000000</f>
        <v>62.327641652634007</v>
      </c>
      <c r="AA154" s="299">
        <f>AA5*(BOM_average!Z43*BOM_average!Z53)/1000000</f>
        <v>62.149902405818054</v>
      </c>
      <c r="AB154" s="299">
        <f>AB5*(BOM_average!AA43*BOM_average!AA53)/1000000</f>
        <v>62.040323655416927</v>
      </c>
    </row>
    <row r="155" spans="2:28">
      <c r="B155" s="294" t="s">
        <v>313</v>
      </c>
      <c r="C155" s="299">
        <f>C5*(BOM_average!B44*BOM_average!B53)/1000000</f>
        <v>6.6447888393676688</v>
      </c>
      <c r="D155" s="299">
        <f>D5*(BOM_average!C44*BOM_average!C53)/1000000</f>
        <v>16.774848254418739</v>
      </c>
      <c r="E155" s="299">
        <f>E5*(BOM_average!D44*BOM_average!D53)/1000000</f>
        <v>25.185530119365986</v>
      </c>
      <c r="F155" s="299">
        <f>F5*(BOM_average!E44*BOM_average!E53)/1000000</f>
        <v>33.644694599539854</v>
      </c>
      <c r="G155" s="299">
        <f>G5*(BOM_average!F44*BOM_average!F53)/1000000</f>
        <v>70.956135523872518</v>
      </c>
      <c r="H155" s="299">
        <f>H5*(BOM_average!G44*BOM_average!G53)/1000000</f>
        <v>162.10371794096596</v>
      </c>
      <c r="I155" s="299">
        <f>I5*(BOM_average!H44*BOM_average!H53)/1000000</f>
        <v>306.79614515995763</v>
      </c>
      <c r="J155" s="299">
        <f>J5*(BOM_average!I44*BOM_average!I53)/1000000</f>
        <v>438.5866952249167</v>
      </c>
      <c r="K155" s="299">
        <f>K5*(BOM_average!J44*BOM_average!J53)/1000000</f>
        <v>534.82592678992557</v>
      </c>
      <c r="L155" s="299">
        <f>L5*(BOM_average!K44*BOM_average!K53)/1000000</f>
        <v>598.21377119351541</v>
      </c>
      <c r="M155" s="299">
        <f>M5*(BOM_average!L44*BOM_average!L53)/1000000</f>
        <v>617.51138373150422</v>
      </c>
      <c r="N155" s="299">
        <f>N5*(BOM_average!M44*BOM_average!M53)/1000000</f>
        <v>626.63858661390952</v>
      </c>
      <c r="O155" s="299">
        <f>O5*(BOM_average!N44*BOM_average!N53)/1000000</f>
        <v>650.34101109884523</v>
      </c>
      <c r="P155" s="299">
        <f>P5*(BOM_average!O44*BOM_average!O53)/1000000</f>
        <v>687.70371468401436</v>
      </c>
      <c r="Q155" s="299">
        <f>Q5*(BOM_average!P44*BOM_average!P53)/1000000</f>
        <v>681.24094450657208</v>
      </c>
      <c r="R155" s="299">
        <f>R5*(BOM_average!Q44*BOM_average!Q53)/1000000</f>
        <v>666.07956645424645</v>
      </c>
      <c r="S155" s="299">
        <f>S5*(BOM_average!R44*BOM_average!R53)/1000000</f>
        <v>646.65286327986064</v>
      </c>
      <c r="T155" s="299">
        <f>T5*(BOM_average!S44*BOM_average!S53)/1000000</f>
        <v>629.41131067404797</v>
      </c>
      <c r="U155" s="299">
        <f>U5*(BOM_average!T44*BOM_average!T53)/1000000</f>
        <v>615.19733232150895</v>
      </c>
      <c r="V155" s="299">
        <f>V5*(BOM_average!U44*BOM_average!U53)/1000000</f>
        <v>604.13770060409865</v>
      </c>
      <c r="W155" s="299">
        <f>W5*(BOM_average!V44*BOM_average!V53)/1000000</f>
        <v>595.9423942437744</v>
      </c>
      <c r="X155" s="299">
        <f>X5*(BOM_average!W44*BOM_average!W53)/1000000</f>
        <v>590.12550742525229</v>
      </c>
      <c r="Y155" s="299">
        <f>Y5*(BOM_average!X44*BOM_average!X53)/1000000</f>
        <v>586.15487890841928</v>
      </c>
      <c r="Z155" s="299">
        <f>Z5*(BOM_average!Y44*BOM_average!Y53)/1000000</f>
        <v>583.54057349559389</v>
      </c>
      <c r="AA155" s="299">
        <f>AA5*(BOM_average!Z44*BOM_average!Z53)/1000000</f>
        <v>581.87649541932547</v>
      </c>
      <c r="AB155" s="299">
        <f>AB5*(BOM_average!AA44*BOM_average!AA53)/1000000</f>
        <v>580.85056783476557</v>
      </c>
    </row>
    <row r="156" spans="2:28">
      <c r="B156" s="294" t="s">
        <v>6911</v>
      </c>
      <c r="C156" s="299">
        <f>C5*(BOM_average!B45*BOM_average!B53)/1000000</f>
        <v>31.857418002626652</v>
      </c>
      <c r="D156" s="299">
        <f>D5*(BOM_average!C45*BOM_average!C53)/1000000</f>
        <v>80.424429683231992</v>
      </c>
      <c r="E156" s="299">
        <f>E5*(BOM_average!D45*BOM_average!D53)/1000000</f>
        <v>120.74815017097495</v>
      </c>
      <c r="F156" s="299">
        <f>F5*(BOM_average!E45*BOM_average!E53)/1000000</f>
        <v>161.30431309992602</v>
      </c>
      <c r="G156" s="299">
        <f>G5*(BOM_average!F45*BOM_average!F53)/1000000</f>
        <v>340.18827744271022</v>
      </c>
      <c r="H156" s="299">
        <f>H5*(BOM_average!G45*BOM_average!G53)/1000000</f>
        <v>777.1813412082297</v>
      </c>
      <c r="I156" s="299">
        <f>I5*(BOM_average!H45*BOM_average!H53)/1000000</f>
        <v>1470.886927218801</v>
      </c>
      <c r="J156" s="299">
        <f>J5*(BOM_average!I45*BOM_average!I53)/1000000</f>
        <v>2102.7364477545107</v>
      </c>
      <c r="K156" s="299">
        <f>K5*(BOM_average!J45*BOM_average!J53)/1000000</f>
        <v>2564.1406401727349</v>
      </c>
      <c r="L156" s="299">
        <f>L5*(BOM_average!K45*BOM_average!K53)/1000000</f>
        <v>2868.0439099781884</v>
      </c>
      <c r="M156" s="299">
        <f>M5*(BOM_average!L45*BOM_average!L53)/1000000</f>
        <v>2960.5633449725956</v>
      </c>
      <c r="N156" s="299">
        <f>N5*(BOM_average!M45*BOM_average!M53)/1000000</f>
        <v>3004.3223152647552</v>
      </c>
      <c r="O156" s="299">
        <f>O5*(BOM_average!N45*BOM_average!N53)/1000000</f>
        <v>3117.9599435997056</v>
      </c>
      <c r="P156" s="299">
        <f>P5*(BOM_average!O45*BOM_average!O53)/1000000</f>
        <v>3297.0896788847531</v>
      </c>
      <c r="Q156" s="299">
        <f>Q5*(BOM_average!P45*BOM_average!P53)/1000000</f>
        <v>3266.1049213589931</v>
      </c>
      <c r="R156" s="299">
        <f>R5*(BOM_average!Q45*BOM_average!Q53)/1000000</f>
        <v>3193.416026379035</v>
      </c>
      <c r="S156" s="299">
        <f>S5*(BOM_average!R45*BOM_average!R53)/1000000</f>
        <v>3100.2776861848788</v>
      </c>
      <c r="T156" s="299">
        <f>T5*(BOM_average!S45*BOM_average!S53)/1000000</f>
        <v>3017.6157142763896</v>
      </c>
      <c r="U156" s="299">
        <f>U5*(BOM_average!T45*BOM_average!T53)/1000000</f>
        <v>2949.4689814299909</v>
      </c>
      <c r="V156" s="299">
        <f>V5*(BOM_average!U45*BOM_average!U53)/1000000</f>
        <v>2896.4452783306192</v>
      </c>
      <c r="W156" s="299">
        <f>W5*(BOM_average!V45*BOM_average!V53)/1000000</f>
        <v>2857.1541425711757</v>
      </c>
      <c r="X156" s="299">
        <f>X5*(BOM_average!W45*BOM_average!W53)/1000000</f>
        <v>2829.2659734613103</v>
      </c>
      <c r="Y156" s="299">
        <f>Y5*(BOM_average!X45*BOM_average!X53)/1000000</f>
        <v>2810.2294057912472</v>
      </c>
      <c r="Z156" s="299">
        <f>Z5*(BOM_average!Y45*BOM_average!Y53)/1000000</f>
        <v>2797.6955206165262</v>
      </c>
      <c r="AA156" s="299">
        <f>AA5*(BOM_average!Z45*BOM_average!Z53)/1000000</f>
        <v>2789.7173542449164</v>
      </c>
      <c r="AB156" s="299">
        <f>AB5*(BOM_average!AA45*BOM_average!AA53)/1000000</f>
        <v>2784.7987022468105</v>
      </c>
    </row>
    <row r="157" spans="2:28">
      <c r="B157" s="294" t="s">
        <v>441</v>
      </c>
      <c r="C157" s="299">
        <f>C5*(BOM_average!B46*BOM_average!B53)/1000000</f>
        <v>37.202137520899818</v>
      </c>
      <c r="D157" s="299">
        <f>D5*(BOM_average!C46*BOM_average!C53)/1000000</f>
        <v>93.917237513374317</v>
      </c>
      <c r="E157" s="299">
        <f>E5*(BOM_average!D46*BOM_average!D53)/1000000</f>
        <v>141.00606922018912</v>
      </c>
      <c r="F157" s="299">
        <f>F5*(BOM_average!E46*BOM_average!E53)/1000000</f>
        <v>188.36634024022152</v>
      </c>
      <c r="G157" s="299">
        <f>G5*(BOM_average!F46*BOM_average!F53)/1000000</f>
        <v>397.26167008821176</v>
      </c>
      <c r="H157" s="299">
        <f>H5*(BOM_average!G46*BOM_average!G53)/1000000</f>
        <v>907.56906701987145</v>
      </c>
      <c r="I157" s="299">
        <f>I5*(BOM_average!H46*BOM_average!H53)/1000000</f>
        <v>1717.657650082499</v>
      </c>
      <c r="J157" s="299">
        <f>J5*(BOM_average!I46*BOM_average!I53)/1000000</f>
        <v>2455.5125745947744</v>
      </c>
      <c r="K157" s="299">
        <f>K5*(BOM_average!J46*BOM_average!J53)/1000000</f>
        <v>2994.3265556163124</v>
      </c>
      <c r="L157" s="299">
        <f>L5*(BOM_average!K46*BOM_average!K53)/1000000</f>
        <v>3349.2156817665063</v>
      </c>
      <c r="M157" s="299">
        <f>M5*(BOM_average!L46*BOM_average!L53)/1000000</f>
        <v>3457.2571038219312</v>
      </c>
      <c r="N157" s="299">
        <f>N5*(BOM_average!M46*BOM_average!M53)/1000000</f>
        <v>3508.3575172467627</v>
      </c>
      <c r="O157" s="299">
        <f>O5*(BOM_average!N46*BOM_average!N53)/1000000</f>
        <v>3641.0601322709044</v>
      </c>
      <c r="P157" s="299">
        <f>P5*(BOM_average!O46*BOM_average!O53)/1000000</f>
        <v>3850.2424660559986</v>
      </c>
      <c r="Q157" s="299">
        <f>Q5*(BOM_average!P46*BOM_average!P53)/1000000</f>
        <v>3814.0593952738645</v>
      </c>
      <c r="R157" s="299">
        <f>R5*(BOM_average!Q46*BOM_average!Q53)/1000000</f>
        <v>3729.1754832423348</v>
      </c>
      <c r="S157" s="299">
        <f>S5*(BOM_average!R46*BOM_average!R53)/1000000</f>
        <v>3620.4113222520855</v>
      </c>
      <c r="T157" s="299">
        <f>T5*(BOM_average!S46*BOM_average!S53)/1000000</f>
        <v>3523.8811500192064</v>
      </c>
      <c r="U157" s="299">
        <f>U5*(BOM_average!T46*BOM_average!T53)/1000000</f>
        <v>3444.3014387336684</v>
      </c>
      <c r="V157" s="299">
        <f>V5*(BOM_average!U46*BOM_average!U53)/1000000</f>
        <v>3382.381948133157</v>
      </c>
      <c r="W157" s="299">
        <f>W5*(BOM_average!V46*BOM_average!V53)/1000000</f>
        <v>3336.4989379107137</v>
      </c>
      <c r="X157" s="299">
        <f>X5*(BOM_average!W46*BOM_average!W53)/1000000</f>
        <v>3303.9319702316079</v>
      </c>
      <c r="Y157" s="299">
        <f>Y5*(BOM_average!X46*BOM_average!X53)/1000000</f>
        <v>3281.7016373047773</v>
      </c>
      <c r="Z157" s="299">
        <f>Z5*(BOM_average!Y46*BOM_average!Y53)/1000000</f>
        <v>3267.0649420175851</v>
      </c>
      <c r="AA157" s="299">
        <f>AA5*(BOM_average!Z46*BOM_average!Z53)/1000000</f>
        <v>3257.7482785486013</v>
      </c>
      <c r="AB157" s="299">
        <f>AB5*(BOM_average!AA46*BOM_average!AA53)/1000000</f>
        <v>3252.0044242275785</v>
      </c>
    </row>
    <row r="158" spans="2:28">
      <c r="B158" s="294" t="s">
        <v>6912</v>
      </c>
      <c r="C158" s="299">
        <f>C5*(BOM_average!B47*BOM_average!B53)/1000000</f>
        <v>10.857073047458544</v>
      </c>
      <c r="D158" s="299">
        <f>D5*(BOM_average!C47*BOM_average!C53)/1000000</f>
        <v>27.408809709532946</v>
      </c>
      <c r="E158" s="299">
        <f>E5*(BOM_average!D47*BOM_average!D53)/1000000</f>
        <v>41.151215915981616</v>
      </c>
      <c r="F158" s="299">
        <f>F5*(BOM_average!E47*BOM_average!E53)/1000000</f>
        <v>54.972838980598702</v>
      </c>
      <c r="G158" s="299">
        <f>G5*(BOM_average!F47*BOM_average!F53)/1000000</f>
        <v>115.93685896892438</v>
      </c>
      <c r="H158" s="299">
        <f>H5*(BOM_average!G47*BOM_average!G53)/1000000</f>
        <v>264.8649866076355</v>
      </c>
      <c r="I158" s="299">
        <f>I5*(BOM_average!H47*BOM_average!H53)/1000000</f>
        <v>501.28126554542712</v>
      </c>
      <c r="J158" s="299">
        <f>J5*(BOM_average!I47*BOM_average!I53)/1000000</f>
        <v>716.6168711771279</v>
      </c>
      <c r="K158" s="299">
        <f>K5*(BOM_average!J47*BOM_average!J53)/1000000</f>
        <v>873.86436126170554</v>
      </c>
      <c r="L158" s="299">
        <f>L5*(BOM_average!K47*BOM_average!K53)/1000000</f>
        <v>977.43521560298552</v>
      </c>
      <c r="M158" s="299">
        <f>M5*(BOM_average!L47*BOM_average!L53)/1000000</f>
        <v>1008.9660277975282</v>
      </c>
      <c r="N158" s="299">
        <f>N5*(BOM_average!M47*BOM_average!M53)/1000000</f>
        <v>1023.8791741455586</v>
      </c>
      <c r="O158" s="299">
        <f>O5*(BOM_average!N47*BOM_average!N53)/1000000</f>
        <v>1062.6071097136821</v>
      </c>
      <c r="P158" s="299">
        <f>P5*(BOM_average!O47*BOM_average!O53)/1000000</f>
        <v>1123.6548889405271</v>
      </c>
      <c r="Q158" s="299">
        <f>Q5*(BOM_average!P47*BOM_average!P53)/1000000</f>
        <v>1113.0952203638951</v>
      </c>
      <c r="R158" s="299">
        <f>R5*(BOM_average!Q47*BOM_average!Q53)/1000000</f>
        <v>1088.3226966624645</v>
      </c>
      <c r="S158" s="299">
        <f>S5*(BOM_average!R47*BOM_average!R53)/1000000</f>
        <v>1056.5809603132218</v>
      </c>
      <c r="T158" s="299">
        <f>T5*(BOM_average!S47*BOM_average!S53)/1000000</f>
        <v>1028.4095916485221</v>
      </c>
      <c r="U158" s="299">
        <f>U5*(BOM_average!T47*BOM_average!T53)/1000000</f>
        <v>1005.1850460686516</v>
      </c>
      <c r="V158" s="299">
        <f>V5*(BOM_average!U47*BOM_average!U53)/1000000</f>
        <v>987.11445987898719</v>
      </c>
      <c r="W158" s="299">
        <f>W5*(BOM_average!V47*BOM_average!V53)/1000000</f>
        <v>973.72396065451392</v>
      </c>
      <c r="X158" s="299">
        <f>X5*(BOM_average!W47*BOM_average!W53)/1000000</f>
        <v>964.21961572735393</v>
      </c>
      <c r="Y158" s="299">
        <f>Y5*(BOM_average!X47*BOM_average!X53)/1000000</f>
        <v>957.7319146289874</v>
      </c>
      <c r="Z158" s="299">
        <f>Z5*(BOM_average!Y47*BOM_average!Y53)/1000000</f>
        <v>953.4603409911241</v>
      </c>
      <c r="AA158" s="299">
        <f>AA5*(BOM_average!Z47*BOM_average!Z53)/1000000</f>
        <v>950.7413656154614</v>
      </c>
      <c r="AB158" s="299">
        <f>AB5*(BOM_average!AA47*BOM_average!AA53)/1000000</f>
        <v>949.0650789799887</v>
      </c>
    </row>
    <row r="159" spans="2:28">
      <c r="B159" s="294" t="s">
        <v>443</v>
      </c>
      <c r="C159" s="299">
        <f>C5*(BOM_average!B48*BOM_average!B53)/1000000</f>
        <v>24.218655440042628</v>
      </c>
      <c r="D159" s="299">
        <f>D5*(BOM_average!C48*BOM_average!C53)/1000000</f>
        <v>61.140282972698486</v>
      </c>
      <c r="E159" s="299">
        <f>E5*(BOM_average!D48*BOM_average!D53)/1000000</f>
        <v>91.795193313289019</v>
      </c>
      <c r="F159" s="299">
        <f>F5*(BOM_average!E48*BOM_average!E53)/1000000</f>
        <v>122.62681111312176</v>
      </c>
      <c r="G159" s="299">
        <f>G5*(BOM_average!F48*BOM_average!F53)/1000000</f>
        <v>258.61802973007184</v>
      </c>
      <c r="H159" s="299">
        <f>H5*(BOM_average!G48*BOM_average!G53)/1000000</f>
        <v>590.8290218498064</v>
      </c>
      <c r="I159" s="299">
        <f>I5*(BOM_average!H48*BOM_average!H53)/1000000</f>
        <v>1118.1980811702344</v>
      </c>
      <c r="J159" s="299">
        <f>J5*(BOM_average!I48*BOM_average!I53)/1000000</f>
        <v>1598.5429046756672</v>
      </c>
      <c r="K159" s="299">
        <f>K5*(BOM_average!J48*BOM_average!J53)/1000000</f>
        <v>1949.3117320127335</v>
      </c>
      <c r="L159" s="299">
        <f>L5*(BOM_average!K48*BOM_average!K53)/1000000</f>
        <v>2180.3451628423682</v>
      </c>
      <c r="M159" s="299">
        <f>M5*(BOM_average!L48*BOM_average!L53)/1000000</f>
        <v>2250.6803142175427</v>
      </c>
      <c r="N159" s="299">
        <f>N5*(BOM_average!M48*BOM_average!M53)/1000000</f>
        <v>2283.9467711485313</v>
      </c>
      <c r="O159" s="299">
        <f>O5*(BOM_average!N48*BOM_average!N53)/1000000</f>
        <v>2370.3364015147108</v>
      </c>
      <c r="P159" s="299">
        <f>P5*(BOM_average!O48*BOM_average!O53)/1000000</f>
        <v>2506.5144601877932</v>
      </c>
      <c r="Q159" s="299">
        <f>Q5*(BOM_average!P48*BOM_average!P53)/1000000</f>
        <v>2482.9592189454625</v>
      </c>
      <c r="R159" s="299">
        <f>R5*(BOM_average!Q48*BOM_average!Q53)/1000000</f>
        <v>2427.6996463808591</v>
      </c>
      <c r="S159" s="299">
        <f>S5*(BOM_average!R48*BOM_average!R53)/1000000</f>
        <v>2356.8939907174354</v>
      </c>
      <c r="T159" s="299">
        <f>T5*(BOM_average!S48*BOM_average!S53)/1000000</f>
        <v>2294.0526827532708</v>
      </c>
      <c r="U159" s="299">
        <f>U5*(BOM_average!T48*BOM_average!T53)/1000000</f>
        <v>2242.2461539870196</v>
      </c>
      <c r="V159" s="299">
        <f>V5*(BOM_average!U48*BOM_average!U53)/1000000</f>
        <v>2201.9364592272959</v>
      </c>
      <c r="W159" s="299">
        <f>W5*(BOM_average!V48*BOM_average!V53)/1000000</f>
        <v>2172.0665407446536</v>
      </c>
      <c r="X159" s="299">
        <f>X5*(BOM_average!W48*BOM_average!W53)/1000000</f>
        <v>2150.8653888349236</v>
      </c>
      <c r="Y159" s="299">
        <f>Y5*(BOM_average!X48*BOM_average!X53)/1000000</f>
        <v>2136.3934039074479</v>
      </c>
      <c r="Z159" s="299">
        <f>Z5*(BOM_average!Y48*BOM_average!Y53)/1000000</f>
        <v>2126.8648901293818</v>
      </c>
      <c r="AA159" s="299">
        <f>AA5*(BOM_average!Z48*BOM_average!Z53)/1000000</f>
        <v>2120.7997262048789</v>
      </c>
      <c r="AB159" s="299">
        <f>AB5*(BOM_average!AA48*BOM_average!AA53)/1000000</f>
        <v>2117.0604671738492</v>
      </c>
    </row>
    <row r="160" spans="2:28">
      <c r="B160" s="294" t="s">
        <v>445</v>
      </c>
      <c r="C160" s="299">
        <f>C5*(BOM_average!B49*BOM_average!B53)/1000000</f>
        <v>35.580892526692153</v>
      </c>
      <c r="D160" s="299">
        <f>D5*(BOM_average!C49*BOM_average!C53)/1000000</f>
        <v>89.824385292105291</v>
      </c>
      <c r="E160" s="299">
        <f>E5*(BOM_average!D49*BOM_average!D53)/1000000</f>
        <v>134.86111629247893</v>
      </c>
      <c r="F160" s="299">
        <f>F5*(BOM_average!E49*BOM_average!E53)/1000000</f>
        <v>180.15745745707196</v>
      </c>
      <c r="G160" s="299">
        <f>G5*(BOM_average!F49*BOM_average!F53)/1000000</f>
        <v>379.94926448626848</v>
      </c>
      <c r="H160" s="299">
        <f>H5*(BOM_average!G49*BOM_average!G53)/1000000</f>
        <v>868.01779645169302</v>
      </c>
      <c r="I160" s="299">
        <f>I5*(BOM_average!H49*BOM_average!H53)/1000000</f>
        <v>1642.8032451334739</v>
      </c>
      <c r="J160" s="299">
        <f>J5*(BOM_average!I49*BOM_average!I53)/1000000</f>
        <v>2348.5029311962121</v>
      </c>
      <c r="K160" s="299">
        <f>K5*(BOM_average!J49*BOM_average!J53)/1000000</f>
        <v>2863.8357488289662</v>
      </c>
      <c r="L160" s="299">
        <f>L5*(BOM_average!K49*BOM_average!K53)/1000000</f>
        <v>3203.2590373254361</v>
      </c>
      <c r="M160" s="299">
        <f>M5*(BOM_average!L49*BOM_average!L53)/1000000</f>
        <v>3306.5920843694512</v>
      </c>
      <c r="N160" s="299">
        <f>N5*(BOM_average!M49*BOM_average!M53)/1000000</f>
        <v>3355.4655749616791</v>
      </c>
      <c r="O160" s="299">
        <f>O5*(BOM_average!N49*BOM_average!N53)/1000000</f>
        <v>3482.3850961997373</v>
      </c>
      <c r="P160" s="299">
        <f>P5*(BOM_average!O49*BOM_average!O53)/1000000</f>
        <v>3682.4513997208383</v>
      </c>
      <c r="Q160" s="299">
        <f>Q5*(BOM_average!P49*BOM_average!P53)/1000000</f>
        <v>3647.8451636662153</v>
      </c>
      <c r="R160" s="299">
        <f>R5*(BOM_average!Q49*BOM_average!Q53)/1000000</f>
        <v>3566.6604373976693</v>
      </c>
      <c r="S160" s="299">
        <f>S5*(BOM_average!R49*BOM_average!R53)/1000000</f>
        <v>3462.6361479122647</v>
      </c>
      <c r="T160" s="299">
        <f>T5*(BOM_average!S49*BOM_average!S53)/1000000</f>
        <v>3370.3126978988989</v>
      </c>
      <c r="U160" s="299">
        <f>U5*(BOM_average!T49*BOM_average!T53)/1000000</f>
        <v>3294.2010187523656</v>
      </c>
      <c r="V160" s="299">
        <f>V5*(BOM_average!U49*BOM_average!U53)/1000000</f>
        <v>3234.9799393418994</v>
      </c>
      <c r="W160" s="299">
        <f>W5*(BOM_average!V49*BOM_average!V53)/1000000</f>
        <v>3191.0964809086645</v>
      </c>
      <c r="X160" s="299">
        <f>X5*(BOM_average!W49*BOM_average!W53)/1000000</f>
        <v>3159.9487605321265</v>
      </c>
      <c r="Y160" s="299">
        <f>Y5*(BOM_average!X49*BOM_average!X53)/1000000</f>
        <v>3138.6872110779377</v>
      </c>
      <c r="Z160" s="299">
        <f>Z5*(BOM_average!Y49*BOM_average!Y53)/1000000</f>
        <v>3124.6883734663361</v>
      </c>
      <c r="AA160" s="299">
        <f>AA5*(BOM_average!Z49*BOM_average!Z53)/1000000</f>
        <v>3115.7777241411181</v>
      </c>
      <c r="AB160" s="299">
        <f>AB5*(BOM_average!AA49*BOM_average!AA53)/1000000</f>
        <v>3110.2841832613649</v>
      </c>
    </row>
    <row r="161" spans="2:28">
      <c r="B161" s="294" t="s">
        <v>6915</v>
      </c>
      <c r="C161" s="299">
        <f>C5*(BOM_average!B50*BOM_average!B53)/1000000</f>
        <v>0</v>
      </c>
      <c r="D161" s="299">
        <f>D5*(BOM_average!C50*BOM_average!C53)/1000000</f>
        <v>0</v>
      </c>
      <c r="E161" s="299">
        <f>E5*(BOM_average!D50*BOM_average!D53)/1000000</f>
        <v>0</v>
      </c>
      <c r="F161" s="299">
        <f>F5*(BOM_average!E50*BOM_average!E53)/1000000</f>
        <v>0</v>
      </c>
      <c r="G161" s="299">
        <f>G5*(BOM_average!F50*BOM_average!F53)/1000000</f>
        <v>0</v>
      </c>
      <c r="H161" s="299">
        <f>H5*(BOM_average!G50*BOM_average!G53)/1000000</f>
        <v>0</v>
      </c>
      <c r="I161" s="299">
        <f>I5*(BOM_average!H50*BOM_average!H53)/1000000</f>
        <v>0</v>
      </c>
      <c r="J161" s="299">
        <f>J5*(BOM_average!I50*BOM_average!I53)/1000000</f>
        <v>0</v>
      </c>
      <c r="K161" s="299">
        <f>K5*(BOM_average!J50*BOM_average!J53)/1000000</f>
        <v>0</v>
      </c>
      <c r="L161" s="299">
        <f>L5*(BOM_average!K50*BOM_average!K53)/1000000</f>
        <v>0</v>
      </c>
      <c r="M161" s="299">
        <f>M5*(BOM_average!L50*BOM_average!L53)/1000000</f>
        <v>0</v>
      </c>
      <c r="N161" s="299">
        <f>N5*(BOM_average!M50*BOM_average!M53)/1000000</f>
        <v>0</v>
      </c>
      <c r="O161" s="299">
        <f>O5*(BOM_average!N50*BOM_average!N53)/1000000</f>
        <v>0</v>
      </c>
      <c r="P161" s="299">
        <f>P5*(BOM_average!O50*BOM_average!O53)/1000000</f>
        <v>0</v>
      </c>
      <c r="Q161" s="299">
        <f>Q5*(BOM_average!P50*BOM_average!P53)/1000000</f>
        <v>0</v>
      </c>
      <c r="R161" s="299">
        <f>R5*(BOM_average!Q50*BOM_average!Q53)/1000000</f>
        <v>0</v>
      </c>
      <c r="S161" s="299">
        <f>S5*(BOM_average!R50*BOM_average!R53)/1000000</f>
        <v>0</v>
      </c>
      <c r="T161" s="299">
        <f>T5*(BOM_average!S50*BOM_average!S53)/1000000</f>
        <v>0</v>
      </c>
      <c r="U161" s="299">
        <f>U5*(BOM_average!T50*BOM_average!T53)/1000000</f>
        <v>0</v>
      </c>
      <c r="V161" s="299">
        <f>V5*(BOM_average!U50*BOM_average!U53)/1000000</f>
        <v>0</v>
      </c>
      <c r="W161" s="299">
        <f>W5*(BOM_average!V50*BOM_average!V53)/1000000</f>
        <v>0</v>
      </c>
      <c r="X161" s="299">
        <f>X5*(BOM_average!W50*BOM_average!W53)/1000000</f>
        <v>0</v>
      </c>
      <c r="Y161" s="299">
        <f>Y5*(BOM_average!X50*BOM_average!X53)/1000000</f>
        <v>0</v>
      </c>
      <c r="Z161" s="299">
        <f>Z5*(BOM_average!Y50*BOM_average!Y53)/1000000</f>
        <v>0</v>
      </c>
      <c r="AA161" s="299">
        <f>AA5*(BOM_average!Z50*BOM_average!Z53)/1000000</f>
        <v>0</v>
      </c>
      <c r="AB161" s="299">
        <f>AB5*(BOM_average!AA50*BOM_average!AA53)/1000000</f>
        <v>0</v>
      </c>
    </row>
    <row r="162" spans="2:28" ht="17" thickBot="1">
      <c r="B162" s="297" t="s">
        <v>447</v>
      </c>
      <c r="C162" s="300">
        <f>C5*(BOM_average!B51*BOM_average!B53)/1000000</f>
        <v>1.027191490810186</v>
      </c>
      <c r="D162" s="300">
        <f>D5*(BOM_average!C51*BOM_average!C53)/1000000</f>
        <v>2.5931571044792996</v>
      </c>
      <c r="E162" s="300">
        <f>E5*(BOM_average!D51*BOM_average!D53)/1000000</f>
        <v>3.8933309779364271</v>
      </c>
      <c r="F162" s="300">
        <f>F5*(BOM_average!E51*BOM_average!E53)/1000000</f>
        <v>5.2009995861423794</v>
      </c>
      <c r="G162" s="300">
        <f>G5*(BOM_average!F51*BOM_average!F53)/1000000</f>
        <v>10.968826909755064</v>
      </c>
      <c r="H162" s="300">
        <f>H5*(BOM_average!G51*BOM_average!G53)/1000000</f>
        <v>25.0589693251261</v>
      </c>
      <c r="I162" s="300">
        <f>I5*(BOM_average!H51*BOM_average!H53)/1000000</f>
        <v>47.426396434843554</v>
      </c>
      <c r="J162" s="300">
        <f>J5*(BOM_average!I51*BOM_average!I53)/1000000</f>
        <v>67.79937364577961</v>
      </c>
      <c r="K162" s="300">
        <f>K5*(BOM_average!J51*BOM_average!J53)/1000000</f>
        <v>82.676613861451443</v>
      </c>
      <c r="L162" s="300">
        <f>L5*(BOM_average!K51*BOM_average!K53)/1000000</f>
        <v>92.475488734104857</v>
      </c>
      <c r="M162" s="300">
        <f>M5*(BOM_average!L51*BOM_average!L53)/1000000</f>
        <v>95.458629940118016</v>
      </c>
      <c r="N162" s="300">
        <f>N5*(BOM_average!M51*BOM_average!M53)/1000000</f>
        <v>96.869567949187541</v>
      </c>
      <c r="O162" s="300">
        <f>O5*(BOM_average!N51*BOM_average!N53)/1000000</f>
        <v>100.5336315230744</v>
      </c>
      <c r="P162" s="300">
        <f>P5*(BOM_average!O51*BOM_average!O53)/1000000</f>
        <v>106.30938333763486</v>
      </c>
      <c r="Q162" s="300">
        <f>Q5*(BOM_average!P51*BOM_average!P53)/1000000</f>
        <v>105.31032938816999</v>
      </c>
      <c r="R162" s="300">
        <f>R5*(BOM_average!Q51*BOM_average!Q53)/1000000</f>
        <v>102.96659222800051</v>
      </c>
      <c r="S162" s="300">
        <f>S5*(BOM_average!R51*BOM_average!R53)/1000000</f>
        <v>99.963495413697046</v>
      </c>
      <c r="T162" s="300">
        <f>T5*(BOM_average!S51*BOM_average!S53)/1000000</f>
        <v>97.298192338884462</v>
      </c>
      <c r="U162" s="300">
        <f>U5*(BOM_average!T51*BOM_average!T53)/1000000</f>
        <v>95.100909931987445</v>
      </c>
      <c r="V162" s="300">
        <f>V5*(BOM_average!U51*BOM_average!U53)/1000000</f>
        <v>93.391245431542714</v>
      </c>
      <c r="W162" s="300">
        <f>W5*(BOM_average!V51*BOM_average!V53)/1000000</f>
        <v>92.124365601135835</v>
      </c>
      <c r="X162" s="300">
        <f>X5*(BOM_average!W51*BOM_average!W53)/1000000</f>
        <v>91.225156192464766</v>
      </c>
      <c r="Y162" s="300">
        <f>Y5*(BOM_average!X51*BOM_average!X53)/1000000</f>
        <v>90.611352514988184</v>
      </c>
      <c r="Z162" s="300">
        <f>Z5*(BOM_average!Y51*BOM_average!Y53)/1000000</f>
        <v>90.207217434197759</v>
      </c>
      <c r="AA162" s="300">
        <f>AA5*(BOM_average!Z51*BOM_average!Z53)/1000000</f>
        <v>89.949974219807018</v>
      </c>
      <c r="AB162" s="300">
        <f>AB5*(BOM_average!AA51*BOM_average!AA53)/1000000</f>
        <v>89.791380153009314</v>
      </c>
    </row>
    <row r="163" spans="2:28">
      <c r="B163" s="296" t="s">
        <v>7756</v>
      </c>
      <c r="C163" s="301">
        <f>C5*(BOM_average!B53)/1000000</f>
        <v>163.36812599646331</v>
      </c>
      <c r="D163" s="301">
        <f>D5*(BOM_average!C53)/1000000</f>
        <v>412.42477217082222</v>
      </c>
      <c r="E163" s="301">
        <f>E5*(BOM_average!D53)/1000000</f>
        <v>619.20897071273191</v>
      </c>
      <c r="F163" s="301">
        <f>F5*(BOM_average!E53)/1000000</f>
        <v>827.18515807241351</v>
      </c>
      <c r="G163" s="301">
        <f>G5*(BOM_average!F53)/1000000</f>
        <v>1744.5205812724134</v>
      </c>
      <c r="H163" s="301">
        <f>H5*(BOM_average!G53)/1000000</f>
        <v>3985.4660933958294</v>
      </c>
      <c r="I163" s="301">
        <f>I5*(BOM_average!H53)/1000000</f>
        <v>7542.8599026016282</v>
      </c>
      <c r="J163" s="301">
        <f>J5*(BOM_average!I53)/1000000</f>
        <v>10783.049426849069</v>
      </c>
      <c r="K163" s="301">
        <f>K5*(BOM_average!J53)/1000000</f>
        <v>13149.177725007501</v>
      </c>
      <c r="L163" s="301">
        <f>L5*(BOM_average!K53)/1000000</f>
        <v>14707.625043877508</v>
      </c>
      <c r="M163" s="301">
        <f>M5*(BOM_average!L53)/1000000</f>
        <v>15182.074251030506</v>
      </c>
      <c r="N163" s="301">
        <f>N5*(BOM_average!M53)/1000000</f>
        <v>15406.474764957142</v>
      </c>
      <c r="O163" s="301">
        <f>O5*(BOM_average!N53)/1000000</f>
        <v>15989.220246158184</v>
      </c>
      <c r="P163" s="301">
        <f>P5*(BOM_average!O53)/1000000</f>
        <v>16907.816008104364</v>
      </c>
      <c r="Q163" s="301">
        <f>Q5*(BOM_average!P53)/1000000</f>
        <v>16748.922975058784</v>
      </c>
      <c r="R163" s="301">
        <f>R5*(BOM_average!Q53)/1000000</f>
        <v>16376.166822860561</v>
      </c>
      <c r="S163" s="301">
        <f>S5*(BOM_average!R53)/1000000</f>
        <v>15898.543805995672</v>
      </c>
      <c r="T163" s="301">
        <f>T5*(BOM_average!S53)/1000000</f>
        <v>15474.644686464115</v>
      </c>
      <c r="U163" s="301">
        <f>U5*(BOM_average!T53)/1000000</f>
        <v>15125.181210265891</v>
      </c>
      <c r="V163" s="301">
        <f>V5*(BOM_average!U53)/1000000</f>
        <v>14853.270190734336</v>
      </c>
      <c r="W163" s="301">
        <f>W5*(BOM_average!V53)/1000000</f>
        <v>14651.78119320278</v>
      </c>
      <c r="X163" s="301">
        <f>X5*(BOM_average!W53)/1000000</f>
        <v>14508.767785004557</v>
      </c>
      <c r="Y163" s="301">
        <f>Y5*(BOM_average!X53)/1000000</f>
        <v>14411.146302139665</v>
      </c>
      <c r="Z163" s="301">
        <f>Z5*(BOM_average!Y53)/1000000</f>
        <v>14346.871245941442</v>
      </c>
      <c r="AA163" s="301">
        <f>AA5*(BOM_average!Z53)/1000000</f>
        <v>14305.958385743219</v>
      </c>
      <c r="AB163" s="301">
        <f>AB5*(BOM_average!AA53)/1000000</f>
        <v>14280.73503087833</v>
      </c>
    </row>
    <row r="164" spans="2:28">
      <c r="B164" s="295" t="s">
        <v>7757</v>
      </c>
      <c r="C164" s="299">
        <f>C5*(BOM_average!B54)/1000000</f>
        <v>193.3910140535809</v>
      </c>
      <c r="D164" s="299">
        <f>D5*(BOM_average!C54)/1000000</f>
        <v>488.21790924295152</v>
      </c>
      <c r="E164" s="299">
        <f>E5*(BOM_average!D54)/1000000</f>
        <v>733.00376084256322</v>
      </c>
      <c r="F164" s="299">
        <f>F5*(BOM_average!E54)/1000000</f>
        <v>979.20065835338539</v>
      </c>
      <c r="G164" s="299">
        <f>G5*(BOM_average!F54)/1000000</f>
        <v>2065.1188975315672</v>
      </c>
      <c r="H164" s="299">
        <f>H5*(BOM_average!G54)/1000000</f>
        <v>4717.8929462327842</v>
      </c>
      <c r="I164" s="299">
        <f>I5*(BOM_average!H54)/1000000</f>
        <v>8929.0448582350928</v>
      </c>
      <c r="J164" s="299">
        <f>J5*(BOM_average!I54)/1000000</f>
        <v>12764.698441196362</v>
      </c>
      <c r="K164" s="299">
        <f>K5*(BOM_average!J54)/1000000</f>
        <v>15565.660674010609</v>
      </c>
      <c r="L164" s="299">
        <f>L5*(BOM_average!K54)/1000000</f>
        <v>17410.510797050396</v>
      </c>
      <c r="M164" s="299">
        <f>M5*(BOM_average!L54)/1000000</f>
        <v>17972.151647911487</v>
      </c>
      <c r="N164" s="299">
        <f>N5*(BOM_average!M54)/1000000</f>
        <v>18237.791243626481</v>
      </c>
      <c r="O164" s="299">
        <f>O5*(BOM_average!N54)/1000000</f>
        <v>18927.630457103482</v>
      </c>
      <c r="P164" s="299">
        <f>P5*(BOM_average!O54)/1000000</f>
        <v>20015.040653092015</v>
      </c>
      <c r="Q164" s="299">
        <f>Q5*(BOM_average!P54)/1000000</f>
        <v>19826.947139750257</v>
      </c>
      <c r="R164" s="299">
        <f>R5*(BOM_average!Q54)/1000000</f>
        <v>19385.687929432293</v>
      </c>
      <c r="S164" s="299">
        <f>S5*(BOM_average!R54)/1000000</f>
        <v>18820.290003714326</v>
      </c>
      <c r="T164" s="299">
        <f>T5*(BOM_average!S54)/1000000</f>
        <v>18318.489055196362</v>
      </c>
      <c r="U164" s="299">
        <f>U5*(BOM_average!T54)/1000000</f>
        <v>17904.803119678396</v>
      </c>
      <c r="V164" s="299">
        <f>V5*(BOM_average!U54)/1000000</f>
        <v>17582.921801160428</v>
      </c>
      <c r="W164" s="299">
        <f>W5*(BOM_average!V54)/1000000</f>
        <v>17344.40427324246</v>
      </c>
      <c r="X164" s="299">
        <f>X5*(BOM_average!W54)/1000000</f>
        <v>17175.108654124495</v>
      </c>
      <c r="Y164" s="299">
        <f>Y5*(BOM_average!X54)/1000000</f>
        <v>17059.546836606532</v>
      </c>
      <c r="Z164" s="299">
        <f>Z5*(BOM_average!Y54)/1000000</f>
        <v>16983.459667088566</v>
      </c>
      <c r="AA164" s="299">
        <f>AA5*(BOM_average!Z54)/1000000</f>
        <v>16935.028068370601</v>
      </c>
      <c r="AB164" s="299">
        <f>AB5*(BOM_average!AA54)/1000000</f>
        <v>16905.169305252635</v>
      </c>
    </row>
    <row r="165" spans="2:28">
      <c r="B165" s="295" t="s">
        <v>7758</v>
      </c>
      <c r="C165" s="299">
        <f>C5*(BOM_average!B55)/1000000</f>
        <v>138.71251066339522</v>
      </c>
      <c r="D165" s="299">
        <f>D5*(BOM_average!C55)/1000000</f>
        <v>350.18137876437424</v>
      </c>
      <c r="E165" s="299">
        <f>E5*(BOM_average!D55)/1000000</f>
        <v>525.757582324959</v>
      </c>
      <c r="F165" s="299">
        <f>F5*(BOM_average!E55)/1000000</f>
        <v>702.34587903766442</v>
      </c>
      <c r="G165" s="299">
        <f>G5*(BOM_average!F55)/1000000</f>
        <v>1481.2364912449373</v>
      </c>
      <c r="H165" s="299">
        <f>H5*(BOM_average!G55)/1000000</f>
        <v>3383.9771657216488</v>
      </c>
      <c r="I165" s="299">
        <f>I5*(BOM_average!H55)/1000000</f>
        <v>6404.4869725369517</v>
      </c>
      <c r="J165" s="299">
        <f>J5*(BOM_average!I55)/1000000</f>
        <v>9155.6651548913542</v>
      </c>
      <c r="K165" s="299">
        <f>K5*(BOM_average!J55)/1000000</f>
        <v>11164.695954426681</v>
      </c>
      <c r="L165" s="299">
        <f>L5*(BOM_average!K55)/1000000</f>
        <v>12487.941471375168</v>
      </c>
      <c r="M165" s="299">
        <f>M5*(BOM_average!L55)/1000000</f>
        <v>12890.786520279471</v>
      </c>
      <c r="N165" s="299">
        <f>N5*(BOM_average!M55)/1000000</f>
        <v>13081.320374365509</v>
      </c>
      <c r="O165" s="299">
        <f>O5*(BOM_average!N55)/1000000</f>
        <v>13576.117558835234</v>
      </c>
      <c r="P165" s="299">
        <f>P5*(BOM_average!O55)/1000000</f>
        <v>14356.07829871094</v>
      </c>
      <c r="Q165" s="299">
        <f>Q5*(BOM_average!P55)/1000000</f>
        <v>14221.165497292433</v>
      </c>
      <c r="R165" s="299">
        <f>R5*(BOM_average!Q55)/1000000</f>
        <v>13904.665926637132</v>
      </c>
      <c r="S165" s="299">
        <f>S5*(BOM_average!R55)/1000000</f>
        <v>13499.126061281828</v>
      </c>
      <c r="T165" s="299">
        <f>T5*(BOM_average!S55)/1000000</f>
        <v>13139.202050526523</v>
      </c>
      <c r="U165" s="299">
        <f>U5*(BOM_average!T55)/1000000</f>
        <v>12842.47981127122</v>
      </c>
      <c r="V165" s="299">
        <f>V5*(BOM_average!U55)/1000000</f>
        <v>12611.605765515915</v>
      </c>
      <c r="W165" s="299">
        <f>W5*(BOM_average!V55)/1000000</f>
        <v>12440.525608060612</v>
      </c>
      <c r="X165" s="299">
        <f>X5*(BOM_average!W55)/1000000</f>
        <v>12319.095869005308</v>
      </c>
      <c r="Y165" s="299">
        <f>Y5*(BOM_average!X55)/1000000</f>
        <v>12236.207478750004</v>
      </c>
      <c r="Z165" s="299">
        <f>Z5*(BOM_average!Y55)/1000000</f>
        <v>12181.632852494702</v>
      </c>
      <c r="AA165" s="299">
        <f>AA5*(BOM_average!Z55)/1000000</f>
        <v>12146.894585639397</v>
      </c>
      <c r="AB165" s="299">
        <f>AB5*(BOM_average!AA55)/1000000</f>
        <v>12125.477954584094</v>
      </c>
    </row>
    <row r="167" spans="2:28">
      <c r="B167" s="291" t="s">
        <v>7796</v>
      </c>
    </row>
    <row r="168" spans="2:28">
      <c r="B168" s="294" t="s">
        <v>437</v>
      </c>
      <c r="C168" s="299">
        <f>C67*(BOM_average!B42*BOM_average!B53)/1000000</f>
        <v>0</v>
      </c>
      <c r="D168" s="299">
        <f>D67*(BOM_average!C42*BOM_average!C53)/1000000</f>
        <v>1.1421721393236162</v>
      </c>
      <c r="E168" s="299">
        <f>E67*(BOM_average!D42*BOM_average!D53)/1000000</f>
        <v>3.8903583075844761</v>
      </c>
      <c r="F168" s="299">
        <f>F67*(BOM_average!E42*BOM_average!E53)/1000000</f>
        <v>7.3722265604189019</v>
      </c>
      <c r="G168" s="299">
        <f>G67*(BOM_average!F42*BOM_average!F53)/1000000</f>
        <v>11.13052966041381</v>
      </c>
      <c r="H168" s="299">
        <f>H67*(BOM_average!G42*BOM_average!G53)/1000000</f>
        <v>19.994823308468764</v>
      </c>
      <c r="I168" s="299">
        <f>I67*(BOM_average!H42*BOM_average!H53)/1000000</f>
        <v>42.541182418759234</v>
      </c>
      <c r="J168" s="299">
        <f>J67*(BOM_average!I42*BOM_average!I53)/1000000</f>
        <v>84.636847432298154</v>
      </c>
      <c r="K168" s="299">
        <f>K67*(BOM_average!J42*BOM_average!J53)/1000000</f>
        <v>137.83714998818482</v>
      </c>
      <c r="L168" s="299">
        <f>L67*(BOM_average!K42*BOM_average!K53)/1000000</f>
        <v>189.71565721407237</v>
      </c>
      <c r="M168" s="299">
        <f>M67*(BOM_average!L42*BOM_average!L53)/1000000</f>
        <v>233.00181911338808</v>
      </c>
      <c r="N168" s="299">
        <f>N67*(BOM_average!M42*BOM_average!M53)/1000000</f>
        <v>262.07034330454218</v>
      </c>
      <c r="O168" s="299">
        <f>O67*(BOM_average!N42*BOM_average!N53)/1000000</f>
        <v>279.10481642928175</v>
      </c>
      <c r="P168" s="299">
        <f>P67*(BOM_average!O42*BOM_average!O53)/1000000</f>
        <v>291.75784587560133</v>
      </c>
      <c r="Q168" s="299">
        <f>Q67*(BOM_average!P42*BOM_average!P53)/1000000</f>
        <v>305.40726240399158</v>
      </c>
      <c r="R168" s="299">
        <f>R67*(BOM_average!Q42*BOM_average!Q53)/1000000</f>
        <v>302.80237478477693</v>
      </c>
      <c r="S168" s="299">
        <f>S67*(BOM_average!R42*BOM_average!R53)/1000000</f>
        <v>286.00374155799608</v>
      </c>
      <c r="T168" s="299">
        <f>T67*(BOM_average!S42*BOM_average!S53)/1000000</f>
        <v>264.13463160689093</v>
      </c>
      <c r="U168" s="299">
        <f>U67*(BOM_average!T42*BOM_average!T53)/1000000</f>
        <v>242.47995596135593</v>
      </c>
      <c r="V168" s="299">
        <f>V67*(BOM_average!U42*BOM_average!U53)/1000000</f>
        <v>223.98779442766505</v>
      </c>
      <c r="W168" s="299">
        <f>W67*(BOM_average!V42*BOM_average!V53)/1000000</f>
        <v>209.77329188202501</v>
      </c>
      <c r="X168" s="299">
        <f>X67*(BOM_average!W42*BOM_average!W53)/1000000</f>
        <v>199.78731276008912</v>
      </c>
      <c r="Y168" s="299">
        <f>Y67*(BOM_average!X42*BOM_average!X53)/1000000</f>
        <v>193.35612144687727</v>
      </c>
      <c r="Z168" s="299">
        <f>Z67*(BOM_average!Y42*BOM_average!Y53)/1000000</f>
        <v>189.58403444269268</v>
      </c>
      <c r="AA168" s="299">
        <f>AA67*(BOM_average!Z42*BOM_average!Z53)/1000000</f>
        <v>187.60844961789385</v>
      </c>
      <c r="AB168" s="299">
        <f>AB67*(BOM_average!AA42*BOM_average!AA53)/1000000</f>
        <v>186.72790138554259</v>
      </c>
    </row>
    <row r="169" spans="2:28">
      <c r="B169" s="294" t="s">
        <v>217</v>
      </c>
      <c r="C169" s="299">
        <f>C67*(BOM_average!B43*BOM_average!B53)/1000000</f>
        <v>0</v>
      </c>
      <c r="D169" s="299">
        <f>D67*(BOM_average!C43*BOM_average!C53)/1000000</f>
        <v>5.3180388791280626E-2</v>
      </c>
      <c r="E169" s="299">
        <f>E67*(BOM_average!D43*BOM_average!D53)/1000000</f>
        <v>0.18113799156163077</v>
      </c>
      <c r="F169" s="299">
        <f>F67*(BOM_average!E43*BOM_average!E53)/1000000</f>
        <v>0.3432563807524282</v>
      </c>
      <c r="G169" s="299">
        <f>G67*(BOM_average!F43*BOM_average!F53)/1000000</f>
        <v>0.51824578311306047</v>
      </c>
      <c r="H169" s="299">
        <f>H67*(BOM_average!G43*BOM_average!G53)/1000000</f>
        <v>0.93097392306121607</v>
      </c>
      <c r="I169" s="299">
        <f>I67*(BOM_average!H43*BOM_average!H53)/1000000</f>
        <v>1.9807492607989496</v>
      </c>
      <c r="J169" s="299">
        <f>J67*(BOM_average!I43*BOM_average!I53)/1000000</f>
        <v>3.9407548981043958</v>
      </c>
      <c r="K169" s="299">
        <f>K67*(BOM_average!J43*BOM_average!J53)/1000000</f>
        <v>6.4178007621466113</v>
      </c>
      <c r="L169" s="299">
        <f>L67*(BOM_average!K43*BOM_average!K53)/1000000</f>
        <v>8.8333028473382278</v>
      </c>
      <c r="M169" s="299">
        <f>M67*(BOM_average!L43*BOM_average!L53)/1000000</f>
        <v>10.848738909761476</v>
      </c>
      <c r="N169" s="299">
        <f>N67*(BOM_average!M43*BOM_average!M53)/1000000</f>
        <v>12.202191130185774</v>
      </c>
      <c r="O169" s="299">
        <f>O67*(BOM_average!N43*BOM_average!N53)/1000000</f>
        <v>12.995328935284697</v>
      </c>
      <c r="P169" s="299">
        <f>P67*(BOM_average!O43*BOM_average!O53)/1000000</f>
        <v>13.584463446778978</v>
      </c>
      <c r="Q169" s="299">
        <f>Q67*(BOM_average!P43*BOM_average!P53)/1000000</f>
        <v>14.219990485797618</v>
      </c>
      <c r="R169" s="299">
        <f>R67*(BOM_average!Q43*BOM_average!Q53)/1000000</f>
        <v>14.09870497061296</v>
      </c>
      <c r="S169" s="299">
        <f>S67*(BOM_average!R43*BOM_average!R53)/1000000</f>
        <v>13.316548047496829</v>
      </c>
      <c r="T169" s="299">
        <f>T67*(BOM_average!S43*BOM_average!S53)/1000000</f>
        <v>12.298305936979443</v>
      </c>
      <c r="U169" s="299">
        <f>U67*(BOM_average!T43*BOM_average!T53)/1000000</f>
        <v>11.290048048058603</v>
      </c>
      <c r="V169" s="299">
        <f>V67*(BOM_average!U43*BOM_average!U53)/1000000</f>
        <v>10.429039180747923</v>
      </c>
      <c r="W169" s="299">
        <f>W67*(BOM_average!V43*BOM_average!V53)/1000000</f>
        <v>9.76720131426009</v>
      </c>
      <c r="X169" s="299">
        <f>X67*(BOM_average!W43*BOM_average!W53)/1000000</f>
        <v>9.3022466599812272</v>
      </c>
      <c r="Y169" s="299">
        <f>Y67*(BOM_average!X43*BOM_average!X53)/1000000</f>
        <v>9.0028055839361993</v>
      </c>
      <c r="Z169" s="299">
        <f>Z67*(BOM_average!Y43*BOM_average!Y53)/1000000</f>
        <v>8.8271743926904858</v>
      </c>
      <c r="AA169" s="299">
        <f>AA67*(BOM_average!Z43*BOM_average!Z53)/1000000</f>
        <v>8.7351896861337561</v>
      </c>
      <c r="AB169" s="299">
        <f>AB67*(BOM_average!AA43*BOM_average!AA53)/1000000</f>
        <v>8.6941907020632403</v>
      </c>
    </row>
    <row r="170" spans="2:28">
      <c r="B170" s="294" t="s">
        <v>313</v>
      </c>
      <c r="C170" s="299">
        <f>C67*(BOM_average!B44*BOM_average!B53)/1000000</f>
        <v>0</v>
      </c>
      <c r="D170" s="299">
        <f>D67*(BOM_average!C44*BOM_average!C53)/1000000</f>
        <v>0.4978997079166893</v>
      </c>
      <c r="E170" s="299">
        <f>E67*(BOM_average!D44*BOM_average!D53)/1000000</f>
        <v>1.6958987164444885</v>
      </c>
      <c r="F170" s="299">
        <f>F67*(BOM_average!E44*BOM_average!E53)/1000000</f>
        <v>3.2137270072985169</v>
      </c>
      <c r="G170" s="299">
        <f>G67*(BOM_average!F44*BOM_average!F53)/1000000</f>
        <v>4.85205975183385</v>
      </c>
      <c r="H170" s="299">
        <f>H67*(BOM_average!G44*BOM_average!G53)/1000000</f>
        <v>8.7162139071505571</v>
      </c>
      <c r="I170" s="299">
        <f>I67*(BOM_average!H44*BOM_average!H53)/1000000</f>
        <v>18.544702301418553</v>
      </c>
      <c r="J170" s="299">
        <f>J67*(BOM_average!I44*BOM_average!I53)/1000000</f>
        <v>36.895193084017926</v>
      </c>
      <c r="K170" s="299">
        <f>K67*(BOM_average!J44*BOM_average!J53)/1000000</f>
        <v>60.086456635010911</v>
      </c>
      <c r="L170" s="299">
        <f>L67*(BOM_average!K44*BOM_average!K53)/1000000</f>
        <v>82.701518503198088</v>
      </c>
      <c r="M170" s="299">
        <f>M67*(BOM_average!L44*BOM_average!L53)/1000000</f>
        <v>101.57097488765061</v>
      </c>
      <c r="N170" s="299">
        <f>N67*(BOM_average!M44*BOM_average!M53)/1000000</f>
        <v>114.24262849050923</v>
      </c>
      <c r="O170" s="299">
        <f>O67*(BOM_average!N44*BOM_average!N53)/1000000</f>
        <v>121.66835610311338</v>
      </c>
      <c r="P170" s="299">
        <f>P67*(BOM_average!O44*BOM_average!O53)/1000000</f>
        <v>127.18410933214464</v>
      </c>
      <c r="Q170" s="299">
        <f>Q67*(BOM_average!P44*BOM_average!P53)/1000000</f>
        <v>133.13421113268697</v>
      </c>
      <c r="R170" s="299">
        <f>R67*(BOM_average!Q44*BOM_average!Q53)/1000000</f>
        <v>131.99867933313632</v>
      </c>
      <c r="S170" s="299">
        <f>S67*(BOM_average!R44*BOM_average!R53)/1000000</f>
        <v>124.67575988076123</v>
      </c>
      <c r="T170" s="299">
        <f>T67*(BOM_average!S44*BOM_average!S53)/1000000</f>
        <v>115.14250032892052</v>
      </c>
      <c r="U170" s="299">
        <f>U67*(BOM_average!T44*BOM_average!T53)/1000000</f>
        <v>105.70271773596788</v>
      </c>
      <c r="V170" s="299">
        <f>V67*(BOM_average!U44*BOM_average!U53)/1000000</f>
        <v>97.641549450226506</v>
      </c>
      <c r="W170" s="299">
        <f>W67*(BOM_average!V44*BOM_average!V53)/1000000</f>
        <v>91.445113359738102</v>
      </c>
      <c r="X170" s="299">
        <f>X67*(BOM_average!W44*BOM_average!W53)/1000000</f>
        <v>87.091990115969935</v>
      </c>
      <c r="Y170" s="299">
        <f>Y67*(BOM_average!X44*BOM_average!X53)/1000000</f>
        <v>84.288482513078492</v>
      </c>
      <c r="Z170" s="299">
        <f>Z67*(BOM_average!Y44*BOM_average!Y53)/1000000</f>
        <v>82.644141040406922</v>
      </c>
      <c r="AA170" s="299">
        <f>AA67*(BOM_average!Z44*BOM_average!Z53)/1000000</f>
        <v>81.782937134825332</v>
      </c>
      <c r="AB170" s="299">
        <f>AB67*(BOM_average!AA44*BOM_average!AA53)/1000000</f>
        <v>81.399085443298461</v>
      </c>
    </row>
    <row r="171" spans="2:28">
      <c r="B171" s="294" t="s">
        <v>6911</v>
      </c>
      <c r="C171" s="299">
        <f>C67*(BOM_average!B45*BOM_average!B53)/1000000</f>
        <v>0</v>
      </c>
      <c r="D171" s="299">
        <f>D67*(BOM_average!C45*BOM_average!C53)/1000000</f>
        <v>2.3871035636998705</v>
      </c>
      <c r="E171" s="299">
        <f>E67*(BOM_average!D45*BOM_average!D53)/1000000</f>
        <v>8.1307255363484785</v>
      </c>
      <c r="F171" s="299">
        <f>F67*(BOM_average!E45*BOM_average!E53)/1000000</f>
        <v>15.407719807629285</v>
      </c>
      <c r="G171" s="299">
        <f>G67*(BOM_average!F45*BOM_average!F53)/1000000</f>
        <v>23.262454146338449</v>
      </c>
      <c r="H171" s="299">
        <f>H67*(BOM_average!G45*BOM_average!G53)/1000000</f>
        <v>41.788546867777839</v>
      </c>
      <c r="I171" s="299">
        <f>I67*(BOM_average!H45*BOM_average!H53)/1000000</f>
        <v>88.909722676271485</v>
      </c>
      <c r="J171" s="299">
        <f>J67*(BOM_average!I45*BOM_average!I53)/1000000</f>
        <v>176.88832809877985</v>
      </c>
      <c r="K171" s="299">
        <f>K67*(BOM_average!J45*BOM_average!J53)/1000000</f>
        <v>288.07527396166302</v>
      </c>
      <c r="L171" s="299">
        <f>L67*(BOM_average!K45*BOM_average!K53)/1000000</f>
        <v>396.49970948648877</v>
      </c>
      <c r="M171" s="299">
        <f>M67*(BOM_average!L45*BOM_average!L53)/1000000</f>
        <v>486.96641566086305</v>
      </c>
      <c r="N171" s="299">
        <f>N67*(BOM_average!M45*BOM_average!M53)/1000000</f>
        <v>547.71870973213288</v>
      </c>
      <c r="O171" s="299">
        <f>O67*(BOM_average!N45*BOM_average!N53)/1000000</f>
        <v>583.32021856064966</v>
      </c>
      <c r="P171" s="299">
        <f>P67*(BOM_average!O45*BOM_average!O53)/1000000</f>
        <v>609.76464899544862</v>
      </c>
      <c r="Q171" s="299">
        <f>Q67*(BOM_average!P45*BOM_average!P53)/1000000</f>
        <v>638.29149684575532</v>
      </c>
      <c r="R171" s="299">
        <f>R67*(BOM_average!Q45*BOM_average!Q53)/1000000</f>
        <v>632.84736429797044</v>
      </c>
      <c r="S171" s="299">
        <f>S67*(BOM_average!R45*BOM_average!R53)/1000000</f>
        <v>597.73875337993275</v>
      </c>
      <c r="T171" s="299">
        <f>T67*(BOM_average!S45*BOM_average!S53)/1000000</f>
        <v>552.03300684496458</v>
      </c>
      <c r="U171" s="299">
        <f>U67*(BOM_average!T45*BOM_average!T53)/1000000</f>
        <v>506.77542121095246</v>
      </c>
      <c r="V171" s="299">
        <f>V67*(BOM_average!U45*BOM_average!U53)/1000000</f>
        <v>468.1273898172538</v>
      </c>
      <c r="W171" s="299">
        <f>W67*(BOM_average!V45*BOM_average!V53)/1000000</f>
        <v>438.41953010443319</v>
      </c>
      <c r="X171" s="299">
        <f>X67*(BOM_average!W45*BOM_average!W53)/1000000</f>
        <v>417.54915030063052</v>
      </c>
      <c r="Y171" s="299">
        <f>Y67*(BOM_average!X45*BOM_average!X53)/1000000</f>
        <v>404.10816432832786</v>
      </c>
      <c r="Z171" s="299">
        <f>Z67*(BOM_average!Y45*BOM_average!Y53)/1000000</f>
        <v>396.22462206681962</v>
      </c>
      <c r="AA171" s="299">
        <f>AA67*(BOM_average!Z45*BOM_average!Z53)/1000000</f>
        <v>392.0957124101181</v>
      </c>
      <c r="AB171" s="299">
        <f>AB67*(BOM_average!AA45*BOM_average!AA53)/1000000</f>
        <v>390.2553945183684</v>
      </c>
    </row>
    <row r="172" spans="2:28">
      <c r="B172" s="294" t="s">
        <v>441</v>
      </c>
      <c r="C172" s="299">
        <f>C67*(BOM_average!B46*BOM_average!B53)/1000000</f>
        <v>0</v>
      </c>
      <c r="D172" s="299">
        <f>D67*(BOM_average!C46*BOM_average!C53)/1000000</f>
        <v>2.7875879660451641</v>
      </c>
      <c r="E172" s="299">
        <f>E67*(BOM_average!D46*BOM_average!D53)/1000000</f>
        <v>9.4948174871858253</v>
      </c>
      <c r="F172" s="299">
        <f>F67*(BOM_average!E46*BOM_average!E53)/1000000</f>
        <v>17.992673201565058</v>
      </c>
      <c r="G172" s="299">
        <f>G67*(BOM_average!F46*BOM_average!F53)/1000000</f>
        <v>27.165196443552194</v>
      </c>
      <c r="H172" s="299">
        <f>H67*(BOM_average!G46*BOM_average!G53)/1000000</f>
        <v>48.79941203161723</v>
      </c>
      <c r="I172" s="299">
        <f>I67*(BOM_average!H46*BOM_average!H53)/1000000</f>
        <v>103.8261082450248</v>
      </c>
      <c r="J172" s="299">
        <f>J67*(BOM_average!I46*BOM_average!I53)/1000000</f>
        <v>206.56488568000967</v>
      </c>
      <c r="K172" s="299">
        <f>K67*(BOM_average!J46*BOM_average!J53)/1000000</f>
        <v>336.40566719528425</v>
      </c>
      <c r="L172" s="299">
        <f>L67*(BOM_average!K46*BOM_average!K53)/1000000</f>
        <v>463.02047196973052</v>
      </c>
      <c r="M172" s="299">
        <f>M67*(BOM_average!L46*BOM_average!L53)/1000000</f>
        <v>568.66477885877021</v>
      </c>
      <c r="N172" s="299">
        <f>N67*(BOM_average!M46*BOM_average!M53)/1000000</f>
        <v>639.60948625982769</v>
      </c>
      <c r="O172" s="299">
        <f>O67*(BOM_average!N46*BOM_average!N53)/1000000</f>
        <v>681.18386078323726</v>
      </c>
      <c r="P172" s="299">
        <f>P67*(BOM_average!O46*BOM_average!O53)/1000000</f>
        <v>712.06487372710308</v>
      </c>
      <c r="Q172" s="299">
        <f>Q67*(BOM_average!P46*BOM_average!P53)/1000000</f>
        <v>745.37767128895803</v>
      </c>
      <c r="R172" s="299">
        <f>R67*(BOM_average!Q46*BOM_average!Q53)/1000000</f>
        <v>739.02017653819064</v>
      </c>
      <c r="S172" s="299">
        <f>S67*(BOM_average!R46*BOM_average!R53)/1000000</f>
        <v>698.02139341543682</v>
      </c>
      <c r="T172" s="299">
        <f>T67*(BOM_average!S46*BOM_average!S53)/1000000</f>
        <v>644.64759306698807</v>
      </c>
      <c r="U172" s="299">
        <f>U67*(BOM_average!T46*BOM_average!T53)/1000000</f>
        <v>591.79714158088211</v>
      </c>
      <c r="V172" s="299">
        <f>V67*(BOM_average!U46*BOM_average!U53)/1000000</f>
        <v>546.6651293537177</v>
      </c>
      <c r="W172" s="299">
        <f>W67*(BOM_average!V46*BOM_average!V53)/1000000</f>
        <v>511.97318155063999</v>
      </c>
      <c r="X172" s="299">
        <f>X67*(BOM_average!W46*BOM_average!W53)/1000000</f>
        <v>487.60137779961218</v>
      </c>
      <c r="Y172" s="299">
        <f>Y67*(BOM_average!X46*BOM_average!X53)/1000000</f>
        <v>471.90539739979249</v>
      </c>
      <c r="Z172" s="299">
        <f>Z67*(BOM_average!Y46*BOM_average!Y53)/1000000</f>
        <v>462.69923312934623</v>
      </c>
      <c r="AA172" s="299">
        <f>AA67*(BOM_average!Z46*BOM_average!Z53)/1000000</f>
        <v>457.87761623474057</v>
      </c>
      <c r="AB172" s="299">
        <f>AB67*(BOM_average!AA46*BOM_average!AA53)/1000000</f>
        <v>455.72854818140991</v>
      </c>
    </row>
    <row r="173" spans="2:28">
      <c r="B173" s="294" t="s">
        <v>6912</v>
      </c>
      <c r="C173" s="299">
        <f>C67*(BOM_average!B47*BOM_average!B53)/1000000</f>
        <v>0</v>
      </c>
      <c r="D173" s="299">
        <f>D67*(BOM_average!C47*BOM_average!C53)/1000000</f>
        <v>0.81352976442727543</v>
      </c>
      <c r="E173" s="299">
        <f>E67*(BOM_average!D47*BOM_average!D53)/1000000</f>
        <v>2.770967850241147</v>
      </c>
      <c r="F173" s="299">
        <f>F67*(BOM_average!E47*BOM_average!E53)/1000000</f>
        <v>5.2509823436542336</v>
      </c>
      <c r="G173" s="299">
        <f>G67*(BOM_average!F47*BOM_average!F53)/1000000</f>
        <v>7.9278918306916033</v>
      </c>
      <c r="H173" s="299">
        <f>H67*(BOM_average!G47*BOM_average!G53)/1000000</f>
        <v>14.241622025149722</v>
      </c>
      <c r="I173" s="299">
        <f>I67*(BOM_average!H47*BOM_average!H53)/1000000</f>
        <v>30.300614872365731</v>
      </c>
      <c r="J173" s="299">
        <f>J67*(BOM_average!I47*BOM_average!I53)/1000000</f>
        <v>60.283903085081221</v>
      </c>
      <c r="K173" s="299">
        <f>K67*(BOM_average!J47*BOM_average!J53)/1000000</f>
        <v>98.176641067098785</v>
      </c>
      <c r="L173" s="299">
        <f>L67*(BOM_average!K47*BOM_average!K53)/1000000</f>
        <v>135.12790989012251</v>
      </c>
      <c r="M173" s="299">
        <f>M67*(BOM_average!L47*BOM_average!L53)/1000000</f>
        <v>165.95914791503611</v>
      </c>
      <c r="N173" s="299">
        <f>N67*(BOM_average!M47*BOM_average!M53)/1000000</f>
        <v>186.66365367498429</v>
      </c>
      <c r="O173" s="299">
        <f>O67*(BOM_average!N47*BOM_average!N53)/1000000</f>
        <v>198.79672051420764</v>
      </c>
      <c r="P173" s="299">
        <f>P67*(BOM_average!O47*BOM_average!O53)/1000000</f>
        <v>207.80903635554094</v>
      </c>
      <c r="Q173" s="299">
        <f>Q67*(BOM_average!P47*BOM_average!P53)/1000000</f>
        <v>217.53104430040889</v>
      </c>
      <c r="R173" s="299">
        <f>R67*(BOM_average!Q47*BOM_average!Q53)/1000000</f>
        <v>215.67567282157546</v>
      </c>
      <c r="S173" s="299">
        <f>S67*(BOM_average!R47*BOM_average!R53)/1000000</f>
        <v>203.71058659580197</v>
      </c>
      <c r="T173" s="299">
        <f>T67*(BOM_average!S47*BOM_average!S53)/1000000</f>
        <v>188.13397493261388</v>
      </c>
      <c r="U173" s="299">
        <f>U67*(BOM_average!T47*BOM_average!T53)/1000000</f>
        <v>172.71009741876239</v>
      </c>
      <c r="V173" s="299">
        <f>V67*(BOM_average!U47*BOM_average!U53)/1000000</f>
        <v>159.53876947412917</v>
      </c>
      <c r="W173" s="299">
        <f>W67*(BOM_average!V47*BOM_average!V53)/1000000</f>
        <v>149.41427027713993</v>
      </c>
      <c r="X173" s="299">
        <f>X67*(BOM_average!W47*BOM_average!W53)/1000000</f>
        <v>142.30160226244371</v>
      </c>
      <c r="Y173" s="299">
        <f>Y67*(BOM_average!X47*BOM_average!X53)/1000000</f>
        <v>137.72088682219294</v>
      </c>
      <c r="Z173" s="299">
        <f>Z67*(BOM_average!Y47*BOM_average!Y53)/1000000</f>
        <v>135.03415953629477</v>
      </c>
      <c r="AA173" s="299">
        <f>AA67*(BOM_average!Z47*BOM_average!Z53)/1000000</f>
        <v>133.6270187019224</v>
      </c>
      <c r="AB173" s="299">
        <f>AB67*(BOM_average!AA47*BOM_average!AA53)/1000000</f>
        <v>132.99983460999053</v>
      </c>
    </row>
    <row r="174" spans="2:28">
      <c r="B174" s="294" t="s">
        <v>443</v>
      </c>
      <c r="C174" s="299">
        <f>C67*(BOM_average!B48*BOM_average!B53)/1000000</f>
        <v>0</v>
      </c>
      <c r="D174" s="299">
        <f>D67*(BOM_average!C48*BOM_average!C53)/1000000</f>
        <v>1.8147245550213253</v>
      </c>
      <c r="E174" s="299">
        <f>E67*(BOM_average!D48*BOM_average!D53)/1000000</f>
        <v>6.181142496424032</v>
      </c>
      <c r="F174" s="299">
        <f>F67*(BOM_average!E48*BOM_average!E53)/1000000</f>
        <v>11.713261165952837</v>
      </c>
      <c r="G174" s="299">
        <f>G67*(BOM_average!F48*BOM_average!F53)/1000000</f>
        <v>17.68458955504525</v>
      </c>
      <c r="H174" s="299">
        <f>H67*(BOM_average!G48*BOM_average!G53)/1000000</f>
        <v>31.768501070844454</v>
      </c>
      <c r="I174" s="299">
        <f>I67*(BOM_average!H48*BOM_average!H53)/1000000</f>
        <v>67.590974842619886</v>
      </c>
      <c r="J174" s="299">
        <f>J67*(BOM_average!I48*BOM_average!I53)/1000000</f>
        <v>134.47409545985002</v>
      </c>
      <c r="K174" s="299">
        <f>K67*(BOM_average!J48*BOM_average!J53)/1000000</f>
        <v>219.00066729507591</v>
      </c>
      <c r="L174" s="299">
        <f>L67*(BOM_average!K48*BOM_average!K53)/1000000</f>
        <v>301.42712272973694</v>
      </c>
      <c r="M174" s="299">
        <f>M67*(BOM_average!L48*BOM_average!L53)/1000000</f>
        <v>370.20174801330825</v>
      </c>
      <c r="N174" s="299">
        <f>N67*(BOM_average!M48*BOM_average!M53)/1000000</f>
        <v>416.38687441567134</v>
      </c>
      <c r="O174" s="299">
        <f>O67*(BOM_average!N48*BOM_average!N53)/1000000</f>
        <v>443.45186365592912</v>
      </c>
      <c r="P174" s="299">
        <f>P67*(BOM_average!O48*BOM_average!O53)/1000000</f>
        <v>463.55545613651765</v>
      </c>
      <c r="Q174" s="299">
        <f>Q67*(BOM_average!P48*BOM_average!P53)/1000000</f>
        <v>485.24214458126659</v>
      </c>
      <c r="R174" s="299">
        <f>R67*(BOM_average!Q48*BOM_average!Q53)/1000000</f>
        <v>481.10340457622743</v>
      </c>
      <c r="S174" s="299">
        <f>S67*(BOM_average!R48*BOM_average!R53)/1000000</f>
        <v>454.41312632667291</v>
      </c>
      <c r="T174" s="299">
        <f>T67*(BOM_average!S48*BOM_average!S53)/1000000</f>
        <v>419.66669060269027</v>
      </c>
      <c r="U174" s="299">
        <f>U67*(BOM_average!T48*BOM_average!T53)/1000000</f>
        <v>385.26095588721546</v>
      </c>
      <c r="V174" s="299">
        <f>V67*(BOM_average!U48*BOM_average!U53)/1000000</f>
        <v>355.87993838972818</v>
      </c>
      <c r="W174" s="299">
        <f>W67*(BOM_average!V48*BOM_average!V53)/1000000</f>
        <v>333.29542076853852</v>
      </c>
      <c r="X174" s="299">
        <f>X67*(BOM_average!W48*BOM_average!W53)/1000000</f>
        <v>317.42933465542518</v>
      </c>
      <c r="Y174" s="299">
        <f>Y67*(BOM_average!X48*BOM_average!X53)/1000000</f>
        <v>307.21122444916784</v>
      </c>
      <c r="Z174" s="299">
        <f>Z67*(BOM_average!Y48*BOM_average!Y53)/1000000</f>
        <v>301.21799569275265</v>
      </c>
      <c r="AA174" s="299">
        <f>AA67*(BOM_average!Z48*BOM_average!Z53)/1000000</f>
        <v>298.07911481074041</v>
      </c>
      <c r="AB174" s="299">
        <f>AB67*(BOM_average!AA48*BOM_average!AA53)/1000000</f>
        <v>296.68006781588491</v>
      </c>
    </row>
    <row r="175" spans="2:28">
      <c r="B175" s="294" t="s">
        <v>445</v>
      </c>
      <c r="C175" s="299">
        <f>C67*(BOM_average!B49*BOM_average!B53)/1000000</f>
        <v>0</v>
      </c>
      <c r="D175" s="299">
        <f>D67*(BOM_average!C49*BOM_average!C53)/1000000</f>
        <v>2.6661066927359269</v>
      </c>
      <c r="E175" s="299">
        <f>E67*(BOM_average!D49*BOM_average!D53)/1000000</f>
        <v>9.081039506999403</v>
      </c>
      <c r="F175" s="299">
        <f>F67*(BOM_average!E49*BOM_average!E53)/1000000</f>
        <v>17.208564187827228</v>
      </c>
      <c r="G175" s="299">
        <f>G67*(BOM_average!F49*BOM_average!F53)/1000000</f>
        <v>25.981354823536812</v>
      </c>
      <c r="H175" s="299">
        <f>H67*(BOM_average!G49*BOM_average!G53)/1000000</f>
        <v>46.672765345466736</v>
      </c>
      <c r="I175" s="299">
        <f>I67*(BOM_average!H49*BOM_average!H53)/1000000</f>
        <v>99.301433872060471</v>
      </c>
      <c r="J175" s="299">
        <f>J67*(BOM_average!I49*BOM_average!I53)/1000000</f>
        <v>197.56292210467331</v>
      </c>
      <c r="K175" s="299">
        <f>K67*(BOM_average!J49*BOM_average!J53)/1000000</f>
        <v>321.74532667971448</v>
      </c>
      <c r="L175" s="299">
        <f>L67*(BOM_average!K49*BOM_average!K53)/1000000</f>
        <v>442.84234048535336</v>
      </c>
      <c r="M175" s="299">
        <f>M67*(BOM_average!L49*BOM_average!L53)/1000000</f>
        <v>543.88273708525514</v>
      </c>
      <c r="N175" s="299">
        <f>N67*(BOM_average!M49*BOM_average!M53)/1000000</f>
        <v>611.7357202090484</v>
      </c>
      <c r="O175" s="299">
        <f>O67*(BOM_average!N49*BOM_average!N53)/1000000</f>
        <v>651.49831048899807</v>
      </c>
      <c r="P175" s="299">
        <f>P67*(BOM_average!O49*BOM_average!O53)/1000000</f>
        <v>681.0335489428046</v>
      </c>
      <c r="Q175" s="299">
        <f>Q67*(BOM_average!P49*BOM_average!P53)/1000000</f>
        <v>712.89459642014174</v>
      </c>
      <c r="R175" s="299">
        <f>R67*(BOM_average!Q49*BOM_average!Q53)/1000000</f>
        <v>706.81415716207528</v>
      </c>
      <c r="S175" s="299">
        <f>S67*(BOM_average!R49*BOM_average!R53)/1000000</f>
        <v>667.60207438332804</v>
      </c>
      <c r="T175" s="299">
        <f>T67*(BOM_average!S49*BOM_average!S53)/1000000</f>
        <v>616.55426959328361</v>
      </c>
      <c r="U175" s="299">
        <f>U67*(BOM_average!T49*BOM_average!T53)/1000000</f>
        <v>566.00700646202222</v>
      </c>
      <c r="V175" s="299">
        <f>V67*(BOM_average!U49*BOM_average!U53)/1000000</f>
        <v>522.84181801912848</v>
      </c>
      <c r="W175" s="299">
        <f>W67*(BOM_average!V49*BOM_average!V53)/1000000</f>
        <v>489.66172277246511</v>
      </c>
      <c r="X175" s="299">
        <f>X67*(BOM_average!W49*BOM_average!W53)/1000000</f>
        <v>466.35202640193307</v>
      </c>
      <c r="Y175" s="299">
        <f>Y67*(BOM_average!X49*BOM_average!X53)/1000000</f>
        <v>451.3400666350164</v>
      </c>
      <c r="Z175" s="299">
        <f>Z67*(BOM_average!Y49*BOM_average!Y53)/1000000</f>
        <v>442.5351010250215</v>
      </c>
      <c r="AA175" s="299">
        <f>AA67*(BOM_average!Z49*BOM_average!Z53)/1000000</f>
        <v>437.92360706353963</v>
      </c>
      <c r="AB175" s="299">
        <f>AB67*(BOM_average!AA49*BOM_average!AA53)/1000000</f>
        <v>435.86819400037496</v>
      </c>
    </row>
    <row r="176" spans="2:28">
      <c r="B176" s="294" t="s">
        <v>6915</v>
      </c>
      <c r="C176" s="299">
        <f>C67*(BOM_average!B50*BOM_average!B53)/1000000</f>
        <v>0</v>
      </c>
      <c r="D176" s="299">
        <f>D67*(BOM_average!C50*BOM_average!C53)/1000000</f>
        <v>0</v>
      </c>
      <c r="E176" s="299">
        <f>E67*(BOM_average!D50*BOM_average!D53)/1000000</f>
        <v>0</v>
      </c>
      <c r="F176" s="299">
        <f>F67*(BOM_average!E50*BOM_average!E53)/1000000</f>
        <v>0</v>
      </c>
      <c r="G176" s="299">
        <f>G67*(BOM_average!F50*BOM_average!F53)/1000000</f>
        <v>0</v>
      </c>
      <c r="H176" s="299">
        <f>H67*(BOM_average!G50*BOM_average!G53)/1000000</f>
        <v>0</v>
      </c>
      <c r="I176" s="299">
        <f>I67*(BOM_average!H50*BOM_average!H53)/1000000</f>
        <v>0</v>
      </c>
      <c r="J176" s="299">
        <f>J67*(BOM_average!I50*BOM_average!I53)/1000000</f>
        <v>0</v>
      </c>
      <c r="K176" s="299">
        <f>K67*(BOM_average!J50*BOM_average!J53)/1000000</f>
        <v>0</v>
      </c>
      <c r="L176" s="299">
        <f>L67*(BOM_average!K50*BOM_average!K53)/1000000</f>
        <v>0</v>
      </c>
      <c r="M176" s="299">
        <f>M67*(BOM_average!L50*BOM_average!L53)/1000000</f>
        <v>0</v>
      </c>
      <c r="N176" s="299">
        <f>N67*(BOM_average!M50*BOM_average!M53)/1000000</f>
        <v>0</v>
      </c>
      <c r="O176" s="299">
        <f>O67*(BOM_average!N50*BOM_average!N53)/1000000</f>
        <v>0</v>
      </c>
      <c r="P176" s="299">
        <f>P67*(BOM_average!O50*BOM_average!O53)/1000000</f>
        <v>0</v>
      </c>
      <c r="Q176" s="299">
        <f>Q67*(BOM_average!P50*BOM_average!P53)/1000000</f>
        <v>0</v>
      </c>
      <c r="R176" s="299">
        <f>R67*(BOM_average!Q50*BOM_average!Q53)/1000000</f>
        <v>0</v>
      </c>
      <c r="S176" s="299">
        <f>S67*(BOM_average!R50*BOM_average!R53)/1000000</f>
        <v>0</v>
      </c>
      <c r="T176" s="299">
        <f>T67*(BOM_average!S50*BOM_average!S53)/1000000</f>
        <v>0</v>
      </c>
      <c r="U176" s="299">
        <f>U67*(BOM_average!T50*BOM_average!T53)/1000000</f>
        <v>0</v>
      </c>
      <c r="V176" s="299">
        <f>V67*(BOM_average!U50*BOM_average!U53)/1000000</f>
        <v>0</v>
      </c>
      <c r="W176" s="299">
        <f>W67*(BOM_average!V50*BOM_average!V53)/1000000</f>
        <v>0</v>
      </c>
      <c r="X176" s="299">
        <f>X67*(BOM_average!W50*BOM_average!W53)/1000000</f>
        <v>0</v>
      </c>
      <c r="Y176" s="299">
        <f>Y67*(BOM_average!X50*BOM_average!X53)/1000000</f>
        <v>0</v>
      </c>
      <c r="Z176" s="299">
        <f>Z67*(BOM_average!Y50*BOM_average!Y53)/1000000</f>
        <v>0</v>
      </c>
      <c r="AA176" s="299">
        <f>AA67*(BOM_average!Z50*BOM_average!Z53)/1000000</f>
        <v>0</v>
      </c>
      <c r="AB176" s="299">
        <f>AB67*(BOM_average!AA50*BOM_average!AA53)/1000000</f>
        <v>0</v>
      </c>
    </row>
    <row r="177" spans="1:29">
      <c r="B177" s="294" t="s">
        <v>447</v>
      </c>
      <c r="C177" s="299">
        <f>C67*(BOM_average!B51*BOM_average!B53)/1000000</f>
        <v>0</v>
      </c>
      <c r="D177" s="299">
        <f>D67*(BOM_average!C51*BOM_average!C53)/1000000</f>
        <v>7.6968336483295915E-2</v>
      </c>
      <c r="E177" s="299">
        <f>E67*(BOM_average!D51*BOM_average!D53)/1000000</f>
        <v>0.26216224065495936</v>
      </c>
      <c r="F177" s="299">
        <f>F67*(BOM_average!E51*BOM_average!E53)/1000000</f>
        <v>0.4967972821237252</v>
      </c>
      <c r="G177" s="299">
        <f>G67*(BOM_average!F51*BOM_average!F53)/1000000</f>
        <v>0.7500606280305212</v>
      </c>
      <c r="H177" s="299">
        <f>H67*(BOM_average!G51*BOM_average!G53)/1000000</f>
        <v>1.3474048572412516</v>
      </c>
      <c r="I177" s="299">
        <f>I67*(BOM_average!H51*BOM_average!H53)/1000000</f>
        <v>2.8667518056808476</v>
      </c>
      <c r="J177" s="299">
        <f>J67*(BOM_average!I51*BOM_average!I53)/1000000</f>
        <v>5.7034812247409983</v>
      </c>
      <c r="K177" s="299">
        <f>K67*(BOM_average!J51*BOM_average!J53)/1000000</f>
        <v>9.2885264619322143</v>
      </c>
      <c r="L177" s="299">
        <f>L67*(BOM_average!K51*BOM_average!K53)/1000000</f>
        <v>12.784498971625748</v>
      </c>
      <c r="M177" s="299">
        <f>M67*(BOM_average!L51*BOM_average!L53)/1000000</f>
        <v>15.701453219966925</v>
      </c>
      <c r="N177" s="299">
        <f>N67*(BOM_average!M51*BOM_average!M53)/1000000</f>
        <v>17.660313775209076</v>
      </c>
      <c r="O177" s="299">
        <f>O67*(BOM_average!N51*BOM_average!N53)/1000000</f>
        <v>18.808227486409429</v>
      </c>
      <c r="P177" s="299">
        <f>P67*(BOM_average!O51*BOM_average!O53)/1000000</f>
        <v>19.660885850615461</v>
      </c>
      <c r="Q177" s="299">
        <f>Q67*(BOM_average!P51*BOM_average!P53)/1000000</f>
        <v>20.580688433770689</v>
      </c>
      <c r="R177" s="299">
        <f>R67*(BOM_average!Q51*BOM_average!Q53)/1000000</f>
        <v>20.405151087101029</v>
      </c>
      <c r="S177" s="299">
        <f>S67*(BOM_average!R51*BOM_average!R53)/1000000</f>
        <v>19.273130080684233</v>
      </c>
      <c r="T177" s="299">
        <f>T67*(BOM_average!S51*BOM_average!S53)/1000000</f>
        <v>17.799421385334995</v>
      </c>
      <c r="U177" s="299">
        <f>U67*(BOM_average!T51*BOM_average!T53)/1000000</f>
        <v>16.340162921449512</v>
      </c>
      <c r="V177" s="299">
        <f>V67*(BOM_average!U51*BOM_average!U53)/1000000</f>
        <v>15.09401896273638</v>
      </c>
      <c r="W177" s="299">
        <f>W67*(BOM_average!V51*BOM_average!V53)/1000000</f>
        <v>14.136136540982172</v>
      </c>
      <c r="X177" s="299">
        <f>X67*(BOM_average!W51*BOM_average!W53)/1000000</f>
        <v>13.463204524248257</v>
      </c>
      <c r="Y177" s="299">
        <f>Y67*(BOM_average!X51*BOM_average!X53)/1000000</f>
        <v>13.029821429054854</v>
      </c>
      <c r="Z177" s="299">
        <f>Z67*(BOM_average!Y51*BOM_average!Y53)/1000000</f>
        <v>12.775629217752732</v>
      </c>
      <c r="AA177" s="299">
        <f>AA67*(BOM_average!Z51*BOM_average!Z53)/1000000</f>
        <v>12.642499129641445</v>
      </c>
      <c r="AB177" s="299">
        <f>AB67*(BOM_average!AA51*BOM_average!AA53)/1000000</f>
        <v>12.583161022622377</v>
      </c>
    </row>
    <row r="178" spans="1:29">
      <c r="B178" s="294" t="s">
        <v>7756</v>
      </c>
      <c r="C178" s="299">
        <f>C67*(BOM_average!B53)/1000000</f>
        <v>0</v>
      </c>
      <c r="D178" s="299">
        <f>D67*(BOM_average!C53)/1000000</f>
        <v>12.241313333333332</v>
      </c>
      <c r="E178" s="299">
        <f>E67*(BOM_average!D53)/1000000</f>
        <v>41.695199333333328</v>
      </c>
      <c r="F178" s="299">
        <f>F67*(BOM_average!E53)/1000000</f>
        <v>79.012376666666654</v>
      </c>
      <c r="G178" s="299">
        <f>G67*(BOM_average!F53)/1000000</f>
        <v>119.29226466666665</v>
      </c>
      <c r="H178" s="299">
        <f>H67*(BOM_average!G53)/1000000</f>
        <v>214.29597933333332</v>
      </c>
      <c r="I178" s="299">
        <f>I67*(BOM_average!H53)/1000000</f>
        <v>455.93822999999992</v>
      </c>
      <c r="J178" s="299">
        <f>J67*(BOM_average!I53)/1000000</f>
        <v>907.10159466666653</v>
      </c>
      <c r="K178" s="299">
        <f>K67*(BOM_average!J53)/1000000</f>
        <v>1477.2797233333333</v>
      </c>
      <c r="L178" s="299">
        <f>L67*(BOM_average!K53)/1000000</f>
        <v>2033.2914139999998</v>
      </c>
      <c r="M178" s="299">
        <f>M67*(BOM_average!L53)/1000000</f>
        <v>2497.2140159999994</v>
      </c>
      <c r="N178" s="299">
        <f>N67*(BOM_average!M53)/1000000</f>
        <v>2808.7580473333328</v>
      </c>
      <c r="O178" s="299">
        <f>O67*(BOM_average!N53)/1000000</f>
        <v>2991.3262573333332</v>
      </c>
      <c r="P178" s="299">
        <f>P67*(BOM_average!O53)/1000000</f>
        <v>3126.9360246666661</v>
      </c>
      <c r="Q178" s="299">
        <f>Q67*(BOM_average!P53)/1000000</f>
        <v>3273.224643333333</v>
      </c>
      <c r="R178" s="299">
        <f>R67*(BOM_average!Q53)/1000000</f>
        <v>3245.3065699999997</v>
      </c>
      <c r="S178" s="299">
        <f>S67*(BOM_average!R53)/1000000</f>
        <v>3065.2659913333332</v>
      </c>
      <c r="T178" s="299">
        <f>T67*(BOM_average!S53)/1000000</f>
        <v>2830.8822079999995</v>
      </c>
      <c r="U178" s="299">
        <f>U67*(BOM_average!T53)/1000000</f>
        <v>2598.7966399999996</v>
      </c>
      <c r="V178" s="299">
        <f>V67*(BOM_average!U53)/1000000</f>
        <v>2400.6055479999995</v>
      </c>
      <c r="W178" s="299">
        <f>W67*(BOM_average!V53)/1000000</f>
        <v>2248.2605786666663</v>
      </c>
      <c r="X178" s="299">
        <f>X67*(BOM_average!W53)/1000000</f>
        <v>2141.2351179999996</v>
      </c>
      <c r="Y178" s="299">
        <f>Y67*(BOM_average!X53)/1000000</f>
        <v>2072.3083553333331</v>
      </c>
      <c r="Z178" s="299">
        <f>Z67*(BOM_average!Y53)/1000000</f>
        <v>2031.8807373333329</v>
      </c>
      <c r="AA178" s="299">
        <f>AA67*(BOM_average!Z53)/1000000</f>
        <v>2010.7072626666666</v>
      </c>
      <c r="AB178" s="299">
        <f>AB67*(BOM_average!AA53)/1000000</f>
        <v>2001.2699226666666</v>
      </c>
    </row>
    <row r="179" spans="1:29">
      <c r="B179" s="295" t="s">
        <v>7757</v>
      </c>
      <c r="C179" s="299">
        <f>C67*(BOM_average!B54)/1000000</f>
        <v>0</v>
      </c>
      <c r="D179" s="299">
        <f>D67*(BOM_average!C54)/1000000</f>
        <v>14.490953999999999</v>
      </c>
      <c r="E179" s="299">
        <f>E67*(BOM_average!D54)/1000000</f>
        <v>49.357711799999997</v>
      </c>
      <c r="F179" s="299">
        <f>F67*(BOM_average!E54)/1000000</f>
        <v>93.532832999999997</v>
      </c>
      <c r="G179" s="299">
        <f>G67*(BOM_average!F54)/1000000</f>
        <v>141.21513539999998</v>
      </c>
      <c r="H179" s="299">
        <f>H67*(BOM_average!G54)/1000000</f>
        <v>253.67810579999997</v>
      </c>
      <c r="I179" s="299">
        <f>I67*(BOM_average!H54)/1000000</f>
        <v>539.72802899999999</v>
      </c>
      <c r="J179" s="299">
        <f>J67*(BOM_average!I54)/1000000</f>
        <v>1073.8036943999998</v>
      </c>
      <c r="K179" s="299">
        <f>K67*(BOM_average!J54)/1000000</f>
        <v>1748.765997</v>
      </c>
      <c r="L179" s="299">
        <f>L67*(BOM_average!K54)/1000000</f>
        <v>2406.9584321999996</v>
      </c>
      <c r="M179" s="299">
        <f>M67*(BOM_average!L54)/1000000</f>
        <v>2956.1381567999997</v>
      </c>
      <c r="N179" s="299">
        <f>N67*(BOM_average!M54)/1000000</f>
        <v>3324.9360222</v>
      </c>
      <c r="O179" s="299">
        <f>O67*(BOM_average!N54)/1000000</f>
        <v>3541.0556051999997</v>
      </c>
      <c r="P179" s="299">
        <f>P67*(BOM_average!O54)/1000000</f>
        <v>3701.5869833999996</v>
      </c>
      <c r="Q179" s="299">
        <f>Q67*(BOM_average!P54)/1000000</f>
        <v>3874.7597129999995</v>
      </c>
      <c r="R179" s="299">
        <f>R67*(BOM_average!Q54)/1000000</f>
        <v>3841.7110109999994</v>
      </c>
      <c r="S179" s="299">
        <f>S67*(BOM_average!R54)/1000000</f>
        <v>3628.5835733999998</v>
      </c>
      <c r="T179" s="299">
        <f>T67*(BOM_average!S54)/1000000</f>
        <v>3351.1260383999997</v>
      </c>
      <c r="U179" s="299">
        <f>U67*(BOM_average!T54)/1000000</f>
        <v>3076.3890719999999</v>
      </c>
      <c r="V179" s="299">
        <f>V67*(BOM_average!U54)/1000000</f>
        <v>2841.7755203999996</v>
      </c>
      <c r="W179" s="299">
        <f>W67*(BOM_average!V54)/1000000</f>
        <v>2661.4334375999997</v>
      </c>
      <c r="X179" s="299">
        <f>X67*(BOM_average!W54)/1000000</f>
        <v>2534.7394313999998</v>
      </c>
      <c r="Y179" s="299">
        <f>Y67*(BOM_average!X54)/1000000</f>
        <v>2453.1456905999999</v>
      </c>
      <c r="Z179" s="299">
        <f>Z67*(BOM_average!Y54)/1000000</f>
        <v>2405.2885091999997</v>
      </c>
      <c r="AA179" s="299">
        <f>AA67*(BOM_average!Z54)/1000000</f>
        <v>2380.2238907999999</v>
      </c>
      <c r="AB179" s="299">
        <f>AB67*(BOM_average!AA54)/1000000</f>
        <v>2369.0522087999998</v>
      </c>
    </row>
    <row r="180" spans="1:29">
      <c r="B180" s="295" t="s">
        <v>7758</v>
      </c>
      <c r="C180" s="299">
        <f>C67*(BOM_average!B55)/1000000</f>
        <v>0</v>
      </c>
      <c r="D180" s="299">
        <f>D67*(BOM_average!C55)/1000000</f>
        <v>10.393846999999999</v>
      </c>
      <c r="E180" s="299">
        <f>E67*(BOM_average!D55)/1000000</f>
        <v>35.402534899999999</v>
      </c>
      <c r="F180" s="299">
        <f>F67*(BOM_average!E55)/1000000</f>
        <v>67.087781500000006</v>
      </c>
      <c r="G180" s="299">
        <f>G67*(BOM_average!F55)/1000000</f>
        <v>101.28860469999999</v>
      </c>
      <c r="H180" s="299">
        <f>H67*(BOM_average!G55)/1000000</f>
        <v>181.95430190000002</v>
      </c>
      <c r="I180" s="299">
        <f>I67*(BOM_average!H55)/1000000</f>
        <v>387.12775950000002</v>
      </c>
      <c r="J180" s="299">
        <f>J67*(BOM_average!I55)/1000000</f>
        <v>770.20127919999993</v>
      </c>
      <c r="K180" s="299">
        <f>K67*(BOM_average!J55)/1000000</f>
        <v>1254.3277834999999</v>
      </c>
      <c r="L180" s="299">
        <f>L67*(BOM_average!K55)/1000000</f>
        <v>1726.4258570999998</v>
      </c>
      <c r="M180" s="299">
        <f>M67*(BOM_average!L55)/1000000</f>
        <v>2120.3329823999998</v>
      </c>
      <c r="N180" s="299">
        <f>N67*(BOM_average!M55)/1000000</f>
        <v>2384.8586021000001</v>
      </c>
      <c r="O180" s="299">
        <f>O67*(BOM_average!N55)/1000000</f>
        <v>2539.8735085999997</v>
      </c>
      <c r="P180" s="299">
        <f>P67*(BOM_average!O55)/1000000</f>
        <v>2655.0169686999998</v>
      </c>
      <c r="Q180" s="299">
        <f>Q67*(BOM_average!P55)/1000000</f>
        <v>2779.2276215000002</v>
      </c>
      <c r="R180" s="299">
        <f>R67*(BOM_average!Q55)/1000000</f>
        <v>2755.5229605</v>
      </c>
      <c r="S180" s="299">
        <f>S67*(BOM_average!R55)/1000000</f>
        <v>2602.6542136999997</v>
      </c>
      <c r="T180" s="299">
        <f>T67*(BOM_average!S55)/1000000</f>
        <v>2403.6437711999997</v>
      </c>
      <c r="U180" s="299">
        <f>U67*(BOM_average!T55)/1000000</f>
        <v>2206.5846959999999</v>
      </c>
      <c r="V180" s="299">
        <f>V67*(BOM_average!U55)/1000000</f>
        <v>2038.3047221999998</v>
      </c>
      <c r="W180" s="299">
        <f>W67*(BOM_average!V55)/1000000</f>
        <v>1908.9517467999999</v>
      </c>
      <c r="X180" s="299">
        <f>X67*(BOM_average!W55)/1000000</f>
        <v>1818.0786326999998</v>
      </c>
      <c r="Y180" s="299">
        <f>Y67*(BOM_average!X55)/1000000</f>
        <v>1759.5543382999999</v>
      </c>
      <c r="Z180" s="299">
        <f>Z67*(BOM_average!Y55)/1000000</f>
        <v>1725.2280805999999</v>
      </c>
      <c r="AA180" s="299">
        <f>AA67*(BOM_average!Z55)/1000000</f>
        <v>1707.2501193999999</v>
      </c>
      <c r="AB180" s="299">
        <f>AB67*(BOM_average!AA55)/1000000</f>
        <v>1699.2370683999998</v>
      </c>
    </row>
    <row r="182" spans="1:29">
      <c r="B182" s="7" t="s">
        <v>6905</v>
      </c>
      <c r="C182" s="91">
        <f>C178*Outflow_routing!B4</f>
        <v>0</v>
      </c>
      <c r="D182" s="91">
        <f>D178*Outflow_routing!C4</f>
        <v>4.6438365469731187</v>
      </c>
      <c r="E182" s="91">
        <f>E178*Outflow_routing!D4</f>
        <v>15.817395178523535</v>
      </c>
      <c r="F182" s="91">
        <f>F178*Outflow_routing!E4</f>
        <v>29.973953973446697</v>
      </c>
      <c r="G182" s="91">
        <f>G178*Outflow_routing!F4</f>
        <v>45.254439891002164</v>
      </c>
      <c r="H182" s="91">
        <f>H178*Outflow_routing!G4</f>
        <v>81.294831167151131</v>
      </c>
      <c r="I182" s="91">
        <f>I178*Outflow_routing!H4</f>
        <v>172.96368110035868</v>
      </c>
      <c r="J182" s="91">
        <f>J178*Outflow_routing!I4</f>
        <v>344.11598024046407</v>
      </c>
      <c r="K182" s="91">
        <f>K178*Outflow_routing!J4</f>
        <v>560.41744725519686</v>
      </c>
      <c r="L182" s="91">
        <f>L178*Outflow_routing!K4</f>
        <v>771.34476684526624</v>
      </c>
      <c r="M182" s="91">
        <f>M178*Outflow_routing!L4</f>
        <v>947.33738099296909</v>
      </c>
      <c r="N182" s="91">
        <f>N178*Outflow_routing!M4</f>
        <v>1065.5240100989749</v>
      </c>
      <c r="O182" s="91">
        <f>O178*Outflow_routing!N4</f>
        <v>1134.7826674690828</v>
      </c>
      <c r="P182" s="91">
        <f>P178*Outflow_routing!O4</f>
        <v>1186.2272777425762</v>
      </c>
      <c r="Q182" s="91">
        <f>Q178*Outflow_routing!P4</f>
        <v>1241.722992562703</v>
      </c>
      <c r="R182" s="91">
        <f>R178*Outflow_routing!Q4</f>
        <v>1231.1320563015277</v>
      </c>
      <c r="S182" s="91">
        <f>S178*Outflow_routing!R4</f>
        <v>1162.8322753561454</v>
      </c>
      <c r="T182" s="91">
        <f>T178*Outflow_routing!S4</f>
        <v>1073.9169809410175</v>
      </c>
      <c r="U182" s="91">
        <f>U178*Outflow_routing!T4</f>
        <v>985.87353222309002</v>
      </c>
      <c r="V182" s="91">
        <f>V178*Outflow_routing!U4</f>
        <v>910.68821417327467</v>
      </c>
      <c r="W182" s="91">
        <f>W178*Outflow_routing!V4</f>
        <v>852.89497605631618</v>
      </c>
      <c r="X182" s="91">
        <f>X178*Outflow_routing!W4</f>
        <v>812.29404279312325</v>
      </c>
      <c r="Y182" s="91">
        <f>Y178*Outflow_routing!X4</f>
        <v>786.14614421230579</v>
      </c>
      <c r="Z182" s="91">
        <f>Z178*Outflow_routing!Y4</f>
        <v>770.80961578081383</v>
      </c>
      <c r="AA182" s="91">
        <f>AA178*Outflow_routing!Z4</f>
        <v>762.77729499904513</v>
      </c>
      <c r="AB182" s="91">
        <f>AB178*Outflow_routing!AA4</f>
        <v>759.19716734404312</v>
      </c>
    </row>
    <row r="183" spans="1:29">
      <c r="B183" s="7" t="s">
        <v>6907</v>
      </c>
      <c r="C183" s="91">
        <f>C179*Outflow_routing!B5</f>
        <v>0</v>
      </c>
      <c r="D183" s="91">
        <f>D179*Outflow_routing!C5</f>
        <v>1.2392333987510442</v>
      </c>
      <c r="E183" s="91">
        <f>E179*Outflow_routing!D5</f>
        <v>4.2209591548278</v>
      </c>
      <c r="F183" s="91">
        <f>F179*Outflow_routing!E5</f>
        <v>7.9987149592362128</v>
      </c>
      <c r="G183" s="91">
        <f>G179*Outflow_routing!F5</f>
        <v>12.076396916091991</v>
      </c>
      <c r="H183" s="91">
        <f>H179*Outflow_routing!G5</f>
        <v>21.693974133053008</v>
      </c>
      <c r="I183" s="91">
        <f>I179*Outflow_routing!H5</f>
        <v>46.156312398677976</v>
      </c>
      <c r="J183" s="91">
        <f>J179*Outflow_routing!I5</f>
        <v>91.829247529371742</v>
      </c>
      <c r="K183" s="91">
        <f>K179*Outflow_routing!J5</f>
        <v>149.55048715788959</v>
      </c>
      <c r="L183" s="91">
        <f>L179*Outflow_routing!K5</f>
        <v>205.83760590142586</v>
      </c>
      <c r="M183" s="91">
        <f>M179*Outflow_routing!L5</f>
        <v>252.80220579189688</v>
      </c>
      <c r="N183" s="91">
        <f>N179*Outflow_routing!M5</f>
        <v>284.34095970635775</v>
      </c>
      <c r="O183" s="91">
        <f>O179*Outflow_routing!N5</f>
        <v>302.82301446809038</v>
      </c>
      <c r="P183" s="91">
        <f>P179*Outflow_routing!O5</f>
        <v>316.55129249678157</v>
      </c>
      <c r="Q183" s="91">
        <f>Q179*Outflow_routing!P5</f>
        <v>331.3606301203227</v>
      </c>
      <c r="R183" s="91">
        <f>R179*Outflow_routing!Q5</f>
        <v>328.53438035762451</v>
      </c>
      <c r="S183" s="91">
        <f>S179*Outflow_routing!R5</f>
        <v>310.30820705915505</v>
      </c>
      <c r="T183" s="91">
        <f>T179*Outflow_routing!S5</f>
        <v>286.58067027260972</v>
      </c>
      <c r="U183" s="91">
        <f>U179*Outflow_routing!T5</f>
        <v>263.08579031961119</v>
      </c>
      <c r="V183" s="91">
        <f>V179*Outflow_routing!U5</f>
        <v>243.02217346303144</v>
      </c>
      <c r="W183" s="91">
        <f>W179*Outflow_routing!V5</f>
        <v>227.59972907420197</v>
      </c>
      <c r="X183" s="91">
        <f>X179*Outflow_routing!W5</f>
        <v>216.76514607127396</v>
      </c>
      <c r="Y183" s="91">
        <f>Y179*Outflow_routing!X5</f>
        <v>209.78743509873235</v>
      </c>
      <c r="Z183" s="91">
        <f>Z179*Outflow_routing!Y5</f>
        <v>205.69479788789258</v>
      </c>
      <c r="AA183" s="91">
        <f>AA179*Outflow_routing!Z5</f>
        <v>203.55132877963166</v>
      </c>
      <c r="AB183" s="91">
        <f>AB179*Outflow_routing!AA5</f>
        <v>202.59595196630207</v>
      </c>
    </row>
    <row r="184" spans="1:29">
      <c r="B184" s="7" t="s">
        <v>6908</v>
      </c>
      <c r="C184" s="91">
        <f>C180*Outflow_routing!B6</f>
        <v>0</v>
      </c>
      <c r="D184" s="91">
        <f>D180*Outflow_routing!C6</f>
        <v>0.1437460291798659</v>
      </c>
      <c r="E184" s="91">
        <f>E180*Outflow_routing!D6</f>
        <v>0.48961407790365025</v>
      </c>
      <c r="F184" s="91">
        <f>F180*Outflow_routing!E6</f>
        <v>0.92781837149531543</v>
      </c>
      <c r="G184" s="91">
        <f>G180*Outflow_routing!F6</f>
        <v>1.4008128777337305</v>
      </c>
      <c r="H184" s="91">
        <f>H180*Outflow_routing!G6</f>
        <v>2.5164126805329667</v>
      </c>
      <c r="I184" s="91">
        <f>I180*Outflow_routing!H6</f>
        <v>5.3539443300852048</v>
      </c>
      <c r="J184" s="91">
        <f>J180*Outflow_routing!I6</f>
        <v>10.651818864973983</v>
      </c>
      <c r="K184" s="91">
        <f>K180*Outflow_routing!J6</f>
        <v>17.347247671445185</v>
      </c>
      <c r="L184" s="91">
        <f>L180*Outflow_routing!K6</f>
        <v>23.876324293745288</v>
      </c>
      <c r="M184" s="91">
        <f>M180*Outflow_routing!L6</f>
        <v>29.324026682238298</v>
      </c>
      <c r="N184" s="91">
        <f>N180*Outflow_routing!M6</f>
        <v>32.982393738076077</v>
      </c>
      <c r="O184" s="91">
        <f>O180*Outflow_routing!N6</f>
        <v>35.126236847664195</v>
      </c>
      <c r="P184" s="91">
        <f>P180*Outflow_routing!O6</f>
        <v>36.718661209443368</v>
      </c>
      <c r="Q184" s="91">
        <f>Q180*Outflow_routing!P6</f>
        <v>38.436484083095351</v>
      </c>
      <c r="R184" s="91">
        <f>R180*Outflow_routing!Q6</f>
        <v>38.108650616641121</v>
      </c>
      <c r="S184" s="91">
        <f>S180*Outflow_routing!R6</f>
        <v>35.994488715065856</v>
      </c>
      <c r="T184" s="91">
        <f>T180*Outflow_routing!S6</f>
        <v>33.242191045617481</v>
      </c>
      <c r="U184" s="91">
        <f>U180*Outflow_routing!T6</f>
        <v>30.516880621685267</v>
      </c>
      <c r="V184" s="91">
        <f>V180*Outflow_routing!U6</f>
        <v>28.189582747833374</v>
      </c>
      <c r="W184" s="91">
        <f>W180*Outflow_routing!V6</f>
        <v>26.40064198544281</v>
      </c>
      <c r="X184" s="91">
        <f>X180*Outflow_routing!W6</f>
        <v>25.143874466055244</v>
      </c>
      <c r="Y184" s="91">
        <f>Y180*Outflow_routing!X6</f>
        <v>24.334488400380671</v>
      </c>
      <c r="Z184" s="91">
        <f>Z180*Outflow_routing!Y6</f>
        <v>23.859759145564837</v>
      </c>
      <c r="AA184" s="91">
        <f>AA180*Outflow_routing!Z6</f>
        <v>23.611125455339295</v>
      </c>
      <c r="AB184" s="91">
        <f>AB180*Outflow_routing!AA6</f>
        <v>23.500305634452399</v>
      </c>
    </row>
    <row r="187" spans="1:29" ht="21">
      <c r="A187" s="293" t="s">
        <v>7800</v>
      </c>
      <c r="B187" s="166" t="s">
        <v>7862</v>
      </c>
      <c r="C187" s="378"/>
      <c r="D187" s="378"/>
      <c r="E187" s="378"/>
      <c r="F187" s="378"/>
      <c r="G187" s="378"/>
      <c r="H187" s="378"/>
      <c r="I187" s="378"/>
      <c r="J187" s="378"/>
      <c r="K187" s="378"/>
      <c r="L187" s="378"/>
      <c r="M187" s="378"/>
      <c r="N187" s="378"/>
      <c r="O187" s="378"/>
      <c r="P187" s="378"/>
      <c r="Q187" s="378"/>
      <c r="R187" s="378"/>
      <c r="S187" s="376">
        <f>Tablet_0!S38-Tablet_2!S38</f>
        <v>491785.00000000373</v>
      </c>
      <c r="T187" s="376">
        <f>Tablet_0!T38-Tablet_2!T38</f>
        <v>803626.00000000373</v>
      </c>
      <c r="U187" s="376">
        <f>Tablet_0!U38-Tablet_2!U38</f>
        <v>1075749.0000000037</v>
      </c>
      <c r="V187" s="376">
        <f>Tablet_0!V38-Tablet_2!V38</f>
        <v>1283986.0000000037</v>
      </c>
      <c r="W187" s="376">
        <f>Tablet_0!W38-Tablet_2!W38</f>
        <v>1425395.0000000037</v>
      </c>
      <c r="X187" s="376">
        <f>Tablet_0!X38-Tablet_2!X38</f>
        <v>1509198.0000000037</v>
      </c>
      <c r="Y187" s="376">
        <f>Tablet_0!Y38-Tablet_2!Y38</f>
        <v>1549822.0000000037</v>
      </c>
      <c r="Z187" s="376">
        <f>Tablet_0!Z38-Tablet_2!Z38</f>
        <v>1562045.0000000037</v>
      </c>
      <c r="AA187" s="376">
        <f>Tablet_0!AA38-Tablet_2!AA38</f>
        <v>1558267.0000000037</v>
      </c>
      <c r="AB187" s="376">
        <f>Tablet_0!AB38-Tablet_2!AB38</f>
        <v>1547475.0000000037</v>
      </c>
    </row>
    <row r="188" spans="1:29" ht="19">
      <c r="B188" s="166" t="s">
        <v>7863</v>
      </c>
      <c r="Q188" s="1"/>
      <c r="R188" s="1"/>
      <c r="S188" s="7">
        <v>427.5</v>
      </c>
      <c r="T188" s="7">
        <v>427.5</v>
      </c>
      <c r="U188" s="7">
        <v>427.5</v>
      </c>
      <c r="V188" s="7">
        <v>427.5</v>
      </c>
      <c r="W188" s="7">
        <v>427.5</v>
      </c>
      <c r="X188" s="7">
        <v>427.5</v>
      </c>
      <c r="Y188" s="7">
        <v>427.5</v>
      </c>
      <c r="Z188" s="7">
        <v>427.5</v>
      </c>
      <c r="AA188" s="7">
        <v>427.5</v>
      </c>
      <c r="AB188" s="7">
        <v>427.5</v>
      </c>
    </row>
    <row r="189" spans="1:29">
      <c r="B189" s="7" t="s">
        <v>7861</v>
      </c>
      <c r="C189"/>
      <c r="D189"/>
      <c r="E189"/>
      <c r="F189"/>
      <c r="G189"/>
      <c r="H189"/>
      <c r="I189"/>
      <c r="J189"/>
      <c r="K189"/>
      <c r="L189"/>
      <c r="M189"/>
      <c r="N189"/>
      <c r="O189"/>
      <c r="P189"/>
      <c r="S189" s="380">
        <f>S187*S188</f>
        <v>210238087.50000158</v>
      </c>
      <c r="T189" s="380">
        <f t="shared" ref="T189:AB189" si="25">T187*T188</f>
        <v>343550115.00000161</v>
      </c>
      <c r="U189" s="380">
        <f t="shared" si="25"/>
        <v>459882697.50000161</v>
      </c>
      <c r="V189" s="380">
        <f t="shared" si="25"/>
        <v>548904015.00000155</v>
      </c>
      <c r="W189" s="380">
        <f t="shared" si="25"/>
        <v>609356362.50000155</v>
      </c>
      <c r="X189" s="380">
        <f t="shared" si="25"/>
        <v>645182145.00000155</v>
      </c>
      <c r="Y189" s="380">
        <f t="shared" si="25"/>
        <v>662548905.00000155</v>
      </c>
      <c r="Z189" s="380">
        <f t="shared" si="25"/>
        <v>667774237.50000155</v>
      </c>
      <c r="AA189" s="380">
        <f t="shared" si="25"/>
        <v>666159142.50000155</v>
      </c>
      <c r="AB189" s="380">
        <f t="shared" si="25"/>
        <v>661545562.50000155</v>
      </c>
      <c r="AC189" s="412"/>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6FA8B-D2AC-9843-9596-32DD27744B5B}">
  <dimension ref="A1:Q4097"/>
  <sheetViews>
    <sheetView zoomScale="80" zoomScaleNormal="80" workbookViewId="0">
      <selection activeCell="L17" sqref="L17"/>
    </sheetView>
  </sheetViews>
  <sheetFormatPr baseColWidth="10" defaultColWidth="8.33203125" defaultRowHeight="16"/>
  <cols>
    <col min="1" max="1" width="29.83203125" style="120" customWidth="1"/>
    <col min="2" max="2" width="47.33203125" style="121" customWidth="1"/>
    <col min="3" max="3" width="8.33203125" style="122"/>
    <col min="4" max="4" width="14.6640625" style="123" customWidth="1"/>
    <col min="5" max="5" width="14.6640625" style="124" customWidth="1"/>
    <col min="6" max="6" width="14.6640625" style="125" customWidth="1"/>
    <col min="7" max="13" width="14.6640625" style="124" customWidth="1"/>
    <col min="14" max="14" width="14.6640625" style="126" customWidth="1"/>
    <col min="15" max="16384" width="8.33203125" style="100"/>
  </cols>
  <sheetData>
    <row r="1" spans="1:17" s="105" customFormat="1" ht="119.5" customHeight="1">
      <c r="A1" s="102" t="s">
        <v>6932</v>
      </c>
      <c r="B1" s="102" t="s">
        <v>6933</v>
      </c>
      <c r="C1" s="103" t="s">
        <v>175</v>
      </c>
      <c r="D1" s="104" t="s">
        <v>6934</v>
      </c>
      <c r="E1" s="104" t="s">
        <v>6935</v>
      </c>
      <c r="F1" s="104" t="s">
        <v>6936</v>
      </c>
      <c r="G1" s="104" t="s">
        <v>6937</v>
      </c>
      <c r="H1" s="104" t="s">
        <v>6938</v>
      </c>
      <c r="I1" s="104" t="s">
        <v>7570</v>
      </c>
      <c r="J1" s="104" t="s">
        <v>7571</v>
      </c>
      <c r="K1" s="104" t="s">
        <v>7624</v>
      </c>
      <c r="L1" s="104" t="s">
        <v>6939</v>
      </c>
      <c r="M1" s="104" t="s">
        <v>6940</v>
      </c>
      <c r="N1" s="104" t="s">
        <v>6941</v>
      </c>
    </row>
    <row r="2" spans="1:17" s="105" customFormat="1" ht="17.5" customHeight="1">
      <c r="A2" s="106" t="s">
        <v>6942</v>
      </c>
      <c r="B2" s="106" t="s">
        <v>6933</v>
      </c>
      <c r="C2" s="107" t="s">
        <v>175</v>
      </c>
      <c r="D2" s="108" t="s">
        <v>6943</v>
      </c>
      <c r="E2" s="108" t="s">
        <v>6944</v>
      </c>
      <c r="F2" s="108" t="s">
        <v>6944</v>
      </c>
      <c r="G2" s="108" t="s">
        <v>6944</v>
      </c>
      <c r="H2" s="108" t="s">
        <v>6944</v>
      </c>
      <c r="I2" s="108" t="s">
        <v>6944</v>
      </c>
      <c r="J2" s="108" t="s">
        <v>6944</v>
      </c>
      <c r="K2" s="108" t="s">
        <v>6944</v>
      </c>
      <c r="L2" s="108" t="s">
        <v>6944</v>
      </c>
      <c r="M2" s="108" t="s">
        <v>6944</v>
      </c>
      <c r="N2" s="108" t="s">
        <v>6944</v>
      </c>
    </row>
    <row r="3" spans="1:17" ht="17.5" customHeight="1">
      <c r="A3" s="109" t="s">
        <v>6945</v>
      </c>
      <c r="B3" s="109" t="s">
        <v>6931</v>
      </c>
      <c r="C3" s="98">
        <v>2008</v>
      </c>
      <c r="D3" s="99">
        <v>131781</v>
      </c>
      <c r="E3" s="99">
        <v>500246</v>
      </c>
      <c r="F3" s="99">
        <v>149441</v>
      </c>
      <c r="G3" s="99">
        <v>332630</v>
      </c>
      <c r="H3" s="99">
        <v>81226</v>
      </c>
      <c r="I3" s="99">
        <v>11625</v>
      </c>
      <c r="J3" s="99">
        <v>14566</v>
      </c>
      <c r="K3" s="99">
        <v>2941</v>
      </c>
      <c r="L3" s="99">
        <v>50972</v>
      </c>
      <c r="M3" s="99">
        <v>48050</v>
      </c>
      <c r="N3" s="99">
        <v>2921</v>
      </c>
      <c r="O3" s="110"/>
      <c r="P3" s="110"/>
      <c r="Q3" s="110"/>
    </row>
    <row r="4" spans="1:17" ht="17.5" customHeight="1">
      <c r="A4" s="109" t="s">
        <v>6945</v>
      </c>
      <c r="B4" s="109" t="s">
        <v>6931</v>
      </c>
      <c r="C4" s="98">
        <v>2009</v>
      </c>
      <c r="D4" s="99">
        <v>128426</v>
      </c>
      <c r="E4" s="99">
        <v>449873</v>
      </c>
      <c r="F4" s="99">
        <v>131202</v>
      </c>
      <c r="G4" s="99">
        <v>294215</v>
      </c>
      <c r="H4" s="99">
        <v>76151</v>
      </c>
      <c r="I4" s="99">
        <v>9342</v>
      </c>
      <c r="J4" s="99">
        <v>11609</v>
      </c>
      <c r="K4" s="99">
        <v>2267</v>
      </c>
      <c r="L4" s="99">
        <v>47831</v>
      </c>
      <c r="M4" s="99">
        <v>50074</v>
      </c>
      <c r="N4" s="99">
        <v>-2243</v>
      </c>
      <c r="O4" s="110"/>
      <c r="P4" s="110"/>
      <c r="Q4" s="110"/>
    </row>
    <row r="5" spans="1:17" ht="17.5" customHeight="1">
      <c r="A5" s="109" t="s">
        <v>6945</v>
      </c>
      <c r="B5" s="109" t="s">
        <v>6931</v>
      </c>
      <c r="C5" s="98">
        <v>2010</v>
      </c>
      <c r="D5" s="99">
        <v>123979</v>
      </c>
      <c r="E5" s="99">
        <v>482086</v>
      </c>
      <c r="F5" s="99">
        <v>145997</v>
      </c>
      <c r="G5" s="99">
        <v>317333</v>
      </c>
      <c r="H5" s="99">
        <v>74231</v>
      </c>
      <c r="I5" s="99">
        <v>9707</v>
      </c>
      <c r="J5" s="99">
        <v>11885</v>
      </c>
      <c r="K5" s="99">
        <v>2178</v>
      </c>
      <c r="L5" s="99">
        <v>50095</v>
      </c>
      <c r="M5" s="99">
        <v>46562</v>
      </c>
      <c r="N5" s="99">
        <v>3533</v>
      </c>
      <c r="O5" s="110"/>
      <c r="P5" s="110"/>
      <c r="Q5" s="110"/>
    </row>
    <row r="6" spans="1:17" ht="17.5" customHeight="1">
      <c r="A6" s="109" t="s">
        <v>6945</v>
      </c>
      <c r="B6" s="109" t="s">
        <v>6931</v>
      </c>
      <c r="C6" s="98">
        <v>2011</v>
      </c>
      <c r="D6" s="99">
        <v>122591</v>
      </c>
      <c r="E6" s="99">
        <v>516408</v>
      </c>
      <c r="F6" s="99">
        <v>149313</v>
      </c>
      <c r="G6" s="99">
        <v>349623</v>
      </c>
      <c r="H6" s="99">
        <v>74964</v>
      </c>
      <c r="I6" s="99">
        <v>11573</v>
      </c>
      <c r="J6" s="99">
        <v>13707</v>
      </c>
      <c r="K6" s="99">
        <v>2133</v>
      </c>
      <c r="L6" s="99">
        <v>53680</v>
      </c>
      <c r="M6" s="99">
        <v>49401</v>
      </c>
      <c r="N6" s="99">
        <v>4278</v>
      </c>
      <c r="O6" s="110"/>
      <c r="P6" s="110"/>
      <c r="Q6" s="110"/>
    </row>
    <row r="7" spans="1:17" ht="17.5" customHeight="1">
      <c r="A7" s="109" t="s">
        <v>6945</v>
      </c>
      <c r="B7" s="109" t="s">
        <v>6931</v>
      </c>
      <c r="C7" s="111">
        <v>2012</v>
      </c>
      <c r="D7" s="112">
        <v>124514</v>
      </c>
      <c r="E7" s="112">
        <v>513437</v>
      </c>
      <c r="F7" s="112">
        <v>149498</v>
      </c>
      <c r="G7" s="112">
        <v>344634</v>
      </c>
      <c r="H7" s="112">
        <v>76955</v>
      </c>
      <c r="I7" s="112">
        <v>12589</v>
      </c>
      <c r="J7" s="112">
        <v>14614</v>
      </c>
      <c r="K7" s="112">
        <v>2026</v>
      </c>
      <c r="L7" s="112">
        <v>53081</v>
      </c>
      <c r="M7" s="112">
        <v>52507</v>
      </c>
      <c r="N7" s="112">
        <v>575</v>
      </c>
    </row>
    <row r="8" spans="1:17" ht="17.5" customHeight="1">
      <c r="A8" s="109" t="s">
        <v>6945</v>
      </c>
      <c r="B8" s="109" t="s">
        <v>6931</v>
      </c>
      <c r="C8" s="113">
        <v>2013</v>
      </c>
      <c r="D8" s="112">
        <v>127900</v>
      </c>
      <c r="E8" s="112">
        <v>517798</v>
      </c>
      <c r="F8" s="112">
        <v>155099</v>
      </c>
      <c r="G8" s="112">
        <v>344303</v>
      </c>
      <c r="H8" s="112">
        <v>79182</v>
      </c>
      <c r="I8" s="112">
        <v>11723</v>
      </c>
      <c r="J8" s="112">
        <v>14245</v>
      </c>
      <c r="K8" s="112">
        <v>2522</v>
      </c>
      <c r="L8" s="112">
        <v>54954</v>
      </c>
      <c r="M8" s="112">
        <v>53269</v>
      </c>
      <c r="N8" s="112">
        <v>1684</v>
      </c>
      <c r="O8" s="110"/>
      <c r="P8" s="110"/>
      <c r="Q8" s="110"/>
    </row>
    <row r="9" spans="1:17" ht="17.5" customHeight="1">
      <c r="A9" s="109" t="s">
        <v>6945</v>
      </c>
      <c r="B9" s="109" t="s">
        <v>6931</v>
      </c>
      <c r="C9" s="113">
        <v>2014</v>
      </c>
      <c r="D9" s="99">
        <v>125855</v>
      </c>
      <c r="E9" s="99">
        <v>520012</v>
      </c>
      <c r="F9" s="99">
        <v>156045</v>
      </c>
      <c r="G9" s="99">
        <v>347652</v>
      </c>
      <c r="H9" s="99">
        <v>80590</v>
      </c>
      <c r="I9" s="99">
        <v>16599</v>
      </c>
      <c r="J9" s="99">
        <v>18815</v>
      </c>
      <c r="K9" s="99">
        <v>2216</v>
      </c>
      <c r="L9" s="99">
        <v>55601</v>
      </c>
      <c r="M9" s="99">
        <v>54779</v>
      </c>
      <c r="N9" s="99">
        <v>822</v>
      </c>
    </row>
    <row r="10" spans="1:17" ht="17.5" customHeight="1">
      <c r="A10" s="109" t="s">
        <v>6945</v>
      </c>
      <c r="B10" s="109" t="s">
        <v>6931</v>
      </c>
      <c r="C10" s="113">
        <v>2015</v>
      </c>
      <c r="D10" s="112">
        <v>131056</v>
      </c>
      <c r="E10" s="112">
        <v>510172</v>
      </c>
      <c r="F10" s="112">
        <v>159992</v>
      </c>
      <c r="G10" s="112">
        <v>334095</v>
      </c>
      <c r="H10" s="112">
        <v>82726</v>
      </c>
      <c r="I10" s="112">
        <v>19510</v>
      </c>
      <c r="J10" s="112">
        <v>21273</v>
      </c>
      <c r="K10" s="112">
        <v>1762</v>
      </c>
      <c r="L10" s="112">
        <v>54484</v>
      </c>
      <c r="M10" s="112">
        <v>54216</v>
      </c>
      <c r="N10" s="112">
        <v>268</v>
      </c>
    </row>
    <row r="11" spans="1:17" ht="17.5" customHeight="1">
      <c r="A11" s="109" t="s">
        <v>6945</v>
      </c>
      <c r="B11" s="109" t="s">
        <v>6931</v>
      </c>
      <c r="C11" s="113">
        <v>2016</v>
      </c>
      <c r="D11" s="112">
        <v>135759</v>
      </c>
      <c r="E11" s="112">
        <v>523193</v>
      </c>
      <c r="F11" s="112">
        <v>162193</v>
      </c>
      <c r="G11" s="112">
        <v>351098</v>
      </c>
      <c r="H11" s="112">
        <v>87597</v>
      </c>
      <c r="I11" s="112">
        <v>18332</v>
      </c>
      <c r="J11" s="112">
        <v>20050</v>
      </c>
      <c r="K11" s="112">
        <v>1718</v>
      </c>
      <c r="L11" s="112">
        <v>59949</v>
      </c>
      <c r="M11" s="112">
        <v>56342</v>
      </c>
      <c r="N11" s="112">
        <v>3607</v>
      </c>
      <c r="O11" s="110"/>
      <c r="P11" s="110"/>
      <c r="Q11" s="110"/>
    </row>
    <row r="12" spans="1:17" ht="17.5" customHeight="1">
      <c r="A12" s="109" t="s">
        <v>6945</v>
      </c>
      <c r="B12" s="109" t="s">
        <v>6931</v>
      </c>
      <c r="C12" s="113">
        <v>2017</v>
      </c>
      <c r="D12" s="112">
        <v>137051</v>
      </c>
      <c r="E12" s="112">
        <v>550224</v>
      </c>
      <c r="F12" s="112">
        <v>169279</v>
      </c>
      <c r="G12" s="112">
        <v>372759</v>
      </c>
      <c r="H12" s="112">
        <v>89300</v>
      </c>
      <c r="I12" s="112">
        <v>19094</v>
      </c>
      <c r="J12" s="112">
        <v>21017</v>
      </c>
      <c r="K12" s="112">
        <v>1923</v>
      </c>
      <c r="L12" s="112">
        <v>60711</v>
      </c>
      <c r="M12" s="112">
        <v>57698</v>
      </c>
      <c r="N12" s="112">
        <v>3013</v>
      </c>
      <c r="O12" s="110"/>
      <c r="P12" s="110"/>
      <c r="Q12" s="110"/>
    </row>
    <row r="13" spans="1:17" ht="17.5" customHeight="1">
      <c r="A13" s="109" t="s">
        <v>6945</v>
      </c>
      <c r="B13" s="109" t="s">
        <v>6931</v>
      </c>
      <c r="C13" s="113">
        <v>2018</v>
      </c>
      <c r="D13" s="112">
        <v>138194</v>
      </c>
      <c r="E13" s="112">
        <v>569922</v>
      </c>
      <c r="F13" s="112">
        <v>169693</v>
      </c>
      <c r="G13" s="112">
        <v>393038</v>
      </c>
      <c r="H13" s="112">
        <v>91843</v>
      </c>
      <c r="I13" s="112">
        <v>19782</v>
      </c>
      <c r="J13" s="112">
        <v>24351</v>
      </c>
      <c r="K13" s="112">
        <v>4569</v>
      </c>
      <c r="L13" s="112">
        <v>64221</v>
      </c>
      <c r="M13" s="112">
        <v>60230</v>
      </c>
      <c r="N13" s="112">
        <v>3992</v>
      </c>
      <c r="O13" s="110"/>
      <c r="P13" s="110"/>
      <c r="Q13" s="110"/>
    </row>
    <row r="14" spans="1:17" ht="17.5" customHeight="1">
      <c r="A14" s="109" t="s">
        <v>6945</v>
      </c>
      <c r="B14" s="109" t="s">
        <v>6931</v>
      </c>
      <c r="C14" s="113">
        <v>2019</v>
      </c>
      <c r="D14" s="112">
        <v>136581</v>
      </c>
      <c r="E14" s="112">
        <v>565273.55961999996</v>
      </c>
      <c r="F14" s="112">
        <v>170442.34578999999</v>
      </c>
      <c r="G14" s="112">
        <v>387003.74273</v>
      </c>
      <c r="H14" s="112">
        <v>93856.302477000005</v>
      </c>
      <c r="I14" s="112">
        <v>19719.390253000001</v>
      </c>
      <c r="J14" s="112">
        <v>21269.207186</v>
      </c>
      <c r="K14" s="112">
        <v>1549.8169330000001</v>
      </c>
      <c r="L14" s="112">
        <v>67278.781533000001</v>
      </c>
      <c r="M14" s="112">
        <v>63959.059982999999</v>
      </c>
      <c r="N14" s="112">
        <v>3319.7215500000002</v>
      </c>
    </row>
    <row r="15" spans="1:17" ht="17.5" customHeight="1">
      <c r="A15" s="114" t="s">
        <v>6945</v>
      </c>
      <c r="B15" s="114" t="s">
        <v>6931</v>
      </c>
      <c r="C15" s="113">
        <v>2020</v>
      </c>
      <c r="D15" s="112">
        <v>138277</v>
      </c>
      <c r="E15" s="112">
        <v>499709.05455</v>
      </c>
      <c r="F15" s="112">
        <v>153511.32664000001</v>
      </c>
      <c r="G15" s="112">
        <v>336322.7194</v>
      </c>
      <c r="H15" s="112">
        <v>90633.143884999998</v>
      </c>
      <c r="I15" s="112">
        <v>17537.308606999999</v>
      </c>
      <c r="J15" s="112">
        <v>19650.658661000001</v>
      </c>
      <c r="K15" s="112">
        <v>2113.350054</v>
      </c>
      <c r="L15" s="112">
        <v>66221.140637999997</v>
      </c>
      <c r="M15" s="112">
        <v>66336.682807999998</v>
      </c>
      <c r="N15" s="112">
        <v>-115.54217</v>
      </c>
      <c r="O15" s="110"/>
      <c r="P15" s="110"/>
      <c r="Q15" s="110"/>
    </row>
    <row r="16" spans="1:17" ht="17.5" customHeight="1">
      <c r="A16" s="109" t="s">
        <v>6946</v>
      </c>
      <c r="B16" s="109" t="s">
        <v>6947</v>
      </c>
      <c r="C16" s="98">
        <v>2008</v>
      </c>
      <c r="D16" s="99">
        <v>6489</v>
      </c>
      <c r="E16" s="99">
        <v>66052</v>
      </c>
      <c r="F16" s="99">
        <v>18309</v>
      </c>
      <c r="G16" s="99">
        <v>48111</v>
      </c>
      <c r="H16" s="99">
        <v>9489</v>
      </c>
      <c r="I16" s="99">
        <v>1497</v>
      </c>
      <c r="J16" s="99">
        <v>1832</v>
      </c>
      <c r="K16" s="99">
        <v>335</v>
      </c>
      <c r="L16" s="99">
        <v>4408</v>
      </c>
      <c r="M16" s="99">
        <v>3923</v>
      </c>
      <c r="N16" s="99">
        <v>485</v>
      </c>
      <c r="O16" s="110"/>
      <c r="P16" s="110"/>
      <c r="Q16" s="110"/>
    </row>
    <row r="17" spans="1:17" ht="17.5" customHeight="1">
      <c r="A17" s="109" t="s">
        <v>6946</v>
      </c>
      <c r="B17" s="109" t="s">
        <v>6947</v>
      </c>
      <c r="C17" s="98">
        <v>2009</v>
      </c>
      <c r="D17" s="99">
        <v>6327</v>
      </c>
      <c r="E17" s="99">
        <v>69673</v>
      </c>
      <c r="F17" s="99">
        <v>18762</v>
      </c>
      <c r="G17" s="99">
        <v>50821</v>
      </c>
      <c r="H17" s="99">
        <v>9522</v>
      </c>
      <c r="I17" s="99">
        <v>1369</v>
      </c>
      <c r="J17" s="99">
        <v>1704</v>
      </c>
      <c r="K17" s="99">
        <v>335</v>
      </c>
      <c r="L17" s="99">
        <v>4599</v>
      </c>
      <c r="M17" s="99">
        <v>4533</v>
      </c>
      <c r="N17" s="99">
        <v>67</v>
      </c>
      <c r="O17" s="110"/>
      <c r="P17" s="110"/>
      <c r="Q17" s="110"/>
    </row>
    <row r="18" spans="1:17" ht="17.5" customHeight="1">
      <c r="A18" s="109" t="s">
        <v>6946</v>
      </c>
      <c r="B18" s="109" t="s">
        <v>6947</v>
      </c>
      <c r="C18" s="98">
        <v>2010</v>
      </c>
      <c r="D18" s="99">
        <v>6377</v>
      </c>
      <c r="E18" s="99">
        <v>70560</v>
      </c>
      <c r="F18" s="99">
        <v>18979</v>
      </c>
      <c r="G18" s="99">
        <v>51622</v>
      </c>
      <c r="H18" s="99">
        <v>9429</v>
      </c>
      <c r="I18" s="99">
        <v>1946</v>
      </c>
      <c r="J18" s="99">
        <v>2205</v>
      </c>
      <c r="K18" s="99">
        <v>259</v>
      </c>
      <c r="L18" s="99">
        <v>4661</v>
      </c>
      <c r="M18" s="99">
        <v>4391</v>
      </c>
      <c r="N18" s="99">
        <v>270</v>
      </c>
      <c r="O18" s="110"/>
      <c r="P18" s="110"/>
      <c r="Q18" s="110"/>
    </row>
    <row r="19" spans="1:17" ht="17.5" customHeight="1">
      <c r="A19" s="109" t="s">
        <v>6946</v>
      </c>
      <c r="B19" s="109" t="s">
        <v>6947</v>
      </c>
      <c r="C19" s="98">
        <v>2011</v>
      </c>
      <c r="D19" s="99">
        <v>6444</v>
      </c>
      <c r="E19" s="99">
        <v>73175</v>
      </c>
      <c r="F19" s="99">
        <v>19271</v>
      </c>
      <c r="G19" s="99">
        <v>54355</v>
      </c>
      <c r="H19" s="99">
        <v>9433</v>
      </c>
      <c r="I19" s="99">
        <v>1739</v>
      </c>
      <c r="J19" s="99">
        <v>1958</v>
      </c>
      <c r="K19" s="99">
        <v>219</v>
      </c>
      <c r="L19" s="99">
        <v>4725</v>
      </c>
      <c r="M19" s="99">
        <v>4219</v>
      </c>
      <c r="N19" s="99">
        <v>507</v>
      </c>
    </row>
    <row r="20" spans="1:17" ht="17.5" customHeight="1">
      <c r="A20" s="109" t="s">
        <v>6946</v>
      </c>
      <c r="B20" s="109" t="s">
        <v>6947</v>
      </c>
      <c r="C20" s="111">
        <v>2012</v>
      </c>
      <c r="D20" s="112">
        <v>6642</v>
      </c>
      <c r="E20" s="112">
        <v>76445</v>
      </c>
      <c r="F20" s="112">
        <v>18664</v>
      </c>
      <c r="G20" s="112">
        <v>57977</v>
      </c>
      <c r="H20" s="112">
        <v>9609</v>
      </c>
      <c r="I20" s="112">
        <v>1822</v>
      </c>
      <c r="J20" s="112">
        <v>1989</v>
      </c>
      <c r="K20" s="112">
        <v>167</v>
      </c>
      <c r="L20" s="112">
        <v>5013</v>
      </c>
      <c r="M20" s="112">
        <v>4801</v>
      </c>
      <c r="N20" s="112">
        <v>212</v>
      </c>
      <c r="O20" s="110"/>
      <c r="P20" s="110"/>
      <c r="Q20" s="110"/>
    </row>
    <row r="21" spans="1:17" ht="17.5" customHeight="1">
      <c r="A21" s="109" t="s">
        <v>6946</v>
      </c>
      <c r="B21" s="109" t="s">
        <v>6947</v>
      </c>
      <c r="C21" s="113">
        <v>2013</v>
      </c>
      <c r="D21" s="112">
        <v>6890</v>
      </c>
      <c r="E21" s="112">
        <v>77571</v>
      </c>
      <c r="F21" s="112">
        <v>20187</v>
      </c>
      <c r="G21" s="112">
        <v>57580</v>
      </c>
      <c r="H21" s="112">
        <v>9739</v>
      </c>
      <c r="I21" s="112">
        <v>2128</v>
      </c>
      <c r="J21" s="112">
        <v>2250</v>
      </c>
      <c r="K21" s="112">
        <v>122</v>
      </c>
      <c r="L21" s="112">
        <v>5280</v>
      </c>
      <c r="M21" s="112">
        <v>5097</v>
      </c>
      <c r="N21" s="112">
        <v>183</v>
      </c>
    </row>
    <row r="22" spans="1:17" ht="17.5" customHeight="1">
      <c r="A22" s="109" t="s">
        <v>6946</v>
      </c>
      <c r="B22" s="109" t="s">
        <v>6947</v>
      </c>
      <c r="C22" s="113">
        <v>2014</v>
      </c>
      <c r="D22" s="99">
        <v>7106</v>
      </c>
      <c r="E22" s="99">
        <v>78163</v>
      </c>
      <c r="F22" s="99">
        <v>20209</v>
      </c>
      <c r="G22" s="99">
        <v>58208</v>
      </c>
      <c r="H22" s="99">
        <v>10007</v>
      </c>
      <c r="I22" s="99">
        <v>2226</v>
      </c>
      <c r="J22" s="99">
        <v>2405</v>
      </c>
      <c r="K22" s="99">
        <v>179</v>
      </c>
      <c r="L22" s="99">
        <v>5496</v>
      </c>
      <c r="M22" s="99">
        <v>5297</v>
      </c>
      <c r="N22" s="99">
        <v>199</v>
      </c>
    </row>
    <row r="23" spans="1:17" ht="17.5" customHeight="1">
      <c r="A23" s="109" t="s">
        <v>6946</v>
      </c>
      <c r="B23" s="109" t="s">
        <v>6947</v>
      </c>
      <c r="C23" s="113">
        <v>2015</v>
      </c>
      <c r="D23" s="112">
        <v>7498</v>
      </c>
      <c r="E23" s="112">
        <v>77014</v>
      </c>
      <c r="F23" s="112">
        <v>21382</v>
      </c>
      <c r="G23" s="112">
        <v>55639</v>
      </c>
      <c r="H23" s="112">
        <v>10447</v>
      </c>
      <c r="I23" s="112">
        <v>2569</v>
      </c>
      <c r="J23" s="112">
        <v>2744</v>
      </c>
      <c r="K23" s="112">
        <v>175</v>
      </c>
      <c r="L23" s="112">
        <v>5105</v>
      </c>
      <c r="M23" s="112">
        <v>5095</v>
      </c>
      <c r="N23" s="112">
        <v>11</v>
      </c>
      <c r="O23" s="110"/>
      <c r="P23" s="110"/>
      <c r="Q23" s="110"/>
    </row>
    <row r="24" spans="1:17" ht="17.5" customHeight="1">
      <c r="A24" s="109" t="s">
        <v>6946</v>
      </c>
      <c r="B24" s="109" t="s">
        <v>6947</v>
      </c>
      <c r="C24" s="113">
        <v>2016</v>
      </c>
      <c r="D24" s="112">
        <v>7899</v>
      </c>
      <c r="E24" s="112">
        <v>78006</v>
      </c>
      <c r="F24" s="112">
        <v>20963</v>
      </c>
      <c r="G24" s="112">
        <v>57349</v>
      </c>
      <c r="H24" s="112">
        <v>11318</v>
      </c>
      <c r="I24" s="112">
        <v>2181</v>
      </c>
      <c r="J24" s="112">
        <v>2492</v>
      </c>
      <c r="K24" s="112">
        <v>311</v>
      </c>
      <c r="L24" s="112">
        <v>5405</v>
      </c>
      <c r="M24" s="112">
        <v>5239</v>
      </c>
      <c r="N24" s="112">
        <v>166</v>
      </c>
      <c r="O24" s="110"/>
      <c r="P24" s="110"/>
      <c r="Q24" s="110"/>
    </row>
    <row r="25" spans="1:17" ht="17.5" customHeight="1">
      <c r="A25" s="109" t="s">
        <v>6946</v>
      </c>
      <c r="B25" s="109" t="s">
        <v>6947</v>
      </c>
      <c r="C25" s="113">
        <v>2017</v>
      </c>
      <c r="D25" s="112">
        <v>8118</v>
      </c>
      <c r="E25" s="112">
        <v>81636</v>
      </c>
      <c r="F25" s="112">
        <v>21751</v>
      </c>
      <c r="G25" s="112">
        <v>60628</v>
      </c>
      <c r="H25" s="112">
        <v>11786</v>
      </c>
      <c r="I25" s="112">
        <v>2754</v>
      </c>
      <c r="J25" s="112">
        <v>2953</v>
      </c>
      <c r="K25" s="112">
        <v>199</v>
      </c>
      <c r="L25" s="112">
        <v>5687</v>
      </c>
      <c r="M25" s="112">
        <v>5227</v>
      </c>
      <c r="N25" s="112">
        <v>460</v>
      </c>
      <c r="O25" s="110"/>
      <c r="P25" s="110"/>
      <c r="Q25" s="110"/>
    </row>
    <row r="26" spans="1:17" ht="17.5" customHeight="1">
      <c r="A26" s="109" t="s">
        <v>6946</v>
      </c>
      <c r="B26" s="109" t="s">
        <v>6947</v>
      </c>
      <c r="C26" s="113">
        <v>2018</v>
      </c>
      <c r="D26" s="112">
        <v>8287</v>
      </c>
      <c r="E26" s="112">
        <v>84270</v>
      </c>
      <c r="F26" s="112">
        <v>22274</v>
      </c>
      <c r="G26" s="112">
        <v>62419</v>
      </c>
      <c r="H26" s="112">
        <v>12037</v>
      </c>
      <c r="I26" s="112">
        <v>2595</v>
      </c>
      <c r="J26" s="112">
        <v>2863</v>
      </c>
      <c r="K26" s="112">
        <v>269</v>
      </c>
      <c r="L26" s="112">
        <v>6024</v>
      </c>
      <c r="M26" s="112">
        <v>5742</v>
      </c>
      <c r="N26" s="112">
        <v>282</v>
      </c>
    </row>
    <row r="27" spans="1:17" ht="17.5" customHeight="1">
      <c r="A27" s="109" t="s">
        <v>6946</v>
      </c>
      <c r="B27" s="109" t="s">
        <v>6947</v>
      </c>
      <c r="C27" s="113">
        <v>2019</v>
      </c>
      <c r="D27" s="112">
        <v>8440</v>
      </c>
      <c r="E27" s="112">
        <v>84612.994917999997</v>
      </c>
      <c r="F27" s="112">
        <v>23037.142006999999</v>
      </c>
      <c r="G27" s="112">
        <v>61937.741962</v>
      </c>
      <c r="H27" s="112">
        <v>12631.339854</v>
      </c>
      <c r="I27" s="112">
        <v>2809.2016159999998</v>
      </c>
      <c r="J27" s="112">
        <v>3000.5506959999998</v>
      </c>
      <c r="K27" s="112">
        <v>191.34907999999999</v>
      </c>
      <c r="L27" s="112">
        <v>6046.9140719999996</v>
      </c>
      <c r="M27" s="112">
        <v>5926.0406890000004</v>
      </c>
      <c r="N27" s="112">
        <v>120.87338200000001</v>
      </c>
      <c r="O27" s="110"/>
      <c r="P27" s="110"/>
      <c r="Q27" s="110"/>
    </row>
    <row r="28" spans="1:17" ht="17.5" customHeight="1">
      <c r="A28" s="114" t="s">
        <v>6946</v>
      </c>
      <c r="B28" s="114" t="s">
        <v>6947</v>
      </c>
      <c r="C28" s="113">
        <v>2020</v>
      </c>
      <c r="D28" s="112">
        <v>8913</v>
      </c>
      <c r="E28" s="112">
        <v>84289.538834000006</v>
      </c>
      <c r="F28" s="112">
        <v>22749.742896</v>
      </c>
      <c r="G28" s="112">
        <v>62318.533954999999</v>
      </c>
      <c r="H28" s="112">
        <v>12786.362826</v>
      </c>
      <c r="I28" s="112">
        <v>2742.9334429999999</v>
      </c>
      <c r="J28" s="112">
        <v>2980.3850069999999</v>
      </c>
      <c r="K28" s="112">
        <v>237.45156399999999</v>
      </c>
      <c r="L28" s="112">
        <v>6344.5241050000004</v>
      </c>
      <c r="M28" s="112">
        <v>5929.2456979999997</v>
      </c>
      <c r="N28" s="112">
        <v>415.27840700000002</v>
      </c>
      <c r="O28" s="110"/>
      <c r="P28" s="110"/>
      <c r="Q28" s="110"/>
    </row>
    <row r="29" spans="1:17" ht="31.75" customHeight="1">
      <c r="A29" s="109" t="s">
        <v>6948</v>
      </c>
      <c r="B29" s="109" t="s">
        <v>6949</v>
      </c>
      <c r="C29" s="98">
        <v>2008</v>
      </c>
      <c r="D29" s="99">
        <v>1035</v>
      </c>
      <c r="E29" s="99">
        <v>13230</v>
      </c>
      <c r="F29" s="99">
        <v>2630</v>
      </c>
      <c r="G29" s="99">
        <v>10652</v>
      </c>
      <c r="H29" s="99">
        <v>1766</v>
      </c>
      <c r="I29" s="99">
        <v>181</v>
      </c>
      <c r="J29" s="99">
        <v>240</v>
      </c>
      <c r="K29" s="99">
        <v>59</v>
      </c>
      <c r="L29" s="99">
        <v>624</v>
      </c>
      <c r="M29" s="99">
        <v>567</v>
      </c>
      <c r="N29" s="99">
        <v>56</v>
      </c>
      <c r="O29" s="110"/>
      <c r="P29" s="110"/>
      <c r="Q29" s="110"/>
    </row>
    <row r="30" spans="1:17" ht="31.75" customHeight="1">
      <c r="A30" s="109" t="s">
        <v>6948</v>
      </c>
      <c r="B30" s="109" t="s">
        <v>6949</v>
      </c>
      <c r="C30" s="98">
        <v>2009</v>
      </c>
      <c r="D30" s="99">
        <v>1025</v>
      </c>
      <c r="E30" s="99">
        <v>14628</v>
      </c>
      <c r="F30" s="99">
        <v>2859</v>
      </c>
      <c r="G30" s="99">
        <v>11759</v>
      </c>
      <c r="H30" s="99">
        <v>1786</v>
      </c>
      <c r="I30" s="99">
        <v>200</v>
      </c>
      <c r="J30" s="99">
        <v>231</v>
      </c>
      <c r="K30" s="99">
        <v>31</v>
      </c>
      <c r="L30" s="99">
        <v>670</v>
      </c>
      <c r="M30" s="99">
        <v>676</v>
      </c>
      <c r="N30" s="99">
        <v>-7</v>
      </c>
      <c r="O30" s="110"/>
      <c r="P30" s="110"/>
      <c r="Q30" s="110"/>
    </row>
    <row r="31" spans="1:17" ht="31.75" customHeight="1">
      <c r="A31" s="109" t="s">
        <v>6948</v>
      </c>
      <c r="B31" s="109" t="s">
        <v>6949</v>
      </c>
      <c r="C31" s="98">
        <v>2010</v>
      </c>
      <c r="D31" s="99">
        <v>1091</v>
      </c>
      <c r="E31" s="99">
        <v>14333</v>
      </c>
      <c r="F31" s="99">
        <v>2683</v>
      </c>
      <c r="G31" s="99">
        <v>11653</v>
      </c>
      <c r="H31" s="99">
        <v>1724</v>
      </c>
      <c r="I31" s="99">
        <v>285</v>
      </c>
      <c r="J31" s="99">
        <v>327</v>
      </c>
      <c r="K31" s="99">
        <v>42</v>
      </c>
      <c r="L31" s="99">
        <v>622</v>
      </c>
      <c r="M31" s="99">
        <v>615</v>
      </c>
      <c r="N31" s="99">
        <v>6</v>
      </c>
    </row>
    <row r="32" spans="1:17" ht="31.75" customHeight="1">
      <c r="A32" s="109" t="s">
        <v>6948</v>
      </c>
      <c r="B32" s="109" t="s">
        <v>6949</v>
      </c>
      <c r="C32" s="98">
        <v>2011</v>
      </c>
      <c r="D32" s="99">
        <v>1026</v>
      </c>
      <c r="E32" s="99">
        <v>15386</v>
      </c>
      <c r="F32" s="99">
        <v>2772</v>
      </c>
      <c r="G32" s="99">
        <v>12652</v>
      </c>
      <c r="H32" s="99">
        <v>1718</v>
      </c>
      <c r="I32" s="99">
        <v>267</v>
      </c>
      <c r="J32" s="99">
        <v>295</v>
      </c>
      <c r="K32" s="99">
        <v>28</v>
      </c>
      <c r="L32" s="99">
        <v>728</v>
      </c>
      <c r="M32" s="99">
        <v>679</v>
      </c>
      <c r="N32" s="99">
        <v>48</v>
      </c>
      <c r="O32" s="110"/>
      <c r="P32" s="110"/>
      <c r="Q32" s="110"/>
    </row>
    <row r="33" spans="1:17" ht="31.75" customHeight="1">
      <c r="A33" s="109" t="s">
        <v>6948</v>
      </c>
      <c r="B33" s="109" t="s">
        <v>6949</v>
      </c>
      <c r="C33" s="111">
        <v>2012</v>
      </c>
      <c r="D33" s="112">
        <v>1030</v>
      </c>
      <c r="E33" s="112">
        <v>18208</v>
      </c>
      <c r="F33" s="112">
        <v>3147</v>
      </c>
      <c r="G33" s="112">
        <v>15152</v>
      </c>
      <c r="H33" s="112">
        <v>1819</v>
      </c>
      <c r="I33" s="112">
        <v>300</v>
      </c>
      <c r="J33" s="112">
        <v>317</v>
      </c>
      <c r="K33" s="112">
        <v>17</v>
      </c>
      <c r="L33" s="112">
        <v>890</v>
      </c>
      <c r="M33" s="112">
        <v>790</v>
      </c>
      <c r="N33" s="112">
        <v>100</v>
      </c>
    </row>
    <row r="34" spans="1:17" ht="31.75" customHeight="1">
      <c r="A34" s="109" t="s">
        <v>6948</v>
      </c>
      <c r="B34" s="109" t="s">
        <v>6949</v>
      </c>
      <c r="C34" s="113">
        <v>2013</v>
      </c>
      <c r="D34" s="112">
        <v>1018</v>
      </c>
      <c r="E34" s="112">
        <v>17087</v>
      </c>
      <c r="F34" s="112">
        <v>2885</v>
      </c>
      <c r="G34" s="112">
        <v>14261</v>
      </c>
      <c r="H34" s="112">
        <v>1859</v>
      </c>
      <c r="I34" s="112">
        <v>299</v>
      </c>
      <c r="J34" s="112">
        <v>318</v>
      </c>
      <c r="K34" s="112">
        <v>19</v>
      </c>
      <c r="L34" s="112">
        <v>918</v>
      </c>
      <c r="M34" s="112">
        <v>853</v>
      </c>
      <c r="N34" s="112">
        <v>65</v>
      </c>
    </row>
    <row r="35" spans="1:17" ht="31.75" customHeight="1">
      <c r="A35" s="109" t="s">
        <v>6948</v>
      </c>
      <c r="B35" s="109" t="s">
        <v>6949</v>
      </c>
      <c r="C35" s="113">
        <v>2014</v>
      </c>
      <c r="D35" s="99">
        <v>1021</v>
      </c>
      <c r="E35" s="99">
        <v>17482</v>
      </c>
      <c r="F35" s="99">
        <v>3174</v>
      </c>
      <c r="G35" s="99">
        <v>14359</v>
      </c>
      <c r="H35" s="99">
        <v>1911</v>
      </c>
      <c r="I35" s="99">
        <v>300</v>
      </c>
      <c r="J35" s="99">
        <v>318</v>
      </c>
      <c r="K35" s="99">
        <v>18</v>
      </c>
      <c r="L35" s="99">
        <v>895</v>
      </c>
      <c r="M35" s="99">
        <v>853</v>
      </c>
      <c r="N35" s="99">
        <v>41</v>
      </c>
      <c r="O35" s="110"/>
      <c r="P35" s="110"/>
      <c r="Q35" s="110"/>
    </row>
    <row r="36" spans="1:17" ht="31.75" customHeight="1">
      <c r="A36" s="109" t="s">
        <v>6948</v>
      </c>
      <c r="B36" s="109" t="s">
        <v>6949</v>
      </c>
      <c r="C36" s="113">
        <v>2015</v>
      </c>
      <c r="D36" s="112">
        <v>1010</v>
      </c>
      <c r="E36" s="112">
        <v>18096</v>
      </c>
      <c r="F36" s="112">
        <v>3478</v>
      </c>
      <c r="G36" s="112">
        <v>14632</v>
      </c>
      <c r="H36" s="112">
        <v>1989</v>
      </c>
      <c r="I36" s="112">
        <v>422</v>
      </c>
      <c r="J36" s="112">
        <v>443</v>
      </c>
      <c r="K36" s="112">
        <v>21</v>
      </c>
      <c r="L36" s="112">
        <v>933</v>
      </c>
      <c r="M36" s="112">
        <v>925</v>
      </c>
      <c r="N36" s="112">
        <v>9</v>
      </c>
      <c r="O36" s="110"/>
      <c r="P36" s="110"/>
      <c r="Q36" s="110"/>
    </row>
    <row r="37" spans="1:17" ht="31.75" customHeight="1">
      <c r="A37" s="109" t="s">
        <v>6948</v>
      </c>
      <c r="B37" s="109" t="s">
        <v>6949</v>
      </c>
      <c r="C37" s="113">
        <v>2016</v>
      </c>
      <c r="D37" s="112">
        <v>1042</v>
      </c>
      <c r="E37" s="112">
        <v>17959</v>
      </c>
      <c r="F37" s="112">
        <v>3831</v>
      </c>
      <c r="G37" s="112">
        <v>14158</v>
      </c>
      <c r="H37" s="112">
        <v>2111</v>
      </c>
      <c r="I37" s="112">
        <v>377</v>
      </c>
      <c r="J37" s="112">
        <v>397</v>
      </c>
      <c r="K37" s="112">
        <v>20</v>
      </c>
      <c r="L37" s="112">
        <v>901</v>
      </c>
      <c r="M37" s="112">
        <v>880</v>
      </c>
      <c r="N37" s="112">
        <v>21</v>
      </c>
      <c r="O37" s="110"/>
      <c r="P37" s="110"/>
      <c r="Q37" s="110"/>
    </row>
    <row r="38" spans="1:17" ht="31.75" customHeight="1">
      <c r="A38" s="109" t="s">
        <v>6948</v>
      </c>
      <c r="B38" s="109" t="s">
        <v>6949</v>
      </c>
      <c r="C38" s="113">
        <v>2017</v>
      </c>
      <c r="D38" s="112">
        <v>1034</v>
      </c>
      <c r="E38" s="112">
        <v>19074</v>
      </c>
      <c r="F38" s="112">
        <v>3844</v>
      </c>
      <c r="G38" s="112">
        <v>15304</v>
      </c>
      <c r="H38" s="112">
        <v>2259</v>
      </c>
      <c r="I38" s="112">
        <v>435</v>
      </c>
      <c r="J38" s="112">
        <v>466</v>
      </c>
      <c r="K38" s="112">
        <v>31</v>
      </c>
      <c r="L38" s="112">
        <v>940</v>
      </c>
      <c r="M38" s="112">
        <v>900</v>
      </c>
      <c r="N38" s="112">
        <v>40</v>
      </c>
    </row>
    <row r="39" spans="1:17" ht="31.75" customHeight="1">
      <c r="A39" s="109" t="s">
        <v>6948</v>
      </c>
      <c r="B39" s="109" t="s">
        <v>6949</v>
      </c>
      <c r="C39" s="113">
        <v>2018</v>
      </c>
      <c r="D39" s="112">
        <v>1028</v>
      </c>
      <c r="E39" s="112">
        <v>19668</v>
      </c>
      <c r="F39" s="112">
        <v>3926</v>
      </c>
      <c r="G39" s="112">
        <v>15798</v>
      </c>
      <c r="H39" s="112">
        <v>2360</v>
      </c>
      <c r="I39" s="112">
        <v>544</v>
      </c>
      <c r="J39" s="112">
        <v>595</v>
      </c>
      <c r="K39" s="112">
        <v>52</v>
      </c>
      <c r="L39" s="112">
        <v>1073</v>
      </c>
      <c r="M39" s="112">
        <v>1035</v>
      </c>
      <c r="N39" s="112">
        <v>38</v>
      </c>
      <c r="O39" s="110"/>
      <c r="P39" s="110"/>
      <c r="Q39" s="110"/>
    </row>
    <row r="40" spans="1:17" ht="31.75" customHeight="1">
      <c r="A40" s="109" t="s">
        <v>6948</v>
      </c>
      <c r="B40" s="109" t="s">
        <v>6949</v>
      </c>
      <c r="C40" s="113">
        <v>2019</v>
      </c>
      <c r="D40" s="112">
        <v>1030</v>
      </c>
      <c r="E40" s="112">
        <v>20434.620529</v>
      </c>
      <c r="F40" s="112">
        <v>4300.0857809999998</v>
      </c>
      <c r="G40" s="112">
        <v>16157.854112000001</v>
      </c>
      <c r="H40" s="112">
        <v>2533.885898</v>
      </c>
      <c r="I40" s="112">
        <v>486.61111799999998</v>
      </c>
      <c r="J40" s="112">
        <v>510.57466299999999</v>
      </c>
      <c r="K40" s="112">
        <v>23.963545</v>
      </c>
      <c r="L40" s="112">
        <v>1063.271037</v>
      </c>
      <c r="M40" s="112">
        <v>1048.137612</v>
      </c>
      <c r="N40" s="112">
        <v>15.133425000000001</v>
      </c>
      <c r="O40" s="110"/>
      <c r="P40" s="110"/>
      <c r="Q40" s="110"/>
    </row>
    <row r="41" spans="1:17" ht="31.75" customHeight="1">
      <c r="A41" s="114" t="s">
        <v>6948</v>
      </c>
      <c r="B41" s="114" t="s">
        <v>6949</v>
      </c>
      <c r="C41" s="113">
        <v>2020</v>
      </c>
      <c r="D41" s="112">
        <v>1040</v>
      </c>
      <c r="E41" s="112">
        <v>21119.817885</v>
      </c>
      <c r="F41" s="112">
        <v>4110.6235260000003</v>
      </c>
      <c r="G41" s="112">
        <v>17102.830585</v>
      </c>
      <c r="H41" s="112">
        <v>2631.89347</v>
      </c>
      <c r="I41" s="112">
        <v>610.68257200000005</v>
      </c>
      <c r="J41" s="112">
        <v>686.54457400000001</v>
      </c>
      <c r="K41" s="112">
        <v>75.862002000000004</v>
      </c>
      <c r="L41" s="112">
        <v>1171.9804979999999</v>
      </c>
      <c r="M41" s="112">
        <v>1083.3800510000001</v>
      </c>
      <c r="N41" s="112">
        <v>88.600446000000005</v>
      </c>
      <c r="O41" s="110"/>
      <c r="P41" s="110"/>
      <c r="Q41" s="110"/>
    </row>
    <row r="42" spans="1:17" ht="17.5" customHeight="1">
      <c r="A42" s="109" t="s">
        <v>6950</v>
      </c>
      <c r="B42" s="109" t="s">
        <v>6951</v>
      </c>
      <c r="C42" s="98">
        <v>2008</v>
      </c>
      <c r="D42" s="99">
        <v>297</v>
      </c>
      <c r="E42" s="99">
        <v>5079</v>
      </c>
      <c r="F42" s="99">
        <v>710</v>
      </c>
      <c r="G42" s="99">
        <v>4375</v>
      </c>
      <c r="H42" s="99">
        <v>396</v>
      </c>
      <c r="I42" s="99">
        <v>21</v>
      </c>
      <c r="J42" s="99">
        <v>44</v>
      </c>
      <c r="K42" s="99">
        <v>22</v>
      </c>
      <c r="L42" s="99">
        <v>199</v>
      </c>
      <c r="M42" s="99">
        <v>200</v>
      </c>
      <c r="N42" s="99" t="s">
        <v>6952</v>
      </c>
      <c r="O42" s="110"/>
      <c r="P42" s="110"/>
      <c r="Q42" s="110"/>
    </row>
    <row r="43" spans="1:17" ht="17.5" customHeight="1">
      <c r="A43" s="109" t="s">
        <v>6950</v>
      </c>
      <c r="B43" s="109" t="s">
        <v>6951</v>
      </c>
      <c r="C43" s="98">
        <v>2009</v>
      </c>
      <c r="D43" s="99">
        <v>304</v>
      </c>
      <c r="E43" s="99">
        <v>4497</v>
      </c>
      <c r="F43" s="99">
        <v>550</v>
      </c>
      <c r="G43" s="99">
        <v>3949</v>
      </c>
      <c r="H43" s="99">
        <v>365</v>
      </c>
      <c r="I43" s="99">
        <v>29</v>
      </c>
      <c r="J43" s="99">
        <v>37</v>
      </c>
      <c r="K43" s="99">
        <v>8</v>
      </c>
      <c r="L43" s="99">
        <v>152</v>
      </c>
      <c r="M43" s="99">
        <v>155</v>
      </c>
      <c r="N43" s="99">
        <v>-3</v>
      </c>
    </row>
    <row r="44" spans="1:17" ht="17.5" customHeight="1">
      <c r="A44" s="109" t="s">
        <v>6950</v>
      </c>
      <c r="B44" s="109" t="s">
        <v>6951</v>
      </c>
      <c r="C44" s="98">
        <v>2010</v>
      </c>
      <c r="D44" s="99">
        <v>306</v>
      </c>
      <c r="E44" s="99">
        <v>4578</v>
      </c>
      <c r="F44" s="99">
        <v>667</v>
      </c>
      <c r="G44" s="99">
        <v>3910</v>
      </c>
      <c r="H44" s="99">
        <v>330</v>
      </c>
      <c r="I44" s="99">
        <v>65</v>
      </c>
      <c r="J44" s="99">
        <v>70</v>
      </c>
      <c r="K44" s="99">
        <v>6</v>
      </c>
      <c r="L44" s="99">
        <v>148</v>
      </c>
      <c r="M44" s="99">
        <v>148</v>
      </c>
      <c r="N44" s="99" t="s">
        <v>6952</v>
      </c>
      <c r="O44" s="110"/>
      <c r="P44" s="110"/>
      <c r="Q44" s="110"/>
    </row>
    <row r="45" spans="1:17" ht="17.5" customHeight="1">
      <c r="A45" s="109" t="s">
        <v>6950</v>
      </c>
      <c r="B45" s="109" t="s">
        <v>6951</v>
      </c>
      <c r="C45" s="98">
        <v>2011</v>
      </c>
      <c r="D45" s="99">
        <v>327</v>
      </c>
      <c r="E45" s="99">
        <v>5777</v>
      </c>
      <c r="F45" s="99">
        <v>896</v>
      </c>
      <c r="G45" s="99">
        <v>4882</v>
      </c>
      <c r="H45" s="99">
        <v>427</v>
      </c>
      <c r="I45" s="99">
        <v>77</v>
      </c>
      <c r="J45" s="99">
        <v>87</v>
      </c>
      <c r="K45" s="99">
        <v>10</v>
      </c>
      <c r="L45" s="99">
        <v>195</v>
      </c>
      <c r="M45" s="99">
        <v>192</v>
      </c>
      <c r="N45" s="112" t="s">
        <v>6953</v>
      </c>
    </row>
    <row r="46" spans="1:17" ht="17.5" customHeight="1">
      <c r="A46" s="109" t="s">
        <v>6950</v>
      </c>
      <c r="B46" s="109" t="s">
        <v>6951</v>
      </c>
      <c r="C46" s="111">
        <v>2012</v>
      </c>
      <c r="D46" s="112">
        <v>345</v>
      </c>
      <c r="E46" s="112">
        <v>6473</v>
      </c>
      <c r="F46" s="112">
        <v>867</v>
      </c>
      <c r="G46" s="112">
        <v>5639</v>
      </c>
      <c r="H46" s="112">
        <v>464</v>
      </c>
      <c r="I46" s="112">
        <v>88</v>
      </c>
      <c r="J46" s="112">
        <v>95</v>
      </c>
      <c r="K46" s="112">
        <v>7</v>
      </c>
      <c r="L46" s="112">
        <v>256</v>
      </c>
      <c r="M46" s="112">
        <v>222</v>
      </c>
      <c r="N46" s="112">
        <v>34</v>
      </c>
    </row>
    <row r="47" spans="1:17" ht="17.5" customHeight="1">
      <c r="A47" s="109" t="s">
        <v>6950</v>
      </c>
      <c r="B47" s="109" t="s">
        <v>6951</v>
      </c>
      <c r="C47" s="113">
        <v>2013</v>
      </c>
      <c r="D47" s="112">
        <v>351</v>
      </c>
      <c r="E47" s="112">
        <v>6459</v>
      </c>
      <c r="F47" s="112">
        <v>737</v>
      </c>
      <c r="G47" s="112">
        <v>5763</v>
      </c>
      <c r="H47" s="112">
        <v>474</v>
      </c>
      <c r="I47" s="112">
        <v>102</v>
      </c>
      <c r="J47" s="112">
        <v>110</v>
      </c>
      <c r="K47" s="112">
        <v>9</v>
      </c>
      <c r="L47" s="112">
        <v>275</v>
      </c>
      <c r="M47" s="112">
        <v>235</v>
      </c>
      <c r="N47" s="112">
        <v>39</v>
      </c>
      <c r="O47" s="110"/>
      <c r="P47" s="110"/>
      <c r="Q47" s="110"/>
    </row>
    <row r="48" spans="1:17" ht="17.5" customHeight="1">
      <c r="A48" s="109" t="s">
        <v>6950</v>
      </c>
      <c r="B48" s="109" t="s">
        <v>6951</v>
      </c>
      <c r="C48" s="113">
        <v>2014</v>
      </c>
      <c r="D48" s="99">
        <v>349</v>
      </c>
      <c r="E48" s="99">
        <v>6530</v>
      </c>
      <c r="F48" s="99">
        <v>743</v>
      </c>
      <c r="G48" s="99">
        <v>5807</v>
      </c>
      <c r="H48" s="99">
        <v>492</v>
      </c>
      <c r="I48" s="99">
        <v>106</v>
      </c>
      <c r="J48" s="99">
        <v>112</v>
      </c>
      <c r="K48" s="99">
        <v>6</v>
      </c>
      <c r="L48" s="99">
        <v>295</v>
      </c>
      <c r="M48" s="99">
        <v>272</v>
      </c>
      <c r="N48" s="99">
        <v>22</v>
      </c>
      <c r="O48" s="110"/>
      <c r="P48" s="110"/>
      <c r="Q48" s="110"/>
    </row>
    <row r="49" spans="1:17" ht="17.5" customHeight="1">
      <c r="A49" s="109" t="s">
        <v>6950</v>
      </c>
      <c r="B49" s="109" t="s">
        <v>6951</v>
      </c>
      <c r="C49" s="113">
        <v>2015</v>
      </c>
      <c r="D49" s="112">
        <v>343</v>
      </c>
      <c r="E49" s="112">
        <v>7189</v>
      </c>
      <c r="F49" s="112">
        <v>856</v>
      </c>
      <c r="G49" s="112">
        <v>6324</v>
      </c>
      <c r="H49" s="112">
        <v>516</v>
      </c>
      <c r="I49" s="112">
        <v>159</v>
      </c>
      <c r="J49" s="112">
        <v>164</v>
      </c>
      <c r="K49" s="112">
        <v>4</v>
      </c>
      <c r="L49" s="112">
        <v>254</v>
      </c>
      <c r="M49" s="112">
        <v>264</v>
      </c>
      <c r="N49" s="112">
        <v>-10</v>
      </c>
      <c r="O49" s="110"/>
      <c r="P49" s="110"/>
      <c r="Q49" s="110"/>
    </row>
    <row r="50" spans="1:17" ht="17.5" customHeight="1">
      <c r="A50" s="109" t="s">
        <v>6950</v>
      </c>
      <c r="B50" s="109" t="s">
        <v>6951</v>
      </c>
      <c r="C50" s="113">
        <v>2016</v>
      </c>
      <c r="D50" s="112">
        <v>360</v>
      </c>
      <c r="E50" s="112">
        <v>7283</v>
      </c>
      <c r="F50" s="112">
        <v>1138</v>
      </c>
      <c r="G50" s="112">
        <v>6157</v>
      </c>
      <c r="H50" s="112">
        <v>583</v>
      </c>
      <c r="I50" s="112">
        <v>84</v>
      </c>
      <c r="J50" s="112">
        <v>88</v>
      </c>
      <c r="K50" s="112">
        <v>5</v>
      </c>
      <c r="L50" s="112">
        <v>288</v>
      </c>
      <c r="M50" s="112">
        <v>273</v>
      </c>
      <c r="N50" s="112">
        <v>15</v>
      </c>
    </row>
    <row r="51" spans="1:17" ht="17.5" customHeight="1">
      <c r="A51" s="109" t="s">
        <v>6950</v>
      </c>
      <c r="B51" s="109" t="s">
        <v>6951</v>
      </c>
      <c r="C51" s="113">
        <v>2017</v>
      </c>
      <c r="D51" s="112">
        <v>359</v>
      </c>
      <c r="E51" s="112">
        <v>8124</v>
      </c>
      <c r="F51" s="112">
        <v>1233</v>
      </c>
      <c r="G51" s="112">
        <v>6909</v>
      </c>
      <c r="H51" s="112">
        <v>704</v>
      </c>
      <c r="I51" s="112">
        <v>100</v>
      </c>
      <c r="J51" s="112">
        <v>111</v>
      </c>
      <c r="K51" s="112">
        <v>11</v>
      </c>
      <c r="L51" s="112">
        <v>322</v>
      </c>
      <c r="M51" s="112">
        <v>309</v>
      </c>
      <c r="N51" s="112">
        <v>13</v>
      </c>
      <c r="O51" s="110"/>
      <c r="P51" s="110"/>
      <c r="Q51" s="110"/>
    </row>
    <row r="52" spans="1:17" ht="17.5" customHeight="1">
      <c r="A52" s="109" t="s">
        <v>6950</v>
      </c>
      <c r="B52" s="109" t="s">
        <v>6951</v>
      </c>
      <c r="C52" s="113">
        <v>2018</v>
      </c>
      <c r="D52" s="112">
        <v>349</v>
      </c>
      <c r="E52" s="112">
        <v>8456</v>
      </c>
      <c r="F52" s="112">
        <v>1330</v>
      </c>
      <c r="G52" s="112">
        <v>7174</v>
      </c>
      <c r="H52" s="112">
        <v>750</v>
      </c>
      <c r="I52" s="112">
        <v>154</v>
      </c>
      <c r="J52" s="112">
        <v>168</v>
      </c>
      <c r="K52" s="112">
        <v>14</v>
      </c>
      <c r="L52" s="112">
        <v>392</v>
      </c>
      <c r="M52" s="112">
        <v>345</v>
      </c>
      <c r="N52" s="112">
        <v>46</v>
      </c>
      <c r="O52" s="110"/>
      <c r="P52" s="110"/>
      <c r="Q52" s="110"/>
    </row>
    <row r="53" spans="1:17" ht="17.5" customHeight="1">
      <c r="A53" s="109" t="s">
        <v>6950</v>
      </c>
      <c r="B53" s="109" t="s">
        <v>6951</v>
      </c>
      <c r="C53" s="113">
        <v>2019</v>
      </c>
      <c r="D53" s="112">
        <v>360</v>
      </c>
      <c r="E53" s="112">
        <v>8443.9723169999997</v>
      </c>
      <c r="F53" s="112">
        <v>1542.3819840000001</v>
      </c>
      <c r="G53" s="112">
        <v>6900.5410519999996</v>
      </c>
      <c r="H53" s="112">
        <v>773.36629700000003</v>
      </c>
      <c r="I53" s="112">
        <v>194.85652999999999</v>
      </c>
      <c r="J53" s="112">
        <v>202.38429500000001</v>
      </c>
      <c r="K53" s="112">
        <v>7.5277649999999996</v>
      </c>
      <c r="L53" s="112">
        <v>365.74492299999997</v>
      </c>
      <c r="M53" s="112">
        <v>371.10679499999998</v>
      </c>
      <c r="N53" s="112">
        <v>-5.361872</v>
      </c>
      <c r="O53" s="110"/>
      <c r="P53" s="110"/>
      <c r="Q53" s="110"/>
    </row>
    <row r="54" spans="1:17" ht="17.5" customHeight="1">
      <c r="A54" s="114" t="s">
        <v>6950</v>
      </c>
      <c r="B54" s="114" t="s">
        <v>6951</v>
      </c>
      <c r="C54" s="113">
        <v>2020</v>
      </c>
      <c r="D54" s="112">
        <v>373</v>
      </c>
      <c r="E54" s="112">
        <v>9313.0820110000004</v>
      </c>
      <c r="F54" s="112">
        <v>1568.1905810000001</v>
      </c>
      <c r="G54" s="112">
        <v>7798.6288839999997</v>
      </c>
      <c r="H54" s="112">
        <v>903.297687</v>
      </c>
      <c r="I54" s="112">
        <v>336.05670199999997</v>
      </c>
      <c r="J54" s="112">
        <v>403.69753200000002</v>
      </c>
      <c r="K54" s="112">
        <v>67.640829999999994</v>
      </c>
      <c r="L54" s="112">
        <v>447.64599199999998</v>
      </c>
      <c r="M54" s="112">
        <v>395.159808</v>
      </c>
      <c r="N54" s="112">
        <v>52.486184000000002</v>
      </c>
      <c r="O54" s="110"/>
      <c r="P54" s="110"/>
      <c r="Q54" s="110"/>
    </row>
    <row r="55" spans="1:17" ht="17.5" customHeight="1">
      <c r="A55" s="109" t="s">
        <v>6954</v>
      </c>
      <c r="B55" s="109" t="s">
        <v>6955</v>
      </c>
      <c r="C55" s="98">
        <v>2008</v>
      </c>
      <c r="D55" s="99">
        <v>122</v>
      </c>
      <c r="E55" s="99">
        <v>3326</v>
      </c>
      <c r="F55" s="99">
        <v>521</v>
      </c>
      <c r="G55" s="99">
        <v>2814</v>
      </c>
      <c r="H55" s="99">
        <v>556</v>
      </c>
      <c r="I55" s="99">
        <v>49</v>
      </c>
      <c r="J55" s="99">
        <v>60</v>
      </c>
      <c r="K55" s="99">
        <v>11</v>
      </c>
      <c r="L55" s="99">
        <v>196</v>
      </c>
      <c r="M55" s="99">
        <v>176</v>
      </c>
      <c r="N55" s="99">
        <v>20</v>
      </c>
    </row>
    <row r="56" spans="1:17" ht="17.5" customHeight="1">
      <c r="A56" s="109" t="s">
        <v>6954</v>
      </c>
      <c r="B56" s="109" t="s">
        <v>6955</v>
      </c>
      <c r="C56" s="98">
        <v>2009</v>
      </c>
      <c r="D56" s="99">
        <v>112</v>
      </c>
      <c r="E56" s="99">
        <v>3838</v>
      </c>
      <c r="F56" s="99">
        <v>703</v>
      </c>
      <c r="G56" s="99">
        <v>3127</v>
      </c>
      <c r="H56" s="99">
        <v>572</v>
      </c>
      <c r="I56" s="99">
        <v>68</v>
      </c>
      <c r="J56" s="99">
        <v>74</v>
      </c>
      <c r="K56" s="99">
        <v>5</v>
      </c>
      <c r="L56" s="99">
        <v>193</v>
      </c>
      <c r="M56" s="99">
        <v>192</v>
      </c>
      <c r="N56" s="99">
        <v>1</v>
      </c>
      <c r="O56" s="110"/>
      <c r="P56" s="110"/>
      <c r="Q56" s="110"/>
    </row>
    <row r="57" spans="1:17" ht="17.5" customHeight="1">
      <c r="A57" s="109" t="s">
        <v>6954</v>
      </c>
      <c r="B57" s="109" t="s">
        <v>6955</v>
      </c>
      <c r="C57" s="98">
        <v>2010</v>
      </c>
      <c r="D57" s="99">
        <v>183</v>
      </c>
      <c r="E57" s="99">
        <v>3859</v>
      </c>
      <c r="F57" s="99">
        <v>646</v>
      </c>
      <c r="G57" s="99">
        <v>3216</v>
      </c>
      <c r="H57" s="99">
        <v>546</v>
      </c>
      <c r="I57" s="99">
        <v>119</v>
      </c>
      <c r="J57" s="99">
        <v>122</v>
      </c>
      <c r="K57" s="99">
        <v>3</v>
      </c>
      <c r="L57" s="99">
        <v>180</v>
      </c>
      <c r="M57" s="99">
        <v>173</v>
      </c>
      <c r="N57" s="99">
        <v>7</v>
      </c>
    </row>
    <row r="58" spans="1:17" ht="17.5" customHeight="1">
      <c r="A58" s="109" t="s">
        <v>6954</v>
      </c>
      <c r="B58" s="109" t="s">
        <v>6955</v>
      </c>
      <c r="C58" s="98">
        <v>2011</v>
      </c>
      <c r="D58" s="99">
        <v>101</v>
      </c>
      <c r="E58" s="99">
        <v>3951</v>
      </c>
      <c r="F58" s="99">
        <v>591</v>
      </c>
      <c r="G58" s="99">
        <v>3378</v>
      </c>
      <c r="H58" s="99">
        <v>510</v>
      </c>
      <c r="I58" s="99">
        <v>97</v>
      </c>
      <c r="J58" s="99">
        <v>99</v>
      </c>
      <c r="K58" s="99">
        <v>2</v>
      </c>
      <c r="L58" s="99">
        <v>180</v>
      </c>
      <c r="M58" s="99">
        <v>157</v>
      </c>
      <c r="N58" s="99">
        <v>23</v>
      </c>
    </row>
    <row r="59" spans="1:17" ht="17.5" customHeight="1">
      <c r="A59" s="109" t="s">
        <v>6954</v>
      </c>
      <c r="B59" s="109" t="s">
        <v>6955</v>
      </c>
      <c r="C59" s="111">
        <v>2012</v>
      </c>
      <c r="D59" s="112">
        <v>91</v>
      </c>
      <c r="E59" s="112">
        <v>5634</v>
      </c>
      <c r="F59" s="112">
        <v>828</v>
      </c>
      <c r="G59" s="112">
        <v>4850</v>
      </c>
      <c r="H59" s="112">
        <v>541</v>
      </c>
      <c r="I59" s="112">
        <v>74</v>
      </c>
      <c r="J59" s="112">
        <v>75</v>
      </c>
      <c r="K59" s="112">
        <v>1</v>
      </c>
      <c r="L59" s="112">
        <v>259</v>
      </c>
      <c r="M59" s="112">
        <v>209</v>
      </c>
      <c r="N59" s="112">
        <v>50</v>
      </c>
      <c r="O59" s="110"/>
      <c r="P59" s="110"/>
      <c r="Q59" s="110"/>
    </row>
    <row r="60" spans="1:17" ht="17.5" customHeight="1">
      <c r="A60" s="109" t="s">
        <v>6954</v>
      </c>
      <c r="B60" s="109" t="s">
        <v>6955</v>
      </c>
      <c r="C60" s="113">
        <v>2013</v>
      </c>
      <c r="D60" s="112">
        <v>107</v>
      </c>
      <c r="E60" s="112">
        <v>4604</v>
      </c>
      <c r="F60" s="112">
        <v>855</v>
      </c>
      <c r="G60" s="112">
        <v>3762</v>
      </c>
      <c r="H60" s="112">
        <v>590</v>
      </c>
      <c r="I60" s="112">
        <v>111</v>
      </c>
      <c r="J60" s="112">
        <v>114</v>
      </c>
      <c r="K60" s="112">
        <v>3</v>
      </c>
      <c r="L60" s="112">
        <v>266</v>
      </c>
      <c r="M60" s="112">
        <v>246</v>
      </c>
      <c r="N60" s="112">
        <v>20</v>
      </c>
      <c r="O60" s="110"/>
      <c r="P60" s="110"/>
      <c r="Q60" s="110"/>
    </row>
    <row r="61" spans="1:17" ht="17.5" customHeight="1">
      <c r="A61" s="109" t="s">
        <v>6954</v>
      </c>
      <c r="B61" s="109" t="s">
        <v>6955</v>
      </c>
      <c r="C61" s="113">
        <v>2014</v>
      </c>
      <c r="D61" s="99">
        <v>103</v>
      </c>
      <c r="E61" s="99">
        <v>4738</v>
      </c>
      <c r="F61" s="99">
        <v>979</v>
      </c>
      <c r="G61" s="99">
        <v>3786</v>
      </c>
      <c r="H61" s="99">
        <v>606</v>
      </c>
      <c r="I61" s="99">
        <v>81</v>
      </c>
      <c r="J61" s="99">
        <v>86</v>
      </c>
      <c r="K61" s="99">
        <v>5</v>
      </c>
      <c r="L61" s="99">
        <v>224</v>
      </c>
      <c r="M61" s="99">
        <v>207</v>
      </c>
      <c r="N61" s="99">
        <v>17</v>
      </c>
      <c r="O61" s="110"/>
      <c r="P61" s="110"/>
      <c r="Q61" s="110"/>
    </row>
    <row r="62" spans="1:17" ht="17.5" customHeight="1">
      <c r="A62" s="109" t="s">
        <v>6954</v>
      </c>
      <c r="B62" s="109" t="s">
        <v>6955</v>
      </c>
      <c r="C62" s="113">
        <v>2015</v>
      </c>
      <c r="D62" s="112">
        <v>111</v>
      </c>
      <c r="E62" s="112">
        <v>4872</v>
      </c>
      <c r="F62" s="112">
        <v>1098</v>
      </c>
      <c r="G62" s="112">
        <v>3763</v>
      </c>
      <c r="H62" s="112">
        <v>665</v>
      </c>
      <c r="I62" s="112">
        <v>105</v>
      </c>
      <c r="J62" s="112">
        <v>109</v>
      </c>
      <c r="K62" s="112">
        <v>4</v>
      </c>
      <c r="L62" s="112">
        <v>281</v>
      </c>
      <c r="M62" s="112">
        <v>293</v>
      </c>
      <c r="N62" s="112">
        <v>-11</v>
      </c>
    </row>
    <row r="63" spans="1:17" ht="17.5" customHeight="1">
      <c r="A63" s="109" t="s">
        <v>6954</v>
      </c>
      <c r="B63" s="109" t="s">
        <v>6955</v>
      </c>
      <c r="C63" s="113">
        <v>2016</v>
      </c>
      <c r="D63" s="112">
        <v>110</v>
      </c>
      <c r="E63" s="112">
        <v>4926</v>
      </c>
      <c r="F63" s="112">
        <v>1168</v>
      </c>
      <c r="G63" s="112">
        <v>3759</v>
      </c>
      <c r="H63" s="112">
        <v>678</v>
      </c>
      <c r="I63" s="112">
        <v>148</v>
      </c>
      <c r="J63" s="112">
        <v>150</v>
      </c>
      <c r="K63" s="112">
        <v>1</v>
      </c>
      <c r="L63" s="112">
        <v>261</v>
      </c>
      <c r="M63" s="112">
        <v>263</v>
      </c>
      <c r="N63" s="112">
        <v>-2</v>
      </c>
      <c r="O63" s="110"/>
      <c r="P63" s="110"/>
      <c r="Q63" s="110"/>
    </row>
    <row r="64" spans="1:17" ht="17.5" customHeight="1">
      <c r="A64" s="109" t="s">
        <v>6954</v>
      </c>
      <c r="B64" s="109" t="s">
        <v>6955</v>
      </c>
      <c r="C64" s="113">
        <v>2017</v>
      </c>
      <c r="D64" s="112">
        <v>108</v>
      </c>
      <c r="E64" s="112">
        <v>5103</v>
      </c>
      <c r="F64" s="112">
        <v>1129</v>
      </c>
      <c r="G64" s="112">
        <v>3978</v>
      </c>
      <c r="H64" s="112">
        <v>736</v>
      </c>
      <c r="I64" s="112">
        <v>172</v>
      </c>
      <c r="J64" s="112">
        <v>187</v>
      </c>
      <c r="K64" s="112">
        <v>15</v>
      </c>
      <c r="L64" s="112">
        <v>255</v>
      </c>
      <c r="M64" s="112">
        <v>257</v>
      </c>
      <c r="N64" s="112">
        <v>-2</v>
      </c>
      <c r="O64" s="110"/>
      <c r="P64" s="110"/>
      <c r="Q64" s="110"/>
    </row>
    <row r="65" spans="1:17" ht="17.5" customHeight="1">
      <c r="A65" s="109" t="s">
        <v>6954</v>
      </c>
      <c r="B65" s="109" t="s">
        <v>6955</v>
      </c>
      <c r="C65" s="113">
        <v>2018</v>
      </c>
      <c r="D65" s="112">
        <v>100</v>
      </c>
      <c r="E65" s="112">
        <v>5340</v>
      </c>
      <c r="F65" s="112">
        <v>1224</v>
      </c>
      <c r="G65" s="112">
        <v>4182</v>
      </c>
      <c r="H65" s="112">
        <v>777</v>
      </c>
      <c r="I65" s="112">
        <v>263</v>
      </c>
      <c r="J65" s="112">
        <v>297</v>
      </c>
      <c r="K65" s="112">
        <v>33</v>
      </c>
      <c r="L65" s="112">
        <v>298</v>
      </c>
      <c r="M65" s="112">
        <v>247</v>
      </c>
      <c r="N65" s="112">
        <v>52</v>
      </c>
      <c r="O65" s="110"/>
      <c r="P65" s="110"/>
      <c r="Q65" s="110"/>
    </row>
    <row r="66" spans="1:17" ht="17.5" customHeight="1">
      <c r="A66" s="109" t="s">
        <v>6954</v>
      </c>
      <c r="B66" s="109" t="s">
        <v>6955</v>
      </c>
      <c r="C66" s="113">
        <v>2019</v>
      </c>
      <c r="D66" s="112">
        <v>101</v>
      </c>
      <c r="E66" s="112">
        <v>6015.2615580000002</v>
      </c>
      <c r="F66" s="112">
        <v>1296.0974839999999</v>
      </c>
      <c r="G66" s="112">
        <v>4709.5050279999996</v>
      </c>
      <c r="H66" s="112">
        <v>924.238833</v>
      </c>
      <c r="I66" s="112">
        <v>151.56435099999999</v>
      </c>
      <c r="J66" s="112">
        <v>162.452045</v>
      </c>
      <c r="K66" s="112">
        <v>10.887694</v>
      </c>
      <c r="L66" s="112">
        <v>297.66399999999999</v>
      </c>
      <c r="M66" s="112">
        <v>311.051018</v>
      </c>
      <c r="N66" s="112">
        <v>-13.387017999999999</v>
      </c>
      <c r="O66" s="110"/>
      <c r="P66" s="110"/>
      <c r="Q66" s="110"/>
    </row>
    <row r="67" spans="1:17" ht="17.5" customHeight="1">
      <c r="A67" s="114" t="s">
        <v>6954</v>
      </c>
      <c r="B67" s="114" t="s">
        <v>6955</v>
      </c>
      <c r="C67" s="113">
        <v>2020</v>
      </c>
      <c r="D67" s="112">
        <v>99</v>
      </c>
      <c r="E67" s="112">
        <v>5712.4454470000001</v>
      </c>
      <c r="F67" s="112">
        <v>1038.1846089999999</v>
      </c>
      <c r="G67" s="112">
        <v>4678.4618909999999</v>
      </c>
      <c r="H67" s="112">
        <v>858.93492700000002</v>
      </c>
      <c r="I67" s="112">
        <v>139.09293500000001</v>
      </c>
      <c r="J67" s="112">
        <v>141.58160699999999</v>
      </c>
      <c r="K67" s="112">
        <v>2.4886720000000002</v>
      </c>
      <c r="L67" s="112">
        <v>305.21372500000001</v>
      </c>
      <c r="M67" s="112">
        <v>304.59820100000002</v>
      </c>
      <c r="N67" s="112">
        <v>0.61552399999999996</v>
      </c>
    </row>
    <row r="68" spans="1:17" ht="17.5" customHeight="1">
      <c r="A68" s="109" t="s">
        <v>6956</v>
      </c>
      <c r="B68" s="109" t="s">
        <v>6957</v>
      </c>
      <c r="C68" s="98">
        <v>2008</v>
      </c>
      <c r="D68" s="99">
        <v>616</v>
      </c>
      <c r="E68" s="99">
        <v>4825</v>
      </c>
      <c r="F68" s="99">
        <v>1399</v>
      </c>
      <c r="G68" s="99">
        <v>3463</v>
      </c>
      <c r="H68" s="99">
        <v>814</v>
      </c>
      <c r="I68" s="99">
        <v>111</v>
      </c>
      <c r="J68" s="99">
        <v>137</v>
      </c>
      <c r="K68" s="99">
        <v>26</v>
      </c>
      <c r="L68" s="99">
        <v>228</v>
      </c>
      <c r="M68" s="99">
        <v>192</v>
      </c>
      <c r="N68" s="99">
        <v>36</v>
      </c>
      <c r="O68" s="110"/>
      <c r="P68" s="110"/>
      <c r="Q68" s="110"/>
    </row>
    <row r="69" spans="1:17" ht="17.5" customHeight="1">
      <c r="A69" s="109" t="s">
        <v>6956</v>
      </c>
      <c r="B69" s="109" t="s">
        <v>6957</v>
      </c>
      <c r="C69" s="98">
        <v>2009</v>
      </c>
      <c r="D69" s="99">
        <v>609</v>
      </c>
      <c r="E69" s="99">
        <v>6293</v>
      </c>
      <c r="F69" s="99">
        <v>1606</v>
      </c>
      <c r="G69" s="99">
        <v>4683</v>
      </c>
      <c r="H69" s="99">
        <v>849</v>
      </c>
      <c r="I69" s="99">
        <v>102</v>
      </c>
      <c r="J69" s="99">
        <v>120</v>
      </c>
      <c r="K69" s="99">
        <v>18</v>
      </c>
      <c r="L69" s="99">
        <v>325</v>
      </c>
      <c r="M69" s="99">
        <v>329</v>
      </c>
      <c r="N69" s="99">
        <v>-4</v>
      </c>
    </row>
    <row r="70" spans="1:17" ht="17.5" customHeight="1">
      <c r="A70" s="109" t="s">
        <v>6956</v>
      </c>
      <c r="B70" s="109" t="s">
        <v>6957</v>
      </c>
      <c r="C70" s="98">
        <v>2010</v>
      </c>
      <c r="D70" s="99">
        <v>602</v>
      </c>
      <c r="E70" s="99">
        <v>5897</v>
      </c>
      <c r="F70" s="99">
        <v>1370</v>
      </c>
      <c r="G70" s="99">
        <v>4527</v>
      </c>
      <c r="H70" s="99">
        <v>848</v>
      </c>
      <c r="I70" s="99">
        <v>102</v>
      </c>
      <c r="J70" s="99">
        <v>135</v>
      </c>
      <c r="K70" s="99">
        <v>33</v>
      </c>
      <c r="L70" s="99">
        <v>293</v>
      </c>
      <c r="M70" s="99">
        <v>294</v>
      </c>
      <c r="N70" s="99">
        <v>-1</v>
      </c>
    </row>
    <row r="71" spans="1:17" ht="17.5" customHeight="1">
      <c r="A71" s="109" t="s">
        <v>6956</v>
      </c>
      <c r="B71" s="109" t="s">
        <v>6957</v>
      </c>
      <c r="C71" s="98">
        <v>2011</v>
      </c>
      <c r="D71" s="99">
        <v>598</v>
      </c>
      <c r="E71" s="99">
        <v>5657</v>
      </c>
      <c r="F71" s="99">
        <v>1285</v>
      </c>
      <c r="G71" s="99">
        <v>4392</v>
      </c>
      <c r="H71" s="99">
        <v>781</v>
      </c>
      <c r="I71" s="99">
        <v>93</v>
      </c>
      <c r="J71" s="99">
        <v>108</v>
      </c>
      <c r="K71" s="99">
        <v>15</v>
      </c>
      <c r="L71" s="99">
        <v>352</v>
      </c>
      <c r="M71" s="99">
        <v>330</v>
      </c>
      <c r="N71" s="99">
        <v>22</v>
      </c>
      <c r="O71" s="110"/>
      <c r="P71" s="110"/>
      <c r="Q71" s="110"/>
    </row>
    <row r="72" spans="1:17" ht="17.5" customHeight="1">
      <c r="A72" s="109" t="s">
        <v>6956</v>
      </c>
      <c r="B72" s="109" t="s">
        <v>6957</v>
      </c>
      <c r="C72" s="111">
        <v>2012</v>
      </c>
      <c r="D72" s="112">
        <v>594</v>
      </c>
      <c r="E72" s="112">
        <v>6101</v>
      </c>
      <c r="F72" s="112">
        <v>1452</v>
      </c>
      <c r="G72" s="112">
        <v>4663</v>
      </c>
      <c r="H72" s="112">
        <v>814</v>
      </c>
      <c r="I72" s="112">
        <v>138</v>
      </c>
      <c r="J72" s="112">
        <v>146</v>
      </c>
      <c r="K72" s="112">
        <v>9</v>
      </c>
      <c r="L72" s="112">
        <v>375</v>
      </c>
      <c r="M72" s="112">
        <v>359</v>
      </c>
      <c r="N72" s="112">
        <v>16</v>
      </c>
      <c r="O72" s="110"/>
      <c r="P72" s="110"/>
      <c r="Q72" s="110"/>
    </row>
    <row r="73" spans="1:17" ht="17.5" customHeight="1">
      <c r="A73" s="109" t="s">
        <v>6956</v>
      </c>
      <c r="B73" s="109" t="s">
        <v>6957</v>
      </c>
      <c r="C73" s="113">
        <v>2013</v>
      </c>
      <c r="D73" s="112">
        <v>560</v>
      </c>
      <c r="E73" s="112">
        <v>6024</v>
      </c>
      <c r="F73" s="112">
        <v>1293</v>
      </c>
      <c r="G73" s="112">
        <v>4736</v>
      </c>
      <c r="H73" s="112">
        <v>795</v>
      </c>
      <c r="I73" s="112">
        <v>86</v>
      </c>
      <c r="J73" s="112">
        <v>93</v>
      </c>
      <c r="K73" s="112">
        <v>8</v>
      </c>
      <c r="L73" s="112">
        <v>378</v>
      </c>
      <c r="M73" s="112">
        <v>372</v>
      </c>
      <c r="N73" s="112">
        <v>5</v>
      </c>
      <c r="O73" s="110"/>
      <c r="P73" s="110"/>
      <c r="Q73" s="110"/>
    </row>
    <row r="74" spans="1:17" ht="17.5" customHeight="1">
      <c r="A74" s="109" t="s">
        <v>6956</v>
      </c>
      <c r="B74" s="109" t="s">
        <v>6957</v>
      </c>
      <c r="C74" s="113">
        <v>2014</v>
      </c>
      <c r="D74" s="99">
        <v>569</v>
      </c>
      <c r="E74" s="99">
        <v>6214</v>
      </c>
      <c r="F74" s="99">
        <v>1451</v>
      </c>
      <c r="G74" s="99">
        <v>4765</v>
      </c>
      <c r="H74" s="99">
        <v>813</v>
      </c>
      <c r="I74" s="99">
        <v>112</v>
      </c>
      <c r="J74" s="99">
        <v>120</v>
      </c>
      <c r="K74" s="99">
        <v>7</v>
      </c>
      <c r="L74" s="99">
        <v>376</v>
      </c>
      <c r="M74" s="99">
        <v>374</v>
      </c>
      <c r="N74" s="99">
        <v>2</v>
      </c>
    </row>
    <row r="75" spans="1:17" ht="17.5" customHeight="1">
      <c r="A75" s="109" t="s">
        <v>6956</v>
      </c>
      <c r="B75" s="109" t="s">
        <v>6957</v>
      </c>
      <c r="C75" s="113">
        <v>2015</v>
      </c>
      <c r="D75" s="112">
        <v>556</v>
      </c>
      <c r="E75" s="112">
        <v>6035</v>
      </c>
      <c r="F75" s="112">
        <v>1524</v>
      </c>
      <c r="G75" s="112">
        <v>4545</v>
      </c>
      <c r="H75" s="112">
        <v>808</v>
      </c>
      <c r="I75" s="112">
        <v>157</v>
      </c>
      <c r="J75" s="112">
        <v>170</v>
      </c>
      <c r="K75" s="112">
        <v>13</v>
      </c>
      <c r="L75" s="112">
        <v>398</v>
      </c>
      <c r="M75" s="112">
        <v>368</v>
      </c>
      <c r="N75" s="112">
        <v>30</v>
      </c>
      <c r="O75" s="110"/>
      <c r="P75" s="110"/>
      <c r="Q75" s="110"/>
    </row>
    <row r="76" spans="1:17" ht="17.5" customHeight="1">
      <c r="A76" s="109" t="s">
        <v>6956</v>
      </c>
      <c r="B76" s="109" t="s">
        <v>6957</v>
      </c>
      <c r="C76" s="113">
        <v>2016</v>
      </c>
      <c r="D76" s="112">
        <v>572</v>
      </c>
      <c r="E76" s="112">
        <v>5750</v>
      </c>
      <c r="F76" s="112">
        <v>1525</v>
      </c>
      <c r="G76" s="112">
        <v>4241</v>
      </c>
      <c r="H76" s="112">
        <v>850</v>
      </c>
      <c r="I76" s="112">
        <v>145</v>
      </c>
      <c r="J76" s="112">
        <v>160</v>
      </c>
      <c r="K76" s="112">
        <v>14</v>
      </c>
      <c r="L76" s="112">
        <v>352</v>
      </c>
      <c r="M76" s="112">
        <v>343</v>
      </c>
      <c r="N76" s="112">
        <v>9</v>
      </c>
      <c r="O76" s="110"/>
      <c r="P76" s="110"/>
      <c r="Q76" s="110"/>
    </row>
    <row r="77" spans="1:17" ht="17.5" customHeight="1">
      <c r="A77" s="109" t="s">
        <v>6956</v>
      </c>
      <c r="B77" s="109" t="s">
        <v>6957</v>
      </c>
      <c r="C77" s="113">
        <v>2017</v>
      </c>
      <c r="D77" s="112">
        <v>567</v>
      </c>
      <c r="E77" s="112">
        <v>5846</v>
      </c>
      <c r="F77" s="112">
        <v>1481</v>
      </c>
      <c r="G77" s="112">
        <v>4417</v>
      </c>
      <c r="H77" s="112">
        <v>819</v>
      </c>
      <c r="I77" s="112">
        <v>163</v>
      </c>
      <c r="J77" s="112">
        <v>167</v>
      </c>
      <c r="K77" s="112">
        <v>5</v>
      </c>
      <c r="L77" s="112">
        <v>363</v>
      </c>
      <c r="M77" s="112">
        <v>335</v>
      </c>
      <c r="N77" s="112">
        <v>28</v>
      </c>
      <c r="O77" s="110"/>
      <c r="P77" s="110"/>
      <c r="Q77" s="110"/>
    </row>
    <row r="78" spans="1:17" ht="17.5" customHeight="1">
      <c r="A78" s="109" t="s">
        <v>6956</v>
      </c>
      <c r="B78" s="109" t="s">
        <v>6957</v>
      </c>
      <c r="C78" s="113">
        <v>2018</v>
      </c>
      <c r="D78" s="112">
        <v>579</v>
      </c>
      <c r="E78" s="112">
        <v>5872</v>
      </c>
      <c r="F78" s="112">
        <v>1372</v>
      </c>
      <c r="G78" s="112">
        <v>4442</v>
      </c>
      <c r="H78" s="112">
        <v>833</v>
      </c>
      <c r="I78" s="112">
        <v>126</v>
      </c>
      <c r="J78" s="112">
        <v>131</v>
      </c>
      <c r="K78" s="112">
        <v>5</v>
      </c>
      <c r="L78" s="112">
        <v>383</v>
      </c>
      <c r="M78" s="112">
        <v>443</v>
      </c>
      <c r="N78" s="112">
        <v>-60</v>
      </c>
      <c r="O78" s="110"/>
      <c r="P78" s="110"/>
      <c r="Q78" s="110"/>
    </row>
    <row r="79" spans="1:17" ht="17.5" customHeight="1">
      <c r="A79" s="109" t="s">
        <v>6956</v>
      </c>
      <c r="B79" s="109" t="s">
        <v>6957</v>
      </c>
      <c r="C79" s="113">
        <v>2019</v>
      </c>
      <c r="D79" s="112">
        <v>569</v>
      </c>
      <c r="E79" s="112">
        <v>5975.3866550000002</v>
      </c>
      <c r="F79" s="112">
        <v>1461.606313</v>
      </c>
      <c r="G79" s="112">
        <v>4547.8080319999999</v>
      </c>
      <c r="H79" s="112">
        <v>836.28076799999997</v>
      </c>
      <c r="I79" s="112">
        <v>140.19023799999999</v>
      </c>
      <c r="J79" s="112">
        <v>145.73832300000001</v>
      </c>
      <c r="K79" s="112">
        <v>5.5480850000000004</v>
      </c>
      <c r="L79" s="112">
        <v>399.86211500000002</v>
      </c>
      <c r="M79" s="112">
        <v>365.97979900000001</v>
      </c>
      <c r="N79" s="112">
        <v>33.882314999999998</v>
      </c>
    </row>
    <row r="80" spans="1:17" ht="17.5" customHeight="1">
      <c r="A80" s="114" t="s">
        <v>6956</v>
      </c>
      <c r="B80" s="114" t="s">
        <v>6958</v>
      </c>
      <c r="C80" s="113">
        <v>2020</v>
      </c>
      <c r="D80" s="112">
        <v>568</v>
      </c>
      <c r="E80" s="112">
        <v>6094.2904269999999</v>
      </c>
      <c r="F80" s="112">
        <v>1504.248337</v>
      </c>
      <c r="G80" s="112">
        <v>4625.73981</v>
      </c>
      <c r="H80" s="112">
        <v>869.66085499999997</v>
      </c>
      <c r="I80" s="112">
        <v>135.53293500000001</v>
      </c>
      <c r="J80" s="112">
        <v>141.265435</v>
      </c>
      <c r="K80" s="112">
        <v>5.7324999999999999</v>
      </c>
      <c r="L80" s="112">
        <v>419.12078000000002</v>
      </c>
      <c r="M80" s="112">
        <v>383.62204200000002</v>
      </c>
      <c r="N80" s="112">
        <v>35.498738000000003</v>
      </c>
      <c r="O80" s="110"/>
      <c r="P80" s="110"/>
      <c r="Q80" s="110"/>
    </row>
    <row r="81" spans="1:17" ht="31.75" customHeight="1">
      <c r="A81" s="109" t="s">
        <v>6959</v>
      </c>
      <c r="B81" s="109" t="s">
        <v>6960</v>
      </c>
      <c r="C81" s="98">
        <v>2008</v>
      </c>
      <c r="D81" s="99">
        <v>343</v>
      </c>
      <c r="E81" s="99">
        <v>2381</v>
      </c>
      <c r="F81" s="99">
        <v>475</v>
      </c>
      <c r="G81" s="99">
        <v>1912</v>
      </c>
      <c r="H81" s="99">
        <v>272</v>
      </c>
      <c r="I81" s="99">
        <v>18</v>
      </c>
      <c r="J81" s="99">
        <v>74</v>
      </c>
      <c r="K81" s="99">
        <v>56</v>
      </c>
      <c r="L81" s="99">
        <v>199</v>
      </c>
      <c r="M81" s="99">
        <v>190</v>
      </c>
      <c r="N81" s="99">
        <v>9</v>
      </c>
    </row>
    <row r="82" spans="1:17" ht="31.75" customHeight="1">
      <c r="A82" s="109" t="s">
        <v>6959</v>
      </c>
      <c r="B82" s="109" t="s">
        <v>6960</v>
      </c>
      <c r="C82" s="98">
        <v>2009</v>
      </c>
      <c r="D82" s="99">
        <v>337</v>
      </c>
      <c r="E82" s="99">
        <v>2763</v>
      </c>
      <c r="F82" s="99">
        <v>609</v>
      </c>
      <c r="G82" s="99">
        <v>2166</v>
      </c>
      <c r="H82" s="99">
        <v>298</v>
      </c>
      <c r="I82" s="99">
        <v>45</v>
      </c>
      <c r="J82" s="99">
        <v>51</v>
      </c>
      <c r="K82" s="99">
        <v>5</v>
      </c>
      <c r="L82" s="99">
        <v>299</v>
      </c>
      <c r="M82" s="99">
        <v>285</v>
      </c>
      <c r="N82" s="99">
        <v>13</v>
      </c>
    </row>
    <row r="83" spans="1:17" ht="31.75" customHeight="1">
      <c r="A83" s="109" t="s">
        <v>6959</v>
      </c>
      <c r="B83" s="109" t="s">
        <v>6960</v>
      </c>
      <c r="C83" s="98">
        <v>2010</v>
      </c>
      <c r="D83" s="99">
        <v>337</v>
      </c>
      <c r="E83" s="99">
        <v>2811</v>
      </c>
      <c r="F83" s="99">
        <v>550</v>
      </c>
      <c r="G83" s="99">
        <v>2246</v>
      </c>
      <c r="H83" s="99">
        <v>324</v>
      </c>
      <c r="I83" s="99">
        <v>39</v>
      </c>
      <c r="J83" s="99">
        <v>45</v>
      </c>
      <c r="K83" s="99">
        <v>6</v>
      </c>
      <c r="L83" s="99">
        <v>272</v>
      </c>
      <c r="M83" s="99">
        <v>277</v>
      </c>
      <c r="N83" s="99">
        <v>-5</v>
      </c>
      <c r="O83" s="110"/>
      <c r="P83" s="110"/>
      <c r="Q83" s="110"/>
    </row>
    <row r="84" spans="1:17" ht="31.75" customHeight="1">
      <c r="A84" s="109" t="s">
        <v>6959</v>
      </c>
      <c r="B84" s="109" t="s">
        <v>6960</v>
      </c>
      <c r="C84" s="98">
        <v>2011</v>
      </c>
      <c r="D84" s="99">
        <v>347</v>
      </c>
      <c r="E84" s="99">
        <v>2590</v>
      </c>
      <c r="F84" s="99">
        <v>499</v>
      </c>
      <c r="G84" s="99">
        <v>2175</v>
      </c>
      <c r="H84" s="99">
        <v>309</v>
      </c>
      <c r="I84" s="99">
        <v>43</v>
      </c>
      <c r="J84" s="99">
        <v>46</v>
      </c>
      <c r="K84" s="99">
        <v>4</v>
      </c>
      <c r="L84" s="99">
        <v>295</v>
      </c>
      <c r="M84" s="99">
        <v>210</v>
      </c>
      <c r="N84" s="99">
        <v>85</v>
      </c>
      <c r="O84" s="110"/>
      <c r="P84" s="110"/>
      <c r="Q84" s="110"/>
    </row>
    <row r="85" spans="1:17" ht="31.75" customHeight="1">
      <c r="A85" s="109" t="s">
        <v>6959</v>
      </c>
      <c r="B85" s="109" t="s">
        <v>6960</v>
      </c>
      <c r="C85" s="111">
        <v>2012</v>
      </c>
      <c r="D85" s="112">
        <v>333</v>
      </c>
      <c r="E85" s="112">
        <v>2476</v>
      </c>
      <c r="F85" s="112">
        <v>531</v>
      </c>
      <c r="G85" s="112">
        <v>1962</v>
      </c>
      <c r="H85" s="112">
        <v>314</v>
      </c>
      <c r="I85" s="112">
        <v>48</v>
      </c>
      <c r="J85" s="112">
        <v>54</v>
      </c>
      <c r="K85" s="112">
        <v>7</v>
      </c>
      <c r="L85" s="112">
        <v>233</v>
      </c>
      <c r="M85" s="112">
        <v>228</v>
      </c>
      <c r="N85" s="112">
        <v>5</v>
      </c>
      <c r="O85" s="110"/>
      <c r="P85" s="110"/>
      <c r="Q85" s="110"/>
    </row>
    <row r="86" spans="1:17" ht="31.75" customHeight="1">
      <c r="A86" s="109" t="s">
        <v>6959</v>
      </c>
      <c r="B86" s="109" t="s">
        <v>6960</v>
      </c>
      <c r="C86" s="113">
        <v>2013</v>
      </c>
      <c r="D86" s="112">
        <v>323</v>
      </c>
      <c r="E86" s="112">
        <v>2796</v>
      </c>
      <c r="F86" s="112">
        <v>531</v>
      </c>
      <c r="G86" s="112">
        <v>2248</v>
      </c>
      <c r="H86" s="112">
        <v>308</v>
      </c>
      <c r="I86" s="112">
        <v>45</v>
      </c>
      <c r="J86" s="112">
        <v>50</v>
      </c>
      <c r="K86" s="112">
        <v>4</v>
      </c>
      <c r="L86" s="112">
        <v>272</v>
      </c>
      <c r="M86" s="112">
        <v>289</v>
      </c>
      <c r="N86" s="112">
        <v>-16</v>
      </c>
    </row>
    <row r="87" spans="1:17" ht="31.75" customHeight="1">
      <c r="A87" s="109" t="s">
        <v>6959</v>
      </c>
      <c r="B87" s="109" t="s">
        <v>6960</v>
      </c>
      <c r="C87" s="113">
        <v>2014</v>
      </c>
      <c r="D87" s="99">
        <v>317</v>
      </c>
      <c r="E87" s="99">
        <v>3134</v>
      </c>
      <c r="F87" s="99">
        <v>662</v>
      </c>
      <c r="G87" s="99">
        <v>2520</v>
      </c>
      <c r="H87" s="99">
        <v>363</v>
      </c>
      <c r="I87" s="99">
        <v>71</v>
      </c>
      <c r="J87" s="99">
        <v>74</v>
      </c>
      <c r="K87" s="99">
        <v>2</v>
      </c>
      <c r="L87" s="99">
        <v>314</v>
      </c>
      <c r="M87" s="99">
        <v>278</v>
      </c>
      <c r="N87" s="99">
        <v>36</v>
      </c>
      <c r="O87" s="110"/>
      <c r="P87" s="110"/>
      <c r="Q87" s="110"/>
    </row>
    <row r="88" spans="1:17" ht="31.75" customHeight="1">
      <c r="A88" s="109" t="s">
        <v>6959</v>
      </c>
      <c r="B88" s="109" t="s">
        <v>6960</v>
      </c>
      <c r="C88" s="113">
        <v>2015</v>
      </c>
      <c r="D88" s="112">
        <v>312</v>
      </c>
      <c r="E88" s="112">
        <v>2916</v>
      </c>
      <c r="F88" s="112">
        <v>616</v>
      </c>
      <c r="G88" s="112">
        <v>2281</v>
      </c>
      <c r="H88" s="112">
        <v>372</v>
      </c>
      <c r="I88" s="112">
        <v>90</v>
      </c>
      <c r="J88" s="112">
        <v>94</v>
      </c>
      <c r="K88" s="112">
        <v>4</v>
      </c>
      <c r="L88" s="112">
        <v>259</v>
      </c>
      <c r="M88" s="112">
        <v>274</v>
      </c>
      <c r="N88" s="112">
        <v>-15</v>
      </c>
      <c r="O88" s="110"/>
      <c r="P88" s="110"/>
      <c r="Q88" s="110"/>
    </row>
    <row r="89" spans="1:17" ht="31.75" customHeight="1">
      <c r="A89" s="109" t="s">
        <v>6959</v>
      </c>
      <c r="B89" s="109" t="s">
        <v>6960</v>
      </c>
      <c r="C89" s="113">
        <v>2016</v>
      </c>
      <c r="D89" s="112">
        <v>310</v>
      </c>
      <c r="E89" s="112">
        <v>2958</v>
      </c>
      <c r="F89" s="112">
        <v>658</v>
      </c>
      <c r="G89" s="112">
        <v>2365</v>
      </c>
      <c r="H89" s="112">
        <v>339</v>
      </c>
      <c r="I89" s="112">
        <v>107</v>
      </c>
      <c r="J89" s="112">
        <v>113</v>
      </c>
      <c r="K89" s="112">
        <v>5</v>
      </c>
      <c r="L89" s="112">
        <v>363</v>
      </c>
      <c r="M89" s="112">
        <v>299</v>
      </c>
      <c r="N89" s="112">
        <v>64</v>
      </c>
      <c r="O89" s="110"/>
      <c r="P89" s="110"/>
      <c r="Q89" s="110"/>
    </row>
    <row r="90" spans="1:17" ht="31.75" customHeight="1">
      <c r="A90" s="109" t="s">
        <v>6959</v>
      </c>
      <c r="B90" s="109" t="s">
        <v>6960</v>
      </c>
      <c r="C90" s="113">
        <v>2017</v>
      </c>
      <c r="D90" s="112">
        <v>303</v>
      </c>
      <c r="E90" s="112">
        <v>2889</v>
      </c>
      <c r="F90" s="112">
        <v>565</v>
      </c>
      <c r="G90" s="112">
        <v>2359</v>
      </c>
      <c r="H90" s="112">
        <v>315</v>
      </c>
      <c r="I90" s="112">
        <v>49</v>
      </c>
      <c r="J90" s="112">
        <v>58</v>
      </c>
      <c r="K90" s="112">
        <v>9</v>
      </c>
      <c r="L90" s="112">
        <v>322</v>
      </c>
      <c r="M90" s="112">
        <v>295</v>
      </c>
      <c r="N90" s="112">
        <v>28</v>
      </c>
      <c r="O90" s="110"/>
      <c r="P90" s="110"/>
      <c r="Q90" s="110"/>
    </row>
    <row r="91" spans="1:17" ht="31.75" customHeight="1">
      <c r="A91" s="109" t="s">
        <v>6959</v>
      </c>
      <c r="B91" s="109" t="s">
        <v>6960</v>
      </c>
      <c r="C91" s="113">
        <v>2018</v>
      </c>
      <c r="D91" s="112">
        <v>303</v>
      </c>
      <c r="E91" s="112">
        <v>3139</v>
      </c>
      <c r="F91" s="112">
        <v>588</v>
      </c>
      <c r="G91" s="112">
        <v>2584</v>
      </c>
      <c r="H91" s="112">
        <v>366</v>
      </c>
      <c r="I91" s="112">
        <v>67</v>
      </c>
      <c r="J91" s="112">
        <v>77</v>
      </c>
      <c r="K91" s="112">
        <v>9</v>
      </c>
      <c r="L91" s="112">
        <v>365</v>
      </c>
      <c r="M91" s="112">
        <v>334</v>
      </c>
      <c r="N91" s="112">
        <v>30</v>
      </c>
    </row>
    <row r="92" spans="1:17" ht="31.75" customHeight="1">
      <c r="A92" s="109" t="s">
        <v>6959</v>
      </c>
      <c r="B92" s="109" t="s">
        <v>6960</v>
      </c>
      <c r="C92" s="113">
        <v>2019</v>
      </c>
      <c r="D92" s="112">
        <v>300</v>
      </c>
      <c r="E92" s="112">
        <v>3228.5447349999999</v>
      </c>
      <c r="F92" s="112">
        <v>686.90531699999997</v>
      </c>
      <c r="G92" s="112">
        <v>2554.9814729999998</v>
      </c>
      <c r="H92" s="112">
        <v>407.79475300000001</v>
      </c>
      <c r="I92" s="112">
        <v>73.690612999999999</v>
      </c>
      <c r="J92" s="112">
        <v>77.613467</v>
      </c>
      <c r="K92" s="112">
        <v>3.9228540000000001</v>
      </c>
      <c r="L92" s="112">
        <v>362.135311</v>
      </c>
      <c r="M92" s="112">
        <v>350.47193499999997</v>
      </c>
      <c r="N92" s="112">
        <v>11.663376</v>
      </c>
      <c r="O92" s="110"/>
      <c r="P92" s="110"/>
      <c r="Q92" s="110"/>
    </row>
    <row r="93" spans="1:17" ht="31.75" customHeight="1">
      <c r="A93" s="114" t="s">
        <v>6959</v>
      </c>
      <c r="B93" s="114" t="s">
        <v>6960</v>
      </c>
      <c r="C93" s="113">
        <v>2020</v>
      </c>
      <c r="D93" s="112">
        <v>300</v>
      </c>
      <c r="E93" s="112">
        <v>3472.1992650000002</v>
      </c>
      <c r="F93" s="112">
        <v>749.48405500000001</v>
      </c>
      <c r="G93" s="112">
        <v>2697.0499070000001</v>
      </c>
      <c r="H93" s="112">
        <v>406.58588800000001</v>
      </c>
      <c r="I93" s="112">
        <v>69.833630999999997</v>
      </c>
      <c r="J93" s="112">
        <v>72.015991</v>
      </c>
      <c r="K93" s="112">
        <v>2.1823600000000001</v>
      </c>
      <c r="L93" s="112">
        <v>387.857461</v>
      </c>
      <c r="M93" s="112">
        <v>411.42921100000001</v>
      </c>
      <c r="N93" s="112">
        <v>-23.571750000000002</v>
      </c>
    </row>
    <row r="94" spans="1:17" ht="17.5" customHeight="1">
      <c r="A94" s="109" t="s">
        <v>6961</v>
      </c>
      <c r="B94" s="109" t="s">
        <v>6962</v>
      </c>
      <c r="C94" s="98">
        <v>2008</v>
      </c>
      <c r="D94" s="99">
        <v>451</v>
      </c>
      <c r="E94" s="99">
        <v>4172</v>
      </c>
      <c r="F94" s="99">
        <v>1422</v>
      </c>
      <c r="G94" s="99">
        <v>2771</v>
      </c>
      <c r="H94" s="99">
        <v>808</v>
      </c>
      <c r="I94" s="99">
        <v>149</v>
      </c>
      <c r="J94" s="99">
        <v>154</v>
      </c>
      <c r="K94" s="99">
        <v>5</v>
      </c>
      <c r="L94" s="99">
        <v>243</v>
      </c>
      <c r="M94" s="99">
        <v>215</v>
      </c>
      <c r="N94" s="99">
        <v>28</v>
      </c>
    </row>
    <row r="95" spans="1:17" ht="17.5" customHeight="1">
      <c r="A95" s="109" t="s">
        <v>6961</v>
      </c>
      <c r="B95" s="109" t="s">
        <v>6962</v>
      </c>
      <c r="C95" s="98">
        <v>2009</v>
      </c>
      <c r="D95" s="99">
        <v>441</v>
      </c>
      <c r="E95" s="99">
        <v>4311</v>
      </c>
      <c r="F95" s="99">
        <v>1531</v>
      </c>
      <c r="G95" s="99">
        <v>2779</v>
      </c>
      <c r="H95" s="99">
        <v>782</v>
      </c>
      <c r="I95" s="99">
        <v>122</v>
      </c>
      <c r="J95" s="99">
        <v>163</v>
      </c>
      <c r="K95" s="99">
        <v>41</v>
      </c>
      <c r="L95" s="99">
        <v>226</v>
      </c>
      <c r="M95" s="99">
        <v>225</v>
      </c>
      <c r="N95" s="99">
        <v>1</v>
      </c>
      <c r="O95" s="110"/>
      <c r="P95" s="110"/>
      <c r="Q95" s="110"/>
    </row>
    <row r="96" spans="1:17" ht="17.5" customHeight="1">
      <c r="A96" s="109" t="s">
        <v>6961</v>
      </c>
      <c r="B96" s="109" t="s">
        <v>6962</v>
      </c>
      <c r="C96" s="98">
        <v>2010</v>
      </c>
      <c r="D96" s="99">
        <v>428</v>
      </c>
      <c r="E96" s="99">
        <v>5404</v>
      </c>
      <c r="F96" s="99">
        <v>1905</v>
      </c>
      <c r="G96" s="99">
        <v>3544</v>
      </c>
      <c r="H96" s="99">
        <v>881</v>
      </c>
      <c r="I96" s="99">
        <v>228</v>
      </c>
      <c r="J96" s="99" t="s">
        <v>6953</v>
      </c>
      <c r="K96" s="99" t="s">
        <v>6953</v>
      </c>
      <c r="L96" s="99">
        <v>367</v>
      </c>
      <c r="M96" s="99">
        <v>311</v>
      </c>
      <c r="N96" s="99">
        <v>56</v>
      </c>
      <c r="O96" s="110"/>
      <c r="P96" s="110"/>
      <c r="Q96" s="110"/>
    </row>
    <row r="97" spans="1:17" ht="17.5" customHeight="1">
      <c r="A97" s="109" t="s">
        <v>6961</v>
      </c>
      <c r="B97" s="109" t="s">
        <v>6962</v>
      </c>
      <c r="C97" s="98">
        <v>2011</v>
      </c>
      <c r="D97" s="99">
        <v>488</v>
      </c>
      <c r="E97" s="99">
        <v>6017</v>
      </c>
      <c r="F97" s="99">
        <v>1986</v>
      </c>
      <c r="G97" s="99">
        <v>4136</v>
      </c>
      <c r="H97" s="99">
        <v>922</v>
      </c>
      <c r="I97" s="99">
        <v>182</v>
      </c>
      <c r="J97" s="99">
        <v>192</v>
      </c>
      <c r="K97" s="99">
        <v>10</v>
      </c>
      <c r="L97" s="99">
        <v>413</v>
      </c>
      <c r="M97" s="99">
        <v>301</v>
      </c>
      <c r="N97" s="99">
        <v>112</v>
      </c>
      <c r="O97" s="110"/>
      <c r="P97" s="110"/>
      <c r="Q97" s="110"/>
    </row>
    <row r="98" spans="1:17" ht="17.5" customHeight="1">
      <c r="A98" s="109" t="s">
        <v>6961</v>
      </c>
      <c r="B98" s="109" t="s">
        <v>6962</v>
      </c>
      <c r="C98" s="111">
        <v>2012</v>
      </c>
      <c r="D98" s="112">
        <v>528</v>
      </c>
      <c r="E98" s="112">
        <v>6663</v>
      </c>
      <c r="F98" s="112">
        <v>2103</v>
      </c>
      <c r="G98" s="112">
        <v>4543</v>
      </c>
      <c r="H98" s="112">
        <v>923</v>
      </c>
      <c r="I98" s="112">
        <v>183</v>
      </c>
      <c r="J98" s="112">
        <v>189</v>
      </c>
      <c r="K98" s="112">
        <v>6</v>
      </c>
      <c r="L98" s="112">
        <v>435</v>
      </c>
      <c r="M98" s="112">
        <v>443</v>
      </c>
      <c r="N98" s="112">
        <v>-8</v>
      </c>
    </row>
    <row r="99" spans="1:17" ht="17.5" customHeight="1">
      <c r="A99" s="109" t="s">
        <v>6961</v>
      </c>
      <c r="B99" s="109" t="s">
        <v>6962</v>
      </c>
      <c r="C99" s="113">
        <v>2013</v>
      </c>
      <c r="D99" s="112">
        <v>555</v>
      </c>
      <c r="E99" s="112">
        <v>6309</v>
      </c>
      <c r="F99" s="112">
        <v>1984</v>
      </c>
      <c r="G99" s="112">
        <v>4402</v>
      </c>
      <c r="H99" s="112">
        <v>951</v>
      </c>
      <c r="I99" s="112">
        <v>193</v>
      </c>
      <c r="J99" s="112">
        <v>198</v>
      </c>
      <c r="K99" s="112">
        <v>4</v>
      </c>
      <c r="L99" s="112">
        <v>563</v>
      </c>
      <c r="M99" s="112">
        <v>486</v>
      </c>
      <c r="N99" s="112">
        <v>77</v>
      </c>
      <c r="O99" s="110"/>
      <c r="P99" s="110"/>
      <c r="Q99" s="110"/>
    </row>
    <row r="100" spans="1:17" ht="17.5" customHeight="1">
      <c r="A100" s="109" t="s">
        <v>6961</v>
      </c>
      <c r="B100" s="109" t="s">
        <v>6962</v>
      </c>
      <c r="C100" s="113">
        <v>2014</v>
      </c>
      <c r="D100" s="99">
        <v>561</v>
      </c>
      <c r="E100" s="99">
        <v>6422</v>
      </c>
      <c r="F100" s="99">
        <v>1970</v>
      </c>
      <c r="G100" s="99">
        <v>4465</v>
      </c>
      <c r="H100" s="99">
        <v>947</v>
      </c>
      <c r="I100" s="99">
        <v>242</v>
      </c>
      <c r="J100" s="99">
        <v>246</v>
      </c>
      <c r="K100" s="99">
        <v>4</v>
      </c>
      <c r="L100" s="99">
        <v>519</v>
      </c>
      <c r="M100" s="99">
        <v>491</v>
      </c>
      <c r="N100" s="99">
        <v>27</v>
      </c>
      <c r="O100" s="110"/>
      <c r="P100" s="110"/>
      <c r="Q100" s="110"/>
    </row>
    <row r="101" spans="1:17" ht="17.5" customHeight="1">
      <c r="A101" s="109" t="s">
        <v>6961</v>
      </c>
      <c r="B101" s="109" t="s">
        <v>6962</v>
      </c>
      <c r="C101" s="113">
        <v>2015</v>
      </c>
      <c r="D101" s="112">
        <v>605</v>
      </c>
      <c r="E101" s="112">
        <v>6699</v>
      </c>
      <c r="F101" s="112">
        <v>2300</v>
      </c>
      <c r="G101" s="112">
        <v>4400</v>
      </c>
      <c r="H101" s="112">
        <v>1029</v>
      </c>
      <c r="I101" s="112" t="s">
        <v>6953</v>
      </c>
      <c r="J101" s="112" t="s">
        <v>6953</v>
      </c>
      <c r="K101" s="112" t="s">
        <v>6953</v>
      </c>
      <c r="L101" s="112">
        <v>496</v>
      </c>
      <c r="M101" s="112">
        <v>492</v>
      </c>
      <c r="N101" s="112">
        <v>4</v>
      </c>
      <c r="O101" s="110"/>
      <c r="P101" s="110"/>
      <c r="Q101" s="110"/>
    </row>
    <row r="102" spans="1:17" ht="17.5" customHeight="1">
      <c r="A102" s="109" t="s">
        <v>6961</v>
      </c>
      <c r="B102" s="109" t="s">
        <v>6962</v>
      </c>
      <c r="C102" s="113">
        <v>2016</v>
      </c>
      <c r="D102" s="112">
        <v>612</v>
      </c>
      <c r="E102" s="112">
        <v>7134</v>
      </c>
      <c r="F102" s="112">
        <v>2031</v>
      </c>
      <c r="G102" s="112">
        <v>5105</v>
      </c>
      <c r="H102" s="112">
        <v>1169</v>
      </c>
      <c r="I102" s="112" t="s">
        <v>6953</v>
      </c>
      <c r="J102" s="112">
        <v>226</v>
      </c>
      <c r="K102" s="112" t="s">
        <v>6953</v>
      </c>
      <c r="L102" s="112">
        <v>518</v>
      </c>
      <c r="M102" s="112">
        <v>526</v>
      </c>
      <c r="N102" s="112">
        <v>-8</v>
      </c>
      <c r="O102" s="110"/>
      <c r="P102" s="110"/>
      <c r="Q102" s="110"/>
    </row>
    <row r="103" spans="1:17" ht="17.5" customHeight="1">
      <c r="A103" s="109" t="s">
        <v>6961</v>
      </c>
      <c r="B103" s="109" t="s">
        <v>6962</v>
      </c>
      <c r="C103" s="113">
        <v>2017</v>
      </c>
      <c r="D103" s="112">
        <v>617</v>
      </c>
      <c r="E103" s="112">
        <v>7209</v>
      </c>
      <c r="F103" s="112">
        <v>2133</v>
      </c>
      <c r="G103" s="112">
        <v>5110</v>
      </c>
      <c r="H103" s="112">
        <v>1145</v>
      </c>
      <c r="I103" s="112">
        <v>260</v>
      </c>
      <c r="J103" s="112">
        <v>272</v>
      </c>
      <c r="K103" s="112">
        <v>12</v>
      </c>
      <c r="L103" s="112">
        <v>550</v>
      </c>
      <c r="M103" s="112">
        <v>517</v>
      </c>
      <c r="N103" s="112">
        <v>33</v>
      </c>
    </row>
    <row r="104" spans="1:17" ht="17.5" customHeight="1">
      <c r="A104" s="109" t="s">
        <v>6961</v>
      </c>
      <c r="B104" s="109" t="s">
        <v>6962</v>
      </c>
      <c r="C104" s="113">
        <v>2018</v>
      </c>
      <c r="D104" s="112">
        <v>611</v>
      </c>
      <c r="E104" s="112">
        <v>7319</v>
      </c>
      <c r="F104" s="112">
        <v>2300</v>
      </c>
      <c r="G104" s="112">
        <v>5093</v>
      </c>
      <c r="H104" s="112">
        <v>1169</v>
      </c>
      <c r="I104" s="112">
        <v>230</v>
      </c>
      <c r="J104" s="112" t="s">
        <v>6953</v>
      </c>
      <c r="K104" s="112" t="s">
        <v>6953</v>
      </c>
      <c r="L104" s="112">
        <v>572</v>
      </c>
      <c r="M104" s="112">
        <v>517</v>
      </c>
      <c r="N104" s="112">
        <v>54</v>
      </c>
      <c r="O104" s="110"/>
      <c r="P104" s="110"/>
      <c r="Q104" s="110"/>
    </row>
    <row r="105" spans="1:17" ht="17.5" customHeight="1">
      <c r="A105" s="109" t="s">
        <v>6961</v>
      </c>
      <c r="B105" s="109" t="s">
        <v>6962</v>
      </c>
      <c r="C105" s="113">
        <v>2019</v>
      </c>
      <c r="D105" s="112">
        <v>620</v>
      </c>
      <c r="E105" s="112">
        <v>7213.9453030000004</v>
      </c>
      <c r="F105" s="112">
        <v>2188.2766660000002</v>
      </c>
      <c r="G105" s="112">
        <v>5027.2241290000002</v>
      </c>
      <c r="H105" s="112">
        <v>1182.439159</v>
      </c>
      <c r="I105" s="112">
        <v>413.92832199999998</v>
      </c>
      <c r="J105" s="112">
        <v>418.71492999999998</v>
      </c>
      <c r="K105" s="112">
        <v>4.7866080000000002</v>
      </c>
      <c r="L105" s="112">
        <v>554.68868199999997</v>
      </c>
      <c r="M105" s="112">
        <v>570.88697400000001</v>
      </c>
      <c r="N105" s="112">
        <v>-16.198291999999999</v>
      </c>
    </row>
    <row r="106" spans="1:17" ht="17.5" customHeight="1">
      <c r="A106" s="114" t="s">
        <v>6961</v>
      </c>
      <c r="B106" s="114" t="s">
        <v>6962</v>
      </c>
      <c r="C106" s="113">
        <v>2020</v>
      </c>
      <c r="D106" s="112">
        <v>628</v>
      </c>
      <c r="E106" s="112">
        <v>7295.8201250000002</v>
      </c>
      <c r="F106" s="112">
        <v>2261.0210579999998</v>
      </c>
      <c r="G106" s="112">
        <v>5091.7203170000003</v>
      </c>
      <c r="H106" s="112">
        <v>1217.9297779999999</v>
      </c>
      <c r="I106" s="112">
        <v>445.928045</v>
      </c>
      <c r="J106" s="112">
        <v>456.440921</v>
      </c>
      <c r="K106" s="112">
        <v>10.512874999999999</v>
      </c>
      <c r="L106" s="112">
        <v>628.47905700000001</v>
      </c>
      <c r="M106" s="112">
        <v>598.96818499999995</v>
      </c>
      <c r="N106" s="112">
        <v>29.510871999999999</v>
      </c>
    </row>
    <row r="107" spans="1:17" ht="17.5" customHeight="1">
      <c r="A107" s="109" t="s">
        <v>6963</v>
      </c>
      <c r="B107" s="109" t="s">
        <v>6964</v>
      </c>
      <c r="C107" s="98">
        <v>2008</v>
      </c>
      <c r="D107" s="99">
        <v>62</v>
      </c>
      <c r="E107" s="99">
        <v>1588</v>
      </c>
      <c r="F107" s="99">
        <v>716</v>
      </c>
      <c r="G107" s="99">
        <v>871</v>
      </c>
      <c r="H107" s="99">
        <v>342</v>
      </c>
      <c r="I107" s="99">
        <v>85</v>
      </c>
      <c r="J107" s="99">
        <v>87</v>
      </c>
      <c r="K107" s="99">
        <v>2</v>
      </c>
      <c r="L107" s="99">
        <v>69</v>
      </c>
      <c r="M107" s="99">
        <v>67</v>
      </c>
      <c r="N107" s="99">
        <v>2</v>
      </c>
      <c r="O107" s="110"/>
      <c r="P107" s="110"/>
      <c r="Q107" s="110"/>
    </row>
    <row r="108" spans="1:17" ht="17.5" customHeight="1">
      <c r="A108" s="109" t="s">
        <v>6963</v>
      </c>
      <c r="B108" s="109" t="s">
        <v>6964</v>
      </c>
      <c r="C108" s="98">
        <v>2009</v>
      </c>
      <c r="D108" s="99">
        <v>56</v>
      </c>
      <c r="E108" s="99">
        <v>1712</v>
      </c>
      <c r="F108" s="99">
        <v>864</v>
      </c>
      <c r="G108" s="99">
        <v>850</v>
      </c>
      <c r="H108" s="99">
        <v>362</v>
      </c>
      <c r="I108" s="99">
        <v>71</v>
      </c>
      <c r="J108" s="99">
        <v>94</v>
      </c>
      <c r="K108" s="99">
        <v>23</v>
      </c>
      <c r="L108" s="99">
        <v>69</v>
      </c>
      <c r="M108" s="99">
        <v>64</v>
      </c>
      <c r="N108" s="99">
        <v>5</v>
      </c>
      <c r="O108" s="110"/>
      <c r="P108" s="110"/>
      <c r="Q108" s="110"/>
    </row>
    <row r="109" spans="1:17" ht="17.5" customHeight="1">
      <c r="A109" s="109" t="s">
        <v>6963</v>
      </c>
      <c r="B109" s="109" t="s">
        <v>6964</v>
      </c>
      <c r="C109" s="98">
        <v>2010</v>
      </c>
      <c r="D109" s="112" t="s">
        <v>6953</v>
      </c>
      <c r="E109" s="112" t="s">
        <v>6953</v>
      </c>
      <c r="F109" s="112" t="s">
        <v>6953</v>
      </c>
      <c r="G109" s="112" t="s">
        <v>6953</v>
      </c>
      <c r="H109" s="112" t="s">
        <v>6953</v>
      </c>
      <c r="I109" s="112" t="s">
        <v>6953</v>
      </c>
      <c r="J109" s="112" t="s">
        <v>6953</v>
      </c>
      <c r="K109" s="112" t="s">
        <v>6953</v>
      </c>
      <c r="L109" s="112" t="s">
        <v>6953</v>
      </c>
      <c r="M109" s="112" t="s">
        <v>6953</v>
      </c>
      <c r="N109" s="112" t="s">
        <v>6953</v>
      </c>
      <c r="O109" s="110"/>
      <c r="P109" s="110"/>
      <c r="Q109" s="110"/>
    </row>
    <row r="110" spans="1:17" ht="17.5" customHeight="1">
      <c r="A110" s="109" t="s">
        <v>6963</v>
      </c>
      <c r="B110" s="109" t="s">
        <v>6964</v>
      </c>
      <c r="C110" s="98">
        <v>2011</v>
      </c>
      <c r="D110" s="99">
        <v>48</v>
      </c>
      <c r="E110" s="99">
        <v>1713</v>
      </c>
      <c r="F110" s="99">
        <v>845</v>
      </c>
      <c r="G110" s="99">
        <v>882</v>
      </c>
      <c r="H110" s="99">
        <v>381</v>
      </c>
      <c r="I110" s="99">
        <v>78</v>
      </c>
      <c r="J110" s="99">
        <v>80</v>
      </c>
      <c r="K110" s="99">
        <v>1</v>
      </c>
      <c r="L110" s="99">
        <v>97</v>
      </c>
      <c r="M110" s="99">
        <v>83</v>
      </c>
      <c r="N110" s="99">
        <v>15</v>
      </c>
    </row>
    <row r="111" spans="1:17" ht="17.5" customHeight="1">
      <c r="A111" s="109" t="s">
        <v>6963</v>
      </c>
      <c r="B111" s="109" t="s">
        <v>6964</v>
      </c>
      <c r="C111" s="111">
        <v>2012</v>
      </c>
      <c r="D111" s="112">
        <v>50</v>
      </c>
      <c r="E111" s="112">
        <v>1988</v>
      </c>
      <c r="F111" s="112" t="s">
        <v>6953</v>
      </c>
      <c r="G111" s="112" t="s">
        <v>6953</v>
      </c>
      <c r="H111" s="112">
        <v>423</v>
      </c>
      <c r="I111" s="112" t="s">
        <v>6953</v>
      </c>
      <c r="J111" s="112" t="s">
        <v>6953</v>
      </c>
      <c r="K111" s="112" t="s">
        <v>6953</v>
      </c>
      <c r="L111" s="112">
        <v>104</v>
      </c>
      <c r="M111" s="112">
        <v>101</v>
      </c>
      <c r="N111" s="112">
        <v>2</v>
      </c>
      <c r="O111" s="110"/>
      <c r="P111" s="110"/>
      <c r="Q111" s="110"/>
    </row>
    <row r="112" spans="1:17" ht="17.5" customHeight="1">
      <c r="A112" s="109" t="s">
        <v>6963</v>
      </c>
      <c r="B112" s="109" t="s">
        <v>6964</v>
      </c>
      <c r="C112" s="113">
        <v>2013</v>
      </c>
      <c r="D112" s="112">
        <v>52</v>
      </c>
      <c r="E112" s="112">
        <v>1698</v>
      </c>
      <c r="F112" s="112">
        <v>844</v>
      </c>
      <c r="G112" s="112">
        <v>871</v>
      </c>
      <c r="H112" s="112">
        <v>384</v>
      </c>
      <c r="I112" s="112">
        <v>78</v>
      </c>
      <c r="J112" s="112">
        <v>79</v>
      </c>
      <c r="K112" s="112">
        <v>1</v>
      </c>
      <c r="L112" s="112">
        <v>80</v>
      </c>
      <c r="M112" s="112">
        <v>70</v>
      </c>
      <c r="N112" s="112">
        <v>10</v>
      </c>
      <c r="O112" s="110"/>
      <c r="P112" s="110"/>
      <c r="Q112" s="110"/>
    </row>
    <row r="113" spans="1:17" ht="17.5" customHeight="1">
      <c r="A113" s="109" t="s">
        <v>6963</v>
      </c>
      <c r="B113" s="109" t="s">
        <v>6964</v>
      </c>
      <c r="C113" s="113">
        <v>2014</v>
      </c>
      <c r="D113" s="99">
        <v>52</v>
      </c>
      <c r="E113" s="99">
        <v>1850</v>
      </c>
      <c r="F113" s="99">
        <v>915</v>
      </c>
      <c r="G113" s="99">
        <v>923</v>
      </c>
      <c r="H113" s="99">
        <v>377</v>
      </c>
      <c r="I113" s="99">
        <v>74</v>
      </c>
      <c r="J113" s="99">
        <v>75</v>
      </c>
      <c r="K113" s="99" t="s">
        <v>6952</v>
      </c>
      <c r="L113" s="99">
        <v>77</v>
      </c>
      <c r="M113" s="99">
        <v>87</v>
      </c>
      <c r="N113" s="99">
        <v>-10</v>
      </c>
      <c r="O113" s="110"/>
      <c r="P113" s="110"/>
      <c r="Q113" s="110"/>
    </row>
    <row r="114" spans="1:17" ht="17.5" customHeight="1">
      <c r="A114" s="109" t="s">
        <v>6963</v>
      </c>
      <c r="B114" s="109" t="s">
        <v>6964</v>
      </c>
      <c r="C114" s="113">
        <v>2015</v>
      </c>
      <c r="D114" s="112">
        <v>56</v>
      </c>
      <c r="E114" s="112">
        <v>2260</v>
      </c>
      <c r="F114" s="112">
        <v>1160</v>
      </c>
      <c r="G114" s="112">
        <v>1097</v>
      </c>
      <c r="H114" s="112">
        <v>432</v>
      </c>
      <c r="I114" s="112">
        <v>101</v>
      </c>
      <c r="J114" s="112" t="s">
        <v>6953</v>
      </c>
      <c r="K114" s="112" t="s">
        <v>6953</v>
      </c>
      <c r="L114" s="112" t="s">
        <v>6953</v>
      </c>
      <c r="M114" s="112" t="s">
        <v>6953</v>
      </c>
      <c r="N114" s="112" t="s">
        <v>6953</v>
      </c>
      <c r="O114" s="110"/>
      <c r="P114" s="110"/>
      <c r="Q114" s="110"/>
    </row>
    <row r="115" spans="1:17" ht="17.5" customHeight="1">
      <c r="A115" s="109" t="s">
        <v>6963</v>
      </c>
      <c r="B115" s="109" t="s">
        <v>6964</v>
      </c>
      <c r="C115" s="113">
        <v>2016</v>
      </c>
      <c r="D115" s="112">
        <v>51</v>
      </c>
      <c r="E115" s="112">
        <v>2162</v>
      </c>
      <c r="F115" s="112">
        <v>1011</v>
      </c>
      <c r="G115" s="112">
        <v>1144</v>
      </c>
      <c r="H115" s="112">
        <v>430</v>
      </c>
      <c r="I115" s="112" t="s">
        <v>6953</v>
      </c>
      <c r="J115" s="112">
        <v>67</v>
      </c>
      <c r="K115" s="112" t="s">
        <v>6953</v>
      </c>
      <c r="L115" s="112">
        <v>90</v>
      </c>
      <c r="M115" s="112">
        <v>95</v>
      </c>
      <c r="N115" s="112">
        <v>-5</v>
      </c>
    </row>
    <row r="116" spans="1:17" ht="17.5" customHeight="1">
      <c r="A116" s="109" t="s">
        <v>6963</v>
      </c>
      <c r="B116" s="109" t="s">
        <v>6964</v>
      </c>
      <c r="C116" s="113">
        <v>2017</v>
      </c>
      <c r="D116" s="112">
        <v>47</v>
      </c>
      <c r="E116" s="112">
        <v>2136</v>
      </c>
      <c r="F116" s="112">
        <v>1002</v>
      </c>
      <c r="G116" s="112">
        <v>1154</v>
      </c>
      <c r="H116" s="112">
        <v>422</v>
      </c>
      <c r="I116" s="112">
        <v>130</v>
      </c>
      <c r="J116" s="112">
        <v>132</v>
      </c>
      <c r="K116" s="112">
        <v>2</v>
      </c>
      <c r="L116" s="112">
        <v>110</v>
      </c>
      <c r="M116" s="112">
        <v>87</v>
      </c>
      <c r="N116" s="112">
        <v>22</v>
      </c>
      <c r="O116" s="110"/>
      <c r="P116" s="110"/>
      <c r="Q116" s="110"/>
    </row>
    <row r="117" spans="1:17" ht="17.5" customHeight="1">
      <c r="A117" s="109" t="s">
        <v>6963</v>
      </c>
      <c r="B117" s="109" t="s">
        <v>6964</v>
      </c>
      <c r="C117" s="113">
        <v>2018</v>
      </c>
      <c r="D117" s="112">
        <v>45</v>
      </c>
      <c r="E117" s="112">
        <v>2298</v>
      </c>
      <c r="F117" s="112">
        <v>1010</v>
      </c>
      <c r="G117" s="112">
        <v>1296</v>
      </c>
      <c r="H117" s="112">
        <v>445</v>
      </c>
      <c r="I117" s="112">
        <v>78</v>
      </c>
      <c r="J117" s="112" t="s">
        <v>6953</v>
      </c>
      <c r="K117" s="112" t="s">
        <v>6953</v>
      </c>
      <c r="L117" s="112">
        <v>115</v>
      </c>
      <c r="M117" s="112">
        <v>105</v>
      </c>
      <c r="N117" s="112">
        <v>10</v>
      </c>
    </row>
    <row r="118" spans="1:17" ht="17.5" customHeight="1">
      <c r="A118" s="109" t="s">
        <v>6963</v>
      </c>
      <c r="B118" s="109" t="s">
        <v>6964</v>
      </c>
      <c r="C118" s="113">
        <v>2019</v>
      </c>
      <c r="D118" s="112">
        <v>50</v>
      </c>
      <c r="E118" s="112">
        <v>2421.3641720000001</v>
      </c>
      <c r="F118" s="112">
        <v>1057.3572019999999</v>
      </c>
      <c r="G118" s="112">
        <v>1375.7573910000001</v>
      </c>
      <c r="H118" s="112">
        <v>476.48045000000002</v>
      </c>
      <c r="I118" s="112">
        <v>191.740906</v>
      </c>
      <c r="J118" s="112">
        <v>192.40660199999999</v>
      </c>
      <c r="K118" s="112">
        <v>0.66569599999999995</v>
      </c>
      <c r="L118" s="112">
        <v>137.44386600000001</v>
      </c>
      <c r="M118" s="112">
        <v>123.993104</v>
      </c>
      <c r="N118" s="112">
        <v>13.450761</v>
      </c>
    </row>
    <row r="119" spans="1:17" ht="17.5" customHeight="1">
      <c r="A119" s="114" t="s">
        <v>6963</v>
      </c>
      <c r="B119" s="114" t="s">
        <v>6964</v>
      </c>
      <c r="C119" s="113">
        <v>2020</v>
      </c>
      <c r="D119" s="112">
        <v>55</v>
      </c>
      <c r="E119" s="112">
        <v>2423.378573</v>
      </c>
      <c r="F119" s="112">
        <v>1137.058325</v>
      </c>
      <c r="G119" s="112">
        <v>1290.8759520000001</v>
      </c>
      <c r="H119" s="112">
        <v>503.93429700000002</v>
      </c>
      <c r="I119" s="112">
        <v>217.520027</v>
      </c>
      <c r="J119" s="112">
        <v>217.75841399999999</v>
      </c>
      <c r="K119" s="112" t="s">
        <v>6952</v>
      </c>
      <c r="L119" s="112">
        <v>145.840698</v>
      </c>
      <c r="M119" s="112">
        <v>139.92234500000001</v>
      </c>
      <c r="N119" s="112">
        <v>5.9183529999999998</v>
      </c>
      <c r="O119" s="110"/>
      <c r="P119" s="110"/>
      <c r="Q119" s="110"/>
    </row>
    <row r="120" spans="1:17" ht="17.5" customHeight="1">
      <c r="A120" s="109" t="s">
        <v>6965</v>
      </c>
      <c r="B120" s="109" t="s">
        <v>6966</v>
      </c>
      <c r="C120" s="98">
        <v>2008</v>
      </c>
      <c r="D120" s="99">
        <v>37</v>
      </c>
      <c r="E120" s="99">
        <v>465</v>
      </c>
      <c r="F120" s="99">
        <v>56</v>
      </c>
      <c r="G120" s="99">
        <v>410</v>
      </c>
      <c r="H120" s="99">
        <v>48</v>
      </c>
      <c r="I120" s="99">
        <v>12</v>
      </c>
      <c r="J120" s="99">
        <v>14</v>
      </c>
      <c r="K120" s="99">
        <v>2</v>
      </c>
      <c r="L120" s="99">
        <v>31</v>
      </c>
      <c r="M120" s="99">
        <v>29</v>
      </c>
      <c r="N120" s="99">
        <v>2</v>
      </c>
      <c r="O120" s="110"/>
      <c r="P120" s="110"/>
      <c r="Q120" s="110"/>
    </row>
    <row r="121" spans="1:17" ht="17.5" customHeight="1">
      <c r="A121" s="109" t="s">
        <v>6965</v>
      </c>
      <c r="B121" s="109" t="s">
        <v>6966</v>
      </c>
      <c r="C121" s="98">
        <v>2009</v>
      </c>
      <c r="D121" s="99">
        <v>36</v>
      </c>
      <c r="E121" s="99">
        <v>383</v>
      </c>
      <c r="F121" s="99">
        <v>66</v>
      </c>
      <c r="G121" s="99">
        <v>319</v>
      </c>
      <c r="H121" s="99">
        <v>38</v>
      </c>
      <c r="I121" s="99">
        <v>12</v>
      </c>
      <c r="J121" s="99">
        <v>13</v>
      </c>
      <c r="K121" s="99">
        <v>1</v>
      </c>
      <c r="L121" s="99">
        <v>30</v>
      </c>
      <c r="M121" s="99">
        <v>28</v>
      </c>
      <c r="N121" s="99">
        <v>2</v>
      </c>
      <c r="O121" s="110"/>
      <c r="P121" s="110"/>
      <c r="Q121" s="110"/>
    </row>
    <row r="122" spans="1:17" ht="17.5" customHeight="1">
      <c r="A122" s="109" t="s">
        <v>6965</v>
      </c>
      <c r="B122" s="109" t="s">
        <v>6966</v>
      </c>
      <c r="C122" s="98">
        <v>2010</v>
      </c>
      <c r="D122" s="112" t="s">
        <v>6953</v>
      </c>
      <c r="E122" s="112" t="s">
        <v>6953</v>
      </c>
      <c r="F122" s="112" t="s">
        <v>6953</v>
      </c>
      <c r="G122" s="112" t="s">
        <v>6953</v>
      </c>
      <c r="H122" s="99" t="s">
        <v>6953</v>
      </c>
      <c r="I122" s="112" t="s">
        <v>6953</v>
      </c>
      <c r="J122" s="112" t="s">
        <v>6953</v>
      </c>
      <c r="K122" s="112" t="s">
        <v>6953</v>
      </c>
      <c r="L122" s="112" t="s">
        <v>6953</v>
      </c>
      <c r="M122" s="112" t="s">
        <v>6953</v>
      </c>
      <c r="N122" s="112" t="s">
        <v>6953</v>
      </c>
    </row>
    <row r="123" spans="1:17" ht="17.5" customHeight="1">
      <c r="A123" s="109" t="s">
        <v>6965</v>
      </c>
      <c r="B123" s="109" t="s">
        <v>6966</v>
      </c>
      <c r="C123" s="98">
        <v>2011</v>
      </c>
      <c r="D123" s="99">
        <v>48</v>
      </c>
      <c r="E123" s="99">
        <v>397</v>
      </c>
      <c r="F123" s="99">
        <v>69</v>
      </c>
      <c r="G123" s="99">
        <v>334</v>
      </c>
      <c r="H123" s="99">
        <v>46</v>
      </c>
      <c r="I123" s="112" t="s">
        <v>6953</v>
      </c>
      <c r="J123" s="99">
        <v>7</v>
      </c>
      <c r="K123" s="112" t="s">
        <v>6953</v>
      </c>
      <c r="L123" s="99">
        <v>30</v>
      </c>
      <c r="M123" s="99">
        <v>24</v>
      </c>
      <c r="N123" s="99">
        <v>6</v>
      </c>
      <c r="O123" s="110"/>
      <c r="P123" s="110"/>
      <c r="Q123" s="110"/>
    </row>
    <row r="124" spans="1:17" ht="17.5" customHeight="1">
      <c r="A124" s="109" t="s">
        <v>6965</v>
      </c>
      <c r="B124" s="109" t="s">
        <v>6966</v>
      </c>
      <c r="C124" s="111">
        <v>2012</v>
      </c>
      <c r="D124" s="112">
        <v>52</v>
      </c>
      <c r="E124" s="112">
        <v>422</v>
      </c>
      <c r="F124" s="112" t="s">
        <v>6953</v>
      </c>
      <c r="G124" s="112" t="s">
        <v>6953</v>
      </c>
      <c r="H124" s="112">
        <v>47</v>
      </c>
      <c r="I124" s="112" t="s">
        <v>6953</v>
      </c>
      <c r="J124" s="112" t="s">
        <v>6953</v>
      </c>
      <c r="K124" s="112" t="s">
        <v>6953</v>
      </c>
      <c r="L124" s="112">
        <v>30</v>
      </c>
      <c r="M124" s="112">
        <v>29</v>
      </c>
      <c r="N124" s="112">
        <v>1</v>
      </c>
      <c r="O124" s="110"/>
      <c r="P124" s="110"/>
      <c r="Q124" s="110"/>
    </row>
    <row r="125" spans="1:17" ht="17.5" customHeight="1">
      <c r="A125" s="109" t="s">
        <v>6965</v>
      </c>
      <c r="B125" s="109" t="s">
        <v>6966</v>
      </c>
      <c r="C125" s="113">
        <v>2013</v>
      </c>
      <c r="D125" s="112">
        <v>52</v>
      </c>
      <c r="E125" s="112">
        <v>403</v>
      </c>
      <c r="F125" s="112">
        <v>48</v>
      </c>
      <c r="G125" s="112">
        <v>352</v>
      </c>
      <c r="H125" s="112">
        <v>51</v>
      </c>
      <c r="I125" s="112">
        <v>6</v>
      </c>
      <c r="J125" s="112">
        <v>6</v>
      </c>
      <c r="K125" s="112" t="s">
        <v>6952</v>
      </c>
      <c r="L125" s="112">
        <v>30</v>
      </c>
      <c r="M125" s="112">
        <v>33</v>
      </c>
      <c r="N125" s="112">
        <v>-3</v>
      </c>
      <c r="O125" s="110"/>
      <c r="P125" s="110"/>
      <c r="Q125" s="110"/>
    </row>
    <row r="126" spans="1:17" ht="17.5" customHeight="1">
      <c r="A126" s="109" t="s">
        <v>6965</v>
      </c>
      <c r="B126" s="109" t="s">
        <v>6966</v>
      </c>
      <c r="C126" s="113">
        <v>2014</v>
      </c>
      <c r="D126" s="99">
        <v>50</v>
      </c>
      <c r="E126" s="99">
        <v>378</v>
      </c>
      <c r="F126" s="99">
        <v>53</v>
      </c>
      <c r="G126" s="99">
        <v>321</v>
      </c>
      <c r="H126" s="99">
        <v>44</v>
      </c>
      <c r="I126" s="99">
        <v>19</v>
      </c>
      <c r="J126" s="99">
        <v>19</v>
      </c>
      <c r="K126" s="112" t="s">
        <v>6952</v>
      </c>
      <c r="L126" s="99">
        <v>36</v>
      </c>
      <c r="M126" s="99">
        <v>37</v>
      </c>
      <c r="N126" s="99">
        <v>-1</v>
      </c>
      <c r="O126" s="110"/>
      <c r="P126" s="110"/>
      <c r="Q126" s="110"/>
    </row>
    <row r="127" spans="1:17" ht="17.5" customHeight="1">
      <c r="A127" s="109" t="s">
        <v>6965</v>
      </c>
      <c r="B127" s="109" t="s">
        <v>6966</v>
      </c>
      <c r="C127" s="113">
        <v>2015</v>
      </c>
      <c r="D127" s="112">
        <v>59</v>
      </c>
      <c r="E127" s="112">
        <v>342</v>
      </c>
      <c r="F127" s="112">
        <v>54</v>
      </c>
      <c r="G127" s="112">
        <v>286</v>
      </c>
      <c r="H127" s="112">
        <v>42</v>
      </c>
      <c r="I127" s="112" t="s">
        <v>6953</v>
      </c>
      <c r="J127" s="112" t="s">
        <v>6953</v>
      </c>
      <c r="K127" s="112" t="s">
        <v>6952</v>
      </c>
      <c r="L127" s="112" t="s">
        <v>6953</v>
      </c>
      <c r="M127" s="112" t="s">
        <v>6953</v>
      </c>
      <c r="N127" s="112" t="s">
        <v>6953</v>
      </c>
    </row>
    <row r="128" spans="1:17" ht="17.5" customHeight="1">
      <c r="A128" s="109" t="s">
        <v>6965</v>
      </c>
      <c r="B128" s="109" t="s">
        <v>6966</v>
      </c>
      <c r="C128" s="113">
        <v>2016</v>
      </c>
      <c r="D128" s="112">
        <v>66</v>
      </c>
      <c r="E128" s="112">
        <v>411</v>
      </c>
      <c r="F128" s="112">
        <v>80</v>
      </c>
      <c r="G128" s="112">
        <v>338</v>
      </c>
      <c r="H128" s="112">
        <v>46</v>
      </c>
      <c r="I128" s="112">
        <v>17</v>
      </c>
      <c r="J128" s="112">
        <v>17</v>
      </c>
      <c r="K128" s="112" t="s">
        <v>6952</v>
      </c>
      <c r="L128" s="112">
        <v>32</v>
      </c>
      <c r="M128" s="112">
        <v>27</v>
      </c>
      <c r="N128" s="112">
        <v>5</v>
      </c>
      <c r="O128" s="110"/>
      <c r="P128" s="110"/>
      <c r="Q128" s="110"/>
    </row>
    <row r="129" spans="1:17" ht="17.5" customHeight="1">
      <c r="A129" s="109" t="s">
        <v>6965</v>
      </c>
      <c r="B129" s="109" t="s">
        <v>6966</v>
      </c>
      <c r="C129" s="113">
        <v>2017</v>
      </c>
      <c r="D129" s="112">
        <v>68</v>
      </c>
      <c r="E129" s="112">
        <v>449</v>
      </c>
      <c r="F129" s="112">
        <v>70</v>
      </c>
      <c r="G129" s="112">
        <v>380</v>
      </c>
      <c r="H129" s="112">
        <v>46</v>
      </c>
      <c r="I129" s="112">
        <v>16</v>
      </c>
      <c r="J129" s="112">
        <v>16</v>
      </c>
      <c r="K129" s="112" t="s">
        <v>6952</v>
      </c>
      <c r="L129" s="112">
        <v>37</v>
      </c>
      <c r="M129" s="112">
        <v>36</v>
      </c>
      <c r="N129" s="112">
        <v>1</v>
      </c>
    </row>
    <row r="130" spans="1:17" ht="17.5" customHeight="1">
      <c r="A130" s="109" t="s">
        <v>6965</v>
      </c>
      <c r="B130" s="109" t="s">
        <v>6966</v>
      </c>
      <c r="C130" s="113">
        <v>2018</v>
      </c>
      <c r="D130" s="112">
        <v>77</v>
      </c>
      <c r="E130" s="112">
        <v>506</v>
      </c>
      <c r="F130" s="112">
        <v>108</v>
      </c>
      <c r="G130" s="112">
        <v>402</v>
      </c>
      <c r="H130" s="112">
        <v>57</v>
      </c>
      <c r="I130" s="112">
        <v>5</v>
      </c>
      <c r="J130" s="112">
        <v>5</v>
      </c>
      <c r="K130" s="112" t="s">
        <v>6952</v>
      </c>
      <c r="L130" s="112">
        <v>40</v>
      </c>
      <c r="M130" s="112">
        <v>41</v>
      </c>
      <c r="N130" s="112">
        <v>-1</v>
      </c>
    </row>
    <row r="131" spans="1:17" ht="17.5" customHeight="1">
      <c r="A131" s="109" t="s">
        <v>6965</v>
      </c>
      <c r="B131" s="109" t="s">
        <v>6966</v>
      </c>
      <c r="C131" s="113">
        <v>2019</v>
      </c>
      <c r="D131" s="112">
        <v>76</v>
      </c>
      <c r="E131" s="112">
        <v>138.97794099999999</v>
      </c>
      <c r="F131" s="112">
        <v>37.482025</v>
      </c>
      <c r="G131" s="112">
        <v>101.67468599999999</v>
      </c>
      <c r="H131" s="112">
        <v>27.933882000000001</v>
      </c>
      <c r="I131" s="112">
        <v>36.817746</v>
      </c>
      <c r="J131" s="112">
        <v>36.892750999999997</v>
      </c>
      <c r="K131" s="112" t="s">
        <v>6952</v>
      </c>
      <c r="L131" s="112">
        <v>13.334562</v>
      </c>
      <c r="M131" s="112">
        <v>13.337949</v>
      </c>
      <c r="N131" s="112" t="s">
        <v>6952</v>
      </c>
      <c r="O131" s="110"/>
      <c r="P131" s="110"/>
      <c r="Q131" s="110"/>
    </row>
    <row r="132" spans="1:17" ht="17.5" customHeight="1">
      <c r="A132" s="114" t="s">
        <v>6965</v>
      </c>
      <c r="B132" s="114" t="s">
        <v>6966</v>
      </c>
      <c r="C132" s="113">
        <v>2020</v>
      </c>
      <c r="D132" s="112">
        <v>71</v>
      </c>
      <c r="E132" s="112">
        <v>133.73669699999999</v>
      </c>
      <c r="F132" s="112">
        <v>30.878140999999999</v>
      </c>
      <c r="G132" s="112">
        <v>103.272459</v>
      </c>
      <c r="H132" s="112">
        <v>20.488610999999999</v>
      </c>
      <c r="I132" s="112">
        <v>42.065407999999998</v>
      </c>
      <c r="J132" s="112">
        <v>42.117938000000002</v>
      </c>
      <c r="K132" s="112" t="s">
        <v>6952</v>
      </c>
      <c r="L132" s="112">
        <v>17.485254000000001</v>
      </c>
      <c r="M132" s="112">
        <v>17.097104000000002</v>
      </c>
      <c r="N132" s="112" t="s">
        <v>6952</v>
      </c>
      <c r="O132" s="110"/>
      <c r="P132" s="110"/>
      <c r="Q132" s="110"/>
    </row>
    <row r="133" spans="1:17" ht="31.75" customHeight="1">
      <c r="A133" s="109" t="s">
        <v>6967</v>
      </c>
      <c r="B133" s="109" t="s">
        <v>6968</v>
      </c>
      <c r="C133" s="98">
        <v>2008</v>
      </c>
      <c r="D133" s="99">
        <v>352</v>
      </c>
      <c r="E133" s="99">
        <v>2119</v>
      </c>
      <c r="F133" s="99">
        <v>650</v>
      </c>
      <c r="G133" s="99">
        <v>1490</v>
      </c>
      <c r="H133" s="99">
        <v>418</v>
      </c>
      <c r="I133" s="99">
        <v>53</v>
      </c>
      <c r="J133" s="99">
        <v>54</v>
      </c>
      <c r="K133" s="99">
        <v>1</v>
      </c>
      <c r="L133" s="99">
        <v>142</v>
      </c>
      <c r="M133" s="99">
        <v>118</v>
      </c>
      <c r="N133" s="99">
        <v>24</v>
      </c>
      <c r="O133" s="110"/>
      <c r="P133" s="110"/>
      <c r="Q133" s="110"/>
    </row>
    <row r="134" spans="1:17" ht="31.75" customHeight="1">
      <c r="A134" s="109" t="s">
        <v>6967</v>
      </c>
      <c r="B134" s="109" t="s">
        <v>6968</v>
      </c>
      <c r="C134" s="98">
        <v>2009</v>
      </c>
      <c r="D134" s="99">
        <v>349</v>
      </c>
      <c r="E134" s="99">
        <v>2216</v>
      </c>
      <c r="F134" s="99">
        <v>601</v>
      </c>
      <c r="G134" s="99">
        <v>1610</v>
      </c>
      <c r="H134" s="99">
        <v>382</v>
      </c>
      <c r="I134" s="99">
        <v>38</v>
      </c>
      <c r="J134" s="99">
        <v>56</v>
      </c>
      <c r="K134" s="99">
        <v>18</v>
      </c>
      <c r="L134" s="99">
        <v>127</v>
      </c>
      <c r="M134" s="99">
        <v>133</v>
      </c>
      <c r="N134" s="99">
        <v>-6</v>
      </c>
    </row>
    <row r="135" spans="1:17" ht="31.75" customHeight="1">
      <c r="A135" s="109" t="s">
        <v>6967</v>
      </c>
      <c r="B135" s="109" t="s">
        <v>6968</v>
      </c>
      <c r="C135" s="98">
        <v>2010</v>
      </c>
      <c r="D135" s="99">
        <v>348</v>
      </c>
      <c r="E135" s="99">
        <v>2393</v>
      </c>
      <c r="F135" s="99">
        <v>810</v>
      </c>
      <c r="G135" s="99">
        <v>1628</v>
      </c>
      <c r="H135" s="99">
        <v>401</v>
      </c>
      <c r="I135" s="99">
        <v>118</v>
      </c>
      <c r="J135" s="99">
        <v>127</v>
      </c>
      <c r="K135" s="99">
        <v>9</v>
      </c>
      <c r="L135" s="99">
        <v>193</v>
      </c>
      <c r="M135" s="99">
        <v>141</v>
      </c>
      <c r="N135" s="99">
        <v>52</v>
      </c>
      <c r="O135" s="110"/>
      <c r="P135" s="110"/>
      <c r="Q135" s="110"/>
    </row>
    <row r="136" spans="1:17" ht="31.75" customHeight="1">
      <c r="A136" s="109" t="s">
        <v>6967</v>
      </c>
      <c r="B136" s="109" t="s">
        <v>6968</v>
      </c>
      <c r="C136" s="98">
        <v>2011</v>
      </c>
      <c r="D136" s="99">
        <v>392</v>
      </c>
      <c r="E136" s="99">
        <v>3908</v>
      </c>
      <c r="F136" s="99">
        <v>1073</v>
      </c>
      <c r="G136" s="99">
        <v>2920</v>
      </c>
      <c r="H136" s="99">
        <v>495</v>
      </c>
      <c r="I136" s="112" t="s">
        <v>6953</v>
      </c>
      <c r="J136" s="99">
        <v>105</v>
      </c>
      <c r="K136" s="112" t="s">
        <v>6953</v>
      </c>
      <c r="L136" s="99">
        <v>286</v>
      </c>
      <c r="M136" s="99">
        <v>195</v>
      </c>
      <c r="N136" s="99">
        <v>91</v>
      </c>
      <c r="O136" s="110"/>
      <c r="P136" s="110"/>
      <c r="Q136" s="110"/>
    </row>
    <row r="137" spans="1:17" ht="31.75" customHeight="1">
      <c r="A137" s="109" t="s">
        <v>6967</v>
      </c>
      <c r="B137" s="109" t="s">
        <v>6968</v>
      </c>
      <c r="C137" s="111">
        <v>2012</v>
      </c>
      <c r="D137" s="112">
        <v>426</v>
      </c>
      <c r="E137" s="112">
        <v>4253</v>
      </c>
      <c r="F137" s="112">
        <v>1063</v>
      </c>
      <c r="G137" s="112">
        <v>3173</v>
      </c>
      <c r="H137" s="112">
        <v>454</v>
      </c>
      <c r="I137" s="112">
        <v>79</v>
      </c>
      <c r="J137" s="112">
        <v>83</v>
      </c>
      <c r="K137" s="112">
        <v>4</v>
      </c>
      <c r="L137" s="112">
        <v>302</v>
      </c>
      <c r="M137" s="112">
        <v>313</v>
      </c>
      <c r="N137" s="112">
        <v>-11</v>
      </c>
      <c r="O137" s="110"/>
      <c r="P137" s="110"/>
      <c r="Q137" s="110"/>
    </row>
    <row r="138" spans="1:17" ht="31.75" customHeight="1">
      <c r="A138" s="109" t="s">
        <v>6967</v>
      </c>
      <c r="B138" s="109" t="s">
        <v>6968</v>
      </c>
      <c r="C138" s="113">
        <v>2013</v>
      </c>
      <c r="D138" s="112">
        <v>451</v>
      </c>
      <c r="E138" s="112">
        <v>4208</v>
      </c>
      <c r="F138" s="112">
        <v>1092</v>
      </c>
      <c r="G138" s="112">
        <v>3179</v>
      </c>
      <c r="H138" s="112">
        <v>516</v>
      </c>
      <c r="I138" s="112">
        <v>109</v>
      </c>
      <c r="J138" s="112">
        <v>112</v>
      </c>
      <c r="K138" s="112">
        <v>3</v>
      </c>
      <c r="L138" s="112">
        <v>453</v>
      </c>
      <c r="M138" s="112">
        <v>383</v>
      </c>
      <c r="N138" s="112">
        <v>70</v>
      </c>
      <c r="O138" s="110"/>
      <c r="P138" s="110"/>
      <c r="Q138" s="110"/>
    </row>
    <row r="139" spans="1:17" ht="31.75" customHeight="1">
      <c r="A139" s="109" t="s">
        <v>6967</v>
      </c>
      <c r="B139" s="109" t="s">
        <v>6968</v>
      </c>
      <c r="C139" s="113">
        <v>2014</v>
      </c>
      <c r="D139" s="99">
        <v>459</v>
      </c>
      <c r="E139" s="99">
        <v>4194</v>
      </c>
      <c r="F139" s="99">
        <v>1002</v>
      </c>
      <c r="G139" s="99">
        <v>3221</v>
      </c>
      <c r="H139" s="99">
        <v>527</v>
      </c>
      <c r="I139" s="99">
        <v>149</v>
      </c>
      <c r="J139" s="99">
        <v>153</v>
      </c>
      <c r="K139" s="99">
        <v>4</v>
      </c>
      <c r="L139" s="99">
        <v>406</v>
      </c>
      <c r="M139" s="99">
        <v>367</v>
      </c>
      <c r="N139" s="99">
        <v>38</v>
      </c>
    </row>
    <row r="140" spans="1:17" ht="31.75" customHeight="1">
      <c r="A140" s="109" t="s">
        <v>6967</v>
      </c>
      <c r="B140" s="109" t="s">
        <v>6968</v>
      </c>
      <c r="C140" s="113">
        <v>2015</v>
      </c>
      <c r="D140" s="112">
        <v>490</v>
      </c>
      <c r="E140" s="112">
        <v>4097</v>
      </c>
      <c r="F140" s="112">
        <v>1085</v>
      </c>
      <c r="G140" s="112">
        <v>3017</v>
      </c>
      <c r="H140" s="112">
        <v>555</v>
      </c>
      <c r="I140" s="112">
        <v>135</v>
      </c>
      <c r="J140" s="112">
        <v>145</v>
      </c>
      <c r="K140" s="112">
        <v>10</v>
      </c>
      <c r="L140" s="112">
        <v>376</v>
      </c>
      <c r="M140" s="112">
        <v>370</v>
      </c>
      <c r="N140" s="112">
        <v>6</v>
      </c>
      <c r="O140" s="110"/>
      <c r="P140" s="110"/>
      <c r="Q140" s="110"/>
    </row>
    <row r="141" spans="1:17" ht="31.75" customHeight="1">
      <c r="A141" s="109" t="s">
        <v>6967</v>
      </c>
      <c r="B141" s="109" t="s">
        <v>6968</v>
      </c>
      <c r="C141" s="113">
        <v>2016</v>
      </c>
      <c r="D141" s="112">
        <v>495</v>
      </c>
      <c r="E141" s="112">
        <v>4561</v>
      </c>
      <c r="F141" s="112">
        <v>940</v>
      </c>
      <c r="G141" s="112">
        <v>3622</v>
      </c>
      <c r="H141" s="112">
        <v>693</v>
      </c>
      <c r="I141" s="112">
        <v>139</v>
      </c>
      <c r="J141" s="112">
        <v>141</v>
      </c>
      <c r="K141" s="112">
        <v>2</v>
      </c>
      <c r="L141" s="112">
        <v>396</v>
      </c>
      <c r="M141" s="112">
        <v>403</v>
      </c>
      <c r="N141" s="112">
        <v>-7</v>
      </c>
    </row>
    <row r="142" spans="1:17" ht="31.75" customHeight="1">
      <c r="A142" s="109" t="s">
        <v>6967</v>
      </c>
      <c r="B142" s="109" t="s">
        <v>6968</v>
      </c>
      <c r="C142" s="113">
        <v>2017</v>
      </c>
      <c r="D142" s="112">
        <v>502</v>
      </c>
      <c r="E142" s="112">
        <v>4624</v>
      </c>
      <c r="F142" s="112">
        <v>1062</v>
      </c>
      <c r="G142" s="112">
        <v>3575</v>
      </c>
      <c r="H142" s="112">
        <v>677</v>
      </c>
      <c r="I142" s="112">
        <v>114</v>
      </c>
      <c r="J142" s="112">
        <v>124</v>
      </c>
      <c r="K142" s="112">
        <v>10</v>
      </c>
      <c r="L142" s="112">
        <v>403</v>
      </c>
      <c r="M142" s="112">
        <v>394</v>
      </c>
      <c r="N142" s="112">
        <v>9</v>
      </c>
    </row>
    <row r="143" spans="1:17" ht="31.75" customHeight="1">
      <c r="A143" s="109" t="s">
        <v>6967</v>
      </c>
      <c r="B143" s="109" t="s">
        <v>6968</v>
      </c>
      <c r="C143" s="113">
        <v>2018</v>
      </c>
      <c r="D143" s="112">
        <v>489</v>
      </c>
      <c r="E143" s="112">
        <v>4515</v>
      </c>
      <c r="F143" s="112">
        <v>1182</v>
      </c>
      <c r="G143" s="112">
        <v>3395</v>
      </c>
      <c r="H143" s="112">
        <v>667</v>
      </c>
      <c r="I143" s="112">
        <v>147</v>
      </c>
      <c r="J143" s="112">
        <v>154</v>
      </c>
      <c r="K143" s="112">
        <v>7</v>
      </c>
      <c r="L143" s="112">
        <v>416</v>
      </c>
      <c r="M143" s="112">
        <v>371</v>
      </c>
      <c r="N143" s="112">
        <v>46</v>
      </c>
      <c r="O143" s="110"/>
      <c r="P143" s="110"/>
      <c r="Q143" s="110"/>
    </row>
    <row r="144" spans="1:17" ht="31.75" customHeight="1">
      <c r="A144" s="109" t="s">
        <v>6967</v>
      </c>
      <c r="B144" s="109" t="s">
        <v>6968</v>
      </c>
      <c r="C144" s="113">
        <v>2019</v>
      </c>
      <c r="D144" s="112">
        <v>494</v>
      </c>
      <c r="E144" s="112">
        <v>4653.6031899999998</v>
      </c>
      <c r="F144" s="112">
        <v>1093.437439</v>
      </c>
      <c r="G144" s="112">
        <v>3549.7920530000001</v>
      </c>
      <c r="H144" s="112">
        <v>678.02482699999996</v>
      </c>
      <c r="I144" s="112">
        <v>185.36967100000001</v>
      </c>
      <c r="J144" s="112">
        <v>189.41557700000001</v>
      </c>
      <c r="K144" s="112">
        <v>4.0459069999999997</v>
      </c>
      <c r="L144" s="112">
        <v>403.91025500000001</v>
      </c>
      <c r="M144" s="112">
        <v>433.55592100000001</v>
      </c>
      <c r="N144" s="112">
        <v>-29.645665999999999</v>
      </c>
      <c r="O144" s="110"/>
      <c r="P144" s="110"/>
      <c r="Q144" s="110"/>
    </row>
    <row r="145" spans="1:17" ht="31.75" customHeight="1">
      <c r="A145" s="114" t="s">
        <v>6967</v>
      </c>
      <c r="B145" s="114" t="s">
        <v>6968</v>
      </c>
      <c r="C145" s="113">
        <v>2020</v>
      </c>
      <c r="D145" s="112">
        <v>502</v>
      </c>
      <c r="E145" s="112">
        <v>4738.704855</v>
      </c>
      <c r="F145" s="112">
        <v>1093.084591</v>
      </c>
      <c r="G145" s="112">
        <v>3697.571907</v>
      </c>
      <c r="H145" s="112">
        <v>693.50687000000005</v>
      </c>
      <c r="I145" s="112">
        <v>186.34261100000001</v>
      </c>
      <c r="J145" s="112">
        <v>196.56456900000001</v>
      </c>
      <c r="K145" s="112">
        <v>10.221958000000001</v>
      </c>
      <c r="L145" s="112">
        <v>465.15310499999998</v>
      </c>
      <c r="M145" s="112">
        <v>441.948736</v>
      </c>
      <c r="N145" s="112">
        <v>23.204369</v>
      </c>
      <c r="O145" s="110"/>
      <c r="P145" s="110"/>
      <c r="Q145" s="110"/>
    </row>
    <row r="146" spans="1:17" ht="17.5" customHeight="1">
      <c r="A146" s="109" t="s">
        <v>6969</v>
      </c>
      <c r="B146" s="109" t="s">
        <v>6970</v>
      </c>
      <c r="C146" s="98">
        <v>2008</v>
      </c>
      <c r="D146" s="99">
        <v>47</v>
      </c>
      <c r="E146" s="99">
        <v>1234</v>
      </c>
      <c r="F146" s="99">
        <v>346</v>
      </c>
      <c r="G146" s="99">
        <v>846</v>
      </c>
      <c r="H146" s="99">
        <v>52</v>
      </c>
      <c r="I146" s="99">
        <v>12</v>
      </c>
      <c r="J146" s="99">
        <v>12</v>
      </c>
      <c r="K146" s="99" t="s">
        <v>6952</v>
      </c>
      <c r="L146" s="99">
        <v>54</v>
      </c>
      <c r="M146" s="99">
        <v>93</v>
      </c>
      <c r="N146" s="99">
        <v>-39</v>
      </c>
    </row>
    <row r="147" spans="1:17" ht="17.5" customHeight="1">
      <c r="A147" s="109" t="s">
        <v>6969</v>
      </c>
      <c r="B147" s="109" t="s">
        <v>6970</v>
      </c>
      <c r="C147" s="98">
        <v>2009</v>
      </c>
      <c r="D147" s="99">
        <v>36</v>
      </c>
      <c r="E147" s="99">
        <v>1060</v>
      </c>
      <c r="F147" s="99">
        <v>335</v>
      </c>
      <c r="G147" s="99">
        <v>713</v>
      </c>
      <c r="H147" s="99">
        <v>46</v>
      </c>
      <c r="I147" s="99">
        <v>10</v>
      </c>
      <c r="J147" s="99">
        <v>10</v>
      </c>
      <c r="K147" s="99" t="s">
        <v>6952</v>
      </c>
      <c r="L147" s="99">
        <v>55</v>
      </c>
      <c r="M147" s="99">
        <v>66</v>
      </c>
      <c r="N147" s="99">
        <v>-11</v>
      </c>
      <c r="O147" s="110"/>
      <c r="P147" s="110"/>
      <c r="Q147" s="110"/>
    </row>
    <row r="148" spans="1:17" ht="17.5" customHeight="1">
      <c r="A148" s="109" t="s">
        <v>6969</v>
      </c>
      <c r="B148" s="109" t="s">
        <v>6970</v>
      </c>
      <c r="C148" s="98">
        <v>2010</v>
      </c>
      <c r="D148" s="99">
        <v>44</v>
      </c>
      <c r="E148" s="99">
        <v>636</v>
      </c>
      <c r="F148" s="99">
        <v>115</v>
      </c>
      <c r="G148" s="99">
        <v>544</v>
      </c>
      <c r="H148" s="99">
        <v>58</v>
      </c>
      <c r="I148" s="99">
        <v>17</v>
      </c>
      <c r="J148" s="112" t="s">
        <v>6953</v>
      </c>
      <c r="K148" s="112" t="s">
        <v>6953</v>
      </c>
      <c r="L148" s="99">
        <v>72</v>
      </c>
      <c r="M148" s="99">
        <v>49</v>
      </c>
      <c r="N148" s="99">
        <v>23</v>
      </c>
      <c r="O148" s="110"/>
      <c r="P148" s="110"/>
      <c r="Q148" s="110"/>
    </row>
    <row r="149" spans="1:17" ht="17.5" customHeight="1">
      <c r="A149" s="109" t="s">
        <v>6969</v>
      </c>
      <c r="B149" s="109" t="s">
        <v>6970</v>
      </c>
      <c r="C149" s="98">
        <v>2011</v>
      </c>
      <c r="D149" s="99">
        <v>47</v>
      </c>
      <c r="E149" s="99">
        <v>1110</v>
      </c>
      <c r="F149" s="99">
        <v>172</v>
      </c>
      <c r="G149" s="99">
        <v>995</v>
      </c>
      <c r="H149" s="99">
        <v>99</v>
      </c>
      <c r="I149" s="99">
        <v>55</v>
      </c>
      <c r="J149" s="99">
        <v>55</v>
      </c>
      <c r="K149" s="99" t="s">
        <v>6952</v>
      </c>
      <c r="L149" s="99">
        <v>181</v>
      </c>
      <c r="M149" s="99">
        <v>125</v>
      </c>
      <c r="N149" s="99">
        <v>57</v>
      </c>
      <c r="O149" s="110"/>
      <c r="P149" s="110"/>
      <c r="Q149" s="110"/>
    </row>
    <row r="150" spans="1:17" ht="17.5" customHeight="1">
      <c r="A150" s="109" t="s">
        <v>6969</v>
      </c>
      <c r="B150" s="109" t="s">
        <v>6970</v>
      </c>
      <c r="C150" s="111">
        <v>2012</v>
      </c>
      <c r="D150" s="112">
        <v>53</v>
      </c>
      <c r="E150" s="112">
        <v>1036</v>
      </c>
      <c r="F150" s="112">
        <v>93</v>
      </c>
      <c r="G150" s="112">
        <v>914</v>
      </c>
      <c r="H150" s="112">
        <v>72</v>
      </c>
      <c r="I150" s="112">
        <v>52</v>
      </c>
      <c r="J150" s="112">
        <v>58</v>
      </c>
      <c r="K150" s="112">
        <v>6</v>
      </c>
      <c r="L150" s="112">
        <v>106</v>
      </c>
      <c r="M150" s="112">
        <v>136</v>
      </c>
      <c r="N150" s="112">
        <v>-30</v>
      </c>
      <c r="O150" s="110"/>
      <c r="P150" s="110"/>
      <c r="Q150" s="110"/>
    </row>
    <row r="151" spans="1:17" ht="17.5" customHeight="1">
      <c r="A151" s="109" t="s">
        <v>6969</v>
      </c>
      <c r="B151" s="109" t="s">
        <v>6970</v>
      </c>
      <c r="C151" s="113">
        <v>2013</v>
      </c>
      <c r="D151" s="112">
        <v>66</v>
      </c>
      <c r="E151" s="112">
        <v>753</v>
      </c>
      <c r="F151" s="112">
        <v>161</v>
      </c>
      <c r="G151" s="112">
        <v>594</v>
      </c>
      <c r="H151" s="112">
        <v>36</v>
      </c>
      <c r="I151" s="112">
        <v>34</v>
      </c>
      <c r="J151" s="112">
        <v>34</v>
      </c>
      <c r="K151" s="112" t="s">
        <v>6952</v>
      </c>
      <c r="L151" s="112">
        <v>56</v>
      </c>
      <c r="M151" s="112">
        <v>54</v>
      </c>
      <c r="N151" s="112">
        <v>2</v>
      </c>
    </row>
    <row r="152" spans="1:17" ht="17.5" customHeight="1">
      <c r="A152" s="109" t="s">
        <v>6969</v>
      </c>
      <c r="B152" s="109" t="s">
        <v>6970</v>
      </c>
      <c r="C152" s="113">
        <v>2014</v>
      </c>
      <c r="D152" s="99">
        <v>59</v>
      </c>
      <c r="E152" s="99">
        <v>695</v>
      </c>
      <c r="F152" s="99">
        <v>152</v>
      </c>
      <c r="G152" s="99">
        <v>570</v>
      </c>
      <c r="H152" s="99">
        <v>69</v>
      </c>
      <c r="I152" s="99">
        <v>80</v>
      </c>
      <c r="J152" s="99">
        <v>80</v>
      </c>
      <c r="K152" s="99" t="s">
        <v>6952</v>
      </c>
      <c r="L152" s="99">
        <v>50</v>
      </c>
      <c r="M152" s="99">
        <v>52</v>
      </c>
      <c r="N152" s="99">
        <v>-2</v>
      </c>
      <c r="O152" s="110"/>
      <c r="P152" s="110"/>
      <c r="Q152" s="110"/>
    </row>
    <row r="153" spans="1:17" ht="17.5" customHeight="1">
      <c r="A153" s="109" t="s">
        <v>6969</v>
      </c>
      <c r="B153" s="109" t="s">
        <v>6970</v>
      </c>
      <c r="C153" s="113">
        <v>2015</v>
      </c>
      <c r="D153" s="112">
        <v>62</v>
      </c>
      <c r="E153" s="112">
        <v>858</v>
      </c>
      <c r="F153" s="112">
        <v>189</v>
      </c>
      <c r="G153" s="112">
        <v>666</v>
      </c>
      <c r="H153" s="112">
        <v>78</v>
      </c>
      <c r="I153" s="112" t="s">
        <v>6953</v>
      </c>
      <c r="J153" s="112" t="s">
        <v>6953</v>
      </c>
      <c r="K153" s="112" t="s">
        <v>6953</v>
      </c>
      <c r="L153" s="112">
        <v>49</v>
      </c>
      <c r="M153" s="112">
        <v>52</v>
      </c>
      <c r="N153" s="112">
        <v>-3</v>
      </c>
    </row>
    <row r="154" spans="1:17" ht="17.5" customHeight="1">
      <c r="A154" s="109" t="s">
        <v>6969</v>
      </c>
      <c r="B154" s="109" t="s">
        <v>6970</v>
      </c>
      <c r="C154" s="113">
        <v>2016</v>
      </c>
      <c r="D154" s="112">
        <v>64</v>
      </c>
      <c r="E154" s="112">
        <v>970</v>
      </c>
      <c r="F154" s="112">
        <v>158</v>
      </c>
      <c r="G154" s="112">
        <v>824</v>
      </c>
      <c r="H154" s="112">
        <v>83</v>
      </c>
      <c r="I154" s="112" t="s">
        <v>6953</v>
      </c>
      <c r="J154" s="112">
        <v>17</v>
      </c>
      <c r="K154" s="112" t="s">
        <v>6953</v>
      </c>
      <c r="L154" s="112">
        <v>76</v>
      </c>
      <c r="M154" s="112">
        <v>62</v>
      </c>
      <c r="N154" s="112">
        <v>14</v>
      </c>
    </row>
    <row r="155" spans="1:17" ht="17.5" customHeight="1">
      <c r="A155" s="109" t="s">
        <v>6969</v>
      </c>
      <c r="B155" s="109" t="s">
        <v>6970</v>
      </c>
      <c r="C155" s="113">
        <v>2017</v>
      </c>
      <c r="D155" s="112">
        <v>67</v>
      </c>
      <c r="E155" s="112">
        <v>1250</v>
      </c>
      <c r="F155" s="112">
        <v>236</v>
      </c>
      <c r="G155" s="112">
        <v>1008</v>
      </c>
      <c r="H155" s="112">
        <v>99</v>
      </c>
      <c r="I155" s="112">
        <v>25</v>
      </c>
      <c r="J155" s="112">
        <v>27</v>
      </c>
      <c r="K155" s="112">
        <v>2</v>
      </c>
      <c r="L155" s="112">
        <v>108</v>
      </c>
      <c r="M155" s="112">
        <v>106</v>
      </c>
      <c r="N155" s="112">
        <v>2</v>
      </c>
      <c r="O155" s="110"/>
      <c r="P155" s="110"/>
      <c r="Q155" s="110"/>
    </row>
    <row r="156" spans="1:17" ht="17.5" customHeight="1">
      <c r="A156" s="109" t="s">
        <v>6969</v>
      </c>
      <c r="B156" s="109" t="s">
        <v>6970</v>
      </c>
      <c r="C156" s="113">
        <v>2018</v>
      </c>
      <c r="D156" s="112">
        <v>62</v>
      </c>
      <c r="E156" s="112">
        <v>1077</v>
      </c>
      <c r="F156" s="112">
        <v>213</v>
      </c>
      <c r="G156" s="112">
        <v>873</v>
      </c>
      <c r="H156" s="112">
        <v>115</v>
      </c>
      <c r="I156" s="112">
        <v>33</v>
      </c>
      <c r="J156" s="112" t="s">
        <v>6953</v>
      </c>
      <c r="K156" s="112" t="s">
        <v>6953</v>
      </c>
      <c r="L156" s="112">
        <v>118</v>
      </c>
      <c r="M156" s="112">
        <v>101</v>
      </c>
      <c r="N156" s="112">
        <v>17</v>
      </c>
      <c r="O156" s="110"/>
      <c r="P156" s="110"/>
      <c r="Q156" s="110"/>
    </row>
    <row r="157" spans="1:17" ht="17.5" customHeight="1">
      <c r="A157" s="109" t="s">
        <v>6969</v>
      </c>
      <c r="B157" s="109" t="s">
        <v>6970</v>
      </c>
      <c r="C157" s="113">
        <v>2019</v>
      </c>
      <c r="D157" s="112">
        <v>73</v>
      </c>
      <c r="E157" s="112">
        <v>953.008106</v>
      </c>
      <c r="F157" s="112">
        <v>301.11149699999999</v>
      </c>
      <c r="G157" s="112">
        <v>638.06457699999999</v>
      </c>
      <c r="H157" s="112">
        <v>162.270274</v>
      </c>
      <c r="I157" s="112">
        <v>42.351849000000001</v>
      </c>
      <c r="J157" s="112">
        <v>44.680619</v>
      </c>
      <c r="K157" s="112">
        <v>2.32877</v>
      </c>
      <c r="L157" s="112">
        <v>98.781008999999997</v>
      </c>
      <c r="M157" s="112">
        <v>105.886852</v>
      </c>
      <c r="N157" s="112">
        <v>-7.1058430000000001</v>
      </c>
      <c r="O157" s="110"/>
      <c r="P157" s="110"/>
      <c r="Q157" s="110"/>
    </row>
    <row r="158" spans="1:17" ht="17.5" customHeight="1">
      <c r="A158" s="114" t="s">
        <v>6969</v>
      </c>
      <c r="B158" s="114" t="s">
        <v>6971</v>
      </c>
      <c r="C158" s="113">
        <v>2020</v>
      </c>
      <c r="D158" s="112">
        <v>79</v>
      </c>
      <c r="E158" s="112">
        <v>845.08923400000003</v>
      </c>
      <c r="F158" s="112">
        <v>236.191374</v>
      </c>
      <c r="G158" s="112">
        <v>640.64052400000003</v>
      </c>
      <c r="H158" s="112">
        <v>84.731125000000006</v>
      </c>
      <c r="I158" s="112">
        <v>29.991838000000001</v>
      </c>
      <c r="J158" s="112">
        <v>32.439138999999997</v>
      </c>
      <c r="K158" s="112">
        <v>2.4473009999999999</v>
      </c>
      <c r="L158" s="112">
        <v>109.30413</v>
      </c>
      <c r="M158" s="112">
        <v>75.919974999999994</v>
      </c>
      <c r="N158" s="112">
        <v>33.384155</v>
      </c>
    </row>
    <row r="159" spans="1:17" ht="17.5" customHeight="1">
      <c r="A159" s="109" t="s">
        <v>6972</v>
      </c>
      <c r="B159" s="109" t="s">
        <v>6973</v>
      </c>
      <c r="C159" s="98">
        <v>2008</v>
      </c>
      <c r="D159" s="99">
        <v>47</v>
      </c>
      <c r="E159" s="99">
        <v>1234</v>
      </c>
      <c r="F159" s="99">
        <v>346</v>
      </c>
      <c r="G159" s="99">
        <v>846</v>
      </c>
      <c r="H159" s="99">
        <v>52</v>
      </c>
      <c r="I159" s="99">
        <v>12</v>
      </c>
      <c r="J159" s="99">
        <v>12</v>
      </c>
      <c r="K159" s="99" t="s">
        <v>6952</v>
      </c>
      <c r="L159" s="99">
        <v>54</v>
      </c>
      <c r="M159" s="99">
        <v>93</v>
      </c>
      <c r="N159" s="99">
        <v>-39</v>
      </c>
      <c r="O159" s="110"/>
      <c r="P159" s="110"/>
      <c r="Q159" s="110"/>
    </row>
    <row r="160" spans="1:17" ht="17.5" customHeight="1">
      <c r="A160" s="109" t="s">
        <v>6972</v>
      </c>
      <c r="B160" s="109" t="s">
        <v>6973</v>
      </c>
      <c r="C160" s="98">
        <v>2009</v>
      </c>
      <c r="D160" s="99">
        <v>36</v>
      </c>
      <c r="E160" s="99">
        <v>1060</v>
      </c>
      <c r="F160" s="99">
        <v>335</v>
      </c>
      <c r="G160" s="99">
        <v>713</v>
      </c>
      <c r="H160" s="99">
        <v>46</v>
      </c>
      <c r="I160" s="99">
        <v>10</v>
      </c>
      <c r="J160" s="99">
        <v>10</v>
      </c>
      <c r="K160" s="99" t="s">
        <v>6952</v>
      </c>
      <c r="L160" s="99">
        <v>55</v>
      </c>
      <c r="M160" s="99">
        <v>66</v>
      </c>
      <c r="N160" s="99">
        <v>-11</v>
      </c>
      <c r="O160" s="110"/>
      <c r="P160" s="110"/>
      <c r="Q160" s="110"/>
    </row>
    <row r="161" spans="1:17" ht="17.5" customHeight="1">
      <c r="A161" s="109" t="s">
        <v>6972</v>
      </c>
      <c r="B161" s="109" t="s">
        <v>6973</v>
      </c>
      <c r="C161" s="98">
        <v>2010</v>
      </c>
      <c r="D161" s="99">
        <v>44</v>
      </c>
      <c r="E161" s="99">
        <v>636</v>
      </c>
      <c r="F161" s="99">
        <v>115</v>
      </c>
      <c r="G161" s="99">
        <v>544</v>
      </c>
      <c r="H161" s="99">
        <v>58</v>
      </c>
      <c r="I161" s="99">
        <v>17</v>
      </c>
      <c r="J161" s="112" t="s">
        <v>6953</v>
      </c>
      <c r="K161" s="112" t="s">
        <v>6953</v>
      </c>
      <c r="L161" s="99">
        <v>72</v>
      </c>
      <c r="M161" s="99">
        <v>49</v>
      </c>
      <c r="N161" s="99">
        <v>23</v>
      </c>
      <c r="O161" s="110"/>
      <c r="P161" s="110"/>
      <c r="Q161" s="110"/>
    </row>
    <row r="162" spans="1:17" ht="17.5" customHeight="1">
      <c r="A162" s="109" t="s">
        <v>6972</v>
      </c>
      <c r="B162" s="109" t="s">
        <v>6973</v>
      </c>
      <c r="C162" s="98">
        <v>2011</v>
      </c>
      <c r="D162" s="99">
        <v>47</v>
      </c>
      <c r="E162" s="99">
        <v>1110</v>
      </c>
      <c r="F162" s="99">
        <v>172</v>
      </c>
      <c r="G162" s="99">
        <v>995</v>
      </c>
      <c r="H162" s="99">
        <v>99</v>
      </c>
      <c r="I162" s="99">
        <v>55</v>
      </c>
      <c r="J162" s="99">
        <v>55</v>
      </c>
      <c r="K162" s="99" t="s">
        <v>6952</v>
      </c>
      <c r="L162" s="99">
        <v>181</v>
      </c>
      <c r="M162" s="99">
        <v>125</v>
      </c>
      <c r="N162" s="99">
        <v>57</v>
      </c>
      <c r="O162" s="110"/>
      <c r="P162" s="110"/>
      <c r="Q162" s="110"/>
    </row>
    <row r="163" spans="1:17" ht="17.5" customHeight="1">
      <c r="A163" s="109" t="s">
        <v>6972</v>
      </c>
      <c r="B163" s="109" t="s">
        <v>6973</v>
      </c>
      <c r="C163" s="111">
        <v>2012</v>
      </c>
      <c r="D163" s="112">
        <v>53</v>
      </c>
      <c r="E163" s="112">
        <v>1036</v>
      </c>
      <c r="F163" s="112">
        <v>93</v>
      </c>
      <c r="G163" s="112">
        <v>914</v>
      </c>
      <c r="H163" s="112">
        <v>72</v>
      </c>
      <c r="I163" s="112">
        <v>52</v>
      </c>
      <c r="J163" s="112">
        <v>58</v>
      </c>
      <c r="K163" s="112">
        <v>6</v>
      </c>
      <c r="L163" s="112">
        <v>106</v>
      </c>
      <c r="M163" s="112">
        <v>136</v>
      </c>
      <c r="N163" s="112">
        <v>-30</v>
      </c>
    </row>
    <row r="164" spans="1:17" ht="17.5" customHeight="1">
      <c r="A164" s="109" t="s">
        <v>6972</v>
      </c>
      <c r="B164" s="109" t="s">
        <v>6973</v>
      </c>
      <c r="C164" s="113">
        <v>2013</v>
      </c>
      <c r="D164" s="112" t="s">
        <v>6953</v>
      </c>
      <c r="E164" s="112" t="s">
        <v>6953</v>
      </c>
      <c r="F164" s="112" t="s">
        <v>6953</v>
      </c>
      <c r="G164" s="112" t="s">
        <v>6953</v>
      </c>
      <c r="H164" s="112" t="s">
        <v>6953</v>
      </c>
      <c r="I164" s="112" t="s">
        <v>6953</v>
      </c>
      <c r="J164" s="112" t="s">
        <v>6953</v>
      </c>
      <c r="K164" s="112" t="s">
        <v>6953</v>
      </c>
      <c r="L164" s="112" t="s">
        <v>6953</v>
      </c>
      <c r="M164" s="112" t="s">
        <v>6953</v>
      </c>
      <c r="N164" s="112" t="s">
        <v>6953</v>
      </c>
      <c r="O164" s="110"/>
      <c r="P164" s="110"/>
      <c r="Q164" s="110"/>
    </row>
    <row r="165" spans="1:17" ht="17.5" customHeight="1">
      <c r="A165" s="109" t="s">
        <v>6972</v>
      </c>
      <c r="B165" s="109" t="s">
        <v>6973</v>
      </c>
      <c r="C165" s="113">
        <v>2014</v>
      </c>
      <c r="D165" s="112" t="s">
        <v>6953</v>
      </c>
      <c r="E165" s="112" t="s">
        <v>6953</v>
      </c>
      <c r="F165" s="112" t="s">
        <v>6953</v>
      </c>
      <c r="G165" s="112" t="s">
        <v>6953</v>
      </c>
      <c r="H165" s="112" t="s">
        <v>6953</v>
      </c>
      <c r="I165" s="112" t="s">
        <v>6953</v>
      </c>
      <c r="J165" s="112" t="s">
        <v>6953</v>
      </c>
      <c r="K165" s="112" t="s">
        <v>6953</v>
      </c>
      <c r="L165" s="112" t="s">
        <v>6953</v>
      </c>
      <c r="M165" s="112" t="s">
        <v>6953</v>
      </c>
      <c r="N165" s="112" t="s">
        <v>6953</v>
      </c>
    </row>
    <row r="166" spans="1:17" ht="17.5" customHeight="1">
      <c r="A166" s="109" t="s">
        <v>6972</v>
      </c>
      <c r="B166" s="109" t="s">
        <v>6973</v>
      </c>
      <c r="C166" s="113">
        <v>2015</v>
      </c>
      <c r="D166" s="112">
        <v>56</v>
      </c>
      <c r="E166" s="112" t="s">
        <v>6953</v>
      </c>
      <c r="F166" s="112">
        <v>143</v>
      </c>
      <c r="G166" s="112" t="s">
        <v>6953</v>
      </c>
      <c r="H166" s="112">
        <v>65</v>
      </c>
      <c r="I166" s="112">
        <v>21</v>
      </c>
      <c r="J166" s="112">
        <v>21</v>
      </c>
      <c r="K166" s="112" t="s">
        <v>6952</v>
      </c>
      <c r="L166" s="112" t="s">
        <v>6953</v>
      </c>
      <c r="M166" s="112" t="s">
        <v>6953</v>
      </c>
      <c r="N166" s="112" t="s">
        <v>6953</v>
      </c>
    </row>
    <row r="167" spans="1:17" ht="17.5" customHeight="1">
      <c r="A167" s="109" t="s">
        <v>6972</v>
      </c>
      <c r="B167" s="109" t="s">
        <v>6973</v>
      </c>
      <c r="C167" s="113">
        <v>2016</v>
      </c>
      <c r="D167" s="112" t="s">
        <v>6953</v>
      </c>
      <c r="E167" s="112" t="s">
        <v>6953</v>
      </c>
      <c r="F167" s="112" t="s">
        <v>6953</v>
      </c>
      <c r="G167" s="112" t="s">
        <v>6953</v>
      </c>
      <c r="H167" s="112" t="s">
        <v>6953</v>
      </c>
      <c r="I167" s="112" t="s">
        <v>6953</v>
      </c>
      <c r="J167" s="112" t="s">
        <v>6953</v>
      </c>
      <c r="K167" s="112" t="s">
        <v>6953</v>
      </c>
      <c r="L167" s="112" t="s">
        <v>6953</v>
      </c>
      <c r="M167" s="112" t="s">
        <v>6953</v>
      </c>
      <c r="N167" s="112" t="s">
        <v>6953</v>
      </c>
      <c r="O167" s="110"/>
      <c r="P167" s="110"/>
      <c r="Q167" s="110"/>
    </row>
    <row r="168" spans="1:17" ht="17.5" customHeight="1">
      <c r="A168" s="109" t="s">
        <v>6972</v>
      </c>
      <c r="B168" s="109" t="s">
        <v>6973</v>
      </c>
      <c r="C168" s="113">
        <v>2017</v>
      </c>
      <c r="D168" s="112">
        <v>60</v>
      </c>
      <c r="E168" s="112">
        <v>730</v>
      </c>
      <c r="F168" s="112">
        <v>155</v>
      </c>
      <c r="G168" s="112">
        <v>571</v>
      </c>
      <c r="H168" s="112">
        <v>74</v>
      </c>
      <c r="I168" s="112">
        <v>21</v>
      </c>
      <c r="J168" s="112" t="s">
        <v>6953</v>
      </c>
      <c r="K168" s="112" t="s">
        <v>6953</v>
      </c>
      <c r="L168" s="112">
        <v>92</v>
      </c>
      <c r="M168" s="112">
        <v>89</v>
      </c>
      <c r="N168" s="112">
        <v>3</v>
      </c>
      <c r="O168" s="110"/>
      <c r="P168" s="110"/>
      <c r="Q168" s="110"/>
    </row>
    <row r="169" spans="1:17" ht="17.5" customHeight="1">
      <c r="A169" s="109" t="s">
        <v>6972</v>
      </c>
      <c r="B169" s="109" t="s">
        <v>6973</v>
      </c>
      <c r="C169" s="113">
        <v>2018</v>
      </c>
      <c r="D169" s="112" t="s">
        <v>6953</v>
      </c>
      <c r="E169" s="112" t="s">
        <v>6953</v>
      </c>
      <c r="F169" s="112" t="s">
        <v>6953</v>
      </c>
      <c r="G169" s="112" t="s">
        <v>6953</v>
      </c>
      <c r="H169" s="112" t="s">
        <v>6953</v>
      </c>
      <c r="I169" s="112" t="s">
        <v>6953</v>
      </c>
      <c r="J169" s="112" t="s">
        <v>6953</v>
      </c>
      <c r="K169" s="112" t="s">
        <v>6953</v>
      </c>
      <c r="L169" s="112" t="s">
        <v>6953</v>
      </c>
      <c r="M169" s="112" t="s">
        <v>6953</v>
      </c>
      <c r="N169" s="112" t="s">
        <v>6953</v>
      </c>
      <c r="O169" s="110"/>
      <c r="P169" s="110"/>
      <c r="Q169" s="110"/>
    </row>
    <row r="170" spans="1:17" ht="17.5" customHeight="1">
      <c r="A170" s="109" t="s">
        <v>6972</v>
      </c>
      <c r="B170" s="109" t="s">
        <v>6973</v>
      </c>
      <c r="C170" s="113">
        <v>2019</v>
      </c>
      <c r="D170" s="112" t="s">
        <v>6953</v>
      </c>
      <c r="E170" s="112" t="s">
        <v>6953</v>
      </c>
      <c r="F170" s="112" t="s">
        <v>6953</v>
      </c>
      <c r="G170" s="112" t="s">
        <v>6953</v>
      </c>
      <c r="H170" s="112" t="s">
        <v>6953</v>
      </c>
      <c r="I170" s="112" t="s">
        <v>6953</v>
      </c>
      <c r="J170" s="112" t="s">
        <v>6953</v>
      </c>
      <c r="K170" s="112" t="s">
        <v>6953</v>
      </c>
      <c r="L170" s="112" t="s">
        <v>6953</v>
      </c>
      <c r="M170" s="112" t="s">
        <v>6953</v>
      </c>
      <c r="N170" s="112" t="s">
        <v>6953</v>
      </c>
    </row>
    <row r="171" spans="1:17" ht="17.5" customHeight="1">
      <c r="A171" s="114" t="s">
        <v>6972</v>
      </c>
      <c r="B171" s="114" t="s">
        <v>6973</v>
      </c>
      <c r="C171" s="113">
        <v>2020</v>
      </c>
      <c r="D171" s="112" t="s">
        <v>6953</v>
      </c>
      <c r="E171" s="112" t="s">
        <v>6953</v>
      </c>
      <c r="F171" s="112" t="s">
        <v>6953</v>
      </c>
      <c r="G171" s="112" t="s">
        <v>6953</v>
      </c>
      <c r="H171" s="112" t="s">
        <v>6953</v>
      </c>
      <c r="I171" s="112" t="s">
        <v>6953</v>
      </c>
      <c r="J171" s="112" t="s">
        <v>6953</v>
      </c>
      <c r="K171" s="112" t="s">
        <v>6953</v>
      </c>
      <c r="L171" s="112" t="s">
        <v>6953</v>
      </c>
      <c r="M171" s="112" t="s">
        <v>6953</v>
      </c>
      <c r="N171" s="112" t="s">
        <v>6953</v>
      </c>
      <c r="O171" s="110"/>
      <c r="P171" s="110"/>
      <c r="Q171" s="110"/>
    </row>
    <row r="172" spans="1:17" ht="17.5" customHeight="1">
      <c r="A172" s="109" t="s">
        <v>6974</v>
      </c>
      <c r="B172" s="109" t="s">
        <v>6975</v>
      </c>
      <c r="C172" s="98">
        <v>2008</v>
      </c>
      <c r="D172" s="99">
        <v>0</v>
      </c>
      <c r="E172" s="99">
        <v>0</v>
      </c>
      <c r="F172" s="99">
        <v>0</v>
      </c>
      <c r="G172" s="99">
        <v>0</v>
      </c>
      <c r="H172" s="99">
        <v>0</v>
      </c>
      <c r="I172" s="99">
        <v>0</v>
      </c>
      <c r="J172" s="99">
        <v>0</v>
      </c>
      <c r="K172" s="99">
        <v>0</v>
      </c>
      <c r="L172" s="99">
        <v>0</v>
      </c>
      <c r="M172" s="99">
        <v>0</v>
      </c>
      <c r="N172" s="99">
        <v>0</v>
      </c>
      <c r="O172" s="110"/>
      <c r="P172" s="110"/>
      <c r="Q172" s="110"/>
    </row>
    <row r="173" spans="1:17" ht="17.5" customHeight="1">
      <c r="A173" s="109" t="s">
        <v>6974</v>
      </c>
      <c r="B173" s="109" t="s">
        <v>6975</v>
      </c>
      <c r="C173" s="98">
        <v>2009</v>
      </c>
      <c r="D173" s="99">
        <v>0</v>
      </c>
      <c r="E173" s="99">
        <v>0</v>
      </c>
      <c r="F173" s="99">
        <v>0</v>
      </c>
      <c r="G173" s="99">
        <v>0</v>
      </c>
      <c r="H173" s="99">
        <v>0</v>
      </c>
      <c r="I173" s="99">
        <v>0</v>
      </c>
      <c r="J173" s="99">
        <v>0</v>
      </c>
      <c r="K173" s="99">
        <v>0</v>
      </c>
      <c r="L173" s="99">
        <v>0</v>
      </c>
      <c r="M173" s="99">
        <v>0</v>
      </c>
      <c r="N173" s="99">
        <v>0</v>
      </c>
      <c r="O173" s="110"/>
      <c r="P173" s="110"/>
      <c r="Q173" s="110"/>
    </row>
    <row r="174" spans="1:17" ht="17.5" customHeight="1">
      <c r="A174" s="109" t="s">
        <v>6974</v>
      </c>
      <c r="B174" s="109" t="s">
        <v>6975</v>
      </c>
      <c r="C174" s="98">
        <v>2010</v>
      </c>
      <c r="D174" s="99">
        <v>0</v>
      </c>
      <c r="E174" s="99">
        <v>0</v>
      </c>
      <c r="F174" s="99">
        <v>0</v>
      </c>
      <c r="G174" s="99">
        <v>0</v>
      </c>
      <c r="H174" s="99">
        <v>0</v>
      </c>
      <c r="I174" s="99">
        <v>0</v>
      </c>
      <c r="J174" s="99">
        <v>0</v>
      </c>
      <c r="K174" s="99">
        <v>0</v>
      </c>
      <c r="L174" s="99">
        <v>0</v>
      </c>
      <c r="M174" s="99">
        <v>0</v>
      </c>
      <c r="N174" s="99">
        <v>0</v>
      </c>
      <c r="O174" s="110"/>
      <c r="P174" s="110"/>
      <c r="Q174" s="110"/>
    </row>
    <row r="175" spans="1:17" ht="17.5" customHeight="1">
      <c r="A175" s="109" t="s">
        <v>6974</v>
      </c>
      <c r="B175" s="109" t="s">
        <v>6975</v>
      </c>
      <c r="C175" s="98">
        <v>2011</v>
      </c>
      <c r="D175" s="99">
        <v>0</v>
      </c>
      <c r="E175" s="99">
        <v>0</v>
      </c>
      <c r="F175" s="99">
        <v>0</v>
      </c>
      <c r="G175" s="99">
        <v>0</v>
      </c>
      <c r="H175" s="99">
        <v>0</v>
      </c>
      <c r="I175" s="99">
        <v>0</v>
      </c>
      <c r="J175" s="99">
        <v>0</v>
      </c>
      <c r="K175" s="99">
        <v>0</v>
      </c>
      <c r="L175" s="99">
        <v>0</v>
      </c>
      <c r="M175" s="99">
        <v>0</v>
      </c>
      <c r="N175" s="99">
        <v>0</v>
      </c>
    </row>
    <row r="176" spans="1:17" ht="17.5" customHeight="1">
      <c r="A176" s="109" t="s">
        <v>6974</v>
      </c>
      <c r="B176" s="109" t="s">
        <v>6975</v>
      </c>
      <c r="C176" s="111">
        <v>2012</v>
      </c>
      <c r="D176" s="99">
        <v>0</v>
      </c>
      <c r="E176" s="99">
        <v>0</v>
      </c>
      <c r="F176" s="99">
        <v>0</v>
      </c>
      <c r="G176" s="99">
        <v>0</v>
      </c>
      <c r="H176" s="99">
        <v>0</v>
      </c>
      <c r="I176" s="99">
        <v>0</v>
      </c>
      <c r="J176" s="99">
        <v>0</v>
      </c>
      <c r="K176" s="99">
        <v>0</v>
      </c>
      <c r="L176" s="99">
        <v>0</v>
      </c>
      <c r="M176" s="99">
        <v>0</v>
      </c>
      <c r="N176" s="99">
        <v>0</v>
      </c>
      <c r="O176" s="110"/>
      <c r="P176" s="110"/>
      <c r="Q176" s="110"/>
    </row>
    <row r="177" spans="1:17" ht="17.5" customHeight="1">
      <c r="A177" s="109" t="s">
        <v>6974</v>
      </c>
      <c r="B177" s="109" t="s">
        <v>6975</v>
      </c>
      <c r="C177" s="113">
        <v>2013</v>
      </c>
      <c r="D177" s="112" t="s">
        <v>6953</v>
      </c>
      <c r="E177" s="112" t="s">
        <v>6953</v>
      </c>
      <c r="F177" s="112" t="s">
        <v>6953</v>
      </c>
      <c r="G177" s="112" t="s">
        <v>6953</v>
      </c>
      <c r="H177" s="112" t="s">
        <v>6953</v>
      </c>
      <c r="I177" s="112" t="s">
        <v>6953</v>
      </c>
      <c r="J177" s="112" t="s">
        <v>6953</v>
      </c>
      <c r="K177" s="112" t="s">
        <v>6953</v>
      </c>
      <c r="L177" s="112" t="s">
        <v>6953</v>
      </c>
      <c r="M177" s="112" t="s">
        <v>6953</v>
      </c>
      <c r="N177" s="112" t="s">
        <v>6953</v>
      </c>
    </row>
    <row r="178" spans="1:17" ht="17.5" customHeight="1">
      <c r="A178" s="109" t="s">
        <v>6974</v>
      </c>
      <c r="B178" s="109" t="s">
        <v>6975</v>
      </c>
      <c r="C178" s="113">
        <v>2014</v>
      </c>
      <c r="D178" s="112" t="s">
        <v>6953</v>
      </c>
      <c r="E178" s="112" t="s">
        <v>6953</v>
      </c>
      <c r="F178" s="112" t="s">
        <v>6953</v>
      </c>
      <c r="G178" s="112" t="s">
        <v>6953</v>
      </c>
      <c r="H178" s="112" t="s">
        <v>6953</v>
      </c>
      <c r="I178" s="112" t="s">
        <v>6953</v>
      </c>
      <c r="J178" s="112" t="s">
        <v>6953</v>
      </c>
      <c r="K178" s="112" t="s">
        <v>6953</v>
      </c>
      <c r="L178" s="112" t="s">
        <v>6953</v>
      </c>
      <c r="M178" s="112" t="s">
        <v>6953</v>
      </c>
      <c r="N178" s="112" t="s">
        <v>6953</v>
      </c>
    </row>
    <row r="179" spans="1:17" ht="17.5" customHeight="1">
      <c r="A179" s="109" t="s">
        <v>6974</v>
      </c>
      <c r="B179" s="109" t="s">
        <v>6975</v>
      </c>
      <c r="C179" s="113">
        <v>2015</v>
      </c>
      <c r="D179" s="112">
        <v>6</v>
      </c>
      <c r="E179" s="112" t="s">
        <v>6953</v>
      </c>
      <c r="F179" s="112">
        <v>46</v>
      </c>
      <c r="G179" s="112" t="s">
        <v>6953</v>
      </c>
      <c r="H179" s="112">
        <v>13</v>
      </c>
      <c r="I179" s="112" t="s">
        <v>6953</v>
      </c>
      <c r="J179" s="112" t="s">
        <v>6953</v>
      </c>
      <c r="K179" s="112" t="s">
        <v>6953</v>
      </c>
      <c r="L179" s="112" t="s">
        <v>6953</v>
      </c>
      <c r="M179" s="112" t="s">
        <v>6953</v>
      </c>
      <c r="N179" s="112" t="s">
        <v>6953</v>
      </c>
      <c r="O179" s="110"/>
      <c r="P179" s="110"/>
      <c r="Q179" s="110"/>
    </row>
    <row r="180" spans="1:17" ht="17.5" customHeight="1">
      <c r="A180" s="109" t="s">
        <v>6974</v>
      </c>
      <c r="B180" s="109" t="s">
        <v>6975</v>
      </c>
      <c r="C180" s="113">
        <v>2016</v>
      </c>
      <c r="D180" s="112" t="s">
        <v>6953</v>
      </c>
      <c r="E180" s="112" t="s">
        <v>6953</v>
      </c>
      <c r="F180" s="112" t="s">
        <v>6953</v>
      </c>
      <c r="G180" s="112" t="s">
        <v>6953</v>
      </c>
      <c r="H180" s="112" t="s">
        <v>6953</v>
      </c>
      <c r="I180" s="112" t="s">
        <v>6953</v>
      </c>
      <c r="J180" s="112" t="s">
        <v>6953</v>
      </c>
      <c r="K180" s="112" t="s">
        <v>6953</v>
      </c>
      <c r="L180" s="112" t="s">
        <v>6953</v>
      </c>
      <c r="M180" s="112" t="s">
        <v>6953</v>
      </c>
      <c r="N180" s="112" t="s">
        <v>6953</v>
      </c>
      <c r="O180" s="110"/>
      <c r="P180" s="110"/>
      <c r="Q180" s="110"/>
    </row>
    <row r="181" spans="1:17" ht="17.5" customHeight="1">
      <c r="A181" s="109" t="s">
        <v>6974</v>
      </c>
      <c r="B181" s="109" t="s">
        <v>6975</v>
      </c>
      <c r="C181" s="113">
        <v>2017</v>
      </c>
      <c r="D181" s="112">
        <v>7</v>
      </c>
      <c r="E181" s="112">
        <v>520</v>
      </c>
      <c r="F181" s="112">
        <v>81</v>
      </c>
      <c r="G181" s="112">
        <v>438</v>
      </c>
      <c r="H181" s="112">
        <v>24</v>
      </c>
      <c r="I181" s="112">
        <v>4</v>
      </c>
      <c r="J181" s="112" t="s">
        <v>6953</v>
      </c>
      <c r="K181" s="112" t="s">
        <v>6953</v>
      </c>
      <c r="L181" s="112">
        <v>16</v>
      </c>
      <c r="M181" s="112">
        <v>17</v>
      </c>
      <c r="N181" s="112">
        <v>-1</v>
      </c>
      <c r="O181" s="110"/>
      <c r="P181" s="110"/>
      <c r="Q181" s="110"/>
    </row>
    <row r="182" spans="1:17" ht="17.5" customHeight="1">
      <c r="A182" s="109" t="s">
        <v>6974</v>
      </c>
      <c r="B182" s="109" t="s">
        <v>6975</v>
      </c>
      <c r="C182" s="113">
        <v>2018</v>
      </c>
      <c r="D182" s="112" t="s">
        <v>6953</v>
      </c>
      <c r="E182" s="112" t="s">
        <v>6953</v>
      </c>
      <c r="F182" s="112" t="s">
        <v>6953</v>
      </c>
      <c r="G182" s="112" t="s">
        <v>6953</v>
      </c>
      <c r="H182" s="112" t="s">
        <v>6953</v>
      </c>
      <c r="I182" s="112" t="s">
        <v>6953</v>
      </c>
      <c r="J182" s="112" t="s">
        <v>6953</v>
      </c>
      <c r="K182" s="112" t="s">
        <v>6953</v>
      </c>
      <c r="L182" s="112" t="s">
        <v>6953</v>
      </c>
      <c r="M182" s="112" t="s">
        <v>6953</v>
      </c>
      <c r="N182" s="112" t="s">
        <v>6953</v>
      </c>
    </row>
    <row r="183" spans="1:17" ht="17.5" customHeight="1">
      <c r="A183" s="109" t="s">
        <v>6974</v>
      </c>
      <c r="B183" s="109" t="s">
        <v>6975</v>
      </c>
      <c r="C183" s="113">
        <v>2019</v>
      </c>
      <c r="D183" s="112" t="s">
        <v>6953</v>
      </c>
      <c r="E183" s="112" t="s">
        <v>6953</v>
      </c>
      <c r="F183" s="112" t="s">
        <v>6953</v>
      </c>
      <c r="G183" s="112" t="s">
        <v>6953</v>
      </c>
      <c r="H183" s="112" t="s">
        <v>6953</v>
      </c>
      <c r="I183" s="112" t="s">
        <v>6953</v>
      </c>
      <c r="J183" s="112" t="s">
        <v>6953</v>
      </c>
      <c r="K183" s="112" t="s">
        <v>6953</v>
      </c>
      <c r="L183" s="112" t="s">
        <v>6953</v>
      </c>
      <c r="M183" s="112" t="s">
        <v>6953</v>
      </c>
      <c r="N183" s="112" t="s">
        <v>6953</v>
      </c>
      <c r="O183" s="110"/>
      <c r="P183" s="110"/>
      <c r="Q183" s="110"/>
    </row>
    <row r="184" spans="1:17" ht="17.5" customHeight="1">
      <c r="A184" s="114" t="s">
        <v>6974</v>
      </c>
      <c r="B184" s="114" t="s">
        <v>6975</v>
      </c>
      <c r="C184" s="113">
        <v>2020</v>
      </c>
      <c r="D184" s="112" t="s">
        <v>6953</v>
      </c>
      <c r="E184" s="112" t="s">
        <v>6953</v>
      </c>
      <c r="F184" s="112" t="s">
        <v>6953</v>
      </c>
      <c r="G184" s="112" t="s">
        <v>6953</v>
      </c>
      <c r="H184" s="112" t="s">
        <v>6953</v>
      </c>
      <c r="I184" s="112" t="s">
        <v>6953</v>
      </c>
      <c r="J184" s="112" t="s">
        <v>6953</v>
      </c>
      <c r="K184" s="112" t="s">
        <v>6953</v>
      </c>
      <c r="L184" s="112" t="s">
        <v>6953</v>
      </c>
      <c r="M184" s="112" t="s">
        <v>6953</v>
      </c>
      <c r="N184" s="112" t="s">
        <v>6953</v>
      </c>
      <c r="O184" s="110"/>
      <c r="P184" s="110"/>
      <c r="Q184" s="110"/>
    </row>
    <row r="185" spans="1:17" ht="17.5" customHeight="1">
      <c r="A185" s="109" t="s">
        <v>6976</v>
      </c>
      <c r="B185" s="109" t="s">
        <v>6977</v>
      </c>
      <c r="C185" s="98">
        <v>2008</v>
      </c>
      <c r="D185" s="99">
        <v>542</v>
      </c>
      <c r="E185" s="99">
        <v>7862</v>
      </c>
      <c r="F185" s="99">
        <v>1444</v>
      </c>
      <c r="G185" s="99">
        <v>6493</v>
      </c>
      <c r="H185" s="99">
        <v>739</v>
      </c>
      <c r="I185" s="99">
        <v>208</v>
      </c>
      <c r="J185" s="99">
        <v>229</v>
      </c>
      <c r="K185" s="99">
        <v>21</v>
      </c>
      <c r="L185" s="99">
        <v>709</v>
      </c>
      <c r="M185" s="99">
        <v>635</v>
      </c>
      <c r="N185" s="99">
        <v>74</v>
      </c>
      <c r="O185" s="110"/>
      <c r="P185" s="110"/>
      <c r="Q185" s="110"/>
    </row>
    <row r="186" spans="1:17" ht="17.5" customHeight="1">
      <c r="A186" s="109" t="s">
        <v>6976</v>
      </c>
      <c r="B186" s="109" t="s">
        <v>6977</v>
      </c>
      <c r="C186" s="98">
        <v>2009</v>
      </c>
      <c r="D186" s="99">
        <v>541</v>
      </c>
      <c r="E186" s="99">
        <v>7576</v>
      </c>
      <c r="F186" s="99">
        <v>1351</v>
      </c>
      <c r="G186" s="99">
        <v>6223</v>
      </c>
      <c r="H186" s="99">
        <v>722</v>
      </c>
      <c r="I186" s="99">
        <v>236</v>
      </c>
      <c r="J186" s="99">
        <v>251</v>
      </c>
      <c r="K186" s="99">
        <v>14</v>
      </c>
      <c r="L186" s="99">
        <v>707</v>
      </c>
      <c r="M186" s="99">
        <v>717</v>
      </c>
      <c r="N186" s="99">
        <v>-10</v>
      </c>
      <c r="O186" s="110"/>
      <c r="P186" s="110"/>
      <c r="Q186" s="110"/>
    </row>
    <row r="187" spans="1:17" ht="17.5" customHeight="1">
      <c r="A187" s="109" t="s">
        <v>6976</v>
      </c>
      <c r="B187" s="109" t="s">
        <v>6977</v>
      </c>
      <c r="C187" s="98">
        <v>2010</v>
      </c>
      <c r="D187" s="99">
        <v>542</v>
      </c>
      <c r="E187" s="99">
        <v>8462</v>
      </c>
      <c r="F187" s="99">
        <v>1295</v>
      </c>
      <c r="G187" s="99">
        <v>7153</v>
      </c>
      <c r="H187" s="99">
        <v>681</v>
      </c>
      <c r="I187" s="99">
        <v>430</v>
      </c>
      <c r="J187" s="99">
        <v>443</v>
      </c>
      <c r="K187" s="99">
        <v>13</v>
      </c>
      <c r="L187" s="99">
        <v>599</v>
      </c>
      <c r="M187" s="99">
        <v>610</v>
      </c>
      <c r="N187" s="99">
        <v>-11</v>
      </c>
    </row>
    <row r="188" spans="1:17" ht="17.5" customHeight="1">
      <c r="A188" s="109" t="s">
        <v>6976</v>
      </c>
      <c r="B188" s="109" t="s">
        <v>6977</v>
      </c>
      <c r="C188" s="98">
        <v>2011</v>
      </c>
      <c r="D188" s="99">
        <v>573</v>
      </c>
      <c r="E188" s="99">
        <v>8689</v>
      </c>
      <c r="F188" s="99">
        <v>1394</v>
      </c>
      <c r="G188" s="99">
        <v>7357</v>
      </c>
      <c r="H188" s="99">
        <v>720</v>
      </c>
      <c r="I188" s="99">
        <v>217</v>
      </c>
      <c r="J188" s="99">
        <v>229</v>
      </c>
      <c r="K188" s="99">
        <v>12</v>
      </c>
      <c r="L188" s="99">
        <v>731</v>
      </c>
      <c r="M188" s="99">
        <v>673</v>
      </c>
      <c r="N188" s="99">
        <v>58</v>
      </c>
      <c r="O188" s="110"/>
      <c r="P188" s="110"/>
      <c r="Q188" s="110"/>
    </row>
    <row r="189" spans="1:17" ht="17.5" customHeight="1">
      <c r="A189" s="109" t="s">
        <v>6976</v>
      </c>
      <c r="B189" s="109" t="s">
        <v>6977</v>
      </c>
      <c r="C189" s="111">
        <v>2012</v>
      </c>
      <c r="D189" s="112">
        <v>587</v>
      </c>
      <c r="E189" s="112">
        <v>8714</v>
      </c>
      <c r="F189" s="112">
        <v>1346</v>
      </c>
      <c r="G189" s="112">
        <v>7421</v>
      </c>
      <c r="H189" s="112">
        <v>740</v>
      </c>
      <c r="I189" s="112">
        <v>311</v>
      </c>
      <c r="J189" s="112">
        <v>339</v>
      </c>
      <c r="K189" s="112">
        <v>28</v>
      </c>
      <c r="L189" s="112">
        <v>876</v>
      </c>
      <c r="M189" s="112">
        <v>826</v>
      </c>
      <c r="N189" s="112">
        <v>50</v>
      </c>
    </row>
    <row r="190" spans="1:17" ht="17.5" customHeight="1">
      <c r="A190" s="109" t="s">
        <v>6976</v>
      </c>
      <c r="B190" s="109" t="s">
        <v>6977</v>
      </c>
      <c r="C190" s="113">
        <v>2013</v>
      </c>
      <c r="D190" s="112">
        <v>586</v>
      </c>
      <c r="E190" s="112">
        <v>10015</v>
      </c>
      <c r="F190" s="112">
        <v>1905</v>
      </c>
      <c r="G190" s="112">
        <v>8128</v>
      </c>
      <c r="H190" s="112">
        <v>709</v>
      </c>
      <c r="I190" s="112">
        <v>310</v>
      </c>
      <c r="J190" s="112">
        <v>332</v>
      </c>
      <c r="K190" s="112">
        <v>22</v>
      </c>
      <c r="L190" s="112">
        <v>894</v>
      </c>
      <c r="M190" s="112">
        <v>892</v>
      </c>
      <c r="N190" s="112">
        <v>2</v>
      </c>
    </row>
    <row r="191" spans="1:17" ht="17.5" customHeight="1">
      <c r="A191" s="109" t="s">
        <v>6976</v>
      </c>
      <c r="B191" s="109" t="s">
        <v>6977</v>
      </c>
      <c r="C191" s="113">
        <v>2014</v>
      </c>
      <c r="D191" s="99">
        <v>608</v>
      </c>
      <c r="E191" s="99">
        <v>10171</v>
      </c>
      <c r="F191" s="99">
        <v>2284</v>
      </c>
      <c r="G191" s="99">
        <v>7941</v>
      </c>
      <c r="H191" s="99">
        <v>733</v>
      </c>
      <c r="I191" s="99">
        <v>281</v>
      </c>
      <c r="J191" s="99">
        <v>289</v>
      </c>
      <c r="K191" s="99">
        <v>8</v>
      </c>
      <c r="L191" s="99">
        <v>1002</v>
      </c>
      <c r="M191" s="99">
        <v>969</v>
      </c>
      <c r="N191" s="99">
        <v>33</v>
      </c>
      <c r="O191" s="110"/>
      <c r="P191" s="110"/>
      <c r="Q191" s="110"/>
    </row>
    <row r="192" spans="1:17" ht="17.5" customHeight="1">
      <c r="A192" s="109" t="s">
        <v>6976</v>
      </c>
      <c r="B192" s="109" t="s">
        <v>6977</v>
      </c>
      <c r="C192" s="113">
        <v>2015</v>
      </c>
      <c r="D192" s="112">
        <v>632</v>
      </c>
      <c r="E192" s="112">
        <v>8936</v>
      </c>
      <c r="F192" s="112">
        <v>2090</v>
      </c>
      <c r="G192" s="112">
        <v>6868</v>
      </c>
      <c r="H192" s="112">
        <v>680</v>
      </c>
      <c r="I192" s="112">
        <v>234</v>
      </c>
      <c r="J192" s="112">
        <v>243</v>
      </c>
      <c r="K192" s="112">
        <v>8</v>
      </c>
      <c r="L192" s="112">
        <v>724</v>
      </c>
      <c r="M192" s="112">
        <v>706</v>
      </c>
      <c r="N192" s="112">
        <v>18</v>
      </c>
      <c r="O192" s="110"/>
      <c r="P192" s="110"/>
      <c r="Q192" s="110"/>
    </row>
    <row r="193" spans="1:17" ht="17.5" customHeight="1">
      <c r="A193" s="109" t="s">
        <v>6976</v>
      </c>
      <c r="B193" s="109" t="s">
        <v>6977</v>
      </c>
      <c r="C193" s="113">
        <v>2016</v>
      </c>
      <c r="D193" s="112">
        <v>675</v>
      </c>
      <c r="E193" s="112">
        <v>8785</v>
      </c>
      <c r="F193" s="112">
        <v>1737</v>
      </c>
      <c r="G193" s="112">
        <v>7161</v>
      </c>
      <c r="H193" s="112">
        <v>922</v>
      </c>
      <c r="I193" s="112">
        <v>223</v>
      </c>
      <c r="J193" s="112">
        <v>237</v>
      </c>
      <c r="K193" s="112">
        <v>14</v>
      </c>
      <c r="L193" s="112">
        <v>899</v>
      </c>
      <c r="M193" s="112">
        <v>816</v>
      </c>
      <c r="N193" s="112">
        <v>83</v>
      </c>
      <c r="O193" s="110"/>
      <c r="P193" s="110"/>
      <c r="Q193" s="110"/>
    </row>
    <row r="194" spans="1:17" ht="17.5" customHeight="1">
      <c r="A194" s="109" t="s">
        <v>6976</v>
      </c>
      <c r="B194" s="109" t="s">
        <v>6977</v>
      </c>
      <c r="C194" s="113">
        <v>2017</v>
      </c>
      <c r="D194" s="112">
        <v>698</v>
      </c>
      <c r="E194" s="112">
        <v>9670</v>
      </c>
      <c r="F194" s="112">
        <v>1924</v>
      </c>
      <c r="G194" s="112">
        <v>7864</v>
      </c>
      <c r="H194" s="112">
        <v>871</v>
      </c>
      <c r="I194" s="112">
        <v>319</v>
      </c>
      <c r="J194" s="112">
        <v>356</v>
      </c>
      <c r="K194" s="112">
        <v>37</v>
      </c>
      <c r="L194" s="112">
        <v>966</v>
      </c>
      <c r="M194" s="112">
        <v>852</v>
      </c>
      <c r="N194" s="112">
        <v>114</v>
      </c>
    </row>
    <row r="195" spans="1:17" ht="17.5" customHeight="1">
      <c r="A195" s="109" t="s">
        <v>6976</v>
      </c>
      <c r="B195" s="109" t="s">
        <v>6977</v>
      </c>
      <c r="C195" s="113">
        <v>2018</v>
      </c>
      <c r="D195" s="112">
        <v>694</v>
      </c>
      <c r="E195" s="112">
        <v>10002</v>
      </c>
      <c r="F195" s="112">
        <v>2070</v>
      </c>
      <c r="G195" s="112">
        <v>7922</v>
      </c>
      <c r="H195" s="112">
        <v>871</v>
      </c>
      <c r="I195" s="112">
        <v>301</v>
      </c>
      <c r="J195" s="112">
        <v>323</v>
      </c>
      <c r="K195" s="112">
        <v>22</v>
      </c>
      <c r="L195" s="112">
        <v>988</v>
      </c>
      <c r="M195" s="112">
        <v>1006</v>
      </c>
      <c r="N195" s="112">
        <v>-17</v>
      </c>
      <c r="O195" s="110"/>
      <c r="P195" s="110"/>
      <c r="Q195" s="110"/>
    </row>
    <row r="196" spans="1:17" ht="17.5" customHeight="1">
      <c r="A196" s="109" t="s">
        <v>6976</v>
      </c>
      <c r="B196" s="109" t="s">
        <v>6977</v>
      </c>
      <c r="C196" s="113">
        <v>2019</v>
      </c>
      <c r="D196" s="112">
        <v>699</v>
      </c>
      <c r="E196" s="112">
        <v>10232.465466</v>
      </c>
      <c r="F196" s="112">
        <v>2116.3821630000002</v>
      </c>
      <c r="G196" s="112">
        <v>8110.20633</v>
      </c>
      <c r="H196" s="112">
        <v>937.926512</v>
      </c>
      <c r="I196" s="112">
        <v>277.96511299999997</v>
      </c>
      <c r="J196" s="112">
        <v>305.59117600000002</v>
      </c>
      <c r="K196" s="112">
        <v>27.626062999999998</v>
      </c>
      <c r="L196" s="112">
        <v>987.55198800000005</v>
      </c>
      <c r="M196" s="112">
        <v>1004.087365</v>
      </c>
      <c r="N196" s="112">
        <v>-16.535377</v>
      </c>
      <c r="O196" s="110"/>
      <c r="P196" s="110"/>
      <c r="Q196" s="110"/>
    </row>
    <row r="197" spans="1:17" ht="17.5" customHeight="1">
      <c r="A197" s="114" t="s">
        <v>6976</v>
      </c>
      <c r="B197" s="114" t="s">
        <v>6977</v>
      </c>
      <c r="C197" s="113">
        <v>2020</v>
      </c>
      <c r="D197" s="112">
        <v>703</v>
      </c>
      <c r="E197" s="112">
        <v>10040.799109</v>
      </c>
      <c r="F197" s="112">
        <v>2328.7444049999999</v>
      </c>
      <c r="G197" s="112">
        <v>7906.4107029999996</v>
      </c>
      <c r="H197" s="112">
        <v>879.78602000000001</v>
      </c>
      <c r="I197" s="112">
        <v>270.78245199999998</v>
      </c>
      <c r="J197" s="112">
        <v>297.097713</v>
      </c>
      <c r="K197" s="112">
        <v>26.315261</v>
      </c>
      <c r="L197" s="112">
        <v>1032.6820869999999</v>
      </c>
      <c r="M197" s="112">
        <v>958.19893200000001</v>
      </c>
      <c r="N197" s="112">
        <v>74.483154999999996</v>
      </c>
      <c r="O197" s="110"/>
      <c r="P197" s="110"/>
      <c r="Q197" s="110"/>
    </row>
    <row r="198" spans="1:17" ht="17.5" customHeight="1">
      <c r="A198" s="109" t="s">
        <v>6978</v>
      </c>
      <c r="B198" s="109" t="s">
        <v>6979</v>
      </c>
      <c r="C198" s="98">
        <v>2008</v>
      </c>
      <c r="D198" s="99">
        <v>302</v>
      </c>
      <c r="E198" s="99">
        <v>7559</v>
      </c>
      <c r="F198" s="99">
        <v>1296</v>
      </c>
      <c r="G198" s="99">
        <v>6337</v>
      </c>
      <c r="H198" s="99">
        <v>698</v>
      </c>
      <c r="I198" s="99">
        <v>175</v>
      </c>
      <c r="J198" s="99">
        <v>195</v>
      </c>
      <c r="K198" s="99">
        <v>20</v>
      </c>
      <c r="L198" s="99">
        <v>671</v>
      </c>
      <c r="M198" s="99">
        <v>599</v>
      </c>
      <c r="N198" s="99">
        <v>72</v>
      </c>
      <c r="O198" s="110"/>
      <c r="P198" s="110"/>
      <c r="Q198" s="110"/>
    </row>
    <row r="199" spans="1:17" ht="17.5" customHeight="1">
      <c r="A199" s="109" t="s">
        <v>6978</v>
      </c>
      <c r="B199" s="109" t="s">
        <v>6979</v>
      </c>
      <c r="C199" s="98">
        <v>2009</v>
      </c>
      <c r="D199" s="99">
        <v>304</v>
      </c>
      <c r="E199" s="99">
        <v>7151</v>
      </c>
      <c r="F199" s="99">
        <v>1128</v>
      </c>
      <c r="G199" s="99">
        <v>6018</v>
      </c>
      <c r="H199" s="99">
        <v>667</v>
      </c>
      <c r="I199" s="99">
        <v>225</v>
      </c>
      <c r="J199" s="99">
        <v>239</v>
      </c>
      <c r="K199" s="99">
        <v>14</v>
      </c>
      <c r="L199" s="99">
        <v>670</v>
      </c>
      <c r="M199" s="99">
        <v>682</v>
      </c>
      <c r="N199" s="99">
        <v>-12</v>
      </c>
    </row>
    <row r="200" spans="1:17" ht="17.5" customHeight="1">
      <c r="A200" s="109" t="s">
        <v>6978</v>
      </c>
      <c r="B200" s="109" t="s">
        <v>6979</v>
      </c>
      <c r="C200" s="98">
        <v>2010</v>
      </c>
      <c r="D200" s="99">
        <v>309</v>
      </c>
      <c r="E200" s="99">
        <v>8123</v>
      </c>
      <c r="F200" s="99">
        <v>1159</v>
      </c>
      <c r="G200" s="99">
        <v>6948</v>
      </c>
      <c r="H200" s="99">
        <v>638</v>
      </c>
      <c r="I200" s="99">
        <v>415</v>
      </c>
      <c r="J200" s="99">
        <v>426</v>
      </c>
      <c r="K200" s="99">
        <v>12</v>
      </c>
      <c r="L200" s="99">
        <v>565</v>
      </c>
      <c r="M200" s="99">
        <v>577</v>
      </c>
      <c r="N200" s="99">
        <v>-13</v>
      </c>
      <c r="O200" s="110"/>
      <c r="P200" s="110"/>
      <c r="Q200" s="110"/>
    </row>
    <row r="201" spans="1:17" ht="17.5" customHeight="1">
      <c r="A201" s="109" t="s">
        <v>6978</v>
      </c>
      <c r="B201" s="109" t="s">
        <v>6979</v>
      </c>
      <c r="C201" s="98">
        <v>2011</v>
      </c>
      <c r="D201" s="99">
        <v>336</v>
      </c>
      <c r="E201" s="99">
        <v>8405</v>
      </c>
      <c r="F201" s="99">
        <v>1273</v>
      </c>
      <c r="G201" s="99">
        <v>7192</v>
      </c>
      <c r="H201" s="99">
        <v>678</v>
      </c>
      <c r="I201" s="99">
        <v>206</v>
      </c>
      <c r="J201" s="99">
        <v>218</v>
      </c>
      <c r="K201" s="99">
        <v>12</v>
      </c>
      <c r="L201" s="99">
        <v>700</v>
      </c>
      <c r="M201" s="99">
        <v>642</v>
      </c>
      <c r="N201" s="99">
        <v>57</v>
      </c>
    </row>
    <row r="202" spans="1:17" ht="17.5" customHeight="1">
      <c r="A202" s="109" t="s">
        <v>6978</v>
      </c>
      <c r="B202" s="109" t="s">
        <v>6979</v>
      </c>
      <c r="C202" s="111">
        <v>2012</v>
      </c>
      <c r="D202" s="112">
        <v>361</v>
      </c>
      <c r="E202" s="112">
        <v>8407</v>
      </c>
      <c r="F202" s="112">
        <v>1235</v>
      </c>
      <c r="G202" s="112">
        <v>7223</v>
      </c>
      <c r="H202" s="112">
        <v>694</v>
      </c>
      <c r="I202" s="112">
        <v>321</v>
      </c>
      <c r="J202" s="112">
        <v>325</v>
      </c>
      <c r="K202" s="112">
        <v>5</v>
      </c>
      <c r="L202" s="112">
        <v>838</v>
      </c>
      <c r="M202" s="112">
        <v>789</v>
      </c>
      <c r="N202" s="112">
        <v>48</v>
      </c>
    </row>
    <row r="203" spans="1:17" ht="17.5" customHeight="1">
      <c r="A203" s="109" t="s">
        <v>6978</v>
      </c>
      <c r="B203" s="109" t="s">
        <v>6979</v>
      </c>
      <c r="C203" s="113">
        <v>2013</v>
      </c>
      <c r="D203" s="112">
        <v>344</v>
      </c>
      <c r="E203" s="112">
        <v>9599</v>
      </c>
      <c r="F203" s="112">
        <v>1768</v>
      </c>
      <c r="G203" s="112">
        <v>7846</v>
      </c>
      <c r="H203" s="112">
        <v>662</v>
      </c>
      <c r="I203" s="112">
        <v>304</v>
      </c>
      <c r="J203" s="112">
        <v>320</v>
      </c>
      <c r="K203" s="112">
        <v>16</v>
      </c>
      <c r="L203" s="112">
        <v>852</v>
      </c>
      <c r="M203" s="112">
        <v>852</v>
      </c>
      <c r="N203" s="112" t="s">
        <v>6952</v>
      </c>
      <c r="O203" s="110"/>
      <c r="P203" s="110"/>
      <c r="Q203" s="110"/>
    </row>
    <row r="204" spans="1:17" ht="17.5" customHeight="1">
      <c r="A204" s="109" t="s">
        <v>6978</v>
      </c>
      <c r="B204" s="109" t="s">
        <v>6979</v>
      </c>
      <c r="C204" s="113">
        <v>2014</v>
      </c>
      <c r="D204" s="99">
        <v>356</v>
      </c>
      <c r="E204" s="99">
        <v>9840</v>
      </c>
      <c r="F204" s="99">
        <v>2158</v>
      </c>
      <c r="G204" s="99">
        <v>7729</v>
      </c>
      <c r="H204" s="99">
        <v>680</v>
      </c>
      <c r="I204" s="99">
        <v>270</v>
      </c>
      <c r="J204" s="99">
        <v>276</v>
      </c>
      <c r="K204" s="99">
        <v>6</v>
      </c>
      <c r="L204" s="99">
        <v>964</v>
      </c>
      <c r="M204" s="99">
        <v>936</v>
      </c>
      <c r="N204" s="99">
        <v>28</v>
      </c>
      <c r="O204" s="110"/>
      <c r="P204" s="110"/>
      <c r="Q204" s="110"/>
    </row>
    <row r="205" spans="1:17" ht="17.5" customHeight="1">
      <c r="A205" s="109" t="s">
        <v>6978</v>
      </c>
      <c r="B205" s="109" t="s">
        <v>6979</v>
      </c>
      <c r="C205" s="113">
        <v>2015</v>
      </c>
      <c r="D205" s="112">
        <v>355</v>
      </c>
      <c r="E205" s="112">
        <v>8578</v>
      </c>
      <c r="F205" s="112">
        <v>1939</v>
      </c>
      <c r="G205" s="112">
        <v>6655</v>
      </c>
      <c r="H205" s="112">
        <v>615</v>
      </c>
      <c r="I205" s="112">
        <v>218</v>
      </c>
      <c r="J205" s="112">
        <v>226</v>
      </c>
      <c r="K205" s="112">
        <v>8</v>
      </c>
      <c r="L205" s="112">
        <v>683</v>
      </c>
      <c r="M205" s="112">
        <v>670</v>
      </c>
      <c r="N205" s="112">
        <v>13</v>
      </c>
      <c r="O205" s="110"/>
      <c r="P205" s="110"/>
      <c r="Q205" s="110"/>
    </row>
    <row r="206" spans="1:17" ht="17.5" customHeight="1">
      <c r="A206" s="109" t="s">
        <v>6978</v>
      </c>
      <c r="B206" s="109" t="s">
        <v>6979</v>
      </c>
      <c r="C206" s="113">
        <v>2016</v>
      </c>
      <c r="D206" s="112">
        <v>374</v>
      </c>
      <c r="E206" s="112">
        <v>8382</v>
      </c>
      <c r="F206" s="112">
        <v>1576</v>
      </c>
      <c r="G206" s="112">
        <v>6917</v>
      </c>
      <c r="H206" s="112">
        <v>859</v>
      </c>
      <c r="I206" s="112">
        <v>203</v>
      </c>
      <c r="J206" s="112">
        <v>217</v>
      </c>
      <c r="K206" s="112">
        <v>14</v>
      </c>
      <c r="L206" s="112">
        <v>857</v>
      </c>
      <c r="M206" s="112">
        <v>774</v>
      </c>
      <c r="N206" s="112">
        <v>82</v>
      </c>
    </row>
    <row r="207" spans="1:17" ht="17.5" customHeight="1">
      <c r="A207" s="109" t="s">
        <v>6978</v>
      </c>
      <c r="B207" s="109" t="s">
        <v>6979</v>
      </c>
      <c r="C207" s="113">
        <v>2017</v>
      </c>
      <c r="D207" s="112">
        <v>379</v>
      </c>
      <c r="E207" s="112">
        <v>9265</v>
      </c>
      <c r="F207" s="112">
        <v>1791</v>
      </c>
      <c r="G207" s="112">
        <v>7591</v>
      </c>
      <c r="H207" s="112">
        <v>812</v>
      </c>
      <c r="I207" s="112">
        <v>277</v>
      </c>
      <c r="J207" s="112">
        <v>310</v>
      </c>
      <c r="K207" s="112">
        <v>33</v>
      </c>
      <c r="L207" s="112">
        <v>930</v>
      </c>
      <c r="M207" s="112">
        <v>816</v>
      </c>
      <c r="N207" s="112">
        <v>115</v>
      </c>
      <c r="O207" s="110"/>
      <c r="P207" s="110"/>
      <c r="Q207" s="110"/>
    </row>
    <row r="208" spans="1:17" ht="17.5" customHeight="1">
      <c r="A208" s="109" t="s">
        <v>6978</v>
      </c>
      <c r="B208" s="109" t="s">
        <v>6979</v>
      </c>
      <c r="C208" s="113">
        <v>2018</v>
      </c>
      <c r="D208" s="112">
        <v>375</v>
      </c>
      <c r="E208" s="112">
        <v>9530</v>
      </c>
      <c r="F208" s="112">
        <v>1861</v>
      </c>
      <c r="G208" s="112">
        <v>7651</v>
      </c>
      <c r="H208" s="112">
        <v>805</v>
      </c>
      <c r="I208" s="112">
        <v>274</v>
      </c>
      <c r="J208" s="112">
        <v>296</v>
      </c>
      <c r="K208" s="112">
        <v>22</v>
      </c>
      <c r="L208" s="112">
        <v>944</v>
      </c>
      <c r="M208" s="112">
        <v>968</v>
      </c>
      <c r="N208" s="112">
        <v>-25</v>
      </c>
      <c r="O208" s="110"/>
      <c r="P208" s="110"/>
      <c r="Q208" s="110"/>
    </row>
    <row r="209" spans="1:17" ht="17.5" customHeight="1">
      <c r="A209" s="109" t="s">
        <v>6978</v>
      </c>
      <c r="B209" s="109" t="s">
        <v>6979</v>
      </c>
      <c r="C209" s="113">
        <v>2019</v>
      </c>
      <c r="D209" s="112">
        <v>376</v>
      </c>
      <c r="E209" s="112">
        <v>9744.8251959999998</v>
      </c>
      <c r="F209" s="112">
        <v>1936.4829560000001</v>
      </c>
      <c r="G209" s="112">
        <v>7794.2175029999999</v>
      </c>
      <c r="H209" s="112">
        <v>870.74210600000004</v>
      </c>
      <c r="I209" s="112">
        <v>253.07236900000001</v>
      </c>
      <c r="J209" s="112">
        <v>278.66076800000002</v>
      </c>
      <c r="K209" s="112">
        <v>25.5884</v>
      </c>
      <c r="L209" s="112">
        <v>936.69250799999998</v>
      </c>
      <c r="M209" s="112">
        <v>960.79342999999994</v>
      </c>
      <c r="N209" s="112">
        <v>-24.100922000000001</v>
      </c>
      <c r="O209" s="110"/>
      <c r="P209" s="110"/>
      <c r="Q209" s="110"/>
    </row>
    <row r="210" spans="1:17" ht="17.5" customHeight="1">
      <c r="A210" s="114" t="s">
        <v>6978</v>
      </c>
      <c r="B210" s="114" t="s">
        <v>6979</v>
      </c>
      <c r="C210" s="113">
        <v>2020</v>
      </c>
      <c r="D210" s="112">
        <v>380</v>
      </c>
      <c r="E210" s="112">
        <v>9580.7213840000004</v>
      </c>
      <c r="F210" s="112">
        <v>2177.1253360000001</v>
      </c>
      <c r="G210" s="112">
        <v>7603.6794970000001</v>
      </c>
      <c r="H210" s="112">
        <v>813.20130099999994</v>
      </c>
      <c r="I210" s="112">
        <v>214.45175900000001</v>
      </c>
      <c r="J210" s="112">
        <v>239.81421700000001</v>
      </c>
      <c r="K210" s="112">
        <v>25.362458</v>
      </c>
      <c r="L210" s="112">
        <v>973.33112600000004</v>
      </c>
      <c r="M210" s="112">
        <v>892.65914699999996</v>
      </c>
      <c r="N210" s="112">
        <v>80.671978999999993</v>
      </c>
      <c r="O210" s="110"/>
      <c r="P210" s="110"/>
      <c r="Q210" s="110"/>
    </row>
    <row r="211" spans="1:17" ht="17.5" customHeight="1">
      <c r="A211" s="109" t="s">
        <v>6980</v>
      </c>
      <c r="B211" s="109" t="s">
        <v>6981</v>
      </c>
      <c r="C211" s="98">
        <v>2008</v>
      </c>
      <c r="D211" s="99">
        <v>240</v>
      </c>
      <c r="E211" s="99">
        <v>303</v>
      </c>
      <c r="F211" s="99">
        <v>148</v>
      </c>
      <c r="G211" s="99">
        <v>156</v>
      </c>
      <c r="H211" s="99">
        <v>40</v>
      </c>
      <c r="I211" s="99">
        <v>34</v>
      </c>
      <c r="J211" s="99">
        <v>34</v>
      </c>
      <c r="K211" s="99">
        <v>1</v>
      </c>
      <c r="L211" s="99">
        <v>37</v>
      </c>
      <c r="M211" s="99">
        <v>36</v>
      </c>
      <c r="N211" s="99">
        <v>1</v>
      </c>
    </row>
    <row r="212" spans="1:17" ht="17.5" customHeight="1">
      <c r="A212" s="109" t="s">
        <v>6980</v>
      </c>
      <c r="B212" s="109" t="s">
        <v>6981</v>
      </c>
      <c r="C212" s="98">
        <v>2009</v>
      </c>
      <c r="D212" s="99">
        <v>237</v>
      </c>
      <c r="E212" s="99">
        <v>425</v>
      </c>
      <c r="F212" s="99">
        <v>223</v>
      </c>
      <c r="G212" s="99">
        <v>204</v>
      </c>
      <c r="H212" s="99">
        <v>55</v>
      </c>
      <c r="I212" s="99">
        <v>12</v>
      </c>
      <c r="J212" s="99">
        <v>12</v>
      </c>
      <c r="K212" s="99" t="s">
        <v>6952</v>
      </c>
      <c r="L212" s="99">
        <v>37</v>
      </c>
      <c r="M212" s="99">
        <v>34</v>
      </c>
      <c r="N212" s="99">
        <v>2</v>
      </c>
      <c r="O212" s="110"/>
      <c r="P212" s="110"/>
      <c r="Q212" s="110"/>
    </row>
    <row r="213" spans="1:17" ht="17.5" customHeight="1">
      <c r="A213" s="109" t="s">
        <v>6980</v>
      </c>
      <c r="B213" s="109" t="s">
        <v>6981</v>
      </c>
      <c r="C213" s="98">
        <v>2010</v>
      </c>
      <c r="D213" s="99">
        <v>233</v>
      </c>
      <c r="E213" s="99">
        <v>339</v>
      </c>
      <c r="F213" s="99">
        <v>135</v>
      </c>
      <c r="G213" s="99">
        <v>206</v>
      </c>
      <c r="H213" s="99">
        <v>43</v>
      </c>
      <c r="I213" s="99">
        <v>15</v>
      </c>
      <c r="J213" s="99">
        <v>17</v>
      </c>
      <c r="K213" s="99">
        <v>1</v>
      </c>
      <c r="L213" s="99">
        <v>35</v>
      </c>
      <c r="M213" s="99">
        <v>33</v>
      </c>
      <c r="N213" s="99">
        <v>1</v>
      </c>
    </row>
    <row r="214" spans="1:17" ht="17.5" customHeight="1">
      <c r="A214" s="109" t="s">
        <v>6980</v>
      </c>
      <c r="B214" s="109" t="s">
        <v>6981</v>
      </c>
      <c r="C214" s="98">
        <v>2011</v>
      </c>
      <c r="D214" s="99">
        <v>237</v>
      </c>
      <c r="E214" s="99">
        <v>284</v>
      </c>
      <c r="F214" s="99">
        <v>120</v>
      </c>
      <c r="G214" s="99">
        <v>165</v>
      </c>
      <c r="H214" s="99">
        <v>42</v>
      </c>
      <c r="I214" s="99">
        <v>11</v>
      </c>
      <c r="J214" s="99">
        <v>11</v>
      </c>
      <c r="K214" s="99">
        <v>1</v>
      </c>
      <c r="L214" s="99">
        <v>31</v>
      </c>
      <c r="M214" s="99">
        <v>30</v>
      </c>
      <c r="N214" s="99">
        <v>1</v>
      </c>
    </row>
    <row r="215" spans="1:17" ht="17.5" customHeight="1">
      <c r="A215" s="109" t="s">
        <v>6980</v>
      </c>
      <c r="B215" s="109" t="s">
        <v>6981</v>
      </c>
      <c r="C215" s="111">
        <v>2012</v>
      </c>
      <c r="D215" s="112">
        <v>226</v>
      </c>
      <c r="E215" s="112">
        <v>307</v>
      </c>
      <c r="F215" s="112">
        <v>112</v>
      </c>
      <c r="G215" s="112">
        <v>198</v>
      </c>
      <c r="H215" s="112">
        <v>46</v>
      </c>
      <c r="I215" s="112">
        <v>-9</v>
      </c>
      <c r="J215" s="112">
        <v>14</v>
      </c>
      <c r="K215" s="112">
        <v>23</v>
      </c>
      <c r="L215" s="112">
        <v>39</v>
      </c>
      <c r="M215" s="112">
        <v>37</v>
      </c>
      <c r="N215" s="112">
        <v>2</v>
      </c>
      <c r="O215" s="110"/>
      <c r="P215" s="110"/>
      <c r="Q215" s="110"/>
    </row>
    <row r="216" spans="1:17" ht="17.5" customHeight="1">
      <c r="A216" s="109" t="s">
        <v>6980</v>
      </c>
      <c r="B216" s="109" t="s">
        <v>6981</v>
      </c>
      <c r="C216" s="113">
        <v>2013</v>
      </c>
      <c r="D216" s="112">
        <v>242</v>
      </c>
      <c r="E216" s="112">
        <v>416</v>
      </c>
      <c r="F216" s="112">
        <v>137</v>
      </c>
      <c r="G216" s="112">
        <v>282</v>
      </c>
      <c r="H216" s="112">
        <v>48</v>
      </c>
      <c r="I216" s="112">
        <v>6</v>
      </c>
      <c r="J216" s="112">
        <v>12</v>
      </c>
      <c r="K216" s="112">
        <v>6</v>
      </c>
      <c r="L216" s="112">
        <v>42</v>
      </c>
      <c r="M216" s="112">
        <v>40</v>
      </c>
      <c r="N216" s="112">
        <v>2</v>
      </c>
      <c r="O216" s="110"/>
      <c r="P216" s="110"/>
      <c r="Q216" s="110"/>
    </row>
    <row r="217" spans="1:17" ht="17.5" customHeight="1">
      <c r="A217" s="109" t="s">
        <v>6980</v>
      </c>
      <c r="B217" s="109" t="s">
        <v>6981</v>
      </c>
      <c r="C217" s="113">
        <v>2014</v>
      </c>
      <c r="D217" s="99">
        <v>252</v>
      </c>
      <c r="E217" s="99">
        <v>332</v>
      </c>
      <c r="F217" s="99">
        <v>125</v>
      </c>
      <c r="G217" s="99">
        <v>211</v>
      </c>
      <c r="H217" s="99">
        <v>53</v>
      </c>
      <c r="I217" s="99">
        <v>11</v>
      </c>
      <c r="J217" s="99">
        <v>13</v>
      </c>
      <c r="K217" s="99">
        <v>2</v>
      </c>
      <c r="L217" s="99">
        <v>38</v>
      </c>
      <c r="M217" s="99">
        <v>33</v>
      </c>
      <c r="N217" s="99">
        <v>5</v>
      </c>
      <c r="O217" s="110"/>
      <c r="P217" s="110"/>
      <c r="Q217" s="110"/>
    </row>
    <row r="218" spans="1:17" ht="17.5" customHeight="1">
      <c r="A218" s="109" t="s">
        <v>6980</v>
      </c>
      <c r="B218" s="109" t="s">
        <v>6981</v>
      </c>
      <c r="C218" s="113">
        <v>2015</v>
      </c>
      <c r="D218" s="112">
        <v>277</v>
      </c>
      <c r="E218" s="112">
        <v>358</v>
      </c>
      <c r="F218" s="112">
        <v>151</v>
      </c>
      <c r="G218" s="112">
        <v>213</v>
      </c>
      <c r="H218" s="112">
        <v>65</v>
      </c>
      <c r="I218" s="112">
        <v>16</v>
      </c>
      <c r="J218" s="112">
        <v>17</v>
      </c>
      <c r="K218" s="112" t="s">
        <v>6952</v>
      </c>
      <c r="L218" s="112">
        <v>40</v>
      </c>
      <c r="M218" s="112">
        <v>35</v>
      </c>
      <c r="N218" s="112">
        <v>5</v>
      </c>
    </row>
    <row r="219" spans="1:17" ht="17.5" customHeight="1">
      <c r="A219" s="109" t="s">
        <v>6980</v>
      </c>
      <c r="B219" s="109" t="s">
        <v>6981</v>
      </c>
      <c r="C219" s="113">
        <v>2016</v>
      </c>
      <c r="D219" s="112">
        <v>301</v>
      </c>
      <c r="E219" s="112">
        <v>403</v>
      </c>
      <c r="F219" s="112">
        <v>161</v>
      </c>
      <c r="G219" s="112">
        <v>243</v>
      </c>
      <c r="H219" s="112">
        <v>62</v>
      </c>
      <c r="I219" s="112">
        <v>19</v>
      </c>
      <c r="J219" s="112">
        <v>20</v>
      </c>
      <c r="K219" s="112" t="s">
        <v>6952</v>
      </c>
      <c r="L219" s="112">
        <v>42</v>
      </c>
      <c r="M219" s="112">
        <v>42</v>
      </c>
      <c r="N219" s="112" t="s">
        <v>6952</v>
      </c>
      <c r="O219" s="110"/>
      <c r="P219" s="110"/>
      <c r="Q219" s="110"/>
    </row>
    <row r="220" spans="1:17" ht="17.5" customHeight="1">
      <c r="A220" s="109" t="s">
        <v>6980</v>
      </c>
      <c r="B220" s="109" t="s">
        <v>6981</v>
      </c>
      <c r="C220" s="113">
        <v>2017</v>
      </c>
      <c r="D220" s="112">
        <v>319</v>
      </c>
      <c r="E220" s="112">
        <v>406</v>
      </c>
      <c r="F220" s="112">
        <v>133</v>
      </c>
      <c r="G220" s="112">
        <v>273</v>
      </c>
      <c r="H220" s="112">
        <v>59</v>
      </c>
      <c r="I220" s="112">
        <v>42</v>
      </c>
      <c r="J220" s="112">
        <v>46</v>
      </c>
      <c r="K220" s="112">
        <v>4</v>
      </c>
      <c r="L220" s="112">
        <v>35</v>
      </c>
      <c r="M220" s="112">
        <v>36</v>
      </c>
      <c r="N220" s="112">
        <v>-1</v>
      </c>
      <c r="O220" s="110"/>
      <c r="P220" s="110"/>
      <c r="Q220" s="110"/>
    </row>
    <row r="221" spans="1:17" ht="17.5" customHeight="1">
      <c r="A221" s="109" t="s">
        <v>6980</v>
      </c>
      <c r="B221" s="109" t="s">
        <v>6981</v>
      </c>
      <c r="C221" s="113">
        <v>2018</v>
      </c>
      <c r="D221" s="112">
        <v>319</v>
      </c>
      <c r="E221" s="112">
        <v>472</v>
      </c>
      <c r="F221" s="112">
        <v>209</v>
      </c>
      <c r="G221" s="112">
        <v>271</v>
      </c>
      <c r="H221" s="112">
        <v>66</v>
      </c>
      <c r="I221" s="112">
        <v>27</v>
      </c>
      <c r="J221" s="112">
        <v>27</v>
      </c>
      <c r="K221" s="112" t="s">
        <v>6952</v>
      </c>
      <c r="L221" s="112">
        <v>44</v>
      </c>
      <c r="M221" s="112">
        <v>37</v>
      </c>
      <c r="N221" s="112">
        <v>7</v>
      </c>
      <c r="O221" s="110"/>
      <c r="P221" s="110"/>
      <c r="Q221" s="110"/>
    </row>
    <row r="222" spans="1:17" ht="17.5" customHeight="1">
      <c r="A222" s="109" t="s">
        <v>6980</v>
      </c>
      <c r="B222" s="109" t="s">
        <v>6981</v>
      </c>
      <c r="C222" s="113">
        <v>2019</v>
      </c>
      <c r="D222" s="112">
        <v>323</v>
      </c>
      <c r="E222" s="112">
        <v>487.64026999999999</v>
      </c>
      <c r="F222" s="112">
        <v>179.89920699999999</v>
      </c>
      <c r="G222" s="112">
        <v>315.98882700000001</v>
      </c>
      <c r="H222" s="112">
        <v>67.184405999999996</v>
      </c>
      <c r="I222" s="112">
        <v>24.892744</v>
      </c>
      <c r="J222" s="112">
        <v>26.930406999999999</v>
      </c>
      <c r="K222" s="112">
        <v>2.0376629999999998</v>
      </c>
      <c r="L222" s="112">
        <v>50.859479999999998</v>
      </c>
      <c r="M222" s="112">
        <v>43.293934999999998</v>
      </c>
      <c r="N222" s="112">
        <v>7.5655450000000002</v>
      </c>
      <c r="O222" s="110"/>
      <c r="P222" s="110"/>
      <c r="Q222" s="110"/>
    </row>
    <row r="223" spans="1:17" ht="17.5" customHeight="1">
      <c r="A223" s="114" t="s">
        <v>6980</v>
      </c>
      <c r="B223" s="114" t="s">
        <v>6981</v>
      </c>
      <c r="C223" s="113">
        <v>2020</v>
      </c>
      <c r="D223" s="112">
        <v>323</v>
      </c>
      <c r="E223" s="112">
        <v>460.07772499999999</v>
      </c>
      <c r="F223" s="112">
        <v>151.619069</v>
      </c>
      <c r="G223" s="112">
        <v>302.73120599999999</v>
      </c>
      <c r="H223" s="112">
        <v>66.584719000000007</v>
      </c>
      <c r="I223" s="112">
        <v>56.330692999999997</v>
      </c>
      <c r="J223" s="112">
        <v>57.283496</v>
      </c>
      <c r="K223" s="112">
        <v>0.95280299999999996</v>
      </c>
      <c r="L223" s="112">
        <v>59.350960999999998</v>
      </c>
      <c r="M223" s="112">
        <v>65.539786000000007</v>
      </c>
      <c r="N223" s="112">
        <v>-6.1888240000000003</v>
      </c>
    </row>
    <row r="224" spans="1:17" ht="31.75" customHeight="1">
      <c r="A224" s="109" t="s">
        <v>6982</v>
      </c>
      <c r="B224" s="109" t="s">
        <v>6983</v>
      </c>
      <c r="C224" s="98">
        <v>2008</v>
      </c>
      <c r="D224" s="99">
        <v>133</v>
      </c>
      <c r="E224" s="99">
        <v>5697</v>
      </c>
      <c r="F224" s="99">
        <v>1302</v>
      </c>
      <c r="G224" s="99">
        <v>4469</v>
      </c>
      <c r="H224" s="99">
        <v>511</v>
      </c>
      <c r="I224" s="99">
        <v>88</v>
      </c>
      <c r="J224" s="99">
        <v>108</v>
      </c>
      <c r="K224" s="99">
        <v>20</v>
      </c>
      <c r="L224" s="99">
        <v>383</v>
      </c>
      <c r="M224" s="99">
        <v>301</v>
      </c>
      <c r="N224" s="99">
        <v>82</v>
      </c>
      <c r="O224" s="110"/>
      <c r="P224" s="110"/>
      <c r="Q224" s="110"/>
    </row>
    <row r="225" spans="1:17" ht="31.75" customHeight="1">
      <c r="A225" s="109" t="s">
        <v>6982</v>
      </c>
      <c r="B225" s="109" t="s">
        <v>6983</v>
      </c>
      <c r="C225" s="98">
        <v>2009</v>
      </c>
      <c r="D225" s="99">
        <v>128</v>
      </c>
      <c r="E225" s="99">
        <v>6421</v>
      </c>
      <c r="F225" s="99">
        <v>1327</v>
      </c>
      <c r="G225" s="99">
        <v>5080</v>
      </c>
      <c r="H225" s="99">
        <v>492</v>
      </c>
      <c r="I225" s="99">
        <v>111</v>
      </c>
      <c r="J225" s="99">
        <v>121</v>
      </c>
      <c r="K225" s="99">
        <v>10</v>
      </c>
      <c r="L225" s="99">
        <v>445</v>
      </c>
      <c r="M225" s="99">
        <v>458</v>
      </c>
      <c r="N225" s="99">
        <v>-13</v>
      </c>
    </row>
    <row r="226" spans="1:17" ht="31.75" customHeight="1">
      <c r="A226" s="109" t="s">
        <v>6982</v>
      </c>
      <c r="B226" s="109" t="s">
        <v>6983</v>
      </c>
      <c r="C226" s="98">
        <v>2010</v>
      </c>
      <c r="D226" s="99">
        <v>127</v>
      </c>
      <c r="E226" s="99">
        <v>6280</v>
      </c>
      <c r="F226" s="99">
        <v>1504</v>
      </c>
      <c r="G226" s="99">
        <v>4858</v>
      </c>
      <c r="H226" s="99">
        <v>499</v>
      </c>
      <c r="I226" s="99">
        <v>128</v>
      </c>
      <c r="J226" s="99">
        <v>148</v>
      </c>
      <c r="K226" s="99">
        <v>20</v>
      </c>
      <c r="L226" s="99">
        <v>491</v>
      </c>
      <c r="M226" s="99">
        <v>407</v>
      </c>
      <c r="N226" s="99">
        <v>84</v>
      </c>
    </row>
    <row r="227" spans="1:17" ht="31.75" customHeight="1">
      <c r="A227" s="109" t="s">
        <v>6982</v>
      </c>
      <c r="B227" s="109" t="s">
        <v>6983</v>
      </c>
      <c r="C227" s="98">
        <v>2011</v>
      </c>
      <c r="D227" s="99">
        <v>119</v>
      </c>
      <c r="E227" s="99">
        <v>6378</v>
      </c>
      <c r="F227" s="99">
        <v>1224</v>
      </c>
      <c r="G227" s="99">
        <v>5167</v>
      </c>
      <c r="H227" s="99">
        <v>446</v>
      </c>
      <c r="I227" s="99">
        <v>106</v>
      </c>
      <c r="J227" s="99">
        <v>111</v>
      </c>
      <c r="K227" s="99">
        <v>5</v>
      </c>
      <c r="L227" s="99">
        <v>429</v>
      </c>
      <c r="M227" s="99">
        <v>412</v>
      </c>
      <c r="N227" s="99">
        <v>17</v>
      </c>
      <c r="O227" s="110"/>
      <c r="P227" s="110"/>
      <c r="Q227" s="110"/>
    </row>
    <row r="228" spans="1:17" ht="31.75" customHeight="1">
      <c r="A228" s="109" t="s">
        <v>6982</v>
      </c>
      <c r="B228" s="109" t="s">
        <v>6983</v>
      </c>
      <c r="C228" s="111">
        <v>2012</v>
      </c>
      <c r="D228" s="112">
        <v>134</v>
      </c>
      <c r="E228" s="112">
        <v>6359</v>
      </c>
      <c r="F228" s="112">
        <v>1206</v>
      </c>
      <c r="G228" s="112">
        <v>5207</v>
      </c>
      <c r="H228" s="112">
        <v>452</v>
      </c>
      <c r="I228" s="112">
        <v>101</v>
      </c>
      <c r="J228" s="112">
        <v>116</v>
      </c>
      <c r="K228" s="112">
        <v>16</v>
      </c>
      <c r="L228" s="112">
        <v>461</v>
      </c>
      <c r="M228" s="112">
        <v>406</v>
      </c>
      <c r="N228" s="112">
        <v>55</v>
      </c>
      <c r="O228" s="110"/>
      <c r="P228" s="110"/>
      <c r="Q228" s="110"/>
    </row>
    <row r="229" spans="1:17" ht="31.75" customHeight="1">
      <c r="A229" s="109" t="s">
        <v>6982</v>
      </c>
      <c r="B229" s="109" t="s">
        <v>6983</v>
      </c>
      <c r="C229" s="113">
        <v>2013</v>
      </c>
      <c r="D229" s="112">
        <v>137</v>
      </c>
      <c r="E229" s="112">
        <v>6763</v>
      </c>
      <c r="F229" s="112">
        <v>1352</v>
      </c>
      <c r="G229" s="112">
        <v>5373</v>
      </c>
      <c r="H229" s="112">
        <v>478</v>
      </c>
      <c r="I229" s="112">
        <v>129</v>
      </c>
      <c r="J229" s="112">
        <v>135</v>
      </c>
      <c r="K229" s="112">
        <v>6</v>
      </c>
      <c r="L229" s="112">
        <v>473</v>
      </c>
      <c r="M229" s="112">
        <v>510</v>
      </c>
      <c r="N229" s="112">
        <v>-38</v>
      </c>
      <c r="O229" s="110"/>
      <c r="P229" s="110"/>
      <c r="Q229" s="110"/>
    </row>
    <row r="230" spans="1:17" ht="31.75" customHeight="1">
      <c r="A230" s="109" t="s">
        <v>6982</v>
      </c>
      <c r="B230" s="109" t="s">
        <v>6983</v>
      </c>
      <c r="C230" s="113">
        <v>2014</v>
      </c>
      <c r="D230" s="99">
        <v>143</v>
      </c>
      <c r="E230" s="99">
        <v>6527</v>
      </c>
      <c r="F230" s="99">
        <v>1449</v>
      </c>
      <c r="G230" s="99">
        <v>5071</v>
      </c>
      <c r="H230" s="99">
        <v>503</v>
      </c>
      <c r="I230" s="99">
        <v>93</v>
      </c>
      <c r="J230" s="99">
        <v>103</v>
      </c>
      <c r="K230" s="99">
        <v>10</v>
      </c>
      <c r="L230" s="99">
        <v>528</v>
      </c>
      <c r="M230" s="99">
        <v>531</v>
      </c>
      <c r="N230" s="99">
        <v>-2</v>
      </c>
    </row>
    <row r="231" spans="1:17" ht="31.75" customHeight="1">
      <c r="A231" s="109" t="s">
        <v>6982</v>
      </c>
      <c r="B231" s="109" t="s">
        <v>6983</v>
      </c>
      <c r="C231" s="113">
        <v>2015</v>
      </c>
      <c r="D231" s="112">
        <v>143</v>
      </c>
      <c r="E231" s="112">
        <v>6133</v>
      </c>
      <c r="F231" s="112">
        <v>1384</v>
      </c>
      <c r="G231" s="112">
        <v>4728</v>
      </c>
      <c r="H231" s="112">
        <v>474</v>
      </c>
      <c r="I231" s="112">
        <v>84</v>
      </c>
      <c r="J231" s="112" t="s">
        <v>6953</v>
      </c>
      <c r="K231" s="112" t="s">
        <v>6953</v>
      </c>
      <c r="L231" s="112">
        <v>443</v>
      </c>
      <c r="M231" s="112">
        <v>462</v>
      </c>
      <c r="N231" s="112">
        <v>-19</v>
      </c>
      <c r="O231" s="110"/>
      <c r="P231" s="110"/>
      <c r="Q231" s="110"/>
    </row>
    <row r="232" spans="1:17" ht="31.75" customHeight="1">
      <c r="A232" s="109" t="s">
        <v>6982</v>
      </c>
      <c r="B232" s="109" t="s">
        <v>6983</v>
      </c>
      <c r="C232" s="113">
        <v>2016</v>
      </c>
      <c r="D232" s="112">
        <v>143</v>
      </c>
      <c r="E232" s="112">
        <v>5972</v>
      </c>
      <c r="F232" s="112">
        <v>1375</v>
      </c>
      <c r="G232" s="112">
        <v>4607</v>
      </c>
      <c r="H232" s="112">
        <v>485</v>
      </c>
      <c r="I232" s="112">
        <v>121</v>
      </c>
      <c r="J232" s="112">
        <v>153</v>
      </c>
      <c r="K232" s="112">
        <v>31</v>
      </c>
      <c r="L232" s="112">
        <v>443</v>
      </c>
      <c r="M232" s="112">
        <v>431</v>
      </c>
      <c r="N232" s="112">
        <v>12</v>
      </c>
      <c r="O232" s="110"/>
      <c r="P232" s="110"/>
      <c r="Q232" s="110"/>
    </row>
    <row r="233" spans="1:17" ht="31.75" customHeight="1">
      <c r="A233" s="109" t="s">
        <v>6982</v>
      </c>
      <c r="B233" s="109" t="s">
        <v>6983</v>
      </c>
      <c r="C233" s="113">
        <v>2017</v>
      </c>
      <c r="D233" s="112">
        <v>155</v>
      </c>
      <c r="E233" s="112">
        <v>5541</v>
      </c>
      <c r="F233" s="112">
        <v>1410</v>
      </c>
      <c r="G233" s="112">
        <v>4150</v>
      </c>
      <c r="H233" s="112">
        <v>480</v>
      </c>
      <c r="I233" s="112">
        <v>188</v>
      </c>
      <c r="J233" s="112">
        <v>225</v>
      </c>
      <c r="K233" s="112">
        <v>37</v>
      </c>
      <c r="L233" s="112">
        <v>430</v>
      </c>
      <c r="M233" s="112">
        <v>412</v>
      </c>
      <c r="N233" s="112">
        <v>18</v>
      </c>
      <c r="O233" s="110"/>
      <c r="P233" s="110"/>
      <c r="Q233" s="110"/>
    </row>
    <row r="234" spans="1:17" ht="31.75" customHeight="1">
      <c r="A234" s="109" t="s">
        <v>6982</v>
      </c>
      <c r="B234" s="109" t="s">
        <v>6983</v>
      </c>
      <c r="C234" s="113">
        <v>2018</v>
      </c>
      <c r="D234" s="112">
        <v>168</v>
      </c>
      <c r="E234" s="112">
        <v>5684</v>
      </c>
      <c r="F234" s="112">
        <v>1346</v>
      </c>
      <c r="G234" s="112">
        <v>4341</v>
      </c>
      <c r="H234" s="112">
        <v>520</v>
      </c>
      <c r="I234" s="112">
        <v>189</v>
      </c>
      <c r="J234" s="112">
        <v>239</v>
      </c>
      <c r="K234" s="112">
        <v>50</v>
      </c>
      <c r="L234" s="112">
        <v>444</v>
      </c>
      <c r="M234" s="112">
        <v>439</v>
      </c>
      <c r="N234" s="112">
        <v>5</v>
      </c>
      <c r="O234" s="110"/>
      <c r="P234" s="110"/>
      <c r="Q234" s="110"/>
    </row>
    <row r="235" spans="1:17" ht="31.75" customHeight="1">
      <c r="A235" s="109" t="s">
        <v>6982</v>
      </c>
      <c r="B235" s="109" t="s">
        <v>6983</v>
      </c>
      <c r="C235" s="113">
        <v>2019</v>
      </c>
      <c r="D235" s="112">
        <v>183</v>
      </c>
      <c r="E235" s="112">
        <v>5872.3545279999998</v>
      </c>
      <c r="F235" s="112">
        <v>1536.488717</v>
      </c>
      <c r="G235" s="112">
        <v>4385.7476379999998</v>
      </c>
      <c r="H235" s="112">
        <v>576.62599799999998</v>
      </c>
      <c r="I235" s="112">
        <v>235.837411</v>
      </c>
      <c r="J235" s="112">
        <v>250.684653</v>
      </c>
      <c r="K235" s="112">
        <v>14.847243000000001</v>
      </c>
      <c r="L235" s="112">
        <v>443.31718799999999</v>
      </c>
      <c r="M235" s="112">
        <v>475.975325</v>
      </c>
      <c r="N235" s="112">
        <v>-32.658137000000004</v>
      </c>
    </row>
    <row r="236" spans="1:17" ht="31.75" customHeight="1">
      <c r="A236" s="114" t="s">
        <v>6982</v>
      </c>
      <c r="B236" s="114" t="s">
        <v>6984</v>
      </c>
      <c r="C236" s="113">
        <v>2020</v>
      </c>
      <c r="D236" s="112">
        <v>181</v>
      </c>
      <c r="E236" s="112">
        <v>5261.0112239999999</v>
      </c>
      <c r="F236" s="112">
        <v>1294.2420509999999</v>
      </c>
      <c r="G236" s="112">
        <v>3965.0722799999999</v>
      </c>
      <c r="H236" s="112">
        <v>548.46550400000001</v>
      </c>
      <c r="I236" s="112">
        <v>174.31524400000001</v>
      </c>
      <c r="J236" s="112">
        <v>179.282083</v>
      </c>
      <c r="K236" s="112">
        <v>4.9668380000000001</v>
      </c>
      <c r="L236" s="112">
        <v>377.138577</v>
      </c>
      <c r="M236" s="112">
        <v>371.09767699999998</v>
      </c>
      <c r="N236" s="112">
        <v>6.0408999999999997</v>
      </c>
      <c r="O236" s="110"/>
      <c r="P236" s="110"/>
      <c r="Q236" s="110"/>
    </row>
    <row r="237" spans="1:17" ht="17.5" customHeight="1">
      <c r="A237" s="109" t="s">
        <v>6985</v>
      </c>
      <c r="B237" s="109" t="s">
        <v>6986</v>
      </c>
      <c r="C237" s="98">
        <v>2008</v>
      </c>
      <c r="D237" s="99">
        <v>128</v>
      </c>
      <c r="E237" s="99">
        <v>4295</v>
      </c>
      <c r="F237" s="99">
        <v>1207</v>
      </c>
      <c r="G237" s="99">
        <v>3138</v>
      </c>
      <c r="H237" s="99">
        <v>437</v>
      </c>
      <c r="I237" s="112" t="s">
        <v>6953</v>
      </c>
      <c r="J237" s="112" t="s">
        <v>6953</v>
      </c>
      <c r="K237" s="112" t="s">
        <v>6953</v>
      </c>
      <c r="L237" s="99">
        <v>266</v>
      </c>
      <c r="M237" s="99">
        <v>211</v>
      </c>
      <c r="N237" s="99">
        <v>55</v>
      </c>
    </row>
    <row r="238" spans="1:17" ht="17.5" customHeight="1">
      <c r="A238" s="109" t="s">
        <v>6985</v>
      </c>
      <c r="B238" s="109" t="s">
        <v>6986</v>
      </c>
      <c r="C238" s="98">
        <v>2009</v>
      </c>
      <c r="D238" s="112" t="s">
        <v>6953</v>
      </c>
      <c r="E238" s="112" t="s">
        <v>6953</v>
      </c>
      <c r="F238" s="112" t="s">
        <v>6953</v>
      </c>
      <c r="G238" s="112" t="s">
        <v>6953</v>
      </c>
      <c r="H238" s="112" t="s">
        <v>6953</v>
      </c>
      <c r="I238" s="112" t="s">
        <v>6953</v>
      </c>
      <c r="J238" s="112" t="s">
        <v>6953</v>
      </c>
      <c r="K238" s="112" t="s">
        <v>6953</v>
      </c>
      <c r="L238" s="112" t="s">
        <v>6953</v>
      </c>
      <c r="M238" s="112" t="s">
        <v>6953</v>
      </c>
      <c r="N238" s="112" t="s">
        <v>6953</v>
      </c>
    </row>
    <row r="239" spans="1:17" ht="17.5" customHeight="1">
      <c r="A239" s="109" t="s">
        <v>6985</v>
      </c>
      <c r="B239" s="109" t="s">
        <v>6986</v>
      </c>
      <c r="C239" s="98">
        <v>2010</v>
      </c>
      <c r="D239" s="112" t="s">
        <v>6953</v>
      </c>
      <c r="E239" s="112" t="s">
        <v>6953</v>
      </c>
      <c r="F239" s="112" t="s">
        <v>6953</v>
      </c>
      <c r="G239" s="112" t="s">
        <v>6953</v>
      </c>
      <c r="H239" s="112" t="s">
        <v>6953</v>
      </c>
      <c r="I239" s="112" t="s">
        <v>6953</v>
      </c>
      <c r="J239" s="112" t="s">
        <v>6953</v>
      </c>
      <c r="K239" s="112" t="s">
        <v>6953</v>
      </c>
      <c r="L239" s="112" t="s">
        <v>6953</v>
      </c>
      <c r="M239" s="112" t="s">
        <v>6953</v>
      </c>
      <c r="N239" s="112" t="s">
        <v>6953</v>
      </c>
      <c r="O239" s="110"/>
      <c r="P239" s="110"/>
      <c r="Q239" s="110"/>
    </row>
    <row r="240" spans="1:17" ht="17.5" customHeight="1">
      <c r="A240" s="109" t="s">
        <v>6985</v>
      </c>
      <c r="B240" s="109" t="s">
        <v>6986</v>
      </c>
      <c r="C240" s="98">
        <v>2011</v>
      </c>
      <c r="D240" s="112" t="s">
        <v>6953</v>
      </c>
      <c r="E240" s="112" t="s">
        <v>6953</v>
      </c>
      <c r="F240" s="112" t="s">
        <v>6953</v>
      </c>
      <c r="G240" s="112" t="s">
        <v>6953</v>
      </c>
      <c r="H240" s="112" t="s">
        <v>6953</v>
      </c>
      <c r="I240" s="112" t="s">
        <v>6953</v>
      </c>
      <c r="J240" s="112" t="s">
        <v>6953</v>
      </c>
      <c r="K240" s="112" t="s">
        <v>6953</v>
      </c>
      <c r="L240" s="112" t="s">
        <v>6953</v>
      </c>
      <c r="M240" s="112" t="s">
        <v>6953</v>
      </c>
      <c r="N240" s="112" t="s">
        <v>6953</v>
      </c>
      <c r="O240" s="110"/>
      <c r="P240" s="110"/>
      <c r="Q240" s="110"/>
    </row>
    <row r="241" spans="1:17" ht="17.5" customHeight="1">
      <c r="A241" s="109" t="s">
        <v>6985</v>
      </c>
      <c r="B241" s="109" t="s">
        <v>6986</v>
      </c>
      <c r="C241" s="111">
        <v>2012</v>
      </c>
      <c r="D241" s="112" t="s">
        <v>6953</v>
      </c>
      <c r="E241" s="112" t="s">
        <v>6953</v>
      </c>
      <c r="F241" s="112" t="s">
        <v>6953</v>
      </c>
      <c r="G241" s="112" t="s">
        <v>6953</v>
      </c>
      <c r="H241" s="112" t="s">
        <v>6953</v>
      </c>
      <c r="I241" s="112" t="s">
        <v>6953</v>
      </c>
      <c r="J241" s="112" t="s">
        <v>6953</v>
      </c>
      <c r="K241" s="112" t="s">
        <v>6953</v>
      </c>
      <c r="L241" s="112" t="s">
        <v>6953</v>
      </c>
      <c r="M241" s="112" t="s">
        <v>6953</v>
      </c>
      <c r="N241" s="112" t="s">
        <v>6953</v>
      </c>
      <c r="O241" s="110"/>
      <c r="P241" s="110"/>
      <c r="Q241" s="110"/>
    </row>
    <row r="242" spans="1:17" ht="17.5" customHeight="1">
      <c r="A242" s="109" t="s">
        <v>6985</v>
      </c>
      <c r="B242" s="109" t="s">
        <v>6986</v>
      </c>
      <c r="C242" s="113">
        <v>2013</v>
      </c>
      <c r="D242" s="112" t="s">
        <v>6953</v>
      </c>
      <c r="E242" s="112" t="s">
        <v>6953</v>
      </c>
      <c r="F242" s="112" t="s">
        <v>6953</v>
      </c>
      <c r="G242" s="112" t="s">
        <v>6953</v>
      </c>
      <c r="H242" s="112" t="s">
        <v>6953</v>
      </c>
      <c r="I242" s="112" t="s">
        <v>6953</v>
      </c>
      <c r="J242" s="112" t="s">
        <v>6953</v>
      </c>
      <c r="K242" s="112" t="s">
        <v>6953</v>
      </c>
      <c r="L242" s="112" t="s">
        <v>6953</v>
      </c>
      <c r="M242" s="112" t="s">
        <v>6953</v>
      </c>
      <c r="N242" s="112" t="s">
        <v>6953</v>
      </c>
    </row>
    <row r="243" spans="1:17" ht="17.5" customHeight="1">
      <c r="A243" s="109" t="s">
        <v>6985</v>
      </c>
      <c r="B243" s="109" t="s">
        <v>6986</v>
      </c>
      <c r="C243" s="113">
        <v>2014</v>
      </c>
      <c r="D243" s="99">
        <v>137</v>
      </c>
      <c r="E243" s="112" t="s">
        <v>6953</v>
      </c>
      <c r="F243" s="112" t="s">
        <v>6953</v>
      </c>
      <c r="G243" s="112" t="s">
        <v>6953</v>
      </c>
      <c r="H243" s="112" t="s">
        <v>6953</v>
      </c>
      <c r="I243" s="112" t="s">
        <v>6953</v>
      </c>
      <c r="J243" s="112" t="s">
        <v>6953</v>
      </c>
      <c r="K243" s="99">
        <v>10</v>
      </c>
      <c r="L243" s="112" t="s">
        <v>6953</v>
      </c>
      <c r="M243" s="112" t="s">
        <v>6953</v>
      </c>
      <c r="N243" s="112" t="s">
        <v>6953</v>
      </c>
      <c r="O243" s="110"/>
      <c r="P243" s="110"/>
      <c r="Q243" s="110"/>
    </row>
    <row r="244" spans="1:17" ht="17.5" customHeight="1">
      <c r="A244" s="109" t="s">
        <v>6985</v>
      </c>
      <c r="B244" s="109" t="s">
        <v>6986</v>
      </c>
      <c r="C244" s="113">
        <v>2015</v>
      </c>
      <c r="D244" s="112" t="s">
        <v>6953</v>
      </c>
      <c r="E244" s="112" t="s">
        <v>6953</v>
      </c>
      <c r="F244" s="112" t="s">
        <v>6953</v>
      </c>
      <c r="G244" s="112" t="s">
        <v>6953</v>
      </c>
      <c r="H244" s="112" t="s">
        <v>6953</v>
      </c>
      <c r="I244" s="112" t="s">
        <v>6953</v>
      </c>
      <c r="J244" s="112" t="s">
        <v>6953</v>
      </c>
      <c r="K244" s="112" t="s">
        <v>6953</v>
      </c>
      <c r="L244" s="112" t="s">
        <v>6953</v>
      </c>
      <c r="M244" s="112" t="s">
        <v>6953</v>
      </c>
      <c r="N244" s="112" t="s">
        <v>6953</v>
      </c>
      <c r="O244" s="110"/>
      <c r="P244" s="110"/>
      <c r="Q244" s="110"/>
    </row>
    <row r="245" spans="1:17" ht="17.5" customHeight="1">
      <c r="A245" s="109" t="s">
        <v>6985</v>
      </c>
      <c r="B245" s="109" t="s">
        <v>6986</v>
      </c>
      <c r="C245" s="113">
        <v>2016</v>
      </c>
      <c r="D245" s="112" t="s">
        <v>6953</v>
      </c>
      <c r="E245" s="112" t="s">
        <v>6953</v>
      </c>
      <c r="F245" s="112" t="s">
        <v>6953</v>
      </c>
      <c r="G245" s="112" t="s">
        <v>6953</v>
      </c>
      <c r="H245" s="112" t="s">
        <v>6953</v>
      </c>
      <c r="I245" s="112" t="s">
        <v>6953</v>
      </c>
      <c r="J245" s="112" t="s">
        <v>6953</v>
      </c>
      <c r="K245" s="112" t="s">
        <v>6953</v>
      </c>
      <c r="L245" s="112" t="s">
        <v>6953</v>
      </c>
      <c r="M245" s="112" t="s">
        <v>6953</v>
      </c>
      <c r="N245" s="112" t="s">
        <v>6953</v>
      </c>
      <c r="O245" s="110"/>
      <c r="P245" s="110"/>
      <c r="Q245" s="110"/>
    </row>
    <row r="246" spans="1:17" ht="17.5" customHeight="1">
      <c r="A246" s="109" t="s">
        <v>6985</v>
      </c>
      <c r="B246" s="109" t="s">
        <v>6986</v>
      </c>
      <c r="C246" s="113">
        <v>2017</v>
      </c>
      <c r="D246" s="112">
        <v>150</v>
      </c>
      <c r="E246" s="112" t="s">
        <v>6953</v>
      </c>
      <c r="F246" s="112" t="s">
        <v>6953</v>
      </c>
      <c r="G246" s="112" t="s">
        <v>6953</v>
      </c>
      <c r="H246" s="112" t="s">
        <v>6953</v>
      </c>
      <c r="I246" s="112" t="s">
        <v>6953</v>
      </c>
      <c r="J246" s="112" t="s">
        <v>6953</v>
      </c>
      <c r="K246" s="112" t="s">
        <v>6953</v>
      </c>
      <c r="L246" s="112" t="s">
        <v>6953</v>
      </c>
      <c r="M246" s="112" t="s">
        <v>6953</v>
      </c>
      <c r="N246" s="112" t="s">
        <v>6953</v>
      </c>
      <c r="O246" s="110"/>
      <c r="P246" s="110"/>
      <c r="Q246" s="110"/>
    </row>
    <row r="247" spans="1:17" ht="17.5" customHeight="1">
      <c r="A247" s="109" t="s">
        <v>6985</v>
      </c>
      <c r="B247" s="109" t="s">
        <v>6986</v>
      </c>
      <c r="C247" s="113">
        <v>2018</v>
      </c>
      <c r="D247" s="112" t="s">
        <v>6953</v>
      </c>
      <c r="E247" s="112" t="s">
        <v>6953</v>
      </c>
      <c r="F247" s="112" t="s">
        <v>6953</v>
      </c>
      <c r="G247" s="112" t="s">
        <v>6953</v>
      </c>
      <c r="H247" s="112" t="s">
        <v>6953</v>
      </c>
      <c r="I247" s="112" t="s">
        <v>6953</v>
      </c>
      <c r="J247" s="112" t="s">
        <v>6953</v>
      </c>
      <c r="K247" s="112" t="s">
        <v>6953</v>
      </c>
      <c r="L247" s="112" t="s">
        <v>6953</v>
      </c>
      <c r="M247" s="112" t="s">
        <v>6953</v>
      </c>
      <c r="N247" s="112" t="s">
        <v>6953</v>
      </c>
    </row>
    <row r="248" spans="1:17" ht="17.5" customHeight="1">
      <c r="A248" s="109" t="s">
        <v>6985</v>
      </c>
      <c r="B248" s="109" t="s">
        <v>6986</v>
      </c>
      <c r="C248" s="113">
        <v>2019</v>
      </c>
      <c r="D248" s="112" t="s">
        <v>6953</v>
      </c>
      <c r="E248" s="112" t="s">
        <v>6953</v>
      </c>
      <c r="F248" s="112" t="s">
        <v>6953</v>
      </c>
      <c r="G248" s="112" t="s">
        <v>6953</v>
      </c>
      <c r="H248" s="112" t="s">
        <v>6953</v>
      </c>
      <c r="I248" s="112" t="s">
        <v>6953</v>
      </c>
      <c r="J248" s="112" t="s">
        <v>6953</v>
      </c>
      <c r="K248" s="112" t="s">
        <v>6953</v>
      </c>
      <c r="L248" s="112" t="s">
        <v>6953</v>
      </c>
      <c r="M248" s="112" t="s">
        <v>6953</v>
      </c>
      <c r="N248" s="112" t="s">
        <v>6953</v>
      </c>
      <c r="O248" s="110"/>
      <c r="P248" s="110"/>
      <c r="Q248" s="110"/>
    </row>
    <row r="249" spans="1:17" ht="17.5" customHeight="1">
      <c r="A249" s="114" t="s">
        <v>6985</v>
      </c>
      <c r="B249" s="114" t="s">
        <v>6986</v>
      </c>
      <c r="C249" s="113">
        <v>2020</v>
      </c>
      <c r="D249" s="112" t="s">
        <v>6953</v>
      </c>
      <c r="E249" s="112" t="s">
        <v>6953</v>
      </c>
      <c r="F249" s="112">
        <v>1277.241651</v>
      </c>
      <c r="G249" s="112" t="s">
        <v>6953</v>
      </c>
      <c r="H249" s="112">
        <v>443.74265800000001</v>
      </c>
      <c r="I249" s="112" t="s">
        <v>6953</v>
      </c>
      <c r="J249" s="112" t="s">
        <v>6953</v>
      </c>
      <c r="K249" s="112">
        <v>4.96082</v>
      </c>
      <c r="L249" s="112">
        <v>284.25426199999998</v>
      </c>
      <c r="M249" s="112" t="s">
        <v>6953</v>
      </c>
      <c r="N249" s="112" t="s">
        <v>6953</v>
      </c>
    </row>
    <row r="250" spans="1:17" ht="17.5" customHeight="1">
      <c r="A250" s="109" t="s">
        <v>6987</v>
      </c>
      <c r="B250" s="109" t="s">
        <v>6988</v>
      </c>
      <c r="C250" s="98">
        <v>2008</v>
      </c>
      <c r="D250" s="99">
        <v>5</v>
      </c>
      <c r="E250" s="99">
        <v>1402</v>
      </c>
      <c r="F250" s="99">
        <v>95</v>
      </c>
      <c r="G250" s="99">
        <v>1332</v>
      </c>
      <c r="H250" s="99">
        <v>74</v>
      </c>
      <c r="I250" s="112" t="s">
        <v>6953</v>
      </c>
      <c r="J250" s="112" t="s">
        <v>6953</v>
      </c>
      <c r="K250" s="112" t="s">
        <v>6953</v>
      </c>
      <c r="L250" s="99">
        <v>117</v>
      </c>
      <c r="M250" s="99">
        <v>90</v>
      </c>
      <c r="N250" s="99">
        <v>27</v>
      </c>
    </row>
    <row r="251" spans="1:17" ht="17.5" customHeight="1">
      <c r="A251" s="109" t="s">
        <v>6987</v>
      </c>
      <c r="B251" s="109" t="s">
        <v>6988</v>
      </c>
      <c r="C251" s="98">
        <v>2009</v>
      </c>
      <c r="D251" s="112" t="s">
        <v>6953</v>
      </c>
      <c r="E251" s="112" t="s">
        <v>6953</v>
      </c>
      <c r="F251" s="112" t="s">
        <v>6953</v>
      </c>
      <c r="G251" s="112" t="s">
        <v>6953</v>
      </c>
      <c r="H251" s="112" t="s">
        <v>6953</v>
      </c>
      <c r="I251" s="112" t="s">
        <v>6953</v>
      </c>
      <c r="J251" s="112" t="s">
        <v>6953</v>
      </c>
      <c r="K251" s="112" t="s">
        <v>6953</v>
      </c>
      <c r="L251" s="112" t="s">
        <v>6953</v>
      </c>
      <c r="M251" s="112" t="s">
        <v>6953</v>
      </c>
      <c r="N251" s="112" t="s">
        <v>6953</v>
      </c>
      <c r="O251" s="110"/>
      <c r="P251" s="110"/>
      <c r="Q251" s="110"/>
    </row>
    <row r="252" spans="1:17" ht="17.5" customHeight="1">
      <c r="A252" s="109" t="s">
        <v>6987</v>
      </c>
      <c r="B252" s="109" t="s">
        <v>6988</v>
      </c>
      <c r="C252" s="98">
        <v>2010</v>
      </c>
      <c r="D252" s="112" t="s">
        <v>6953</v>
      </c>
      <c r="E252" s="112" t="s">
        <v>6953</v>
      </c>
      <c r="F252" s="112" t="s">
        <v>6953</v>
      </c>
      <c r="G252" s="112" t="s">
        <v>6953</v>
      </c>
      <c r="H252" s="112" t="s">
        <v>6953</v>
      </c>
      <c r="I252" s="112" t="s">
        <v>6953</v>
      </c>
      <c r="J252" s="112" t="s">
        <v>6953</v>
      </c>
      <c r="K252" s="112" t="s">
        <v>6953</v>
      </c>
      <c r="L252" s="112" t="s">
        <v>6953</v>
      </c>
      <c r="M252" s="112" t="s">
        <v>6953</v>
      </c>
      <c r="N252" s="112" t="s">
        <v>6953</v>
      </c>
      <c r="O252" s="110"/>
      <c r="P252" s="110"/>
      <c r="Q252" s="110"/>
    </row>
    <row r="253" spans="1:17" ht="17.5" customHeight="1">
      <c r="A253" s="109" t="s">
        <v>6987</v>
      </c>
      <c r="B253" s="109" t="s">
        <v>6988</v>
      </c>
      <c r="C253" s="98">
        <v>2011</v>
      </c>
      <c r="D253" s="112" t="s">
        <v>6953</v>
      </c>
      <c r="E253" s="112" t="s">
        <v>6953</v>
      </c>
      <c r="F253" s="112" t="s">
        <v>6953</v>
      </c>
      <c r="G253" s="112" t="s">
        <v>6953</v>
      </c>
      <c r="H253" s="112" t="s">
        <v>6953</v>
      </c>
      <c r="I253" s="112" t="s">
        <v>6953</v>
      </c>
      <c r="J253" s="112" t="s">
        <v>6953</v>
      </c>
      <c r="K253" s="112" t="s">
        <v>6953</v>
      </c>
      <c r="L253" s="112" t="s">
        <v>6953</v>
      </c>
      <c r="M253" s="112" t="s">
        <v>6953</v>
      </c>
      <c r="N253" s="112" t="s">
        <v>6953</v>
      </c>
      <c r="O253" s="110"/>
      <c r="P253" s="110"/>
      <c r="Q253" s="110"/>
    </row>
    <row r="254" spans="1:17" ht="17.5" customHeight="1">
      <c r="A254" s="109" t="s">
        <v>6987</v>
      </c>
      <c r="B254" s="109" t="s">
        <v>6988</v>
      </c>
      <c r="C254" s="111">
        <v>2012</v>
      </c>
      <c r="D254" s="112" t="s">
        <v>6953</v>
      </c>
      <c r="E254" s="112" t="s">
        <v>6953</v>
      </c>
      <c r="F254" s="112" t="s">
        <v>6953</v>
      </c>
      <c r="G254" s="112" t="s">
        <v>6953</v>
      </c>
      <c r="H254" s="112" t="s">
        <v>6953</v>
      </c>
      <c r="I254" s="112" t="s">
        <v>6953</v>
      </c>
      <c r="J254" s="112" t="s">
        <v>6953</v>
      </c>
      <c r="K254" s="112" t="s">
        <v>6953</v>
      </c>
      <c r="L254" s="112" t="s">
        <v>6953</v>
      </c>
      <c r="M254" s="112" t="s">
        <v>6953</v>
      </c>
      <c r="N254" s="112" t="s">
        <v>6953</v>
      </c>
    </row>
    <row r="255" spans="1:17" ht="17.5" customHeight="1">
      <c r="A255" s="109" t="s">
        <v>6987</v>
      </c>
      <c r="B255" s="109" t="s">
        <v>6988</v>
      </c>
      <c r="C255" s="113">
        <v>2013</v>
      </c>
      <c r="D255" s="112" t="s">
        <v>6953</v>
      </c>
      <c r="E255" s="112" t="s">
        <v>6953</v>
      </c>
      <c r="F255" s="112" t="s">
        <v>6953</v>
      </c>
      <c r="G255" s="112" t="s">
        <v>6953</v>
      </c>
      <c r="H255" s="112" t="s">
        <v>6953</v>
      </c>
      <c r="I255" s="112" t="s">
        <v>6953</v>
      </c>
      <c r="J255" s="112" t="s">
        <v>6953</v>
      </c>
      <c r="K255" s="112" t="s">
        <v>6953</v>
      </c>
      <c r="L255" s="112" t="s">
        <v>6953</v>
      </c>
      <c r="M255" s="112" t="s">
        <v>6953</v>
      </c>
      <c r="N255" s="112" t="s">
        <v>6953</v>
      </c>
      <c r="O255" s="110"/>
      <c r="P255" s="110"/>
      <c r="Q255" s="110"/>
    </row>
    <row r="256" spans="1:17" ht="17.5" customHeight="1">
      <c r="A256" s="109" t="s">
        <v>6987</v>
      </c>
      <c r="B256" s="109" t="s">
        <v>6988</v>
      </c>
      <c r="C256" s="113">
        <v>2014</v>
      </c>
      <c r="D256" s="99">
        <v>6</v>
      </c>
      <c r="E256" s="112" t="s">
        <v>6953</v>
      </c>
      <c r="F256" s="112" t="s">
        <v>6953</v>
      </c>
      <c r="G256" s="112" t="s">
        <v>6953</v>
      </c>
      <c r="H256" s="112" t="s">
        <v>6953</v>
      </c>
      <c r="I256" s="112" t="s">
        <v>6953</v>
      </c>
      <c r="J256" s="112" t="s">
        <v>6953</v>
      </c>
      <c r="K256" s="112" t="s">
        <v>6953</v>
      </c>
      <c r="L256" s="112" t="s">
        <v>6953</v>
      </c>
      <c r="M256" s="112" t="s">
        <v>6953</v>
      </c>
      <c r="N256" s="112" t="s">
        <v>6953</v>
      </c>
      <c r="O256" s="110"/>
      <c r="P256" s="110"/>
      <c r="Q256" s="110"/>
    </row>
    <row r="257" spans="1:17" ht="17.5" customHeight="1">
      <c r="A257" s="109" t="s">
        <v>6987</v>
      </c>
      <c r="B257" s="109" t="s">
        <v>6988</v>
      </c>
      <c r="C257" s="113">
        <v>2015</v>
      </c>
      <c r="D257" s="112" t="s">
        <v>6953</v>
      </c>
      <c r="E257" s="112" t="s">
        <v>6953</v>
      </c>
      <c r="F257" s="112" t="s">
        <v>6953</v>
      </c>
      <c r="G257" s="112" t="s">
        <v>6953</v>
      </c>
      <c r="H257" s="112" t="s">
        <v>6953</v>
      </c>
      <c r="I257" s="112" t="s">
        <v>6953</v>
      </c>
      <c r="J257" s="112" t="s">
        <v>6953</v>
      </c>
      <c r="K257" s="112" t="s">
        <v>6953</v>
      </c>
      <c r="L257" s="112" t="s">
        <v>6953</v>
      </c>
      <c r="M257" s="112" t="s">
        <v>6953</v>
      </c>
      <c r="N257" s="112" t="s">
        <v>6953</v>
      </c>
      <c r="O257" s="110"/>
      <c r="P257" s="110"/>
      <c r="Q257" s="110"/>
    </row>
    <row r="258" spans="1:17" ht="17.5" customHeight="1">
      <c r="A258" s="109" t="s">
        <v>6987</v>
      </c>
      <c r="B258" s="109" t="s">
        <v>6988</v>
      </c>
      <c r="C258" s="113">
        <v>2016</v>
      </c>
      <c r="D258" s="112" t="s">
        <v>6953</v>
      </c>
      <c r="E258" s="112" t="s">
        <v>6953</v>
      </c>
      <c r="F258" s="112" t="s">
        <v>6953</v>
      </c>
      <c r="G258" s="112" t="s">
        <v>6953</v>
      </c>
      <c r="H258" s="112" t="s">
        <v>6953</v>
      </c>
      <c r="I258" s="112" t="s">
        <v>6953</v>
      </c>
      <c r="J258" s="112" t="s">
        <v>6953</v>
      </c>
      <c r="K258" s="112" t="s">
        <v>6953</v>
      </c>
      <c r="L258" s="112" t="s">
        <v>6953</v>
      </c>
      <c r="M258" s="112" t="s">
        <v>6953</v>
      </c>
      <c r="N258" s="112" t="s">
        <v>6953</v>
      </c>
      <c r="O258" s="110"/>
      <c r="P258" s="110"/>
      <c r="Q258" s="110"/>
    </row>
    <row r="259" spans="1:17" ht="17.5" customHeight="1">
      <c r="A259" s="109" t="s">
        <v>6987</v>
      </c>
      <c r="B259" s="109" t="s">
        <v>6988</v>
      </c>
      <c r="C259" s="113">
        <v>2017</v>
      </c>
      <c r="D259" s="112">
        <v>5</v>
      </c>
      <c r="E259" s="112" t="s">
        <v>6953</v>
      </c>
      <c r="F259" s="112" t="s">
        <v>6953</v>
      </c>
      <c r="G259" s="112" t="s">
        <v>6953</v>
      </c>
      <c r="H259" s="112" t="s">
        <v>6953</v>
      </c>
      <c r="I259" s="112" t="s">
        <v>6953</v>
      </c>
      <c r="J259" s="112" t="s">
        <v>6953</v>
      </c>
      <c r="K259" s="112" t="s">
        <v>6953</v>
      </c>
      <c r="L259" s="112" t="s">
        <v>6953</v>
      </c>
      <c r="M259" s="112" t="s">
        <v>6953</v>
      </c>
      <c r="N259" s="112" t="s">
        <v>6953</v>
      </c>
    </row>
    <row r="260" spans="1:17" ht="17.5" customHeight="1">
      <c r="A260" s="109" t="s">
        <v>6987</v>
      </c>
      <c r="B260" s="109" t="s">
        <v>6988</v>
      </c>
      <c r="C260" s="113">
        <v>2018</v>
      </c>
      <c r="D260" s="112" t="s">
        <v>6953</v>
      </c>
      <c r="E260" s="112" t="s">
        <v>6953</v>
      </c>
      <c r="F260" s="112" t="s">
        <v>6953</v>
      </c>
      <c r="G260" s="112" t="s">
        <v>6953</v>
      </c>
      <c r="H260" s="112" t="s">
        <v>6953</v>
      </c>
      <c r="I260" s="112" t="s">
        <v>6953</v>
      </c>
      <c r="J260" s="112" t="s">
        <v>6953</v>
      </c>
      <c r="K260" s="112" t="s">
        <v>6953</v>
      </c>
      <c r="L260" s="112" t="s">
        <v>6953</v>
      </c>
      <c r="M260" s="112" t="s">
        <v>6953</v>
      </c>
      <c r="N260" s="112" t="s">
        <v>6953</v>
      </c>
      <c r="O260" s="110"/>
      <c r="P260" s="110"/>
      <c r="Q260" s="110"/>
    </row>
    <row r="261" spans="1:17" ht="17.5" customHeight="1">
      <c r="A261" s="109" t="s">
        <v>6987</v>
      </c>
      <c r="B261" s="109" t="s">
        <v>6988</v>
      </c>
      <c r="C261" s="113">
        <v>2019</v>
      </c>
      <c r="D261" s="112" t="s">
        <v>6953</v>
      </c>
      <c r="E261" s="112" t="s">
        <v>6953</v>
      </c>
      <c r="F261" s="112" t="s">
        <v>6953</v>
      </c>
      <c r="G261" s="112" t="s">
        <v>6953</v>
      </c>
      <c r="H261" s="112" t="s">
        <v>6953</v>
      </c>
      <c r="I261" s="112" t="s">
        <v>6953</v>
      </c>
      <c r="J261" s="112" t="s">
        <v>6953</v>
      </c>
      <c r="K261" s="112" t="s">
        <v>6953</v>
      </c>
      <c r="L261" s="112" t="s">
        <v>6953</v>
      </c>
      <c r="M261" s="112" t="s">
        <v>6953</v>
      </c>
      <c r="N261" s="112" t="s">
        <v>6953</v>
      </c>
    </row>
    <row r="262" spans="1:17" ht="17.5" customHeight="1">
      <c r="A262" s="114" t="s">
        <v>6987</v>
      </c>
      <c r="B262" s="114" t="s">
        <v>6988</v>
      </c>
      <c r="C262" s="113">
        <v>2020</v>
      </c>
      <c r="D262" s="112" t="s">
        <v>6953</v>
      </c>
      <c r="E262" s="112" t="s">
        <v>6953</v>
      </c>
      <c r="F262" s="112">
        <v>17.000399999999999</v>
      </c>
      <c r="G262" s="112" t="s">
        <v>6953</v>
      </c>
      <c r="H262" s="112">
        <v>104.722846</v>
      </c>
      <c r="I262" s="112" t="s">
        <v>6953</v>
      </c>
      <c r="J262" s="112" t="s">
        <v>6953</v>
      </c>
      <c r="K262" s="112" t="s">
        <v>6952</v>
      </c>
      <c r="L262" s="112">
        <v>92.884314000000003</v>
      </c>
      <c r="M262" s="112" t="s">
        <v>6953</v>
      </c>
      <c r="N262" s="112" t="s">
        <v>6953</v>
      </c>
    </row>
    <row r="263" spans="1:17" ht="17.5" customHeight="1">
      <c r="A263" s="109" t="s">
        <v>6989</v>
      </c>
      <c r="B263" s="109" t="s">
        <v>6990</v>
      </c>
      <c r="C263" s="98">
        <v>2008</v>
      </c>
      <c r="D263" s="99">
        <v>2127</v>
      </c>
      <c r="E263" s="99">
        <v>9383</v>
      </c>
      <c r="F263" s="99">
        <v>3834</v>
      </c>
      <c r="G263" s="99">
        <v>5571</v>
      </c>
      <c r="H263" s="99">
        <v>2246</v>
      </c>
      <c r="I263" s="99">
        <v>341</v>
      </c>
      <c r="J263" s="99">
        <v>403</v>
      </c>
      <c r="K263" s="99">
        <v>62</v>
      </c>
      <c r="L263" s="99">
        <v>365</v>
      </c>
      <c r="M263" s="99">
        <v>352</v>
      </c>
      <c r="N263" s="99">
        <v>13</v>
      </c>
      <c r="O263" s="110"/>
      <c r="P263" s="110"/>
      <c r="Q263" s="110"/>
    </row>
    <row r="264" spans="1:17" ht="17.5" customHeight="1">
      <c r="A264" s="109" t="s">
        <v>6989</v>
      </c>
      <c r="B264" s="109" t="s">
        <v>6990</v>
      </c>
      <c r="C264" s="98">
        <v>2009</v>
      </c>
      <c r="D264" s="99">
        <v>2091</v>
      </c>
      <c r="E264" s="99">
        <v>9340</v>
      </c>
      <c r="F264" s="99">
        <v>4041</v>
      </c>
      <c r="G264" s="99">
        <v>5318</v>
      </c>
      <c r="H264" s="99">
        <v>2313</v>
      </c>
      <c r="I264" s="99">
        <v>284</v>
      </c>
      <c r="J264" s="99">
        <v>306</v>
      </c>
      <c r="K264" s="99">
        <v>22</v>
      </c>
      <c r="L264" s="99">
        <v>350</v>
      </c>
      <c r="M264" s="99">
        <v>336</v>
      </c>
      <c r="N264" s="99">
        <v>14</v>
      </c>
      <c r="O264" s="110"/>
      <c r="P264" s="110"/>
      <c r="Q264" s="110"/>
    </row>
    <row r="265" spans="1:17" ht="17.5" customHeight="1">
      <c r="A265" s="109" t="s">
        <v>6989</v>
      </c>
      <c r="B265" s="109" t="s">
        <v>6990</v>
      </c>
      <c r="C265" s="98">
        <v>2010</v>
      </c>
      <c r="D265" s="99">
        <v>2123</v>
      </c>
      <c r="E265" s="99">
        <v>9720</v>
      </c>
      <c r="F265" s="99">
        <v>4165</v>
      </c>
      <c r="G265" s="99">
        <v>5526</v>
      </c>
      <c r="H265" s="99">
        <v>2404</v>
      </c>
      <c r="I265" s="99">
        <v>365</v>
      </c>
      <c r="J265" s="99">
        <v>401</v>
      </c>
      <c r="K265" s="99">
        <v>36</v>
      </c>
      <c r="L265" s="99">
        <v>445</v>
      </c>
      <c r="M265" s="99">
        <v>472</v>
      </c>
      <c r="N265" s="99">
        <v>-26</v>
      </c>
      <c r="O265" s="110"/>
      <c r="P265" s="110"/>
      <c r="Q265" s="110"/>
    </row>
    <row r="266" spans="1:17" ht="17.5" customHeight="1">
      <c r="A266" s="109" t="s">
        <v>6989</v>
      </c>
      <c r="B266" s="109" t="s">
        <v>6990</v>
      </c>
      <c r="C266" s="98">
        <v>2011</v>
      </c>
      <c r="D266" s="99">
        <v>2207</v>
      </c>
      <c r="E266" s="99">
        <v>9925</v>
      </c>
      <c r="F266" s="99">
        <v>3773</v>
      </c>
      <c r="G266" s="99">
        <v>6145</v>
      </c>
      <c r="H266" s="99">
        <v>2283</v>
      </c>
      <c r="I266" s="99">
        <v>323</v>
      </c>
      <c r="J266" s="99">
        <v>444</v>
      </c>
      <c r="K266" s="99">
        <v>122</v>
      </c>
      <c r="L266" s="99">
        <v>435</v>
      </c>
      <c r="M266" s="99">
        <v>447</v>
      </c>
      <c r="N266" s="99">
        <v>-12</v>
      </c>
    </row>
    <row r="267" spans="1:17" ht="17.5" customHeight="1">
      <c r="A267" s="109" t="s">
        <v>6989</v>
      </c>
      <c r="B267" s="109" t="s">
        <v>6990</v>
      </c>
      <c r="C267" s="111">
        <v>2012</v>
      </c>
      <c r="D267" s="112">
        <v>2356</v>
      </c>
      <c r="E267" s="112">
        <v>9799</v>
      </c>
      <c r="F267" s="112">
        <v>3403</v>
      </c>
      <c r="G267" s="112">
        <v>6436</v>
      </c>
      <c r="H267" s="112">
        <v>2237</v>
      </c>
      <c r="I267" s="112">
        <v>340</v>
      </c>
      <c r="J267" s="112">
        <v>349</v>
      </c>
      <c r="K267" s="112">
        <v>8</v>
      </c>
      <c r="L267" s="112">
        <v>489</v>
      </c>
      <c r="M267" s="112">
        <v>451</v>
      </c>
      <c r="N267" s="112">
        <v>37</v>
      </c>
      <c r="O267" s="110"/>
      <c r="P267" s="110"/>
      <c r="Q267" s="110"/>
    </row>
    <row r="268" spans="1:17" ht="17.5" customHeight="1">
      <c r="A268" s="109" t="s">
        <v>6989</v>
      </c>
      <c r="B268" s="109" t="s">
        <v>6990</v>
      </c>
      <c r="C268" s="113">
        <v>2013</v>
      </c>
      <c r="D268" s="112">
        <v>2400</v>
      </c>
      <c r="E268" s="112">
        <v>10182</v>
      </c>
      <c r="F268" s="112">
        <v>3593</v>
      </c>
      <c r="G268" s="112">
        <v>6603</v>
      </c>
      <c r="H268" s="112">
        <v>2172</v>
      </c>
      <c r="I268" s="112">
        <v>487</v>
      </c>
      <c r="J268" s="112">
        <v>503</v>
      </c>
      <c r="K268" s="112">
        <v>16</v>
      </c>
      <c r="L268" s="112">
        <v>489</v>
      </c>
      <c r="M268" s="112">
        <v>478</v>
      </c>
      <c r="N268" s="112">
        <v>12</v>
      </c>
      <c r="O268" s="110"/>
      <c r="P268" s="110"/>
      <c r="Q268" s="110"/>
    </row>
    <row r="269" spans="1:17" ht="17.5" customHeight="1">
      <c r="A269" s="109" t="s">
        <v>6989</v>
      </c>
      <c r="B269" s="109" t="s">
        <v>6990</v>
      </c>
      <c r="C269" s="113">
        <v>2014</v>
      </c>
      <c r="D269" s="99">
        <v>2447</v>
      </c>
      <c r="E269" s="99">
        <v>9905</v>
      </c>
      <c r="F269" s="99">
        <v>3519</v>
      </c>
      <c r="G269" s="99">
        <v>6421</v>
      </c>
      <c r="H269" s="99">
        <v>2213</v>
      </c>
      <c r="I269" s="99">
        <v>453</v>
      </c>
      <c r="J269" s="99">
        <v>481</v>
      </c>
      <c r="K269" s="99">
        <v>28</v>
      </c>
      <c r="L269" s="99">
        <v>446</v>
      </c>
      <c r="M269" s="99">
        <v>451</v>
      </c>
      <c r="N269" s="99">
        <v>-5</v>
      </c>
      <c r="O269" s="110"/>
      <c r="P269" s="110"/>
      <c r="Q269" s="110"/>
    </row>
    <row r="270" spans="1:17" ht="17.5" customHeight="1">
      <c r="A270" s="109" t="s">
        <v>6989</v>
      </c>
      <c r="B270" s="109" t="s">
        <v>6990</v>
      </c>
      <c r="C270" s="113">
        <v>2015</v>
      </c>
      <c r="D270" s="112">
        <v>2597</v>
      </c>
      <c r="E270" s="112">
        <v>9928</v>
      </c>
      <c r="F270" s="112">
        <v>3835</v>
      </c>
      <c r="G270" s="112">
        <v>6098</v>
      </c>
      <c r="H270" s="112">
        <v>2386</v>
      </c>
      <c r="I270" s="112">
        <v>451</v>
      </c>
      <c r="J270" s="112">
        <v>470</v>
      </c>
      <c r="K270" s="112">
        <v>19</v>
      </c>
      <c r="L270" s="112">
        <v>482</v>
      </c>
      <c r="M270" s="112">
        <v>484</v>
      </c>
      <c r="N270" s="112">
        <v>-2</v>
      </c>
      <c r="O270" s="110"/>
      <c r="P270" s="110"/>
      <c r="Q270" s="110"/>
    </row>
    <row r="271" spans="1:17" ht="17.5" customHeight="1">
      <c r="A271" s="109" t="s">
        <v>6989</v>
      </c>
      <c r="B271" s="109" t="s">
        <v>6990</v>
      </c>
      <c r="C271" s="113">
        <v>2016</v>
      </c>
      <c r="D271" s="112">
        <v>2801</v>
      </c>
      <c r="E271" s="112">
        <v>10368</v>
      </c>
      <c r="F271" s="112">
        <v>3778</v>
      </c>
      <c r="G271" s="112">
        <v>6645</v>
      </c>
      <c r="H271" s="112">
        <v>2511</v>
      </c>
      <c r="I271" s="112">
        <v>399</v>
      </c>
      <c r="J271" s="112">
        <v>408</v>
      </c>
      <c r="K271" s="112">
        <v>9</v>
      </c>
      <c r="L271" s="112">
        <v>464</v>
      </c>
      <c r="M271" s="112">
        <v>453</v>
      </c>
      <c r="N271" s="112">
        <v>11</v>
      </c>
    </row>
    <row r="272" spans="1:17" ht="17.5" customHeight="1">
      <c r="A272" s="109" t="s">
        <v>6989</v>
      </c>
      <c r="B272" s="109" t="s">
        <v>6990</v>
      </c>
      <c r="C272" s="113">
        <v>2017</v>
      </c>
      <c r="D272" s="112">
        <v>2858</v>
      </c>
      <c r="E272" s="112">
        <v>10419</v>
      </c>
      <c r="F272" s="112">
        <v>3959</v>
      </c>
      <c r="G272" s="112">
        <v>6582</v>
      </c>
      <c r="H272" s="112">
        <v>2730</v>
      </c>
      <c r="I272" s="112">
        <v>462</v>
      </c>
      <c r="J272" s="112">
        <v>480</v>
      </c>
      <c r="K272" s="112">
        <v>17</v>
      </c>
      <c r="L272" s="112">
        <v>490</v>
      </c>
      <c r="M272" s="112">
        <v>437</v>
      </c>
      <c r="N272" s="112">
        <v>53</v>
      </c>
      <c r="O272" s="110"/>
      <c r="P272" s="110"/>
      <c r="Q272" s="110"/>
    </row>
    <row r="273" spans="1:17" ht="17.5" customHeight="1">
      <c r="A273" s="109" t="s">
        <v>6989</v>
      </c>
      <c r="B273" s="109" t="s">
        <v>6990</v>
      </c>
      <c r="C273" s="113">
        <v>2018</v>
      </c>
      <c r="D273" s="112">
        <v>2877</v>
      </c>
      <c r="E273" s="112">
        <v>10373</v>
      </c>
      <c r="F273" s="112">
        <v>4029</v>
      </c>
      <c r="G273" s="112">
        <v>6403</v>
      </c>
      <c r="H273" s="112">
        <v>2576</v>
      </c>
      <c r="I273" s="112">
        <v>441</v>
      </c>
      <c r="J273" s="112">
        <v>454</v>
      </c>
      <c r="K273" s="112">
        <v>13</v>
      </c>
      <c r="L273" s="112">
        <v>526</v>
      </c>
      <c r="M273" s="112">
        <v>496</v>
      </c>
      <c r="N273" s="112">
        <v>30</v>
      </c>
    </row>
    <row r="274" spans="1:17" ht="17.5" customHeight="1">
      <c r="A274" s="109" t="s">
        <v>6989</v>
      </c>
      <c r="B274" s="109" t="s">
        <v>6990</v>
      </c>
      <c r="C274" s="113">
        <v>2019</v>
      </c>
      <c r="D274" s="112">
        <v>2818</v>
      </c>
      <c r="E274" s="112">
        <v>10401.870973999999</v>
      </c>
      <c r="F274" s="112">
        <v>4199.8534079999999</v>
      </c>
      <c r="G274" s="112">
        <v>6294.8305</v>
      </c>
      <c r="H274" s="112">
        <v>2741.4950840000001</v>
      </c>
      <c r="I274" s="112">
        <v>463.462197</v>
      </c>
      <c r="J274" s="112">
        <v>479.159918</v>
      </c>
      <c r="K274" s="112">
        <v>15.697721</v>
      </c>
      <c r="L274" s="112">
        <v>595.26332000000002</v>
      </c>
      <c r="M274" s="112">
        <v>540.80451700000003</v>
      </c>
      <c r="N274" s="112">
        <v>54.458803000000003</v>
      </c>
    </row>
    <row r="275" spans="1:17" ht="17.5" customHeight="1">
      <c r="A275" s="114" t="s">
        <v>6989</v>
      </c>
      <c r="B275" s="114" t="s">
        <v>6991</v>
      </c>
      <c r="C275" s="113">
        <v>2020</v>
      </c>
      <c r="D275" s="112">
        <v>3006</v>
      </c>
      <c r="E275" s="112">
        <v>10811.807048000001</v>
      </c>
      <c r="F275" s="112">
        <v>4364.7883060000004</v>
      </c>
      <c r="G275" s="112">
        <v>6632.3462630000004</v>
      </c>
      <c r="H275" s="112">
        <v>2797.2188139999998</v>
      </c>
      <c r="I275" s="112">
        <v>449.25773600000002</v>
      </c>
      <c r="J275" s="112">
        <v>470.74847699999998</v>
      </c>
      <c r="K275" s="112">
        <v>21.490742000000001</v>
      </c>
      <c r="L275" s="112">
        <v>603.43025499999999</v>
      </c>
      <c r="M275" s="112">
        <v>575.22380399999997</v>
      </c>
      <c r="N275" s="112">
        <v>28.206451000000001</v>
      </c>
      <c r="O275" s="110"/>
      <c r="P275" s="110"/>
      <c r="Q275" s="110"/>
    </row>
    <row r="276" spans="1:17" ht="31.75" customHeight="1">
      <c r="A276" s="109" t="s">
        <v>6992</v>
      </c>
      <c r="B276" s="109" t="s">
        <v>6993</v>
      </c>
      <c r="C276" s="98">
        <v>2008</v>
      </c>
      <c r="D276" s="99">
        <v>1874</v>
      </c>
      <c r="E276" s="99">
        <v>5757</v>
      </c>
      <c r="F276" s="99">
        <v>2272</v>
      </c>
      <c r="G276" s="99">
        <v>3507</v>
      </c>
      <c r="H276" s="99">
        <v>1455</v>
      </c>
      <c r="I276" s="99">
        <v>261</v>
      </c>
      <c r="J276" s="99">
        <v>281</v>
      </c>
      <c r="K276" s="99">
        <v>20</v>
      </c>
      <c r="L276" s="99">
        <v>176</v>
      </c>
      <c r="M276" s="99">
        <v>163</v>
      </c>
      <c r="N276" s="99">
        <v>12</v>
      </c>
      <c r="O276" s="110"/>
      <c r="P276" s="110"/>
      <c r="Q276" s="110"/>
    </row>
    <row r="277" spans="1:17" ht="31.75" customHeight="1">
      <c r="A277" s="109" t="s">
        <v>6992</v>
      </c>
      <c r="B277" s="109" t="s">
        <v>6993</v>
      </c>
      <c r="C277" s="98">
        <v>2009</v>
      </c>
      <c r="D277" s="99">
        <v>1858</v>
      </c>
      <c r="E277" s="99">
        <v>6011</v>
      </c>
      <c r="F277" s="99">
        <v>2531</v>
      </c>
      <c r="G277" s="99">
        <v>3486</v>
      </c>
      <c r="H277" s="99">
        <v>1579</v>
      </c>
      <c r="I277" s="99">
        <v>183</v>
      </c>
      <c r="J277" s="99">
        <v>196</v>
      </c>
      <c r="K277" s="99">
        <v>12</v>
      </c>
      <c r="L277" s="99">
        <v>182</v>
      </c>
      <c r="M277" s="99">
        <v>179</v>
      </c>
      <c r="N277" s="99">
        <v>3</v>
      </c>
    </row>
    <row r="278" spans="1:17" ht="31.75" customHeight="1">
      <c r="A278" s="109" t="s">
        <v>6992</v>
      </c>
      <c r="B278" s="109" t="s">
        <v>6993</v>
      </c>
      <c r="C278" s="98">
        <v>2010</v>
      </c>
      <c r="D278" s="99">
        <v>1891</v>
      </c>
      <c r="E278" s="99">
        <v>6256</v>
      </c>
      <c r="F278" s="99">
        <v>2728</v>
      </c>
      <c r="G278" s="99">
        <v>3518</v>
      </c>
      <c r="H278" s="99">
        <v>1581</v>
      </c>
      <c r="I278" s="99">
        <v>222</v>
      </c>
      <c r="J278" s="99">
        <v>252</v>
      </c>
      <c r="K278" s="99">
        <v>30</v>
      </c>
      <c r="L278" s="99">
        <v>278</v>
      </c>
      <c r="M278" s="99">
        <v>284</v>
      </c>
      <c r="N278" s="99">
        <v>-6</v>
      </c>
    </row>
    <row r="279" spans="1:17" ht="31.75" customHeight="1">
      <c r="A279" s="109" t="s">
        <v>6992</v>
      </c>
      <c r="B279" s="109" t="s">
        <v>6993</v>
      </c>
      <c r="C279" s="98">
        <v>2011</v>
      </c>
      <c r="D279" s="99">
        <v>1983</v>
      </c>
      <c r="E279" s="99">
        <v>6766</v>
      </c>
      <c r="F279" s="99">
        <v>2575</v>
      </c>
      <c r="G279" s="99">
        <v>4172</v>
      </c>
      <c r="H279" s="99">
        <v>1589</v>
      </c>
      <c r="I279" s="99">
        <v>221</v>
      </c>
      <c r="J279" s="99">
        <v>340</v>
      </c>
      <c r="K279" s="99">
        <v>119</v>
      </c>
      <c r="L279" s="99">
        <v>257</v>
      </c>
      <c r="M279" s="99">
        <v>278</v>
      </c>
      <c r="N279" s="99">
        <v>-21</v>
      </c>
      <c r="O279" s="110"/>
      <c r="P279" s="110"/>
      <c r="Q279" s="110"/>
    </row>
    <row r="280" spans="1:17" ht="31.75" customHeight="1">
      <c r="A280" s="109" t="s">
        <v>6992</v>
      </c>
      <c r="B280" s="109" t="s">
        <v>6993</v>
      </c>
      <c r="C280" s="111">
        <v>2012</v>
      </c>
      <c r="D280" s="112">
        <v>2104</v>
      </c>
      <c r="E280" s="112">
        <v>6473</v>
      </c>
      <c r="F280" s="112">
        <v>2138</v>
      </c>
      <c r="G280" s="112">
        <v>4331</v>
      </c>
      <c r="H280" s="112">
        <v>1572</v>
      </c>
      <c r="I280" s="112">
        <v>231</v>
      </c>
      <c r="J280" s="112">
        <v>237</v>
      </c>
      <c r="K280" s="112">
        <v>6</v>
      </c>
      <c r="L280" s="112">
        <v>256</v>
      </c>
      <c r="M280" s="112">
        <v>262</v>
      </c>
      <c r="N280" s="112">
        <v>-6</v>
      </c>
      <c r="O280" s="110"/>
      <c r="P280" s="110"/>
      <c r="Q280" s="110"/>
    </row>
    <row r="281" spans="1:17" ht="31.75" customHeight="1">
      <c r="A281" s="109" t="s">
        <v>6992</v>
      </c>
      <c r="B281" s="109" t="s">
        <v>6993</v>
      </c>
      <c r="C281" s="113">
        <v>2013</v>
      </c>
      <c r="D281" s="112">
        <v>2130</v>
      </c>
      <c r="E281" s="112">
        <v>6868</v>
      </c>
      <c r="F281" s="112">
        <v>2359</v>
      </c>
      <c r="G281" s="112">
        <v>4509</v>
      </c>
      <c r="H281" s="112">
        <v>1494</v>
      </c>
      <c r="I281" s="112">
        <v>372</v>
      </c>
      <c r="J281" s="112">
        <v>385</v>
      </c>
      <c r="K281" s="112">
        <v>13</v>
      </c>
      <c r="L281" s="112">
        <v>278</v>
      </c>
      <c r="M281" s="112">
        <v>281</v>
      </c>
      <c r="N281" s="112">
        <v>-2</v>
      </c>
      <c r="O281" s="110"/>
      <c r="P281" s="110"/>
      <c r="Q281" s="110"/>
    </row>
    <row r="282" spans="1:17" ht="31.75" customHeight="1">
      <c r="A282" s="109" t="s">
        <v>6992</v>
      </c>
      <c r="B282" s="109" t="s">
        <v>6993</v>
      </c>
      <c r="C282" s="113">
        <v>2014</v>
      </c>
      <c r="D282" s="99">
        <v>2166</v>
      </c>
      <c r="E282" s="99">
        <v>6759</v>
      </c>
      <c r="F282" s="99">
        <v>2472</v>
      </c>
      <c r="G282" s="99">
        <v>4332</v>
      </c>
      <c r="H282" s="99">
        <v>1527</v>
      </c>
      <c r="I282" s="99">
        <v>334</v>
      </c>
      <c r="J282" s="99">
        <v>349</v>
      </c>
      <c r="K282" s="99">
        <v>16</v>
      </c>
      <c r="L282" s="99">
        <v>257</v>
      </c>
      <c r="M282" s="99">
        <v>245</v>
      </c>
      <c r="N282" s="99">
        <v>12</v>
      </c>
      <c r="O282" s="110"/>
      <c r="P282" s="110"/>
      <c r="Q282" s="110"/>
    </row>
    <row r="283" spans="1:17" ht="31.75" customHeight="1">
      <c r="A283" s="109" t="s">
        <v>6992</v>
      </c>
      <c r="B283" s="109" t="s">
        <v>6993</v>
      </c>
      <c r="C283" s="113">
        <v>2015</v>
      </c>
      <c r="D283" s="112">
        <v>2304</v>
      </c>
      <c r="E283" s="112">
        <v>6995</v>
      </c>
      <c r="F283" s="112">
        <v>2589</v>
      </c>
      <c r="G283" s="112">
        <v>4408</v>
      </c>
      <c r="H283" s="112">
        <v>1742</v>
      </c>
      <c r="I283" s="112">
        <v>363</v>
      </c>
      <c r="J283" s="112">
        <v>381</v>
      </c>
      <c r="K283" s="112">
        <v>19</v>
      </c>
      <c r="L283" s="112">
        <v>290</v>
      </c>
      <c r="M283" s="112">
        <v>294</v>
      </c>
      <c r="N283" s="112">
        <v>-4</v>
      </c>
    </row>
    <row r="284" spans="1:17" ht="31.75" customHeight="1">
      <c r="A284" s="109" t="s">
        <v>6992</v>
      </c>
      <c r="B284" s="109" t="s">
        <v>6993</v>
      </c>
      <c r="C284" s="113">
        <v>2016</v>
      </c>
      <c r="D284" s="112">
        <v>2485</v>
      </c>
      <c r="E284" s="112">
        <v>7404</v>
      </c>
      <c r="F284" s="112">
        <v>2810</v>
      </c>
      <c r="G284" s="112">
        <v>4638</v>
      </c>
      <c r="H284" s="112">
        <v>1872</v>
      </c>
      <c r="I284" s="112">
        <v>300</v>
      </c>
      <c r="J284" s="112">
        <v>306</v>
      </c>
      <c r="K284" s="112">
        <v>6</v>
      </c>
      <c r="L284" s="112">
        <v>275</v>
      </c>
      <c r="M284" s="112">
        <v>273</v>
      </c>
      <c r="N284" s="112">
        <v>2</v>
      </c>
      <c r="O284" s="110"/>
      <c r="P284" s="110"/>
      <c r="Q284" s="110"/>
    </row>
    <row r="285" spans="1:17" ht="31.75" customHeight="1">
      <c r="A285" s="109" t="s">
        <v>6992</v>
      </c>
      <c r="B285" s="109" t="s">
        <v>6993</v>
      </c>
      <c r="C285" s="113">
        <v>2017</v>
      </c>
      <c r="D285" s="112">
        <v>2539</v>
      </c>
      <c r="E285" s="112">
        <v>7493</v>
      </c>
      <c r="F285" s="112">
        <v>2947</v>
      </c>
      <c r="G285" s="112">
        <v>4651</v>
      </c>
      <c r="H285" s="112">
        <v>2059</v>
      </c>
      <c r="I285" s="112">
        <v>314</v>
      </c>
      <c r="J285" s="112">
        <v>331</v>
      </c>
      <c r="K285" s="112">
        <v>16</v>
      </c>
      <c r="L285" s="112">
        <v>294</v>
      </c>
      <c r="M285" s="112">
        <v>252</v>
      </c>
      <c r="N285" s="112">
        <v>41</v>
      </c>
    </row>
    <row r="286" spans="1:17" ht="31.75" customHeight="1">
      <c r="A286" s="109" t="s">
        <v>6992</v>
      </c>
      <c r="B286" s="109" t="s">
        <v>6993</v>
      </c>
      <c r="C286" s="113">
        <v>2018</v>
      </c>
      <c r="D286" s="112">
        <v>2549</v>
      </c>
      <c r="E286" s="112">
        <v>7370</v>
      </c>
      <c r="F286" s="112">
        <v>2974</v>
      </c>
      <c r="G286" s="112">
        <v>4441</v>
      </c>
      <c r="H286" s="112">
        <v>1951</v>
      </c>
      <c r="I286" s="112">
        <v>328</v>
      </c>
      <c r="J286" s="112">
        <v>341</v>
      </c>
      <c r="K286" s="112">
        <v>13</v>
      </c>
      <c r="L286" s="112">
        <v>322</v>
      </c>
      <c r="M286" s="112">
        <v>301</v>
      </c>
      <c r="N286" s="112">
        <v>21</v>
      </c>
    </row>
    <row r="287" spans="1:17" ht="31.75" customHeight="1">
      <c r="A287" s="109" t="s">
        <v>6992</v>
      </c>
      <c r="B287" s="109" t="s">
        <v>6993</v>
      </c>
      <c r="C287" s="113">
        <v>2019</v>
      </c>
      <c r="D287" s="112">
        <v>2479</v>
      </c>
      <c r="E287" s="112">
        <v>7487.0316439999997</v>
      </c>
      <c r="F287" s="112">
        <v>3140.1399019999999</v>
      </c>
      <c r="G287" s="112">
        <v>4423.0837949999996</v>
      </c>
      <c r="H287" s="112">
        <v>2050.128424</v>
      </c>
      <c r="I287" s="112">
        <v>360.36012099999999</v>
      </c>
      <c r="J287" s="112">
        <v>375.373155</v>
      </c>
      <c r="K287" s="112">
        <v>15.013033999999999</v>
      </c>
      <c r="L287" s="112">
        <v>381.04967699999997</v>
      </c>
      <c r="M287" s="112">
        <v>328.14077200000003</v>
      </c>
      <c r="N287" s="112">
        <v>52.908904999999997</v>
      </c>
      <c r="O287" s="110"/>
      <c r="P287" s="110"/>
      <c r="Q287" s="110"/>
    </row>
    <row r="288" spans="1:17" ht="31.75" customHeight="1">
      <c r="A288" s="114" t="s">
        <v>6992</v>
      </c>
      <c r="B288" s="114" t="s">
        <v>6994</v>
      </c>
      <c r="C288" s="113">
        <v>2020</v>
      </c>
      <c r="D288" s="112">
        <v>2661</v>
      </c>
      <c r="E288" s="112">
        <v>7964.929873</v>
      </c>
      <c r="F288" s="112">
        <v>3301.2606040000001</v>
      </c>
      <c r="G288" s="112">
        <v>4803.7333070000004</v>
      </c>
      <c r="H288" s="112">
        <v>2105.3370709999999</v>
      </c>
      <c r="I288" s="112">
        <v>347.31031000000002</v>
      </c>
      <c r="J288" s="112">
        <v>368.03176100000002</v>
      </c>
      <c r="K288" s="112">
        <v>20.721450999999998</v>
      </c>
      <c r="L288" s="112">
        <v>380.32883800000002</v>
      </c>
      <c r="M288" s="112">
        <v>362.75094999999999</v>
      </c>
      <c r="N288" s="112">
        <v>17.577888000000002</v>
      </c>
      <c r="O288" s="110"/>
      <c r="P288" s="110"/>
      <c r="Q288" s="110"/>
    </row>
    <row r="289" spans="1:17" ht="31.75" customHeight="1">
      <c r="A289" s="109" t="s">
        <v>6995</v>
      </c>
      <c r="B289" s="109" t="s">
        <v>6996</v>
      </c>
      <c r="C289" s="98">
        <v>2008</v>
      </c>
      <c r="D289" s="99">
        <v>231</v>
      </c>
      <c r="E289" s="99">
        <v>3460</v>
      </c>
      <c r="F289" s="99">
        <v>1520</v>
      </c>
      <c r="G289" s="99">
        <v>1941</v>
      </c>
      <c r="H289" s="99">
        <v>750</v>
      </c>
      <c r="I289" s="99">
        <v>76</v>
      </c>
      <c r="J289" s="99">
        <v>117</v>
      </c>
      <c r="K289" s="99">
        <v>41</v>
      </c>
      <c r="L289" s="99">
        <v>174</v>
      </c>
      <c r="M289" s="99">
        <v>173</v>
      </c>
      <c r="N289" s="99">
        <v>1</v>
      </c>
    </row>
    <row r="290" spans="1:17" ht="31.75" customHeight="1">
      <c r="A290" s="109" t="s">
        <v>6995</v>
      </c>
      <c r="B290" s="109" t="s">
        <v>6996</v>
      </c>
      <c r="C290" s="98">
        <v>2009</v>
      </c>
      <c r="D290" s="99">
        <v>221</v>
      </c>
      <c r="E290" s="99">
        <v>3249</v>
      </c>
      <c r="F290" s="99">
        <v>1487</v>
      </c>
      <c r="G290" s="99">
        <v>1773</v>
      </c>
      <c r="H290" s="99">
        <v>721</v>
      </c>
      <c r="I290" s="99">
        <v>98</v>
      </c>
      <c r="J290" s="99">
        <v>108</v>
      </c>
      <c r="K290" s="99">
        <v>10</v>
      </c>
      <c r="L290" s="112" t="s">
        <v>6953</v>
      </c>
      <c r="M290" s="112" t="s">
        <v>6953</v>
      </c>
      <c r="N290" s="112" t="s">
        <v>6953</v>
      </c>
    </row>
    <row r="291" spans="1:17" ht="31.75" customHeight="1">
      <c r="A291" s="109" t="s">
        <v>6995</v>
      </c>
      <c r="B291" s="109" t="s">
        <v>6996</v>
      </c>
      <c r="C291" s="98">
        <v>2010</v>
      </c>
      <c r="D291" s="99">
        <v>217</v>
      </c>
      <c r="E291" s="112" t="s">
        <v>6953</v>
      </c>
      <c r="F291" s="99">
        <v>1413</v>
      </c>
      <c r="G291" s="112" t="s">
        <v>6953</v>
      </c>
      <c r="H291" s="99">
        <v>805</v>
      </c>
      <c r="I291" s="112" t="s">
        <v>6953</v>
      </c>
      <c r="J291" s="99">
        <v>147</v>
      </c>
      <c r="K291" s="112" t="s">
        <v>6953</v>
      </c>
      <c r="L291" s="112" t="s">
        <v>6953</v>
      </c>
      <c r="M291" s="112" t="s">
        <v>6953</v>
      </c>
      <c r="N291" s="112" t="s">
        <v>6953</v>
      </c>
      <c r="O291" s="110"/>
      <c r="P291" s="110"/>
      <c r="Q291" s="110"/>
    </row>
    <row r="292" spans="1:17" ht="31.75" customHeight="1">
      <c r="A292" s="109" t="s">
        <v>6995</v>
      </c>
      <c r="B292" s="109" t="s">
        <v>6996</v>
      </c>
      <c r="C292" s="98">
        <v>2011</v>
      </c>
      <c r="D292" s="112" t="s">
        <v>6953</v>
      </c>
      <c r="E292" s="112" t="s">
        <v>6953</v>
      </c>
      <c r="F292" s="112" t="s">
        <v>6953</v>
      </c>
      <c r="G292" s="112" t="s">
        <v>6953</v>
      </c>
      <c r="H292" s="112" t="s">
        <v>6953</v>
      </c>
      <c r="I292" s="112" t="s">
        <v>6953</v>
      </c>
      <c r="J292" s="112" t="s">
        <v>6953</v>
      </c>
      <c r="K292" s="112" t="s">
        <v>6953</v>
      </c>
      <c r="L292" s="112" t="s">
        <v>6953</v>
      </c>
      <c r="M292" s="112" t="s">
        <v>6953</v>
      </c>
      <c r="N292" s="112" t="s">
        <v>6953</v>
      </c>
      <c r="O292" s="110"/>
      <c r="P292" s="110"/>
      <c r="Q292" s="110"/>
    </row>
    <row r="293" spans="1:17" ht="31.75" customHeight="1">
      <c r="A293" s="109" t="s">
        <v>6995</v>
      </c>
      <c r="B293" s="109" t="s">
        <v>6996</v>
      </c>
      <c r="C293" s="111">
        <v>2012</v>
      </c>
      <c r="D293" s="112" t="s">
        <v>6953</v>
      </c>
      <c r="E293" s="112" t="s">
        <v>6953</v>
      </c>
      <c r="F293" s="112" t="s">
        <v>6953</v>
      </c>
      <c r="G293" s="112" t="s">
        <v>6953</v>
      </c>
      <c r="H293" s="112" t="s">
        <v>6953</v>
      </c>
      <c r="I293" s="112" t="s">
        <v>6953</v>
      </c>
      <c r="J293" s="112" t="s">
        <v>6953</v>
      </c>
      <c r="K293" s="112" t="s">
        <v>6953</v>
      </c>
      <c r="L293" s="112" t="s">
        <v>6953</v>
      </c>
      <c r="M293" s="112" t="s">
        <v>6953</v>
      </c>
      <c r="N293" s="112" t="s">
        <v>6953</v>
      </c>
      <c r="O293" s="110"/>
      <c r="P293" s="110"/>
      <c r="Q293" s="110"/>
    </row>
    <row r="294" spans="1:17" ht="31.75" customHeight="1">
      <c r="A294" s="109" t="s">
        <v>6995</v>
      </c>
      <c r="B294" s="109" t="s">
        <v>6996</v>
      </c>
      <c r="C294" s="113">
        <v>2013</v>
      </c>
      <c r="D294" s="112">
        <v>249</v>
      </c>
      <c r="E294" s="112" t="s">
        <v>6953</v>
      </c>
      <c r="F294" s="112" t="s">
        <v>6953</v>
      </c>
      <c r="G294" s="112" t="s">
        <v>6953</v>
      </c>
      <c r="H294" s="112" t="s">
        <v>6953</v>
      </c>
      <c r="I294" s="112">
        <v>111</v>
      </c>
      <c r="J294" s="112">
        <v>114</v>
      </c>
      <c r="K294" s="112">
        <v>3</v>
      </c>
      <c r="L294" s="112" t="s">
        <v>6953</v>
      </c>
      <c r="M294" s="112" t="s">
        <v>6953</v>
      </c>
      <c r="N294" s="112" t="s">
        <v>6953</v>
      </c>
      <c r="O294" s="110"/>
      <c r="P294" s="110"/>
      <c r="Q294" s="110"/>
    </row>
    <row r="295" spans="1:17" ht="31.75" customHeight="1">
      <c r="A295" s="109" t="s">
        <v>6995</v>
      </c>
      <c r="B295" s="109" t="s">
        <v>6996</v>
      </c>
      <c r="C295" s="113">
        <v>2014</v>
      </c>
      <c r="D295" s="99">
        <v>257</v>
      </c>
      <c r="E295" s="112" t="s">
        <v>6953</v>
      </c>
      <c r="F295" s="112" t="s">
        <v>6953</v>
      </c>
      <c r="G295" s="112" t="s">
        <v>6953</v>
      </c>
      <c r="H295" s="112" t="s">
        <v>6953</v>
      </c>
      <c r="I295" s="99">
        <v>116</v>
      </c>
      <c r="J295" s="99">
        <v>128</v>
      </c>
      <c r="K295" s="99">
        <v>13</v>
      </c>
      <c r="L295" s="112" t="s">
        <v>6953</v>
      </c>
      <c r="M295" s="112" t="s">
        <v>6953</v>
      </c>
      <c r="N295" s="112" t="s">
        <v>6953</v>
      </c>
    </row>
    <row r="296" spans="1:17" ht="31.75" customHeight="1">
      <c r="A296" s="109" t="s">
        <v>6995</v>
      </c>
      <c r="B296" s="109" t="s">
        <v>6996</v>
      </c>
      <c r="C296" s="113">
        <v>2015</v>
      </c>
      <c r="D296" s="112" t="s">
        <v>6953</v>
      </c>
      <c r="E296" s="112" t="s">
        <v>6953</v>
      </c>
      <c r="F296" s="112" t="s">
        <v>6953</v>
      </c>
      <c r="G296" s="112" t="s">
        <v>6953</v>
      </c>
      <c r="H296" s="112" t="s">
        <v>6953</v>
      </c>
      <c r="I296" s="112" t="s">
        <v>6953</v>
      </c>
      <c r="J296" s="112" t="s">
        <v>6953</v>
      </c>
      <c r="K296" s="112" t="s">
        <v>6953</v>
      </c>
      <c r="L296" s="112" t="s">
        <v>6953</v>
      </c>
      <c r="M296" s="112" t="s">
        <v>6953</v>
      </c>
      <c r="N296" s="112" t="s">
        <v>6953</v>
      </c>
      <c r="O296" s="110"/>
      <c r="P296" s="110"/>
      <c r="Q296" s="110"/>
    </row>
    <row r="297" spans="1:17" ht="31.75" customHeight="1">
      <c r="A297" s="109" t="s">
        <v>6995</v>
      </c>
      <c r="B297" s="109" t="s">
        <v>6996</v>
      </c>
      <c r="C297" s="113">
        <v>2016</v>
      </c>
      <c r="D297" s="112">
        <v>294</v>
      </c>
      <c r="E297" s="112" t="s">
        <v>6953</v>
      </c>
      <c r="F297" s="112">
        <v>934</v>
      </c>
      <c r="G297" s="112" t="s">
        <v>6953</v>
      </c>
      <c r="H297" s="112" t="s">
        <v>6953</v>
      </c>
      <c r="I297" s="112">
        <v>97</v>
      </c>
      <c r="J297" s="112">
        <v>101</v>
      </c>
      <c r="K297" s="112">
        <v>3</v>
      </c>
      <c r="L297" s="112" t="s">
        <v>6953</v>
      </c>
      <c r="M297" s="112" t="s">
        <v>6953</v>
      </c>
      <c r="N297" s="112" t="s">
        <v>6953</v>
      </c>
    </row>
    <row r="298" spans="1:17" ht="31.75" customHeight="1">
      <c r="A298" s="109" t="s">
        <v>6995</v>
      </c>
      <c r="B298" s="109" t="s">
        <v>6996</v>
      </c>
      <c r="C298" s="113">
        <v>2017</v>
      </c>
      <c r="D298" s="112" t="s">
        <v>6953</v>
      </c>
      <c r="E298" s="112" t="s">
        <v>6953</v>
      </c>
      <c r="F298" s="112" t="s">
        <v>6953</v>
      </c>
      <c r="G298" s="112" t="s">
        <v>6953</v>
      </c>
      <c r="H298" s="112" t="s">
        <v>6953</v>
      </c>
      <c r="I298" s="112" t="s">
        <v>6953</v>
      </c>
      <c r="J298" s="112" t="s">
        <v>6953</v>
      </c>
      <c r="K298" s="112" t="s">
        <v>6953</v>
      </c>
      <c r="L298" s="112" t="s">
        <v>6953</v>
      </c>
      <c r="M298" s="112" t="s">
        <v>6953</v>
      </c>
      <c r="N298" s="112" t="s">
        <v>6953</v>
      </c>
    </row>
    <row r="299" spans="1:17" ht="31.75" customHeight="1">
      <c r="A299" s="109" t="s">
        <v>6995</v>
      </c>
      <c r="B299" s="109" t="s">
        <v>6996</v>
      </c>
      <c r="C299" s="113">
        <v>2018</v>
      </c>
      <c r="D299" s="112" t="s">
        <v>6953</v>
      </c>
      <c r="E299" s="112" t="s">
        <v>6953</v>
      </c>
      <c r="F299" s="112" t="s">
        <v>6953</v>
      </c>
      <c r="G299" s="112" t="s">
        <v>6953</v>
      </c>
      <c r="H299" s="112" t="s">
        <v>6953</v>
      </c>
      <c r="I299" s="112" t="s">
        <v>6953</v>
      </c>
      <c r="J299" s="112" t="s">
        <v>6953</v>
      </c>
      <c r="K299" s="112" t="s">
        <v>6953</v>
      </c>
      <c r="L299" s="112" t="s">
        <v>6953</v>
      </c>
      <c r="M299" s="112" t="s">
        <v>6953</v>
      </c>
      <c r="N299" s="112" t="s">
        <v>6953</v>
      </c>
      <c r="O299" s="110"/>
      <c r="P299" s="110"/>
      <c r="Q299" s="110"/>
    </row>
    <row r="300" spans="1:17" ht="31.75" customHeight="1">
      <c r="A300" s="109" t="s">
        <v>6995</v>
      </c>
      <c r="B300" s="109" t="s">
        <v>6996</v>
      </c>
      <c r="C300" s="113">
        <v>2019</v>
      </c>
      <c r="D300" s="112">
        <v>314</v>
      </c>
      <c r="E300" s="112" t="s">
        <v>6953</v>
      </c>
      <c r="F300" s="112">
        <v>1023.281973</v>
      </c>
      <c r="G300" s="112" t="s">
        <v>6953</v>
      </c>
      <c r="H300" s="112">
        <v>665.08236599999998</v>
      </c>
      <c r="I300" s="112">
        <v>97.059275999999997</v>
      </c>
      <c r="J300" s="112">
        <v>97.718109999999996</v>
      </c>
      <c r="K300" s="112">
        <v>0.65883400000000003</v>
      </c>
      <c r="L300" s="112" t="s">
        <v>6953</v>
      </c>
      <c r="M300" s="112" t="s">
        <v>6953</v>
      </c>
      <c r="N300" s="112" t="s">
        <v>6953</v>
      </c>
      <c r="O300" s="110"/>
      <c r="P300" s="110"/>
      <c r="Q300" s="110"/>
    </row>
    <row r="301" spans="1:17" ht="31.75" customHeight="1">
      <c r="A301" s="114" t="s">
        <v>6995</v>
      </c>
      <c r="B301" s="114" t="s">
        <v>6996</v>
      </c>
      <c r="C301" s="113">
        <v>2020</v>
      </c>
      <c r="D301" s="112">
        <v>323</v>
      </c>
      <c r="E301" s="112" t="s">
        <v>6953</v>
      </c>
      <c r="F301" s="112">
        <v>1024.2586160000001</v>
      </c>
      <c r="G301" s="112" t="s">
        <v>6953</v>
      </c>
      <c r="H301" s="112">
        <v>666.75850600000001</v>
      </c>
      <c r="I301" s="112" t="s">
        <v>6953</v>
      </c>
      <c r="J301" s="112" t="s">
        <v>6953</v>
      </c>
      <c r="K301" s="112">
        <v>0.725499</v>
      </c>
      <c r="L301" s="112" t="s">
        <v>6953</v>
      </c>
      <c r="M301" s="112" t="s">
        <v>6953</v>
      </c>
      <c r="N301" s="112" t="s">
        <v>6953</v>
      </c>
    </row>
    <row r="302" spans="1:17" ht="31.75" customHeight="1">
      <c r="A302" s="109" t="s">
        <v>6997</v>
      </c>
      <c r="B302" s="109" t="s">
        <v>6998</v>
      </c>
      <c r="C302" s="98">
        <v>2008</v>
      </c>
      <c r="D302" s="99">
        <v>22</v>
      </c>
      <c r="E302" s="99">
        <v>166</v>
      </c>
      <c r="F302" s="99">
        <v>42</v>
      </c>
      <c r="G302" s="99">
        <v>123</v>
      </c>
      <c r="H302" s="99">
        <v>41</v>
      </c>
      <c r="I302" s="99">
        <v>4</v>
      </c>
      <c r="J302" s="99">
        <v>4</v>
      </c>
      <c r="K302" s="99">
        <v>1</v>
      </c>
      <c r="L302" s="99">
        <v>15</v>
      </c>
      <c r="M302" s="99">
        <v>16</v>
      </c>
      <c r="N302" s="99">
        <v>-1</v>
      </c>
    </row>
    <row r="303" spans="1:17" ht="31.75" customHeight="1">
      <c r="A303" s="109" t="s">
        <v>6997</v>
      </c>
      <c r="B303" s="109" t="s">
        <v>6998</v>
      </c>
      <c r="C303" s="98">
        <v>2009</v>
      </c>
      <c r="D303" s="99">
        <v>12</v>
      </c>
      <c r="E303" s="99">
        <v>79</v>
      </c>
      <c r="F303" s="99">
        <v>23</v>
      </c>
      <c r="G303" s="99">
        <v>59</v>
      </c>
      <c r="H303" s="99">
        <v>13</v>
      </c>
      <c r="I303" s="99">
        <v>3</v>
      </c>
      <c r="J303" s="99">
        <v>3</v>
      </c>
      <c r="K303" s="99" t="s">
        <v>6952</v>
      </c>
      <c r="L303" s="112" t="s">
        <v>6953</v>
      </c>
      <c r="M303" s="112" t="s">
        <v>6953</v>
      </c>
      <c r="N303" s="112" t="s">
        <v>6953</v>
      </c>
      <c r="O303" s="110"/>
      <c r="P303" s="110"/>
      <c r="Q303" s="110"/>
    </row>
    <row r="304" spans="1:17" ht="31.75" customHeight="1">
      <c r="A304" s="109" t="s">
        <v>6997</v>
      </c>
      <c r="B304" s="109" t="s">
        <v>6998</v>
      </c>
      <c r="C304" s="98">
        <v>2010</v>
      </c>
      <c r="D304" s="99">
        <v>15</v>
      </c>
      <c r="E304" s="112" t="s">
        <v>6953</v>
      </c>
      <c r="F304" s="99">
        <v>23</v>
      </c>
      <c r="G304" s="112" t="s">
        <v>6953</v>
      </c>
      <c r="H304" s="99">
        <v>17</v>
      </c>
      <c r="I304" s="112" t="s">
        <v>6953</v>
      </c>
      <c r="J304" s="99">
        <v>2</v>
      </c>
      <c r="K304" s="112" t="s">
        <v>6953</v>
      </c>
      <c r="L304" s="112" t="s">
        <v>6953</v>
      </c>
      <c r="M304" s="112" t="s">
        <v>6953</v>
      </c>
      <c r="N304" s="112" t="s">
        <v>6953</v>
      </c>
      <c r="O304" s="110"/>
      <c r="P304" s="110"/>
      <c r="Q304" s="110"/>
    </row>
    <row r="305" spans="1:17" ht="31.75" customHeight="1">
      <c r="A305" s="109" t="s">
        <v>6997</v>
      </c>
      <c r="B305" s="109" t="s">
        <v>6998</v>
      </c>
      <c r="C305" s="98">
        <v>2011</v>
      </c>
      <c r="D305" s="112" t="s">
        <v>6953</v>
      </c>
      <c r="E305" s="112" t="s">
        <v>6953</v>
      </c>
      <c r="F305" s="112" t="s">
        <v>6953</v>
      </c>
      <c r="G305" s="112" t="s">
        <v>6953</v>
      </c>
      <c r="H305" s="112" t="s">
        <v>6953</v>
      </c>
      <c r="I305" s="112" t="s">
        <v>6953</v>
      </c>
      <c r="J305" s="112" t="s">
        <v>6953</v>
      </c>
      <c r="K305" s="112" t="s">
        <v>6953</v>
      </c>
      <c r="L305" s="112" t="s">
        <v>6953</v>
      </c>
      <c r="M305" s="112" t="s">
        <v>6953</v>
      </c>
      <c r="N305" s="112" t="s">
        <v>6953</v>
      </c>
      <c r="O305" s="110"/>
      <c r="P305" s="110"/>
      <c r="Q305" s="110"/>
    </row>
    <row r="306" spans="1:17" ht="31.75" customHeight="1">
      <c r="A306" s="109" t="s">
        <v>6997</v>
      </c>
      <c r="B306" s="109" t="s">
        <v>6998</v>
      </c>
      <c r="C306" s="111">
        <v>2012</v>
      </c>
      <c r="D306" s="112" t="s">
        <v>6953</v>
      </c>
      <c r="E306" s="112" t="s">
        <v>6953</v>
      </c>
      <c r="F306" s="112" t="s">
        <v>6953</v>
      </c>
      <c r="G306" s="112" t="s">
        <v>6953</v>
      </c>
      <c r="H306" s="112" t="s">
        <v>6953</v>
      </c>
      <c r="I306" s="112" t="s">
        <v>6953</v>
      </c>
      <c r="J306" s="112" t="s">
        <v>6953</v>
      </c>
      <c r="K306" s="112" t="s">
        <v>6953</v>
      </c>
      <c r="L306" s="112" t="s">
        <v>6953</v>
      </c>
      <c r="M306" s="112" t="s">
        <v>6953</v>
      </c>
      <c r="N306" s="112" t="s">
        <v>6953</v>
      </c>
      <c r="O306" s="110"/>
      <c r="P306" s="110"/>
      <c r="Q306" s="110"/>
    </row>
    <row r="307" spans="1:17" ht="31.75" customHeight="1">
      <c r="A307" s="109" t="s">
        <v>6997</v>
      </c>
      <c r="B307" s="109" t="s">
        <v>6998</v>
      </c>
      <c r="C307" s="113">
        <v>2013</v>
      </c>
      <c r="D307" s="112">
        <v>21</v>
      </c>
      <c r="E307" s="112" t="s">
        <v>6953</v>
      </c>
      <c r="F307" s="112" t="s">
        <v>6953</v>
      </c>
      <c r="G307" s="112" t="s">
        <v>6953</v>
      </c>
      <c r="H307" s="112" t="s">
        <v>6953</v>
      </c>
      <c r="I307" s="112">
        <v>4</v>
      </c>
      <c r="J307" s="112">
        <v>4</v>
      </c>
      <c r="K307" s="112" t="s">
        <v>6952</v>
      </c>
      <c r="L307" s="112" t="s">
        <v>6953</v>
      </c>
      <c r="M307" s="112" t="s">
        <v>6953</v>
      </c>
      <c r="N307" s="112" t="s">
        <v>6953</v>
      </c>
    </row>
    <row r="308" spans="1:17" ht="31.75" customHeight="1">
      <c r="A308" s="109" t="s">
        <v>6997</v>
      </c>
      <c r="B308" s="109" t="s">
        <v>6998</v>
      </c>
      <c r="C308" s="113">
        <v>2014</v>
      </c>
      <c r="D308" s="99">
        <v>24</v>
      </c>
      <c r="E308" s="112" t="s">
        <v>6953</v>
      </c>
      <c r="F308" s="112" t="s">
        <v>6953</v>
      </c>
      <c r="G308" s="112" t="s">
        <v>6953</v>
      </c>
      <c r="H308" s="112" t="s">
        <v>6953</v>
      </c>
      <c r="I308" s="99">
        <v>3</v>
      </c>
      <c r="J308" s="99">
        <v>3</v>
      </c>
      <c r="K308" s="99" t="s">
        <v>6952</v>
      </c>
      <c r="L308" s="112" t="s">
        <v>6953</v>
      </c>
      <c r="M308" s="112" t="s">
        <v>6953</v>
      </c>
      <c r="N308" s="112" t="s">
        <v>6953</v>
      </c>
      <c r="O308" s="110"/>
      <c r="P308" s="110"/>
      <c r="Q308" s="110"/>
    </row>
    <row r="309" spans="1:17" ht="31.75" customHeight="1">
      <c r="A309" s="109" t="s">
        <v>6997</v>
      </c>
      <c r="B309" s="109" t="s">
        <v>6998</v>
      </c>
      <c r="C309" s="113">
        <v>2015</v>
      </c>
      <c r="D309" s="112" t="s">
        <v>6953</v>
      </c>
      <c r="E309" s="112" t="s">
        <v>6953</v>
      </c>
      <c r="F309" s="112" t="s">
        <v>6953</v>
      </c>
      <c r="G309" s="112" t="s">
        <v>6953</v>
      </c>
      <c r="H309" s="112" t="s">
        <v>6953</v>
      </c>
      <c r="I309" s="112" t="s">
        <v>6953</v>
      </c>
      <c r="J309" s="112" t="s">
        <v>6953</v>
      </c>
      <c r="K309" s="112" t="s">
        <v>6953</v>
      </c>
      <c r="L309" s="112" t="s">
        <v>6953</v>
      </c>
      <c r="M309" s="112" t="s">
        <v>6953</v>
      </c>
      <c r="N309" s="112" t="s">
        <v>6953</v>
      </c>
    </row>
    <row r="310" spans="1:17" ht="31.75" customHeight="1">
      <c r="A310" s="109" t="s">
        <v>6997</v>
      </c>
      <c r="B310" s="109" t="s">
        <v>6998</v>
      </c>
      <c r="C310" s="113">
        <v>2016</v>
      </c>
      <c r="D310" s="112">
        <v>22</v>
      </c>
      <c r="E310" s="112" t="s">
        <v>6953</v>
      </c>
      <c r="F310" s="112">
        <v>34</v>
      </c>
      <c r="G310" s="112" t="s">
        <v>6953</v>
      </c>
      <c r="H310" s="112" t="s">
        <v>6953</v>
      </c>
      <c r="I310" s="112">
        <v>1</v>
      </c>
      <c r="J310" s="112">
        <v>1</v>
      </c>
      <c r="K310" s="112" t="s">
        <v>6952</v>
      </c>
      <c r="L310" s="112" t="s">
        <v>6953</v>
      </c>
      <c r="M310" s="112" t="s">
        <v>6953</v>
      </c>
      <c r="N310" s="112" t="s">
        <v>6953</v>
      </c>
    </row>
    <row r="311" spans="1:17" ht="31.75" customHeight="1">
      <c r="A311" s="109" t="s">
        <v>6997</v>
      </c>
      <c r="B311" s="109" t="s">
        <v>6998</v>
      </c>
      <c r="C311" s="113">
        <v>2017</v>
      </c>
      <c r="D311" s="112" t="s">
        <v>6953</v>
      </c>
      <c r="E311" s="112" t="s">
        <v>6953</v>
      </c>
      <c r="F311" s="112" t="s">
        <v>6953</v>
      </c>
      <c r="G311" s="112" t="s">
        <v>6953</v>
      </c>
      <c r="H311" s="112" t="s">
        <v>6953</v>
      </c>
      <c r="I311" s="112" t="s">
        <v>6953</v>
      </c>
      <c r="J311" s="112" t="s">
        <v>6953</v>
      </c>
      <c r="K311" s="112" t="s">
        <v>6953</v>
      </c>
      <c r="L311" s="112" t="s">
        <v>6953</v>
      </c>
      <c r="M311" s="112" t="s">
        <v>6953</v>
      </c>
      <c r="N311" s="112" t="s">
        <v>6953</v>
      </c>
      <c r="O311" s="110"/>
      <c r="P311" s="110"/>
      <c r="Q311" s="110"/>
    </row>
    <row r="312" spans="1:17" ht="31.75" customHeight="1">
      <c r="A312" s="109" t="s">
        <v>6997</v>
      </c>
      <c r="B312" s="109" t="s">
        <v>6998</v>
      </c>
      <c r="C312" s="113">
        <v>2018</v>
      </c>
      <c r="D312" s="112" t="s">
        <v>6953</v>
      </c>
      <c r="E312" s="112" t="s">
        <v>6953</v>
      </c>
      <c r="F312" s="112" t="s">
        <v>6953</v>
      </c>
      <c r="G312" s="112" t="s">
        <v>6953</v>
      </c>
      <c r="H312" s="112" t="s">
        <v>6953</v>
      </c>
      <c r="I312" s="112" t="s">
        <v>6953</v>
      </c>
      <c r="J312" s="112" t="s">
        <v>6953</v>
      </c>
      <c r="K312" s="112" t="s">
        <v>6953</v>
      </c>
      <c r="L312" s="112" t="s">
        <v>6953</v>
      </c>
      <c r="M312" s="112" t="s">
        <v>6953</v>
      </c>
      <c r="N312" s="112" t="s">
        <v>6953</v>
      </c>
      <c r="O312" s="110"/>
      <c r="P312" s="110"/>
      <c r="Q312" s="110"/>
    </row>
    <row r="313" spans="1:17" ht="31.75" customHeight="1">
      <c r="A313" s="109" t="s">
        <v>6997</v>
      </c>
      <c r="B313" s="109" t="s">
        <v>6998</v>
      </c>
      <c r="C313" s="113">
        <v>2019</v>
      </c>
      <c r="D313" s="112">
        <v>25</v>
      </c>
      <c r="E313" s="112" t="s">
        <v>6953</v>
      </c>
      <c r="F313" s="112">
        <v>36.431533000000002</v>
      </c>
      <c r="G313" s="112" t="s">
        <v>6953</v>
      </c>
      <c r="H313" s="112">
        <v>26.284293999999999</v>
      </c>
      <c r="I313" s="112">
        <v>6.0427999999999997</v>
      </c>
      <c r="J313" s="112">
        <v>6.0686530000000003</v>
      </c>
      <c r="K313" s="112" t="s">
        <v>6952</v>
      </c>
      <c r="L313" s="112" t="s">
        <v>6953</v>
      </c>
      <c r="M313" s="112" t="s">
        <v>6953</v>
      </c>
      <c r="N313" s="112" t="s">
        <v>6953</v>
      </c>
    </row>
    <row r="314" spans="1:17" ht="31.75" customHeight="1">
      <c r="A314" s="114" t="s">
        <v>6997</v>
      </c>
      <c r="B314" s="114" t="s">
        <v>6998</v>
      </c>
      <c r="C314" s="113">
        <v>2020</v>
      </c>
      <c r="D314" s="112">
        <v>22</v>
      </c>
      <c r="E314" s="112" t="s">
        <v>6953</v>
      </c>
      <c r="F314" s="112">
        <v>39.269084999999997</v>
      </c>
      <c r="G314" s="112" t="s">
        <v>6953</v>
      </c>
      <c r="H314" s="112">
        <v>25.123237</v>
      </c>
      <c r="I314" s="112" t="s">
        <v>6953</v>
      </c>
      <c r="J314" s="112" t="s">
        <v>6953</v>
      </c>
      <c r="K314" s="112" t="s">
        <v>6952</v>
      </c>
      <c r="L314" s="112" t="s">
        <v>6953</v>
      </c>
      <c r="M314" s="112" t="s">
        <v>6953</v>
      </c>
      <c r="N314" s="112" t="s">
        <v>6953</v>
      </c>
    </row>
    <row r="315" spans="1:17" ht="17.5" customHeight="1">
      <c r="A315" s="109" t="s">
        <v>6999</v>
      </c>
      <c r="B315" s="109" t="s">
        <v>7000</v>
      </c>
      <c r="C315" s="98">
        <v>2008</v>
      </c>
      <c r="D315" s="99">
        <v>1386</v>
      </c>
      <c r="E315" s="99">
        <v>17413</v>
      </c>
      <c r="F315" s="99">
        <v>5998</v>
      </c>
      <c r="G315" s="99">
        <v>11534</v>
      </c>
      <c r="H315" s="99">
        <v>2731</v>
      </c>
      <c r="I315" s="99">
        <v>433</v>
      </c>
      <c r="J315" s="99">
        <v>536</v>
      </c>
      <c r="K315" s="99">
        <v>104</v>
      </c>
      <c r="L315" s="99">
        <v>1581</v>
      </c>
      <c r="M315" s="99">
        <v>1363</v>
      </c>
      <c r="N315" s="99">
        <v>218</v>
      </c>
      <c r="O315" s="110"/>
      <c r="P315" s="110"/>
      <c r="Q315" s="110"/>
    </row>
    <row r="316" spans="1:17" ht="17.5" customHeight="1">
      <c r="A316" s="109" t="s">
        <v>6999</v>
      </c>
      <c r="B316" s="109" t="s">
        <v>7000</v>
      </c>
      <c r="C316" s="98">
        <v>2009</v>
      </c>
      <c r="D316" s="99">
        <v>1310</v>
      </c>
      <c r="E316" s="99">
        <v>17741</v>
      </c>
      <c r="F316" s="99">
        <v>5402</v>
      </c>
      <c r="G316" s="99">
        <v>12283</v>
      </c>
      <c r="H316" s="99">
        <v>2623</v>
      </c>
      <c r="I316" s="99">
        <v>276</v>
      </c>
      <c r="J316" s="99">
        <v>474</v>
      </c>
      <c r="K316" s="99">
        <v>198</v>
      </c>
      <c r="L316" s="99">
        <v>1523</v>
      </c>
      <c r="M316" s="99">
        <v>1420</v>
      </c>
      <c r="N316" s="99">
        <v>103</v>
      </c>
      <c r="O316" s="110"/>
      <c r="P316" s="110"/>
      <c r="Q316" s="110"/>
    </row>
    <row r="317" spans="1:17" ht="17.5" customHeight="1">
      <c r="A317" s="109" t="s">
        <v>6999</v>
      </c>
      <c r="B317" s="109" t="s">
        <v>7000</v>
      </c>
      <c r="C317" s="98">
        <v>2010</v>
      </c>
      <c r="D317" s="99">
        <v>1266</v>
      </c>
      <c r="E317" s="99">
        <v>16233</v>
      </c>
      <c r="F317" s="99">
        <v>5232</v>
      </c>
      <c r="G317" s="99">
        <v>10927</v>
      </c>
      <c r="H317" s="99">
        <v>2345</v>
      </c>
      <c r="I317" s="99">
        <v>341</v>
      </c>
      <c r="J317" s="99">
        <v>437</v>
      </c>
      <c r="K317" s="99">
        <v>96</v>
      </c>
      <c r="L317" s="99">
        <v>1441</v>
      </c>
      <c r="M317" s="99">
        <v>1319</v>
      </c>
      <c r="N317" s="99">
        <v>122</v>
      </c>
      <c r="O317" s="110"/>
      <c r="P317" s="110"/>
      <c r="Q317" s="110"/>
    </row>
    <row r="318" spans="1:17" ht="17.5" customHeight="1">
      <c r="A318" s="109" t="s">
        <v>6999</v>
      </c>
      <c r="B318" s="109" t="s">
        <v>7000</v>
      </c>
      <c r="C318" s="98">
        <v>2011</v>
      </c>
      <c r="D318" s="99">
        <v>1241</v>
      </c>
      <c r="E318" s="99">
        <v>16536</v>
      </c>
      <c r="F318" s="99">
        <v>5936</v>
      </c>
      <c r="G318" s="99">
        <v>10662</v>
      </c>
      <c r="H318" s="99">
        <v>2459</v>
      </c>
      <c r="I318" s="99">
        <v>429</v>
      </c>
      <c r="J318" s="99">
        <v>454</v>
      </c>
      <c r="K318" s="99">
        <v>24</v>
      </c>
      <c r="L318" s="99">
        <v>1229</v>
      </c>
      <c r="M318" s="99">
        <v>1125</v>
      </c>
      <c r="N318" s="99">
        <v>104</v>
      </c>
      <c r="O318" s="110"/>
      <c r="P318" s="110"/>
      <c r="Q318" s="110"/>
    </row>
    <row r="319" spans="1:17" ht="17.5" customHeight="1">
      <c r="A319" s="109" t="s">
        <v>6999</v>
      </c>
      <c r="B319" s="109" t="s">
        <v>7000</v>
      </c>
      <c r="C319" s="111">
        <v>2012</v>
      </c>
      <c r="D319" s="112">
        <v>1232</v>
      </c>
      <c r="E319" s="112">
        <v>16334</v>
      </c>
      <c r="F319" s="112">
        <v>5440</v>
      </c>
      <c r="G319" s="112">
        <v>10870</v>
      </c>
      <c r="H319" s="112">
        <v>2566</v>
      </c>
      <c r="I319" s="112">
        <v>424</v>
      </c>
      <c r="J319" s="112">
        <v>464</v>
      </c>
      <c r="K319" s="112">
        <v>40</v>
      </c>
      <c r="L319" s="112">
        <v>1211</v>
      </c>
      <c r="M319" s="112">
        <v>1217</v>
      </c>
      <c r="N319" s="112">
        <v>-6</v>
      </c>
    </row>
    <row r="320" spans="1:17" ht="17.5" customHeight="1">
      <c r="A320" s="109" t="s">
        <v>6999</v>
      </c>
      <c r="B320" s="109" t="s">
        <v>7000</v>
      </c>
      <c r="C320" s="113">
        <v>2013</v>
      </c>
      <c r="D320" s="112">
        <v>1406</v>
      </c>
      <c r="E320" s="112">
        <v>16760</v>
      </c>
      <c r="F320" s="112">
        <v>5986</v>
      </c>
      <c r="G320" s="112">
        <v>10844</v>
      </c>
      <c r="H320" s="112">
        <v>2677</v>
      </c>
      <c r="I320" s="112">
        <v>537</v>
      </c>
      <c r="J320" s="112">
        <v>583</v>
      </c>
      <c r="K320" s="112">
        <v>45</v>
      </c>
      <c r="L320" s="112">
        <v>1289</v>
      </c>
      <c r="M320" s="112">
        <v>1222</v>
      </c>
      <c r="N320" s="112">
        <v>68</v>
      </c>
      <c r="O320" s="110"/>
      <c r="P320" s="110"/>
      <c r="Q320" s="110"/>
    </row>
    <row r="321" spans="1:17" ht="17.5" customHeight="1">
      <c r="A321" s="109" t="s">
        <v>6999</v>
      </c>
      <c r="B321" s="109" t="s">
        <v>7000</v>
      </c>
      <c r="C321" s="113">
        <v>2014</v>
      </c>
      <c r="D321" s="99">
        <v>1537</v>
      </c>
      <c r="E321" s="99">
        <v>16570</v>
      </c>
      <c r="F321" s="99">
        <v>5363</v>
      </c>
      <c r="G321" s="99">
        <v>11272</v>
      </c>
      <c r="H321" s="99">
        <v>2692</v>
      </c>
      <c r="I321" s="99">
        <v>579</v>
      </c>
      <c r="J321" s="99">
        <v>652</v>
      </c>
      <c r="K321" s="99">
        <v>73</v>
      </c>
      <c r="L321" s="99">
        <v>1368</v>
      </c>
      <c r="M321" s="99">
        <v>1267</v>
      </c>
      <c r="N321" s="99">
        <v>101</v>
      </c>
    </row>
    <row r="322" spans="1:17" ht="17.5" customHeight="1">
      <c r="A322" s="109" t="s">
        <v>6999</v>
      </c>
      <c r="B322" s="109" t="s">
        <v>7000</v>
      </c>
      <c r="C322" s="113">
        <v>2015</v>
      </c>
      <c r="D322" s="112">
        <v>1697</v>
      </c>
      <c r="E322" s="112">
        <v>16459</v>
      </c>
      <c r="F322" s="112">
        <v>5701</v>
      </c>
      <c r="G322" s="112">
        <v>10781</v>
      </c>
      <c r="H322" s="112">
        <v>2846</v>
      </c>
      <c r="I322" s="112">
        <v>712</v>
      </c>
      <c r="J322" s="112">
        <v>746</v>
      </c>
      <c r="K322" s="112">
        <v>34</v>
      </c>
      <c r="L322" s="112">
        <v>1388</v>
      </c>
      <c r="M322" s="112">
        <v>1359</v>
      </c>
      <c r="N322" s="112">
        <v>29</v>
      </c>
    </row>
    <row r="323" spans="1:17" ht="17.5" customHeight="1">
      <c r="A323" s="109" t="s">
        <v>6999</v>
      </c>
      <c r="B323" s="109" t="s">
        <v>7000</v>
      </c>
      <c r="C323" s="113">
        <v>2016</v>
      </c>
      <c r="D323" s="112">
        <v>1795</v>
      </c>
      <c r="E323" s="112">
        <v>16967</v>
      </c>
      <c r="F323" s="112">
        <v>5700</v>
      </c>
      <c r="G323" s="112">
        <v>11259</v>
      </c>
      <c r="H323" s="112">
        <v>3041</v>
      </c>
      <c r="I323" s="112">
        <v>673</v>
      </c>
      <c r="J323" s="112">
        <v>758</v>
      </c>
      <c r="K323" s="112">
        <v>85</v>
      </c>
      <c r="L323" s="112">
        <v>1359</v>
      </c>
      <c r="M323" s="112">
        <v>1421</v>
      </c>
      <c r="N323" s="112">
        <v>-63</v>
      </c>
      <c r="O323" s="110"/>
      <c r="P323" s="110"/>
      <c r="Q323" s="110"/>
    </row>
    <row r="324" spans="1:17" ht="17.5" customHeight="1">
      <c r="A324" s="109" t="s">
        <v>6999</v>
      </c>
      <c r="B324" s="109" t="s">
        <v>7000</v>
      </c>
      <c r="C324" s="113">
        <v>2017</v>
      </c>
      <c r="D324" s="112">
        <v>1906</v>
      </c>
      <c r="E324" s="112">
        <v>17744</v>
      </c>
      <c r="F324" s="112">
        <v>5973</v>
      </c>
      <c r="G324" s="112">
        <v>12059</v>
      </c>
      <c r="H324" s="112">
        <v>3197</v>
      </c>
      <c r="I324" s="112">
        <v>878</v>
      </c>
      <c r="J324" s="112">
        <v>909</v>
      </c>
      <c r="K324" s="112">
        <v>31</v>
      </c>
      <c r="L324" s="112">
        <v>1429</v>
      </c>
      <c r="M324" s="112">
        <v>1302</v>
      </c>
      <c r="N324" s="112">
        <v>127</v>
      </c>
      <c r="O324" s="110"/>
      <c r="P324" s="110"/>
      <c r="Q324" s="110"/>
    </row>
    <row r="325" spans="1:17" ht="17.5" customHeight="1">
      <c r="A325" s="109" t="s">
        <v>6999</v>
      </c>
      <c r="B325" s="109" t="s">
        <v>7000</v>
      </c>
      <c r="C325" s="113">
        <v>2018</v>
      </c>
      <c r="D325" s="112">
        <v>2053</v>
      </c>
      <c r="E325" s="112">
        <v>18877</v>
      </c>
      <c r="F325" s="112">
        <v>6239</v>
      </c>
      <c r="G325" s="112">
        <v>12794</v>
      </c>
      <c r="H325" s="112">
        <v>3376</v>
      </c>
      <c r="I325" s="112">
        <v>624</v>
      </c>
      <c r="J325" s="112">
        <v>707</v>
      </c>
      <c r="K325" s="112">
        <v>83</v>
      </c>
      <c r="L325" s="112">
        <v>1488</v>
      </c>
      <c r="M325" s="112">
        <v>1411</v>
      </c>
      <c r="N325" s="112">
        <v>78</v>
      </c>
    </row>
    <row r="326" spans="1:17" ht="17.5" customHeight="1">
      <c r="A326" s="109" t="s">
        <v>6999</v>
      </c>
      <c r="B326" s="109" t="s">
        <v>7000</v>
      </c>
      <c r="C326" s="113">
        <v>2019</v>
      </c>
      <c r="D326" s="112">
        <v>2203</v>
      </c>
      <c r="E326" s="112">
        <v>18364.245413000001</v>
      </c>
      <c r="F326" s="112">
        <v>6144.7993999999999</v>
      </c>
      <c r="G326" s="112">
        <v>12458.969496</v>
      </c>
      <c r="H326" s="112">
        <v>3394.2879509999998</v>
      </c>
      <c r="I326" s="112">
        <v>641.14896799999997</v>
      </c>
      <c r="J326" s="112">
        <v>694.86155099999996</v>
      </c>
      <c r="K326" s="112">
        <v>53.712583000000002</v>
      </c>
      <c r="L326" s="112">
        <v>1515.643417</v>
      </c>
      <c r="M326" s="112">
        <v>1369.335542</v>
      </c>
      <c r="N326" s="112">
        <v>146.307875</v>
      </c>
    </row>
    <row r="327" spans="1:17" ht="17.5" customHeight="1">
      <c r="A327" s="114" t="s">
        <v>6999</v>
      </c>
      <c r="B327" s="114" t="s">
        <v>7000</v>
      </c>
      <c r="C327" s="113">
        <v>2020</v>
      </c>
      <c r="D327" s="112">
        <v>2444</v>
      </c>
      <c r="E327" s="112">
        <v>17655.510756</v>
      </c>
      <c r="F327" s="112">
        <v>5706.4359119999999</v>
      </c>
      <c r="G327" s="112">
        <v>12129.851316</v>
      </c>
      <c r="H327" s="112">
        <v>3470.2606310000001</v>
      </c>
      <c r="I327" s="112">
        <v>522.63172799999995</v>
      </c>
      <c r="J327" s="112">
        <v>597.10389799999996</v>
      </c>
      <c r="K327" s="112">
        <v>74.472168999999994</v>
      </c>
      <c r="L327" s="112">
        <v>1583.295318</v>
      </c>
      <c r="M327" s="112">
        <v>1461.5750519999999</v>
      </c>
      <c r="N327" s="112">
        <v>121.720266</v>
      </c>
      <c r="O327" s="110"/>
      <c r="P327" s="110"/>
      <c r="Q327" s="110"/>
    </row>
    <row r="328" spans="1:17" ht="17.5" customHeight="1">
      <c r="A328" s="109" t="s">
        <v>7001</v>
      </c>
      <c r="B328" s="109" t="s">
        <v>7002</v>
      </c>
      <c r="C328" s="98">
        <v>2008</v>
      </c>
      <c r="D328" s="99">
        <v>3</v>
      </c>
      <c r="E328" s="112" t="s">
        <v>6953</v>
      </c>
      <c r="F328" s="99">
        <v>191</v>
      </c>
      <c r="G328" s="112" t="s">
        <v>6953</v>
      </c>
      <c r="H328" s="112" t="s">
        <v>6953</v>
      </c>
      <c r="I328" s="112" t="s">
        <v>6953</v>
      </c>
      <c r="J328" s="112" t="s">
        <v>6953</v>
      </c>
      <c r="K328" s="112" t="s">
        <v>6953</v>
      </c>
      <c r="L328" s="99">
        <v>142</v>
      </c>
      <c r="M328" s="112" t="s">
        <v>6953</v>
      </c>
      <c r="N328" s="112" t="s">
        <v>6953</v>
      </c>
      <c r="O328" s="110"/>
      <c r="P328" s="110"/>
      <c r="Q328" s="110"/>
    </row>
    <row r="329" spans="1:17" ht="17.5" customHeight="1">
      <c r="A329" s="109" t="s">
        <v>7001</v>
      </c>
      <c r="B329" s="109" t="s">
        <v>7002</v>
      </c>
      <c r="C329" s="98">
        <v>2009</v>
      </c>
      <c r="D329" s="112" t="s">
        <v>6953</v>
      </c>
      <c r="E329" s="112" t="s">
        <v>6953</v>
      </c>
      <c r="F329" s="112" t="s">
        <v>6953</v>
      </c>
      <c r="G329" s="112" t="s">
        <v>6953</v>
      </c>
      <c r="H329" s="112" t="s">
        <v>6953</v>
      </c>
      <c r="I329" s="112" t="s">
        <v>6953</v>
      </c>
      <c r="J329" s="112" t="s">
        <v>6953</v>
      </c>
      <c r="K329" s="112" t="s">
        <v>6953</v>
      </c>
      <c r="L329" s="112" t="s">
        <v>6953</v>
      </c>
      <c r="M329" s="112" t="s">
        <v>6953</v>
      </c>
      <c r="N329" s="112" t="s">
        <v>6953</v>
      </c>
      <c r="O329" s="110"/>
      <c r="P329" s="110"/>
      <c r="Q329" s="110"/>
    </row>
    <row r="330" spans="1:17" ht="17.5" customHeight="1">
      <c r="A330" s="109" t="s">
        <v>7001</v>
      </c>
      <c r="B330" s="109" t="s">
        <v>7002</v>
      </c>
      <c r="C330" s="98">
        <v>2010</v>
      </c>
      <c r="D330" s="112" t="s">
        <v>6953</v>
      </c>
      <c r="E330" s="112" t="s">
        <v>6953</v>
      </c>
      <c r="F330" s="112" t="s">
        <v>6953</v>
      </c>
      <c r="G330" s="112" t="s">
        <v>6953</v>
      </c>
      <c r="H330" s="112" t="s">
        <v>6953</v>
      </c>
      <c r="I330" s="112" t="s">
        <v>6953</v>
      </c>
      <c r="J330" s="112" t="s">
        <v>6953</v>
      </c>
      <c r="K330" s="112" t="s">
        <v>6953</v>
      </c>
      <c r="L330" s="112" t="s">
        <v>6953</v>
      </c>
      <c r="M330" s="112" t="s">
        <v>6953</v>
      </c>
      <c r="N330" s="112" t="s">
        <v>6953</v>
      </c>
      <c r="O330" s="110"/>
      <c r="P330" s="110"/>
      <c r="Q330" s="110"/>
    </row>
    <row r="331" spans="1:17" ht="17.5" customHeight="1">
      <c r="A331" s="109" t="s">
        <v>7001</v>
      </c>
      <c r="B331" s="109" t="s">
        <v>7002</v>
      </c>
      <c r="C331" s="98">
        <v>2011</v>
      </c>
      <c r="D331" s="112" t="s">
        <v>6953</v>
      </c>
      <c r="E331" s="112" t="s">
        <v>6953</v>
      </c>
      <c r="F331" s="112" t="s">
        <v>6953</v>
      </c>
      <c r="G331" s="112" t="s">
        <v>6953</v>
      </c>
      <c r="H331" s="112" t="s">
        <v>6953</v>
      </c>
      <c r="I331" s="112" t="s">
        <v>6953</v>
      </c>
      <c r="J331" s="112" t="s">
        <v>6953</v>
      </c>
      <c r="K331" s="112" t="s">
        <v>6953</v>
      </c>
      <c r="L331" s="112" t="s">
        <v>6953</v>
      </c>
      <c r="M331" s="112" t="s">
        <v>6953</v>
      </c>
      <c r="N331" s="112" t="s">
        <v>6953</v>
      </c>
    </row>
    <row r="332" spans="1:17" ht="17.5" customHeight="1">
      <c r="A332" s="109" t="s">
        <v>7001</v>
      </c>
      <c r="B332" s="109" t="s">
        <v>7002</v>
      </c>
      <c r="C332" s="111">
        <v>2012</v>
      </c>
      <c r="D332" s="112" t="s">
        <v>6953</v>
      </c>
      <c r="E332" s="112" t="s">
        <v>6953</v>
      </c>
      <c r="F332" s="112" t="s">
        <v>6953</v>
      </c>
      <c r="G332" s="112" t="s">
        <v>6953</v>
      </c>
      <c r="H332" s="112" t="s">
        <v>6953</v>
      </c>
      <c r="I332" s="112" t="s">
        <v>6953</v>
      </c>
      <c r="J332" s="112" t="s">
        <v>6953</v>
      </c>
      <c r="K332" s="112" t="s">
        <v>6953</v>
      </c>
      <c r="L332" s="112" t="s">
        <v>6953</v>
      </c>
      <c r="M332" s="112" t="s">
        <v>6953</v>
      </c>
      <c r="N332" s="112" t="s">
        <v>6953</v>
      </c>
      <c r="O332" s="110"/>
      <c r="P332" s="110"/>
      <c r="Q332" s="110"/>
    </row>
    <row r="333" spans="1:17" ht="17.5" customHeight="1">
      <c r="A333" s="109" t="s">
        <v>7001</v>
      </c>
      <c r="B333" s="109" t="s">
        <v>7002</v>
      </c>
      <c r="C333" s="113">
        <v>2013</v>
      </c>
      <c r="D333" s="112" t="s">
        <v>6953</v>
      </c>
      <c r="E333" s="112" t="s">
        <v>6953</v>
      </c>
      <c r="F333" s="112" t="s">
        <v>6953</v>
      </c>
      <c r="G333" s="112" t="s">
        <v>6953</v>
      </c>
      <c r="H333" s="112" t="s">
        <v>6953</v>
      </c>
      <c r="I333" s="112" t="s">
        <v>6953</v>
      </c>
      <c r="J333" s="112" t="s">
        <v>6953</v>
      </c>
      <c r="K333" s="112" t="s">
        <v>6953</v>
      </c>
      <c r="L333" s="112" t="s">
        <v>6953</v>
      </c>
      <c r="M333" s="112" t="s">
        <v>6953</v>
      </c>
      <c r="N333" s="112" t="s">
        <v>6953</v>
      </c>
    </row>
    <row r="334" spans="1:17" ht="17.5" customHeight="1">
      <c r="A334" s="109" t="s">
        <v>7001</v>
      </c>
      <c r="B334" s="109" t="s">
        <v>7002</v>
      </c>
      <c r="C334" s="113">
        <v>2014</v>
      </c>
      <c r="D334" s="112" t="s">
        <v>6953</v>
      </c>
      <c r="E334" s="112" t="s">
        <v>6953</v>
      </c>
      <c r="F334" s="112" t="s">
        <v>6953</v>
      </c>
      <c r="G334" s="112" t="s">
        <v>6953</v>
      </c>
      <c r="H334" s="112" t="s">
        <v>6953</v>
      </c>
      <c r="I334" s="112" t="s">
        <v>6953</v>
      </c>
      <c r="J334" s="112" t="s">
        <v>6953</v>
      </c>
      <c r="K334" s="112" t="s">
        <v>6953</v>
      </c>
      <c r="L334" s="112" t="s">
        <v>6953</v>
      </c>
      <c r="M334" s="112" t="s">
        <v>6953</v>
      </c>
      <c r="N334" s="112" t="s">
        <v>6953</v>
      </c>
    </row>
    <row r="335" spans="1:17" ht="17.5" customHeight="1">
      <c r="A335" s="109" t="s">
        <v>7001</v>
      </c>
      <c r="B335" s="109" t="s">
        <v>7002</v>
      </c>
      <c r="C335" s="113">
        <v>2015</v>
      </c>
      <c r="D335" s="112">
        <v>4</v>
      </c>
      <c r="E335" s="112" t="s">
        <v>6953</v>
      </c>
      <c r="F335" s="112" t="s">
        <v>6953</v>
      </c>
      <c r="G335" s="112" t="s">
        <v>6953</v>
      </c>
      <c r="H335" s="112" t="s">
        <v>6953</v>
      </c>
      <c r="I335" s="112" t="s">
        <v>6953</v>
      </c>
      <c r="J335" s="112" t="s">
        <v>6953</v>
      </c>
      <c r="K335" s="112" t="s">
        <v>6953</v>
      </c>
      <c r="L335" s="112">
        <v>297</v>
      </c>
      <c r="M335" s="112">
        <v>265</v>
      </c>
      <c r="N335" s="112">
        <v>32</v>
      </c>
      <c r="O335" s="110"/>
      <c r="P335" s="110"/>
      <c r="Q335" s="110"/>
    </row>
    <row r="336" spans="1:17" ht="17.5" customHeight="1">
      <c r="A336" s="109" t="s">
        <v>7001</v>
      </c>
      <c r="B336" s="109" t="s">
        <v>7002</v>
      </c>
      <c r="C336" s="113">
        <v>2016</v>
      </c>
      <c r="D336" s="112" t="s">
        <v>6953</v>
      </c>
      <c r="E336" s="112" t="s">
        <v>6953</v>
      </c>
      <c r="F336" s="112" t="s">
        <v>6953</v>
      </c>
      <c r="G336" s="112" t="s">
        <v>6953</v>
      </c>
      <c r="H336" s="112" t="s">
        <v>6953</v>
      </c>
      <c r="I336" s="112" t="s">
        <v>6953</v>
      </c>
      <c r="J336" s="112" t="s">
        <v>6953</v>
      </c>
      <c r="K336" s="112" t="s">
        <v>6953</v>
      </c>
      <c r="L336" s="112" t="s">
        <v>6953</v>
      </c>
      <c r="M336" s="112" t="s">
        <v>6953</v>
      </c>
      <c r="N336" s="112" t="s">
        <v>6953</v>
      </c>
      <c r="O336" s="110"/>
      <c r="P336" s="110"/>
      <c r="Q336" s="110"/>
    </row>
    <row r="337" spans="1:17" ht="17.5" customHeight="1">
      <c r="A337" s="109" t="s">
        <v>7001</v>
      </c>
      <c r="B337" s="109" t="s">
        <v>7002</v>
      </c>
      <c r="C337" s="113">
        <v>2017</v>
      </c>
      <c r="D337" s="112" t="s">
        <v>6953</v>
      </c>
      <c r="E337" s="112" t="s">
        <v>6953</v>
      </c>
      <c r="F337" s="112" t="s">
        <v>6953</v>
      </c>
      <c r="G337" s="112" t="s">
        <v>6953</v>
      </c>
      <c r="H337" s="112" t="s">
        <v>6953</v>
      </c>
      <c r="I337" s="112" t="s">
        <v>6953</v>
      </c>
      <c r="J337" s="112" t="s">
        <v>6953</v>
      </c>
      <c r="K337" s="112" t="s">
        <v>6953</v>
      </c>
      <c r="L337" s="112" t="s">
        <v>6953</v>
      </c>
      <c r="M337" s="112" t="s">
        <v>6953</v>
      </c>
      <c r="N337" s="112" t="s">
        <v>6953</v>
      </c>
    </row>
    <row r="338" spans="1:17" ht="17.5" customHeight="1">
      <c r="A338" s="109" t="s">
        <v>7001</v>
      </c>
      <c r="B338" s="109" t="s">
        <v>7002</v>
      </c>
      <c r="C338" s="113">
        <v>2018</v>
      </c>
      <c r="D338" s="112" t="s">
        <v>6953</v>
      </c>
      <c r="E338" s="112" t="s">
        <v>6953</v>
      </c>
      <c r="F338" s="112" t="s">
        <v>6953</v>
      </c>
      <c r="G338" s="112" t="s">
        <v>6953</v>
      </c>
      <c r="H338" s="112" t="s">
        <v>6953</v>
      </c>
      <c r="I338" s="112" t="s">
        <v>6953</v>
      </c>
      <c r="J338" s="112" t="s">
        <v>6953</v>
      </c>
      <c r="K338" s="112" t="s">
        <v>6953</v>
      </c>
      <c r="L338" s="112" t="s">
        <v>6953</v>
      </c>
      <c r="M338" s="112" t="s">
        <v>6953</v>
      </c>
      <c r="N338" s="112" t="s">
        <v>6953</v>
      </c>
    </row>
    <row r="339" spans="1:17" ht="17.5" customHeight="1">
      <c r="A339" s="109" t="s">
        <v>7001</v>
      </c>
      <c r="B339" s="109" t="s">
        <v>7002</v>
      </c>
      <c r="C339" s="113">
        <v>2019</v>
      </c>
      <c r="D339" s="112" t="s">
        <v>6953</v>
      </c>
      <c r="E339" s="112" t="s">
        <v>6953</v>
      </c>
      <c r="F339" s="112" t="s">
        <v>6953</v>
      </c>
      <c r="G339" s="112" t="s">
        <v>6953</v>
      </c>
      <c r="H339" s="112" t="s">
        <v>6953</v>
      </c>
      <c r="I339" s="112" t="s">
        <v>6953</v>
      </c>
      <c r="J339" s="112" t="s">
        <v>6953</v>
      </c>
      <c r="K339" s="112" t="s">
        <v>6953</v>
      </c>
      <c r="L339" s="112" t="s">
        <v>6953</v>
      </c>
      <c r="M339" s="112" t="s">
        <v>6953</v>
      </c>
      <c r="N339" s="112" t="s">
        <v>6953</v>
      </c>
      <c r="O339" s="110"/>
      <c r="P339" s="110"/>
      <c r="Q339" s="110"/>
    </row>
    <row r="340" spans="1:17" ht="17.5" customHeight="1">
      <c r="A340" s="114" t="s">
        <v>7001</v>
      </c>
      <c r="B340" s="114" t="s">
        <v>7002</v>
      </c>
      <c r="C340" s="113">
        <v>2020</v>
      </c>
      <c r="D340" s="112" t="s">
        <v>6953</v>
      </c>
      <c r="E340" s="112" t="s">
        <v>6953</v>
      </c>
      <c r="F340" s="112" t="s">
        <v>6953</v>
      </c>
      <c r="G340" s="112" t="s">
        <v>6953</v>
      </c>
      <c r="H340" s="112" t="s">
        <v>6953</v>
      </c>
      <c r="I340" s="112" t="s">
        <v>6953</v>
      </c>
      <c r="J340" s="112" t="s">
        <v>6953</v>
      </c>
      <c r="K340" s="112" t="s">
        <v>6953</v>
      </c>
      <c r="L340" s="112" t="s">
        <v>6953</v>
      </c>
      <c r="M340" s="112" t="s">
        <v>6953</v>
      </c>
      <c r="N340" s="112" t="s">
        <v>6953</v>
      </c>
      <c r="O340" s="110"/>
      <c r="P340" s="110"/>
      <c r="Q340" s="110"/>
    </row>
    <row r="341" spans="1:17" ht="31.75" customHeight="1">
      <c r="A341" s="109" t="s">
        <v>7003</v>
      </c>
      <c r="B341" s="109" t="s">
        <v>7004</v>
      </c>
      <c r="C341" s="98">
        <v>2008</v>
      </c>
      <c r="D341" s="99">
        <v>283</v>
      </c>
      <c r="E341" s="99">
        <v>4874</v>
      </c>
      <c r="F341" s="99">
        <v>2401</v>
      </c>
      <c r="G341" s="99">
        <v>2591</v>
      </c>
      <c r="H341" s="99">
        <v>783</v>
      </c>
      <c r="I341" s="99">
        <v>111</v>
      </c>
      <c r="J341" s="99">
        <v>117</v>
      </c>
      <c r="K341" s="99">
        <v>6</v>
      </c>
      <c r="L341" s="99">
        <v>581</v>
      </c>
      <c r="M341" s="99">
        <v>476</v>
      </c>
      <c r="N341" s="99">
        <v>105</v>
      </c>
      <c r="O341" s="110"/>
      <c r="P341" s="110"/>
      <c r="Q341" s="110"/>
    </row>
    <row r="342" spans="1:17" ht="31.75" customHeight="1">
      <c r="A342" s="109" t="s">
        <v>7003</v>
      </c>
      <c r="B342" s="109" t="s">
        <v>7004</v>
      </c>
      <c r="C342" s="98">
        <v>2009</v>
      </c>
      <c r="D342" s="99">
        <v>292</v>
      </c>
      <c r="E342" s="99">
        <v>4652</v>
      </c>
      <c r="F342" s="99">
        <v>2035</v>
      </c>
      <c r="G342" s="99">
        <v>2633</v>
      </c>
      <c r="H342" s="99">
        <v>675</v>
      </c>
      <c r="I342" s="99">
        <v>103</v>
      </c>
      <c r="J342" s="99">
        <v>119</v>
      </c>
      <c r="K342" s="99">
        <v>16</v>
      </c>
      <c r="L342" s="99">
        <v>505</v>
      </c>
      <c r="M342" s="99">
        <v>457</v>
      </c>
      <c r="N342" s="99">
        <v>48</v>
      </c>
      <c r="O342" s="110"/>
      <c r="P342" s="110"/>
      <c r="Q342" s="110"/>
    </row>
    <row r="343" spans="1:17" ht="31.75" customHeight="1">
      <c r="A343" s="109" t="s">
        <v>7003</v>
      </c>
      <c r="B343" s="109" t="s">
        <v>7004</v>
      </c>
      <c r="C343" s="98">
        <v>2010</v>
      </c>
      <c r="D343" s="99">
        <v>302</v>
      </c>
      <c r="E343" s="99">
        <v>4632</v>
      </c>
      <c r="F343" s="99">
        <v>1972</v>
      </c>
      <c r="G343" s="99">
        <v>2646</v>
      </c>
      <c r="H343" s="99">
        <v>657</v>
      </c>
      <c r="I343" s="99">
        <v>99</v>
      </c>
      <c r="J343" s="99">
        <v>107</v>
      </c>
      <c r="K343" s="99">
        <v>8</v>
      </c>
      <c r="L343" s="99">
        <v>437</v>
      </c>
      <c r="M343" s="99">
        <v>416</v>
      </c>
      <c r="N343" s="99">
        <v>21</v>
      </c>
    </row>
    <row r="344" spans="1:17" ht="31.75" customHeight="1">
      <c r="A344" s="109" t="s">
        <v>7003</v>
      </c>
      <c r="B344" s="109" t="s">
        <v>7004</v>
      </c>
      <c r="C344" s="98">
        <v>2011</v>
      </c>
      <c r="D344" s="99">
        <v>313</v>
      </c>
      <c r="E344" s="99">
        <v>4899</v>
      </c>
      <c r="F344" s="99">
        <v>2286</v>
      </c>
      <c r="G344" s="99">
        <v>2631</v>
      </c>
      <c r="H344" s="99">
        <v>687</v>
      </c>
      <c r="I344" s="99">
        <v>151</v>
      </c>
      <c r="J344" s="99">
        <v>154</v>
      </c>
      <c r="K344" s="99">
        <v>3</v>
      </c>
      <c r="L344" s="99">
        <v>308</v>
      </c>
      <c r="M344" s="99">
        <v>289</v>
      </c>
      <c r="N344" s="99">
        <v>19</v>
      </c>
      <c r="O344" s="110"/>
      <c r="P344" s="110"/>
      <c r="Q344" s="110"/>
    </row>
    <row r="345" spans="1:17" ht="31.75" customHeight="1">
      <c r="A345" s="109" t="s">
        <v>7003</v>
      </c>
      <c r="B345" s="109" t="s">
        <v>7004</v>
      </c>
      <c r="C345" s="111">
        <v>2012</v>
      </c>
      <c r="D345" s="112">
        <v>342</v>
      </c>
      <c r="E345" s="112">
        <v>3835</v>
      </c>
      <c r="F345" s="112">
        <v>1418</v>
      </c>
      <c r="G345" s="112">
        <v>2398</v>
      </c>
      <c r="H345" s="112">
        <v>589</v>
      </c>
      <c r="I345" s="112">
        <v>107</v>
      </c>
      <c r="J345" s="112">
        <v>113</v>
      </c>
      <c r="K345" s="112">
        <v>6</v>
      </c>
      <c r="L345" s="112">
        <v>271</v>
      </c>
      <c r="M345" s="112">
        <v>288</v>
      </c>
      <c r="N345" s="112">
        <v>-16</v>
      </c>
    </row>
    <row r="346" spans="1:17" ht="31.75" customHeight="1">
      <c r="A346" s="109" t="s">
        <v>7003</v>
      </c>
      <c r="B346" s="109" t="s">
        <v>7004</v>
      </c>
      <c r="C346" s="113">
        <v>2013</v>
      </c>
      <c r="D346" s="112">
        <v>363</v>
      </c>
      <c r="E346" s="112">
        <v>3834</v>
      </c>
      <c r="F346" s="112">
        <v>1528</v>
      </c>
      <c r="G346" s="112">
        <v>2301</v>
      </c>
      <c r="H346" s="112">
        <v>644</v>
      </c>
      <c r="I346" s="112">
        <v>121</v>
      </c>
      <c r="J346" s="112">
        <v>130</v>
      </c>
      <c r="K346" s="112">
        <v>8</v>
      </c>
      <c r="L346" s="112">
        <v>264</v>
      </c>
      <c r="M346" s="112">
        <v>270</v>
      </c>
      <c r="N346" s="112">
        <v>-6</v>
      </c>
    </row>
    <row r="347" spans="1:17" ht="31.75" customHeight="1">
      <c r="A347" s="109" t="s">
        <v>7003</v>
      </c>
      <c r="B347" s="109" t="s">
        <v>7004</v>
      </c>
      <c r="C347" s="113">
        <v>2014</v>
      </c>
      <c r="D347" s="99">
        <v>373</v>
      </c>
      <c r="E347" s="99">
        <v>3730</v>
      </c>
      <c r="F347" s="99">
        <v>1381</v>
      </c>
      <c r="G347" s="99">
        <v>2375</v>
      </c>
      <c r="H347" s="99">
        <v>588</v>
      </c>
      <c r="I347" s="99">
        <v>132</v>
      </c>
      <c r="J347" s="112" t="s">
        <v>6953</v>
      </c>
      <c r="K347" s="112" t="s">
        <v>6953</v>
      </c>
      <c r="L347" s="99">
        <v>292</v>
      </c>
      <c r="M347" s="99">
        <v>267</v>
      </c>
      <c r="N347" s="99">
        <v>25</v>
      </c>
      <c r="O347" s="110"/>
      <c r="P347" s="110"/>
      <c r="Q347" s="110"/>
    </row>
    <row r="348" spans="1:17" ht="31.75" customHeight="1">
      <c r="A348" s="109" t="s">
        <v>7003</v>
      </c>
      <c r="B348" s="109" t="s">
        <v>7004</v>
      </c>
      <c r="C348" s="113">
        <v>2015</v>
      </c>
      <c r="D348" s="112">
        <v>397</v>
      </c>
      <c r="E348" s="112">
        <v>3653</v>
      </c>
      <c r="F348" s="112">
        <v>1397</v>
      </c>
      <c r="G348" s="112">
        <v>2257</v>
      </c>
      <c r="H348" s="112">
        <v>559</v>
      </c>
      <c r="I348" s="112">
        <v>168</v>
      </c>
      <c r="J348" s="112">
        <v>172</v>
      </c>
      <c r="K348" s="112">
        <v>4</v>
      </c>
      <c r="L348" s="112">
        <v>296</v>
      </c>
      <c r="M348" s="112">
        <v>297</v>
      </c>
      <c r="N348" s="112">
        <v>-1</v>
      </c>
      <c r="O348" s="110"/>
      <c r="P348" s="110"/>
      <c r="Q348" s="110"/>
    </row>
    <row r="349" spans="1:17" s="115" customFormat="1" ht="31.75" customHeight="1">
      <c r="A349" s="109" t="s">
        <v>7003</v>
      </c>
      <c r="B349" s="109" t="s">
        <v>7004</v>
      </c>
      <c r="C349" s="113">
        <v>2016</v>
      </c>
      <c r="D349" s="112">
        <v>395</v>
      </c>
      <c r="E349" s="112">
        <v>3471</v>
      </c>
      <c r="F349" s="112">
        <v>1140</v>
      </c>
      <c r="G349" s="112">
        <v>2374</v>
      </c>
      <c r="H349" s="112">
        <v>596</v>
      </c>
      <c r="I349" s="112">
        <v>136</v>
      </c>
      <c r="J349" s="112">
        <v>151</v>
      </c>
      <c r="K349" s="112">
        <v>15</v>
      </c>
      <c r="L349" s="112">
        <v>313</v>
      </c>
      <c r="M349" s="112">
        <v>321</v>
      </c>
      <c r="N349" s="112">
        <v>-8</v>
      </c>
    </row>
    <row r="350" spans="1:17" ht="31.75" customHeight="1">
      <c r="A350" s="109" t="s">
        <v>7003</v>
      </c>
      <c r="B350" s="109" t="s">
        <v>7004</v>
      </c>
      <c r="C350" s="113">
        <v>2017</v>
      </c>
      <c r="D350" s="112">
        <v>403</v>
      </c>
      <c r="E350" s="112">
        <v>3510</v>
      </c>
      <c r="F350" s="112">
        <v>1183</v>
      </c>
      <c r="G350" s="112">
        <v>2436</v>
      </c>
      <c r="H350" s="112">
        <v>678</v>
      </c>
      <c r="I350" s="112">
        <v>219</v>
      </c>
      <c r="J350" s="112">
        <v>236</v>
      </c>
      <c r="K350" s="112">
        <v>17</v>
      </c>
      <c r="L350" s="112">
        <v>334</v>
      </c>
      <c r="M350" s="112">
        <v>294</v>
      </c>
      <c r="N350" s="112">
        <v>40</v>
      </c>
    </row>
    <row r="351" spans="1:17" ht="31.75" customHeight="1">
      <c r="A351" s="109" t="s">
        <v>7003</v>
      </c>
      <c r="B351" s="109" t="s">
        <v>7004</v>
      </c>
      <c r="C351" s="113">
        <v>2018</v>
      </c>
      <c r="D351" s="112">
        <v>415</v>
      </c>
      <c r="E351" s="112">
        <v>3670</v>
      </c>
      <c r="F351" s="112">
        <v>1168</v>
      </c>
      <c r="G351" s="112">
        <v>2554</v>
      </c>
      <c r="H351" s="112">
        <v>674</v>
      </c>
      <c r="I351" s="112">
        <v>130</v>
      </c>
      <c r="J351" s="112">
        <v>170</v>
      </c>
      <c r="K351" s="112">
        <v>40</v>
      </c>
      <c r="L351" s="112">
        <v>330</v>
      </c>
      <c r="M351" s="112">
        <v>329</v>
      </c>
      <c r="N351" s="112">
        <v>1</v>
      </c>
      <c r="O351" s="110"/>
      <c r="P351" s="110"/>
      <c r="Q351" s="110"/>
    </row>
    <row r="352" spans="1:17" ht="31.75" customHeight="1">
      <c r="A352" s="109" t="s">
        <v>7003</v>
      </c>
      <c r="B352" s="109" t="s">
        <v>7004</v>
      </c>
      <c r="C352" s="113">
        <v>2019</v>
      </c>
      <c r="D352" s="112">
        <v>432</v>
      </c>
      <c r="E352" s="112">
        <v>3546.612697</v>
      </c>
      <c r="F352" s="112">
        <v>1298.4011599999999</v>
      </c>
      <c r="G352" s="112">
        <v>2366.6178450000002</v>
      </c>
      <c r="H352" s="112">
        <v>676.21046000000001</v>
      </c>
      <c r="I352" s="112">
        <v>150.963752</v>
      </c>
      <c r="J352" s="112">
        <v>178.63333499999999</v>
      </c>
      <c r="K352" s="112">
        <v>27.669582999999999</v>
      </c>
      <c r="L352" s="112">
        <v>356.28968099999997</v>
      </c>
      <c r="M352" s="112">
        <v>315.22641099999998</v>
      </c>
      <c r="N352" s="112">
        <v>41.063270000000003</v>
      </c>
      <c r="O352" s="110"/>
      <c r="P352" s="110"/>
      <c r="Q352" s="110"/>
    </row>
    <row r="353" spans="1:17" ht="31.75" customHeight="1">
      <c r="A353" s="114" t="s">
        <v>7003</v>
      </c>
      <c r="B353" s="114" t="s">
        <v>7005</v>
      </c>
      <c r="C353" s="113">
        <v>2020</v>
      </c>
      <c r="D353" s="112">
        <v>453</v>
      </c>
      <c r="E353" s="112">
        <v>3379.2698930000001</v>
      </c>
      <c r="F353" s="112">
        <v>996.32948899999997</v>
      </c>
      <c r="G353" s="112">
        <v>2424.3816120000001</v>
      </c>
      <c r="H353" s="112">
        <v>724.43648700000006</v>
      </c>
      <c r="I353" s="112">
        <v>124.701205</v>
      </c>
      <c r="J353" s="112">
        <v>167.594717</v>
      </c>
      <c r="K353" s="112">
        <v>42.893512000000001</v>
      </c>
      <c r="L353" s="112">
        <v>359.18477100000001</v>
      </c>
      <c r="M353" s="112">
        <v>348.132519</v>
      </c>
      <c r="N353" s="112">
        <v>11.052251999999999</v>
      </c>
      <c r="O353" s="110"/>
      <c r="P353" s="110"/>
      <c r="Q353" s="110"/>
    </row>
    <row r="354" spans="1:17" ht="17.5" customHeight="1">
      <c r="A354" s="109" t="s">
        <v>7006</v>
      </c>
      <c r="B354" s="109" t="s">
        <v>7007</v>
      </c>
      <c r="C354" s="98">
        <v>2008</v>
      </c>
      <c r="D354" s="99">
        <v>83</v>
      </c>
      <c r="E354" s="99">
        <v>2150</v>
      </c>
      <c r="F354" s="99">
        <v>682</v>
      </c>
      <c r="G354" s="99">
        <v>1495</v>
      </c>
      <c r="H354" s="99">
        <v>247</v>
      </c>
      <c r="I354" s="99">
        <v>9</v>
      </c>
      <c r="J354" s="99">
        <v>35</v>
      </c>
      <c r="K354" s="99">
        <v>26</v>
      </c>
      <c r="L354" s="99">
        <v>199</v>
      </c>
      <c r="M354" s="99">
        <v>171</v>
      </c>
      <c r="N354" s="99">
        <v>28</v>
      </c>
      <c r="O354" s="110"/>
      <c r="P354" s="110"/>
      <c r="Q354" s="110"/>
    </row>
    <row r="355" spans="1:17" ht="17.5" customHeight="1">
      <c r="A355" s="109" t="s">
        <v>7006</v>
      </c>
      <c r="B355" s="109" t="s">
        <v>7007</v>
      </c>
      <c r="C355" s="98">
        <v>2009</v>
      </c>
      <c r="D355" s="99">
        <v>82</v>
      </c>
      <c r="E355" s="99">
        <v>1652</v>
      </c>
      <c r="F355" s="99">
        <v>473</v>
      </c>
      <c r="G355" s="99">
        <v>1200</v>
      </c>
      <c r="H355" s="99">
        <v>222</v>
      </c>
      <c r="I355" s="99">
        <v>36</v>
      </c>
      <c r="J355" s="99">
        <v>47</v>
      </c>
      <c r="K355" s="99">
        <v>11</v>
      </c>
      <c r="L355" s="99">
        <v>185</v>
      </c>
      <c r="M355" s="99">
        <v>164</v>
      </c>
      <c r="N355" s="99">
        <v>21</v>
      </c>
    </row>
    <row r="356" spans="1:17" ht="17.5" customHeight="1">
      <c r="A356" s="109" t="s">
        <v>7006</v>
      </c>
      <c r="B356" s="109" t="s">
        <v>7007</v>
      </c>
      <c r="C356" s="98">
        <v>2010</v>
      </c>
      <c r="D356" s="99">
        <v>76</v>
      </c>
      <c r="E356" s="99">
        <v>1829</v>
      </c>
      <c r="F356" s="99">
        <v>403</v>
      </c>
      <c r="G356" s="99">
        <v>1443</v>
      </c>
      <c r="H356" s="99">
        <v>236</v>
      </c>
      <c r="I356" s="99">
        <v>41</v>
      </c>
      <c r="J356" s="99">
        <v>53</v>
      </c>
      <c r="K356" s="99">
        <v>12</v>
      </c>
      <c r="L356" s="99">
        <v>202</v>
      </c>
      <c r="M356" s="99">
        <v>185</v>
      </c>
      <c r="N356" s="99">
        <v>17</v>
      </c>
      <c r="O356" s="110"/>
      <c r="P356" s="110"/>
      <c r="Q356" s="110"/>
    </row>
    <row r="357" spans="1:17" ht="17.5" customHeight="1">
      <c r="A357" s="109" t="s">
        <v>7006</v>
      </c>
      <c r="B357" s="109" t="s">
        <v>7007</v>
      </c>
      <c r="C357" s="98">
        <v>2011</v>
      </c>
      <c r="D357" s="99">
        <v>66</v>
      </c>
      <c r="E357" s="99">
        <v>1878</v>
      </c>
      <c r="F357" s="99">
        <v>536</v>
      </c>
      <c r="G357" s="99">
        <v>1356</v>
      </c>
      <c r="H357" s="99">
        <v>189</v>
      </c>
      <c r="I357" s="99">
        <v>72</v>
      </c>
      <c r="J357" s="99">
        <v>84</v>
      </c>
      <c r="K357" s="99">
        <v>12</v>
      </c>
      <c r="L357" s="99">
        <v>213</v>
      </c>
      <c r="M357" s="99">
        <v>199</v>
      </c>
      <c r="N357" s="99" t="s">
        <v>6953</v>
      </c>
    </row>
    <row r="358" spans="1:17" ht="17.5" customHeight="1">
      <c r="A358" s="109" t="s">
        <v>7006</v>
      </c>
      <c r="B358" s="109" t="s">
        <v>7007</v>
      </c>
      <c r="C358" s="111">
        <v>2012</v>
      </c>
      <c r="D358" s="112">
        <v>63</v>
      </c>
      <c r="E358" s="112">
        <v>1967</v>
      </c>
      <c r="F358" s="112">
        <v>563</v>
      </c>
      <c r="G358" s="112">
        <v>1409</v>
      </c>
      <c r="H358" s="112">
        <v>224</v>
      </c>
      <c r="I358" s="112">
        <v>117</v>
      </c>
      <c r="J358" s="112">
        <v>124</v>
      </c>
      <c r="K358" s="112">
        <v>7</v>
      </c>
      <c r="L358" s="112">
        <v>204</v>
      </c>
      <c r="M358" s="112">
        <v>197</v>
      </c>
      <c r="N358" s="112">
        <v>6</v>
      </c>
    </row>
    <row r="359" spans="1:17" ht="17.5" customHeight="1">
      <c r="A359" s="109" t="s">
        <v>7006</v>
      </c>
      <c r="B359" s="109" t="s">
        <v>7007</v>
      </c>
      <c r="C359" s="113">
        <v>2013</v>
      </c>
      <c r="D359" s="112">
        <v>65</v>
      </c>
      <c r="E359" s="112">
        <v>2048</v>
      </c>
      <c r="F359" s="112">
        <v>764</v>
      </c>
      <c r="G359" s="112">
        <v>1298</v>
      </c>
      <c r="H359" s="112">
        <v>264</v>
      </c>
      <c r="I359" s="112">
        <v>173</v>
      </c>
      <c r="J359" s="112">
        <v>184</v>
      </c>
      <c r="K359" s="112">
        <v>11</v>
      </c>
      <c r="L359" s="112">
        <v>214</v>
      </c>
      <c r="M359" s="112">
        <v>201</v>
      </c>
      <c r="N359" s="112">
        <v>13</v>
      </c>
      <c r="O359" s="110"/>
      <c r="P359" s="110"/>
      <c r="Q359" s="110"/>
    </row>
    <row r="360" spans="1:17" ht="17.5" customHeight="1">
      <c r="A360" s="109" t="s">
        <v>7006</v>
      </c>
      <c r="B360" s="109" t="s">
        <v>7007</v>
      </c>
      <c r="C360" s="113">
        <v>2014</v>
      </c>
      <c r="D360" s="99">
        <v>71</v>
      </c>
      <c r="E360" s="99">
        <v>1963</v>
      </c>
      <c r="F360" s="99">
        <v>525</v>
      </c>
      <c r="G360" s="99">
        <v>1432</v>
      </c>
      <c r="H360" s="99">
        <v>274</v>
      </c>
      <c r="I360" s="99">
        <v>97</v>
      </c>
      <c r="J360" s="112" t="s">
        <v>6953</v>
      </c>
      <c r="K360" s="112" t="s">
        <v>6953</v>
      </c>
      <c r="L360" s="99">
        <v>181</v>
      </c>
      <c r="M360" s="99">
        <v>186</v>
      </c>
      <c r="N360" s="99">
        <v>-5</v>
      </c>
      <c r="O360" s="110"/>
      <c r="P360" s="110"/>
      <c r="Q360" s="110"/>
    </row>
    <row r="361" spans="1:17" ht="17.5" customHeight="1">
      <c r="A361" s="109" t="s">
        <v>7006</v>
      </c>
      <c r="B361" s="109" t="s">
        <v>7007</v>
      </c>
      <c r="C361" s="113">
        <v>2015</v>
      </c>
      <c r="D361" s="112">
        <v>75</v>
      </c>
      <c r="E361" s="112">
        <v>1770</v>
      </c>
      <c r="F361" s="112">
        <v>471</v>
      </c>
      <c r="G361" s="112">
        <v>1307</v>
      </c>
      <c r="H361" s="112">
        <v>352</v>
      </c>
      <c r="I361" s="112">
        <v>218</v>
      </c>
      <c r="J361" s="112" t="s">
        <v>6953</v>
      </c>
      <c r="K361" s="112" t="s">
        <v>6953</v>
      </c>
      <c r="L361" s="112">
        <v>185</v>
      </c>
      <c r="M361" s="112">
        <v>187</v>
      </c>
      <c r="N361" s="112">
        <v>-3</v>
      </c>
    </row>
    <row r="362" spans="1:17" ht="17.5" customHeight="1">
      <c r="A362" s="109" t="s">
        <v>7006</v>
      </c>
      <c r="B362" s="109" t="s">
        <v>7007</v>
      </c>
      <c r="C362" s="113">
        <v>2016</v>
      </c>
      <c r="D362" s="112">
        <v>94</v>
      </c>
      <c r="E362" s="112">
        <v>1892</v>
      </c>
      <c r="F362" s="112">
        <v>593</v>
      </c>
      <c r="G362" s="112">
        <v>1310</v>
      </c>
      <c r="H362" s="112">
        <v>287</v>
      </c>
      <c r="I362" s="112">
        <v>46</v>
      </c>
      <c r="J362" s="112">
        <v>47</v>
      </c>
      <c r="K362" s="112">
        <v>2</v>
      </c>
      <c r="L362" s="112">
        <v>177</v>
      </c>
      <c r="M362" s="112">
        <v>170</v>
      </c>
      <c r="N362" s="112">
        <v>7</v>
      </c>
    </row>
    <row r="363" spans="1:17" ht="17.5" customHeight="1">
      <c r="A363" s="109" t="s">
        <v>7006</v>
      </c>
      <c r="B363" s="109" t="s">
        <v>7007</v>
      </c>
      <c r="C363" s="113">
        <v>2017</v>
      </c>
      <c r="D363" s="112">
        <v>101</v>
      </c>
      <c r="E363" s="112">
        <v>2062</v>
      </c>
      <c r="F363" s="112">
        <v>646</v>
      </c>
      <c r="G363" s="112">
        <v>1494</v>
      </c>
      <c r="H363" s="112">
        <v>312</v>
      </c>
      <c r="I363" s="112">
        <v>57</v>
      </c>
      <c r="J363" s="112">
        <v>63</v>
      </c>
      <c r="K363" s="112">
        <v>6</v>
      </c>
      <c r="L363" s="112">
        <v>249</v>
      </c>
      <c r="M363" s="112">
        <v>180</v>
      </c>
      <c r="N363" s="112">
        <v>69</v>
      </c>
      <c r="O363" s="110"/>
      <c r="P363" s="110"/>
      <c r="Q363" s="110"/>
    </row>
    <row r="364" spans="1:17" ht="17.5" customHeight="1">
      <c r="A364" s="109" t="s">
        <v>7006</v>
      </c>
      <c r="B364" s="109" t="s">
        <v>7007</v>
      </c>
      <c r="C364" s="113">
        <v>2018</v>
      </c>
      <c r="D364" s="112">
        <v>107</v>
      </c>
      <c r="E364" s="112">
        <v>2123</v>
      </c>
      <c r="F364" s="112">
        <v>654</v>
      </c>
      <c r="G364" s="112">
        <v>1455</v>
      </c>
      <c r="H364" s="112">
        <v>367</v>
      </c>
      <c r="I364" s="112">
        <v>48</v>
      </c>
      <c r="J364" s="112">
        <v>49</v>
      </c>
      <c r="K364" s="112">
        <v>2</v>
      </c>
      <c r="L364" s="112">
        <v>236</v>
      </c>
      <c r="M364" s="112">
        <v>256</v>
      </c>
      <c r="N364" s="112">
        <v>-20</v>
      </c>
      <c r="O364" s="110"/>
      <c r="P364" s="110"/>
      <c r="Q364" s="110"/>
    </row>
    <row r="365" spans="1:17" ht="17.5" customHeight="1">
      <c r="A365" s="109" t="s">
        <v>7006</v>
      </c>
      <c r="B365" s="109" t="s">
        <v>7007</v>
      </c>
      <c r="C365" s="113">
        <v>2019</v>
      </c>
      <c r="D365" s="112">
        <v>101</v>
      </c>
      <c r="E365" s="112">
        <v>2072.0662750000001</v>
      </c>
      <c r="F365" s="112">
        <v>684.48623599999996</v>
      </c>
      <c r="G365" s="112">
        <v>1459.6874049999999</v>
      </c>
      <c r="H365" s="112">
        <v>315.32547799999998</v>
      </c>
      <c r="I365" s="112">
        <v>34.873877</v>
      </c>
      <c r="J365" s="112">
        <v>42.820431999999997</v>
      </c>
      <c r="K365" s="112">
        <v>7.946555</v>
      </c>
      <c r="L365" s="112">
        <v>287.29985599999998</v>
      </c>
      <c r="M365" s="112">
        <v>228.253962</v>
      </c>
      <c r="N365" s="112">
        <v>59.045893999999997</v>
      </c>
      <c r="O365" s="110"/>
      <c r="P365" s="110"/>
      <c r="Q365" s="110"/>
    </row>
    <row r="366" spans="1:17" ht="17.5" customHeight="1">
      <c r="A366" s="114" t="s">
        <v>7006</v>
      </c>
      <c r="B366" s="114" t="s">
        <v>7007</v>
      </c>
      <c r="C366" s="113">
        <v>2020</v>
      </c>
      <c r="D366" s="112">
        <v>115</v>
      </c>
      <c r="E366" s="112">
        <v>2000.319851</v>
      </c>
      <c r="F366" s="112">
        <v>597.14221699999996</v>
      </c>
      <c r="G366" s="112">
        <v>1441.994651</v>
      </c>
      <c r="H366" s="112">
        <v>303.40151300000002</v>
      </c>
      <c r="I366" s="112">
        <v>39.990754000000003</v>
      </c>
      <c r="J366" s="112">
        <v>46.840491999999998</v>
      </c>
      <c r="K366" s="112">
        <v>6.8497380000000003</v>
      </c>
      <c r="L366" s="112">
        <v>327.17454700000002</v>
      </c>
      <c r="M366" s="112">
        <v>288.53314999999998</v>
      </c>
      <c r="N366" s="112">
        <v>38.641398000000002</v>
      </c>
      <c r="O366" s="110"/>
      <c r="P366" s="110"/>
      <c r="Q366" s="110"/>
    </row>
    <row r="367" spans="1:17" ht="17.5" customHeight="1">
      <c r="A367" s="109" t="s">
        <v>7008</v>
      </c>
      <c r="B367" s="109" t="s">
        <v>7009</v>
      </c>
      <c r="C367" s="98">
        <v>2008</v>
      </c>
      <c r="D367" s="99">
        <v>126</v>
      </c>
      <c r="E367" s="99">
        <v>901</v>
      </c>
      <c r="F367" s="99">
        <v>251</v>
      </c>
      <c r="G367" s="99">
        <v>666</v>
      </c>
      <c r="H367" s="99">
        <v>159</v>
      </c>
      <c r="I367" s="99">
        <v>38</v>
      </c>
      <c r="J367" s="99">
        <v>38</v>
      </c>
      <c r="K367" s="99" t="s">
        <v>6952</v>
      </c>
      <c r="L367" s="99">
        <v>117</v>
      </c>
      <c r="M367" s="99">
        <v>101</v>
      </c>
      <c r="N367" s="99">
        <v>16</v>
      </c>
    </row>
    <row r="368" spans="1:17" ht="17.5" customHeight="1">
      <c r="A368" s="109" t="s">
        <v>7008</v>
      </c>
      <c r="B368" s="109" t="s">
        <v>7009</v>
      </c>
      <c r="C368" s="98">
        <v>2009</v>
      </c>
      <c r="D368" s="99">
        <v>124</v>
      </c>
      <c r="E368" s="99">
        <v>1042</v>
      </c>
      <c r="F368" s="99">
        <v>270</v>
      </c>
      <c r="G368" s="99">
        <v>767</v>
      </c>
      <c r="H368" s="99">
        <v>157</v>
      </c>
      <c r="I368" s="99">
        <v>23</v>
      </c>
      <c r="J368" s="99">
        <v>26</v>
      </c>
      <c r="K368" s="99">
        <v>2</v>
      </c>
      <c r="L368" s="99">
        <v>113</v>
      </c>
      <c r="M368" s="99">
        <v>116</v>
      </c>
      <c r="N368" s="99">
        <v>-4</v>
      </c>
      <c r="O368" s="110"/>
      <c r="P368" s="110"/>
      <c r="Q368" s="110"/>
    </row>
    <row r="369" spans="1:17" ht="17.5" customHeight="1">
      <c r="A369" s="109" t="s">
        <v>7008</v>
      </c>
      <c r="B369" s="109" t="s">
        <v>7009</v>
      </c>
      <c r="C369" s="98">
        <v>2010</v>
      </c>
      <c r="D369" s="99">
        <v>122</v>
      </c>
      <c r="E369" s="99">
        <v>1313</v>
      </c>
      <c r="F369" s="99">
        <v>419</v>
      </c>
      <c r="G369" s="99">
        <v>882</v>
      </c>
      <c r="H369" s="99">
        <v>161</v>
      </c>
      <c r="I369" s="99">
        <v>72</v>
      </c>
      <c r="J369" s="99">
        <v>73</v>
      </c>
      <c r="K369" s="99">
        <v>1</v>
      </c>
      <c r="L369" s="99">
        <v>110</v>
      </c>
      <c r="M369" s="99">
        <v>102</v>
      </c>
      <c r="N369" s="99">
        <v>7</v>
      </c>
    </row>
    <row r="370" spans="1:17" ht="17.5" customHeight="1">
      <c r="A370" s="109" t="s">
        <v>7008</v>
      </c>
      <c r="B370" s="109" t="s">
        <v>7009</v>
      </c>
      <c r="C370" s="98">
        <v>2011</v>
      </c>
      <c r="D370" s="99">
        <v>115</v>
      </c>
      <c r="E370" s="99">
        <v>1621</v>
      </c>
      <c r="F370" s="99">
        <v>522</v>
      </c>
      <c r="G370" s="99">
        <v>1118</v>
      </c>
      <c r="H370" s="99">
        <v>233</v>
      </c>
      <c r="I370" s="99">
        <v>37</v>
      </c>
      <c r="J370" s="99">
        <v>39</v>
      </c>
      <c r="K370" s="99">
        <v>3</v>
      </c>
      <c r="L370" s="99">
        <v>160</v>
      </c>
      <c r="M370" s="99">
        <v>144</v>
      </c>
      <c r="N370" s="99">
        <v>17</v>
      </c>
    </row>
    <row r="371" spans="1:17" ht="17.5" customHeight="1">
      <c r="A371" s="109" t="s">
        <v>7008</v>
      </c>
      <c r="B371" s="109" t="s">
        <v>7009</v>
      </c>
      <c r="C371" s="111">
        <v>2012</v>
      </c>
      <c r="D371" s="112">
        <v>117</v>
      </c>
      <c r="E371" s="112">
        <v>1317</v>
      </c>
      <c r="F371" s="112">
        <v>424</v>
      </c>
      <c r="G371" s="112">
        <v>894</v>
      </c>
      <c r="H371" s="112">
        <v>190</v>
      </c>
      <c r="I371" s="112">
        <v>13</v>
      </c>
      <c r="J371" s="112">
        <v>24</v>
      </c>
      <c r="K371" s="112">
        <v>11</v>
      </c>
      <c r="L371" s="112">
        <v>120</v>
      </c>
      <c r="M371" s="112">
        <v>118</v>
      </c>
      <c r="N371" s="112">
        <v>2</v>
      </c>
      <c r="O371" s="110"/>
      <c r="P371" s="110"/>
      <c r="Q371" s="110"/>
    </row>
    <row r="372" spans="1:17" ht="17.5" customHeight="1">
      <c r="A372" s="109" t="s">
        <v>7008</v>
      </c>
      <c r="B372" s="109" t="s">
        <v>7009</v>
      </c>
      <c r="C372" s="113">
        <v>2013</v>
      </c>
      <c r="D372" s="112">
        <v>136</v>
      </c>
      <c r="E372" s="112">
        <v>1519</v>
      </c>
      <c r="F372" s="112">
        <v>497</v>
      </c>
      <c r="G372" s="112">
        <v>1035</v>
      </c>
      <c r="H372" s="112">
        <v>222</v>
      </c>
      <c r="I372" s="112">
        <v>31</v>
      </c>
      <c r="J372" s="112">
        <v>34</v>
      </c>
      <c r="K372" s="112">
        <v>3</v>
      </c>
      <c r="L372" s="112">
        <v>151</v>
      </c>
      <c r="M372" s="112">
        <v>138</v>
      </c>
      <c r="N372" s="112">
        <v>13</v>
      </c>
      <c r="O372" s="110"/>
      <c r="P372" s="110"/>
      <c r="Q372" s="110"/>
    </row>
    <row r="373" spans="1:17" ht="17.5" customHeight="1">
      <c r="A373" s="109" t="s">
        <v>7008</v>
      </c>
      <c r="B373" s="109" t="s">
        <v>7009</v>
      </c>
      <c r="C373" s="113">
        <v>2014</v>
      </c>
      <c r="D373" s="99">
        <v>161</v>
      </c>
      <c r="E373" s="99">
        <v>1529</v>
      </c>
      <c r="F373" s="99">
        <v>555</v>
      </c>
      <c r="G373" s="99">
        <v>983</v>
      </c>
      <c r="H373" s="99">
        <v>237</v>
      </c>
      <c r="I373" s="99">
        <v>65</v>
      </c>
      <c r="J373" s="99">
        <v>65</v>
      </c>
      <c r="K373" s="99">
        <v>1</v>
      </c>
      <c r="L373" s="99">
        <v>147</v>
      </c>
      <c r="M373" s="99">
        <v>141</v>
      </c>
      <c r="N373" s="99">
        <v>7</v>
      </c>
    </row>
    <row r="374" spans="1:17" ht="17.5" customHeight="1">
      <c r="A374" s="109" t="s">
        <v>7008</v>
      </c>
      <c r="B374" s="109" t="s">
        <v>7009</v>
      </c>
      <c r="C374" s="113">
        <v>2015</v>
      </c>
      <c r="D374" s="112">
        <v>178</v>
      </c>
      <c r="E374" s="112">
        <v>1553</v>
      </c>
      <c r="F374" s="112">
        <v>599</v>
      </c>
      <c r="G374" s="112">
        <v>953</v>
      </c>
      <c r="H374" s="112">
        <v>256</v>
      </c>
      <c r="I374" s="112">
        <v>54</v>
      </c>
      <c r="J374" s="112">
        <v>55</v>
      </c>
      <c r="K374" s="112">
        <v>1</v>
      </c>
      <c r="L374" s="112">
        <v>137</v>
      </c>
      <c r="M374" s="112">
        <v>140</v>
      </c>
      <c r="N374" s="112">
        <v>-3</v>
      </c>
    </row>
    <row r="375" spans="1:17" ht="17.5" customHeight="1">
      <c r="A375" s="109" t="s">
        <v>7008</v>
      </c>
      <c r="B375" s="109" t="s">
        <v>7009</v>
      </c>
      <c r="C375" s="113">
        <v>2016</v>
      </c>
      <c r="D375" s="112">
        <v>203</v>
      </c>
      <c r="E375" s="112">
        <v>2134</v>
      </c>
      <c r="F375" s="112">
        <v>764</v>
      </c>
      <c r="G375" s="112">
        <v>1371</v>
      </c>
      <c r="H375" s="112">
        <v>347</v>
      </c>
      <c r="I375" s="112">
        <v>97</v>
      </c>
      <c r="J375" s="112">
        <v>99</v>
      </c>
      <c r="K375" s="112">
        <v>1</v>
      </c>
      <c r="L375" s="112">
        <v>203</v>
      </c>
      <c r="M375" s="112">
        <v>201</v>
      </c>
      <c r="N375" s="112">
        <v>2</v>
      </c>
      <c r="O375" s="110"/>
      <c r="P375" s="110"/>
      <c r="Q375" s="110"/>
    </row>
    <row r="376" spans="1:17" ht="17.5" customHeight="1">
      <c r="A376" s="109" t="s">
        <v>7008</v>
      </c>
      <c r="B376" s="109" t="s">
        <v>7009</v>
      </c>
      <c r="C376" s="113">
        <v>2017</v>
      </c>
      <c r="D376" s="112">
        <v>207</v>
      </c>
      <c r="E376" s="112">
        <v>2186</v>
      </c>
      <c r="F376" s="112">
        <v>821</v>
      </c>
      <c r="G376" s="112">
        <v>1453</v>
      </c>
      <c r="H376" s="112">
        <v>395</v>
      </c>
      <c r="I376" s="112">
        <v>136</v>
      </c>
      <c r="J376" s="112">
        <v>136</v>
      </c>
      <c r="K376" s="112">
        <v>1</v>
      </c>
      <c r="L376" s="112">
        <v>234</v>
      </c>
      <c r="M376" s="112">
        <v>212</v>
      </c>
      <c r="N376" s="112">
        <v>22</v>
      </c>
      <c r="O376" s="110"/>
      <c r="P376" s="110"/>
      <c r="Q376" s="110"/>
    </row>
    <row r="377" spans="1:17" ht="17.5" customHeight="1">
      <c r="A377" s="109" t="s">
        <v>7008</v>
      </c>
      <c r="B377" s="109" t="s">
        <v>7009</v>
      </c>
      <c r="C377" s="113">
        <v>2018</v>
      </c>
      <c r="D377" s="112">
        <v>225</v>
      </c>
      <c r="E377" s="112">
        <v>2348</v>
      </c>
      <c r="F377" s="112">
        <v>741</v>
      </c>
      <c r="G377" s="112">
        <v>1611</v>
      </c>
      <c r="H377" s="112">
        <v>394</v>
      </c>
      <c r="I377" s="112">
        <v>81</v>
      </c>
      <c r="J377" s="112">
        <v>83</v>
      </c>
      <c r="K377" s="112">
        <v>2</v>
      </c>
      <c r="L377" s="112">
        <v>243</v>
      </c>
      <c r="M377" s="112">
        <v>229</v>
      </c>
      <c r="N377" s="112">
        <v>14</v>
      </c>
      <c r="O377" s="110"/>
      <c r="P377" s="110"/>
      <c r="Q377" s="110"/>
    </row>
    <row r="378" spans="1:17" ht="17.5" customHeight="1">
      <c r="A378" s="109" t="s">
        <v>7008</v>
      </c>
      <c r="B378" s="109" t="s">
        <v>7009</v>
      </c>
      <c r="C378" s="113">
        <v>2019</v>
      </c>
      <c r="D378" s="112">
        <v>243</v>
      </c>
      <c r="E378" s="112">
        <v>2186.5658370000001</v>
      </c>
      <c r="F378" s="112">
        <v>641.77269999999999</v>
      </c>
      <c r="G378" s="112">
        <v>1565.3084329999999</v>
      </c>
      <c r="H378" s="112">
        <v>382.92357700000002</v>
      </c>
      <c r="I378" s="112">
        <v>76.497007999999994</v>
      </c>
      <c r="J378" s="112">
        <v>77.012044000000003</v>
      </c>
      <c r="K378" s="112">
        <v>0.51503500000000002</v>
      </c>
      <c r="L378" s="112">
        <v>221.904594</v>
      </c>
      <c r="M378" s="112">
        <v>196.98439999999999</v>
      </c>
      <c r="N378" s="112">
        <v>24.920193999999999</v>
      </c>
      <c r="O378" s="110"/>
      <c r="P378" s="110"/>
      <c r="Q378" s="110"/>
    </row>
    <row r="379" spans="1:17" ht="17.5" customHeight="1">
      <c r="A379" s="114" t="s">
        <v>7008</v>
      </c>
      <c r="B379" s="114" t="s">
        <v>7009</v>
      </c>
      <c r="C379" s="113">
        <v>2020</v>
      </c>
      <c r="D379" s="112">
        <v>260</v>
      </c>
      <c r="E379" s="112">
        <v>2092.9359610000001</v>
      </c>
      <c r="F379" s="112">
        <v>636.33751500000005</v>
      </c>
      <c r="G379" s="112">
        <v>1476.4566729999999</v>
      </c>
      <c r="H379" s="112">
        <v>369.00859400000002</v>
      </c>
      <c r="I379" s="112">
        <v>71.659172999999996</v>
      </c>
      <c r="J379" s="112">
        <v>77.981375</v>
      </c>
      <c r="K379" s="112">
        <v>6.3222019999999999</v>
      </c>
      <c r="L379" s="112">
        <v>231.138858</v>
      </c>
      <c r="M379" s="112">
        <v>218.248887</v>
      </c>
      <c r="N379" s="112">
        <v>12.889970999999999</v>
      </c>
    </row>
    <row r="380" spans="1:17" ht="17.5" customHeight="1">
      <c r="A380" s="109" t="s">
        <v>7010</v>
      </c>
      <c r="B380" s="109" t="s">
        <v>7011</v>
      </c>
      <c r="C380" s="111">
        <v>2008</v>
      </c>
      <c r="D380" s="116">
        <v>31</v>
      </c>
      <c r="E380" s="112" t="s">
        <v>6953</v>
      </c>
      <c r="F380" s="116">
        <v>454</v>
      </c>
      <c r="G380" s="112" t="s">
        <v>6953</v>
      </c>
      <c r="H380" s="112" t="s">
        <v>6953</v>
      </c>
      <c r="I380" s="112" t="s">
        <v>6953</v>
      </c>
      <c r="J380" s="112" t="s">
        <v>6953</v>
      </c>
      <c r="K380" s="112" t="s">
        <v>6953</v>
      </c>
      <c r="L380" s="116">
        <v>56</v>
      </c>
      <c r="M380" s="112" t="s">
        <v>6953</v>
      </c>
      <c r="N380" s="112" t="s">
        <v>6953</v>
      </c>
      <c r="O380" s="110"/>
      <c r="P380" s="110"/>
      <c r="Q380" s="110"/>
    </row>
    <row r="381" spans="1:17" ht="17.5" customHeight="1">
      <c r="A381" s="109" t="s">
        <v>7010</v>
      </c>
      <c r="B381" s="109" t="s">
        <v>7011</v>
      </c>
      <c r="C381" s="98">
        <v>2009</v>
      </c>
      <c r="D381" s="112" t="s">
        <v>6953</v>
      </c>
      <c r="E381" s="112" t="s">
        <v>6953</v>
      </c>
      <c r="F381" s="112" t="s">
        <v>6953</v>
      </c>
      <c r="G381" s="112" t="s">
        <v>6953</v>
      </c>
      <c r="H381" s="112" t="s">
        <v>6953</v>
      </c>
      <c r="I381" s="112" t="s">
        <v>6953</v>
      </c>
      <c r="J381" s="112" t="s">
        <v>6953</v>
      </c>
      <c r="K381" s="112" t="s">
        <v>6953</v>
      </c>
      <c r="L381" s="112" t="s">
        <v>6953</v>
      </c>
      <c r="M381" s="112" t="s">
        <v>6953</v>
      </c>
      <c r="N381" s="112" t="s">
        <v>6953</v>
      </c>
    </row>
    <row r="382" spans="1:17" ht="17.5" customHeight="1">
      <c r="A382" s="109" t="s">
        <v>7010</v>
      </c>
      <c r="B382" s="109" t="s">
        <v>7011</v>
      </c>
      <c r="C382" s="98">
        <v>2010</v>
      </c>
      <c r="D382" s="112" t="s">
        <v>6953</v>
      </c>
      <c r="E382" s="112" t="s">
        <v>6953</v>
      </c>
      <c r="F382" s="112" t="s">
        <v>6953</v>
      </c>
      <c r="G382" s="112" t="s">
        <v>6953</v>
      </c>
      <c r="H382" s="112" t="s">
        <v>6953</v>
      </c>
      <c r="I382" s="112" t="s">
        <v>6953</v>
      </c>
      <c r="J382" s="112" t="s">
        <v>6953</v>
      </c>
      <c r="K382" s="112" t="s">
        <v>6953</v>
      </c>
      <c r="L382" s="112" t="s">
        <v>6953</v>
      </c>
      <c r="M382" s="112" t="s">
        <v>6953</v>
      </c>
      <c r="N382" s="112" t="s">
        <v>6953</v>
      </c>
    </row>
    <row r="383" spans="1:17" ht="17.5" customHeight="1">
      <c r="A383" s="109" t="s">
        <v>7010</v>
      </c>
      <c r="B383" s="109" t="s">
        <v>7011</v>
      </c>
      <c r="C383" s="98">
        <v>2011</v>
      </c>
      <c r="D383" s="112" t="s">
        <v>6953</v>
      </c>
      <c r="E383" s="112" t="s">
        <v>6953</v>
      </c>
      <c r="F383" s="112" t="s">
        <v>6953</v>
      </c>
      <c r="G383" s="112" t="s">
        <v>6953</v>
      </c>
      <c r="H383" s="112" t="s">
        <v>6953</v>
      </c>
      <c r="I383" s="112" t="s">
        <v>6953</v>
      </c>
      <c r="J383" s="112" t="s">
        <v>6953</v>
      </c>
      <c r="K383" s="112" t="s">
        <v>6953</v>
      </c>
      <c r="L383" s="112" t="s">
        <v>6953</v>
      </c>
      <c r="M383" s="112" t="s">
        <v>6953</v>
      </c>
      <c r="N383" s="112" t="s">
        <v>6953</v>
      </c>
      <c r="O383" s="110"/>
      <c r="P383" s="110"/>
      <c r="Q383" s="110"/>
    </row>
    <row r="384" spans="1:17" ht="17.5" customHeight="1">
      <c r="A384" s="109" t="s">
        <v>7010</v>
      </c>
      <c r="B384" s="109" t="s">
        <v>7011</v>
      </c>
      <c r="C384" s="111">
        <v>2012</v>
      </c>
      <c r="D384" s="112" t="s">
        <v>6953</v>
      </c>
      <c r="E384" s="112" t="s">
        <v>6953</v>
      </c>
      <c r="F384" s="112" t="s">
        <v>6953</v>
      </c>
      <c r="G384" s="112" t="s">
        <v>6953</v>
      </c>
      <c r="H384" s="112" t="s">
        <v>6953</v>
      </c>
      <c r="I384" s="112" t="s">
        <v>6953</v>
      </c>
      <c r="J384" s="112" t="s">
        <v>6953</v>
      </c>
      <c r="K384" s="112" t="s">
        <v>6953</v>
      </c>
      <c r="L384" s="112" t="s">
        <v>6953</v>
      </c>
      <c r="M384" s="112" t="s">
        <v>6953</v>
      </c>
      <c r="N384" s="112" t="s">
        <v>6953</v>
      </c>
      <c r="O384" s="110"/>
      <c r="P384" s="110"/>
      <c r="Q384" s="110"/>
    </row>
    <row r="385" spans="1:17" ht="17.5" customHeight="1">
      <c r="A385" s="109" t="s">
        <v>7010</v>
      </c>
      <c r="B385" s="109" t="s">
        <v>7011</v>
      </c>
      <c r="C385" s="113">
        <v>2013</v>
      </c>
      <c r="D385" s="112" t="s">
        <v>6953</v>
      </c>
      <c r="E385" s="112" t="s">
        <v>6953</v>
      </c>
      <c r="F385" s="112" t="s">
        <v>6953</v>
      </c>
      <c r="G385" s="112" t="s">
        <v>6953</v>
      </c>
      <c r="H385" s="112" t="s">
        <v>6953</v>
      </c>
      <c r="I385" s="112" t="s">
        <v>6953</v>
      </c>
      <c r="J385" s="112" t="s">
        <v>6953</v>
      </c>
      <c r="K385" s="112" t="s">
        <v>6953</v>
      </c>
      <c r="L385" s="112" t="s">
        <v>6953</v>
      </c>
      <c r="M385" s="112" t="s">
        <v>6953</v>
      </c>
      <c r="N385" s="112" t="s">
        <v>6953</v>
      </c>
    </row>
    <row r="386" spans="1:17" ht="17.5" customHeight="1">
      <c r="A386" s="109" t="s">
        <v>7010</v>
      </c>
      <c r="B386" s="109" t="s">
        <v>7011</v>
      </c>
      <c r="C386" s="113">
        <v>2014</v>
      </c>
      <c r="D386" s="112" t="s">
        <v>6953</v>
      </c>
      <c r="E386" s="112" t="s">
        <v>6953</v>
      </c>
      <c r="F386" s="112" t="s">
        <v>6953</v>
      </c>
      <c r="G386" s="112" t="s">
        <v>6953</v>
      </c>
      <c r="H386" s="112" t="s">
        <v>6953</v>
      </c>
      <c r="I386" s="112" t="s">
        <v>6953</v>
      </c>
      <c r="J386" s="112" t="s">
        <v>6953</v>
      </c>
      <c r="K386" s="112" t="s">
        <v>6953</v>
      </c>
      <c r="L386" s="112" t="s">
        <v>6953</v>
      </c>
      <c r="M386" s="112" t="s">
        <v>6953</v>
      </c>
      <c r="N386" s="112" t="s">
        <v>6953</v>
      </c>
    </row>
    <row r="387" spans="1:17" ht="17.5" customHeight="1">
      <c r="A387" s="109" t="s">
        <v>7010</v>
      </c>
      <c r="B387" s="109" t="s">
        <v>7011</v>
      </c>
      <c r="C387" s="113">
        <v>2015</v>
      </c>
      <c r="D387" s="112">
        <v>212</v>
      </c>
      <c r="E387" s="112" t="s">
        <v>6953</v>
      </c>
      <c r="F387" s="112" t="s">
        <v>6953</v>
      </c>
      <c r="G387" s="112" t="s">
        <v>6953</v>
      </c>
      <c r="H387" s="112" t="s">
        <v>6953</v>
      </c>
      <c r="I387" s="112" t="s">
        <v>6953</v>
      </c>
      <c r="J387" s="112" t="s">
        <v>6953</v>
      </c>
      <c r="K387" s="112" t="s">
        <v>6953</v>
      </c>
      <c r="L387" s="112">
        <v>150</v>
      </c>
      <c r="M387" s="112">
        <v>152</v>
      </c>
      <c r="N387" s="112">
        <v>-3</v>
      </c>
      <c r="O387" s="110"/>
      <c r="P387" s="110"/>
      <c r="Q387" s="110"/>
    </row>
    <row r="388" spans="1:17" ht="17.5" customHeight="1">
      <c r="A388" s="109" t="s">
        <v>7010</v>
      </c>
      <c r="B388" s="109" t="s">
        <v>7011</v>
      </c>
      <c r="C388" s="113">
        <v>2016</v>
      </c>
      <c r="D388" s="112" t="s">
        <v>6953</v>
      </c>
      <c r="E388" s="112" t="s">
        <v>6953</v>
      </c>
      <c r="F388" s="112" t="s">
        <v>6953</v>
      </c>
      <c r="G388" s="112" t="s">
        <v>6953</v>
      </c>
      <c r="H388" s="112" t="s">
        <v>6953</v>
      </c>
      <c r="I388" s="112" t="s">
        <v>6953</v>
      </c>
      <c r="J388" s="112" t="s">
        <v>6953</v>
      </c>
      <c r="K388" s="112" t="s">
        <v>6953</v>
      </c>
      <c r="L388" s="112" t="s">
        <v>6953</v>
      </c>
      <c r="M388" s="112" t="s">
        <v>6953</v>
      </c>
      <c r="N388" s="112" t="s">
        <v>6953</v>
      </c>
      <c r="O388" s="110"/>
      <c r="P388" s="110"/>
      <c r="Q388" s="110"/>
    </row>
    <row r="389" spans="1:17" ht="17.5" customHeight="1">
      <c r="A389" s="109" t="s">
        <v>7010</v>
      </c>
      <c r="B389" s="109" t="s">
        <v>7011</v>
      </c>
      <c r="C389" s="113">
        <v>2017</v>
      </c>
      <c r="D389" s="112" t="s">
        <v>6953</v>
      </c>
      <c r="E389" s="112" t="s">
        <v>6953</v>
      </c>
      <c r="F389" s="112" t="s">
        <v>6953</v>
      </c>
      <c r="G389" s="112" t="s">
        <v>6953</v>
      </c>
      <c r="H389" s="112" t="s">
        <v>6953</v>
      </c>
      <c r="I389" s="112" t="s">
        <v>6953</v>
      </c>
      <c r="J389" s="112" t="s">
        <v>6953</v>
      </c>
      <c r="K389" s="112" t="s">
        <v>6953</v>
      </c>
      <c r="L389" s="112" t="s">
        <v>6953</v>
      </c>
      <c r="M389" s="112" t="s">
        <v>6953</v>
      </c>
      <c r="N389" s="112" t="s">
        <v>6953</v>
      </c>
      <c r="O389" s="110"/>
      <c r="P389" s="110"/>
      <c r="Q389" s="110"/>
    </row>
    <row r="390" spans="1:17" ht="17.5" customHeight="1">
      <c r="A390" s="109" t="s">
        <v>7010</v>
      </c>
      <c r="B390" s="109" t="s">
        <v>7011</v>
      </c>
      <c r="C390" s="113">
        <v>2018</v>
      </c>
      <c r="D390" s="112" t="s">
        <v>6953</v>
      </c>
      <c r="E390" s="112" t="s">
        <v>6953</v>
      </c>
      <c r="F390" s="112" t="s">
        <v>6953</v>
      </c>
      <c r="G390" s="112" t="s">
        <v>6953</v>
      </c>
      <c r="H390" s="112" t="s">
        <v>6953</v>
      </c>
      <c r="I390" s="112" t="s">
        <v>6953</v>
      </c>
      <c r="J390" s="112" t="s">
        <v>6953</v>
      </c>
      <c r="K390" s="112" t="s">
        <v>6953</v>
      </c>
      <c r="L390" s="112" t="s">
        <v>6953</v>
      </c>
      <c r="M390" s="112" t="s">
        <v>6953</v>
      </c>
      <c r="N390" s="112" t="s">
        <v>6953</v>
      </c>
      <c r="O390" s="110"/>
      <c r="P390" s="110"/>
      <c r="Q390" s="110"/>
    </row>
    <row r="391" spans="1:17" ht="17.5" customHeight="1">
      <c r="A391" s="109" t="s">
        <v>7010</v>
      </c>
      <c r="B391" s="109" t="s">
        <v>7011</v>
      </c>
      <c r="C391" s="113">
        <v>2019</v>
      </c>
      <c r="D391" s="112" t="s">
        <v>6953</v>
      </c>
      <c r="E391" s="112" t="s">
        <v>6953</v>
      </c>
      <c r="F391" s="112" t="s">
        <v>6953</v>
      </c>
      <c r="G391" s="112" t="s">
        <v>6953</v>
      </c>
      <c r="H391" s="112" t="s">
        <v>6953</v>
      </c>
      <c r="I391" s="112" t="s">
        <v>6953</v>
      </c>
      <c r="J391" s="112" t="s">
        <v>6953</v>
      </c>
      <c r="K391" s="112" t="s">
        <v>6953</v>
      </c>
      <c r="L391" s="112" t="s">
        <v>6953</v>
      </c>
      <c r="M391" s="112" t="s">
        <v>6953</v>
      </c>
      <c r="N391" s="112" t="s">
        <v>6953</v>
      </c>
    </row>
    <row r="392" spans="1:17" ht="17.5" customHeight="1">
      <c r="A392" s="114" t="s">
        <v>7010</v>
      </c>
      <c r="B392" s="114" t="s">
        <v>7011</v>
      </c>
      <c r="C392" s="113">
        <v>2020</v>
      </c>
      <c r="D392" s="112" t="s">
        <v>6953</v>
      </c>
      <c r="E392" s="112" t="s">
        <v>6953</v>
      </c>
      <c r="F392" s="112" t="s">
        <v>6953</v>
      </c>
      <c r="G392" s="112" t="s">
        <v>6953</v>
      </c>
      <c r="H392" s="112" t="s">
        <v>6953</v>
      </c>
      <c r="I392" s="112" t="s">
        <v>6953</v>
      </c>
      <c r="J392" s="112" t="s">
        <v>6953</v>
      </c>
      <c r="K392" s="112" t="s">
        <v>6953</v>
      </c>
      <c r="L392" s="112" t="s">
        <v>6953</v>
      </c>
      <c r="M392" s="112" t="s">
        <v>6953</v>
      </c>
      <c r="N392" s="112" t="s">
        <v>6953</v>
      </c>
      <c r="O392" s="110"/>
      <c r="P392" s="110"/>
      <c r="Q392" s="110"/>
    </row>
    <row r="393" spans="1:17" ht="31.75" customHeight="1">
      <c r="A393" s="109" t="s">
        <v>7012</v>
      </c>
      <c r="B393" s="109" t="s">
        <v>7013</v>
      </c>
      <c r="C393" s="98">
        <v>2008</v>
      </c>
      <c r="D393" s="99">
        <v>49</v>
      </c>
      <c r="E393" s="99">
        <v>14</v>
      </c>
      <c r="F393" s="99">
        <v>-4</v>
      </c>
      <c r="G393" s="99">
        <v>19</v>
      </c>
      <c r="H393" s="99">
        <v>18</v>
      </c>
      <c r="I393" s="99" t="s">
        <v>6952</v>
      </c>
      <c r="J393" s="99" t="s">
        <v>6952</v>
      </c>
      <c r="K393" s="99" t="s">
        <v>6952</v>
      </c>
      <c r="L393" s="99">
        <v>2</v>
      </c>
      <c r="M393" s="99">
        <v>1</v>
      </c>
      <c r="N393" s="99">
        <v>1</v>
      </c>
    </row>
    <row r="394" spans="1:17" ht="31.75" customHeight="1">
      <c r="A394" s="109" t="s">
        <v>7012</v>
      </c>
      <c r="B394" s="109" t="s">
        <v>7013</v>
      </c>
      <c r="C394" s="98">
        <v>2009</v>
      </c>
      <c r="D394" s="99">
        <v>48</v>
      </c>
      <c r="E394" s="99">
        <v>15</v>
      </c>
      <c r="F394" s="99">
        <v>3</v>
      </c>
      <c r="G394" s="99">
        <v>12</v>
      </c>
      <c r="H394" s="99">
        <v>8</v>
      </c>
      <c r="I394" s="99" t="s">
        <v>6952</v>
      </c>
      <c r="J394" s="99" t="s">
        <v>6952</v>
      </c>
      <c r="K394" s="99" t="s">
        <v>6952</v>
      </c>
      <c r="L394" s="99">
        <v>1</v>
      </c>
      <c r="M394" s="99">
        <v>2</v>
      </c>
      <c r="N394" s="99" t="s">
        <v>6952</v>
      </c>
    </row>
    <row r="395" spans="1:17" ht="31.75" customHeight="1">
      <c r="A395" s="109" t="s">
        <v>7012</v>
      </c>
      <c r="B395" s="109" t="s">
        <v>7013</v>
      </c>
      <c r="C395" s="98">
        <v>2010</v>
      </c>
      <c r="D395" s="99">
        <v>41</v>
      </c>
      <c r="E395" s="99">
        <v>7</v>
      </c>
      <c r="F395" s="99">
        <v>1</v>
      </c>
      <c r="G395" s="99">
        <v>6</v>
      </c>
      <c r="H395" s="99">
        <v>1</v>
      </c>
      <c r="I395" s="99" t="s">
        <v>6952</v>
      </c>
      <c r="J395" s="99" t="s">
        <v>6952</v>
      </c>
      <c r="K395" s="99" t="s">
        <v>6952</v>
      </c>
      <c r="L395" s="99">
        <v>1</v>
      </c>
      <c r="M395" s="99">
        <v>1</v>
      </c>
      <c r="N395" s="99" t="s">
        <v>6952</v>
      </c>
      <c r="O395" s="110"/>
      <c r="P395" s="110"/>
      <c r="Q395" s="110"/>
    </row>
    <row r="396" spans="1:17" ht="31.75" customHeight="1">
      <c r="A396" s="109" t="s">
        <v>7012</v>
      </c>
      <c r="B396" s="109" t="s">
        <v>7013</v>
      </c>
      <c r="C396" s="98">
        <v>2011</v>
      </c>
      <c r="D396" s="99">
        <v>29</v>
      </c>
      <c r="E396" s="99">
        <v>15</v>
      </c>
      <c r="F396" s="99">
        <v>5</v>
      </c>
      <c r="G396" s="99">
        <v>11</v>
      </c>
      <c r="H396" s="99">
        <v>3</v>
      </c>
      <c r="I396" s="99">
        <v>1</v>
      </c>
      <c r="J396" s="99">
        <v>1</v>
      </c>
      <c r="K396" s="99" t="s">
        <v>6952</v>
      </c>
      <c r="L396" s="99">
        <v>1</v>
      </c>
      <c r="M396" s="99">
        <v>1</v>
      </c>
      <c r="N396" s="99">
        <v>1</v>
      </c>
      <c r="O396" s="110"/>
      <c r="P396" s="110"/>
      <c r="Q396" s="110"/>
    </row>
    <row r="397" spans="1:17" ht="31.75" customHeight="1">
      <c r="A397" s="109" t="s">
        <v>7012</v>
      </c>
      <c r="B397" s="109" t="s">
        <v>7013</v>
      </c>
      <c r="C397" s="111">
        <v>2012</v>
      </c>
      <c r="D397" s="112" t="s">
        <v>6953</v>
      </c>
      <c r="E397" s="112" t="s">
        <v>6953</v>
      </c>
      <c r="F397" s="112" t="s">
        <v>6953</v>
      </c>
      <c r="G397" s="112" t="s">
        <v>6953</v>
      </c>
      <c r="H397" s="112" t="s">
        <v>6953</v>
      </c>
      <c r="I397" s="112" t="s">
        <v>6953</v>
      </c>
      <c r="J397" s="112" t="s">
        <v>6953</v>
      </c>
      <c r="K397" s="112" t="s">
        <v>6953</v>
      </c>
      <c r="L397" s="112" t="s">
        <v>6953</v>
      </c>
      <c r="M397" s="112" t="s">
        <v>6953</v>
      </c>
      <c r="N397" s="112" t="s">
        <v>6953</v>
      </c>
    </row>
    <row r="398" spans="1:17" ht="31.75" customHeight="1">
      <c r="A398" s="109" t="s">
        <v>7012</v>
      </c>
      <c r="B398" s="109" t="s">
        <v>7013</v>
      </c>
      <c r="C398" s="113">
        <v>2013</v>
      </c>
      <c r="D398" s="112">
        <v>57</v>
      </c>
      <c r="E398" s="112">
        <v>2</v>
      </c>
      <c r="F398" s="112" t="s">
        <v>6952</v>
      </c>
      <c r="G398" s="112">
        <v>2</v>
      </c>
      <c r="H398" s="112" t="s">
        <v>6952</v>
      </c>
      <c r="I398" s="112">
        <v>0</v>
      </c>
      <c r="J398" s="112" t="s">
        <v>6952</v>
      </c>
      <c r="K398" s="112" t="s">
        <v>6952</v>
      </c>
      <c r="L398" s="112">
        <v>1</v>
      </c>
      <c r="M398" s="112" t="s">
        <v>6952</v>
      </c>
      <c r="N398" s="112" t="s">
        <v>6952</v>
      </c>
    </row>
    <row r="399" spans="1:17" ht="31.75" customHeight="1">
      <c r="A399" s="109" t="s">
        <v>7012</v>
      </c>
      <c r="B399" s="109" t="s">
        <v>7013</v>
      </c>
      <c r="C399" s="113">
        <v>2014</v>
      </c>
      <c r="D399" s="99">
        <v>79</v>
      </c>
      <c r="E399" s="99">
        <v>16</v>
      </c>
      <c r="F399" s="99">
        <v>12</v>
      </c>
      <c r="G399" s="99">
        <v>4</v>
      </c>
      <c r="H399" s="99">
        <v>3</v>
      </c>
      <c r="I399" s="112" t="s">
        <v>6952</v>
      </c>
      <c r="J399" s="112" t="s">
        <v>6952</v>
      </c>
      <c r="K399" s="112" t="s">
        <v>6952</v>
      </c>
      <c r="L399" s="99">
        <v>1</v>
      </c>
      <c r="M399" s="99">
        <v>1</v>
      </c>
      <c r="N399" s="112" t="s">
        <v>6952</v>
      </c>
      <c r="O399" s="110"/>
      <c r="P399" s="110"/>
      <c r="Q399" s="110"/>
    </row>
    <row r="400" spans="1:17" ht="31.75" customHeight="1">
      <c r="A400" s="109" t="s">
        <v>7012</v>
      </c>
      <c r="B400" s="109" t="s">
        <v>7013</v>
      </c>
      <c r="C400" s="113">
        <v>2015</v>
      </c>
      <c r="D400" s="112">
        <v>129</v>
      </c>
      <c r="E400" s="112">
        <v>80</v>
      </c>
      <c r="F400" s="112">
        <v>35</v>
      </c>
      <c r="G400" s="112">
        <v>48</v>
      </c>
      <c r="H400" s="112">
        <v>11</v>
      </c>
      <c r="I400" s="112">
        <v>5</v>
      </c>
      <c r="J400" s="112">
        <v>5</v>
      </c>
      <c r="K400" s="112" t="s">
        <v>6952</v>
      </c>
      <c r="L400" s="112">
        <v>9</v>
      </c>
      <c r="M400" s="112">
        <v>9</v>
      </c>
      <c r="N400" s="112">
        <v>1</v>
      </c>
      <c r="O400" s="110"/>
      <c r="P400" s="110"/>
      <c r="Q400" s="110"/>
    </row>
    <row r="401" spans="1:17" ht="31.75" customHeight="1">
      <c r="A401" s="109" t="s">
        <v>7012</v>
      </c>
      <c r="B401" s="109" t="s">
        <v>7013</v>
      </c>
      <c r="C401" s="113">
        <v>2016</v>
      </c>
      <c r="D401" s="112">
        <v>132</v>
      </c>
      <c r="E401" s="112">
        <v>83</v>
      </c>
      <c r="F401" s="112">
        <v>37</v>
      </c>
      <c r="G401" s="112">
        <v>47</v>
      </c>
      <c r="H401" s="112">
        <v>16</v>
      </c>
      <c r="I401" s="112">
        <v>1</v>
      </c>
      <c r="J401" s="112">
        <v>2</v>
      </c>
      <c r="K401" s="112" t="s">
        <v>6952</v>
      </c>
      <c r="L401" s="112">
        <v>10</v>
      </c>
      <c r="M401" s="112">
        <v>9</v>
      </c>
      <c r="N401" s="112">
        <v>1</v>
      </c>
      <c r="O401" s="110"/>
      <c r="P401" s="110"/>
      <c r="Q401" s="110"/>
    </row>
    <row r="402" spans="1:17" ht="31.75" customHeight="1">
      <c r="A402" s="109" t="s">
        <v>7012</v>
      </c>
      <c r="B402" s="109" t="s">
        <v>7013</v>
      </c>
      <c r="C402" s="113">
        <v>2017</v>
      </c>
      <c r="D402" s="112">
        <v>158</v>
      </c>
      <c r="E402" s="112">
        <v>46</v>
      </c>
      <c r="F402" s="112">
        <v>16</v>
      </c>
      <c r="G402" s="112">
        <v>34</v>
      </c>
      <c r="H402" s="112">
        <v>11</v>
      </c>
      <c r="I402" s="112">
        <v>2</v>
      </c>
      <c r="J402" s="112">
        <v>3</v>
      </c>
      <c r="K402" s="112" t="s">
        <v>6952</v>
      </c>
      <c r="L402" s="112">
        <v>8</v>
      </c>
      <c r="M402" s="112">
        <v>5</v>
      </c>
      <c r="N402" s="112">
        <v>3</v>
      </c>
      <c r="O402" s="110"/>
      <c r="P402" s="110"/>
      <c r="Q402" s="110"/>
    </row>
    <row r="403" spans="1:17" ht="31.75" customHeight="1">
      <c r="A403" s="109" t="s">
        <v>7012</v>
      </c>
      <c r="B403" s="109" t="s">
        <v>7013</v>
      </c>
      <c r="C403" s="113">
        <v>2018</v>
      </c>
      <c r="D403" s="112">
        <v>184</v>
      </c>
      <c r="E403" s="112">
        <v>75</v>
      </c>
      <c r="F403" s="112">
        <v>28</v>
      </c>
      <c r="G403" s="112">
        <v>47</v>
      </c>
      <c r="H403" s="112">
        <v>13</v>
      </c>
      <c r="I403" s="112">
        <v>2</v>
      </c>
      <c r="J403" s="112">
        <v>2</v>
      </c>
      <c r="K403" s="112">
        <v>1</v>
      </c>
      <c r="L403" s="112">
        <v>6</v>
      </c>
      <c r="M403" s="112">
        <v>6</v>
      </c>
      <c r="N403" s="112" t="s">
        <v>6952</v>
      </c>
    </row>
    <row r="404" spans="1:17" ht="31.75" customHeight="1">
      <c r="A404" s="109" t="s">
        <v>7012</v>
      </c>
      <c r="B404" s="109" t="s">
        <v>7013</v>
      </c>
      <c r="C404" s="113">
        <v>2019</v>
      </c>
      <c r="D404" s="112">
        <v>199</v>
      </c>
      <c r="E404" s="112">
        <v>107.948362</v>
      </c>
      <c r="F404" s="112">
        <v>30.399920999999999</v>
      </c>
      <c r="G404" s="112">
        <v>78.164855000000003</v>
      </c>
      <c r="H404" s="112">
        <v>15.023725000000001</v>
      </c>
      <c r="I404" s="112">
        <v>10.577508</v>
      </c>
      <c r="J404" s="112">
        <v>11.070868000000001</v>
      </c>
      <c r="K404" s="112" t="s">
        <v>6952</v>
      </c>
      <c r="L404" s="112">
        <v>13.001833</v>
      </c>
      <c r="M404" s="112">
        <v>12.385419000000001</v>
      </c>
      <c r="N404" s="112">
        <v>0.61641400000000002</v>
      </c>
      <c r="O404" s="110"/>
      <c r="P404" s="110"/>
      <c r="Q404" s="110"/>
    </row>
    <row r="405" spans="1:17" ht="31.75" customHeight="1">
      <c r="A405" s="114" t="s">
        <v>7012</v>
      </c>
      <c r="B405" s="109" t="s">
        <v>7013</v>
      </c>
      <c r="C405" s="113">
        <v>2020</v>
      </c>
      <c r="D405" s="112">
        <v>209</v>
      </c>
      <c r="E405" s="112">
        <v>100.816992</v>
      </c>
      <c r="F405" s="112">
        <v>26.499292000000001</v>
      </c>
      <c r="G405" s="112">
        <v>79.002230999999995</v>
      </c>
      <c r="H405" s="112">
        <v>24.546538999999999</v>
      </c>
      <c r="I405" s="112">
        <v>6.8559760000000001</v>
      </c>
      <c r="J405" s="112">
        <v>7.218966</v>
      </c>
      <c r="K405" s="112" t="s">
        <v>6952</v>
      </c>
      <c r="L405" s="112">
        <v>11.430163</v>
      </c>
      <c r="M405" s="112">
        <v>7.1533769999999999</v>
      </c>
      <c r="N405" s="112">
        <v>4.2767860000000004</v>
      </c>
    </row>
    <row r="406" spans="1:17" ht="31.75" customHeight="1">
      <c r="A406" s="109" t="s">
        <v>7014</v>
      </c>
      <c r="B406" s="109" t="s">
        <v>7015</v>
      </c>
      <c r="C406" s="98">
        <v>2008</v>
      </c>
      <c r="D406" s="99">
        <v>811</v>
      </c>
      <c r="E406" s="99">
        <v>6950</v>
      </c>
      <c r="F406" s="99">
        <v>2023</v>
      </c>
      <c r="G406" s="99">
        <v>4995</v>
      </c>
      <c r="H406" s="99">
        <v>1150</v>
      </c>
      <c r="I406" s="99">
        <v>208</v>
      </c>
      <c r="J406" s="99">
        <v>271</v>
      </c>
      <c r="K406" s="99">
        <v>63</v>
      </c>
      <c r="L406" s="99">
        <v>484</v>
      </c>
      <c r="M406" s="99">
        <v>420</v>
      </c>
      <c r="N406" s="99">
        <v>65</v>
      </c>
    </row>
    <row r="407" spans="1:17" ht="31.75" customHeight="1">
      <c r="A407" s="109" t="s">
        <v>7014</v>
      </c>
      <c r="B407" s="109" t="s">
        <v>7015</v>
      </c>
      <c r="C407" s="98">
        <v>2009</v>
      </c>
      <c r="D407" s="99">
        <v>703</v>
      </c>
      <c r="E407" s="99">
        <v>7135</v>
      </c>
      <c r="F407" s="99">
        <v>1785</v>
      </c>
      <c r="G407" s="99">
        <v>5375</v>
      </c>
      <c r="H407" s="99">
        <v>1044</v>
      </c>
      <c r="I407" s="99">
        <v>181</v>
      </c>
      <c r="J407" s="99">
        <v>192</v>
      </c>
      <c r="K407" s="99">
        <v>12</v>
      </c>
      <c r="L407" s="99">
        <v>483</v>
      </c>
      <c r="M407" s="99">
        <v>464</v>
      </c>
      <c r="N407" s="99">
        <v>19</v>
      </c>
      <c r="O407" s="110"/>
      <c r="P407" s="110"/>
      <c r="Q407" s="110"/>
    </row>
    <row r="408" spans="1:17" ht="31.75" customHeight="1">
      <c r="A408" s="109" t="s">
        <v>7014</v>
      </c>
      <c r="B408" s="109" t="s">
        <v>7015</v>
      </c>
      <c r="C408" s="98">
        <v>2010</v>
      </c>
      <c r="D408" s="99">
        <v>641</v>
      </c>
      <c r="E408" s="99">
        <v>4452</v>
      </c>
      <c r="F408" s="99">
        <v>1321</v>
      </c>
      <c r="G408" s="99">
        <v>3209</v>
      </c>
      <c r="H408" s="99">
        <v>639</v>
      </c>
      <c r="I408" s="99">
        <v>110</v>
      </c>
      <c r="J408" s="99">
        <v>117</v>
      </c>
      <c r="K408" s="99">
        <v>7</v>
      </c>
      <c r="L408" s="99">
        <v>421</v>
      </c>
      <c r="M408" s="99">
        <v>346</v>
      </c>
      <c r="N408" s="99">
        <v>75</v>
      </c>
      <c r="O408" s="110"/>
      <c r="P408" s="110"/>
      <c r="Q408" s="110"/>
    </row>
    <row r="409" spans="1:17" ht="31.75" customHeight="1">
      <c r="A409" s="109" t="s">
        <v>7014</v>
      </c>
      <c r="B409" s="109" t="s">
        <v>7015</v>
      </c>
      <c r="C409" s="98">
        <v>2011</v>
      </c>
      <c r="D409" s="99">
        <v>622</v>
      </c>
      <c r="E409" s="99">
        <v>3837</v>
      </c>
      <c r="F409" s="99">
        <v>1325</v>
      </c>
      <c r="G409" s="99">
        <v>2529</v>
      </c>
      <c r="H409" s="99">
        <v>620</v>
      </c>
      <c r="I409" s="99">
        <v>81</v>
      </c>
      <c r="J409" s="99">
        <v>84</v>
      </c>
      <c r="K409" s="99">
        <v>3</v>
      </c>
      <c r="L409" s="99">
        <v>236</v>
      </c>
      <c r="M409" s="99">
        <v>219</v>
      </c>
      <c r="N409" s="99">
        <v>17</v>
      </c>
    </row>
    <row r="410" spans="1:17" ht="31.75" customHeight="1">
      <c r="A410" s="109" t="s">
        <v>7014</v>
      </c>
      <c r="B410" s="109" t="s">
        <v>7015</v>
      </c>
      <c r="C410" s="111">
        <v>2012</v>
      </c>
      <c r="D410" s="112">
        <v>603</v>
      </c>
      <c r="E410" s="112">
        <v>4261</v>
      </c>
      <c r="F410" s="112">
        <v>1334</v>
      </c>
      <c r="G410" s="112">
        <v>2926</v>
      </c>
      <c r="H410" s="112">
        <v>729</v>
      </c>
      <c r="I410" s="112">
        <v>78</v>
      </c>
      <c r="J410" s="112">
        <v>80</v>
      </c>
      <c r="K410" s="112">
        <v>2</v>
      </c>
      <c r="L410" s="112">
        <v>305</v>
      </c>
      <c r="M410" s="112">
        <v>306</v>
      </c>
      <c r="N410" s="112">
        <v>-1</v>
      </c>
    </row>
    <row r="411" spans="1:17" ht="31.75" customHeight="1">
      <c r="A411" s="109" t="s">
        <v>7014</v>
      </c>
      <c r="B411" s="109" t="s">
        <v>7015</v>
      </c>
      <c r="C411" s="113">
        <v>2013</v>
      </c>
      <c r="D411" s="112">
        <v>632</v>
      </c>
      <c r="E411" s="112">
        <v>4669</v>
      </c>
      <c r="F411" s="112">
        <v>1657</v>
      </c>
      <c r="G411" s="112">
        <v>3043</v>
      </c>
      <c r="H411" s="112">
        <v>783</v>
      </c>
      <c r="I411" s="112">
        <v>90</v>
      </c>
      <c r="J411" s="112">
        <v>93</v>
      </c>
      <c r="K411" s="112">
        <v>2</v>
      </c>
      <c r="L411" s="112">
        <v>344</v>
      </c>
      <c r="M411" s="112">
        <v>313</v>
      </c>
      <c r="N411" s="112">
        <v>31</v>
      </c>
      <c r="O411" s="110"/>
      <c r="P411" s="110"/>
      <c r="Q411" s="110"/>
    </row>
    <row r="412" spans="1:17" ht="31.75" customHeight="1">
      <c r="A412" s="109" t="s">
        <v>7014</v>
      </c>
      <c r="B412" s="109" t="s">
        <v>7015</v>
      </c>
      <c r="C412" s="113">
        <v>2014</v>
      </c>
      <c r="D412" s="99">
        <v>661</v>
      </c>
      <c r="E412" s="99">
        <v>4909</v>
      </c>
      <c r="F412" s="99">
        <v>1603</v>
      </c>
      <c r="G412" s="99">
        <v>3265</v>
      </c>
      <c r="H412" s="99">
        <v>810</v>
      </c>
      <c r="I412" s="99">
        <v>148</v>
      </c>
      <c r="J412" s="99">
        <v>156</v>
      </c>
      <c r="K412" s="99">
        <v>8</v>
      </c>
      <c r="L412" s="99">
        <v>362</v>
      </c>
      <c r="M412" s="99">
        <v>366</v>
      </c>
      <c r="N412" s="99">
        <v>-4</v>
      </c>
      <c r="O412" s="110"/>
      <c r="P412" s="110"/>
      <c r="Q412" s="110"/>
    </row>
    <row r="413" spans="1:17" ht="31.75" customHeight="1">
      <c r="A413" s="109" t="s">
        <v>7014</v>
      </c>
      <c r="B413" s="109" t="s">
        <v>7015</v>
      </c>
      <c r="C413" s="113">
        <v>2015</v>
      </c>
      <c r="D413" s="112">
        <v>702</v>
      </c>
      <c r="E413" s="112">
        <v>5080</v>
      </c>
      <c r="F413" s="112">
        <v>1799</v>
      </c>
      <c r="G413" s="112">
        <v>3283</v>
      </c>
      <c r="H413" s="112">
        <v>833</v>
      </c>
      <c r="I413" s="112">
        <v>121</v>
      </c>
      <c r="J413" s="112" t="s">
        <v>6953</v>
      </c>
      <c r="K413" s="112" t="s">
        <v>6953</v>
      </c>
      <c r="L413" s="112">
        <v>314</v>
      </c>
      <c r="M413" s="112">
        <v>309</v>
      </c>
      <c r="N413" s="112">
        <v>5</v>
      </c>
      <c r="O413" s="110"/>
      <c r="P413" s="110"/>
      <c r="Q413" s="110"/>
    </row>
    <row r="414" spans="1:17" ht="31.75" customHeight="1">
      <c r="A414" s="109" t="s">
        <v>7014</v>
      </c>
      <c r="B414" s="109" t="s">
        <v>7015</v>
      </c>
      <c r="C414" s="113">
        <v>2016</v>
      </c>
      <c r="D414" s="112">
        <v>735</v>
      </c>
      <c r="E414" s="112">
        <v>4895</v>
      </c>
      <c r="F414" s="112">
        <v>1833</v>
      </c>
      <c r="G414" s="112">
        <v>3065</v>
      </c>
      <c r="H414" s="112">
        <v>907</v>
      </c>
      <c r="I414" s="112">
        <v>195</v>
      </c>
      <c r="J414" s="112">
        <v>251</v>
      </c>
      <c r="K414" s="112">
        <v>56</v>
      </c>
      <c r="L414" s="112">
        <v>296</v>
      </c>
      <c r="M414" s="112">
        <v>277</v>
      </c>
      <c r="N414" s="112">
        <v>20</v>
      </c>
      <c r="O414" s="110"/>
      <c r="P414" s="110"/>
      <c r="Q414" s="110"/>
    </row>
    <row r="415" spans="1:17" ht="31.75" customHeight="1">
      <c r="A415" s="109" t="s">
        <v>7014</v>
      </c>
      <c r="B415" s="109" t="s">
        <v>7015</v>
      </c>
      <c r="C415" s="113">
        <v>2017</v>
      </c>
      <c r="D415" s="112">
        <v>779</v>
      </c>
      <c r="E415" s="112">
        <v>5104</v>
      </c>
      <c r="F415" s="112">
        <v>1795</v>
      </c>
      <c r="G415" s="112">
        <v>3346</v>
      </c>
      <c r="H415" s="112">
        <v>868</v>
      </c>
      <c r="I415" s="112">
        <v>281</v>
      </c>
      <c r="J415" s="112">
        <v>287</v>
      </c>
      <c r="K415" s="112">
        <v>5</v>
      </c>
      <c r="L415" s="112">
        <v>314</v>
      </c>
      <c r="M415" s="112">
        <v>288</v>
      </c>
      <c r="N415" s="112">
        <v>26</v>
      </c>
    </row>
    <row r="416" spans="1:17" ht="31.75" customHeight="1">
      <c r="A416" s="109" t="s">
        <v>7014</v>
      </c>
      <c r="B416" s="109" t="s">
        <v>7015</v>
      </c>
      <c r="C416" s="113">
        <v>2018</v>
      </c>
      <c r="D416" s="112">
        <v>850</v>
      </c>
      <c r="E416" s="112">
        <v>5601</v>
      </c>
      <c r="F416" s="112">
        <v>2032</v>
      </c>
      <c r="G416" s="112">
        <v>3625</v>
      </c>
      <c r="H416" s="112">
        <v>943</v>
      </c>
      <c r="I416" s="112">
        <v>173</v>
      </c>
      <c r="J416" s="112" t="s">
        <v>6953</v>
      </c>
      <c r="K416" s="112" t="s">
        <v>6953</v>
      </c>
      <c r="L416" s="112">
        <v>352</v>
      </c>
      <c r="M416" s="112">
        <v>304</v>
      </c>
      <c r="N416" s="112">
        <v>48</v>
      </c>
      <c r="O416" s="110"/>
      <c r="P416" s="110"/>
      <c r="Q416" s="110"/>
    </row>
    <row r="417" spans="1:17" ht="31.75" customHeight="1">
      <c r="A417" s="109" t="s">
        <v>7014</v>
      </c>
      <c r="B417" s="109" t="s">
        <v>7015</v>
      </c>
      <c r="C417" s="113">
        <v>2019</v>
      </c>
      <c r="D417" s="112">
        <v>946</v>
      </c>
      <c r="E417" s="112">
        <v>5648.8350890000002</v>
      </c>
      <c r="F417" s="112">
        <v>2102.5204290000001</v>
      </c>
      <c r="G417" s="112">
        <v>3553.156747</v>
      </c>
      <c r="H417" s="112">
        <v>985.37582399999997</v>
      </c>
      <c r="I417" s="112">
        <v>182.971732</v>
      </c>
      <c r="J417" s="112">
        <v>187.486232</v>
      </c>
      <c r="K417" s="112">
        <v>4.5145</v>
      </c>
      <c r="L417" s="112">
        <v>314.17787299999998</v>
      </c>
      <c r="M417" s="112">
        <v>312.32872300000002</v>
      </c>
      <c r="N417" s="112">
        <v>1.8491500000000001</v>
      </c>
    </row>
    <row r="418" spans="1:17" ht="31.75" customHeight="1">
      <c r="A418" s="114" t="s">
        <v>7014</v>
      </c>
      <c r="B418" s="109" t="s">
        <v>7015</v>
      </c>
      <c r="C418" s="113">
        <v>2020</v>
      </c>
      <c r="D418" s="112">
        <v>1071</v>
      </c>
      <c r="E418" s="112">
        <v>5002.4270269999997</v>
      </c>
      <c r="F418" s="112">
        <v>2033.299135</v>
      </c>
      <c r="G418" s="112">
        <v>3025.8605229999998</v>
      </c>
      <c r="H418" s="112">
        <v>996.83965000000001</v>
      </c>
      <c r="I418" s="112">
        <v>134.89563999999999</v>
      </c>
      <c r="J418" s="112">
        <v>145.947531</v>
      </c>
      <c r="K418" s="112">
        <v>11.051890999999999</v>
      </c>
      <c r="L418" s="112">
        <v>325.71768800000001</v>
      </c>
      <c r="M418" s="112">
        <v>285.62939399999999</v>
      </c>
      <c r="N418" s="112">
        <v>40.088293999999998</v>
      </c>
    </row>
    <row r="419" spans="1:17" ht="17.5" customHeight="1">
      <c r="A419" s="109" t="s">
        <v>7016</v>
      </c>
      <c r="B419" s="109" t="s">
        <v>7017</v>
      </c>
      <c r="C419" s="98">
        <v>2008</v>
      </c>
      <c r="D419" s="99">
        <v>425</v>
      </c>
      <c r="E419" s="99">
        <v>4681</v>
      </c>
      <c r="F419" s="99">
        <v>857</v>
      </c>
      <c r="G419" s="99">
        <v>3864</v>
      </c>
      <c r="H419" s="99">
        <v>363</v>
      </c>
      <c r="I419" s="99">
        <v>67</v>
      </c>
      <c r="J419" s="99">
        <v>76</v>
      </c>
      <c r="K419" s="99">
        <v>9</v>
      </c>
      <c r="L419" s="99">
        <v>251</v>
      </c>
      <c r="M419" s="99">
        <v>207</v>
      </c>
      <c r="N419" s="99">
        <v>44</v>
      </c>
      <c r="O419" s="110"/>
      <c r="P419" s="110"/>
      <c r="Q419" s="110"/>
    </row>
    <row r="420" spans="1:17" ht="17.5" customHeight="1">
      <c r="A420" s="109" t="s">
        <v>7016</v>
      </c>
      <c r="B420" s="109" t="s">
        <v>7017</v>
      </c>
      <c r="C420" s="98">
        <v>2009</v>
      </c>
      <c r="D420" s="99">
        <v>418</v>
      </c>
      <c r="E420" s="99">
        <v>5833</v>
      </c>
      <c r="F420" s="99">
        <v>1307</v>
      </c>
      <c r="G420" s="99">
        <v>4501</v>
      </c>
      <c r="H420" s="99">
        <v>461</v>
      </c>
      <c r="I420" s="99">
        <v>85</v>
      </c>
      <c r="J420" s="99">
        <v>98</v>
      </c>
      <c r="K420" s="99">
        <v>13</v>
      </c>
      <c r="L420" s="99">
        <v>325</v>
      </c>
      <c r="M420" s="99">
        <v>349</v>
      </c>
      <c r="N420" s="99">
        <v>-25</v>
      </c>
      <c r="O420" s="110"/>
      <c r="P420" s="110"/>
      <c r="Q420" s="110"/>
    </row>
    <row r="421" spans="1:17" ht="17.5" customHeight="1">
      <c r="A421" s="109" t="s">
        <v>7016</v>
      </c>
      <c r="B421" s="109" t="s">
        <v>7017</v>
      </c>
      <c r="C421" s="98">
        <v>2010</v>
      </c>
      <c r="D421" s="99">
        <v>419</v>
      </c>
      <c r="E421" s="99">
        <v>6681</v>
      </c>
      <c r="F421" s="99">
        <v>1530</v>
      </c>
      <c r="G421" s="99">
        <v>5172</v>
      </c>
      <c r="H421" s="99">
        <v>514</v>
      </c>
      <c r="I421" s="99">
        <v>112</v>
      </c>
      <c r="J421" s="99">
        <v>126</v>
      </c>
      <c r="K421" s="99">
        <v>15</v>
      </c>
      <c r="L421" s="99">
        <v>352</v>
      </c>
      <c r="M421" s="99">
        <v>331</v>
      </c>
      <c r="N421" s="99">
        <v>20</v>
      </c>
    </row>
    <row r="422" spans="1:17" ht="17.5" customHeight="1">
      <c r="A422" s="109" t="s">
        <v>7016</v>
      </c>
      <c r="B422" s="109" t="s">
        <v>7017</v>
      </c>
      <c r="C422" s="98">
        <v>2011</v>
      </c>
      <c r="D422" s="99">
        <v>396</v>
      </c>
      <c r="E422" s="99">
        <v>6543</v>
      </c>
      <c r="F422" s="99">
        <v>1515</v>
      </c>
      <c r="G422" s="99">
        <v>5066</v>
      </c>
      <c r="H422" s="99">
        <v>477</v>
      </c>
      <c r="I422" s="99">
        <v>117</v>
      </c>
      <c r="J422" s="99">
        <v>132</v>
      </c>
      <c r="K422" s="99">
        <v>15</v>
      </c>
      <c r="L422" s="99">
        <v>284</v>
      </c>
      <c r="M422" s="99">
        <v>247</v>
      </c>
      <c r="N422" s="99">
        <v>37</v>
      </c>
    </row>
    <row r="423" spans="1:17" ht="17.5" customHeight="1">
      <c r="A423" s="109" t="s">
        <v>7016</v>
      </c>
      <c r="B423" s="109" t="s">
        <v>7017</v>
      </c>
      <c r="C423" s="111">
        <v>2012</v>
      </c>
      <c r="D423" s="112">
        <v>389</v>
      </c>
      <c r="E423" s="112">
        <v>6854</v>
      </c>
      <c r="F423" s="112">
        <v>1394</v>
      </c>
      <c r="G423" s="112">
        <v>5472</v>
      </c>
      <c r="H423" s="112">
        <v>486</v>
      </c>
      <c r="I423" s="112">
        <v>62</v>
      </c>
      <c r="J423" s="112">
        <v>101</v>
      </c>
      <c r="K423" s="112">
        <v>39</v>
      </c>
      <c r="L423" s="112">
        <v>312</v>
      </c>
      <c r="M423" s="112">
        <v>305</v>
      </c>
      <c r="N423" s="112">
        <v>7</v>
      </c>
      <c r="O423" s="110"/>
      <c r="P423" s="110"/>
      <c r="Q423" s="110"/>
    </row>
    <row r="424" spans="1:17" ht="17.5" customHeight="1">
      <c r="A424" s="109" t="s">
        <v>7016</v>
      </c>
      <c r="B424" s="109" t="s">
        <v>7017</v>
      </c>
      <c r="C424" s="113">
        <v>2013</v>
      </c>
      <c r="D424" s="112">
        <v>399</v>
      </c>
      <c r="E424" s="112">
        <v>6904</v>
      </c>
      <c r="F424" s="112">
        <v>1789</v>
      </c>
      <c r="G424" s="112">
        <v>5128</v>
      </c>
      <c r="H424" s="112">
        <v>547</v>
      </c>
      <c r="I424" s="112">
        <v>92</v>
      </c>
      <c r="J424" s="112">
        <v>98</v>
      </c>
      <c r="K424" s="112">
        <v>6</v>
      </c>
      <c r="L424" s="112">
        <v>325</v>
      </c>
      <c r="M424" s="112">
        <v>314</v>
      </c>
      <c r="N424" s="112">
        <v>12</v>
      </c>
      <c r="O424" s="110"/>
      <c r="P424" s="110"/>
      <c r="Q424" s="110"/>
    </row>
    <row r="425" spans="1:17" ht="17.5" customHeight="1">
      <c r="A425" s="109" t="s">
        <v>7016</v>
      </c>
      <c r="B425" s="109" t="s">
        <v>7017</v>
      </c>
      <c r="C425" s="113">
        <v>2014</v>
      </c>
      <c r="D425" s="99">
        <v>413</v>
      </c>
      <c r="E425" s="99">
        <v>7257</v>
      </c>
      <c r="F425" s="99">
        <v>1637</v>
      </c>
      <c r="G425" s="99">
        <v>5590</v>
      </c>
      <c r="H425" s="99">
        <v>577</v>
      </c>
      <c r="I425" s="99">
        <v>128</v>
      </c>
      <c r="J425" s="99">
        <v>163</v>
      </c>
      <c r="K425" s="99">
        <v>35</v>
      </c>
      <c r="L425" s="99">
        <v>375</v>
      </c>
      <c r="M425" s="99">
        <v>405</v>
      </c>
      <c r="N425" s="99">
        <v>-30</v>
      </c>
      <c r="O425" s="110"/>
      <c r="P425" s="110"/>
      <c r="Q425" s="110"/>
    </row>
    <row r="426" spans="1:17" ht="17.5" customHeight="1">
      <c r="A426" s="109" t="s">
        <v>7016</v>
      </c>
      <c r="B426" s="109" t="s">
        <v>7017</v>
      </c>
      <c r="C426" s="113">
        <v>2015</v>
      </c>
      <c r="D426" s="112">
        <v>440</v>
      </c>
      <c r="E426" s="112">
        <v>6988</v>
      </c>
      <c r="F426" s="112">
        <v>1787</v>
      </c>
      <c r="G426" s="112">
        <v>5187</v>
      </c>
      <c r="H426" s="112">
        <v>593</v>
      </c>
      <c r="I426" s="112">
        <v>129</v>
      </c>
      <c r="J426" s="112">
        <v>136</v>
      </c>
      <c r="K426" s="112">
        <v>8</v>
      </c>
      <c r="L426" s="112">
        <v>331</v>
      </c>
      <c r="M426" s="112">
        <v>341</v>
      </c>
      <c r="N426" s="112">
        <v>-10</v>
      </c>
      <c r="O426" s="110"/>
      <c r="P426" s="110"/>
      <c r="Q426" s="110"/>
    </row>
    <row r="427" spans="1:17" ht="17.5" customHeight="1">
      <c r="A427" s="109" t="s">
        <v>7016</v>
      </c>
      <c r="B427" s="109" t="s">
        <v>7017</v>
      </c>
      <c r="C427" s="113">
        <v>2016</v>
      </c>
      <c r="D427" s="112">
        <v>457</v>
      </c>
      <c r="E427" s="112">
        <v>6892</v>
      </c>
      <c r="F427" s="112">
        <v>1695</v>
      </c>
      <c r="G427" s="112">
        <v>5226</v>
      </c>
      <c r="H427" s="112">
        <v>656</v>
      </c>
      <c r="I427" s="112">
        <v>167</v>
      </c>
      <c r="J427" s="112">
        <v>184</v>
      </c>
      <c r="K427" s="112">
        <v>17</v>
      </c>
      <c r="L427" s="112">
        <v>383</v>
      </c>
      <c r="M427" s="112">
        <v>351</v>
      </c>
      <c r="N427" s="112">
        <v>32</v>
      </c>
    </row>
    <row r="428" spans="1:17" ht="17.5" customHeight="1">
      <c r="A428" s="109" t="s">
        <v>7016</v>
      </c>
      <c r="B428" s="109" t="s">
        <v>7017</v>
      </c>
      <c r="C428" s="113">
        <v>2017</v>
      </c>
      <c r="D428" s="112">
        <v>480</v>
      </c>
      <c r="E428" s="112">
        <v>7839</v>
      </c>
      <c r="F428" s="112">
        <v>1707</v>
      </c>
      <c r="G428" s="112">
        <v>6191</v>
      </c>
      <c r="H428" s="112">
        <v>692</v>
      </c>
      <c r="I428" s="112">
        <v>138</v>
      </c>
      <c r="J428" s="112">
        <v>160</v>
      </c>
      <c r="K428" s="112">
        <v>22</v>
      </c>
      <c r="L428" s="112">
        <v>452</v>
      </c>
      <c r="M428" s="112">
        <v>406</v>
      </c>
      <c r="N428" s="112">
        <v>46</v>
      </c>
      <c r="O428" s="110"/>
      <c r="P428" s="110"/>
      <c r="Q428" s="110"/>
    </row>
    <row r="429" spans="1:17" ht="17.5" customHeight="1">
      <c r="A429" s="109" t="s">
        <v>7016</v>
      </c>
      <c r="B429" s="109" t="s">
        <v>7017</v>
      </c>
      <c r="C429" s="113">
        <v>2018</v>
      </c>
      <c r="D429" s="112">
        <v>491</v>
      </c>
      <c r="E429" s="112">
        <v>8130</v>
      </c>
      <c r="F429" s="112">
        <v>1564</v>
      </c>
      <c r="G429" s="112">
        <v>6611</v>
      </c>
      <c r="H429" s="112">
        <v>684</v>
      </c>
      <c r="I429" s="112">
        <v>166</v>
      </c>
      <c r="J429" s="112">
        <v>196</v>
      </c>
      <c r="K429" s="112">
        <v>30</v>
      </c>
      <c r="L429" s="112">
        <v>450</v>
      </c>
      <c r="M429" s="112">
        <v>403</v>
      </c>
      <c r="N429" s="112">
        <v>47</v>
      </c>
    </row>
    <row r="430" spans="1:17" ht="17.5" customHeight="1">
      <c r="A430" s="109" t="s">
        <v>7016</v>
      </c>
      <c r="B430" s="109" t="s">
        <v>7017</v>
      </c>
      <c r="C430" s="113">
        <v>2019</v>
      </c>
      <c r="D430" s="112">
        <v>514</v>
      </c>
      <c r="E430" s="112">
        <v>7911.9398629999996</v>
      </c>
      <c r="F430" s="112">
        <v>1563.239057</v>
      </c>
      <c r="G430" s="112">
        <v>6309.8637079999999</v>
      </c>
      <c r="H430" s="112">
        <v>694.61422600000003</v>
      </c>
      <c r="I430" s="112">
        <v>174.20602500000001</v>
      </c>
      <c r="J430" s="112">
        <v>218.66972000000001</v>
      </c>
      <c r="K430" s="112">
        <v>44.463695000000001</v>
      </c>
      <c r="L430" s="112">
        <v>426.26211899999998</v>
      </c>
      <c r="M430" s="112">
        <v>460.45456799999999</v>
      </c>
      <c r="N430" s="112">
        <v>-34.192449000000003</v>
      </c>
    </row>
    <row r="431" spans="1:17" ht="17.5" customHeight="1">
      <c r="A431" s="114" t="s">
        <v>7016</v>
      </c>
      <c r="B431" s="114" t="s">
        <v>7017</v>
      </c>
      <c r="C431" s="113">
        <v>2020</v>
      </c>
      <c r="D431" s="112">
        <v>532</v>
      </c>
      <c r="E431" s="112">
        <v>7787.4841889999998</v>
      </c>
      <c r="F431" s="112">
        <v>1698.212211</v>
      </c>
      <c r="G431" s="112">
        <v>6152.612059</v>
      </c>
      <c r="H431" s="112">
        <v>749.49159599999996</v>
      </c>
      <c r="I431" s="112">
        <v>169.51019700000001</v>
      </c>
      <c r="J431" s="112">
        <v>188.71221199999999</v>
      </c>
      <c r="K431" s="112">
        <v>19.202016</v>
      </c>
      <c r="L431" s="112">
        <v>450.35672199999999</v>
      </c>
      <c r="M431" s="112">
        <v>393.452811</v>
      </c>
      <c r="N431" s="112">
        <v>56.903911000000001</v>
      </c>
      <c r="O431" s="110"/>
      <c r="P431" s="110"/>
      <c r="Q431" s="110"/>
    </row>
    <row r="432" spans="1:17" ht="17.5" customHeight="1">
      <c r="A432" s="109" t="s">
        <v>7018</v>
      </c>
      <c r="B432" s="109" t="s">
        <v>7019</v>
      </c>
      <c r="C432" s="98">
        <v>2008</v>
      </c>
      <c r="D432" s="99">
        <v>271</v>
      </c>
      <c r="E432" s="99">
        <v>3474</v>
      </c>
      <c r="F432" s="99">
        <v>452</v>
      </c>
      <c r="G432" s="99">
        <v>3055</v>
      </c>
      <c r="H432" s="99">
        <v>227</v>
      </c>
      <c r="I432" s="99">
        <v>39</v>
      </c>
      <c r="J432" s="99">
        <v>46</v>
      </c>
      <c r="K432" s="99">
        <v>7</v>
      </c>
      <c r="L432" s="99">
        <v>154</v>
      </c>
      <c r="M432" s="99">
        <v>122</v>
      </c>
      <c r="N432" s="99">
        <v>32</v>
      </c>
      <c r="O432" s="110"/>
      <c r="P432" s="110"/>
      <c r="Q432" s="110"/>
    </row>
    <row r="433" spans="1:17" ht="17.5" customHeight="1">
      <c r="A433" s="109" t="s">
        <v>7018</v>
      </c>
      <c r="B433" s="109" t="s">
        <v>7019</v>
      </c>
      <c r="C433" s="98">
        <v>2009</v>
      </c>
      <c r="D433" s="99">
        <v>261</v>
      </c>
      <c r="E433" s="99">
        <v>3815</v>
      </c>
      <c r="F433" s="99">
        <v>378</v>
      </c>
      <c r="G433" s="99">
        <v>3406</v>
      </c>
      <c r="H433" s="99">
        <v>274</v>
      </c>
      <c r="I433" s="99">
        <v>43</v>
      </c>
      <c r="J433" s="99">
        <v>54</v>
      </c>
      <c r="K433" s="99">
        <v>12</v>
      </c>
      <c r="L433" s="99">
        <v>178</v>
      </c>
      <c r="M433" s="99">
        <v>210</v>
      </c>
      <c r="N433" s="99">
        <v>-32</v>
      </c>
    </row>
    <row r="434" spans="1:17" ht="17.5" customHeight="1">
      <c r="A434" s="109" t="s">
        <v>7018</v>
      </c>
      <c r="B434" s="109" t="s">
        <v>7019</v>
      </c>
      <c r="C434" s="98">
        <v>2010</v>
      </c>
      <c r="D434" s="99">
        <v>269</v>
      </c>
      <c r="E434" s="99">
        <v>4747</v>
      </c>
      <c r="F434" s="99">
        <v>586</v>
      </c>
      <c r="G434" s="99">
        <v>4185</v>
      </c>
      <c r="H434" s="99">
        <v>327</v>
      </c>
      <c r="I434" s="99">
        <v>50</v>
      </c>
      <c r="J434" s="99">
        <v>60</v>
      </c>
      <c r="K434" s="99">
        <v>10</v>
      </c>
      <c r="L434" s="99">
        <v>209</v>
      </c>
      <c r="M434" s="99">
        <v>186</v>
      </c>
      <c r="N434" s="99">
        <v>23</v>
      </c>
    </row>
    <row r="435" spans="1:17" ht="17.5" customHeight="1">
      <c r="A435" s="109" t="s">
        <v>7018</v>
      </c>
      <c r="B435" s="109" t="s">
        <v>7019</v>
      </c>
      <c r="C435" s="98">
        <v>2011</v>
      </c>
      <c r="D435" s="99">
        <v>255</v>
      </c>
      <c r="E435" s="99">
        <v>4645</v>
      </c>
      <c r="F435" s="99">
        <v>537</v>
      </c>
      <c r="G435" s="99">
        <v>4142</v>
      </c>
      <c r="H435" s="99">
        <v>250</v>
      </c>
      <c r="I435" s="99">
        <v>88</v>
      </c>
      <c r="J435" s="99">
        <v>99</v>
      </c>
      <c r="K435" s="99">
        <v>11</v>
      </c>
      <c r="L435" s="99">
        <v>160</v>
      </c>
      <c r="M435" s="99">
        <v>127</v>
      </c>
      <c r="N435" s="99">
        <v>33</v>
      </c>
      <c r="O435" s="110"/>
      <c r="P435" s="110"/>
      <c r="Q435" s="110"/>
    </row>
    <row r="436" spans="1:17" ht="17.5" customHeight="1">
      <c r="A436" s="109" t="s">
        <v>7018</v>
      </c>
      <c r="B436" s="109" t="s">
        <v>7019</v>
      </c>
      <c r="C436" s="111">
        <v>2012</v>
      </c>
      <c r="D436" s="112">
        <v>253</v>
      </c>
      <c r="E436" s="112">
        <v>4924</v>
      </c>
      <c r="F436" s="112">
        <v>500</v>
      </c>
      <c r="G436" s="112">
        <v>4448</v>
      </c>
      <c r="H436" s="112">
        <v>272</v>
      </c>
      <c r="I436" s="112">
        <v>68</v>
      </c>
      <c r="J436" s="112">
        <v>72</v>
      </c>
      <c r="K436" s="112">
        <v>4</v>
      </c>
      <c r="L436" s="112">
        <v>173</v>
      </c>
      <c r="M436" s="112">
        <v>152</v>
      </c>
      <c r="N436" s="112">
        <v>21</v>
      </c>
      <c r="O436" s="110"/>
      <c r="P436" s="110"/>
      <c r="Q436" s="110"/>
    </row>
    <row r="437" spans="1:17" ht="17.5" customHeight="1">
      <c r="A437" s="109" t="s">
        <v>7018</v>
      </c>
      <c r="B437" s="109" t="s">
        <v>7019</v>
      </c>
      <c r="C437" s="113">
        <v>2013</v>
      </c>
      <c r="D437" s="112">
        <v>256</v>
      </c>
      <c r="E437" s="112">
        <v>4999</v>
      </c>
      <c r="F437" s="112">
        <v>761</v>
      </c>
      <c r="G437" s="112">
        <v>4247</v>
      </c>
      <c r="H437" s="112">
        <v>302</v>
      </c>
      <c r="I437" s="112">
        <v>63</v>
      </c>
      <c r="J437" s="112">
        <v>67</v>
      </c>
      <c r="K437" s="112">
        <v>5</v>
      </c>
      <c r="L437" s="112">
        <v>179</v>
      </c>
      <c r="M437" s="112">
        <v>170</v>
      </c>
      <c r="N437" s="112">
        <v>9</v>
      </c>
      <c r="O437" s="110"/>
      <c r="P437" s="110"/>
      <c r="Q437" s="110"/>
    </row>
    <row r="438" spans="1:17" ht="17.5" customHeight="1">
      <c r="A438" s="109" t="s">
        <v>7018</v>
      </c>
      <c r="B438" s="109" t="s">
        <v>7019</v>
      </c>
      <c r="C438" s="113">
        <v>2014</v>
      </c>
      <c r="D438" s="99">
        <v>263</v>
      </c>
      <c r="E438" s="99">
        <v>5237</v>
      </c>
      <c r="F438" s="99">
        <v>812</v>
      </c>
      <c r="G438" s="99">
        <v>4396</v>
      </c>
      <c r="H438" s="99">
        <v>334</v>
      </c>
      <c r="I438" s="99">
        <v>90</v>
      </c>
      <c r="J438" s="112" t="s">
        <v>6953</v>
      </c>
      <c r="K438" s="112" t="s">
        <v>6953</v>
      </c>
      <c r="L438" s="99">
        <v>221</v>
      </c>
      <c r="M438" s="99">
        <v>249</v>
      </c>
      <c r="N438" s="99">
        <v>-28</v>
      </c>
      <c r="O438" s="110"/>
      <c r="P438" s="110"/>
      <c r="Q438" s="110"/>
    </row>
    <row r="439" spans="1:17" ht="17.5" customHeight="1">
      <c r="A439" s="109" t="s">
        <v>7018</v>
      </c>
      <c r="B439" s="109" t="s">
        <v>7019</v>
      </c>
      <c r="C439" s="113">
        <v>2015</v>
      </c>
      <c r="D439" s="112">
        <v>271</v>
      </c>
      <c r="E439" s="112">
        <v>4810</v>
      </c>
      <c r="F439" s="112">
        <v>843</v>
      </c>
      <c r="G439" s="112">
        <v>3961</v>
      </c>
      <c r="H439" s="112">
        <v>337</v>
      </c>
      <c r="I439" s="112">
        <v>76</v>
      </c>
      <c r="J439" s="112">
        <v>83</v>
      </c>
      <c r="K439" s="112">
        <v>7</v>
      </c>
      <c r="L439" s="112">
        <v>196</v>
      </c>
      <c r="M439" s="112">
        <v>202</v>
      </c>
      <c r="N439" s="112">
        <v>-6</v>
      </c>
    </row>
    <row r="440" spans="1:17" ht="17.5" customHeight="1">
      <c r="A440" s="109" t="s">
        <v>7018</v>
      </c>
      <c r="B440" s="109" t="s">
        <v>7019</v>
      </c>
      <c r="C440" s="113">
        <v>2016</v>
      </c>
      <c r="D440" s="112">
        <v>269</v>
      </c>
      <c r="E440" s="112">
        <v>4546</v>
      </c>
      <c r="F440" s="112">
        <v>731</v>
      </c>
      <c r="G440" s="112">
        <v>3818</v>
      </c>
      <c r="H440" s="112">
        <v>353</v>
      </c>
      <c r="I440" s="112">
        <v>85</v>
      </c>
      <c r="J440" s="112">
        <v>96</v>
      </c>
      <c r="K440" s="112">
        <v>11</v>
      </c>
      <c r="L440" s="112">
        <v>195</v>
      </c>
      <c r="M440" s="112">
        <v>188</v>
      </c>
      <c r="N440" s="112">
        <v>7</v>
      </c>
      <c r="O440" s="110"/>
      <c r="P440" s="110"/>
      <c r="Q440" s="110"/>
    </row>
    <row r="441" spans="1:17" ht="17.5" customHeight="1">
      <c r="A441" s="109" t="s">
        <v>7018</v>
      </c>
      <c r="B441" s="109" t="s">
        <v>7019</v>
      </c>
      <c r="C441" s="113">
        <v>2017</v>
      </c>
      <c r="D441" s="112">
        <v>280</v>
      </c>
      <c r="E441" s="112">
        <v>5336</v>
      </c>
      <c r="F441" s="112">
        <v>796</v>
      </c>
      <c r="G441" s="112">
        <v>4576</v>
      </c>
      <c r="H441" s="112">
        <v>387</v>
      </c>
      <c r="I441" s="112">
        <v>85</v>
      </c>
      <c r="J441" s="112">
        <v>101</v>
      </c>
      <c r="K441" s="112">
        <v>16</v>
      </c>
      <c r="L441" s="112">
        <v>231</v>
      </c>
      <c r="M441" s="112">
        <v>207</v>
      </c>
      <c r="N441" s="112">
        <v>24</v>
      </c>
    </row>
    <row r="442" spans="1:17" ht="17.5" customHeight="1">
      <c r="A442" s="109" t="s">
        <v>7018</v>
      </c>
      <c r="B442" s="109" t="s">
        <v>7019</v>
      </c>
      <c r="C442" s="113">
        <v>2018</v>
      </c>
      <c r="D442" s="112">
        <v>282</v>
      </c>
      <c r="E442" s="112">
        <v>5611</v>
      </c>
      <c r="F442" s="112">
        <v>705</v>
      </c>
      <c r="G442" s="112">
        <v>4939</v>
      </c>
      <c r="H442" s="112">
        <v>396</v>
      </c>
      <c r="I442" s="112">
        <v>79</v>
      </c>
      <c r="J442" s="112">
        <v>103</v>
      </c>
      <c r="K442" s="112">
        <v>23</v>
      </c>
      <c r="L442" s="112">
        <v>252</v>
      </c>
      <c r="M442" s="112">
        <v>217</v>
      </c>
      <c r="N442" s="112">
        <v>35</v>
      </c>
    </row>
    <row r="443" spans="1:17" ht="17.5" customHeight="1">
      <c r="A443" s="109" t="s">
        <v>7018</v>
      </c>
      <c r="B443" s="109" t="s">
        <v>7019</v>
      </c>
      <c r="C443" s="113">
        <v>2019</v>
      </c>
      <c r="D443" s="112">
        <v>288</v>
      </c>
      <c r="E443" s="112">
        <v>5681.8934440000003</v>
      </c>
      <c r="F443" s="112">
        <v>793.803541</v>
      </c>
      <c r="G443" s="112">
        <v>4869.3244089999998</v>
      </c>
      <c r="H443" s="112">
        <v>416.01763699999998</v>
      </c>
      <c r="I443" s="112">
        <v>145.21794399999999</v>
      </c>
      <c r="J443" s="112">
        <v>155.44284099999999</v>
      </c>
      <c r="K443" s="112">
        <v>10.224895999999999</v>
      </c>
      <c r="L443" s="112">
        <v>259.78907199999998</v>
      </c>
      <c r="M443" s="112">
        <v>273.79271599999998</v>
      </c>
      <c r="N443" s="112">
        <v>-14.003644</v>
      </c>
      <c r="O443" s="110"/>
      <c r="P443" s="110"/>
      <c r="Q443" s="110"/>
    </row>
    <row r="444" spans="1:17" ht="17.5" customHeight="1">
      <c r="A444" s="114" t="s">
        <v>7018</v>
      </c>
      <c r="B444" s="114" t="s">
        <v>7020</v>
      </c>
      <c r="C444" s="113">
        <v>2020</v>
      </c>
      <c r="D444" s="112">
        <v>285</v>
      </c>
      <c r="E444" s="112">
        <v>5552.3811130000004</v>
      </c>
      <c r="F444" s="112">
        <v>825.89166399999999</v>
      </c>
      <c r="G444" s="112">
        <v>4745.4866590000001</v>
      </c>
      <c r="H444" s="112">
        <v>427.05976800000002</v>
      </c>
      <c r="I444" s="112">
        <v>87.505668</v>
      </c>
      <c r="J444" s="112">
        <v>102.373065</v>
      </c>
      <c r="K444" s="112">
        <v>14.867397</v>
      </c>
      <c r="L444" s="112">
        <v>248.60099099999999</v>
      </c>
      <c r="M444" s="112">
        <v>235.31837400000001</v>
      </c>
      <c r="N444" s="112">
        <v>13.282617</v>
      </c>
      <c r="O444" s="110"/>
      <c r="P444" s="110"/>
      <c r="Q444" s="110"/>
    </row>
    <row r="445" spans="1:17" ht="17.5" customHeight="1">
      <c r="A445" s="109" t="s">
        <v>7021</v>
      </c>
      <c r="B445" s="109" t="s">
        <v>7022</v>
      </c>
      <c r="C445" s="98">
        <v>2008</v>
      </c>
      <c r="D445" s="99">
        <v>154</v>
      </c>
      <c r="E445" s="99">
        <v>1206</v>
      </c>
      <c r="F445" s="99">
        <v>405</v>
      </c>
      <c r="G445" s="99">
        <v>808</v>
      </c>
      <c r="H445" s="99">
        <v>136</v>
      </c>
      <c r="I445" s="99">
        <v>27</v>
      </c>
      <c r="J445" s="99">
        <v>30</v>
      </c>
      <c r="K445" s="99">
        <v>2</v>
      </c>
      <c r="L445" s="99">
        <v>97</v>
      </c>
      <c r="M445" s="99">
        <v>85</v>
      </c>
      <c r="N445" s="99">
        <v>12</v>
      </c>
    </row>
    <row r="446" spans="1:17" ht="17.5" customHeight="1">
      <c r="A446" s="109" t="s">
        <v>7021</v>
      </c>
      <c r="B446" s="109" t="s">
        <v>7022</v>
      </c>
      <c r="C446" s="98">
        <v>2009</v>
      </c>
      <c r="D446" s="99">
        <v>157</v>
      </c>
      <c r="E446" s="99">
        <v>2017</v>
      </c>
      <c r="F446" s="99">
        <v>929</v>
      </c>
      <c r="G446" s="99">
        <v>1095</v>
      </c>
      <c r="H446" s="99">
        <v>187</v>
      </c>
      <c r="I446" s="99">
        <v>42</v>
      </c>
      <c r="J446" s="99">
        <v>44</v>
      </c>
      <c r="K446" s="99">
        <v>1</v>
      </c>
      <c r="L446" s="99">
        <v>147</v>
      </c>
      <c r="M446" s="99">
        <v>139</v>
      </c>
      <c r="N446" s="99">
        <v>7</v>
      </c>
    </row>
    <row r="447" spans="1:17" ht="17.5" customHeight="1">
      <c r="A447" s="109" t="s">
        <v>7021</v>
      </c>
      <c r="B447" s="109" t="s">
        <v>7022</v>
      </c>
      <c r="C447" s="98">
        <v>2010</v>
      </c>
      <c r="D447" s="99">
        <v>150</v>
      </c>
      <c r="E447" s="99">
        <v>1934</v>
      </c>
      <c r="F447" s="99">
        <v>945</v>
      </c>
      <c r="G447" s="99">
        <v>987</v>
      </c>
      <c r="H447" s="99">
        <v>186</v>
      </c>
      <c r="I447" s="99">
        <v>61</v>
      </c>
      <c r="J447" s="99">
        <v>66</v>
      </c>
      <c r="K447" s="99">
        <v>5</v>
      </c>
      <c r="L447" s="99">
        <v>142</v>
      </c>
      <c r="M447" s="99">
        <v>145</v>
      </c>
      <c r="N447" s="99">
        <v>-3</v>
      </c>
      <c r="O447" s="110"/>
      <c r="P447" s="110"/>
      <c r="Q447" s="110"/>
    </row>
    <row r="448" spans="1:17" ht="17.5" customHeight="1">
      <c r="A448" s="109" t="s">
        <v>7021</v>
      </c>
      <c r="B448" s="109" t="s">
        <v>7022</v>
      </c>
      <c r="C448" s="98">
        <v>2011</v>
      </c>
      <c r="D448" s="99">
        <v>141</v>
      </c>
      <c r="E448" s="99">
        <v>1898</v>
      </c>
      <c r="F448" s="99">
        <v>978</v>
      </c>
      <c r="G448" s="99">
        <v>924</v>
      </c>
      <c r="H448" s="99">
        <v>227</v>
      </c>
      <c r="I448" s="99">
        <v>29</v>
      </c>
      <c r="J448" s="99">
        <v>32</v>
      </c>
      <c r="K448" s="99">
        <v>3</v>
      </c>
      <c r="L448" s="99">
        <v>124</v>
      </c>
      <c r="M448" s="99">
        <v>120</v>
      </c>
      <c r="N448" s="99">
        <v>4</v>
      </c>
      <c r="O448" s="110"/>
      <c r="P448" s="110"/>
      <c r="Q448" s="110"/>
    </row>
    <row r="449" spans="1:17" ht="17.5" customHeight="1">
      <c r="A449" s="109" t="s">
        <v>7021</v>
      </c>
      <c r="B449" s="109" t="s">
        <v>7022</v>
      </c>
      <c r="C449" s="111">
        <v>2012</v>
      </c>
      <c r="D449" s="112">
        <v>136</v>
      </c>
      <c r="E449" s="112">
        <v>1931</v>
      </c>
      <c r="F449" s="112">
        <v>894</v>
      </c>
      <c r="G449" s="112">
        <v>1024</v>
      </c>
      <c r="H449" s="112">
        <v>215</v>
      </c>
      <c r="I449" s="112">
        <v>-5</v>
      </c>
      <c r="J449" s="112">
        <v>30</v>
      </c>
      <c r="K449" s="112">
        <v>35</v>
      </c>
      <c r="L449" s="112">
        <v>139</v>
      </c>
      <c r="M449" s="112">
        <v>153</v>
      </c>
      <c r="N449" s="112">
        <v>-14</v>
      </c>
      <c r="O449" s="110"/>
      <c r="P449" s="110"/>
      <c r="Q449" s="110"/>
    </row>
    <row r="450" spans="1:17" ht="17.5" customHeight="1">
      <c r="A450" s="109" t="s">
        <v>7021</v>
      </c>
      <c r="B450" s="109" t="s">
        <v>7022</v>
      </c>
      <c r="C450" s="113">
        <v>2013</v>
      </c>
      <c r="D450" s="112">
        <v>143</v>
      </c>
      <c r="E450" s="112">
        <v>1905</v>
      </c>
      <c r="F450" s="112">
        <v>1028</v>
      </c>
      <c r="G450" s="112">
        <v>880</v>
      </c>
      <c r="H450" s="112">
        <v>246</v>
      </c>
      <c r="I450" s="112">
        <v>29</v>
      </c>
      <c r="J450" s="112">
        <v>31</v>
      </c>
      <c r="K450" s="112">
        <v>1</v>
      </c>
      <c r="L450" s="112">
        <v>146</v>
      </c>
      <c r="M450" s="112">
        <v>143</v>
      </c>
      <c r="N450" s="112">
        <v>3</v>
      </c>
      <c r="O450" s="110"/>
      <c r="P450" s="110"/>
      <c r="Q450" s="110"/>
    </row>
    <row r="451" spans="1:17" ht="17.5" customHeight="1">
      <c r="A451" s="109" t="s">
        <v>7021</v>
      </c>
      <c r="B451" s="109" t="s">
        <v>7022</v>
      </c>
      <c r="C451" s="113">
        <v>2014</v>
      </c>
      <c r="D451" s="99">
        <v>150</v>
      </c>
      <c r="E451" s="99">
        <v>2020</v>
      </c>
      <c r="F451" s="99">
        <v>825</v>
      </c>
      <c r="G451" s="99">
        <v>1193</v>
      </c>
      <c r="H451" s="99">
        <v>243</v>
      </c>
      <c r="I451" s="99">
        <v>38</v>
      </c>
      <c r="J451" s="112" t="s">
        <v>6953</v>
      </c>
      <c r="K451" s="112" t="s">
        <v>6953</v>
      </c>
      <c r="L451" s="99">
        <v>154</v>
      </c>
      <c r="M451" s="99">
        <v>156</v>
      </c>
      <c r="N451" s="99">
        <v>-2</v>
      </c>
    </row>
    <row r="452" spans="1:17" ht="17.5" customHeight="1">
      <c r="A452" s="109" t="s">
        <v>7021</v>
      </c>
      <c r="B452" s="109" t="s">
        <v>7022</v>
      </c>
      <c r="C452" s="113">
        <v>2015</v>
      </c>
      <c r="D452" s="112">
        <v>169</v>
      </c>
      <c r="E452" s="112">
        <v>2178</v>
      </c>
      <c r="F452" s="112">
        <v>944</v>
      </c>
      <c r="G452" s="112">
        <v>1226</v>
      </c>
      <c r="H452" s="112">
        <v>256</v>
      </c>
      <c r="I452" s="112">
        <v>53</v>
      </c>
      <c r="J452" s="112">
        <v>53</v>
      </c>
      <c r="K452" s="112" t="s">
        <v>6952</v>
      </c>
      <c r="L452" s="112">
        <v>135</v>
      </c>
      <c r="M452" s="112">
        <v>139</v>
      </c>
      <c r="N452" s="112">
        <v>-5</v>
      </c>
      <c r="O452" s="110"/>
      <c r="P452" s="110"/>
      <c r="Q452" s="110"/>
    </row>
    <row r="453" spans="1:17" ht="17.5" customHeight="1">
      <c r="A453" s="109" t="s">
        <v>7021</v>
      </c>
      <c r="B453" s="109" t="s">
        <v>7022</v>
      </c>
      <c r="C453" s="113">
        <v>2016</v>
      </c>
      <c r="D453" s="112">
        <v>188</v>
      </c>
      <c r="E453" s="112">
        <v>2346</v>
      </c>
      <c r="F453" s="112">
        <v>964</v>
      </c>
      <c r="G453" s="112">
        <v>1408</v>
      </c>
      <c r="H453" s="112">
        <v>303</v>
      </c>
      <c r="I453" s="112">
        <v>82</v>
      </c>
      <c r="J453" s="112">
        <v>88</v>
      </c>
      <c r="K453" s="112">
        <v>6</v>
      </c>
      <c r="L453" s="112">
        <v>188</v>
      </c>
      <c r="M453" s="112">
        <v>163</v>
      </c>
      <c r="N453" s="112">
        <v>25</v>
      </c>
    </row>
    <row r="454" spans="1:17" ht="17.5" customHeight="1">
      <c r="A454" s="109" t="s">
        <v>7021</v>
      </c>
      <c r="B454" s="109" t="s">
        <v>7022</v>
      </c>
      <c r="C454" s="113">
        <v>2017</v>
      </c>
      <c r="D454" s="112">
        <v>200</v>
      </c>
      <c r="E454" s="112">
        <v>2503</v>
      </c>
      <c r="F454" s="112">
        <v>911</v>
      </c>
      <c r="G454" s="112">
        <v>1616</v>
      </c>
      <c r="H454" s="112">
        <v>305</v>
      </c>
      <c r="I454" s="112">
        <v>53</v>
      </c>
      <c r="J454" s="112">
        <v>59</v>
      </c>
      <c r="K454" s="112">
        <v>6</v>
      </c>
      <c r="L454" s="112">
        <v>221</v>
      </c>
      <c r="M454" s="112">
        <v>199</v>
      </c>
      <c r="N454" s="112">
        <v>23</v>
      </c>
    </row>
    <row r="455" spans="1:17" ht="17.5" customHeight="1">
      <c r="A455" s="109" t="s">
        <v>7021</v>
      </c>
      <c r="B455" s="109" t="s">
        <v>7022</v>
      </c>
      <c r="C455" s="113">
        <v>2018</v>
      </c>
      <c r="D455" s="112">
        <v>209</v>
      </c>
      <c r="E455" s="112">
        <v>2519</v>
      </c>
      <c r="F455" s="112">
        <v>859</v>
      </c>
      <c r="G455" s="112">
        <v>1672</v>
      </c>
      <c r="H455" s="112">
        <v>288</v>
      </c>
      <c r="I455" s="112">
        <v>86</v>
      </c>
      <c r="J455" s="112">
        <v>93</v>
      </c>
      <c r="K455" s="112">
        <v>7</v>
      </c>
      <c r="L455" s="112">
        <v>198</v>
      </c>
      <c r="M455" s="112">
        <v>186</v>
      </c>
      <c r="N455" s="112">
        <v>12</v>
      </c>
      <c r="O455" s="110"/>
      <c r="P455" s="110"/>
      <c r="Q455" s="110"/>
    </row>
    <row r="456" spans="1:17" ht="17.5" customHeight="1">
      <c r="A456" s="109" t="s">
        <v>7021</v>
      </c>
      <c r="B456" s="109" t="s">
        <v>7022</v>
      </c>
      <c r="C456" s="113">
        <v>2019</v>
      </c>
      <c r="D456" s="112">
        <v>226</v>
      </c>
      <c r="E456" s="112">
        <v>2230.0464189999998</v>
      </c>
      <c r="F456" s="112">
        <v>769.43551600000001</v>
      </c>
      <c r="G456" s="112">
        <v>1440.539299</v>
      </c>
      <c r="H456" s="112">
        <v>278.59658899999999</v>
      </c>
      <c r="I456" s="112">
        <v>28.988081000000001</v>
      </c>
      <c r="J456" s="112">
        <v>63.226878999999997</v>
      </c>
      <c r="K456" s="112">
        <v>34.238799</v>
      </c>
      <c r="L456" s="112">
        <v>166.47304700000001</v>
      </c>
      <c r="M456" s="112">
        <v>186.66185100000001</v>
      </c>
      <c r="N456" s="112">
        <v>-20.188804000000001</v>
      </c>
      <c r="O456" s="110"/>
      <c r="P456" s="110"/>
      <c r="Q456" s="110"/>
    </row>
    <row r="457" spans="1:17" ht="17.5" customHeight="1">
      <c r="A457" s="114" t="s">
        <v>7021</v>
      </c>
      <c r="B457" s="114" t="s">
        <v>7022</v>
      </c>
      <c r="C457" s="113">
        <v>2020</v>
      </c>
      <c r="D457" s="112">
        <v>247</v>
      </c>
      <c r="E457" s="112">
        <v>2235.103075</v>
      </c>
      <c r="F457" s="112">
        <v>872.32054700000003</v>
      </c>
      <c r="G457" s="112">
        <v>1407.1253999999999</v>
      </c>
      <c r="H457" s="112">
        <v>322.431828</v>
      </c>
      <c r="I457" s="112">
        <v>82.004529000000005</v>
      </c>
      <c r="J457" s="112">
        <v>86.339146999999997</v>
      </c>
      <c r="K457" s="112">
        <v>4.3346179999999999</v>
      </c>
      <c r="L457" s="112">
        <v>201.755731</v>
      </c>
      <c r="M457" s="112">
        <v>158.13443699999999</v>
      </c>
      <c r="N457" s="112">
        <v>43.621293999999999</v>
      </c>
    </row>
    <row r="458" spans="1:17" ht="17.5" customHeight="1">
      <c r="A458" s="109" t="s">
        <v>7023</v>
      </c>
      <c r="B458" s="109" t="s">
        <v>7024</v>
      </c>
      <c r="C458" s="98">
        <v>2008</v>
      </c>
      <c r="D458" s="99">
        <v>953</v>
      </c>
      <c r="E458" s="112" t="s">
        <v>6953</v>
      </c>
      <c r="F458" s="112" t="s">
        <v>6953</v>
      </c>
      <c r="G458" s="99">
        <v>9543</v>
      </c>
      <c r="H458" s="99">
        <v>2032</v>
      </c>
      <c r="I458" s="99">
        <v>917</v>
      </c>
      <c r="J458" s="112" t="s">
        <v>6953</v>
      </c>
      <c r="K458" s="112" t="s">
        <v>6953</v>
      </c>
      <c r="L458" s="99">
        <v>4750</v>
      </c>
      <c r="M458" s="99">
        <v>4246</v>
      </c>
      <c r="N458" s="99">
        <v>504</v>
      </c>
    </row>
    <row r="459" spans="1:17" ht="17.5" customHeight="1">
      <c r="A459" s="109" t="s">
        <v>7023</v>
      </c>
      <c r="B459" s="109" t="s">
        <v>7024</v>
      </c>
      <c r="C459" s="98">
        <v>2009</v>
      </c>
      <c r="D459" s="99">
        <v>935</v>
      </c>
      <c r="E459" s="99">
        <v>18198</v>
      </c>
      <c r="F459" s="99">
        <v>5694</v>
      </c>
      <c r="G459" s="99">
        <v>9519</v>
      </c>
      <c r="H459" s="99">
        <v>1953</v>
      </c>
      <c r="I459" s="99">
        <v>616</v>
      </c>
      <c r="J459" s="112" t="s">
        <v>6953</v>
      </c>
      <c r="K459" s="112" t="s">
        <v>6953</v>
      </c>
      <c r="L459" s="99">
        <v>5133</v>
      </c>
      <c r="M459" s="99">
        <v>4790</v>
      </c>
      <c r="N459" s="99">
        <v>343</v>
      </c>
      <c r="O459" s="110"/>
      <c r="P459" s="110"/>
      <c r="Q459" s="110"/>
    </row>
    <row r="460" spans="1:17" ht="17.5" customHeight="1">
      <c r="A460" s="109" t="s">
        <v>7023</v>
      </c>
      <c r="B460" s="109" t="s">
        <v>7024</v>
      </c>
      <c r="C460" s="98">
        <v>2010</v>
      </c>
      <c r="D460" s="99">
        <v>975</v>
      </c>
      <c r="E460" s="99">
        <v>17795</v>
      </c>
      <c r="F460" s="99">
        <v>5627</v>
      </c>
      <c r="G460" s="99">
        <v>8952</v>
      </c>
      <c r="H460" s="99">
        <v>1719</v>
      </c>
      <c r="I460" s="99">
        <v>533</v>
      </c>
      <c r="J460" s="99">
        <v>664</v>
      </c>
      <c r="K460" s="99">
        <v>131</v>
      </c>
      <c r="L460" s="99">
        <v>5092</v>
      </c>
      <c r="M460" s="99">
        <v>4890</v>
      </c>
      <c r="N460" s="99">
        <v>203</v>
      </c>
      <c r="O460" s="110"/>
      <c r="P460" s="110"/>
      <c r="Q460" s="110"/>
    </row>
    <row r="461" spans="1:17" ht="17.5" customHeight="1">
      <c r="A461" s="109" t="s">
        <v>7023</v>
      </c>
      <c r="B461" s="109" t="s">
        <v>7024</v>
      </c>
      <c r="C461" s="98">
        <v>2011</v>
      </c>
      <c r="D461" s="99">
        <v>1034</v>
      </c>
      <c r="E461" s="99">
        <v>17635</v>
      </c>
      <c r="F461" s="112" t="s">
        <v>6953</v>
      </c>
      <c r="G461" s="112" t="s">
        <v>6953</v>
      </c>
      <c r="H461" s="99">
        <v>1820</v>
      </c>
      <c r="I461" s="99">
        <v>659</v>
      </c>
      <c r="J461" s="112" t="s">
        <v>6953</v>
      </c>
      <c r="K461" s="112" t="s">
        <v>6953</v>
      </c>
      <c r="L461" s="99">
        <v>5406</v>
      </c>
      <c r="M461" s="99">
        <v>5047</v>
      </c>
      <c r="N461" s="99">
        <v>359</v>
      </c>
      <c r="O461" s="110"/>
      <c r="P461" s="110"/>
      <c r="Q461" s="110"/>
    </row>
    <row r="462" spans="1:17" ht="17.5" customHeight="1">
      <c r="A462" s="109" t="s">
        <v>7023</v>
      </c>
      <c r="B462" s="109" t="s">
        <v>7024</v>
      </c>
      <c r="C462" s="111">
        <v>2012</v>
      </c>
      <c r="D462" s="112">
        <v>1127</v>
      </c>
      <c r="E462" s="112">
        <v>18396</v>
      </c>
      <c r="F462" s="112" t="s">
        <v>6953</v>
      </c>
      <c r="G462" s="112" t="s">
        <v>6953</v>
      </c>
      <c r="H462" s="112">
        <v>1780</v>
      </c>
      <c r="I462" s="112">
        <v>714</v>
      </c>
      <c r="J462" s="112" t="s">
        <v>6953</v>
      </c>
      <c r="K462" s="112" t="s">
        <v>6953</v>
      </c>
      <c r="L462" s="112">
        <v>5729</v>
      </c>
      <c r="M462" s="112">
        <v>5392</v>
      </c>
      <c r="N462" s="112">
        <v>337</v>
      </c>
      <c r="O462" s="110"/>
      <c r="P462" s="110"/>
      <c r="Q462" s="110"/>
    </row>
    <row r="463" spans="1:17" ht="17.5" customHeight="1">
      <c r="A463" s="109" t="s">
        <v>7023</v>
      </c>
      <c r="B463" s="109" t="s">
        <v>7024</v>
      </c>
      <c r="C463" s="113">
        <v>2013</v>
      </c>
      <c r="D463" s="112">
        <v>1340</v>
      </c>
      <c r="E463" s="112" t="s">
        <v>6953</v>
      </c>
      <c r="F463" s="112" t="s">
        <v>6953</v>
      </c>
      <c r="G463" s="112" t="s">
        <v>6953</v>
      </c>
      <c r="H463" s="112">
        <v>1880</v>
      </c>
      <c r="I463" s="112">
        <v>666</v>
      </c>
      <c r="J463" s="112">
        <v>811</v>
      </c>
      <c r="K463" s="112">
        <v>146</v>
      </c>
      <c r="L463" s="112">
        <v>6267</v>
      </c>
      <c r="M463" s="112">
        <v>5722</v>
      </c>
      <c r="N463" s="112">
        <v>546</v>
      </c>
    </row>
    <row r="464" spans="1:17" ht="17.5" customHeight="1">
      <c r="A464" s="109" t="s">
        <v>7023</v>
      </c>
      <c r="B464" s="109" t="s">
        <v>7024</v>
      </c>
      <c r="C464" s="113">
        <v>2014</v>
      </c>
      <c r="D464" s="99">
        <v>1490</v>
      </c>
      <c r="E464" s="112" t="s">
        <v>6953</v>
      </c>
      <c r="F464" s="112" t="s">
        <v>6953</v>
      </c>
      <c r="G464" s="99">
        <v>10335</v>
      </c>
      <c r="H464" s="99">
        <v>1834</v>
      </c>
      <c r="I464" s="99">
        <v>828</v>
      </c>
      <c r="J464" s="112" t="s">
        <v>6953</v>
      </c>
      <c r="K464" s="112" t="s">
        <v>6953</v>
      </c>
      <c r="L464" s="112" t="s">
        <v>6953</v>
      </c>
      <c r="M464" s="112" t="s">
        <v>6953</v>
      </c>
      <c r="N464" s="112" t="s">
        <v>6953</v>
      </c>
      <c r="O464" s="110"/>
      <c r="P464" s="110"/>
      <c r="Q464" s="110"/>
    </row>
    <row r="465" spans="1:17" ht="17.5" customHeight="1">
      <c r="A465" s="109" t="s">
        <v>7023</v>
      </c>
      <c r="B465" s="109" t="s">
        <v>7024</v>
      </c>
      <c r="C465" s="113">
        <v>2015</v>
      </c>
      <c r="D465" s="112">
        <v>1735</v>
      </c>
      <c r="E465" s="112" t="s">
        <v>6953</v>
      </c>
      <c r="F465" s="112" t="s">
        <v>6953</v>
      </c>
      <c r="G465" s="112" t="s">
        <v>6953</v>
      </c>
      <c r="H465" s="112">
        <v>1828</v>
      </c>
      <c r="I465" s="112" t="s">
        <v>6953</v>
      </c>
      <c r="J465" s="112" t="s">
        <v>6953</v>
      </c>
      <c r="K465" s="112" t="s">
        <v>6953</v>
      </c>
      <c r="L465" s="112">
        <v>7344</v>
      </c>
      <c r="M465" s="112">
        <v>6972</v>
      </c>
      <c r="N465" s="112">
        <v>372</v>
      </c>
    </row>
    <row r="466" spans="1:17" ht="17.5" customHeight="1">
      <c r="A466" s="109" t="s">
        <v>7023</v>
      </c>
      <c r="B466" s="109" t="s">
        <v>7024</v>
      </c>
      <c r="C466" s="113">
        <v>2016</v>
      </c>
      <c r="D466" s="112">
        <v>1985</v>
      </c>
      <c r="E466" s="112" t="s">
        <v>6953</v>
      </c>
      <c r="F466" s="112" t="s">
        <v>6953</v>
      </c>
      <c r="G466" s="112" t="s">
        <v>6953</v>
      </c>
      <c r="H466" s="112">
        <v>1945</v>
      </c>
      <c r="I466" s="112">
        <v>898</v>
      </c>
      <c r="J466" s="112" t="s">
        <v>6953</v>
      </c>
      <c r="K466" s="112" t="s">
        <v>6953</v>
      </c>
      <c r="L466" s="112">
        <v>7814</v>
      </c>
      <c r="M466" s="112">
        <v>7517</v>
      </c>
      <c r="N466" s="112">
        <v>297</v>
      </c>
    </row>
    <row r="467" spans="1:17" ht="17.5" customHeight="1">
      <c r="A467" s="109" t="s">
        <v>7023</v>
      </c>
      <c r="B467" s="109" t="s">
        <v>7024</v>
      </c>
      <c r="C467" s="113">
        <v>2017</v>
      </c>
      <c r="D467" s="112">
        <v>2234</v>
      </c>
      <c r="E467" s="112" t="s">
        <v>6953</v>
      </c>
      <c r="F467" s="112" t="s">
        <v>6953</v>
      </c>
      <c r="G467" s="112">
        <v>10756</v>
      </c>
      <c r="H467" s="112">
        <v>2080</v>
      </c>
      <c r="I467" s="112">
        <v>948</v>
      </c>
      <c r="J467" s="112" t="s">
        <v>6953</v>
      </c>
      <c r="K467" s="112" t="s">
        <v>6953</v>
      </c>
      <c r="L467" s="112">
        <v>8125</v>
      </c>
      <c r="M467" s="112">
        <v>7515</v>
      </c>
      <c r="N467" s="112">
        <v>610</v>
      </c>
      <c r="O467" s="110"/>
      <c r="P467" s="110"/>
      <c r="Q467" s="110"/>
    </row>
    <row r="468" spans="1:17" ht="17.5" customHeight="1">
      <c r="A468" s="109" t="s">
        <v>7023</v>
      </c>
      <c r="B468" s="109" t="s">
        <v>7024</v>
      </c>
      <c r="C468" s="113">
        <v>2018</v>
      </c>
      <c r="D468" s="112">
        <v>2424</v>
      </c>
      <c r="E468" s="112">
        <v>21846</v>
      </c>
      <c r="F468" s="112">
        <v>7247</v>
      </c>
      <c r="G468" s="112">
        <v>11843</v>
      </c>
      <c r="H468" s="112">
        <v>2195</v>
      </c>
      <c r="I468" s="112">
        <v>1091</v>
      </c>
      <c r="J468" s="112">
        <v>1118</v>
      </c>
      <c r="K468" s="112">
        <v>27</v>
      </c>
      <c r="L468" s="112">
        <v>8770</v>
      </c>
      <c r="M468" s="112">
        <v>8131</v>
      </c>
      <c r="N468" s="112">
        <v>639</v>
      </c>
      <c r="O468" s="110"/>
      <c r="P468" s="110"/>
      <c r="Q468" s="110"/>
    </row>
    <row r="469" spans="1:17" ht="17.5" customHeight="1">
      <c r="A469" s="109" t="s">
        <v>7023</v>
      </c>
      <c r="B469" s="109" t="s">
        <v>7024</v>
      </c>
      <c r="C469" s="113">
        <v>2019</v>
      </c>
      <c r="D469" s="112">
        <v>2572</v>
      </c>
      <c r="E469" s="112">
        <v>22757.160934</v>
      </c>
      <c r="F469" s="112">
        <v>7234.9069600000003</v>
      </c>
      <c r="G469" s="112">
        <v>12581.136723</v>
      </c>
      <c r="H469" s="112">
        <v>2125.7899539999999</v>
      </c>
      <c r="I469" s="112">
        <v>1226.9473579999999</v>
      </c>
      <c r="J469" s="112">
        <v>1306.507038</v>
      </c>
      <c r="K469" s="112">
        <v>79.55968</v>
      </c>
      <c r="L469" s="112">
        <v>9008.6350920000004</v>
      </c>
      <c r="M469" s="112">
        <v>8524.9169970000003</v>
      </c>
      <c r="N469" s="112">
        <v>483.718096</v>
      </c>
    </row>
    <row r="470" spans="1:17" ht="17.5" customHeight="1">
      <c r="A470" s="114" t="s">
        <v>7023</v>
      </c>
      <c r="B470" s="114" t="s">
        <v>7024</v>
      </c>
      <c r="C470" s="113">
        <v>2020</v>
      </c>
      <c r="D470" s="112">
        <v>2718</v>
      </c>
      <c r="E470" s="112">
        <v>19568.228234999999</v>
      </c>
      <c r="F470" s="112">
        <v>5883.8804060000002</v>
      </c>
      <c r="G470" s="112">
        <v>11161.013943</v>
      </c>
      <c r="H470" s="112">
        <v>2271.7589419999999</v>
      </c>
      <c r="I470" s="112">
        <v>1260.8828510000001</v>
      </c>
      <c r="J470" s="112">
        <v>1312.3246389999999</v>
      </c>
      <c r="K470" s="112">
        <v>51.441788000000003</v>
      </c>
      <c r="L470" s="112">
        <v>9430.0262710000006</v>
      </c>
      <c r="M470" s="112">
        <v>9038.1444150000007</v>
      </c>
      <c r="N470" s="112">
        <v>391.88185600000003</v>
      </c>
    </row>
    <row r="471" spans="1:17" ht="17.5" customHeight="1">
      <c r="A471" s="109" t="s">
        <v>7025</v>
      </c>
      <c r="B471" s="109" t="s">
        <v>7026</v>
      </c>
      <c r="C471" s="98">
        <v>2008</v>
      </c>
      <c r="D471" s="99">
        <v>104</v>
      </c>
      <c r="E471" s="99">
        <v>3598</v>
      </c>
      <c r="F471" s="99">
        <v>2161</v>
      </c>
      <c r="G471" s="99">
        <v>1691</v>
      </c>
      <c r="H471" s="99">
        <v>518</v>
      </c>
      <c r="I471" s="99">
        <v>295</v>
      </c>
      <c r="J471" s="99">
        <v>327</v>
      </c>
      <c r="K471" s="99">
        <v>32</v>
      </c>
      <c r="L471" s="99">
        <v>3788</v>
      </c>
      <c r="M471" s="99">
        <v>3407</v>
      </c>
      <c r="N471" s="99">
        <v>381</v>
      </c>
      <c r="O471" s="110"/>
      <c r="P471" s="110"/>
      <c r="Q471" s="110"/>
    </row>
    <row r="472" spans="1:17" ht="17.5" customHeight="1">
      <c r="A472" s="109" t="s">
        <v>7025</v>
      </c>
      <c r="B472" s="109" t="s">
        <v>7026</v>
      </c>
      <c r="C472" s="98">
        <v>2009</v>
      </c>
      <c r="D472" s="99">
        <v>97</v>
      </c>
      <c r="E472" s="99">
        <v>3712</v>
      </c>
      <c r="F472" s="99">
        <v>2523</v>
      </c>
      <c r="G472" s="99">
        <v>1523</v>
      </c>
      <c r="H472" s="99">
        <v>571</v>
      </c>
      <c r="I472" s="99">
        <v>209</v>
      </c>
      <c r="J472" s="99">
        <v>236</v>
      </c>
      <c r="K472" s="99">
        <v>27</v>
      </c>
      <c r="L472" s="99">
        <v>4218</v>
      </c>
      <c r="M472" s="99">
        <v>3796</v>
      </c>
      <c r="N472" s="99">
        <v>422</v>
      </c>
      <c r="O472" s="110"/>
      <c r="P472" s="110"/>
      <c r="Q472" s="110"/>
    </row>
    <row r="473" spans="1:17" ht="17.5" customHeight="1">
      <c r="A473" s="109" t="s">
        <v>7025</v>
      </c>
      <c r="B473" s="109" t="s">
        <v>7026</v>
      </c>
      <c r="C473" s="98">
        <v>2010</v>
      </c>
      <c r="D473" s="99">
        <v>90</v>
      </c>
      <c r="E473" s="99">
        <v>4254</v>
      </c>
      <c r="F473" s="99">
        <v>2449</v>
      </c>
      <c r="G473" s="99">
        <v>1868</v>
      </c>
      <c r="H473" s="99">
        <v>530</v>
      </c>
      <c r="I473" s="99">
        <v>226</v>
      </c>
      <c r="J473" s="99">
        <v>240</v>
      </c>
      <c r="K473" s="99">
        <v>14</v>
      </c>
      <c r="L473" s="99">
        <v>4358</v>
      </c>
      <c r="M473" s="99">
        <v>4212</v>
      </c>
      <c r="N473" s="99">
        <v>146</v>
      </c>
      <c r="O473" s="110"/>
      <c r="P473" s="110"/>
      <c r="Q473" s="110"/>
    </row>
    <row r="474" spans="1:17" ht="17.5" customHeight="1">
      <c r="A474" s="109" t="s">
        <v>7025</v>
      </c>
      <c r="B474" s="109" t="s">
        <v>7026</v>
      </c>
      <c r="C474" s="98">
        <v>2011</v>
      </c>
      <c r="D474" s="99">
        <v>102</v>
      </c>
      <c r="E474" s="99">
        <v>4566</v>
      </c>
      <c r="F474" s="99">
        <v>2583</v>
      </c>
      <c r="G474" s="99">
        <v>2158</v>
      </c>
      <c r="H474" s="99">
        <v>550</v>
      </c>
      <c r="I474" s="99">
        <v>271</v>
      </c>
      <c r="J474" s="99">
        <v>277</v>
      </c>
      <c r="K474" s="99">
        <v>6</v>
      </c>
      <c r="L474" s="99">
        <v>4547</v>
      </c>
      <c r="M474" s="99">
        <v>4262</v>
      </c>
      <c r="N474" s="99">
        <v>285</v>
      </c>
      <c r="O474" s="110"/>
      <c r="P474" s="110"/>
      <c r="Q474" s="110"/>
    </row>
    <row r="475" spans="1:17" ht="17.5" customHeight="1">
      <c r="A475" s="109" t="s">
        <v>7025</v>
      </c>
      <c r="B475" s="109" t="s">
        <v>7026</v>
      </c>
      <c r="C475" s="111">
        <v>2012</v>
      </c>
      <c r="D475" s="112">
        <v>108</v>
      </c>
      <c r="E475" s="112">
        <v>4770</v>
      </c>
      <c r="F475" s="112">
        <v>2405</v>
      </c>
      <c r="G475" s="112">
        <v>2484</v>
      </c>
      <c r="H475" s="112">
        <v>550</v>
      </c>
      <c r="I475" s="112">
        <v>371</v>
      </c>
      <c r="J475" s="112">
        <v>379</v>
      </c>
      <c r="K475" s="112">
        <v>8</v>
      </c>
      <c r="L475" s="112">
        <v>4954</v>
      </c>
      <c r="M475" s="112">
        <v>4624</v>
      </c>
      <c r="N475" s="112">
        <v>330</v>
      </c>
    </row>
    <row r="476" spans="1:17" ht="17.5" customHeight="1">
      <c r="A476" s="109" t="s">
        <v>7025</v>
      </c>
      <c r="B476" s="109" t="s">
        <v>7026</v>
      </c>
      <c r="C476" s="113">
        <v>2013</v>
      </c>
      <c r="D476" s="112">
        <v>153</v>
      </c>
      <c r="E476" s="112">
        <v>4896</v>
      </c>
      <c r="F476" s="112">
        <v>2429</v>
      </c>
      <c r="G476" s="112">
        <v>2735</v>
      </c>
      <c r="H476" s="112">
        <v>674</v>
      </c>
      <c r="I476" s="112">
        <v>351</v>
      </c>
      <c r="J476" s="112">
        <v>361</v>
      </c>
      <c r="K476" s="112">
        <v>10</v>
      </c>
      <c r="L476" s="112">
        <v>5526</v>
      </c>
      <c r="M476" s="112">
        <v>5014</v>
      </c>
      <c r="N476" s="112">
        <v>513</v>
      </c>
      <c r="O476" s="110"/>
      <c r="P476" s="110"/>
      <c r="Q476" s="110"/>
    </row>
    <row r="477" spans="1:17" ht="17.5" customHeight="1">
      <c r="A477" s="109" t="s">
        <v>7025</v>
      </c>
      <c r="B477" s="109" t="s">
        <v>7026</v>
      </c>
      <c r="C477" s="113">
        <v>2014</v>
      </c>
      <c r="D477" s="99">
        <v>174</v>
      </c>
      <c r="E477" s="99">
        <v>4661</v>
      </c>
      <c r="F477" s="99">
        <v>2467</v>
      </c>
      <c r="G477" s="99">
        <v>2455</v>
      </c>
      <c r="H477" s="99">
        <v>559</v>
      </c>
      <c r="I477" s="99">
        <v>396</v>
      </c>
      <c r="J477" s="99">
        <v>401</v>
      </c>
      <c r="K477" s="99">
        <v>5</v>
      </c>
      <c r="L477" s="99">
        <v>5927</v>
      </c>
      <c r="M477" s="99">
        <v>5451</v>
      </c>
      <c r="N477" s="99">
        <v>476</v>
      </c>
    </row>
    <row r="478" spans="1:17" ht="17.5" customHeight="1">
      <c r="A478" s="109" t="s">
        <v>7025</v>
      </c>
      <c r="B478" s="109" t="s">
        <v>7026</v>
      </c>
      <c r="C478" s="113">
        <v>2015</v>
      </c>
      <c r="D478" s="112">
        <v>254</v>
      </c>
      <c r="E478" s="112">
        <v>4741</v>
      </c>
      <c r="F478" s="112">
        <v>2509</v>
      </c>
      <c r="G478" s="112">
        <v>2403</v>
      </c>
      <c r="H478" s="112">
        <v>573</v>
      </c>
      <c r="I478" s="112">
        <v>425</v>
      </c>
      <c r="J478" s="112">
        <v>430</v>
      </c>
      <c r="K478" s="112">
        <v>5</v>
      </c>
      <c r="L478" s="112">
        <v>6473</v>
      </c>
      <c r="M478" s="112">
        <v>6075</v>
      </c>
      <c r="N478" s="112">
        <v>399</v>
      </c>
    </row>
    <row r="479" spans="1:17" ht="17.5" customHeight="1">
      <c r="A479" s="109" t="s">
        <v>7025</v>
      </c>
      <c r="B479" s="109" t="s">
        <v>7026</v>
      </c>
      <c r="C479" s="113">
        <v>2016</v>
      </c>
      <c r="D479" s="112">
        <v>337</v>
      </c>
      <c r="E479" s="112">
        <v>4808</v>
      </c>
      <c r="F479" s="112">
        <v>2571</v>
      </c>
      <c r="G479" s="112">
        <v>2364</v>
      </c>
      <c r="H479" s="112">
        <v>603</v>
      </c>
      <c r="I479" s="112">
        <v>351</v>
      </c>
      <c r="J479" s="112">
        <v>353</v>
      </c>
      <c r="K479" s="112">
        <v>2</v>
      </c>
      <c r="L479" s="112">
        <v>7022</v>
      </c>
      <c r="M479" s="112">
        <v>6763</v>
      </c>
      <c r="N479" s="112">
        <v>259</v>
      </c>
      <c r="O479" s="110"/>
      <c r="P479" s="110"/>
      <c r="Q479" s="110"/>
    </row>
    <row r="480" spans="1:17" ht="17.5" customHeight="1">
      <c r="A480" s="109" t="s">
        <v>7025</v>
      </c>
      <c r="B480" s="109" t="s">
        <v>7026</v>
      </c>
      <c r="C480" s="113">
        <v>2017</v>
      </c>
      <c r="D480" s="112">
        <v>444</v>
      </c>
      <c r="E480" s="112">
        <v>5015</v>
      </c>
      <c r="F480" s="112">
        <v>2843</v>
      </c>
      <c r="G480" s="112">
        <v>2448</v>
      </c>
      <c r="H480" s="112">
        <v>683</v>
      </c>
      <c r="I480" s="112">
        <v>392</v>
      </c>
      <c r="J480" s="112">
        <v>417</v>
      </c>
      <c r="K480" s="112">
        <v>25</v>
      </c>
      <c r="L480" s="112">
        <v>7123</v>
      </c>
      <c r="M480" s="112">
        <v>6643</v>
      </c>
      <c r="N480" s="112">
        <v>480</v>
      </c>
      <c r="O480" s="110"/>
      <c r="P480" s="110"/>
      <c r="Q480" s="110"/>
    </row>
    <row r="481" spans="1:17" ht="17.5" customHeight="1">
      <c r="A481" s="109" t="s">
        <v>7025</v>
      </c>
      <c r="B481" s="109" t="s">
        <v>7026</v>
      </c>
      <c r="C481" s="113">
        <v>2018</v>
      </c>
      <c r="D481" s="112">
        <v>580</v>
      </c>
      <c r="E481" s="112">
        <v>5643</v>
      </c>
      <c r="F481" s="112">
        <v>3066</v>
      </c>
      <c r="G481" s="112">
        <v>2876</v>
      </c>
      <c r="H481" s="112">
        <v>720</v>
      </c>
      <c r="I481" s="112">
        <v>464</v>
      </c>
      <c r="J481" s="112">
        <v>469</v>
      </c>
      <c r="K481" s="112">
        <v>6</v>
      </c>
      <c r="L481" s="112">
        <v>7675</v>
      </c>
      <c r="M481" s="112">
        <v>7194</v>
      </c>
      <c r="N481" s="112">
        <v>481</v>
      </c>
    </row>
    <row r="482" spans="1:17" ht="17.5" customHeight="1">
      <c r="A482" s="109" t="s">
        <v>7025</v>
      </c>
      <c r="B482" s="109" t="s">
        <v>7026</v>
      </c>
      <c r="C482" s="113">
        <v>2019</v>
      </c>
      <c r="D482" s="112">
        <v>686</v>
      </c>
      <c r="E482" s="112">
        <v>6072.5786500000004</v>
      </c>
      <c r="F482" s="112">
        <v>3352.3020339999998</v>
      </c>
      <c r="G482" s="112">
        <v>2949.464297</v>
      </c>
      <c r="H482" s="112">
        <v>570.70527400000003</v>
      </c>
      <c r="I482" s="112">
        <v>369.16708499999999</v>
      </c>
      <c r="J482" s="112">
        <v>386.91320300000001</v>
      </c>
      <c r="K482" s="112">
        <v>17.746119</v>
      </c>
      <c r="L482" s="112">
        <v>7823.1703710000002</v>
      </c>
      <c r="M482" s="112">
        <v>7370.5850989999999</v>
      </c>
      <c r="N482" s="112">
        <v>452.58527299999997</v>
      </c>
    </row>
    <row r="483" spans="1:17" ht="17.5" customHeight="1">
      <c r="A483" s="114" t="s">
        <v>7025</v>
      </c>
      <c r="B483" s="114" t="s">
        <v>7026</v>
      </c>
      <c r="C483" s="113">
        <v>2020</v>
      </c>
      <c r="D483" s="112">
        <v>804</v>
      </c>
      <c r="E483" s="112">
        <v>5588.7679070000004</v>
      </c>
      <c r="F483" s="112">
        <v>2737.1968879999999</v>
      </c>
      <c r="G483" s="112">
        <v>2948.3040820000001</v>
      </c>
      <c r="H483" s="112">
        <v>742.332313</v>
      </c>
      <c r="I483" s="112">
        <v>573.32690100000002</v>
      </c>
      <c r="J483" s="112">
        <v>607.97453199999995</v>
      </c>
      <c r="K483" s="112">
        <v>34.647630999999997</v>
      </c>
      <c r="L483" s="112">
        <v>8302.6643000000004</v>
      </c>
      <c r="M483" s="112">
        <v>7956.8704950000001</v>
      </c>
      <c r="N483" s="112">
        <v>345.79380500000002</v>
      </c>
      <c r="O483" s="110"/>
      <c r="P483" s="110"/>
      <c r="Q483" s="110"/>
    </row>
    <row r="484" spans="1:17" ht="17.5" customHeight="1">
      <c r="A484" s="109" t="s">
        <v>7027</v>
      </c>
      <c r="B484" s="109" t="s">
        <v>7028</v>
      </c>
      <c r="C484" s="98">
        <v>2008</v>
      </c>
      <c r="D484" s="99">
        <v>40</v>
      </c>
      <c r="E484" s="99">
        <v>49</v>
      </c>
      <c r="F484" s="99">
        <v>21</v>
      </c>
      <c r="G484" s="99">
        <v>31</v>
      </c>
      <c r="H484" s="99">
        <v>6</v>
      </c>
      <c r="I484" s="99">
        <v>13</v>
      </c>
      <c r="J484" s="99">
        <v>13</v>
      </c>
      <c r="K484" s="99" t="s">
        <v>6952</v>
      </c>
      <c r="L484" s="99">
        <v>40</v>
      </c>
      <c r="M484" s="99">
        <v>27</v>
      </c>
      <c r="N484" s="99">
        <v>13</v>
      </c>
      <c r="O484" s="110"/>
      <c r="P484" s="110"/>
      <c r="Q484" s="110"/>
    </row>
    <row r="485" spans="1:17" ht="17.5" customHeight="1">
      <c r="A485" s="109" t="s">
        <v>7027</v>
      </c>
      <c r="B485" s="109" t="s">
        <v>7028</v>
      </c>
      <c r="C485" s="98">
        <v>2009</v>
      </c>
      <c r="D485" s="99">
        <v>29</v>
      </c>
      <c r="E485" s="99">
        <v>58</v>
      </c>
      <c r="F485" s="99">
        <v>25</v>
      </c>
      <c r="G485" s="99">
        <v>42</v>
      </c>
      <c r="H485" s="99">
        <v>4</v>
      </c>
      <c r="I485" s="99">
        <v>21</v>
      </c>
      <c r="J485" s="99">
        <v>34</v>
      </c>
      <c r="K485" s="99">
        <v>13</v>
      </c>
      <c r="L485" s="99">
        <v>83</v>
      </c>
      <c r="M485" s="99">
        <v>66</v>
      </c>
      <c r="N485" s="99">
        <v>16</v>
      </c>
      <c r="O485" s="110"/>
      <c r="P485" s="110"/>
      <c r="Q485" s="110"/>
    </row>
    <row r="486" spans="1:17" ht="17.5" customHeight="1">
      <c r="A486" s="109" t="s">
        <v>7027</v>
      </c>
      <c r="B486" s="109" t="s">
        <v>7028</v>
      </c>
      <c r="C486" s="98">
        <v>2010</v>
      </c>
      <c r="D486" s="99">
        <v>31</v>
      </c>
      <c r="E486" s="99">
        <v>55</v>
      </c>
      <c r="F486" s="99">
        <v>28</v>
      </c>
      <c r="G486" s="99">
        <v>37</v>
      </c>
      <c r="H486" s="99">
        <v>3</v>
      </c>
      <c r="I486" s="99">
        <v>10</v>
      </c>
      <c r="J486" s="112" t="s">
        <v>6953</v>
      </c>
      <c r="K486" s="112" t="s">
        <v>6953</v>
      </c>
      <c r="L486" s="99">
        <v>62</v>
      </c>
      <c r="M486" s="99">
        <v>45</v>
      </c>
      <c r="N486" s="99">
        <v>17</v>
      </c>
      <c r="O486" s="110"/>
      <c r="P486" s="110"/>
      <c r="Q486" s="110"/>
    </row>
    <row r="487" spans="1:17" ht="17.5" customHeight="1">
      <c r="A487" s="109" t="s">
        <v>7027</v>
      </c>
      <c r="B487" s="109" t="s">
        <v>7028</v>
      </c>
      <c r="C487" s="98">
        <v>2011</v>
      </c>
      <c r="D487" s="99">
        <v>26</v>
      </c>
      <c r="E487" s="99">
        <v>32</v>
      </c>
      <c r="F487" s="99">
        <v>7</v>
      </c>
      <c r="G487" s="99">
        <v>22</v>
      </c>
      <c r="H487" s="99">
        <v>1</v>
      </c>
      <c r="I487" s="99">
        <v>65</v>
      </c>
      <c r="J487" s="99">
        <v>78</v>
      </c>
      <c r="K487" s="99">
        <v>13</v>
      </c>
      <c r="L487" s="99">
        <v>39</v>
      </c>
      <c r="M487" s="99">
        <v>41</v>
      </c>
      <c r="N487" s="99">
        <v>-1</v>
      </c>
    </row>
    <row r="488" spans="1:17" ht="17.5" customHeight="1">
      <c r="A488" s="109" t="s">
        <v>7027</v>
      </c>
      <c r="B488" s="109" t="s">
        <v>7028</v>
      </c>
      <c r="C488" s="111">
        <v>2012</v>
      </c>
      <c r="D488" s="112">
        <v>26</v>
      </c>
      <c r="E488" s="112">
        <v>323</v>
      </c>
      <c r="F488" s="112" t="s">
        <v>6953</v>
      </c>
      <c r="G488" s="112" t="s">
        <v>6953</v>
      </c>
      <c r="H488" s="112">
        <v>20</v>
      </c>
      <c r="I488" s="112">
        <v>10</v>
      </c>
      <c r="J488" s="112">
        <v>11</v>
      </c>
      <c r="K488" s="112">
        <v>1</v>
      </c>
      <c r="L488" s="112">
        <v>71</v>
      </c>
      <c r="M488" s="112">
        <v>73</v>
      </c>
      <c r="N488" s="112">
        <v>-2</v>
      </c>
      <c r="O488" s="110"/>
      <c r="P488" s="110"/>
      <c r="Q488" s="110"/>
    </row>
    <row r="489" spans="1:17" ht="17.5" customHeight="1">
      <c r="A489" s="109" t="s">
        <v>7027</v>
      </c>
      <c r="B489" s="109" t="s">
        <v>7028</v>
      </c>
      <c r="C489" s="113">
        <v>2013</v>
      </c>
      <c r="D489" s="112">
        <v>24</v>
      </c>
      <c r="E489" s="112" t="s">
        <v>6953</v>
      </c>
      <c r="F489" s="112" t="s">
        <v>6953</v>
      </c>
      <c r="G489" s="112" t="s">
        <v>6953</v>
      </c>
      <c r="H489" s="112">
        <v>14</v>
      </c>
      <c r="I489" s="112" t="s">
        <v>6952</v>
      </c>
      <c r="J489" s="112">
        <v>1</v>
      </c>
      <c r="K489" s="112" t="s">
        <v>6952</v>
      </c>
      <c r="L489" s="112">
        <v>10</v>
      </c>
      <c r="M489" s="112">
        <v>9</v>
      </c>
      <c r="N489" s="112">
        <v>1</v>
      </c>
    </row>
    <row r="490" spans="1:17" ht="17.5" customHeight="1">
      <c r="A490" s="109" t="s">
        <v>7027</v>
      </c>
      <c r="B490" s="109" t="s">
        <v>7028</v>
      </c>
      <c r="C490" s="113">
        <v>2014</v>
      </c>
      <c r="D490" s="99">
        <v>25</v>
      </c>
      <c r="E490" s="112" t="s">
        <v>6953</v>
      </c>
      <c r="F490" s="112" t="s">
        <v>6953</v>
      </c>
      <c r="G490" s="99">
        <v>50</v>
      </c>
      <c r="H490" s="99">
        <v>5</v>
      </c>
      <c r="I490" s="99">
        <v>5</v>
      </c>
      <c r="J490" s="112" t="s">
        <v>6953</v>
      </c>
      <c r="K490" s="112" t="s">
        <v>6953</v>
      </c>
      <c r="L490" s="112" t="s">
        <v>6953</v>
      </c>
      <c r="M490" s="112" t="s">
        <v>6953</v>
      </c>
      <c r="N490" s="112" t="s">
        <v>6953</v>
      </c>
    </row>
    <row r="491" spans="1:17" ht="17.5" customHeight="1">
      <c r="A491" s="109" t="s">
        <v>7027</v>
      </c>
      <c r="B491" s="109" t="s">
        <v>7028</v>
      </c>
      <c r="C491" s="113">
        <v>2015</v>
      </c>
      <c r="D491" s="112">
        <v>28</v>
      </c>
      <c r="E491" s="112" t="s">
        <v>6953</v>
      </c>
      <c r="F491" s="112" t="s">
        <v>6953</v>
      </c>
      <c r="G491" s="112" t="s">
        <v>6953</v>
      </c>
      <c r="H491" s="112">
        <v>5</v>
      </c>
      <c r="I491" s="112" t="s">
        <v>6953</v>
      </c>
      <c r="J491" s="112" t="s">
        <v>6953</v>
      </c>
      <c r="K491" s="112" t="s">
        <v>6953</v>
      </c>
      <c r="L491" s="112">
        <v>68</v>
      </c>
      <c r="M491" s="112">
        <v>58</v>
      </c>
      <c r="N491" s="112">
        <v>10</v>
      </c>
      <c r="O491" s="110"/>
      <c r="P491" s="110"/>
      <c r="Q491" s="110"/>
    </row>
    <row r="492" spans="1:17" ht="17.5" customHeight="1">
      <c r="A492" s="109" t="s">
        <v>7027</v>
      </c>
      <c r="B492" s="109" t="s">
        <v>7028</v>
      </c>
      <c r="C492" s="113">
        <v>2016</v>
      </c>
      <c r="D492" s="112">
        <v>34</v>
      </c>
      <c r="E492" s="112" t="s">
        <v>6953</v>
      </c>
      <c r="F492" s="112" t="s">
        <v>6953</v>
      </c>
      <c r="G492" s="112" t="s">
        <v>6953</v>
      </c>
      <c r="H492" s="112">
        <v>10</v>
      </c>
      <c r="I492" s="112">
        <v>8</v>
      </c>
      <c r="J492" s="112">
        <v>8</v>
      </c>
      <c r="K492" s="112" t="s">
        <v>6952</v>
      </c>
      <c r="L492" s="112">
        <v>27</v>
      </c>
      <c r="M492" s="112">
        <v>24</v>
      </c>
      <c r="N492" s="112">
        <v>3</v>
      </c>
      <c r="O492" s="110"/>
      <c r="P492" s="110"/>
      <c r="Q492" s="110"/>
    </row>
    <row r="493" spans="1:17" ht="17.5" customHeight="1">
      <c r="A493" s="109" t="s">
        <v>7027</v>
      </c>
      <c r="B493" s="109" t="s">
        <v>7028</v>
      </c>
      <c r="C493" s="113">
        <v>2017</v>
      </c>
      <c r="D493" s="112" t="s">
        <v>6953</v>
      </c>
      <c r="E493" s="112" t="s">
        <v>6953</v>
      </c>
      <c r="F493" s="112" t="s">
        <v>6953</v>
      </c>
      <c r="G493" s="112" t="s">
        <v>6953</v>
      </c>
      <c r="H493" s="112" t="s">
        <v>6953</v>
      </c>
      <c r="I493" s="112" t="s">
        <v>6953</v>
      </c>
      <c r="J493" s="112" t="s">
        <v>6953</v>
      </c>
      <c r="K493" s="112" t="s">
        <v>6953</v>
      </c>
      <c r="L493" s="112" t="s">
        <v>6953</v>
      </c>
      <c r="M493" s="112" t="s">
        <v>6953</v>
      </c>
      <c r="N493" s="112" t="s">
        <v>6953</v>
      </c>
    </row>
    <row r="494" spans="1:17" ht="17.5" customHeight="1">
      <c r="A494" s="109" t="s">
        <v>7027</v>
      </c>
      <c r="B494" s="109" t="s">
        <v>7028</v>
      </c>
      <c r="C494" s="113">
        <v>2018</v>
      </c>
      <c r="D494" s="112">
        <v>34</v>
      </c>
      <c r="E494" s="112">
        <v>291</v>
      </c>
      <c r="F494" s="112">
        <v>64</v>
      </c>
      <c r="G494" s="112">
        <v>193</v>
      </c>
      <c r="H494" s="112">
        <v>26</v>
      </c>
      <c r="I494" s="112">
        <v>36</v>
      </c>
      <c r="J494" s="112">
        <v>39</v>
      </c>
      <c r="K494" s="112">
        <v>4</v>
      </c>
      <c r="L494" s="112">
        <v>136</v>
      </c>
      <c r="M494" s="112">
        <v>102</v>
      </c>
      <c r="N494" s="112">
        <v>34</v>
      </c>
    </row>
    <row r="495" spans="1:17" ht="17.5" customHeight="1">
      <c r="A495" s="109" t="s">
        <v>7027</v>
      </c>
      <c r="B495" s="109" t="s">
        <v>7028</v>
      </c>
      <c r="C495" s="113">
        <v>2019</v>
      </c>
      <c r="D495" s="112" t="s">
        <v>6953</v>
      </c>
      <c r="E495" s="112" t="s">
        <v>6953</v>
      </c>
      <c r="F495" s="112" t="s">
        <v>6953</v>
      </c>
      <c r="G495" s="112" t="s">
        <v>6953</v>
      </c>
      <c r="H495" s="112" t="s">
        <v>6953</v>
      </c>
      <c r="I495" s="112" t="s">
        <v>6953</v>
      </c>
      <c r="J495" s="112" t="s">
        <v>6953</v>
      </c>
      <c r="K495" s="112" t="s">
        <v>6953</v>
      </c>
      <c r="L495" s="112" t="s">
        <v>6953</v>
      </c>
      <c r="M495" s="112" t="s">
        <v>6953</v>
      </c>
      <c r="N495" s="112" t="s">
        <v>6953</v>
      </c>
      <c r="O495" s="110"/>
      <c r="P495" s="110"/>
      <c r="Q495" s="110"/>
    </row>
    <row r="496" spans="1:17" ht="17.5" customHeight="1">
      <c r="A496" s="114" t="s">
        <v>7027</v>
      </c>
      <c r="B496" s="114" t="s">
        <v>7028</v>
      </c>
      <c r="C496" s="113">
        <v>2020</v>
      </c>
      <c r="D496" s="112" t="s">
        <v>6953</v>
      </c>
      <c r="E496" s="112">
        <v>362.10222299999998</v>
      </c>
      <c r="F496" s="112" t="s">
        <v>6953</v>
      </c>
      <c r="G496" s="112" t="s">
        <v>6953</v>
      </c>
      <c r="H496" s="112">
        <v>42.542883000000003</v>
      </c>
      <c r="I496" s="112" t="s">
        <v>6953</v>
      </c>
      <c r="J496" s="112" t="s">
        <v>6953</v>
      </c>
      <c r="K496" s="112">
        <v>5.6119159999999999</v>
      </c>
      <c r="L496" s="112">
        <v>70.249566000000002</v>
      </c>
      <c r="M496" s="112">
        <v>71.002195999999998</v>
      </c>
      <c r="N496" s="112">
        <v>-0.75263000000000002</v>
      </c>
      <c r="O496" s="110"/>
      <c r="P496" s="110"/>
      <c r="Q496" s="110"/>
    </row>
    <row r="497" spans="1:17" ht="17.5" customHeight="1">
      <c r="A497" s="109" t="s">
        <v>7029</v>
      </c>
      <c r="B497" s="109" t="s">
        <v>7030</v>
      </c>
      <c r="C497" s="98">
        <v>2008</v>
      </c>
      <c r="D497" s="99">
        <v>58</v>
      </c>
      <c r="E497" s="99">
        <v>1133</v>
      </c>
      <c r="F497" s="99">
        <v>288</v>
      </c>
      <c r="G497" s="99">
        <v>478</v>
      </c>
      <c r="H497" s="99">
        <v>70</v>
      </c>
      <c r="I497" s="99">
        <v>32</v>
      </c>
      <c r="J497" s="112" t="s">
        <v>6953</v>
      </c>
      <c r="K497" s="112" t="s">
        <v>6953</v>
      </c>
      <c r="L497" s="99">
        <v>108</v>
      </c>
      <c r="M497" s="99">
        <v>88</v>
      </c>
      <c r="N497" s="99">
        <v>20</v>
      </c>
      <c r="O497" s="110"/>
      <c r="P497" s="110"/>
      <c r="Q497" s="110"/>
    </row>
    <row r="498" spans="1:17" ht="17.5" customHeight="1">
      <c r="A498" s="109" t="s">
        <v>7029</v>
      </c>
      <c r="B498" s="109" t="s">
        <v>7030</v>
      </c>
      <c r="C498" s="98">
        <v>2009</v>
      </c>
      <c r="D498" s="99">
        <v>58</v>
      </c>
      <c r="E498" s="99">
        <v>1346</v>
      </c>
      <c r="F498" s="99">
        <v>238</v>
      </c>
      <c r="G498" s="99">
        <v>602</v>
      </c>
      <c r="H498" s="99">
        <v>70</v>
      </c>
      <c r="I498" s="99">
        <v>-10</v>
      </c>
      <c r="J498" s="112" t="s">
        <v>6953</v>
      </c>
      <c r="K498" s="112" t="s">
        <v>6953</v>
      </c>
      <c r="L498" s="99">
        <v>95</v>
      </c>
      <c r="M498" s="99">
        <v>106</v>
      </c>
      <c r="N498" s="99">
        <v>-11</v>
      </c>
      <c r="O498" s="110"/>
      <c r="P498" s="110"/>
      <c r="Q498" s="110"/>
    </row>
    <row r="499" spans="1:17" ht="17.5" customHeight="1">
      <c r="A499" s="109" t="s">
        <v>7029</v>
      </c>
      <c r="B499" s="109" t="s">
        <v>7030</v>
      </c>
      <c r="C499" s="98">
        <v>2010</v>
      </c>
      <c r="D499" s="99">
        <v>58</v>
      </c>
      <c r="E499" s="99">
        <v>705</v>
      </c>
      <c r="F499" s="99">
        <v>139</v>
      </c>
      <c r="G499" s="99">
        <v>355</v>
      </c>
      <c r="H499" s="99">
        <v>57</v>
      </c>
      <c r="I499" s="99">
        <v>12</v>
      </c>
      <c r="J499" s="99">
        <v>14</v>
      </c>
      <c r="K499" s="99">
        <v>2</v>
      </c>
      <c r="L499" s="99">
        <v>46</v>
      </c>
      <c r="M499" s="99">
        <v>41</v>
      </c>
      <c r="N499" s="99">
        <v>5</v>
      </c>
    </row>
    <row r="500" spans="1:17" ht="17.5" customHeight="1">
      <c r="A500" s="109" t="s">
        <v>7029</v>
      </c>
      <c r="B500" s="109" t="s">
        <v>7030</v>
      </c>
      <c r="C500" s="98">
        <v>2011</v>
      </c>
      <c r="D500" s="112" t="s">
        <v>6953</v>
      </c>
      <c r="E500" s="112" t="s">
        <v>6953</v>
      </c>
      <c r="F500" s="112" t="s">
        <v>6953</v>
      </c>
      <c r="G500" s="112" t="s">
        <v>6953</v>
      </c>
      <c r="H500" s="112" t="s">
        <v>6953</v>
      </c>
      <c r="I500" s="112" t="s">
        <v>6953</v>
      </c>
      <c r="J500" s="112" t="s">
        <v>6953</v>
      </c>
      <c r="K500" s="112" t="s">
        <v>6953</v>
      </c>
      <c r="L500" s="112" t="s">
        <v>6953</v>
      </c>
      <c r="M500" s="112" t="s">
        <v>6953</v>
      </c>
      <c r="N500" s="112" t="s">
        <v>6953</v>
      </c>
      <c r="O500" s="110"/>
      <c r="P500" s="110"/>
      <c r="Q500" s="110"/>
    </row>
    <row r="501" spans="1:17" ht="17.5" customHeight="1">
      <c r="A501" s="109" t="s">
        <v>7029</v>
      </c>
      <c r="B501" s="109" t="s">
        <v>7030</v>
      </c>
      <c r="C501" s="111">
        <v>2012</v>
      </c>
      <c r="D501" s="112">
        <v>64</v>
      </c>
      <c r="E501" s="112">
        <v>592</v>
      </c>
      <c r="F501" s="112">
        <v>101</v>
      </c>
      <c r="G501" s="112">
        <v>318</v>
      </c>
      <c r="H501" s="112">
        <v>43</v>
      </c>
      <c r="I501" s="112">
        <v>17</v>
      </c>
      <c r="J501" s="112">
        <v>18</v>
      </c>
      <c r="K501" s="112">
        <v>1</v>
      </c>
      <c r="L501" s="112">
        <v>52</v>
      </c>
      <c r="M501" s="112">
        <v>49</v>
      </c>
      <c r="N501" s="112">
        <v>3</v>
      </c>
    </row>
    <row r="502" spans="1:17" ht="17.5" customHeight="1">
      <c r="A502" s="109" t="s">
        <v>7029</v>
      </c>
      <c r="B502" s="109" t="s">
        <v>7030</v>
      </c>
      <c r="C502" s="113">
        <v>2013</v>
      </c>
      <c r="D502" s="112">
        <v>74</v>
      </c>
      <c r="E502" s="112">
        <v>736</v>
      </c>
      <c r="F502" s="112">
        <v>108</v>
      </c>
      <c r="G502" s="112">
        <v>429</v>
      </c>
      <c r="H502" s="112">
        <v>50</v>
      </c>
      <c r="I502" s="112">
        <v>17</v>
      </c>
      <c r="J502" s="112">
        <v>30</v>
      </c>
      <c r="K502" s="112">
        <v>13</v>
      </c>
      <c r="L502" s="112">
        <v>60</v>
      </c>
      <c r="M502" s="112">
        <v>53</v>
      </c>
      <c r="N502" s="112">
        <v>6</v>
      </c>
    </row>
    <row r="503" spans="1:17" ht="17.5" customHeight="1">
      <c r="A503" s="109" t="s">
        <v>7029</v>
      </c>
      <c r="B503" s="109" t="s">
        <v>7030</v>
      </c>
      <c r="C503" s="113">
        <v>2014</v>
      </c>
      <c r="D503" s="99">
        <v>68</v>
      </c>
      <c r="E503" s="99">
        <v>653</v>
      </c>
      <c r="F503" s="99">
        <v>116</v>
      </c>
      <c r="G503" s="99">
        <v>291</v>
      </c>
      <c r="H503" s="99">
        <v>53</v>
      </c>
      <c r="I503" s="99">
        <v>28</v>
      </c>
      <c r="J503" s="112" t="s">
        <v>6953</v>
      </c>
      <c r="K503" s="112" t="s">
        <v>6953</v>
      </c>
      <c r="L503" s="99">
        <v>57</v>
      </c>
      <c r="M503" s="99">
        <v>51</v>
      </c>
      <c r="N503" s="99">
        <v>6</v>
      </c>
      <c r="O503" s="110"/>
      <c r="P503" s="110"/>
      <c r="Q503" s="110"/>
    </row>
    <row r="504" spans="1:17" ht="17.5" customHeight="1">
      <c r="A504" s="109" t="s">
        <v>7029</v>
      </c>
      <c r="B504" s="109" t="s">
        <v>7030</v>
      </c>
      <c r="C504" s="113">
        <v>2015</v>
      </c>
      <c r="D504" s="112">
        <v>71</v>
      </c>
      <c r="E504" s="112">
        <v>627</v>
      </c>
      <c r="F504" s="112">
        <v>102</v>
      </c>
      <c r="G504" s="112">
        <v>277</v>
      </c>
      <c r="H504" s="112">
        <v>62</v>
      </c>
      <c r="I504" s="112">
        <v>26</v>
      </c>
      <c r="J504" s="112">
        <v>27</v>
      </c>
      <c r="K504" s="112" t="s">
        <v>6952</v>
      </c>
      <c r="L504" s="112">
        <v>38</v>
      </c>
      <c r="M504" s="112">
        <v>46</v>
      </c>
      <c r="N504" s="112">
        <v>-8</v>
      </c>
      <c r="O504" s="110"/>
      <c r="P504" s="110"/>
      <c r="Q504" s="110"/>
    </row>
    <row r="505" spans="1:17" ht="17.5" customHeight="1">
      <c r="A505" s="109" t="s">
        <v>7029</v>
      </c>
      <c r="B505" s="109" t="s">
        <v>7030</v>
      </c>
      <c r="C505" s="113">
        <v>2016</v>
      </c>
      <c r="D505" s="112">
        <v>83</v>
      </c>
      <c r="E505" s="112">
        <v>795</v>
      </c>
      <c r="F505" s="112">
        <v>79</v>
      </c>
      <c r="G505" s="112">
        <v>417</v>
      </c>
      <c r="H505" s="112">
        <v>72</v>
      </c>
      <c r="I505" s="112">
        <v>28</v>
      </c>
      <c r="J505" s="112" t="s">
        <v>6953</v>
      </c>
      <c r="K505" s="112" t="s">
        <v>6953</v>
      </c>
      <c r="L505" s="112">
        <v>68</v>
      </c>
      <c r="M505" s="112">
        <v>70</v>
      </c>
      <c r="N505" s="112">
        <v>-1</v>
      </c>
    </row>
    <row r="506" spans="1:17" ht="17.5" customHeight="1">
      <c r="A506" s="109" t="s">
        <v>7029</v>
      </c>
      <c r="B506" s="109" t="s">
        <v>7030</v>
      </c>
      <c r="C506" s="113">
        <v>2017</v>
      </c>
      <c r="D506" s="112">
        <v>85</v>
      </c>
      <c r="E506" s="112">
        <v>623</v>
      </c>
      <c r="F506" s="112">
        <v>107</v>
      </c>
      <c r="G506" s="112">
        <v>304</v>
      </c>
      <c r="H506" s="112">
        <v>68</v>
      </c>
      <c r="I506" s="112">
        <v>14</v>
      </c>
      <c r="J506" s="112" t="s">
        <v>6953</v>
      </c>
      <c r="K506" s="112" t="s">
        <v>6953</v>
      </c>
      <c r="L506" s="112">
        <v>57</v>
      </c>
      <c r="M506" s="112">
        <v>50</v>
      </c>
      <c r="N506" s="112">
        <v>7</v>
      </c>
    </row>
    <row r="507" spans="1:17" ht="17.5" customHeight="1">
      <c r="A507" s="109" t="s">
        <v>7029</v>
      </c>
      <c r="B507" s="109" t="s">
        <v>7030</v>
      </c>
      <c r="C507" s="113">
        <v>2018</v>
      </c>
      <c r="D507" s="112">
        <v>88</v>
      </c>
      <c r="E507" s="112">
        <v>559</v>
      </c>
      <c r="F507" s="112">
        <v>112</v>
      </c>
      <c r="G507" s="112">
        <v>283</v>
      </c>
      <c r="H507" s="112">
        <v>57</v>
      </c>
      <c r="I507" s="112">
        <v>42</v>
      </c>
      <c r="J507" s="112">
        <v>43</v>
      </c>
      <c r="K507" s="112" t="s">
        <v>6952</v>
      </c>
      <c r="L507" s="112">
        <v>74</v>
      </c>
      <c r="M507" s="112">
        <v>55</v>
      </c>
      <c r="N507" s="112">
        <v>19</v>
      </c>
      <c r="O507" s="110"/>
      <c r="P507" s="110"/>
      <c r="Q507" s="110"/>
    </row>
    <row r="508" spans="1:17" ht="17.5" customHeight="1">
      <c r="A508" s="109" t="s">
        <v>7029</v>
      </c>
      <c r="B508" s="109" t="s">
        <v>7030</v>
      </c>
      <c r="C508" s="113">
        <v>2019</v>
      </c>
      <c r="D508" s="112">
        <v>89</v>
      </c>
      <c r="E508" s="112">
        <v>583.84178799999995</v>
      </c>
      <c r="F508" s="112" t="s">
        <v>6953</v>
      </c>
      <c r="G508" s="112" t="s">
        <v>6953</v>
      </c>
      <c r="H508" s="112">
        <v>59.625573000000003</v>
      </c>
      <c r="I508" s="112">
        <v>30.253086</v>
      </c>
      <c r="J508" s="112">
        <v>30.629279</v>
      </c>
      <c r="K508" s="112" t="s">
        <v>6952</v>
      </c>
      <c r="L508" s="112">
        <v>57.059891999999998</v>
      </c>
      <c r="M508" s="112">
        <v>57.331654</v>
      </c>
      <c r="N508" s="112" t="s">
        <v>6952</v>
      </c>
      <c r="O508" s="110"/>
      <c r="P508" s="110"/>
      <c r="Q508" s="110"/>
    </row>
    <row r="509" spans="1:17" ht="17.5" customHeight="1">
      <c r="A509" s="114" t="s">
        <v>7029</v>
      </c>
      <c r="B509" s="114" t="s">
        <v>7030</v>
      </c>
      <c r="C509" s="113">
        <v>2020</v>
      </c>
      <c r="D509" s="112" t="s">
        <v>6953</v>
      </c>
      <c r="E509" s="112">
        <v>512.02921700000002</v>
      </c>
      <c r="F509" s="112" t="s">
        <v>6953</v>
      </c>
      <c r="G509" s="112" t="s">
        <v>6953</v>
      </c>
      <c r="H509" s="112">
        <v>58.67521</v>
      </c>
      <c r="I509" s="112" t="s">
        <v>6953</v>
      </c>
      <c r="J509" s="112" t="s">
        <v>6953</v>
      </c>
      <c r="K509" s="112">
        <v>1.8497680000000001</v>
      </c>
      <c r="L509" s="112">
        <v>50.091718999999998</v>
      </c>
      <c r="M509" s="112">
        <v>40.602426999999999</v>
      </c>
      <c r="N509" s="112">
        <v>9.4892920000000007</v>
      </c>
      <c r="O509" s="110"/>
      <c r="P509" s="110"/>
      <c r="Q509" s="110"/>
    </row>
    <row r="510" spans="1:17" ht="31.75" customHeight="1">
      <c r="A510" s="109" t="s">
        <v>7031</v>
      </c>
      <c r="B510" s="109" t="s">
        <v>7032</v>
      </c>
      <c r="C510" s="98">
        <v>2008</v>
      </c>
      <c r="D510" s="99">
        <v>0</v>
      </c>
      <c r="E510" s="99">
        <v>0</v>
      </c>
      <c r="F510" s="99">
        <v>0</v>
      </c>
      <c r="G510" s="99">
        <v>0</v>
      </c>
      <c r="H510" s="99">
        <v>0</v>
      </c>
      <c r="I510" s="99">
        <v>0</v>
      </c>
      <c r="J510" s="99">
        <v>0</v>
      </c>
      <c r="K510" s="99">
        <v>0</v>
      </c>
      <c r="L510" s="99">
        <v>0</v>
      </c>
      <c r="M510" s="99">
        <v>0</v>
      </c>
      <c r="N510" s="99">
        <v>0</v>
      </c>
      <c r="O510" s="110"/>
      <c r="P510" s="110"/>
      <c r="Q510" s="110"/>
    </row>
    <row r="511" spans="1:17" ht="31.75" customHeight="1">
      <c r="A511" s="109" t="s">
        <v>7031</v>
      </c>
      <c r="B511" s="109" t="s">
        <v>7032</v>
      </c>
      <c r="C511" s="98">
        <v>2009</v>
      </c>
      <c r="D511" s="99">
        <v>0</v>
      </c>
      <c r="E511" s="99">
        <v>0</v>
      </c>
      <c r="F511" s="99">
        <v>0</v>
      </c>
      <c r="G511" s="99">
        <v>0</v>
      </c>
      <c r="H511" s="99">
        <v>0</v>
      </c>
      <c r="I511" s="99">
        <v>0</v>
      </c>
      <c r="J511" s="99">
        <v>0</v>
      </c>
      <c r="K511" s="99">
        <v>0</v>
      </c>
      <c r="L511" s="99">
        <v>0</v>
      </c>
      <c r="M511" s="99">
        <v>0</v>
      </c>
      <c r="N511" s="99">
        <v>0</v>
      </c>
    </row>
    <row r="512" spans="1:17" ht="31.75" customHeight="1">
      <c r="A512" s="109" t="s">
        <v>7031</v>
      </c>
      <c r="B512" s="109" t="s">
        <v>7032</v>
      </c>
      <c r="C512" s="98">
        <v>2010</v>
      </c>
      <c r="D512" s="99">
        <v>0</v>
      </c>
      <c r="E512" s="99">
        <v>0</v>
      </c>
      <c r="F512" s="99">
        <v>0</v>
      </c>
      <c r="G512" s="99">
        <v>0</v>
      </c>
      <c r="H512" s="99">
        <v>0</v>
      </c>
      <c r="I512" s="99">
        <v>0</v>
      </c>
      <c r="J512" s="99">
        <v>0</v>
      </c>
      <c r="K512" s="99">
        <v>0</v>
      </c>
      <c r="L512" s="99">
        <v>0</v>
      </c>
      <c r="M512" s="99">
        <v>0</v>
      </c>
      <c r="N512" s="99">
        <v>0</v>
      </c>
      <c r="O512" s="110"/>
      <c r="P512" s="110"/>
      <c r="Q512" s="110"/>
    </row>
    <row r="513" spans="1:17" ht="31.75" customHeight="1">
      <c r="A513" s="109" t="s">
        <v>7031</v>
      </c>
      <c r="B513" s="109" t="s">
        <v>7032</v>
      </c>
      <c r="C513" s="98">
        <v>2011</v>
      </c>
      <c r="D513" s="112" t="s">
        <v>6953</v>
      </c>
      <c r="E513" s="112" t="s">
        <v>6953</v>
      </c>
      <c r="F513" s="112" t="s">
        <v>6953</v>
      </c>
      <c r="G513" s="112" t="s">
        <v>6953</v>
      </c>
      <c r="H513" s="112" t="s">
        <v>6953</v>
      </c>
      <c r="I513" s="112" t="s">
        <v>6953</v>
      </c>
      <c r="J513" s="112" t="s">
        <v>6953</v>
      </c>
      <c r="K513" s="112" t="s">
        <v>6953</v>
      </c>
      <c r="L513" s="112" t="s">
        <v>6953</v>
      </c>
      <c r="M513" s="112" t="s">
        <v>6953</v>
      </c>
      <c r="N513" s="112" t="s">
        <v>6953</v>
      </c>
    </row>
    <row r="514" spans="1:17" ht="31.75" customHeight="1">
      <c r="A514" s="109" t="s">
        <v>7031</v>
      </c>
      <c r="B514" s="109" t="s">
        <v>7032</v>
      </c>
      <c r="C514" s="111">
        <v>2012</v>
      </c>
      <c r="D514" s="112">
        <v>0</v>
      </c>
      <c r="E514" s="112">
        <v>0</v>
      </c>
      <c r="F514" s="112">
        <v>0</v>
      </c>
      <c r="G514" s="112">
        <v>0</v>
      </c>
      <c r="H514" s="112">
        <v>0</v>
      </c>
      <c r="I514" s="112">
        <v>0</v>
      </c>
      <c r="J514" s="112">
        <v>0</v>
      </c>
      <c r="K514" s="112">
        <v>0</v>
      </c>
      <c r="L514" s="112">
        <v>0</v>
      </c>
      <c r="M514" s="112">
        <v>0</v>
      </c>
      <c r="N514" s="112">
        <v>0</v>
      </c>
    </row>
    <row r="515" spans="1:17" ht="31.75" customHeight="1">
      <c r="A515" s="109" t="s">
        <v>7031</v>
      </c>
      <c r="B515" s="109" t="s">
        <v>7032</v>
      </c>
      <c r="C515" s="113">
        <v>2013</v>
      </c>
      <c r="D515" s="112">
        <v>0</v>
      </c>
      <c r="E515" s="112">
        <v>0</v>
      </c>
      <c r="F515" s="112">
        <v>0</v>
      </c>
      <c r="G515" s="112">
        <v>0</v>
      </c>
      <c r="H515" s="112">
        <v>0</v>
      </c>
      <c r="I515" s="112">
        <v>0</v>
      </c>
      <c r="J515" s="112">
        <v>0</v>
      </c>
      <c r="K515" s="112">
        <v>0</v>
      </c>
      <c r="L515" s="112">
        <v>0</v>
      </c>
      <c r="M515" s="112">
        <v>0</v>
      </c>
      <c r="N515" s="112">
        <v>0</v>
      </c>
      <c r="O515" s="110"/>
      <c r="P515" s="110"/>
      <c r="Q515" s="110"/>
    </row>
    <row r="516" spans="1:17" ht="31.75" customHeight="1">
      <c r="A516" s="109" t="s">
        <v>7031</v>
      </c>
      <c r="B516" s="109" t="s">
        <v>7032</v>
      </c>
      <c r="C516" s="113">
        <v>2014</v>
      </c>
      <c r="D516" s="112">
        <v>0</v>
      </c>
      <c r="E516" s="112">
        <v>0</v>
      </c>
      <c r="F516" s="112">
        <v>0</v>
      </c>
      <c r="G516" s="112">
        <v>0</v>
      </c>
      <c r="H516" s="112">
        <v>0</v>
      </c>
      <c r="I516" s="112">
        <v>0</v>
      </c>
      <c r="J516" s="112">
        <v>0</v>
      </c>
      <c r="K516" s="112">
        <v>0</v>
      </c>
      <c r="L516" s="112">
        <v>0</v>
      </c>
      <c r="M516" s="112">
        <v>0</v>
      </c>
      <c r="N516" s="112">
        <v>0</v>
      </c>
      <c r="O516" s="110"/>
      <c r="P516" s="110"/>
      <c r="Q516" s="110"/>
    </row>
    <row r="517" spans="1:17" ht="31.75" customHeight="1">
      <c r="A517" s="109" t="s">
        <v>7031</v>
      </c>
      <c r="B517" s="109" t="s">
        <v>7032</v>
      </c>
      <c r="C517" s="113">
        <v>2015</v>
      </c>
      <c r="D517" s="112">
        <v>0</v>
      </c>
      <c r="E517" s="112">
        <v>0</v>
      </c>
      <c r="F517" s="112">
        <v>0</v>
      </c>
      <c r="G517" s="112">
        <v>0</v>
      </c>
      <c r="H517" s="112">
        <v>0</v>
      </c>
      <c r="I517" s="112">
        <v>0</v>
      </c>
      <c r="J517" s="112">
        <v>0</v>
      </c>
      <c r="K517" s="112">
        <v>0</v>
      </c>
      <c r="L517" s="112">
        <v>0</v>
      </c>
      <c r="M517" s="112">
        <v>0</v>
      </c>
      <c r="N517" s="112">
        <v>0</v>
      </c>
    </row>
    <row r="518" spans="1:17" ht="31.75" customHeight="1">
      <c r="A518" s="109" t="s">
        <v>7031</v>
      </c>
      <c r="B518" s="109" t="s">
        <v>7032</v>
      </c>
      <c r="C518" s="113">
        <v>2016</v>
      </c>
      <c r="D518" s="112">
        <v>0</v>
      </c>
      <c r="E518" s="112">
        <v>0</v>
      </c>
      <c r="F518" s="112">
        <v>0</v>
      </c>
      <c r="G518" s="112">
        <v>0</v>
      </c>
      <c r="H518" s="112">
        <v>0</v>
      </c>
      <c r="I518" s="112">
        <v>0</v>
      </c>
      <c r="J518" s="112">
        <v>0</v>
      </c>
      <c r="K518" s="112">
        <v>0</v>
      </c>
      <c r="L518" s="112">
        <v>0</v>
      </c>
      <c r="M518" s="112">
        <v>0</v>
      </c>
      <c r="N518" s="112">
        <v>0</v>
      </c>
    </row>
    <row r="519" spans="1:17" ht="31.75" customHeight="1">
      <c r="A519" s="109" t="s">
        <v>7031</v>
      </c>
      <c r="B519" s="109" t="s">
        <v>7032</v>
      </c>
      <c r="C519" s="113">
        <v>2017</v>
      </c>
      <c r="D519" s="112" t="s">
        <v>6953</v>
      </c>
      <c r="E519" s="112" t="s">
        <v>6953</v>
      </c>
      <c r="F519" s="112" t="s">
        <v>6953</v>
      </c>
      <c r="G519" s="112" t="s">
        <v>6953</v>
      </c>
      <c r="H519" s="112" t="s">
        <v>6953</v>
      </c>
      <c r="I519" s="112" t="s">
        <v>6953</v>
      </c>
      <c r="J519" s="112" t="s">
        <v>6953</v>
      </c>
      <c r="K519" s="112" t="s">
        <v>6953</v>
      </c>
      <c r="L519" s="112" t="s">
        <v>6953</v>
      </c>
      <c r="M519" s="112" t="s">
        <v>6953</v>
      </c>
      <c r="N519" s="112" t="s">
        <v>6953</v>
      </c>
      <c r="O519" s="110"/>
      <c r="P519" s="110"/>
      <c r="Q519" s="110"/>
    </row>
    <row r="520" spans="1:17" ht="31.75" customHeight="1">
      <c r="A520" s="109" t="s">
        <v>7031</v>
      </c>
      <c r="B520" s="109" t="s">
        <v>7032</v>
      </c>
      <c r="C520" s="113">
        <v>2018</v>
      </c>
      <c r="D520" s="112">
        <v>0</v>
      </c>
      <c r="E520" s="112">
        <v>0</v>
      </c>
      <c r="F520" s="112">
        <v>0</v>
      </c>
      <c r="G520" s="112">
        <v>0</v>
      </c>
      <c r="H520" s="112">
        <v>0</v>
      </c>
      <c r="I520" s="112">
        <v>0</v>
      </c>
      <c r="J520" s="112">
        <v>0</v>
      </c>
      <c r="K520" s="112">
        <v>0</v>
      </c>
      <c r="L520" s="112">
        <v>0</v>
      </c>
      <c r="M520" s="112">
        <v>0</v>
      </c>
      <c r="N520" s="112">
        <v>0</v>
      </c>
      <c r="O520" s="110"/>
      <c r="P520" s="110"/>
      <c r="Q520" s="110"/>
    </row>
    <row r="521" spans="1:17" ht="31.75" customHeight="1">
      <c r="A521" s="109" t="s">
        <v>7031</v>
      </c>
      <c r="B521" s="109" t="s">
        <v>7032</v>
      </c>
      <c r="C521" s="113">
        <v>2019</v>
      </c>
      <c r="D521" s="112" t="s">
        <v>6953</v>
      </c>
      <c r="E521" s="112" t="s">
        <v>6953</v>
      </c>
      <c r="F521" s="112" t="s">
        <v>6953</v>
      </c>
      <c r="G521" s="112" t="s">
        <v>6953</v>
      </c>
      <c r="H521" s="112" t="s">
        <v>6953</v>
      </c>
      <c r="I521" s="112" t="s">
        <v>6953</v>
      </c>
      <c r="J521" s="112" t="s">
        <v>6953</v>
      </c>
      <c r="K521" s="112" t="s">
        <v>6953</v>
      </c>
      <c r="L521" s="112" t="s">
        <v>6953</v>
      </c>
      <c r="M521" s="112" t="s">
        <v>6953</v>
      </c>
      <c r="N521" s="112" t="s">
        <v>6953</v>
      </c>
      <c r="O521" s="110"/>
      <c r="P521" s="110"/>
      <c r="Q521" s="110"/>
    </row>
    <row r="522" spans="1:17" ht="31.75" customHeight="1">
      <c r="A522" s="114" t="s">
        <v>7031</v>
      </c>
      <c r="B522" s="114" t="s">
        <v>7032</v>
      </c>
      <c r="C522" s="113">
        <v>2020</v>
      </c>
      <c r="D522" s="112" t="s">
        <v>6953</v>
      </c>
      <c r="E522" s="112" t="s">
        <v>6953</v>
      </c>
      <c r="F522" s="112" t="s">
        <v>6953</v>
      </c>
      <c r="G522" s="112" t="s">
        <v>6953</v>
      </c>
      <c r="H522" s="112" t="s">
        <v>6953</v>
      </c>
      <c r="I522" s="112" t="s">
        <v>6953</v>
      </c>
      <c r="J522" s="112" t="s">
        <v>6953</v>
      </c>
      <c r="K522" s="112" t="s">
        <v>6953</v>
      </c>
      <c r="L522" s="112" t="s">
        <v>6953</v>
      </c>
      <c r="M522" s="112" t="s">
        <v>6953</v>
      </c>
      <c r="N522" s="112" t="s">
        <v>6953</v>
      </c>
      <c r="O522" s="110"/>
      <c r="P522" s="110"/>
      <c r="Q522" s="110"/>
    </row>
    <row r="523" spans="1:17" ht="17.5" customHeight="1">
      <c r="A523" s="109" t="s">
        <v>7033</v>
      </c>
      <c r="B523" s="109" t="s">
        <v>7034</v>
      </c>
      <c r="C523" s="98">
        <v>2008</v>
      </c>
      <c r="D523" s="99">
        <v>495</v>
      </c>
      <c r="E523" s="99" t="s">
        <v>6953</v>
      </c>
      <c r="F523" s="99" t="s">
        <v>6953</v>
      </c>
      <c r="G523" s="99">
        <v>3501</v>
      </c>
      <c r="H523" s="99">
        <v>806</v>
      </c>
      <c r="I523" s="99">
        <v>336</v>
      </c>
      <c r="J523" s="99">
        <v>402</v>
      </c>
      <c r="K523" s="99">
        <v>66</v>
      </c>
      <c r="L523" s="99">
        <v>347</v>
      </c>
      <c r="M523" s="99">
        <v>320</v>
      </c>
      <c r="N523" s="99">
        <v>27</v>
      </c>
    </row>
    <row r="524" spans="1:17" ht="17.5" customHeight="1">
      <c r="A524" s="109" t="s">
        <v>7033</v>
      </c>
      <c r="B524" s="109" t="s">
        <v>7034</v>
      </c>
      <c r="C524" s="98">
        <v>2009</v>
      </c>
      <c r="D524" s="99">
        <v>502</v>
      </c>
      <c r="E524" s="99">
        <v>7692</v>
      </c>
      <c r="F524" s="99">
        <v>1609</v>
      </c>
      <c r="G524" s="99">
        <v>3276</v>
      </c>
      <c r="H524" s="99">
        <v>629</v>
      </c>
      <c r="I524" s="99">
        <v>242</v>
      </c>
      <c r="J524" s="99">
        <v>269</v>
      </c>
      <c r="K524" s="99">
        <v>27</v>
      </c>
      <c r="L524" s="99">
        <v>283</v>
      </c>
      <c r="M524" s="99">
        <v>350</v>
      </c>
      <c r="N524" s="99">
        <v>-67</v>
      </c>
      <c r="O524" s="110"/>
      <c r="P524" s="110"/>
      <c r="Q524" s="110"/>
    </row>
    <row r="525" spans="1:17" ht="17.5" customHeight="1">
      <c r="A525" s="109" t="s">
        <v>7033</v>
      </c>
      <c r="B525" s="109" t="s">
        <v>7034</v>
      </c>
      <c r="C525" s="98">
        <v>2010</v>
      </c>
      <c r="D525" s="99">
        <v>555</v>
      </c>
      <c r="E525" s="99">
        <v>8482</v>
      </c>
      <c r="F525" s="99">
        <v>1813</v>
      </c>
      <c r="G525" s="99">
        <v>3558</v>
      </c>
      <c r="H525" s="99">
        <v>591</v>
      </c>
      <c r="I525" s="99">
        <v>164</v>
      </c>
      <c r="J525" s="99">
        <v>212</v>
      </c>
      <c r="K525" s="99">
        <v>48</v>
      </c>
      <c r="L525" s="99">
        <v>286</v>
      </c>
      <c r="M525" s="99">
        <v>282</v>
      </c>
      <c r="N525" s="99">
        <v>4</v>
      </c>
    </row>
    <row r="526" spans="1:17" ht="17.5" customHeight="1">
      <c r="A526" s="109" t="s">
        <v>7033</v>
      </c>
      <c r="B526" s="109" t="s">
        <v>7034</v>
      </c>
      <c r="C526" s="98">
        <v>2011</v>
      </c>
      <c r="D526" s="99">
        <v>612</v>
      </c>
      <c r="E526" s="99">
        <v>7828</v>
      </c>
      <c r="F526" s="99">
        <v>1736</v>
      </c>
      <c r="G526" s="99">
        <v>3092</v>
      </c>
      <c r="H526" s="99">
        <v>692</v>
      </c>
      <c r="I526" s="99">
        <v>100</v>
      </c>
      <c r="J526" s="99">
        <v>236</v>
      </c>
      <c r="K526" s="99">
        <v>135</v>
      </c>
      <c r="L526" s="99">
        <v>325</v>
      </c>
      <c r="M526" s="99">
        <v>307</v>
      </c>
      <c r="N526" s="99">
        <v>18</v>
      </c>
    </row>
    <row r="527" spans="1:17" ht="17.5" customHeight="1">
      <c r="A527" s="109" t="s">
        <v>7033</v>
      </c>
      <c r="B527" s="109" t="s">
        <v>7034</v>
      </c>
      <c r="C527" s="111">
        <v>2012</v>
      </c>
      <c r="D527" s="112">
        <v>696</v>
      </c>
      <c r="E527" s="112">
        <v>8078</v>
      </c>
      <c r="F527" s="112">
        <v>2013</v>
      </c>
      <c r="G527" s="112">
        <v>3100</v>
      </c>
      <c r="H527" s="112">
        <v>613</v>
      </c>
      <c r="I527" s="112">
        <v>161</v>
      </c>
      <c r="J527" s="112">
        <v>209</v>
      </c>
      <c r="K527" s="112">
        <v>48</v>
      </c>
      <c r="L527" s="112">
        <v>303</v>
      </c>
      <c r="M527" s="112">
        <v>316</v>
      </c>
      <c r="N527" s="112">
        <v>-13</v>
      </c>
      <c r="O527" s="110"/>
      <c r="P527" s="110"/>
      <c r="Q527" s="110"/>
    </row>
    <row r="528" spans="1:17" ht="17.5" customHeight="1">
      <c r="A528" s="109" t="s">
        <v>7033</v>
      </c>
      <c r="B528" s="109" t="s">
        <v>7034</v>
      </c>
      <c r="C528" s="113">
        <v>2013</v>
      </c>
      <c r="D528" s="112">
        <v>847</v>
      </c>
      <c r="E528" s="112">
        <v>8127</v>
      </c>
      <c r="F528" s="112">
        <v>2072</v>
      </c>
      <c r="G528" s="112">
        <v>3005</v>
      </c>
      <c r="H528" s="112">
        <v>604</v>
      </c>
      <c r="I528" s="112">
        <v>128</v>
      </c>
      <c r="J528" s="112">
        <v>245</v>
      </c>
      <c r="K528" s="112">
        <v>117</v>
      </c>
      <c r="L528" s="112">
        <v>337</v>
      </c>
      <c r="M528" s="112">
        <v>317</v>
      </c>
      <c r="N528" s="112">
        <v>21</v>
      </c>
      <c r="O528" s="110"/>
      <c r="P528" s="110"/>
      <c r="Q528" s="110"/>
    </row>
    <row r="529" spans="1:17" ht="17.5" customHeight="1">
      <c r="A529" s="109" t="s">
        <v>7033</v>
      </c>
      <c r="B529" s="109" t="s">
        <v>7034</v>
      </c>
      <c r="C529" s="113">
        <v>2014</v>
      </c>
      <c r="D529" s="99">
        <v>953</v>
      </c>
      <c r="E529" s="99">
        <v>8026</v>
      </c>
      <c r="F529" s="99">
        <v>2114</v>
      </c>
      <c r="G529" s="99">
        <v>3309</v>
      </c>
      <c r="H529" s="99">
        <v>603</v>
      </c>
      <c r="I529" s="99">
        <v>172</v>
      </c>
      <c r="J529" s="99">
        <v>237</v>
      </c>
      <c r="K529" s="99">
        <v>65</v>
      </c>
      <c r="L529" s="99">
        <v>300</v>
      </c>
      <c r="M529" s="99">
        <v>272</v>
      </c>
      <c r="N529" s="99">
        <v>28</v>
      </c>
    </row>
    <row r="530" spans="1:17" ht="17.5" customHeight="1">
      <c r="A530" s="109" t="s">
        <v>7033</v>
      </c>
      <c r="B530" s="109" t="s">
        <v>7034</v>
      </c>
      <c r="C530" s="113">
        <v>2015</v>
      </c>
      <c r="D530" s="112">
        <v>1099</v>
      </c>
      <c r="E530" s="112">
        <v>7891</v>
      </c>
      <c r="F530" s="112">
        <v>2207</v>
      </c>
      <c r="G530" s="112">
        <v>3169</v>
      </c>
      <c r="H530" s="112">
        <v>571</v>
      </c>
      <c r="I530" s="112">
        <v>92</v>
      </c>
      <c r="J530" s="112">
        <v>187</v>
      </c>
      <c r="K530" s="112">
        <v>94</v>
      </c>
      <c r="L530" s="112">
        <v>310</v>
      </c>
      <c r="M530" s="112">
        <v>294</v>
      </c>
      <c r="N530" s="112">
        <v>16</v>
      </c>
    </row>
    <row r="531" spans="1:17" ht="17.5" customHeight="1">
      <c r="A531" s="109" t="s">
        <v>7033</v>
      </c>
      <c r="B531" s="109" t="s">
        <v>7034</v>
      </c>
      <c r="C531" s="113">
        <v>2016</v>
      </c>
      <c r="D531" s="112">
        <v>1235</v>
      </c>
      <c r="E531" s="112">
        <v>7280</v>
      </c>
      <c r="F531" s="112">
        <v>1190</v>
      </c>
      <c r="G531" s="112">
        <v>3475</v>
      </c>
      <c r="H531" s="112">
        <v>623</v>
      </c>
      <c r="I531" s="112">
        <v>214</v>
      </c>
      <c r="J531" s="112">
        <v>256</v>
      </c>
      <c r="K531" s="112">
        <v>42</v>
      </c>
      <c r="L531" s="112">
        <v>268</v>
      </c>
      <c r="M531" s="112">
        <v>239</v>
      </c>
      <c r="N531" s="112">
        <v>29</v>
      </c>
      <c r="O531" s="110"/>
      <c r="P531" s="110"/>
      <c r="Q531" s="110"/>
    </row>
    <row r="532" spans="1:17" ht="17.5" customHeight="1">
      <c r="A532" s="109" t="s">
        <v>7033</v>
      </c>
      <c r="B532" s="109" t="s">
        <v>7034</v>
      </c>
      <c r="C532" s="113">
        <v>2017</v>
      </c>
      <c r="D532" s="112">
        <v>1339</v>
      </c>
      <c r="E532" s="112">
        <v>7637</v>
      </c>
      <c r="F532" s="112">
        <v>1116</v>
      </c>
      <c r="G532" s="112">
        <v>3889</v>
      </c>
      <c r="H532" s="112">
        <v>650</v>
      </c>
      <c r="I532" s="112">
        <v>228</v>
      </c>
      <c r="J532" s="112">
        <v>320</v>
      </c>
      <c r="K532" s="112">
        <v>92</v>
      </c>
      <c r="L532" s="112">
        <v>329</v>
      </c>
      <c r="M532" s="112">
        <v>295</v>
      </c>
      <c r="N532" s="112">
        <v>34</v>
      </c>
      <c r="O532" s="110"/>
      <c r="P532" s="110"/>
      <c r="Q532" s="110"/>
    </row>
    <row r="533" spans="1:17" ht="17.5" customHeight="1">
      <c r="A533" s="109" t="s">
        <v>7033</v>
      </c>
      <c r="B533" s="109" t="s">
        <v>7034</v>
      </c>
      <c r="C533" s="113">
        <v>2018</v>
      </c>
      <c r="D533" s="112">
        <v>1374</v>
      </c>
      <c r="E533" s="112">
        <v>8793</v>
      </c>
      <c r="F533" s="112">
        <v>1477</v>
      </c>
      <c r="G533" s="112">
        <v>4419</v>
      </c>
      <c r="H533" s="112">
        <v>703</v>
      </c>
      <c r="I533" s="112">
        <v>264</v>
      </c>
      <c r="J533" s="112">
        <v>280</v>
      </c>
      <c r="K533" s="112">
        <v>16</v>
      </c>
      <c r="L533" s="112">
        <v>327</v>
      </c>
      <c r="M533" s="112">
        <v>288</v>
      </c>
      <c r="N533" s="112">
        <v>38</v>
      </c>
      <c r="O533" s="110"/>
      <c r="P533" s="110"/>
      <c r="Q533" s="110"/>
    </row>
    <row r="534" spans="1:17" ht="17.5" customHeight="1">
      <c r="A534" s="109" t="s">
        <v>7033</v>
      </c>
      <c r="B534" s="109" t="s">
        <v>7034</v>
      </c>
      <c r="C534" s="113">
        <v>2019</v>
      </c>
      <c r="D534" s="112">
        <v>1369</v>
      </c>
      <c r="E534" s="112">
        <v>8503.7812510000003</v>
      </c>
      <c r="F534" s="112">
        <v>1548.5264729999999</v>
      </c>
      <c r="G534" s="112">
        <v>4106.3719380000002</v>
      </c>
      <c r="H534" s="112">
        <v>747.02492299999994</v>
      </c>
      <c r="I534" s="112">
        <v>333.09008399999999</v>
      </c>
      <c r="J534" s="112">
        <v>376.22272400000003</v>
      </c>
      <c r="K534" s="112">
        <v>43.132641</v>
      </c>
      <c r="L534" s="112">
        <v>330.39874200000003</v>
      </c>
      <c r="M534" s="112">
        <v>321.169218</v>
      </c>
      <c r="N534" s="112">
        <v>9.2295239999999996</v>
      </c>
      <c r="O534" s="110"/>
      <c r="P534" s="110"/>
      <c r="Q534" s="110"/>
    </row>
    <row r="535" spans="1:17" ht="17.5" customHeight="1">
      <c r="A535" s="114" t="s">
        <v>7033</v>
      </c>
      <c r="B535" s="114" t="s">
        <v>7034</v>
      </c>
      <c r="C535" s="113">
        <v>2020</v>
      </c>
      <c r="D535" s="112">
        <v>1359</v>
      </c>
      <c r="E535" s="112">
        <v>6793.5503600000002</v>
      </c>
      <c r="F535" s="112">
        <v>1292.4055000000001</v>
      </c>
      <c r="G535" s="112">
        <v>3177.690998</v>
      </c>
      <c r="H535" s="112">
        <v>671.405711</v>
      </c>
      <c r="I535" s="112">
        <v>310.85128400000002</v>
      </c>
      <c r="J535" s="112">
        <v>317.243898</v>
      </c>
      <c r="K535" s="112">
        <v>6.392614</v>
      </c>
      <c r="L535" s="112">
        <v>352.806104</v>
      </c>
      <c r="M535" s="112">
        <v>331.66449699999998</v>
      </c>
      <c r="N535" s="112">
        <v>21.141607</v>
      </c>
    </row>
    <row r="536" spans="1:17" ht="17.5" customHeight="1">
      <c r="A536" s="109" t="s">
        <v>7035</v>
      </c>
      <c r="B536" s="109" t="s">
        <v>7036</v>
      </c>
      <c r="C536" s="98">
        <v>2008</v>
      </c>
      <c r="D536" s="99">
        <v>14</v>
      </c>
      <c r="E536" s="99">
        <v>511</v>
      </c>
      <c r="F536" s="99">
        <v>173</v>
      </c>
      <c r="G536" s="99">
        <v>381</v>
      </c>
      <c r="H536" s="99">
        <v>40</v>
      </c>
      <c r="I536" s="99">
        <v>42</v>
      </c>
      <c r="J536" s="99">
        <v>47</v>
      </c>
      <c r="K536" s="99">
        <v>5</v>
      </c>
      <c r="L536" s="99">
        <v>157</v>
      </c>
      <c r="M536" s="99">
        <v>115</v>
      </c>
      <c r="N536" s="99">
        <v>42</v>
      </c>
      <c r="O536" s="110"/>
      <c r="P536" s="110"/>
      <c r="Q536" s="110"/>
    </row>
    <row r="537" spans="1:17" ht="17.5" customHeight="1">
      <c r="A537" s="109" t="s">
        <v>7035</v>
      </c>
      <c r="B537" s="109" t="s">
        <v>7036</v>
      </c>
      <c r="C537" s="98">
        <v>2009</v>
      </c>
      <c r="D537" s="99">
        <v>12</v>
      </c>
      <c r="E537" s="99">
        <v>520</v>
      </c>
      <c r="F537" s="99">
        <v>75</v>
      </c>
      <c r="G537" s="99">
        <v>441</v>
      </c>
      <c r="H537" s="99">
        <v>44</v>
      </c>
      <c r="I537" s="99">
        <v>41</v>
      </c>
      <c r="J537" s="99" t="s">
        <v>6953</v>
      </c>
      <c r="K537" s="99" t="s">
        <v>6953</v>
      </c>
      <c r="L537" s="99">
        <v>153</v>
      </c>
      <c r="M537" s="99">
        <v>157</v>
      </c>
      <c r="N537" s="99">
        <v>-4</v>
      </c>
    </row>
    <row r="538" spans="1:17" ht="17.5" customHeight="1">
      <c r="A538" s="109" t="s">
        <v>7035</v>
      </c>
      <c r="B538" s="109" t="s">
        <v>7036</v>
      </c>
      <c r="C538" s="98">
        <v>2010</v>
      </c>
      <c r="D538" s="99">
        <v>10</v>
      </c>
      <c r="E538" s="99">
        <v>465</v>
      </c>
      <c r="F538" s="99">
        <v>99</v>
      </c>
      <c r="G538" s="99">
        <v>356</v>
      </c>
      <c r="H538" s="99">
        <v>45</v>
      </c>
      <c r="I538" s="99">
        <v>12</v>
      </c>
      <c r="J538" s="99" t="s">
        <v>6953</v>
      </c>
      <c r="K538" s="99" t="s">
        <v>6953</v>
      </c>
      <c r="L538" s="99">
        <v>148</v>
      </c>
      <c r="M538" s="99">
        <v>158</v>
      </c>
      <c r="N538" s="99">
        <v>-10</v>
      </c>
    </row>
    <row r="539" spans="1:17" ht="17.5" customHeight="1">
      <c r="A539" s="109" t="s">
        <v>7035</v>
      </c>
      <c r="B539" s="109" t="s">
        <v>7036</v>
      </c>
      <c r="C539" s="98">
        <v>2011</v>
      </c>
      <c r="D539" s="99">
        <v>9</v>
      </c>
      <c r="E539" s="99">
        <v>486</v>
      </c>
      <c r="F539" s="99">
        <v>102</v>
      </c>
      <c r="G539" s="99">
        <v>413</v>
      </c>
      <c r="H539" s="99">
        <v>40</v>
      </c>
      <c r="I539" s="99">
        <v>18</v>
      </c>
      <c r="J539" s="99">
        <v>18</v>
      </c>
      <c r="K539" s="99" t="s">
        <v>6952</v>
      </c>
      <c r="L539" s="99">
        <v>206</v>
      </c>
      <c r="M539" s="99">
        <v>177</v>
      </c>
      <c r="N539" s="99">
        <v>29</v>
      </c>
      <c r="O539" s="110"/>
      <c r="P539" s="110"/>
      <c r="Q539" s="110"/>
    </row>
    <row r="540" spans="1:17" ht="17.5" customHeight="1">
      <c r="A540" s="109" t="s">
        <v>7035</v>
      </c>
      <c r="B540" s="109" t="s">
        <v>7036</v>
      </c>
      <c r="C540" s="111">
        <v>2012</v>
      </c>
      <c r="D540" s="112">
        <v>9</v>
      </c>
      <c r="E540" s="112">
        <v>578</v>
      </c>
      <c r="F540" s="112">
        <v>87</v>
      </c>
      <c r="G540" s="112">
        <v>505</v>
      </c>
      <c r="H540" s="112">
        <v>44</v>
      </c>
      <c r="I540" s="112">
        <v>15</v>
      </c>
      <c r="J540" s="99" t="s">
        <v>6953</v>
      </c>
      <c r="K540" s="99" t="s">
        <v>6953</v>
      </c>
      <c r="L540" s="112">
        <v>145</v>
      </c>
      <c r="M540" s="112">
        <v>131</v>
      </c>
      <c r="N540" s="112">
        <v>14</v>
      </c>
      <c r="O540" s="110"/>
      <c r="P540" s="110"/>
      <c r="Q540" s="110"/>
    </row>
    <row r="541" spans="1:17" ht="17.5" customHeight="1">
      <c r="A541" s="109" t="s">
        <v>7035</v>
      </c>
      <c r="B541" s="109" t="s">
        <v>7036</v>
      </c>
      <c r="C541" s="113">
        <v>2013</v>
      </c>
      <c r="D541" s="112">
        <v>11</v>
      </c>
      <c r="E541" s="112">
        <v>515</v>
      </c>
      <c r="F541" s="112">
        <v>50</v>
      </c>
      <c r="G541" s="112">
        <v>459</v>
      </c>
      <c r="H541" s="112">
        <v>38</v>
      </c>
      <c r="I541" s="112">
        <v>11</v>
      </c>
      <c r="J541" s="112">
        <v>11</v>
      </c>
      <c r="K541" s="112" t="s">
        <v>6952</v>
      </c>
      <c r="L541" s="112">
        <v>124</v>
      </c>
      <c r="M541" s="112">
        <v>131</v>
      </c>
      <c r="N541" s="112">
        <v>-7</v>
      </c>
    </row>
    <row r="542" spans="1:17" ht="17.5" customHeight="1">
      <c r="A542" s="109" t="s">
        <v>7035</v>
      </c>
      <c r="B542" s="109" t="s">
        <v>7036</v>
      </c>
      <c r="C542" s="113">
        <v>2014</v>
      </c>
      <c r="D542" s="99">
        <v>10</v>
      </c>
      <c r="E542" s="99">
        <v>864</v>
      </c>
      <c r="F542" s="99">
        <v>141</v>
      </c>
      <c r="G542" s="99">
        <v>711</v>
      </c>
      <c r="H542" s="99">
        <v>52</v>
      </c>
      <c r="I542" s="99">
        <v>24</v>
      </c>
      <c r="J542" s="99">
        <v>25</v>
      </c>
      <c r="K542" s="99">
        <v>1</v>
      </c>
      <c r="L542" s="99">
        <v>309</v>
      </c>
      <c r="M542" s="99">
        <v>321</v>
      </c>
      <c r="N542" s="99">
        <v>-12</v>
      </c>
    </row>
    <row r="543" spans="1:17" ht="17.5" customHeight="1">
      <c r="A543" s="109" t="s">
        <v>7035</v>
      </c>
      <c r="B543" s="109" t="s">
        <v>7036</v>
      </c>
      <c r="C543" s="113">
        <v>2015</v>
      </c>
      <c r="D543" s="112">
        <v>11</v>
      </c>
      <c r="E543" s="112">
        <v>700</v>
      </c>
      <c r="F543" s="112">
        <v>116</v>
      </c>
      <c r="G543" s="112">
        <v>551</v>
      </c>
      <c r="H543" s="112">
        <v>56</v>
      </c>
      <c r="I543" s="112">
        <v>24</v>
      </c>
      <c r="J543" s="112">
        <v>24</v>
      </c>
      <c r="K543" s="112" t="s">
        <v>6952</v>
      </c>
      <c r="L543" s="112">
        <v>230</v>
      </c>
      <c r="M543" s="112">
        <v>263</v>
      </c>
      <c r="N543" s="112">
        <v>-32</v>
      </c>
      <c r="O543" s="110"/>
      <c r="P543" s="110"/>
      <c r="Q543" s="110"/>
    </row>
    <row r="544" spans="1:17" ht="17.5" customHeight="1">
      <c r="A544" s="109" t="s">
        <v>7035</v>
      </c>
      <c r="B544" s="109" t="s">
        <v>7036</v>
      </c>
      <c r="C544" s="113">
        <v>2016</v>
      </c>
      <c r="D544" s="112">
        <v>11</v>
      </c>
      <c r="E544" s="112">
        <v>653</v>
      </c>
      <c r="F544" s="112">
        <v>106</v>
      </c>
      <c r="G544" s="112">
        <v>536</v>
      </c>
      <c r="H544" s="112">
        <v>55</v>
      </c>
      <c r="I544" s="112">
        <v>28</v>
      </c>
      <c r="J544" s="112">
        <v>28</v>
      </c>
      <c r="K544" s="112" t="s">
        <v>6952</v>
      </c>
      <c r="L544" s="112">
        <v>183</v>
      </c>
      <c r="M544" s="112">
        <v>193</v>
      </c>
      <c r="N544" s="112">
        <v>-10</v>
      </c>
      <c r="O544" s="110"/>
      <c r="P544" s="110"/>
      <c r="Q544" s="110"/>
    </row>
    <row r="545" spans="1:17" ht="17.5" customHeight="1">
      <c r="A545" s="109" t="s">
        <v>7035</v>
      </c>
      <c r="B545" s="109" t="s">
        <v>7036</v>
      </c>
      <c r="C545" s="113">
        <v>2017</v>
      </c>
      <c r="D545" s="112">
        <v>10</v>
      </c>
      <c r="E545" s="112">
        <v>678</v>
      </c>
      <c r="F545" s="112">
        <v>148</v>
      </c>
      <c r="G545" s="112">
        <v>561</v>
      </c>
      <c r="H545" s="112">
        <v>56</v>
      </c>
      <c r="I545" s="112">
        <v>27</v>
      </c>
      <c r="J545" s="112">
        <v>28</v>
      </c>
      <c r="K545" s="112">
        <v>1</v>
      </c>
      <c r="L545" s="112">
        <v>212</v>
      </c>
      <c r="M545" s="112">
        <v>182</v>
      </c>
      <c r="N545" s="112">
        <v>31</v>
      </c>
      <c r="O545" s="110"/>
      <c r="P545" s="110"/>
      <c r="Q545" s="110"/>
    </row>
    <row r="546" spans="1:17" ht="17.5" customHeight="1">
      <c r="A546" s="109" t="s">
        <v>7035</v>
      </c>
      <c r="B546" s="109" t="s">
        <v>7036</v>
      </c>
      <c r="C546" s="113">
        <v>2018</v>
      </c>
      <c r="D546" s="112">
        <v>9</v>
      </c>
      <c r="E546" s="112">
        <v>715</v>
      </c>
      <c r="F546" s="112">
        <v>171</v>
      </c>
      <c r="G546" s="112">
        <v>599</v>
      </c>
      <c r="H546" s="112">
        <v>58</v>
      </c>
      <c r="I546" s="112">
        <v>22</v>
      </c>
      <c r="J546" s="99" t="s">
        <v>6953</v>
      </c>
      <c r="K546" s="99" t="s">
        <v>6953</v>
      </c>
      <c r="L546" s="112">
        <v>265</v>
      </c>
      <c r="M546" s="112">
        <v>212</v>
      </c>
      <c r="N546" s="112">
        <v>54</v>
      </c>
      <c r="O546" s="110"/>
      <c r="P546" s="110"/>
      <c r="Q546" s="110"/>
    </row>
    <row r="547" spans="1:17" ht="17.5" customHeight="1">
      <c r="A547" s="109" t="s">
        <v>7035</v>
      </c>
      <c r="B547" s="109" t="s">
        <v>7036</v>
      </c>
      <c r="C547" s="113">
        <v>2019</v>
      </c>
      <c r="D547" s="112">
        <v>10</v>
      </c>
      <c r="E547" s="112">
        <v>807.325649</v>
      </c>
      <c r="F547" s="112">
        <v>101.48435600000001</v>
      </c>
      <c r="G547" s="112">
        <v>680.91723000000002</v>
      </c>
      <c r="H547" s="112">
        <v>59.621659999999999</v>
      </c>
      <c r="I547" s="112">
        <v>38.759428999999997</v>
      </c>
      <c r="J547" s="112">
        <v>38.781956000000001</v>
      </c>
      <c r="K547" s="112" t="s">
        <v>6952</v>
      </c>
      <c r="L547" s="112">
        <v>283.752565</v>
      </c>
      <c r="M547" s="112">
        <v>322.63876599999998</v>
      </c>
      <c r="N547" s="112">
        <v>-38.886201</v>
      </c>
    </row>
    <row r="548" spans="1:17" ht="17.5" customHeight="1">
      <c r="A548" s="114" t="s">
        <v>7035</v>
      </c>
      <c r="B548" s="114" t="s">
        <v>7036</v>
      </c>
      <c r="C548" s="113">
        <v>2020</v>
      </c>
      <c r="D548" s="112">
        <v>10</v>
      </c>
      <c r="E548" s="112">
        <v>706.46043999999995</v>
      </c>
      <c r="F548" s="112">
        <v>138.444817</v>
      </c>
      <c r="G548" s="112">
        <v>561.80143899999996</v>
      </c>
      <c r="H548" s="112">
        <v>64.666899000000001</v>
      </c>
      <c r="I548" s="112">
        <v>22.355363000000001</v>
      </c>
      <c r="J548" s="112">
        <v>23.790219</v>
      </c>
      <c r="K548" s="112">
        <v>1.4348559999999999</v>
      </c>
      <c r="L548" s="112">
        <v>240.96589599999999</v>
      </c>
      <c r="M548" s="112">
        <v>248.14903699999999</v>
      </c>
      <c r="N548" s="112">
        <v>-7.183141</v>
      </c>
      <c r="O548" s="110"/>
      <c r="P548" s="110"/>
      <c r="Q548" s="110"/>
    </row>
    <row r="549" spans="1:17" ht="31.75" customHeight="1">
      <c r="A549" s="109" t="s">
        <v>7037</v>
      </c>
      <c r="B549" s="109" t="s">
        <v>7038</v>
      </c>
      <c r="C549" s="98">
        <v>2008</v>
      </c>
      <c r="D549" s="99">
        <v>242</v>
      </c>
      <c r="E549" s="99">
        <v>4393</v>
      </c>
      <c r="F549" s="99">
        <v>959</v>
      </c>
      <c r="G549" s="99">
        <v>3462</v>
      </c>
      <c r="H549" s="99">
        <v>593</v>
      </c>
      <c r="I549" s="99">
        <v>198</v>
      </c>
      <c r="J549" s="99">
        <v>248</v>
      </c>
      <c r="K549" s="99">
        <v>49</v>
      </c>
      <c r="L549" s="99">
        <v>310</v>
      </c>
      <c r="M549" s="99">
        <v>289</v>
      </c>
      <c r="N549" s="99">
        <v>21</v>
      </c>
    </row>
    <row r="550" spans="1:17" ht="31.75" customHeight="1">
      <c r="A550" s="109" t="s">
        <v>7037</v>
      </c>
      <c r="B550" s="109" t="s">
        <v>7038</v>
      </c>
      <c r="C550" s="98">
        <v>2009</v>
      </c>
      <c r="D550" s="99">
        <v>237</v>
      </c>
      <c r="E550" s="99">
        <v>4869</v>
      </c>
      <c r="F550" s="99">
        <v>1223</v>
      </c>
      <c r="G550" s="99">
        <v>3635</v>
      </c>
      <c r="H550" s="99">
        <v>636</v>
      </c>
      <c r="I550" s="99">
        <v>113</v>
      </c>
      <c r="J550" s="99" t="s">
        <v>6953</v>
      </c>
      <c r="K550" s="99" t="s">
        <v>6953</v>
      </c>
      <c r="L550" s="99">
        <v>302</v>
      </c>
      <c r="M550" s="99">
        <v>315</v>
      </c>
      <c r="N550" s="99">
        <v>-14</v>
      </c>
    </row>
    <row r="551" spans="1:17" ht="31.75" customHeight="1">
      <c r="A551" s="109" t="s">
        <v>7037</v>
      </c>
      <c r="B551" s="109" t="s">
        <v>7038</v>
      </c>
      <c r="C551" s="98">
        <v>2010</v>
      </c>
      <c r="D551" s="99">
        <v>231</v>
      </c>
      <c r="E551" s="99">
        <v>3835</v>
      </c>
      <c r="F551" s="99">
        <v>1100</v>
      </c>
      <c r="G551" s="99">
        <v>2778</v>
      </c>
      <c r="H551" s="99">
        <v>492</v>
      </c>
      <c r="I551" s="99">
        <v>109</v>
      </c>
      <c r="J551" s="99">
        <v>171</v>
      </c>
      <c r="K551" s="99">
        <v>61</v>
      </c>
      <c r="L551" s="99">
        <v>192</v>
      </c>
      <c r="M551" s="99">
        <v>152</v>
      </c>
      <c r="N551" s="99">
        <v>40</v>
      </c>
      <c r="O551" s="110"/>
      <c r="P551" s="110"/>
      <c r="Q551" s="110"/>
    </row>
    <row r="552" spans="1:17" ht="31.75" customHeight="1">
      <c r="A552" s="109" t="s">
        <v>7037</v>
      </c>
      <c r="B552" s="109" t="s">
        <v>7038</v>
      </c>
      <c r="C552" s="98">
        <v>2011</v>
      </c>
      <c r="D552" s="99">
        <v>221</v>
      </c>
      <c r="E552" s="99">
        <v>3909</v>
      </c>
      <c r="F552" s="99">
        <v>1120</v>
      </c>
      <c r="G552" s="99">
        <v>2812</v>
      </c>
      <c r="H552" s="99">
        <v>489</v>
      </c>
      <c r="I552" s="99">
        <v>177</v>
      </c>
      <c r="J552" s="99">
        <v>202</v>
      </c>
      <c r="K552" s="99">
        <v>25</v>
      </c>
      <c r="L552" s="99">
        <v>205</v>
      </c>
      <c r="M552" s="99">
        <v>185</v>
      </c>
      <c r="N552" s="99">
        <v>20</v>
      </c>
      <c r="O552" s="110"/>
      <c r="P552" s="110"/>
      <c r="Q552" s="110"/>
    </row>
    <row r="553" spans="1:17" ht="31.75" customHeight="1">
      <c r="A553" s="109" t="s">
        <v>7037</v>
      </c>
      <c r="B553" s="109" t="s">
        <v>7038</v>
      </c>
      <c r="C553" s="111">
        <v>2012</v>
      </c>
      <c r="D553" s="112">
        <v>224</v>
      </c>
      <c r="E553" s="112">
        <v>4055</v>
      </c>
      <c r="F553" s="112">
        <v>1273</v>
      </c>
      <c r="G553" s="112">
        <v>2790</v>
      </c>
      <c r="H553" s="112">
        <v>509</v>
      </c>
      <c r="I553" s="112">
        <v>140</v>
      </c>
      <c r="J553" s="112">
        <v>146</v>
      </c>
      <c r="K553" s="112">
        <v>6</v>
      </c>
      <c r="L553" s="112">
        <v>205</v>
      </c>
      <c r="M553" s="112">
        <v>200</v>
      </c>
      <c r="N553" s="112">
        <v>5</v>
      </c>
    </row>
    <row r="554" spans="1:17" ht="31.75" customHeight="1">
      <c r="A554" s="109" t="s">
        <v>7037</v>
      </c>
      <c r="B554" s="109" t="s">
        <v>7038</v>
      </c>
      <c r="C554" s="113">
        <v>2013</v>
      </c>
      <c r="D554" s="112">
        <v>231</v>
      </c>
      <c r="E554" s="112">
        <v>4126</v>
      </c>
      <c r="F554" s="112">
        <v>1400</v>
      </c>
      <c r="G554" s="112">
        <v>2738</v>
      </c>
      <c r="H554" s="112">
        <v>499</v>
      </c>
      <c r="I554" s="112">
        <v>159</v>
      </c>
      <c r="J554" s="112">
        <v>164</v>
      </c>
      <c r="K554" s="112">
        <v>5</v>
      </c>
      <c r="L554" s="112">
        <v>210</v>
      </c>
      <c r="M554" s="112">
        <v>198</v>
      </c>
      <c r="N554" s="112">
        <v>12</v>
      </c>
    </row>
    <row r="555" spans="1:17" ht="31.75" customHeight="1">
      <c r="A555" s="109" t="s">
        <v>7037</v>
      </c>
      <c r="B555" s="109" t="s">
        <v>7038</v>
      </c>
      <c r="C555" s="113">
        <v>2014</v>
      </c>
      <c r="D555" s="99">
        <v>260</v>
      </c>
      <c r="E555" s="99">
        <v>4839</v>
      </c>
      <c r="F555" s="99">
        <v>1349</v>
      </c>
      <c r="G555" s="99">
        <v>3519</v>
      </c>
      <c r="H555" s="99">
        <v>563</v>
      </c>
      <c r="I555" s="99">
        <v>202</v>
      </c>
      <c r="J555" s="99">
        <v>206</v>
      </c>
      <c r="K555" s="99">
        <v>3</v>
      </c>
      <c r="L555" s="99">
        <v>246</v>
      </c>
      <c r="M555" s="99">
        <v>241</v>
      </c>
      <c r="N555" s="99">
        <v>5</v>
      </c>
      <c r="O555" s="110"/>
      <c r="P555" s="110"/>
      <c r="Q555" s="110"/>
    </row>
    <row r="556" spans="1:17" ht="31.75" customHeight="1">
      <c r="A556" s="109" t="s">
        <v>7037</v>
      </c>
      <c r="B556" s="109" t="s">
        <v>7038</v>
      </c>
      <c r="C556" s="113">
        <v>2015</v>
      </c>
      <c r="D556" s="112">
        <v>272</v>
      </c>
      <c r="E556" s="112">
        <v>4672</v>
      </c>
      <c r="F556" s="112">
        <v>1389</v>
      </c>
      <c r="G556" s="112">
        <v>3270</v>
      </c>
      <c r="H556" s="112">
        <v>560</v>
      </c>
      <c r="I556" s="112">
        <v>224</v>
      </c>
      <c r="J556" s="112">
        <v>226</v>
      </c>
      <c r="K556" s="112">
        <v>1</v>
      </c>
      <c r="L556" s="112">
        <v>225</v>
      </c>
      <c r="M556" s="112">
        <v>237</v>
      </c>
      <c r="N556" s="112">
        <v>-12</v>
      </c>
      <c r="O556" s="110"/>
      <c r="P556" s="110"/>
      <c r="Q556" s="110"/>
    </row>
    <row r="557" spans="1:17" ht="31.75" customHeight="1">
      <c r="A557" s="109" t="s">
        <v>7037</v>
      </c>
      <c r="B557" s="109" t="s">
        <v>7038</v>
      </c>
      <c r="C557" s="113">
        <v>2016</v>
      </c>
      <c r="D557" s="112">
        <v>285</v>
      </c>
      <c r="E557" s="112">
        <v>5193</v>
      </c>
      <c r="F557" s="112">
        <v>2112</v>
      </c>
      <c r="G557" s="112">
        <v>3222</v>
      </c>
      <c r="H557" s="112">
        <v>583</v>
      </c>
      <c r="I557" s="112">
        <v>269</v>
      </c>
      <c r="J557" s="112">
        <v>283</v>
      </c>
      <c r="K557" s="112">
        <v>14</v>
      </c>
      <c r="L557" s="112">
        <v>246</v>
      </c>
      <c r="M557" s="112">
        <v>228</v>
      </c>
      <c r="N557" s="112">
        <v>18</v>
      </c>
      <c r="O557" s="110"/>
      <c r="P557" s="110"/>
      <c r="Q557" s="110"/>
    </row>
    <row r="558" spans="1:17" ht="31.75" customHeight="1">
      <c r="A558" s="109" t="s">
        <v>7037</v>
      </c>
      <c r="B558" s="109" t="s">
        <v>7038</v>
      </c>
      <c r="C558" s="113">
        <v>2017</v>
      </c>
      <c r="D558" s="112">
        <v>317</v>
      </c>
      <c r="E558" s="112">
        <v>5679</v>
      </c>
      <c r="F558" s="112">
        <v>2343</v>
      </c>
      <c r="G558" s="112">
        <v>3484</v>
      </c>
      <c r="H558" s="112">
        <v>608</v>
      </c>
      <c r="I558" s="112">
        <v>262</v>
      </c>
      <c r="J558" s="112">
        <v>266</v>
      </c>
      <c r="K558" s="112">
        <v>4</v>
      </c>
      <c r="L558" s="112">
        <v>297</v>
      </c>
      <c r="M558" s="112">
        <v>252</v>
      </c>
      <c r="N558" s="112">
        <v>45</v>
      </c>
      <c r="O558" s="110"/>
      <c r="P558" s="110"/>
      <c r="Q558" s="110"/>
    </row>
    <row r="559" spans="1:17" ht="31.75" customHeight="1">
      <c r="A559" s="109" t="s">
        <v>7037</v>
      </c>
      <c r="B559" s="109" t="s">
        <v>7038</v>
      </c>
      <c r="C559" s="113">
        <v>2018</v>
      </c>
      <c r="D559" s="112">
        <v>339</v>
      </c>
      <c r="E559" s="112">
        <v>5845</v>
      </c>
      <c r="F559" s="112">
        <v>2357</v>
      </c>
      <c r="G559" s="112">
        <v>3473</v>
      </c>
      <c r="H559" s="112">
        <v>630</v>
      </c>
      <c r="I559" s="112">
        <v>263</v>
      </c>
      <c r="J559" s="99" t="s">
        <v>6953</v>
      </c>
      <c r="K559" s="99" t="s">
        <v>6953</v>
      </c>
      <c r="L559" s="112">
        <v>292</v>
      </c>
      <c r="M559" s="112">
        <v>281</v>
      </c>
      <c r="N559" s="112">
        <v>12</v>
      </c>
    </row>
    <row r="560" spans="1:17" ht="31.75" customHeight="1">
      <c r="A560" s="109" t="s">
        <v>7037</v>
      </c>
      <c r="B560" s="109" t="s">
        <v>7038</v>
      </c>
      <c r="C560" s="113">
        <v>2019</v>
      </c>
      <c r="D560" s="112">
        <v>376</v>
      </c>
      <c r="E560" s="112">
        <v>6448.0164999999997</v>
      </c>
      <c r="F560" s="112">
        <v>2149.7385330000002</v>
      </c>
      <c r="G560" s="112">
        <v>4284.2434389999999</v>
      </c>
      <c r="H560" s="112">
        <v>657.25779499999999</v>
      </c>
      <c r="I560" s="112">
        <v>386.32413600000001</v>
      </c>
      <c r="J560" s="112">
        <v>403.22719899999998</v>
      </c>
      <c r="K560" s="112">
        <v>16.903063</v>
      </c>
      <c r="L560" s="112">
        <v>383.722082</v>
      </c>
      <c r="M560" s="112">
        <v>353.81412</v>
      </c>
      <c r="N560" s="112">
        <v>29.907962000000001</v>
      </c>
      <c r="O560" s="110"/>
      <c r="P560" s="110"/>
      <c r="Q560" s="110"/>
    </row>
    <row r="561" spans="1:17" ht="31.75" customHeight="1">
      <c r="A561" s="114" t="s">
        <v>7037</v>
      </c>
      <c r="B561" s="114" t="s">
        <v>7038</v>
      </c>
      <c r="C561" s="113">
        <v>2020</v>
      </c>
      <c r="D561" s="112">
        <v>411</v>
      </c>
      <c r="E561" s="112">
        <v>5605.318088</v>
      </c>
      <c r="F561" s="112">
        <v>1653.6345309999999</v>
      </c>
      <c r="G561" s="112">
        <v>3934.3568140000002</v>
      </c>
      <c r="H561" s="112">
        <v>692.13592600000004</v>
      </c>
      <c r="I561" s="112">
        <v>312.57599900000002</v>
      </c>
      <c r="J561" s="112">
        <v>314.08100100000001</v>
      </c>
      <c r="K561" s="112">
        <v>1.505002</v>
      </c>
      <c r="L561" s="112">
        <v>413.24868600000002</v>
      </c>
      <c r="M561" s="112">
        <v>389.85576300000002</v>
      </c>
      <c r="N561" s="112">
        <v>23.392923</v>
      </c>
    </row>
    <row r="562" spans="1:17" ht="17.5" customHeight="1">
      <c r="A562" s="109" t="s">
        <v>7039</v>
      </c>
      <c r="B562" s="109" t="s">
        <v>7040</v>
      </c>
      <c r="C562" s="98">
        <v>2008</v>
      </c>
      <c r="D562" s="99">
        <v>12</v>
      </c>
      <c r="E562" s="99" t="s">
        <v>6953</v>
      </c>
      <c r="F562" s="99" t="s">
        <v>6953</v>
      </c>
      <c r="G562" s="99">
        <v>901</v>
      </c>
      <c r="H562" s="99">
        <v>224</v>
      </c>
      <c r="I562" s="99">
        <v>41</v>
      </c>
      <c r="J562" s="99" t="s">
        <v>6953</v>
      </c>
      <c r="K562" s="99" t="s">
        <v>6953</v>
      </c>
      <c r="L562" s="99">
        <v>206</v>
      </c>
      <c r="M562" s="99">
        <v>159</v>
      </c>
      <c r="N562" s="99">
        <v>47</v>
      </c>
    </row>
    <row r="563" spans="1:17" ht="17.5" customHeight="1">
      <c r="A563" s="109" t="s">
        <v>7039</v>
      </c>
      <c r="B563" s="109" t="s">
        <v>7040</v>
      </c>
      <c r="C563" s="98">
        <v>2009</v>
      </c>
      <c r="D563" s="99">
        <v>10</v>
      </c>
      <c r="E563" s="99">
        <v>10018</v>
      </c>
      <c r="F563" s="99">
        <v>1645</v>
      </c>
      <c r="G563" s="99">
        <v>959</v>
      </c>
      <c r="H563" s="99">
        <v>156</v>
      </c>
      <c r="I563" s="99">
        <v>51</v>
      </c>
      <c r="J563" s="99" t="s">
        <v>6953</v>
      </c>
      <c r="K563" s="99" t="s">
        <v>6953</v>
      </c>
      <c r="L563" s="99">
        <v>262</v>
      </c>
      <c r="M563" s="99">
        <v>186</v>
      </c>
      <c r="N563" s="99">
        <v>76</v>
      </c>
      <c r="O563" s="110"/>
      <c r="P563" s="110"/>
      <c r="Q563" s="110"/>
    </row>
    <row r="564" spans="1:17" ht="17.5" customHeight="1">
      <c r="A564" s="109" t="s">
        <v>7039</v>
      </c>
      <c r="B564" s="109" t="s">
        <v>7040</v>
      </c>
      <c r="C564" s="98">
        <v>2010</v>
      </c>
      <c r="D564" s="99">
        <v>10</v>
      </c>
      <c r="E564" s="99">
        <v>10248</v>
      </c>
      <c r="F564" s="99">
        <v>1647</v>
      </c>
      <c r="G564" s="99">
        <v>832</v>
      </c>
      <c r="H564" s="99">
        <v>145</v>
      </c>
      <c r="I564" s="99">
        <v>94</v>
      </c>
      <c r="J564" s="99">
        <v>96</v>
      </c>
      <c r="K564" s="99">
        <v>2</v>
      </c>
      <c r="L564" s="99">
        <v>220</v>
      </c>
      <c r="M564" s="99">
        <v>224</v>
      </c>
      <c r="N564" s="99">
        <v>-4</v>
      </c>
      <c r="O564" s="110"/>
      <c r="P564" s="110"/>
      <c r="Q564" s="110"/>
    </row>
    <row r="565" spans="1:17" ht="17.5" customHeight="1">
      <c r="A565" s="109" t="s">
        <v>7039</v>
      </c>
      <c r="B565" s="109" t="s">
        <v>7040</v>
      </c>
      <c r="C565" s="98">
        <v>2011</v>
      </c>
      <c r="D565" s="99">
        <v>10</v>
      </c>
      <c r="E565" s="99">
        <v>10418</v>
      </c>
      <c r="F565" s="99" t="s">
        <v>6953</v>
      </c>
      <c r="G565" s="99" t="s">
        <v>6953</v>
      </c>
      <c r="H565" s="99">
        <v>132</v>
      </c>
      <c r="I565" s="99">
        <v>50</v>
      </c>
      <c r="J565" s="99" t="s">
        <v>6953</v>
      </c>
      <c r="K565" s="99" t="s">
        <v>6953</v>
      </c>
      <c r="L565" s="99">
        <v>175</v>
      </c>
      <c r="M565" s="99">
        <v>222</v>
      </c>
      <c r="N565" s="99">
        <v>-48</v>
      </c>
    </row>
    <row r="566" spans="1:17" ht="17.5" customHeight="1">
      <c r="A566" s="109" t="s">
        <v>7039</v>
      </c>
      <c r="B566" s="109" t="s">
        <v>7040</v>
      </c>
      <c r="C566" s="111">
        <v>2012</v>
      </c>
      <c r="D566" s="112">
        <v>11</v>
      </c>
      <c r="E566" s="112">
        <v>10990</v>
      </c>
      <c r="F566" s="99" t="s">
        <v>6953</v>
      </c>
      <c r="G566" s="99" t="s">
        <v>6953</v>
      </c>
      <c r="H566" s="112">
        <v>135</v>
      </c>
      <c r="I566" s="112">
        <v>84</v>
      </c>
      <c r="J566" s="99" t="s">
        <v>6953</v>
      </c>
      <c r="K566" s="99" t="s">
        <v>6953</v>
      </c>
      <c r="L566" s="112">
        <v>177</v>
      </c>
      <c r="M566" s="112">
        <v>173</v>
      </c>
      <c r="N566" s="112">
        <v>4</v>
      </c>
    </row>
    <row r="567" spans="1:17" ht="17.5" customHeight="1">
      <c r="A567" s="109" t="s">
        <v>7039</v>
      </c>
      <c r="B567" s="109" t="s">
        <v>7040</v>
      </c>
      <c r="C567" s="113">
        <v>2013</v>
      </c>
      <c r="D567" s="112">
        <v>10</v>
      </c>
      <c r="E567" s="99" t="s">
        <v>6953</v>
      </c>
      <c r="F567" s="99" t="s">
        <v>6953</v>
      </c>
      <c r="G567" s="99" t="s">
        <v>6953</v>
      </c>
      <c r="H567" s="112">
        <v>154</v>
      </c>
      <c r="I567" s="112">
        <v>47</v>
      </c>
      <c r="J567" s="112">
        <v>49</v>
      </c>
      <c r="K567" s="112">
        <v>1</v>
      </c>
      <c r="L567" s="112">
        <v>170</v>
      </c>
      <c r="M567" s="112">
        <v>179</v>
      </c>
      <c r="N567" s="112">
        <v>-9</v>
      </c>
      <c r="O567" s="110"/>
      <c r="P567" s="110"/>
      <c r="Q567" s="110"/>
    </row>
    <row r="568" spans="1:17" ht="17.5" customHeight="1">
      <c r="A568" s="109" t="s">
        <v>7039</v>
      </c>
      <c r="B568" s="109" t="s">
        <v>7040</v>
      </c>
      <c r="C568" s="113">
        <v>2014</v>
      </c>
      <c r="D568" s="99">
        <v>10</v>
      </c>
      <c r="E568" s="99" t="s">
        <v>6953</v>
      </c>
      <c r="F568" s="99" t="s">
        <v>6953</v>
      </c>
      <c r="G568" s="99">
        <v>416</v>
      </c>
      <c r="H568" s="99">
        <v>141</v>
      </c>
      <c r="I568" s="99">
        <v>51</v>
      </c>
      <c r="J568" s="99" t="s">
        <v>6953</v>
      </c>
      <c r="K568" s="99" t="s">
        <v>6953</v>
      </c>
      <c r="L568" s="99" t="s">
        <v>6953</v>
      </c>
      <c r="M568" s="99" t="s">
        <v>6953</v>
      </c>
      <c r="N568" s="99" t="s">
        <v>6953</v>
      </c>
      <c r="O568" s="110"/>
      <c r="P568" s="110"/>
      <c r="Q568" s="110"/>
    </row>
    <row r="569" spans="1:17" ht="17.5" customHeight="1">
      <c r="A569" s="109" t="s">
        <v>7039</v>
      </c>
      <c r="B569" s="109" t="s">
        <v>7040</v>
      </c>
      <c r="C569" s="113">
        <v>2015</v>
      </c>
      <c r="D569" s="112">
        <v>11</v>
      </c>
      <c r="E569" s="99" t="s">
        <v>6953</v>
      </c>
      <c r="F569" s="99" t="s">
        <v>6953</v>
      </c>
      <c r="G569" s="99" t="s">
        <v>6953</v>
      </c>
      <c r="H569" s="112">
        <v>102</v>
      </c>
      <c r="I569" s="99" t="s">
        <v>6953</v>
      </c>
      <c r="J569" s="99" t="s">
        <v>6953</v>
      </c>
      <c r="K569" s="99" t="s">
        <v>6953</v>
      </c>
      <c r="L569" s="112">
        <v>87</v>
      </c>
      <c r="M569" s="112">
        <v>109</v>
      </c>
      <c r="N569" s="112">
        <v>-22</v>
      </c>
      <c r="O569" s="110"/>
      <c r="P569" s="110"/>
      <c r="Q569" s="110"/>
    </row>
    <row r="570" spans="1:17" ht="17.5" customHeight="1">
      <c r="A570" s="109" t="s">
        <v>7039</v>
      </c>
      <c r="B570" s="109" t="s">
        <v>7040</v>
      </c>
      <c r="C570" s="113">
        <v>2016</v>
      </c>
      <c r="D570" s="112">
        <v>11</v>
      </c>
      <c r="E570" s="99" t="s">
        <v>6953</v>
      </c>
      <c r="F570" s="99" t="s">
        <v>6953</v>
      </c>
      <c r="G570" s="99" t="s">
        <v>6953</v>
      </c>
      <c r="H570" s="112">
        <v>47</v>
      </c>
      <c r="I570" s="112">
        <v>-45</v>
      </c>
      <c r="J570" s="99" t="s">
        <v>6953</v>
      </c>
      <c r="K570" s="99" t="s">
        <v>6953</v>
      </c>
      <c r="L570" s="112">
        <v>44</v>
      </c>
      <c r="M570" s="112">
        <v>44</v>
      </c>
      <c r="N570" s="112">
        <v>1</v>
      </c>
      <c r="O570" s="110"/>
      <c r="P570" s="110"/>
      <c r="Q570" s="110"/>
    </row>
    <row r="571" spans="1:17" ht="17.5" customHeight="1">
      <c r="A571" s="109" t="s">
        <v>7039</v>
      </c>
      <c r="B571" s="109" t="s">
        <v>7040</v>
      </c>
      <c r="C571" s="113">
        <v>2017</v>
      </c>
      <c r="D571" s="112">
        <v>13</v>
      </c>
      <c r="E571" s="99" t="s">
        <v>6953</v>
      </c>
      <c r="F571" s="99" t="s">
        <v>6953</v>
      </c>
      <c r="G571" s="112">
        <v>7</v>
      </c>
      <c r="H571" s="112">
        <v>17</v>
      </c>
      <c r="I571" s="112">
        <v>-14</v>
      </c>
      <c r="J571" s="99" t="s">
        <v>6953</v>
      </c>
      <c r="K571" s="99" t="s">
        <v>6953</v>
      </c>
      <c r="L571" s="112">
        <v>15</v>
      </c>
      <c r="M571" s="112">
        <v>16</v>
      </c>
      <c r="N571" s="112">
        <v>-1</v>
      </c>
    </row>
    <row r="572" spans="1:17" ht="17.5" customHeight="1">
      <c r="A572" s="109" t="s">
        <v>7039</v>
      </c>
      <c r="B572" s="109" t="s">
        <v>7040</v>
      </c>
      <c r="C572" s="113">
        <v>2018</v>
      </c>
      <c r="D572" s="112">
        <v>9</v>
      </c>
      <c r="E572" s="112">
        <v>13</v>
      </c>
      <c r="F572" s="112">
        <v>6</v>
      </c>
      <c r="G572" s="112">
        <v>7</v>
      </c>
      <c r="H572" s="112">
        <v>3</v>
      </c>
      <c r="I572" s="112" t="s">
        <v>6952</v>
      </c>
      <c r="J572" s="112" t="s">
        <v>6952</v>
      </c>
      <c r="K572" s="112" t="s">
        <v>6952</v>
      </c>
      <c r="L572" s="112">
        <v>2</v>
      </c>
      <c r="M572" s="112">
        <v>3</v>
      </c>
      <c r="N572" s="112" t="s">
        <v>6952</v>
      </c>
      <c r="O572" s="110"/>
      <c r="P572" s="110"/>
      <c r="Q572" s="110"/>
    </row>
    <row r="573" spans="1:17" ht="17.5" customHeight="1">
      <c r="A573" s="109" t="s">
        <v>7039</v>
      </c>
      <c r="B573" s="109" t="s">
        <v>7040</v>
      </c>
      <c r="C573" s="113">
        <v>2019</v>
      </c>
      <c r="D573" s="112">
        <v>9</v>
      </c>
      <c r="E573" s="112">
        <v>27.282491</v>
      </c>
      <c r="F573" s="112">
        <v>6.8765720000000004</v>
      </c>
      <c r="G573" s="112">
        <v>12.810298</v>
      </c>
      <c r="H573" s="112">
        <v>5.7161039999999996</v>
      </c>
      <c r="I573" s="112" t="s">
        <v>6952</v>
      </c>
      <c r="J573" s="112" t="s">
        <v>6952</v>
      </c>
      <c r="K573" s="112" t="s">
        <v>6952</v>
      </c>
      <c r="L573" s="112">
        <v>4.1198499999999996</v>
      </c>
      <c r="M573" s="112">
        <v>3.5389360000000001</v>
      </c>
      <c r="N573" s="112">
        <v>0.58091400000000004</v>
      </c>
    </row>
    <row r="574" spans="1:17" ht="17.5" customHeight="1">
      <c r="A574" s="114" t="s">
        <v>7039</v>
      </c>
      <c r="B574" s="114" t="s">
        <v>7040</v>
      </c>
      <c r="C574" s="113">
        <v>2020</v>
      </c>
      <c r="D574" s="112">
        <v>7</v>
      </c>
      <c r="E574" s="112">
        <v>14.248856</v>
      </c>
      <c r="F574" s="112" t="s">
        <v>6953</v>
      </c>
      <c r="G574" s="112" t="s">
        <v>6953</v>
      </c>
      <c r="H574" s="112">
        <v>1.7657849999999999</v>
      </c>
      <c r="I574" s="112" t="s">
        <v>6952</v>
      </c>
      <c r="J574" s="112" t="s">
        <v>6952</v>
      </c>
      <c r="K574" s="112" t="s">
        <v>6952</v>
      </c>
      <c r="L574" s="112">
        <v>3.0032580000000002</v>
      </c>
      <c r="M574" s="112">
        <v>2.6530269999999998</v>
      </c>
      <c r="N574" s="112" t="s">
        <v>6952</v>
      </c>
    </row>
    <row r="575" spans="1:17" ht="17.5" customHeight="1">
      <c r="A575" s="109" t="s">
        <v>7041</v>
      </c>
      <c r="B575" s="109" t="s">
        <v>7042</v>
      </c>
      <c r="C575" s="98">
        <v>2008</v>
      </c>
      <c r="D575" s="99">
        <v>4255</v>
      </c>
      <c r="E575" s="99">
        <v>5628</v>
      </c>
      <c r="F575" s="99">
        <v>2096</v>
      </c>
      <c r="G575" s="99">
        <v>3583</v>
      </c>
      <c r="H575" s="99">
        <v>1281</v>
      </c>
      <c r="I575" s="99">
        <v>97</v>
      </c>
      <c r="J575" s="99">
        <v>139</v>
      </c>
      <c r="K575" s="99">
        <v>42</v>
      </c>
      <c r="L575" s="99">
        <v>813</v>
      </c>
      <c r="M575" s="99">
        <v>780</v>
      </c>
      <c r="N575" s="99">
        <v>34</v>
      </c>
      <c r="O575" s="110"/>
      <c r="P575" s="110"/>
      <c r="Q575" s="110"/>
    </row>
    <row r="576" spans="1:17" ht="17.5" customHeight="1">
      <c r="A576" s="109" t="s">
        <v>7041</v>
      </c>
      <c r="B576" s="109" t="s">
        <v>7042</v>
      </c>
      <c r="C576" s="98">
        <v>2009</v>
      </c>
      <c r="D576" s="99">
        <v>4068</v>
      </c>
      <c r="E576" s="99">
        <v>5047</v>
      </c>
      <c r="F576" s="99">
        <v>1887</v>
      </c>
      <c r="G576" s="99">
        <v>3115</v>
      </c>
      <c r="H576" s="99">
        <v>1163</v>
      </c>
      <c r="I576" s="99">
        <v>78</v>
      </c>
      <c r="J576" s="99">
        <v>107</v>
      </c>
      <c r="K576" s="99">
        <v>29</v>
      </c>
      <c r="L576" s="99">
        <v>618</v>
      </c>
      <c r="M576" s="99">
        <v>655</v>
      </c>
      <c r="N576" s="99">
        <v>-37</v>
      </c>
      <c r="O576" s="110"/>
      <c r="P576" s="110"/>
      <c r="Q576" s="110"/>
    </row>
    <row r="577" spans="1:17" ht="17.5" customHeight="1">
      <c r="A577" s="109" t="s">
        <v>7041</v>
      </c>
      <c r="B577" s="109" t="s">
        <v>7042</v>
      </c>
      <c r="C577" s="98">
        <v>2010</v>
      </c>
      <c r="D577" s="99">
        <v>3935</v>
      </c>
      <c r="E577" s="99">
        <v>5304</v>
      </c>
      <c r="F577" s="99">
        <v>1934</v>
      </c>
      <c r="G577" s="99">
        <v>3463</v>
      </c>
      <c r="H577" s="99">
        <v>1113</v>
      </c>
      <c r="I577" s="99">
        <v>87</v>
      </c>
      <c r="J577" s="99">
        <v>131</v>
      </c>
      <c r="K577" s="99">
        <v>44</v>
      </c>
      <c r="L577" s="99">
        <v>754</v>
      </c>
      <c r="M577" s="99">
        <v>650</v>
      </c>
      <c r="N577" s="99">
        <v>104</v>
      </c>
    </row>
    <row r="578" spans="1:17" ht="17.5" customHeight="1">
      <c r="A578" s="109" t="s">
        <v>7041</v>
      </c>
      <c r="B578" s="109" t="s">
        <v>7042</v>
      </c>
      <c r="C578" s="98">
        <v>2011</v>
      </c>
      <c r="D578" s="99">
        <v>3871</v>
      </c>
      <c r="E578" s="99">
        <v>5473</v>
      </c>
      <c r="F578" s="99">
        <v>1847</v>
      </c>
      <c r="G578" s="99">
        <v>3668</v>
      </c>
      <c r="H578" s="99">
        <v>1144</v>
      </c>
      <c r="I578" s="99">
        <v>137</v>
      </c>
      <c r="J578" s="99">
        <v>153</v>
      </c>
      <c r="K578" s="99">
        <v>16</v>
      </c>
      <c r="L578" s="99">
        <v>745</v>
      </c>
      <c r="M578" s="99">
        <v>696</v>
      </c>
      <c r="N578" s="99">
        <v>48</v>
      </c>
    </row>
    <row r="579" spans="1:17" ht="17.5" customHeight="1">
      <c r="A579" s="109" t="s">
        <v>7041</v>
      </c>
      <c r="B579" s="109" t="s">
        <v>7042</v>
      </c>
      <c r="C579" s="111">
        <v>2012</v>
      </c>
      <c r="D579" s="112">
        <v>3778</v>
      </c>
      <c r="E579" s="112">
        <v>5313</v>
      </c>
      <c r="F579" s="112">
        <v>2262</v>
      </c>
      <c r="G579" s="112">
        <v>3053</v>
      </c>
      <c r="H579" s="112">
        <v>1086</v>
      </c>
      <c r="I579" s="112">
        <v>131</v>
      </c>
      <c r="J579" s="112">
        <v>143</v>
      </c>
      <c r="K579" s="112">
        <v>12</v>
      </c>
      <c r="L579" s="112">
        <v>710</v>
      </c>
      <c r="M579" s="112">
        <v>703</v>
      </c>
      <c r="N579" s="112">
        <v>7</v>
      </c>
      <c r="O579" s="110"/>
      <c r="P579" s="110"/>
      <c r="Q579" s="110"/>
    </row>
    <row r="580" spans="1:17" ht="17.5" customHeight="1">
      <c r="A580" s="109" t="s">
        <v>7041</v>
      </c>
      <c r="B580" s="109" t="s">
        <v>7042</v>
      </c>
      <c r="C580" s="113">
        <v>2013</v>
      </c>
      <c r="D580" s="112">
        <v>3842</v>
      </c>
      <c r="E580" s="112">
        <v>5285</v>
      </c>
      <c r="F580" s="112">
        <v>2110</v>
      </c>
      <c r="G580" s="112">
        <v>3147</v>
      </c>
      <c r="H580" s="112">
        <v>1094</v>
      </c>
      <c r="I580" s="112">
        <v>95</v>
      </c>
      <c r="J580" s="112">
        <v>106</v>
      </c>
      <c r="K580" s="112">
        <v>11</v>
      </c>
      <c r="L580" s="112">
        <v>740</v>
      </c>
      <c r="M580" s="112">
        <v>744</v>
      </c>
      <c r="N580" s="112">
        <v>-4</v>
      </c>
      <c r="O580" s="110"/>
      <c r="P580" s="110"/>
      <c r="Q580" s="110"/>
    </row>
    <row r="581" spans="1:17" ht="17.5" customHeight="1">
      <c r="A581" s="109" t="s">
        <v>7041</v>
      </c>
      <c r="B581" s="109" t="s">
        <v>7042</v>
      </c>
      <c r="C581" s="113">
        <v>2014</v>
      </c>
      <c r="D581" s="99">
        <v>3878</v>
      </c>
      <c r="E581" s="99">
        <v>5317</v>
      </c>
      <c r="F581" s="99">
        <v>1884</v>
      </c>
      <c r="G581" s="99">
        <v>3473</v>
      </c>
      <c r="H581" s="99">
        <v>1160</v>
      </c>
      <c r="I581" s="99">
        <v>135</v>
      </c>
      <c r="J581" s="99">
        <v>154</v>
      </c>
      <c r="K581" s="99">
        <v>19</v>
      </c>
      <c r="L581" s="99">
        <v>795</v>
      </c>
      <c r="M581" s="99">
        <v>746</v>
      </c>
      <c r="N581" s="99">
        <v>48</v>
      </c>
      <c r="O581" s="110"/>
      <c r="P581" s="110"/>
      <c r="Q581" s="110"/>
    </row>
    <row r="582" spans="1:17" ht="17.5" customHeight="1">
      <c r="A582" s="109" t="s">
        <v>7041</v>
      </c>
      <c r="B582" s="109" t="s">
        <v>7042</v>
      </c>
      <c r="C582" s="113">
        <v>2015</v>
      </c>
      <c r="D582" s="112">
        <v>4078</v>
      </c>
      <c r="E582" s="112">
        <v>5643</v>
      </c>
      <c r="F582" s="112">
        <v>2196</v>
      </c>
      <c r="G582" s="112">
        <v>3484</v>
      </c>
      <c r="H582" s="112">
        <v>1130</v>
      </c>
      <c r="I582" s="112">
        <v>233</v>
      </c>
      <c r="J582" s="112">
        <v>245</v>
      </c>
      <c r="K582" s="112">
        <v>12</v>
      </c>
      <c r="L582" s="112">
        <v>761</v>
      </c>
      <c r="M582" s="112">
        <v>716</v>
      </c>
      <c r="N582" s="112">
        <v>45</v>
      </c>
      <c r="O582" s="110"/>
      <c r="P582" s="110"/>
      <c r="Q582" s="110"/>
    </row>
    <row r="583" spans="1:17" ht="17.5" customHeight="1">
      <c r="A583" s="109" t="s">
        <v>7041</v>
      </c>
      <c r="B583" s="109" t="s">
        <v>7042</v>
      </c>
      <c r="C583" s="113">
        <v>2016</v>
      </c>
      <c r="D583" s="112">
        <v>4188</v>
      </c>
      <c r="E583" s="112">
        <v>5539</v>
      </c>
      <c r="F583" s="112">
        <v>2201</v>
      </c>
      <c r="G583" s="112">
        <v>3375</v>
      </c>
      <c r="H583" s="112">
        <v>1287</v>
      </c>
      <c r="I583" s="112">
        <v>165</v>
      </c>
      <c r="J583" s="112">
        <v>188</v>
      </c>
      <c r="K583" s="112">
        <v>23</v>
      </c>
      <c r="L583" s="112">
        <v>744</v>
      </c>
      <c r="M583" s="112">
        <v>701</v>
      </c>
      <c r="N583" s="112">
        <v>43</v>
      </c>
    </row>
    <row r="584" spans="1:17" ht="17.5" customHeight="1">
      <c r="A584" s="109" t="s">
        <v>7041</v>
      </c>
      <c r="B584" s="109" t="s">
        <v>7042</v>
      </c>
      <c r="C584" s="113">
        <v>2017</v>
      </c>
      <c r="D584" s="112">
        <v>4228</v>
      </c>
      <c r="E584" s="112">
        <v>5668</v>
      </c>
      <c r="F584" s="112">
        <v>2346</v>
      </c>
      <c r="G584" s="112">
        <v>3377</v>
      </c>
      <c r="H584" s="112">
        <v>1303</v>
      </c>
      <c r="I584" s="112">
        <v>166</v>
      </c>
      <c r="J584" s="112">
        <v>240</v>
      </c>
      <c r="K584" s="112">
        <v>74</v>
      </c>
      <c r="L584" s="112">
        <v>749</v>
      </c>
      <c r="M584" s="112">
        <v>698</v>
      </c>
      <c r="N584" s="112">
        <v>52</v>
      </c>
      <c r="O584" s="110"/>
      <c r="P584" s="110"/>
      <c r="Q584" s="110"/>
    </row>
    <row r="585" spans="1:17" ht="17.5" customHeight="1">
      <c r="A585" s="109" t="s">
        <v>7041</v>
      </c>
      <c r="B585" s="109" t="s">
        <v>7042</v>
      </c>
      <c r="C585" s="113">
        <v>2018</v>
      </c>
      <c r="D585" s="112">
        <v>4395</v>
      </c>
      <c r="E585" s="112">
        <v>5986</v>
      </c>
      <c r="F585" s="112">
        <v>2409</v>
      </c>
      <c r="G585" s="112">
        <v>3692</v>
      </c>
      <c r="H585" s="112">
        <v>1274</v>
      </c>
      <c r="I585" s="112">
        <v>155</v>
      </c>
      <c r="J585" s="112">
        <v>196</v>
      </c>
      <c r="K585" s="112">
        <v>41</v>
      </c>
      <c r="L585" s="112">
        <v>904</v>
      </c>
      <c r="M585" s="112">
        <v>843</v>
      </c>
      <c r="N585" s="112">
        <v>61</v>
      </c>
    </row>
    <row r="586" spans="1:17" ht="17.5" customHeight="1">
      <c r="A586" s="109" t="s">
        <v>7041</v>
      </c>
      <c r="B586" s="109" t="s">
        <v>7042</v>
      </c>
      <c r="C586" s="113">
        <v>2019</v>
      </c>
      <c r="D586" s="112">
        <v>4315</v>
      </c>
      <c r="E586" s="112">
        <v>6164.7099779999999</v>
      </c>
      <c r="F586" s="112">
        <v>2436.8382000000001</v>
      </c>
      <c r="G586" s="112">
        <v>3754.1031079999998</v>
      </c>
      <c r="H586" s="112">
        <v>1416.192427</v>
      </c>
      <c r="I586" s="112">
        <v>226.51007799999999</v>
      </c>
      <c r="J586" s="112">
        <v>243.709215</v>
      </c>
      <c r="K586" s="112">
        <v>17.199137</v>
      </c>
      <c r="L586" s="112">
        <v>832.45308299999999</v>
      </c>
      <c r="M586" s="112">
        <v>800.86742200000003</v>
      </c>
      <c r="N586" s="112">
        <v>31.585660000000001</v>
      </c>
    </row>
    <row r="587" spans="1:17" ht="17.5" customHeight="1">
      <c r="A587" s="114" t="s">
        <v>7041</v>
      </c>
      <c r="B587" s="114" t="s">
        <v>7042</v>
      </c>
      <c r="C587" s="113">
        <v>2020</v>
      </c>
      <c r="D587" s="112">
        <v>4282</v>
      </c>
      <c r="E587" s="112">
        <v>5344.4536639999997</v>
      </c>
      <c r="F587" s="112">
        <v>2123.4557199999999</v>
      </c>
      <c r="G587" s="112">
        <v>3242.7242200000001</v>
      </c>
      <c r="H587" s="112">
        <v>1248.2993469999999</v>
      </c>
      <c r="I587" s="112">
        <v>233.49692099999999</v>
      </c>
      <c r="J587" s="112">
        <v>245.32673</v>
      </c>
      <c r="K587" s="112">
        <v>11.829808</v>
      </c>
      <c r="L587" s="112">
        <v>789.49705100000006</v>
      </c>
      <c r="M587" s="112">
        <v>788.25720200000001</v>
      </c>
      <c r="N587" s="112">
        <v>1.239849</v>
      </c>
      <c r="O587" s="110"/>
      <c r="P587" s="110"/>
      <c r="Q587" s="110"/>
    </row>
    <row r="588" spans="1:17" ht="17.5" customHeight="1">
      <c r="A588" s="109" t="s">
        <v>7043</v>
      </c>
      <c r="B588" s="109" t="s">
        <v>7044</v>
      </c>
      <c r="C588" s="98">
        <v>2008</v>
      </c>
      <c r="D588" s="99">
        <v>149</v>
      </c>
      <c r="E588" s="99">
        <v>254</v>
      </c>
      <c r="F588" s="99">
        <v>86</v>
      </c>
      <c r="G588" s="99">
        <v>170</v>
      </c>
      <c r="H588" s="99">
        <v>66</v>
      </c>
      <c r="I588" s="99">
        <v>5</v>
      </c>
      <c r="J588" s="99">
        <v>6</v>
      </c>
      <c r="K588" s="99" t="s">
        <v>6952</v>
      </c>
      <c r="L588" s="99">
        <v>47</v>
      </c>
      <c r="M588" s="99">
        <v>45</v>
      </c>
      <c r="N588" s="99">
        <v>2</v>
      </c>
      <c r="O588" s="110"/>
      <c r="P588" s="110"/>
      <c r="Q588" s="110"/>
    </row>
    <row r="589" spans="1:17" ht="17.5" customHeight="1">
      <c r="A589" s="109" t="s">
        <v>7043</v>
      </c>
      <c r="B589" s="109" t="s">
        <v>7044</v>
      </c>
      <c r="C589" s="98">
        <v>2009</v>
      </c>
      <c r="D589" s="99">
        <v>135</v>
      </c>
      <c r="E589" s="99">
        <v>240</v>
      </c>
      <c r="F589" s="99">
        <v>67</v>
      </c>
      <c r="G589" s="99">
        <v>170</v>
      </c>
      <c r="H589" s="99">
        <v>61</v>
      </c>
      <c r="I589" s="99">
        <v>2</v>
      </c>
      <c r="J589" s="99">
        <v>3</v>
      </c>
      <c r="K589" s="99">
        <v>1</v>
      </c>
      <c r="L589" s="99">
        <v>37</v>
      </c>
      <c r="M589" s="99">
        <v>41</v>
      </c>
      <c r="N589" s="99">
        <v>-3</v>
      </c>
    </row>
    <row r="590" spans="1:17" ht="17.5" customHeight="1">
      <c r="A590" s="109" t="s">
        <v>7043</v>
      </c>
      <c r="B590" s="109" t="s">
        <v>7044</v>
      </c>
      <c r="C590" s="98">
        <v>2010</v>
      </c>
      <c r="D590" s="99">
        <v>129</v>
      </c>
      <c r="E590" s="99">
        <v>379</v>
      </c>
      <c r="F590" s="99">
        <v>120</v>
      </c>
      <c r="G590" s="99">
        <v>283</v>
      </c>
      <c r="H590" s="99">
        <v>67</v>
      </c>
      <c r="I590" s="99">
        <v>7</v>
      </c>
      <c r="J590" s="99">
        <v>7</v>
      </c>
      <c r="K590" s="99" t="s">
        <v>6952</v>
      </c>
      <c r="L590" s="99">
        <v>97</v>
      </c>
      <c r="M590" s="99">
        <v>73</v>
      </c>
      <c r="N590" s="99">
        <v>24</v>
      </c>
    </row>
    <row r="591" spans="1:17" ht="17.5" customHeight="1">
      <c r="A591" s="109" t="s">
        <v>7043</v>
      </c>
      <c r="B591" s="109" t="s">
        <v>7044</v>
      </c>
      <c r="C591" s="98">
        <v>2011</v>
      </c>
      <c r="D591" s="99">
        <v>129</v>
      </c>
      <c r="E591" s="99">
        <v>416</v>
      </c>
      <c r="F591" s="99">
        <v>120</v>
      </c>
      <c r="G591" s="99">
        <v>307</v>
      </c>
      <c r="H591" s="99">
        <v>65</v>
      </c>
      <c r="I591" s="99">
        <v>4</v>
      </c>
      <c r="J591" s="99">
        <v>5</v>
      </c>
      <c r="K591" s="99">
        <v>1</v>
      </c>
      <c r="L591" s="99">
        <v>102</v>
      </c>
      <c r="M591" s="99">
        <v>93</v>
      </c>
      <c r="N591" s="99">
        <v>9</v>
      </c>
      <c r="O591" s="110"/>
      <c r="P591" s="110"/>
      <c r="Q591" s="110"/>
    </row>
    <row r="592" spans="1:17" ht="17.5" customHeight="1">
      <c r="A592" s="109" t="s">
        <v>7043</v>
      </c>
      <c r="B592" s="109" t="s">
        <v>7044</v>
      </c>
      <c r="C592" s="111">
        <v>2012</v>
      </c>
      <c r="D592" s="112">
        <v>126</v>
      </c>
      <c r="E592" s="112">
        <v>340</v>
      </c>
      <c r="F592" s="112">
        <v>75</v>
      </c>
      <c r="G592" s="112">
        <v>265</v>
      </c>
      <c r="H592" s="112">
        <v>58</v>
      </c>
      <c r="I592" s="112">
        <v>4</v>
      </c>
      <c r="J592" s="112">
        <v>5</v>
      </c>
      <c r="K592" s="112">
        <v>1</v>
      </c>
      <c r="L592" s="112">
        <v>96</v>
      </c>
      <c r="M592" s="112">
        <v>95</v>
      </c>
      <c r="N592" s="112">
        <v>1</v>
      </c>
      <c r="O592" s="110"/>
      <c r="P592" s="110"/>
      <c r="Q592" s="110"/>
    </row>
    <row r="593" spans="1:17" ht="17.5" customHeight="1">
      <c r="A593" s="109" t="s">
        <v>7043</v>
      </c>
      <c r="B593" s="109" t="s">
        <v>7044</v>
      </c>
      <c r="C593" s="113">
        <v>2013</v>
      </c>
      <c r="D593" s="112">
        <v>127</v>
      </c>
      <c r="E593" s="112">
        <v>390</v>
      </c>
      <c r="F593" s="112">
        <v>88</v>
      </c>
      <c r="G593" s="112">
        <v>295</v>
      </c>
      <c r="H593" s="112">
        <v>53</v>
      </c>
      <c r="I593" s="112">
        <v>6</v>
      </c>
      <c r="J593" s="112">
        <v>7</v>
      </c>
      <c r="K593" s="112">
        <v>1</v>
      </c>
      <c r="L593" s="112">
        <v>119</v>
      </c>
      <c r="M593" s="112">
        <v>127</v>
      </c>
      <c r="N593" s="112">
        <v>-8</v>
      </c>
      <c r="O593" s="110"/>
      <c r="P593" s="110"/>
      <c r="Q593" s="110"/>
    </row>
    <row r="594" spans="1:17" ht="17.5" customHeight="1">
      <c r="A594" s="109" t="s">
        <v>7043</v>
      </c>
      <c r="B594" s="109" t="s">
        <v>7044</v>
      </c>
      <c r="C594" s="113">
        <v>2014</v>
      </c>
      <c r="D594" s="99">
        <v>123</v>
      </c>
      <c r="E594" s="99">
        <v>409</v>
      </c>
      <c r="F594" s="99">
        <v>85</v>
      </c>
      <c r="G594" s="99">
        <v>320</v>
      </c>
      <c r="H594" s="99">
        <v>68</v>
      </c>
      <c r="I594" s="99">
        <v>6</v>
      </c>
      <c r="J594" s="99">
        <v>7</v>
      </c>
      <c r="K594" s="99">
        <v>1</v>
      </c>
      <c r="L594" s="99">
        <v>132</v>
      </c>
      <c r="M594" s="99">
        <v>136</v>
      </c>
      <c r="N594" s="99">
        <v>-4</v>
      </c>
      <c r="O594" s="110"/>
      <c r="P594" s="110"/>
      <c r="Q594" s="110"/>
    </row>
    <row r="595" spans="1:17" ht="17.5" customHeight="1">
      <c r="A595" s="109" t="s">
        <v>7043</v>
      </c>
      <c r="B595" s="109" t="s">
        <v>7044</v>
      </c>
      <c r="C595" s="113">
        <v>2015</v>
      </c>
      <c r="D595" s="112">
        <v>126</v>
      </c>
      <c r="E595" s="112">
        <v>393</v>
      </c>
      <c r="F595" s="112">
        <v>130</v>
      </c>
      <c r="G595" s="112">
        <v>267</v>
      </c>
      <c r="H595" s="112">
        <v>57</v>
      </c>
      <c r="I595" s="112">
        <v>5</v>
      </c>
      <c r="J595" s="112">
        <v>5</v>
      </c>
      <c r="K595" s="112" t="s">
        <v>6952</v>
      </c>
      <c r="L595" s="112">
        <v>110</v>
      </c>
      <c r="M595" s="112">
        <v>106</v>
      </c>
      <c r="N595" s="112">
        <v>4</v>
      </c>
    </row>
    <row r="596" spans="1:17" ht="17.5" customHeight="1">
      <c r="A596" s="109" t="s">
        <v>7043</v>
      </c>
      <c r="B596" s="109" t="s">
        <v>7044</v>
      </c>
      <c r="C596" s="113">
        <v>2016</v>
      </c>
      <c r="D596" s="112">
        <v>119</v>
      </c>
      <c r="E596" s="112">
        <v>249</v>
      </c>
      <c r="F596" s="112">
        <v>88</v>
      </c>
      <c r="G596" s="112">
        <v>160</v>
      </c>
      <c r="H596" s="112">
        <v>59</v>
      </c>
      <c r="I596" s="112">
        <v>16</v>
      </c>
      <c r="J596" s="112">
        <v>16</v>
      </c>
      <c r="K596" s="112" t="s">
        <v>6952</v>
      </c>
      <c r="L596" s="112">
        <v>62</v>
      </c>
      <c r="M596" s="112">
        <v>62</v>
      </c>
      <c r="N596" s="112" t="s">
        <v>6952</v>
      </c>
      <c r="O596" s="110"/>
      <c r="P596" s="110"/>
      <c r="Q596" s="110"/>
    </row>
    <row r="597" spans="1:17" ht="17.5" customHeight="1">
      <c r="A597" s="109" t="s">
        <v>7043</v>
      </c>
      <c r="B597" s="109" t="s">
        <v>7044</v>
      </c>
      <c r="C597" s="113">
        <v>2017</v>
      </c>
      <c r="D597" s="112">
        <v>122</v>
      </c>
      <c r="E597" s="112">
        <v>276</v>
      </c>
      <c r="F597" s="112">
        <v>88</v>
      </c>
      <c r="G597" s="112">
        <v>184</v>
      </c>
      <c r="H597" s="112">
        <v>59</v>
      </c>
      <c r="I597" s="112">
        <v>10</v>
      </c>
      <c r="J597" s="112">
        <v>11</v>
      </c>
      <c r="K597" s="112">
        <v>1</v>
      </c>
      <c r="L597" s="112">
        <v>57</v>
      </c>
      <c r="M597" s="112">
        <v>61</v>
      </c>
      <c r="N597" s="112">
        <v>-3</v>
      </c>
    </row>
    <row r="598" spans="1:17" ht="17.5" customHeight="1">
      <c r="A598" s="109" t="s">
        <v>7043</v>
      </c>
      <c r="B598" s="109" t="s">
        <v>7044</v>
      </c>
      <c r="C598" s="113">
        <v>2018</v>
      </c>
      <c r="D598" s="112">
        <v>123</v>
      </c>
      <c r="E598" s="112">
        <v>289</v>
      </c>
      <c r="F598" s="112">
        <v>96</v>
      </c>
      <c r="G598" s="112">
        <v>193</v>
      </c>
      <c r="H598" s="112">
        <v>55</v>
      </c>
      <c r="I598" s="112">
        <v>8</v>
      </c>
      <c r="J598" s="112">
        <v>8</v>
      </c>
      <c r="K598" s="112">
        <v>1</v>
      </c>
      <c r="L598" s="112">
        <v>64</v>
      </c>
      <c r="M598" s="112">
        <v>64</v>
      </c>
      <c r="N598" s="112">
        <v>1</v>
      </c>
    </row>
    <row r="599" spans="1:17" ht="17.5" customHeight="1">
      <c r="A599" s="109" t="s">
        <v>7043</v>
      </c>
      <c r="B599" s="109" t="s">
        <v>7044</v>
      </c>
      <c r="C599" s="113">
        <v>2019</v>
      </c>
      <c r="D599" s="112">
        <v>118</v>
      </c>
      <c r="E599" s="112">
        <v>295.14786299999997</v>
      </c>
      <c r="F599" s="112">
        <v>110.201115</v>
      </c>
      <c r="G599" s="112">
        <v>186.45324199999999</v>
      </c>
      <c r="H599" s="112">
        <v>59.744584000000003</v>
      </c>
      <c r="I599" s="112">
        <v>4.4542140000000003</v>
      </c>
      <c r="J599" s="112">
        <v>7.1441410000000003</v>
      </c>
      <c r="K599" s="112">
        <v>2.6899259999999998</v>
      </c>
      <c r="L599" s="112">
        <v>64.728798999999995</v>
      </c>
      <c r="M599" s="112">
        <v>63.422012000000002</v>
      </c>
      <c r="N599" s="112">
        <v>1.3067869999999999</v>
      </c>
      <c r="O599" s="110"/>
      <c r="P599" s="110"/>
      <c r="Q599" s="110"/>
    </row>
    <row r="600" spans="1:17" ht="17.5" customHeight="1">
      <c r="A600" s="114" t="s">
        <v>7043</v>
      </c>
      <c r="B600" s="114" t="s">
        <v>7044</v>
      </c>
      <c r="C600" s="113">
        <v>2020</v>
      </c>
      <c r="D600" s="112">
        <v>114</v>
      </c>
      <c r="E600" s="112">
        <v>175.37414999999999</v>
      </c>
      <c r="F600" s="112">
        <v>85.170578000000006</v>
      </c>
      <c r="G600" s="112">
        <v>83.117264000000006</v>
      </c>
      <c r="H600" s="112">
        <v>36.899555999999997</v>
      </c>
      <c r="I600" s="112">
        <v>3.0050629999999998</v>
      </c>
      <c r="J600" s="112">
        <v>3.0550220000000001</v>
      </c>
      <c r="K600" s="112" t="s">
        <v>6952</v>
      </c>
      <c r="L600" s="112">
        <v>43.231197000000002</v>
      </c>
      <c r="M600" s="112">
        <v>50.677742000000002</v>
      </c>
      <c r="N600" s="112">
        <v>-7.4465450000000004</v>
      </c>
      <c r="O600" s="110"/>
      <c r="P600" s="110"/>
      <c r="Q600" s="110"/>
    </row>
    <row r="601" spans="1:17" ht="17.5" customHeight="1">
      <c r="A601" s="109" t="s">
        <v>7045</v>
      </c>
      <c r="B601" s="109" t="s">
        <v>7046</v>
      </c>
      <c r="C601" s="98">
        <v>2008</v>
      </c>
      <c r="D601" s="99">
        <v>251</v>
      </c>
      <c r="E601" s="99">
        <v>741</v>
      </c>
      <c r="F601" s="99">
        <v>251</v>
      </c>
      <c r="G601" s="99">
        <v>494</v>
      </c>
      <c r="H601" s="99">
        <v>186</v>
      </c>
      <c r="I601" s="99">
        <v>5</v>
      </c>
      <c r="J601" s="99">
        <v>17</v>
      </c>
      <c r="K601" s="99">
        <v>12</v>
      </c>
      <c r="L601" s="99">
        <v>170</v>
      </c>
      <c r="M601" s="99">
        <v>164</v>
      </c>
      <c r="N601" s="99">
        <v>6</v>
      </c>
    </row>
    <row r="602" spans="1:17" ht="17.5" customHeight="1">
      <c r="A602" s="109" t="s">
        <v>7045</v>
      </c>
      <c r="B602" s="109" t="s">
        <v>7046</v>
      </c>
      <c r="C602" s="98">
        <v>2009</v>
      </c>
      <c r="D602" s="99">
        <v>231</v>
      </c>
      <c r="E602" s="99">
        <v>634</v>
      </c>
      <c r="F602" s="99">
        <v>210</v>
      </c>
      <c r="G602" s="99">
        <v>401</v>
      </c>
      <c r="H602" s="99">
        <v>169</v>
      </c>
      <c r="I602" s="99">
        <v>6</v>
      </c>
      <c r="J602" s="99">
        <v>12</v>
      </c>
      <c r="K602" s="99">
        <v>6</v>
      </c>
      <c r="L602" s="99">
        <v>101</v>
      </c>
      <c r="M602" s="99">
        <v>125</v>
      </c>
      <c r="N602" s="99">
        <v>-24</v>
      </c>
    </row>
    <row r="603" spans="1:17" ht="17.5" customHeight="1">
      <c r="A603" s="109" t="s">
        <v>7045</v>
      </c>
      <c r="B603" s="109" t="s">
        <v>7046</v>
      </c>
      <c r="C603" s="98">
        <v>2010</v>
      </c>
      <c r="D603" s="99">
        <v>217</v>
      </c>
      <c r="E603" s="99">
        <v>750</v>
      </c>
      <c r="F603" s="99">
        <v>278</v>
      </c>
      <c r="G603" s="99">
        <v>498</v>
      </c>
      <c r="H603" s="99">
        <v>154</v>
      </c>
      <c r="I603" s="99">
        <v>12</v>
      </c>
      <c r="J603" s="99">
        <v>18</v>
      </c>
      <c r="K603" s="99">
        <v>6</v>
      </c>
      <c r="L603" s="99">
        <v>131</v>
      </c>
      <c r="M603" s="99">
        <v>105</v>
      </c>
      <c r="N603" s="99">
        <v>26</v>
      </c>
      <c r="O603" s="110"/>
      <c r="P603" s="110"/>
      <c r="Q603" s="110"/>
    </row>
    <row r="604" spans="1:17" ht="17.5" customHeight="1">
      <c r="A604" s="109" t="s">
        <v>7045</v>
      </c>
      <c r="B604" s="109" t="s">
        <v>7046</v>
      </c>
      <c r="C604" s="98">
        <v>2011</v>
      </c>
      <c r="D604" s="99">
        <v>219</v>
      </c>
      <c r="E604" s="99">
        <v>776</v>
      </c>
      <c r="F604" s="99">
        <v>247</v>
      </c>
      <c r="G604" s="99">
        <v>538</v>
      </c>
      <c r="H604" s="99">
        <v>174</v>
      </c>
      <c r="I604" s="99">
        <v>10</v>
      </c>
      <c r="J604" s="99">
        <v>11</v>
      </c>
      <c r="K604" s="99">
        <v>2</v>
      </c>
      <c r="L604" s="99">
        <v>125</v>
      </c>
      <c r="M604" s="99">
        <v>118</v>
      </c>
      <c r="N604" s="99">
        <v>7</v>
      </c>
      <c r="O604" s="110"/>
      <c r="P604" s="110"/>
      <c r="Q604" s="110"/>
    </row>
    <row r="605" spans="1:17" ht="17.5" customHeight="1">
      <c r="A605" s="109" t="s">
        <v>7045</v>
      </c>
      <c r="B605" s="109" t="s">
        <v>7046</v>
      </c>
      <c r="C605" s="111">
        <v>2012</v>
      </c>
      <c r="D605" s="112">
        <v>198</v>
      </c>
      <c r="E605" s="112">
        <v>600</v>
      </c>
      <c r="F605" s="112">
        <v>234</v>
      </c>
      <c r="G605" s="112">
        <v>378</v>
      </c>
      <c r="H605" s="112">
        <v>138</v>
      </c>
      <c r="I605" s="112">
        <v>8</v>
      </c>
      <c r="J605" s="112">
        <v>10</v>
      </c>
      <c r="K605" s="112">
        <v>2</v>
      </c>
      <c r="L605" s="112">
        <v>134</v>
      </c>
      <c r="M605" s="112">
        <v>123</v>
      </c>
      <c r="N605" s="112">
        <v>11</v>
      </c>
      <c r="O605" s="110"/>
      <c r="P605" s="110"/>
      <c r="Q605" s="110"/>
    </row>
    <row r="606" spans="1:17" ht="17.5" customHeight="1">
      <c r="A606" s="109" t="s">
        <v>7045</v>
      </c>
      <c r="B606" s="109" t="s">
        <v>7046</v>
      </c>
      <c r="C606" s="113">
        <v>2013</v>
      </c>
      <c r="D606" s="112">
        <v>203</v>
      </c>
      <c r="E606" s="112">
        <v>577</v>
      </c>
      <c r="F606" s="112">
        <v>255</v>
      </c>
      <c r="G606" s="112">
        <v>325</v>
      </c>
      <c r="H606" s="112">
        <v>136</v>
      </c>
      <c r="I606" s="112">
        <v>12</v>
      </c>
      <c r="J606" s="112">
        <v>13</v>
      </c>
      <c r="K606" s="112">
        <v>1</v>
      </c>
      <c r="L606" s="112">
        <v>122</v>
      </c>
      <c r="M606" s="112">
        <v>120</v>
      </c>
      <c r="N606" s="112">
        <v>2</v>
      </c>
      <c r="O606" s="110"/>
      <c r="P606" s="110"/>
      <c r="Q606" s="110"/>
    </row>
    <row r="607" spans="1:17" ht="17.5" customHeight="1">
      <c r="A607" s="109" t="s">
        <v>7045</v>
      </c>
      <c r="B607" s="109" t="s">
        <v>7046</v>
      </c>
      <c r="C607" s="113">
        <v>2014</v>
      </c>
      <c r="D607" s="99">
        <v>210</v>
      </c>
      <c r="E607" s="99">
        <v>644</v>
      </c>
      <c r="F607" s="99">
        <v>218</v>
      </c>
      <c r="G607" s="99">
        <v>438</v>
      </c>
      <c r="H607" s="99">
        <v>147</v>
      </c>
      <c r="I607" s="99">
        <v>13</v>
      </c>
      <c r="J607" s="99">
        <v>14</v>
      </c>
      <c r="K607" s="99" t="s">
        <v>6952</v>
      </c>
      <c r="L607" s="99">
        <v>161</v>
      </c>
      <c r="M607" s="99">
        <v>148</v>
      </c>
      <c r="N607" s="99">
        <v>12</v>
      </c>
    </row>
    <row r="608" spans="1:17" ht="17.5" customHeight="1">
      <c r="A608" s="109" t="s">
        <v>7045</v>
      </c>
      <c r="B608" s="109" t="s">
        <v>7046</v>
      </c>
      <c r="C608" s="113">
        <v>2015</v>
      </c>
      <c r="D608" s="112">
        <v>210</v>
      </c>
      <c r="E608" s="112">
        <v>691</v>
      </c>
      <c r="F608" s="112">
        <v>271</v>
      </c>
      <c r="G608" s="112">
        <v>426</v>
      </c>
      <c r="H608" s="112">
        <v>169</v>
      </c>
      <c r="I608" s="112">
        <v>21</v>
      </c>
      <c r="J608" s="112">
        <v>24</v>
      </c>
      <c r="K608" s="112">
        <v>3</v>
      </c>
      <c r="L608" s="112">
        <v>148</v>
      </c>
      <c r="M608" s="112">
        <v>141</v>
      </c>
      <c r="N608" s="112">
        <v>7</v>
      </c>
      <c r="O608" s="110"/>
      <c r="P608" s="110"/>
      <c r="Q608" s="110"/>
    </row>
    <row r="609" spans="1:17" ht="17.5" customHeight="1">
      <c r="A609" s="109" t="s">
        <v>7045</v>
      </c>
      <c r="B609" s="109" t="s">
        <v>7046</v>
      </c>
      <c r="C609" s="113">
        <v>2016</v>
      </c>
      <c r="D609" s="112">
        <v>224</v>
      </c>
      <c r="E609" s="112">
        <v>649</v>
      </c>
      <c r="F609" s="112">
        <v>247</v>
      </c>
      <c r="G609" s="112">
        <v>409</v>
      </c>
      <c r="H609" s="112">
        <v>154</v>
      </c>
      <c r="I609" s="112">
        <v>18</v>
      </c>
      <c r="J609" s="112">
        <v>19</v>
      </c>
      <c r="K609" s="112">
        <v>1</v>
      </c>
      <c r="L609" s="112">
        <v>146</v>
      </c>
      <c r="M609" s="112">
        <v>137</v>
      </c>
      <c r="N609" s="112">
        <v>9</v>
      </c>
    </row>
    <row r="610" spans="1:17" ht="17.5" customHeight="1">
      <c r="A610" s="109" t="s">
        <v>7045</v>
      </c>
      <c r="B610" s="109" t="s">
        <v>7046</v>
      </c>
      <c r="C610" s="113">
        <v>2017</v>
      </c>
      <c r="D610" s="112">
        <v>211</v>
      </c>
      <c r="E610" s="112">
        <v>685</v>
      </c>
      <c r="F610" s="112">
        <v>243</v>
      </c>
      <c r="G610" s="112">
        <v>449</v>
      </c>
      <c r="H610" s="112">
        <v>159</v>
      </c>
      <c r="I610" s="112">
        <v>33</v>
      </c>
      <c r="J610" s="112">
        <v>37</v>
      </c>
      <c r="K610" s="112">
        <v>4</v>
      </c>
      <c r="L610" s="112">
        <v>134</v>
      </c>
      <c r="M610" s="112">
        <v>127</v>
      </c>
      <c r="N610" s="112">
        <v>7</v>
      </c>
    </row>
    <row r="611" spans="1:17" ht="17.5" customHeight="1">
      <c r="A611" s="109" t="s">
        <v>7045</v>
      </c>
      <c r="B611" s="109" t="s">
        <v>7046</v>
      </c>
      <c r="C611" s="113">
        <v>2018</v>
      </c>
      <c r="D611" s="112">
        <v>189</v>
      </c>
      <c r="E611" s="112">
        <v>764</v>
      </c>
      <c r="F611" s="112">
        <v>316</v>
      </c>
      <c r="G611" s="112">
        <v>472</v>
      </c>
      <c r="H611" s="112">
        <v>179</v>
      </c>
      <c r="I611" s="112">
        <v>36</v>
      </c>
      <c r="J611" s="112">
        <v>37</v>
      </c>
      <c r="K611" s="112">
        <v>1</v>
      </c>
      <c r="L611" s="112">
        <v>188</v>
      </c>
      <c r="M611" s="112">
        <v>166</v>
      </c>
      <c r="N611" s="112">
        <v>23</v>
      </c>
      <c r="O611" s="110"/>
      <c r="P611" s="110"/>
      <c r="Q611" s="110"/>
    </row>
    <row r="612" spans="1:17" ht="17.5" customHeight="1">
      <c r="A612" s="109" t="s">
        <v>7045</v>
      </c>
      <c r="B612" s="109" t="s">
        <v>7046</v>
      </c>
      <c r="C612" s="113">
        <v>2019</v>
      </c>
      <c r="D612" s="112">
        <v>203</v>
      </c>
      <c r="E612" s="112">
        <v>746.88010999999995</v>
      </c>
      <c r="F612" s="112">
        <v>277.25505900000002</v>
      </c>
      <c r="G612" s="112">
        <v>492.33598799999999</v>
      </c>
      <c r="H612" s="112">
        <v>187.53562299999999</v>
      </c>
      <c r="I612" s="112">
        <v>34.931593999999997</v>
      </c>
      <c r="J612" s="112">
        <v>35.934938000000002</v>
      </c>
      <c r="K612" s="112">
        <v>1.003344</v>
      </c>
      <c r="L612" s="112">
        <v>201.23774299999999</v>
      </c>
      <c r="M612" s="112">
        <v>179.993988</v>
      </c>
      <c r="N612" s="112">
        <v>21.243755</v>
      </c>
      <c r="O612" s="110"/>
      <c r="P612" s="110"/>
      <c r="Q612" s="110"/>
    </row>
    <row r="613" spans="1:17" ht="17.5" customHeight="1">
      <c r="A613" s="114" t="s">
        <v>7045</v>
      </c>
      <c r="B613" s="114" t="s">
        <v>7046</v>
      </c>
      <c r="C613" s="113">
        <v>2020</v>
      </c>
      <c r="D613" s="112">
        <v>209</v>
      </c>
      <c r="E613" s="112">
        <v>587.40122199999996</v>
      </c>
      <c r="F613" s="112">
        <v>202.44968</v>
      </c>
      <c r="G613" s="112">
        <v>359.52236799999997</v>
      </c>
      <c r="H613" s="112">
        <v>162.65715499999999</v>
      </c>
      <c r="I613" s="112">
        <v>39.554059000000002</v>
      </c>
      <c r="J613" s="112">
        <v>41.571707000000004</v>
      </c>
      <c r="K613" s="112">
        <v>2.0176479999999999</v>
      </c>
      <c r="L613" s="112">
        <v>170.32954100000001</v>
      </c>
      <c r="M613" s="112">
        <v>197.26880499999999</v>
      </c>
      <c r="N613" s="112">
        <v>-26.939264000000001</v>
      </c>
    </row>
    <row r="614" spans="1:17" ht="17.5" customHeight="1">
      <c r="A614" s="109" t="s">
        <v>7047</v>
      </c>
      <c r="B614" s="109" t="s">
        <v>7048</v>
      </c>
      <c r="C614" s="98">
        <v>2008</v>
      </c>
      <c r="D614" s="99">
        <v>665</v>
      </c>
      <c r="E614" s="99">
        <v>646</v>
      </c>
      <c r="F614" s="99">
        <v>234</v>
      </c>
      <c r="G614" s="99">
        <v>411</v>
      </c>
      <c r="H614" s="99">
        <v>156</v>
      </c>
      <c r="I614" s="99">
        <v>-3</v>
      </c>
      <c r="J614" s="99">
        <v>12</v>
      </c>
      <c r="K614" s="99">
        <v>15</v>
      </c>
      <c r="L614" s="99">
        <v>78</v>
      </c>
      <c r="M614" s="99">
        <v>79</v>
      </c>
      <c r="N614" s="99">
        <v>-2</v>
      </c>
    </row>
    <row r="615" spans="1:17" ht="17.5" customHeight="1">
      <c r="A615" s="109" t="s">
        <v>7047</v>
      </c>
      <c r="B615" s="109" t="s">
        <v>7048</v>
      </c>
      <c r="C615" s="98">
        <v>2009</v>
      </c>
      <c r="D615" s="99">
        <v>670</v>
      </c>
      <c r="E615" s="99">
        <v>686</v>
      </c>
      <c r="F615" s="99">
        <v>212</v>
      </c>
      <c r="G615" s="99">
        <v>472</v>
      </c>
      <c r="H615" s="99">
        <v>140</v>
      </c>
      <c r="I615" s="99">
        <v>-2</v>
      </c>
      <c r="J615" s="99">
        <v>11</v>
      </c>
      <c r="K615" s="99">
        <v>12</v>
      </c>
      <c r="L615" s="99">
        <v>67</v>
      </c>
      <c r="M615" s="99">
        <v>69</v>
      </c>
      <c r="N615" s="99">
        <v>-2</v>
      </c>
      <c r="O615" s="110"/>
      <c r="P615" s="110"/>
      <c r="Q615" s="110"/>
    </row>
    <row r="616" spans="1:17" ht="17.5" customHeight="1">
      <c r="A616" s="109" t="s">
        <v>7047</v>
      </c>
      <c r="B616" s="109" t="s">
        <v>7048</v>
      </c>
      <c r="C616" s="98">
        <v>2010</v>
      </c>
      <c r="D616" s="99">
        <v>692</v>
      </c>
      <c r="E616" s="99">
        <v>748</v>
      </c>
      <c r="F616" s="99">
        <v>296</v>
      </c>
      <c r="G616" s="99">
        <v>468</v>
      </c>
      <c r="H616" s="99">
        <v>170</v>
      </c>
      <c r="I616" s="99">
        <v>19</v>
      </c>
      <c r="J616" s="99">
        <v>24</v>
      </c>
      <c r="K616" s="99">
        <v>5</v>
      </c>
      <c r="L616" s="99">
        <v>80</v>
      </c>
      <c r="M616" s="99">
        <v>65</v>
      </c>
      <c r="N616" s="99">
        <v>16</v>
      </c>
      <c r="O616" s="110"/>
      <c r="P616" s="110"/>
      <c r="Q616" s="110"/>
    </row>
    <row r="617" spans="1:17" ht="17.5" customHeight="1">
      <c r="A617" s="109" t="s">
        <v>7047</v>
      </c>
      <c r="B617" s="109" t="s">
        <v>7048</v>
      </c>
      <c r="C617" s="98">
        <v>2011</v>
      </c>
      <c r="D617" s="99">
        <v>713</v>
      </c>
      <c r="E617" s="99">
        <v>697</v>
      </c>
      <c r="F617" s="99">
        <v>273</v>
      </c>
      <c r="G617" s="99">
        <v>439</v>
      </c>
      <c r="H617" s="99">
        <v>166</v>
      </c>
      <c r="I617" s="99">
        <v>17</v>
      </c>
      <c r="J617" s="99">
        <v>18</v>
      </c>
      <c r="K617" s="99">
        <v>1</v>
      </c>
      <c r="L617" s="99">
        <v>93</v>
      </c>
      <c r="M617" s="99">
        <v>78</v>
      </c>
      <c r="N617" s="99">
        <v>15</v>
      </c>
      <c r="O617" s="110"/>
      <c r="P617" s="110"/>
      <c r="Q617" s="110"/>
    </row>
    <row r="618" spans="1:17" ht="17.5" customHeight="1">
      <c r="A618" s="109" t="s">
        <v>7047</v>
      </c>
      <c r="B618" s="109" t="s">
        <v>7048</v>
      </c>
      <c r="C618" s="111">
        <v>2012</v>
      </c>
      <c r="D618" s="112">
        <v>759</v>
      </c>
      <c r="E618" s="112">
        <v>657</v>
      </c>
      <c r="F618" s="112">
        <v>394</v>
      </c>
      <c r="G618" s="112">
        <v>263</v>
      </c>
      <c r="H618" s="112">
        <v>121</v>
      </c>
      <c r="I618" s="112">
        <v>30</v>
      </c>
      <c r="J618" s="112">
        <v>32</v>
      </c>
      <c r="K618" s="112">
        <v>2</v>
      </c>
      <c r="L618" s="112">
        <v>40</v>
      </c>
      <c r="M618" s="112">
        <v>38</v>
      </c>
      <c r="N618" s="112">
        <v>2</v>
      </c>
      <c r="O618" s="110"/>
      <c r="P618" s="110"/>
      <c r="Q618" s="110"/>
    </row>
    <row r="619" spans="1:17" ht="17.5" customHeight="1">
      <c r="A619" s="109" t="s">
        <v>7047</v>
      </c>
      <c r="B619" s="109" t="s">
        <v>7048</v>
      </c>
      <c r="C619" s="113">
        <v>2013</v>
      </c>
      <c r="D619" s="112">
        <v>808</v>
      </c>
      <c r="E619" s="112">
        <v>584</v>
      </c>
      <c r="F619" s="112">
        <v>367</v>
      </c>
      <c r="G619" s="112">
        <v>221</v>
      </c>
      <c r="H619" s="112">
        <v>128</v>
      </c>
      <c r="I619" s="112">
        <v>16</v>
      </c>
      <c r="J619" s="112">
        <v>16</v>
      </c>
      <c r="K619" s="112">
        <v>1</v>
      </c>
      <c r="L619" s="112">
        <v>28</v>
      </c>
      <c r="M619" s="112">
        <v>25</v>
      </c>
      <c r="N619" s="112">
        <v>4</v>
      </c>
    </row>
    <row r="620" spans="1:17" ht="17.5" customHeight="1">
      <c r="A620" s="109" t="s">
        <v>7047</v>
      </c>
      <c r="B620" s="109" t="s">
        <v>7048</v>
      </c>
      <c r="C620" s="113">
        <v>2014</v>
      </c>
      <c r="D620" s="99">
        <v>859</v>
      </c>
      <c r="E620" s="99">
        <v>688</v>
      </c>
      <c r="F620" s="99">
        <v>328</v>
      </c>
      <c r="G620" s="99">
        <v>365</v>
      </c>
      <c r="H620" s="99">
        <v>142</v>
      </c>
      <c r="I620" s="99">
        <v>24</v>
      </c>
      <c r="J620" s="99">
        <v>24</v>
      </c>
      <c r="K620" s="99">
        <v>1</v>
      </c>
      <c r="L620" s="99">
        <v>54</v>
      </c>
      <c r="M620" s="99">
        <v>48</v>
      </c>
      <c r="N620" s="99">
        <v>5</v>
      </c>
      <c r="O620" s="110"/>
      <c r="P620" s="110"/>
      <c r="Q620" s="110"/>
    </row>
    <row r="621" spans="1:17" ht="17.5" customHeight="1">
      <c r="A621" s="109" t="s">
        <v>7047</v>
      </c>
      <c r="B621" s="109" t="s">
        <v>7048</v>
      </c>
      <c r="C621" s="113">
        <v>2015</v>
      </c>
      <c r="D621" s="112">
        <v>1006</v>
      </c>
      <c r="E621" s="112">
        <v>552</v>
      </c>
      <c r="F621" s="112">
        <v>364</v>
      </c>
      <c r="G621" s="112">
        <v>186</v>
      </c>
      <c r="H621" s="112">
        <v>102</v>
      </c>
      <c r="I621" s="112">
        <v>45</v>
      </c>
      <c r="J621" s="112">
        <v>45</v>
      </c>
      <c r="K621" s="112">
        <v>1</v>
      </c>
      <c r="L621" s="112">
        <v>24</v>
      </c>
      <c r="M621" s="112">
        <v>26</v>
      </c>
      <c r="N621" s="112">
        <v>-2</v>
      </c>
    </row>
    <row r="622" spans="1:17" s="117" customFormat="1" ht="17.5" customHeight="1">
      <c r="A622" s="109" t="s">
        <v>7047</v>
      </c>
      <c r="B622" s="109" t="s">
        <v>7048</v>
      </c>
      <c r="C622" s="113">
        <v>2016</v>
      </c>
      <c r="D622" s="112">
        <v>1052</v>
      </c>
      <c r="E622" s="112">
        <v>706</v>
      </c>
      <c r="F622" s="112">
        <v>349</v>
      </c>
      <c r="G622" s="112">
        <v>371</v>
      </c>
      <c r="H622" s="112">
        <v>156</v>
      </c>
      <c r="I622" s="112">
        <v>19</v>
      </c>
      <c r="J622" s="112">
        <v>22</v>
      </c>
      <c r="K622" s="112">
        <v>3</v>
      </c>
      <c r="L622" s="112">
        <v>62</v>
      </c>
      <c r="M622" s="112">
        <v>47</v>
      </c>
      <c r="N622" s="112">
        <v>16</v>
      </c>
      <c r="O622" s="100"/>
      <c r="P622" s="100"/>
      <c r="Q622" s="100"/>
    </row>
    <row r="623" spans="1:17" s="117" customFormat="1" ht="17.5" customHeight="1">
      <c r="A623" s="109" t="s">
        <v>7047</v>
      </c>
      <c r="B623" s="109" t="s">
        <v>7048</v>
      </c>
      <c r="C623" s="113">
        <v>2017</v>
      </c>
      <c r="D623" s="112">
        <v>1016</v>
      </c>
      <c r="E623" s="112">
        <v>581</v>
      </c>
      <c r="F623" s="112">
        <v>229</v>
      </c>
      <c r="G623" s="112">
        <v>347</v>
      </c>
      <c r="H623" s="112">
        <v>144</v>
      </c>
      <c r="I623" s="112">
        <v>15</v>
      </c>
      <c r="J623" s="112">
        <v>17</v>
      </c>
      <c r="K623" s="112">
        <v>2</v>
      </c>
      <c r="L623" s="112">
        <v>62</v>
      </c>
      <c r="M623" s="112">
        <v>63</v>
      </c>
      <c r="N623" s="112">
        <v>-1</v>
      </c>
      <c r="O623" s="110"/>
      <c r="P623" s="110"/>
      <c r="Q623" s="110"/>
    </row>
    <row r="624" spans="1:17" s="117" customFormat="1" ht="17.5" customHeight="1">
      <c r="A624" s="109" t="s">
        <v>7047</v>
      </c>
      <c r="B624" s="109" t="s">
        <v>7048</v>
      </c>
      <c r="C624" s="113">
        <v>2018</v>
      </c>
      <c r="D624" s="112">
        <v>1040</v>
      </c>
      <c r="E624" s="112">
        <v>586</v>
      </c>
      <c r="F624" s="112">
        <v>367</v>
      </c>
      <c r="G624" s="112">
        <v>299</v>
      </c>
      <c r="H624" s="112">
        <v>151</v>
      </c>
      <c r="I624" s="112">
        <v>10</v>
      </c>
      <c r="J624" s="112">
        <v>23</v>
      </c>
      <c r="K624" s="112">
        <v>13</v>
      </c>
      <c r="L624" s="112">
        <v>70</v>
      </c>
      <c r="M624" s="112">
        <v>64</v>
      </c>
      <c r="N624" s="112">
        <v>6</v>
      </c>
      <c r="O624" s="110"/>
      <c r="P624" s="110"/>
      <c r="Q624" s="110"/>
    </row>
    <row r="625" spans="1:17" s="117" customFormat="1" ht="17.5" customHeight="1">
      <c r="A625" s="109" t="s">
        <v>7047</v>
      </c>
      <c r="B625" s="109" t="s">
        <v>7048</v>
      </c>
      <c r="C625" s="113">
        <v>2019</v>
      </c>
      <c r="D625" s="112">
        <v>1062</v>
      </c>
      <c r="E625" s="112">
        <v>546.76537099999996</v>
      </c>
      <c r="F625" s="112">
        <v>276.16790700000001</v>
      </c>
      <c r="G625" s="112">
        <v>268.33990699999998</v>
      </c>
      <c r="H625" s="112">
        <v>152.98464999999999</v>
      </c>
      <c r="I625" s="112">
        <v>19.386403999999999</v>
      </c>
      <c r="J625" s="112">
        <v>20.149107999999998</v>
      </c>
      <c r="K625" s="112">
        <v>0.76270499999999997</v>
      </c>
      <c r="L625" s="112">
        <v>26.560295</v>
      </c>
      <c r="M625" s="112">
        <v>29.121561</v>
      </c>
      <c r="N625" s="112">
        <v>-2.5612659999999998</v>
      </c>
      <c r="O625" s="100"/>
      <c r="P625" s="100"/>
      <c r="Q625" s="100"/>
    </row>
    <row r="626" spans="1:17" s="117" customFormat="1" ht="17.5" customHeight="1">
      <c r="A626" s="114" t="s">
        <v>7047</v>
      </c>
      <c r="B626" s="114" t="s">
        <v>7048</v>
      </c>
      <c r="C626" s="113">
        <v>2020</v>
      </c>
      <c r="D626" s="112">
        <v>1070</v>
      </c>
      <c r="E626" s="112">
        <v>645.37269100000003</v>
      </c>
      <c r="F626" s="112">
        <v>247.865273</v>
      </c>
      <c r="G626" s="112">
        <v>430.60670900000002</v>
      </c>
      <c r="H626" s="112">
        <v>151.35836399999999</v>
      </c>
      <c r="I626" s="112">
        <v>31.991040999999999</v>
      </c>
      <c r="J626" s="112">
        <v>32.508403000000001</v>
      </c>
      <c r="K626" s="112">
        <v>0.51736199999999999</v>
      </c>
      <c r="L626" s="112">
        <v>46.406937999999997</v>
      </c>
      <c r="M626" s="112">
        <v>31.907623000000001</v>
      </c>
      <c r="N626" s="112">
        <v>14.499314</v>
      </c>
      <c r="O626" s="100"/>
      <c r="P626" s="100"/>
      <c r="Q626" s="100"/>
    </row>
    <row r="627" spans="1:17" s="117" customFormat="1" ht="17.5" customHeight="1">
      <c r="A627" s="109" t="s">
        <v>7049</v>
      </c>
      <c r="B627" s="109" t="s">
        <v>7050</v>
      </c>
      <c r="C627" s="98">
        <v>2008</v>
      </c>
      <c r="D627" s="99">
        <v>3190</v>
      </c>
      <c r="E627" s="99">
        <v>3988</v>
      </c>
      <c r="F627" s="99">
        <v>1525</v>
      </c>
      <c r="G627" s="99">
        <v>2507</v>
      </c>
      <c r="H627" s="99">
        <v>872</v>
      </c>
      <c r="I627" s="99">
        <v>90</v>
      </c>
      <c r="J627" s="99">
        <v>104</v>
      </c>
      <c r="K627" s="99">
        <v>14</v>
      </c>
      <c r="L627" s="99">
        <v>519</v>
      </c>
      <c r="M627" s="99">
        <v>491</v>
      </c>
      <c r="N627" s="99">
        <v>28</v>
      </c>
      <c r="O627" s="110"/>
      <c r="P627" s="110"/>
      <c r="Q627" s="110"/>
    </row>
    <row r="628" spans="1:17" s="117" customFormat="1" ht="17.5" customHeight="1">
      <c r="A628" s="109" t="s">
        <v>7049</v>
      </c>
      <c r="B628" s="109" t="s">
        <v>7050</v>
      </c>
      <c r="C628" s="98">
        <v>2009</v>
      </c>
      <c r="D628" s="99">
        <v>3032</v>
      </c>
      <c r="E628" s="99">
        <v>3487</v>
      </c>
      <c r="F628" s="99">
        <v>1398</v>
      </c>
      <c r="G628" s="99">
        <v>2072</v>
      </c>
      <c r="H628" s="99">
        <v>793</v>
      </c>
      <c r="I628" s="99">
        <v>71</v>
      </c>
      <c r="J628" s="99">
        <v>81</v>
      </c>
      <c r="K628" s="99">
        <v>10</v>
      </c>
      <c r="L628" s="99">
        <v>412</v>
      </c>
      <c r="M628" s="99">
        <v>421</v>
      </c>
      <c r="N628" s="99">
        <v>-9</v>
      </c>
      <c r="O628" s="110"/>
      <c r="P628" s="110"/>
      <c r="Q628" s="110"/>
    </row>
    <row r="629" spans="1:17" s="117" customFormat="1" ht="17.5" customHeight="1">
      <c r="A629" s="109" t="s">
        <v>7049</v>
      </c>
      <c r="B629" s="109" t="s">
        <v>7050</v>
      </c>
      <c r="C629" s="98">
        <v>2010</v>
      </c>
      <c r="D629" s="99">
        <v>2897</v>
      </c>
      <c r="E629" s="99">
        <v>3428</v>
      </c>
      <c r="F629" s="99">
        <v>1240</v>
      </c>
      <c r="G629" s="99">
        <v>2214</v>
      </c>
      <c r="H629" s="99">
        <v>723</v>
      </c>
      <c r="I629" s="99">
        <v>50</v>
      </c>
      <c r="J629" s="99">
        <v>82</v>
      </c>
      <c r="K629" s="99">
        <v>32</v>
      </c>
      <c r="L629" s="99">
        <v>446</v>
      </c>
      <c r="M629" s="99">
        <v>408</v>
      </c>
      <c r="N629" s="99">
        <v>38</v>
      </c>
      <c r="O629" s="110"/>
      <c r="P629" s="110"/>
      <c r="Q629" s="110"/>
    </row>
    <row r="630" spans="1:17" s="117" customFormat="1" ht="17.5" customHeight="1">
      <c r="A630" s="109" t="s">
        <v>7049</v>
      </c>
      <c r="B630" s="109" t="s">
        <v>7050</v>
      </c>
      <c r="C630" s="98">
        <v>2011</v>
      </c>
      <c r="D630" s="99">
        <v>2810</v>
      </c>
      <c r="E630" s="99">
        <v>3583</v>
      </c>
      <c r="F630" s="99">
        <v>1209</v>
      </c>
      <c r="G630" s="99">
        <v>2384</v>
      </c>
      <c r="H630" s="99">
        <v>738</v>
      </c>
      <c r="I630" s="99">
        <v>106</v>
      </c>
      <c r="J630" s="99">
        <v>119</v>
      </c>
      <c r="K630" s="99">
        <v>13</v>
      </c>
      <c r="L630" s="99">
        <v>425</v>
      </c>
      <c r="M630" s="99">
        <v>408</v>
      </c>
      <c r="N630" s="99">
        <v>17</v>
      </c>
      <c r="O630" s="110"/>
      <c r="P630" s="110"/>
      <c r="Q630" s="110"/>
    </row>
    <row r="631" spans="1:17" s="117" customFormat="1" ht="17.5" customHeight="1">
      <c r="A631" s="109" t="s">
        <v>7049</v>
      </c>
      <c r="B631" s="109" t="s">
        <v>7050</v>
      </c>
      <c r="C631" s="111">
        <v>2012</v>
      </c>
      <c r="D631" s="112">
        <v>2695</v>
      </c>
      <c r="E631" s="112">
        <v>3715</v>
      </c>
      <c r="F631" s="112">
        <v>1559</v>
      </c>
      <c r="G631" s="112">
        <v>2147</v>
      </c>
      <c r="H631" s="112">
        <v>769</v>
      </c>
      <c r="I631" s="112">
        <v>89</v>
      </c>
      <c r="J631" s="112">
        <v>97</v>
      </c>
      <c r="K631" s="112">
        <v>8</v>
      </c>
      <c r="L631" s="112">
        <v>440</v>
      </c>
      <c r="M631" s="112">
        <v>448</v>
      </c>
      <c r="N631" s="112">
        <v>-8</v>
      </c>
      <c r="O631" s="100"/>
      <c r="P631" s="100"/>
      <c r="Q631" s="100"/>
    </row>
    <row r="632" spans="1:17" s="117" customFormat="1" ht="17.5" customHeight="1">
      <c r="A632" s="109" t="s">
        <v>7049</v>
      </c>
      <c r="B632" s="109" t="s">
        <v>7050</v>
      </c>
      <c r="C632" s="113">
        <v>2013</v>
      </c>
      <c r="D632" s="112">
        <v>2704</v>
      </c>
      <c r="E632" s="112">
        <v>3734</v>
      </c>
      <c r="F632" s="112">
        <v>1400</v>
      </c>
      <c r="G632" s="112">
        <v>2306</v>
      </c>
      <c r="H632" s="112">
        <v>777</v>
      </c>
      <c r="I632" s="112">
        <v>61</v>
      </c>
      <c r="J632" s="112">
        <v>70</v>
      </c>
      <c r="K632" s="112">
        <v>8</v>
      </c>
      <c r="L632" s="112">
        <v>471</v>
      </c>
      <c r="M632" s="112">
        <v>473</v>
      </c>
      <c r="N632" s="112">
        <v>-2</v>
      </c>
      <c r="O632" s="110"/>
      <c r="P632" s="110"/>
      <c r="Q632" s="110"/>
    </row>
    <row r="633" spans="1:17" s="117" customFormat="1" ht="17.5" customHeight="1">
      <c r="A633" s="109" t="s">
        <v>7049</v>
      </c>
      <c r="B633" s="109" t="s">
        <v>7050</v>
      </c>
      <c r="C633" s="113">
        <v>2014</v>
      </c>
      <c r="D633" s="99">
        <v>2686</v>
      </c>
      <c r="E633" s="99">
        <v>3576</v>
      </c>
      <c r="F633" s="99">
        <v>1252</v>
      </c>
      <c r="G633" s="99">
        <v>2351</v>
      </c>
      <c r="H633" s="99">
        <v>804</v>
      </c>
      <c r="I633" s="99">
        <v>92</v>
      </c>
      <c r="J633" s="99">
        <v>109</v>
      </c>
      <c r="K633" s="99">
        <v>17</v>
      </c>
      <c r="L633" s="99">
        <v>448</v>
      </c>
      <c r="M633" s="99">
        <v>414</v>
      </c>
      <c r="N633" s="99">
        <v>34</v>
      </c>
      <c r="O633" s="100"/>
      <c r="P633" s="100"/>
      <c r="Q633" s="100"/>
    </row>
    <row r="634" spans="1:17" s="117" customFormat="1" ht="17.5" customHeight="1">
      <c r="A634" s="109" t="s">
        <v>7049</v>
      </c>
      <c r="B634" s="109" t="s">
        <v>7050</v>
      </c>
      <c r="C634" s="113">
        <v>2015</v>
      </c>
      <c r="D634" s="112">
        <v>2736</v>
      </c>
      <c r="E634" s="112">
        <v>4008</v>
      </c>
      <c r="F634" s="112">
        <v>1431</v>
      </c>
      <c r="G634" s="112">
        <v>2605</v>
      </c>
      <c r="H634" s="112">
        <v>801</v>
      </c>
      <c r="I634" s="112">
        <v>163</v>
      </c>
      <c r="J634" s="112">
        <v>171</v>
      </c>
      <c r="K634" s="112">
        <v>8</v>
      </c>
      <c r="L634" s="112">
        <v>478</v>
      </c>
      <c r="M634" s="112">
        <v>443</v>
      </c>
      <c r="N634" s="112">
        <v>36</v>
      </c>
      <c r="O634" s="100"/>
      <c r="P634" s="100"/>
      <c r="Q634" s="100"/>
    </row>
    <row r="635" spans="1:17" s="117" customFormat="1" ht="17.5" customHeight="1">
      <c r="A635" s="109" t="s">
        <v>7049</v>
      </c>
      <c r="B635" s="109" t="s">
        <v>7050</v>
      </c>
      <c r="C635" s="113">
        <v>2016</v>
      </c>
      <c r="D635" s="112">
        <v>2793</v>
      </c>
      <c r="E635" s="112">
        <v>3936</v>
      </c>
      <c r="F635" s="112">
        <v>1518</v>
      </c>
      <c r="G635" s="112">
        <v>2435</v>
      </c>
      <c r="H635" s="112">
        <v>917</v>
      </c>
      <c r="I635" s="112">
        <v>114</v>
      </c>
      <c r="J635" s="112">
        <v>131</v>
      </c>
      <c r="K635" s="112">
        <v>18</v>
      </c>
      <c r="L635" s="112">
        <v>474</v>
      </c>
      <c r="M635" s="112">
        <v>456</v>
      </c>
      <c r="N635" s="112">
        <v>19</v>
      </c>
      <c r="O635" s="110"/>
      <c r="P635" s="110"/>
      <c r="Q635" s="110"/>
    </row>
    <row r="636" spans="1:17" s="117" customFormat="1" ht="17.5" customHeight="1">
      <c r="A636" s="109" t="s">
        <v>7049</v>
      </c>
      <c r="B636" s="109" t="s">
        <v>7050</v>
      </c>
      <c r="C636" s="113">
        <v>2017</v>
      </c>
      <c r="D636" s="112">
        <v>2879</v>
      </c>
      <c r="E636" s="112">
        <v>4125</v>
      </c>
      <c r="F636" s="112">
        <v>1786</v>
      </c>
      <c r="G636" s="112">
        <v>2397</v>
      </c>
      <c r="H636" s="112">
        <v>941</v>
      </c>
      <c r="I636" s="112">
        <v>108</v>
      </c>
      <c r="J636" s="112">
        <v>175</v>
      </c>
      <c r="K636" s="112">
        <v>67</v>
      </c>
      <c r="L636" s="112">
        <v>495</v>
      </c>
      <c r="M636" s="112">
        <v>447</v>
      </c>
      <c r="N636" s="112">
        <v>49</v>
      </c>
      <c r="O636" s="110"/>
      <c r="P636" s="110"/>
      <c r="Q636" s="110"/>
    </row>
    <row r="637" spans="1:17" s="117" customFormat="1" ht="17.5" customHeight="1">
      <c r="A637" s="109" t="s">
        <v>7049</v>
      </c>
      <c r="B637" s="109" t="s">
        <v>7050</v>
      </c>
      <c r="C637" s="113">
        <v>2018</v>
      </c>
      <c r="D637" s="112">
        <v>3043</v>
      </c>
      <c r="E637" s="112">
        <v>4347</v>
      </c>
      <c r="F637" s="112">
        <v>1629</v>
      </c>
      <c r="G637" s="112">
        <v>2729</v>
      </c>
      <c r="H637" s="112">
        <v>889</v>
      </c>
      <c r="I637" s="112">
        <v>100</v>
      </c>
      <c r="J637" s="112">
        <v>127</v>
      </c>
      <c r="K637" s="112">
        <v>27</v>
      </c>
      <c r="L637" s="112">
        <v>581</v>
      </c>
      <c r="M637" s="112">
        <v>549</v>
      </c>
      <c r="N637" s="112">
        <v>32</v>
      </c>
      <c r="O637" s="100"/>
      <c r="P637" s="100"/>
      <c r="Q637" s="100"/>
    </row>
    <row r="638" spans="1:17" s="117" customFormat="1" ht="17.5" customHeight="1">
      <c r="A638" s="109" t="s">
        <v>7049</v>
      </c>
      <c r="B638" s="109" t="s">
        <v>7050</v>
      </c>
      <c r="C638" s="113">
        <v>2019</v>
      </c>
      <c r="D638" s="112">
        <v>2932</v>
      </c>
      <c r="E638" s="112">
        <v>4575.9166340000002</v>
      </c>
      <c r="F638" s="112">
        <v>1773.214119</v>
      </c>
      <c r="G638" s="112">
        <v>2806.9739709999999</v>
      </c>
      <c r="H638" s="112">
        <v>1015.9275699999999</v>
      </c>
      <c r="I638" s="112">
        <v>167.737866</v>
      </c>
      <c r="J638" s="112">
        <v>180.48102800000001</v>
      </c>
      <c r="K638" s="112">
        <v>12.743162</v>
      </c>
      <c r="L638" s="112">
        <v>539.92624599999999</v>
      </c>
      <c r="M638" s="112">
        <v>528.32986100000005</v>
      </c>
      <c r="N638" s="112">
        <v>11.596385</v>
      </c>
      <c r="O638" s="100"/>
      <c r="P638" s="100"/>
      <c r="Q638" s="100"/>
    </row>
    <row r="639" spans="1:17" s="117" customFormat="1" ht="17.5" customHeight="1">
      <c r="A639" s="114" t="s">
        <v>7049</v>
      </c>
      <c r="B639" s="114" t="s">
        <v>7050</v>
      </c>
      <c r="C639" s="113">
        <v>2020</v>
      </c>
      <c r="D639" s="112">
        <v>2889</v>
      </c>
      <c r="E639" s="112">
        <v>3936.3056019999999</v>
      </c>
      <c r="F639" s="112">
        <v>1587.970188</v>
      </c>
      <c r="G639" s="112">
        <v>2369.477879</v>
      </c>
      <c r="H639" s="112">
        <v>897.38427200000001</v>
      </c>
      <c r="I639" s="112">
        <v>158.94675899999999</v>
      </c>
      <c r="J639" s="112">
        <v>168.191598</v>
      </c>
      <c r="K639" s="112">
        <v>9.2448390000000007</v>
      </c>
      <c r="L639" s="112">
        <v>529.52937599999996</v>
      </c>
      <c r="M639" s="112">
        <v>508.403032</v>
      </c>
      <c r="N639" s="112">
        <v>21.126344</v>
      </c>
      <c r="O639" s="110"/>
      <c r="P639" s="110"/>
      <c r="Q639" s="110"/>
    </row>
    <row r="640" spans="1:17" s="117" customFormat="1" ht="17.5" customHeight="1">
      <c r="A640" s="109" t="s">
        <v>7051</v>
      </c>
      <c r="B640" s="109" t="s">
        <v>7052</v>
      </c>
      <c r="C640" s="98">
        <v>2008</v>
      </c>
      <c r="D640" s="99">
        <v>114</v>
      </c>
      <c r="E640" s="99">
        <v>175</v>
      </c>
      <c r="F640" s="99">
        <v>53</v>
      </c>
      <c r="G640" s="99">
        <v>126</v>
      </c>
      <c r="H640" s="99">
        <v>32</v>
      </c>
      <c r="I640" s="99">
        <v>4</v>
      </c>
      <c r="J640" s="99">
        <v>5</v>
      </c>
      <c r="K640" s="99">
        <v>1</v>
      </c>
      <c r="L640" s="99">
        <v>15</v>
      </c>
      <c r="M640" s="99">
        <v>12</v>
      </c>
      <c r="N640" s="99">
        <v>4</v>
      </c>
      <c r="O640" s="110"/>
      <c r="P640" s="110"/>
      <c r="Q640" s="110"/>
    </row>
    <row r="641" spans="1:17" s="117" customFormat="1" ht="17.5" customHeight="1">
      <c r="A641" s="109" t="s">
        <v>7051</v>
      </c>
      <c r="B641" s="109" t="s">
        <v>7052</v>
      </c>
      <c r="C641" s="98">
        <v>2009</v>
      </c>
      <c r="D641" s="99">
        <v>101</v>
      </c>
      <c r="E641" s="99">
        <v>152</v>
      </c>
      <c r="F641" s="99">
        <v>57</v>
      </c>
      <c r="G641" s="99">
        <v>94</v>
      </c>
      <c r="H641" s="99">
        <v>26</v>
      </c>
      <c r="I641" s="99">
        <v>2</v>
      </c>
      <c r="J641" s="99">
        <v>2</v>
      </c>
      <c r="K641" s="99" t="s">
        <v>6952</v>
      </c>
      <c r="L641" s="99">
        <v>13</v>
      </c>
      <c r="M641" s="99">
        <v>14</v>
      </c>
      <c r="N641" s="99">
        <v>-1</v>
      </c>
      <c r="O641" s="110"/>
      <c r="P641" s="110"/>
      <c r="Q641" s="110"/>
    </row>
    <row r="642" spans="1:17" s="117" customFormat="1" ht="17.5" customHeight="1">
      <c r="A642" s="109" t="s">
        <v>7051</v>
      </c>
      <c r="B642" s="109" t="s">
        <v>7052</v>
      </c>
      <c r="C642" s="98">
        <v>2010</v>
      </c>
      <c r="D642" s="99">
        <v>92</v>
      </c>
      <c r="E642" s="99">
        <v>151</v>
      </c>
      <c r="F642" s="99">
        <v>48</v>
      </c>
      <c r="G642" s="99">
        <v>101</v>
      </c>
      <c r="H642" s="99">
        <v>25</v>
      </c>
      <c r="I642" s="99" t="s">
        <v>6953</v>
      </c>
      <c r="J642" s="99" t="s">
        <v>6953</v>
      </c>
      <c r="K642" s="99">
        <v>1</v>
      </c>
      <c r="L642" s="99">
        <v>12</v>
      </c>
      <c r="M642" s="99">
        <v>14</v>
      </c>
      <c r="N642" s="99">
        <v>-2</v>
      </c>
      <c r="O642" s="110"/>
      <c r="P642" s="110"/>
      <c r="Q642" s="110"/>
    </row>
    <row r="643" spans="1:17" s="117" customFormat="1" ht="17.5" customHeight="1">
      <c r="A643" s="109" t="s">
        <v>7051</v>
      </c>
      <c r="B643" s="109" t="s">
        <v>7052</v>
      </c>
      <c r="C643" s="98">
        <v>2011</v>
      </c>
      <c r="D643" s="99">
        <v>93</v>
      </c>
      <c r="E643" s="99">
        <v>174</v>
      </c>
      <c r="F643" s="99">
        <v>46</v>
      </c>
      <c r="G643" s="99">
        <v>128</v>
      </c>
      <c r="H643" s="99">
        <v>29</v>
      </c>
      <c r="I643" s="99">
        <v>3</v>
      </c>
      <c r="J643" s="99" t="s">
        <v>6953</v>
      </c>
      <c r="K643" s="99" t="s">
        <v>6953</v>
      </c>
      <c r="L643" s="99">
        <v>19</v>
      </c>
      <c r="M643" s="99">
        <v>18</v>
      </c>
      <c r="N643" s="99">
        <v>1</v>
      </c>
      <c r="O643" s="100"/>
      <c r="P643" s="100"/>
      <c r="Q643" s="100"/>
    </row>
    <row r="644" spans="1:17" s="117" customFormat="1" ht="17.5" customHeight="1">
      <c r="A644" s="109" t="s">
        <v>7051</v>
      </c>
      <c r="B644" s="109" t="s">
        <v>7052</v>
      </c>
      <c r="C644" s="111">
        <v>2012</v>
      </c>
      <c r="D644" s="112">
        <v>77</v>
      </c>
      <c r="E644" s="112">
        <v>168</v>
      </c>
      <c r="F644" s="112">
        <v>58</v>
      </c>
      <c r="G644" s="112">
        <v>109</v>
      </c>
      <c r="H644" s="112">
        <v>27</v>
      </c>
      <c r="I644" s="112">
        <v>2</v>
      </c>
      <c r="J644" s="112">
        <v>2</v>
      </c>
      <c r="K644" s="112" t="s">
        <v>6952</v>
      </c>
      <c r="L644" s="112">
        <v>21</v>
      </c>
      <c r="M644" s="112">
        <v>23</v>
      </c>
      <c r="N644" s="112">
        <v>-1</v>
      </c>
      <c r="O644" s="110"/>
      <c r="P644" s="110"/>
      <c r="Q644" s="110"/>
    </row>
    <row r="645" spans="1:17" s="117" customFormat="1" ht="17.5" customHeight="1">
      <c r="A645" s="109" t="s">
        <v>7051</v>
      </c>
      <c r="B645" s="109" t="s">
        <v>7052</v>
      </c>
      <c r="C645" s="113">
        <v>2013</v>
      </c>
      <c r="D645" s="112">
        <v>80</v>
      </c>
      <c r="E645" s="112">
        <v>179</v>
      </c>
      <c r="F645" s="112">
        <v>67</v>
      </c>
      <c r="G645" s="112">
        <v>114</v>
      </c>
      <c r="H645" s="112">
        <v>27</v>
      </c>
      <c r="I645" s="112">
        <v>4</v>
      </c>
      <c r="J645" s="112">
        <v>4</v>
      </c>
      <c r="K645" s="112" t="s">
        <v>6952</v>
      </c>
      <c r="L645" s="112">
        <v>24</v>
      </c>
      <c r="M645" s="112">
        <v>21</v>
      </c>
      <c r="N645" s="112">
        <v>3</v>
      </c>
      <c r="O645" s="100"/>
      <c r="P645" s="100"/>
      <c r="Q645" s="100"/>
    </row>
    <row r="646" spans="1:17" s="117" customFormat="1" ht="17.5" customHeight="1">
      <c r="A646" s="109" t="s">
        <v>7051</v>
      </c>
      <c r="B646" s="109" t="s">
        <v>7052</v>
      </c>
      <c r="C646" s="113">
        <v>2014</v>
      </c>
      <c r="D646" s="99">
        <v>77</v>
      </c>
      <c r="E646" s="99">
        <v>138</v>
      </c>
      <c r="F646" s="99">
        <v>35</v>
      </c>
      <c r="G646" s="99">
        <v>103</v>
      </c>
      <c r="H646" s="99">
        <v>27</v>
      </c>
      <c r="I646" s="99">
        <v>2</v>
      </c>
      <c r="J646" s="99">
        <v>2</v>
      </c>
      <c r="K646" s="99" t="s">
        <v>6952</v>
      </c>
      <c r="L646" s="99">
        <v>18</v>
      </c>
      <c r="M646" s="99">
        <v>18</v>
      </c>
      <c r="N646" s="99" t="s">
        <v>6952</v>
      </c>
      <c r="O646" s="100"/>
      <c r="P646" s="100"/>
      <c r="Q646" s="100"/>
    </row>
    <row r="647" spans="1:17" s="117" customFormat="1" ht="17.5" customHeight="1">
      <c r="A647" s="109" t="s">
        <v>7051</v>
      </c>
      <c r="B647" s="109" t="s">
        <v>7052</v>
      </c>
      <c r="C647" s="113">
        <v>2015</v>
      </c>
      <c r="D647" s="112">
        <v>69</v>
      </c>
      <c r="E647" s="112">
        <v>132</v>
      </c>
      <c r="F647" s="112">
        <v>33</v>
      </c>
      <c r="G647" s="112">
        <v>99</v>
      </c>
      <c r="H647" s="112">
        <v>24</v>
      </c>
      <c r="I647" s="112">
        <v>3</v>
      </c>
      <c r="J647" s="99" t="s">
        <v>6953</v>
      </c>
      <c r="K647" s="99" t="s">
        <v>6953</v>
      </c>
      <c r="L647" s="112">
        <v>18</v>
      </c>
      <c r="M647" s="112">
        <v>17</v>
      </c>
      <c r="N647" s="112">
        <v>1</v>
      </c>
      <c r="O647" s="110"/>
      <c r="P647" s="110"/>
      <c r="Q647" s="110"/>
    </row>
    <row r="648" spans="1:17" s="117" customFormat="1" ht="17.5" customHeight="1">
      <c r="A648" s="109" t="s">
        <v>7051</v>
      </c>
      <c r="B648" s="109" t="s">
        <v>7052</v>
      </c>
      <c r="C648" s="113">
        <v>2016</v>
      </c>
      <c r="D648" s="112">
        <v>62</v>
      </c>
      <c r="E648" s="112">
        <v>139</v>
      </c>
      <c r="F648" s="112">
        <v>47</v>
      </c>
      <c r="G648" s="112">
        <v>91</v>
      </c>
      <c r="H648" s="112">
        <v>29</v>
      </c>
      <c r="I648" s="112">
        <v>4</v>
      </c>
      <c r="J648" s="99" t="s">
        <v>6953</v>
      </c>
      <c r="K648" s="99" t="s">
        <v>6953</v>
      </c>
      <c r="L648" s="112">
        <v>16</v>
      </c>
      <c r="M648" s="112">
        <v>16</v>
      </c>
      <c r="N648" s="112" t="s">
        <v>6952</v>
      </c>
      <c r="O648" s="110"/>
      <c r="P648" s="110"/>
      <c r="Q648" s="110"/>
    </row>
    <row r="649" spans="1:17" s="117" customFormat="1" ht="17.5" customHeight="1">
      <c r="A649" s="109" t="s">
        <v>7051</v>
      </c>
      <c r="B649" s="109" t="s">
        <v>7052</v>
      </c>
      <c r="C649" s="113">
        <v>2017</v>
      </c>
      <c r="D649" s="112">
        <v>67</v>
      </c>
      <c r="E649" s="112">
        <v>171</v>
      </c>
      <c r="F649" s="112">
        <v>65</v>
      </c>
      <c r="G649" s="112">
        <v>112</v>
      </c>
      <c r="H649" s="112">
        <v>30</v>
      </c>
      <c r="I649" s="112">
        <v>5</v>
      </c>
      <c r="J649" s="112">
        <v>5</v>
      </c>
      <c r="K649" s="112" t="s">
        <v>6952</v>
      </c>
      <c r="L649" s="112">
        <v>26</v>
      </c>
      <c r="M649" s="112">
        <v>20</v>
      </c>
      <c r="N649" s="112">
        <v>6</v>
      </c>
      <c r="O649" s="100"/>
      <c r="P649" s="100"/>
      <c r="Q649" s="100"/>
    </row>
    <row r="650" spans="1:17" s="117" customFormat="1" ht="17.5" customHeight="1">
      <c r="A650" s="109" t="s">
        <v>7051</v>
      </c>
      <c r="B650" s="109" t="s">
        <v>7052</v>
      </c>
      <c r="C650" s="113">
        <v>2018</v>
      </c>
      <c r="D650" s="112">
        <v>62</v>
      </c>
      <c r="E650" s="112">
        <v>165</v>
      </c>
      <c r="F650" s="112">
        <v>53</v>
      </c>
      <c r="G650" s="112">
        <v>108</v>
      </c>
      <c r="H650" s="112">
        <v>31</v>
      </c>
      <c r="I650" s="112">
        <v>2</v>
      </c>
      <c r="J650" s="112">
        <v>4</v>
      </c>
      <c r="K650" s="112">
        <v>2</v>
      </c>
      <c r="L650" s="112">
        <v>21</v>
      </c>
      <c r="M650" s="112">
        <v>24</v>
      </c>
      <c r="N650" s="112">
        <v>-3</v>
      </c>
      <c r="O650" s="100"/>
      <c r="P650" s="100"/>
      <c r="Q650" s="100"/>
    </row>
    <row r="651" spans="1:17" s="117" customFormat="1" ht="17.5" customHeight="1">
      <c r="A651" s="109" t="s">
        <v>7051</v>
      </c>
      <c r="B651" s="109" t="s">
        <v>7052</v>
      </c>
      <c r="C651" s="113">
        <v>2019</v>
      </c>
      <c r="D651" s="112">
        <v>65</v>
      </c>
      <c r="E651" s="112">
        <v>140.488238</v>
      </c>
      <c r="F651" s="112">
        <v>55.146348000000003</v>
      </c>
      <c r="G651" s="112">
        <v>84.477204999999998</v>
      </c>
      <c r="H651" s="112">
        <v>25.090731999999999</v>
      </c>
      <c r="I651" s="112">
        <v>5.0231250000000003</v>
      </c>
      <c r="J651" s="112" t="s">
        <v>6953</v>
      </c>
      <c r="K651" s="112" t="s">
        <v>6953</v>
      </c>
      <c r="L651" s="112">
        <v>22.334968</v>
      </c>
      <c r="M651" s="112">
        <v>22.972270000000002</v>
      </c>
      <c r="N651" s="112">
        <v>-0.63730299999999995</v>
      </c>
      <c r="O651" s="110"/>
      <c r="P651" s="110"/>
      <c r="Q651" s="110"/>
    </row>
    <row r="652" spans="1:17" s="117" customFormat="1" ht="17.5" customHeight="1">
      <c r="A652" s="114" t="s">
        <v>7051</v>
      </c>
      <c r="B652" s="114" t="s">
        <v>7052</v>
      </c>
      <c r="C652" s="113">
        <v>2020</v>
      </c>
      <c r="D652" s="112">
        <v>74</v>
      </c>
      <c r="E652" s="112">
        <v>111.39870000000001</v>
      </c>
      <c r="F652" s="112">
        <v>41.859783</v>
      </c>
      <c r="G652" s="112">
        <v>69.815462999999994</v>
      </c>
      <c r="H652" s="112">
        <v>20.33588</v>
      </c>
      <c r="I652" s="112">
        <v>1.8731150000000001</v>
      </c>
      <c r="J652" s="112">
        <v>2.3719570000000001</v>
      </c>
      <c r="K652" s="112" t="s">
        <v>6952</v>
      </c>
      <c r="L652" s="112">
        <v>20.902194000000001</v>
      </c>
      <c r="M652" s="112">
        <v>20.459136000000001</v>
      </c>
      <c r="N652" s="112" t="s">
        <v>6952</v>
      </c>
      <c r="O652" s="110"/>
      <c r="P652" s="110"/>
      <c r="Q652" s="110"/>
    </row>
    <row r="653" spans="1:17" s="117" customFormat="1" ht="31.75" customHeight="1">
      <c r="A653" s="109" t="s">
        <v>7053</v>
      </c>
      <c r="B653" s="109" t="s">
        <v>7054</v>
      </c>
      <c r="C653" s="98">
        <v>2008</v>
      </c>
      <c r="D653" s="99">
        <v>2092</v>
      </c>
      <c r="E653" s="99">
        <v>1908</v>
      </c>
      <c r="F653" s="99">
        <v>812</v>
      </c>
      <c r="G653" s="99">
        <v>1101</v>
      </c>
      <c r="H653" s="99">
        <v>430</v>
      </c>
      <c r="I653" s="99">
        <v>25</v>
      </c>
      <c r="J653" s="99">
        <v>29</v>
      </c>
      <c r="K653" s="99">
        <v>3</v>
      </c>
      <c r="L653" s="99">
        <v>179</v>
      </c>
      <c r="M653" s="99">
        <v>181</v>
      </c>
      <c r="N653" s="99">
        <v>-1</v>
      </c>
      <c r="O653" s="110"/>
      <c r="P653" s="110"/>
      <c r="Q653" s="110"/>
    </row>
    <row r="654" spans="1:17" s="117" customFormat="1" ht="31.75" customHeight="1">
      <c r="A654" s="109" t="s">
        <v>7053</v>
      </c>
      <c r="B654" s="109" t="s">
        <v>7054</v>
      </c>
      <c r="C654" s="98">
        <v>2009</v>
      </c>
      <c r="D654" s="99">
        <v>2040</v>
      </c>
      <c r="E654" s="99">
        <v>1695</v>
      </c>
      <c r="F654" s="99">
        <v>801</v>
      </c>
      <c r="G654" s="99">
        <v>890</v>
      </c>
      <c r="H654" s="99">
        <v>370</v>
      </c>
      <c r="I654" s="99">
        <v>28</v>
      </c>
      <c r="J654" s="99">
        <v>30</v>
      </c>
      <c r="K654" s="99">
        <v>2</v>
      </c>
      <c r="L654" s="99">
        <v>155</v>
      </c>
      <c r="M654" s="99">
        <v>153</v>
      </c>
      <c r="N654" s="99">
        <v>1</v>
      </c>
      <c r="O654" s="110"/>
      <c r="P654" s="110"/>
      <c r="Q654" s="110"/>
    </row>
    <row r="655" spans="1:17" s="117" customFormat="1" ht="31.75" customHeight="1">
      <c r="A655" s="109" t="s">
        <v>7053</v>
      </c>
      <c r="B655" s="109" t="s">
        <v>7054</v>
      </c>
      <c r="C655" s="98">
        <v>2010</v>
      </c>
      <c r="D655" s="99">
        <v>1980</v>
      </c>
      <c r="E655" s="99">
        <v>1631</v>
      </c>
      <c r="F655" s="99">
        <v>636</v>
      </c>
      <c r="G655" s="99">
        <v>1010</v>
      </c>
      <c r="H655" s="99">
        <v>310</v>
      </c>
      <c r="I655" s="99">
        <v>27</v>
      </c>
      <c r="J655" s="99">
        <v>44</v>
      </c>
      <c r="K655" s="99">
        <v>18</v>
      </c>
      <c r="L655" s="99">
        <v>156</v>
      </c>
      <c r="M655" s="99">
        <v>133</v>
      </c>
      <c r="N655" s="99">
        <v>23</v>
      </c>
      <c r="O655" s="100"/>
      <c r="P655" s="100"/>
      <c r="Q655" s="100"/>
    </row>
    <row r="656" spans="1:17" s="117" customFormat="1" ht="31.75" customHeight="1">
      <c r="A656" s="109" t="s">
        <v>7053</v>
      </c>
      <c r="B656" s="109" t="s">
        <v>7054</v>
      </c>
      <c r="C656" s="98">
        <v>2011</v>
      </c>
      <c r="D656" s="99">
        <v>1939</v>
      </c>
      <c r="E656" s="99">
        <v>1866</v>
      </c>
      <c r="F656" s="99">
        <v>673</v>
      </c>
      <c r="G656" s="99">
        <v>1201</v>
      </c>
      <c r="H656" s="99">
        <v>381</v>
      </c>
      <c r="I656" s="99">
        <v>80</v>
      </c>
      <c r="J656" s="99">
        <v>84</v>
      </c>
      <c r="K656" s="99">
        <v>4</v>
      </c>
      <c r="L656" s="99">
        <v>176</v>
      </c>
      <c r="M656" s="99">
        <v>161</v>
      </c>
      <c r="N656" s="99">
        <v>14</v>
      </c>
      <c r="O656" s="110"/>
      <c r="P656" s="110"/>
      <c r="Q656" s="110"/>
    </row>
    <row r="657" spans="1:17" s="117" customFormat="1" ht="31.75" customHeight="1">
      <c r="A657" s="109" t="s">
        <v>7053</v>
      </c>
      <c r="B657" s="109" t="s">
        <v>7054</v>
      </c>
      <c r="C657" s="111">
        <v>2012</v>
      </c>
      <c r="D657" s="112">
        <v>1914</v>
      </c>
      <c r="E657" s="112">
        <v>1714</v>
      </c>
      <c r="F657" s="112">
        <v>885</v>
      </c>
      <c r="G657" s="112">
        <v>835</v>
      </c>
      <c r="H657" s="112">
        <v>376</v>
      </c>
      <c r="I657" s="112">
        <v>49</v>
      </c>
      <c r="J657" s="112">
        <v>54</v>
      </c>
      <c r="K657" s="112">
        <v>5</v>
      </c>
      <c r="L657" s="112">
        <v>167</v>
      </c>
      <c r="M657" s="112">
        <v>159</v>
      </c>
      <c r="N657" s="112">
        <v>8</v>
      </c>
      <c r="O657" s="100"/>
      <c r="P657" s="100"/>
      <c r="Q657" s="100"/>
    </row>
    <row r="658" spans="1:17" s="117" customFormat="1" ht="31.75" customHeight="1">
      <c r="A658" s="109" t="s">
        <v>7053</v>
      </c>
      <c r="B658" s="109" t="s">
        <v>7054</v>
      </c>
      <c r="C658" s="113">
        <v>2013</v>
      </c>
      <c r="D658" s="112">
        <v>1895</v>
      </c>
      <c r="E658" s="112">
        <v>1637</v>
      </c>
      <c r="F658" s="112">
        <v>725</v>
      </c>
      <c r="G658" s="112">
        <v>904</v>
      </c>
      <c r="H658" s="112">
        <v>361</v>
      </c>
      <c r="I658" s="112">
        <v>22</v>
      </c>
      <c r="J658" s="112">
        <v>24</v>
      </c>
      <c r="K658" s="112">
        <v>3</v>
      </c>
      <c r="L658" s="112">
        <v>190</v>
      </c>
      <c r="M658" s="112">
        <v>189</v>
      </c>
      <c r="N658" s="112">
        <v>1</v>
      </c>
      <c r="O658" s="100"/>
      <c r="P658" s="100"/>
      <c r="Q658" s="100"/>
    </row>
    <row r="659" spans="1:17" s="117" customFormat="1" ht="31.75" customHeight="1">
      <c r="A659" s="109" t="s">
        <v>7053</v>
      </c>
      <c r="B659" s="109" t="s">
        <v>7054</v>
      </c>
      <c r="C659" s="113">
        <v>2014</v>
      </c>
      <c r="D659" s="99">
        <v>1915</v>
      </c>
      <c r="E659" s="99">
        <v>1716</v>
      </c>
      <c r="F659" s="99">
        <v>642</v>
      </c>
      <c r="G659" s="99">
        <v>1100</v>
      </c>
      <c r="H659" s="99">
        <v>382</v>
      </c>
      <c r="I659" s="99">
        <v>40</v>
      </c>
      <c r="J659" s="99">
        <v>49</v>
      </c>
      <c r="K659" s="99">
        <v>8</v>
      </c>
      <c r="L659" s="99">
        <v>182</v>
      </c>
      <c r="M659" s="99">
        <v>154</v>
      </c>
      <c r="N659" s="99">
        <v>28</v>
      </c>
      <c r="O659" s="110"/>
      <c r="P659" s="110"/>
      <c r="Q659" s="110"/>
    </row>
    <row r="660" spans="1:17" s="117" customFormat="1" ht="31.75" customHeight="1">
      <c r="A660" s="109" t="s">
        <v>7053</v>
      </c>
      <c r="B660" s="109" t="s">
        <v>7054</v>
      </c>
      <c r="C660" s="113">
        <v>2015</v>
      </c>
      <c r="D660" s="112">
        <v>1995</v>
      </c>
      <c r="E660" s="112">
        <v>2091</v>
      </c>
      <c r="F660" s="112">
        <v>820</v>
      </c>
      <c r="G660" s="112">
        <v>1298</v>
      </c>
      <c r="H660" s="112">
        <v>405</v>
      </c>
      <c r="I660" s="112">
        <v>91</v>
      </c>
      <c r="J660" s="112">
        <v>93</v>
      </c>
      <c r="K660" s="112">
        <v>2</v>
      </c>
      <c r="L660" s="112">
        <v>212</v>
      </c>
      <c r="M660" s="112">
        <v>182</v>
      </c>
      <c r="N660" s="112">
        <v>30</v>
      </c>
      <c r="O660" s="110"/>
      <c r="P660" s="110"/>
      <c r="Q660" s="110"/>
    </row>
    <row r="661" spans="1:17" s="117" customFormat="1" ht="31.75" customHeight="1">
      <c r="A661" s="109" t="s">
        <v>7053</v>
      </c>
      <c r="B661" s="109" t="s">
        <v>7054</v>
      </c>
      <c r="C661" s="113">
        <v>2016</v>
      </c>
      <c r="D661" s="112">
        <v>2051</v>
      </c>
      <c r="E661" s="112">
        <v>1985</v>
      </c>
      <c r="F661" s="112">
        <v>786</v>
      </c>
      <c r="G661" s="112">
        <v>1212</v>
      </c>
      <c r="H661" s="112">
        <v>516</v>
      </c>
      <c r="I661" s="112">
        <v>64</v>
      </c>
      <c r="J661" s="112">
        <v>76</v>
      </c>
      <c r="K661" s="112">
        <v>11</v>
      </c>
      <c r="L661" s="112">
        <v>213</v>
      </c>
      <c r="M661" s="112">
        <v>204</v>
      </c>
      <c r="N661" s="112">
        <v>9</v>
      </c>
      <c r="O661" s="100"/>
      <c r="P661" s="100"/>
      <c r="Q661" s="100"/>
    </row>
    <row r="662" spans="1:17" s="117" customFormat="1" ht="31.75" customHeight="1">
      <c r="A662" s="109" t="s">
        <v>7053</v>
      </c>
      <c r="B662" s="109" t="s">
        <v>7054</v>
      </c>
      <c r="C662" s="113">
        <v>2017</v>
      </c>
      <c r="D662" s="112">
        <v>2132</v>
      </c>
      <c r="E662" s="112">
        <v>2058</v>
      </c>
      <c r="F662" s="112">
        <v>954</v>
      </c>
      <c r="G662" s="112">
        <v>1135</v>
      </c>
      <c r="H662" s="112">
        <v>452</v>
      </c>
      <c r="I662" s="112">
        <v>52</v>
      </c>
      <c r="J662" s="112">
        <v>111</v>
      </c>
      <c r="K662" s="112">
        <v>58</v>
      </c>
      <c r="L662" s="112">
        <v>208</v>
      </c>
      <c r="M662" s="112">
        <v>188</v>
      </c>
      <c r="N662" s="112">
        <v>20</v>
      </c>
      <c r="O662" s="100"/>
      <c r="P662" s="100"/>
      <c r="Q662" s="100"/>
    </row>
    <row r="663" spans="1:17" s="117" customFormat="1" ht="31.75" customHeight="1">
      <c r="A663" s="109" t="s">
        <v>7053</v>
      </c>
      <c r="B663" s="109" t="s">
        <v>7054</v>
      </c>
      <c r="C663" s="113">
        <v>2018</v>
      </c>
      <c r="D663" s="112">
        <v>2223</v>
      </c>
      <c r="E663" s="112">
        <v>2231</v>
      </c>
      <c r="F663" s="112">
        <v>881</v>
      </c>
      <c r="G663" s="112">
        <v>1357</v>
      </c>
      <c r="H663" s="112">
        <v>482</v>
      </c>
      <c r="I663" s="112">
        <v>23</v>
      </c>
      <c r="J663" s="112">
        <v>43</v>
      </c>
      <c r="K663" s="112">
        <v>20</v>
      </c>
      <c r="L663" s="112">
        <v>269</v>
      </c>
      <c r="M663" s="112">
        <v>243</v>
      </c>
      <c r="N663" s="112">
        <v>26</v>
      </c>
      <c r="O663" s="110"/>
      <c r="P663" s="110"/>
      <c r="Q663" s="110"/>
    </row>
    <row r="664" spans="1:17" s="117" customFormat="1" ht="31.75" customHeight="1">
      <c r="A664" s="109" t="s">
        <v>7053</v>
      </c>
      <c r="B664" s="109" t="s">
        <v>7054</v>
      </c>
      <c r="C664" s="113">
        <v>2019</v>
      </c>
      <c r="D664" s="112">
        <v>2102</v>
      </c>
      <c r="E664" s="112">
        <v>2451.2748360000001</v>
      </c>
      <c r="F664" s="112">
        <v>992.61145299999998</v>
      </c>
      <c r="G664" s="112">
        <v>1460.6733610000001</v>
      </c>
      <c r="H664" s="112">
        <v>580.07631100000003</v>
      </c>
      <c r="I664" s="112">
        <v>94.418637000000004</v>
      </c>
      <c r="J664" s="112">
        <v>100.495105</v>
      </c>
      <c r="K664" s="112">
        <v>6.0764680000000002</v>
      </c>
      <c r="L664" s="112">
        <v>256.47803199999998</v>
      </c>
      <c r="M664" s="112">
        <v>248.24430799999999</v>
      </c>
      <c r="N664" s="112">
        <v>8.2337240000000005</v>
      </c>
      <c r="O664" s="110"/>
      <c r="P664" s="110"/>
      <c r="Q664" s="110"/>
    </row>
    <row r="665" spans="1:17" s="117" customFormat="1" ht="31.75" customHeight="1">
      <c r="A665" s="114" t="s">
        <v>7053</v>
      </c>
      <c r="B665" s="114" t="s">
        <v>7055</v>
      </c>
      <c r="C665" s="113">
        <v>2020</v>
      </c>
      <c r="D665" s="112">
        <v>2073</v>
      </c>
      <c r="E665" s="112">
        <v>2149.4834380000002</v>
      </c>
      <c r="F665" s="112">
        <v>926.69364499999995</v>
      </c>
      <c r="G665" s="112">
        <v>1239.511409</v>
      </c>
      <c r="H665" s="112">
        <v>499.51151099999998</v>
      </c>
      <c r="I665" s="112">
        <v>57.174525000000003</v>
      </c>
      <c r="J665" s="112">
        <v>60.261754000000003</v>
      </c>
      <c r="K665" s="112">
        <v>3.0872289999999998</v>
      </c>
      <c r="L665" s="112">
        <v>246.37421900000001</v>
      </c>
      <c r="M665" s="112">
        <v>225.34353999999999</v>
      </c>
      <c r="N665" s="112">
        <v>21.030678000000002</v>
      </c>
      <c r="O665" s="110"/>
      <c r="P665" s="110"/>
      <c r="Q665" s="110"/>
    </row>
    <row r="666" spans="1:17" s="117" customFormat="1" ht="17.5" customHeight="1">
      <c r="A666" s="109" t="s">
        <v>7056</v>
      </c>
      <c r="B666" s="109" t="s">
        <v>7057</v>
      </c>
      <c r="C666" s="98">
        <v>2008</v>
      </c>
      <c r="D666" s="99">
        <v>201</v>
      </c>
      <c r="E666" s="99">
        <v>924</v>
      </c>
      <c r="F666" s="99">
        <v>307</v>
      </c>
      <c r="G666" s="99">
        <v>620</v>
      </c>
      <c r="H666" s="99">
        <v>187</v>
      </c>
      <c r="I666" s="99">
        <v>15</v>
      </c>
      <c r="J666" s="99">
        <v>20</v>
      </c>
      <c r="K666" s="99">
        <v>5</v>
      </c>
      <c r="L666" s="99">
        <v>162</v>
      </c>
      <c r="M666" s="99">
        <v>159</v>
      </c>
      <c r="N666" s="99">
        <v>3</v>
      </c>
      <c r="O666" s="110"/>
      <c r="P666" s="110"/>
      <c r="Q666" s="110"/>
    </row>
    <row r="667" spans="1:17" s="117" customFormat="1" ht="17.5" customHeight="1">
      <c r="A667" s="109" t="s">
        <v>7056</v>
      </c>
      <c r="B667" s="109" t="s">
        <v>7057</v>
      </c>
      <c r="C667" s="98">
        <v>2009</v>
      </c>
      <c r="D667" s="99">
        <v>171</v>
      </c>
      <c r="E667" s="99">
        <v>797</v>
      </c>
      <c r="F667" s="99">
        <v>196</v>
      </c>
      <c r="G667" s="99">
        <v>589</v>
      </c>
      <c r="H667" s="99">
        <v>176</v>
      </c>
      <c r="I667" s="99">
        <v>15</v>
      </c>
      <c r="J667" s="99">
        <v>16</v>
      </c>
      <c r="K667" s="99">
        <v>1</v>
      </c>
      <c r="L667" s="99">
        <v>123</v>
      </c>
      <c r="M667" s="99">
        <v>134</v>
      </c>
      <c r="N667" s="99">
        <v>-11</v>
      </c>
      <c r="O667" s="100"/>
      <c r="P667" s="100"/>
      <c r="Q667" s="100"/>
    </row>
    <row r="668" spans="1:17" s="117" customFormat="1" ht="17.5" customHeight="1">
      <c r="A668" s="109" t="s">
        <v>7056</v>
      </c>
      <c r="B668" s="109" t="s">
        <v>7057</v>
      </c>
      <c r="C668" s="98">
        <v>2010</v>
      </c>
      <c r="D668" s="99">
        <v>157</v>
      </c>
      <c r="E668" s="99">
        <v>796</v>
      </c>
      <c r="F668" s="99">
        <v>222</v>
      </c>
      <c r="G668" s="99">
        <v>579</v>
      </c>
      <c r="H668" s="99">
        <v>174</v>
      </c>
      <c r="I668" s="99">
        <v>14</v>
      </c>
      <c r="J668" s="99">
        <v>15</v>
      </c>
      <c r="K668" s="99">
        <v>2</v>
      </c>
      <c r="L668" s="99">
        <v>126</v>
      </c>
      <c r="M668" s="99">
        <v>121</v>
      </c>
      <c r="N668" s="99">
        <v>5</v>
      </c>
      <c r="O668" s="110"/>
      <c r="P668" s="110"/>
      <c r="Q668" s="110"/>
    </row>
    <row r="669" spans="1:17" s="117" customFormat="1" ht="17.5" customHeight="1">
      <c r="A669" s="109" t="s">
        <v>7056</v>
      </c>
      <c r="B669" s="109" t="s">
        <v>7057</v>
      </c>
      <c r="C669" s="98">
        <v>2011</v>
      </c>
      <c r="D669" s="99">
        <v>149</v>
      </c>
      <c r="E669" s="99">
        <v>841</v>
      </c>
      <c r="F669" s="99">
        <v>251</v>
      </c>
      <c r="G669" s="99">
        <v>598</v>
      </c>
      <c r="H669" s="99">
        <v>163</v>
      </c>
      <c r="I669" s="99">
        <v>9</v>
      </c>
      <c r="J669" s="99">
        <v>13</v>
      </c>
      <c r="K669" s="99">
        <v>4</v>
      </c>
      <c r="L669" s="99">
        <v>136</v>
      </c>
      <c r="M669" s="99">
        <v>128</v>
      </c>
      <c r="N669" s="99">
        <v>8</v>
      </c>
      <c r="O669" s="100"/>
      <c r="P669" s="100"/>
      <c r="Q669" s="100"/>
    </row>
    <row r="670" spans="1:17" s="117" customFormat="1" ht="17.5" customHeight="1">
      <c r="A670" s="109" t="s">
        <v>7056</v>
      </c>
      <c r="B670" s="109" t="s">
        <v>7057</v>
      </c>
      <c r="C670" s="111">
        <v>2012</v>
      </c>
      <c r="D670" s="112">
        <v>132</v>
      </c>
      <c r="E670" s="112">
        <v>804</v>
      </c>
      <c r="F670" s="112">
        <v>244</v>
      </c>
      <c r="G670" s="112">
        <v>552</v>
      </c>
      <c r="H670" s="112">
        <v>155</v>
      </c>
      <c r="I670" s="112">
        <v>11</v>
      </c>
      <c r="J670" s="112">
        <v>12</v>
      </c>
      <c r="K670" s="112">
        <v>2</v>
      </c>
      <c r="L670" s="112">
        <v>110</v>
      </c>
      <c r="M670" s="112">
        <v>120</v>
      </c>
      <c r="N670" s="112">
        <v>-10</v>
      </c>
      <c r="O670" s="100"/>
      <c r="P670" s="100"/>
      <c r="Q670" s="100"/>
    </row>
    <row r="671" spans="1:17" s="117" customFormat="1" ht="17.5" customHeight="1">
      <c r="A671" s="109" t="s">
        <v>7056</v>
      </c>
      <c r="B671" s="109" t="s">
        <v>7057</v>
      </c>
      <c r="C671" s="113">
        <v>2013</v>
      </c>
      <c r="D671" s="112">
        <v>137</v>
      </c>
      <c r="E671" s="112">
        <v>823</v>
      </c>
      <c r="F671" s="112">
        <v>235</v>
      </c>
      <c r="G671" s="112">
        <v>583</v>
      </c>
      <c r="H671" s="112">
        <v>148</v>
      </c>
      <c r="I671" s="112">
        <v>15</v>
      </c>
      <c r="J671" s="112">
        <v>18</v>
      </c>
      <c r="K671" s="112">
        <v>4</v>
      </c>
      <c r="L671" s="112">
        <v>114</v>
      </c>
      <c r="M671" s="112">
        <v>116</v>
      </c>
      <c r="N671" s="112">
        <v>-2</v>
      </c>
      <c r="O671" s="110"/>
      <c r="P671" s="110"/>
      <c r="Q671" s="110"/>
    </row>
    <row r="672" spans="1:17" s="117" customFormat="1" ht="17.5" customHeight="1">
      <c r="A672" s="109" t="s">
        <v>7056</v>
      </c>
      <c r="B672" s="109" t="s">
        <v>7057</v>
      </c>
      <c r="C672" s="113">
        <v>2014</v>
      </c>
      <c r="D672" s="99">
        <v>122</v>
      </c>
      <c r="E672" s="99">
        <v>898</v>
      </c>
      <c r="F672" s="99">
        <v>285</v>
      </c>
      <c r="G672" s="99">
        <v>621</v>
      </c>
      <c r="H672" s="99">
        <v>173</v>
      </c>
      <c r="I672" s="99">
        <v>18</v>
      </c>
      <c r="J672" s="99">
        <v>21</v>
      </c>
      <c r="K672" s="99">
        <v>3</v>
      </c>
      <c r="L672" s="99">
        <v>135</v>
      </c>
      <c r="M672" s="99">
        <v>126</v>
      </c>
      <c r="N672" s="99">
        <v>9</v>
      </c>
      <c r="O672" s="110"/>
      <c r="P672" s="110"/>
      <c r="Q672" s="110"/>
    </row>
    <row r="673" spans="1:17" s="117" customFormat="1" ht="17.5" customHeight="1">
      <c r="A673" s="109" t="s">
        <v>7056</v>
      </c>
      <c r="B673" s="109" t="s">
        <v>7057</v>
      </c>
      <c r="C673" s="113">
        <v>2015</v>
      </c>
      <c r="D673" s="112">
        <v>120</v>
      </c>
      <c r="E673" s="112">
        <v>948</v>
      </c>
      <c r="F673" s="112">
        <v>293</v>
      </c>
      <c r="G673" s="112">
        <v>661</v>
      </c>
      <c r="H673" s="112">
        <v>182</v>
      </c>
      <c r="I673" s="112">
        <v>29</v>
      </c>
      <c r="J673" s="112">
        <v>31</v>
      </c>
      <c r="K673" s="112">
        <v>2</v>
      </c>
      <c r="L673" s="112">
        <v>137</v>
      </c>
      <c r="M673" s="112">
        <v>129</v>
      </c>
      <c r="N673" s="112">
        <v>9</v>
      </c>
      <c r="O673" s="100"/>
      <c r="P673" s="100"/>
      <c r="Q673" s="100"/>
    </row>
    <row r="674" spans="1:17" s="117" customFormat="1" ht="17.5" customHeight="1">
      <c r="A674" s="109" t="s">
        <v>7056</v>
      </c>
      <c r="B674" s="109" t="s">
        <v>7057</v>
      </c>
      <c r="C674" s="113">
        <v>2016</v>
      </c>
      <c r="D674" s="112">
        <v>117</v>
      </c>
      <c r="E674" s="112">
        <v>933</v>
      </c>
      <c r="F674" s="112">
        <v>340</v>
      </c>
      <c r="G674" s="112">
        <v>589</v>
      </c>
      <c r="H674" s="112">
        <v>175</v>
      </c>
      <c r="I674" s="112">
        <v>20</v>
      </c>
      <c r="J674" s="112">
        <v>23</v>
      </c>
      <c r="K674" s="112">
        <v>3</v>
      </c>
      <c r="L674" s="112">
        <v>122</v>
      </c>
      <c r="M674" s="112">
        <v>123</v>
      </c>
      <c r="N674" s="112" t="s">
        <v>6952</v>
      </c>
      <c r="O674" s="100"/>
      <c r="P674" s="100"/>
      <c r="Q674" s="100"/>
    </row>
    <row r="675" spans="1:17" s="117" customFormat="1" ht="17.5" customHeight="1">
      <c r="A675" s="109" t="s">
        <v>7056</v>
      </c>
      <c r="B675" s="109" t="s">
        <v>7057</v>
      </c>
      <c r="C675" s="113">
        <v>2017</v>
      </c>
      <c r="D675" s="112">
        <v>101</v>
      </c>
      <c r="E675" s="112">
        <v>914</v>
      </c>
      <c r="F675" s="112">
        <v>302</v>
      </c>
      <c r="G675" s="112">
        <v>622</v>
      </c>
      <c r="H675" s="112">
        <v>172</v>
      </c>
      <c r="I675" s="112">
        <v>28</v>
      </c>
      <c r="J675" s="112">
        <v>32</v>
      </c>
      <c r="K675" s="112">
        <v>4</v>
      </c>
      <c r="L675" s="112">
        <v>135</v>
      </c>
      <c r="M675" s="112">
        <v>124</v>
      </c>
      <c r="N675" s="112">
        <v>10</v>
      </c>
      <c r="O675" s="110"/>
      <c r="P675" s="110"/>
      <c r="Q675" s="110"/>
    </row>
    <row r="676" spans="1:17" s="117" customFormat="1" ht="17.5" customHeight="1">
      <c r="A676" s="109" t="s">
        <v>7056</v>
      </c>
      <c r="B676" s="109" t="s">
        <v>7057</v>
      </c>
      <c r="C676" s="113">
        <v>2018</v>
      </c>
      <c r="D676" s="112">
        <v>105</v>
      </c>
      <c r="E676" s="112">
        <v>971</v>
      </c>
      <c r="F676" s="112">
        <v>342</v>
      </c>
      <c r="G676" s="112">
        <v>635</v>
      </c>
      <c r="H676" s="112">
        <v>173</v>
      </c>
      <c r="I676" s="112">
        <v>43</v>
      </c>
      <c r="J676" s="112">
        <v>44</v>
      </c>
      <c r="K676" s="112">
        <v>1</v>
      </c>
      <c r="L676" s="112">
        <v>134</v>
      </c>
      <c r="M676" s="112">
        <v>128</v>
      </c>
      <c r="N676" s="112">
        <v>6</v>
      </c>
      <c r="O676" s="110"/>
      <c r="P676" s="110"/>
      <c r="Q676" s="110"/>
    </row>
    <row r="677" spans="1:17" s="117" customFormat="1" ht="17.5" customHeight="1">
      <c r="A677" s="109" t="s">
        <v>7056</v>
      </c>
      <c r="B677" s="109" t="s">
        <v>7057</v>
      </c>
      <c r="C677" s="113">
        <v>2019</v>
      </c>
      <c r="D677" s="112">
        <v>103</v>
      </c>
      <c r="E677" s="112">
        <v>970.79238699999996</v>
      </c>
      <c r="F677" s="112">
        <v>387.31129499999997</v>
      </c>
      <c r="G677" s="112">
        <v>587.95831999999996</v>
      </c>
      <c r="H677" s="112">
        <v>178.374605</v>
      </c>
      <c r="I677" s="112">
        <v>25.681175</v>
      </c>
      <c r="J677" s="112">
        <v>27.381775000000001</v>
      </c>
      <c r="K677" s="112">
        <v>1.7005999999999999</v>
      </c>
      <c r="L677" s="112">
        <v>124.338825</v>
      </c>
      <c r="M677" s="112">
        <v>119.303787</v>
      </c>
      <c r="N677" s="112">
        <v>5.0350380000000001</v>
      </c>
      <c r="O677" s="110"/>
      <c r="P677" s="110"/>
      <c r="Q677" s="110"/>
    </row>
    <row r="678" spans="1:17" s="117" customFormat="1" ht="17.5" customHeight="1">
      <c r="A678" s="114" t="s">
        <v>7056</v>
      </c>
      <c r="B678" s="114" t="s">
        <v>7057</v>
      </c>
      <c r="C678" s="113">
        <v>2020</v>
      </c>
      <c r="D678" s="112">
        <v>106</v>
      </c>
      <c r="E678" s="112">
        <v>755.54931399999998</v>
      </c>
      <c r="F678" s="112">
        <v>257.45770199999998</v>
      </c>
      <c r="G678" s="112">
        <v>500.65701999999999</v>
      </c>
      <c r="H678" s="112">
        <v>163.04150899999999</v>
      </c>
      <c r="I678" s="112">
        <v>64.805363</v>
      </c>
      <c r="J678" s="112">
        <v>67.190916999999999</v>
      </c>
      <c r="K678" s="112">
        <v>2.3855550000000001</v>
      </c>
      <c r="L678" s="112">
        <v>123.215705</v>
      </c>
      <c r="M678" s="112">
        <v>120.804992</v>
      </c>
      <c r="N678" s="112">
        <v>2.4107129999999999</v>
      </c>
      <c r="O678" s="110"/>
      <c r="P678" s="110"/>
      <c r="Q678" s="110"/>
    </row>
    <row r="679" spans="1:17" s="117" customFormat="1" ht="17.5" customHeight="1">
      <c r="A679" s="109" t="s">
        <v>7058</v>
      </c>
      <c r="B679" s="109" t="s">
        <v>7059</v>
      </c>
      <c r="C679" s="98">
        <v>2008</v>
      </c>
      <c r="D679" s="99">
        <v>99</v>
      </c>
      <c r="E679" s="99">
        <v>90</v>
      </c>
      <c r="F679" s="99">
        <v>37</v>
      </c>
      <c r="G679" s="99">
        <v>51</v>
      </c>
      <c r="H679" s="99">
        <v>23</v>
      </c>
      <c r="I679" s="99" t="s">
        <v>6952</v>
      </c>
      <c r="J679" s="99">
        <v>1</v>
      </c>
      <c r="K679" s="99" t="s">
        <v>6952</v>
      </c>
      <c r="L679" s="99">
        <v>16</v>
      </c>
      <c r="M679" s="99">
        <v>17</v>
      </c>
      <c r="N679" s="99">
        <v>-1</v>
      </c>
      <c r="O679" s="100"/>
      <c r="P679" s="100"/>
      <c r="Q679" s="100"/>
    </row>
    <row r="680" spans="1:17" s="117" customFormat="1" ht="17.5" customHeight="1">
      <c r="A680" s="109" t="s">
        <v>7058</v>
      </c>
      <c r="B680" s="109" t="s">
        <v>7059</v>
      </c>
      <c r="C680" s="98">
        <v>2009</v>
      </c>
      <c r="D680" s="99">
        <v>95</v>
      </c>
      <c r="E680" s="99">
        <v>111</v>
      </c>
      <c r="F680" s="99">
        <v>44</v>
      </c>
      <c r="G680" s="99">
        <v>66</v>
      </c>
      <c r="H680" s="99">
        <v>23</v>
      </c>
      <c r="I680" s="99">
        <v>5</v>
      </c>
      <c r="J680" s="99">
        <v>6</v>
      </c>
      <c r="K680" s="99">
        <v>1</v>
      </c>
      <c r="L680" s="99">
        <v>20</v>
      </c>
      <c r="M680" s="99">
        <v>20</v>
      </c>
      <c r="N680" s="99" t="s">
        <v>6952</v>
      </c>
      <c r="O680" s="110"/>
      <c r="P680" s="110"/>
      <c r="Q680" s="110"/>
    </row>
    <row r="681" spans="1:17" s="117" customFormat="1" ht="17.5" customHeight="1">
      <c r="A681" s="109" t="s">
        <v>7058</v>
      </c>
      <c r="B681" s="109" t="s">
        <v>7059</v>
      </c>
      <c r="C681" s="98">
        <v>2010</v>
      </c>
      <c r="D681" s="99">
        <v>84</v>
      </c>
      <c r="E681" s="99">
        <v>117</v>
      </c>
      <c r="F681" s="99">
        <v>45</v>
      </c>
      <c r="G681" s="99">
        <v>74</v>
      </c>
      <c r="H681" s="99">
        <v>28</v>
      </c>
      <c r="I681" s="99" t="s">
        <v>6953</v>
      </c>
      <c r="J681" s="99" t="s">
        <v>6953</v>
      </c>
      <c r="K681" s="99">
        <v>3</v>
      </c>
      <c r="L681" s="99">
        <v>20</v>
      </c>
      <c r="M681" s="99">
        <v>16</v>
      </c>
      <c r="N681" s="99">
        <v>4</v>
      </c>
      <c r="O681" s="100"/>
      <c r="P681" s="100"/>
      <c r="Q681" s="100"/>
    </row>
    <row r="682" spans="1:17" s="117" customFormat="1" ht="17.5" customHeight="1">
      <c r="A682" s="109" t="s">
        <v>7058</v>
      </c>
      <c r="B682" s="109" t="s">
        <v>7059</v>
      </c>
      <c r="C682" s="98">
        <v>2011</v>
      </c>
      <c r="D682" s="99">
        <v>77</v>
      </c>
      <c r="E682" s="99">
        <v>80</v>
      </c>
      <c r="F682" s="99">
        <v>29</v>
      </c>
      <c r="G682" s="99">
        <v>50</v>
      </c>
      <c r="H682" s="99">
        <v>16</v>
      </c>
      <c r="I682" s="99">
        <v>1</v>
      </c>
      <c r="J682" s="99" t="s">
        <v>6953</v>
      </c>
      <c r="K682" s="99" t="s">
        <v>6953</v>
      </c>
      <c r="L682" s="99">
        <v>15</v>
      </c>
      <c r="M682" s="99">
        <v>16</v>
      </c>
      <c r="N682" s="99">
        <v>-1</v>
      </c>
      <c r="O682" s="100"/>
      <c r="P682" s="100"/>
      <c r="Q682" s="100"/>
    </row>
    <row r="683" spans="1:17" s="117" customFormat="1" ht="17.5" customHeight="1">
      <c r="A683" s="109" t="s">
        <v>7058</v>
      </c>
      <c r="B683" s="109" t="s">
        <v>7059</v>
      </c>
      <c r="C683" s="111">
        <v>2012</v>
      </c>
      <c r="D683" s="112">
        <v>66</v>
      </c>
      <c r="E683" s="112">
        <v>81</v>
      </c>
      <c r="F683" s="112">
        <v>30</v>
      </c>
      <c r="G683" s="112">
        <v>51</v>
      </c>
      <c r="H683" s="112">
        <v>16</v>
      </c>
      <c r="I683" s="112">
        <v>1</v>
      </c>
      <c r="J683" s="112">
        <v>1</v>
      </c>
      <c r="K683" s="112" t="s">
        <v>6952</v>
      </c>
      <c r="L683" s="112">
        <v>11</v>
      </c>
      <c r="M683" s="112">
        <v>12</v>
      </c>
      <c r="N683" s="112" t="s">
        <v>6952</v>
      </c>
      <c r="O683" s="110"/>
      <c r="P683" s="110"/>
      <c r="Q683" s="110"/>
    </row>
    <row r="684" spans="1:17" s="117" customFormat="1" ht="17.5" customHeight="1">
      <c r="A684" s="109" t="s">
        <v>7058</v>
      </c>
      <c r="B684" s="109" t="s">
        <v>7059</v>
      </c>
      <c r="C684" s="113">
        <v>2013</v>
      </c>
      <c r="D684" s="112">
        <v>77</v>
      </c>
      <c r="E684" s="112">
        <v>120</v>
      </c>
      <c r="F684" s="112">
        <v>39</v>
      </c>
      <c r="G684" s="112">
        <v>79</v>
      </c>
      <c r="H684" s="112">
        <v>30</v>
      </c>
      <c r="I684" s="112">
        <v>3</v>
      </c>
      <c r="J684" s="112">
        <v>3</v>
      </c>
      <c r="K684" s="112" t="s">
        <v>6952</v>
      </c>
      <c r="L684" s="112">
        <v>12</v>
      </c>
      <c r="M684" s="112">
        <v>13</v>
      </c>
      <c r="N684" s="112">
        <v>-1</v>
      </c>
      <c r="O684" s="110"/>
      <c r="P684" s="110"/>
      <c r="Q684" s="110"/>
    </row>
    <row r="685" spans="1:17" s="117" customFormat="1" ht="17.5" customHeight="1">
      <c r="A685" s="109" t="s">
        <v>7058</v>
      </c>
      <c r="B685" s="109" t="s">
        <v>7059</v>
      </c>
      <c r="C685" s="113">
        <v>2014</v>
      </c>
      <c r="D685" s="99">
        <v>74</v>
      </c>
      <c r="E685" s="99">
        <v>70</v>
      </c>
      <c r="F685" s="99">
        <v>10</v>
      </c>
      <c r="G685" s="99">
        <v>59</v>
      </c>
      <c r="H685" s="99">
        <v>24</v>
      </c>
      <c r="I685" s="99">
        <v>1</v>
      </c>
      <c r="J685" s="99">
        <v>1</v>
      </c>
      <c r="K685" s="99">
        <v>1</v>
      </c>
      <c r="L685" s="99">
        <v>9</v>
      </c>
      <c r="M685" s="99">
        <v>9</v>
      </c>
      <c r="N685" s="99" t="s">
        <v>6952</v>
      </c>
      <c r="O685" s="100"/>
      <c r="P685" s="100"/>
      <c r="Q685" s="100"/>
    </row>
    <row r="686" spans="1:17" s="117" customFormat="1" ht="17.5" customHeight="1">
      <c r="A686" s="109" t="s">
        <v>7058</v>
      </c>
      <c r="B686" s="109" t="s">
        <v>7059</v>
      </c>
      <c r="C686" s="113">
        <v>2015</v>
      </c>
      <c r="D686" s="112">
        <v>78</v>
      </c>
      <c r="E686" s="112">
        <v>95</v>
      </c>
      <c r="F686" s="112">
        <v>32</v>
      </c>
      <c r="G686" s="112">
        <v>66</v>
      </c>
      <c r="H686" s="112">
        <v>16</v>
      </c>
      <c r="I686" s="112">
        <v>2</v>
      </c>
      <c r="J686" s="99" t="s">
        <v>6953</v>
      </c>
      <c r="K686" s="99" t="s">
        <v>6953</v>
      </c>
      <c r="L686" s="112">
        <v>22</v>
      </c>
      <c r="M686" s="112">
        <v>19</v>
      </c>
      <c r="N686" s="112">
        <v>3</v>
      </c>
      <c r="O686" s="100"/>
      <c r="P686" s="100"/>
      <c r="Q686" s="100"/>
    </row>
    <row r="687" spans="1:17" s="117" customFormat="1" ht="17.5" customHeight="1">
      <c r="A687" s="109" t="s">
        <v>7058</v>
      </c>
      <c r="B687" s="109" t="s">
        <v>7059</v>
      </c>
      <c r="C687" s="113">
        <v>2016</v>
      </c>
      <c r="D687" s="112">
        <v>80</v>
      </c>
      <c r="E687" s="112">
        <v>95</v>
      </c>
      <c r="F687" s="112">
        <v>36</v>
      </c>
      <c r="G687" s="112">
        <v>60</v>
      </c>
      <c r="H687" s="112">
        <v>18</v>
      </c>
      <c r="I687" s="112">
        <v>2</v>
      </c>
      <c r="J687" s="112">
        <v>3</v>
      </c>
      <c r="K687" s="112">
        <v>1</v>
      </c>
      <c r="L687" s="112">
        <v>18</v>
      </c>
      <c r="M687" s="112">
        <v>17</v>
      </c>
      <c r="N687" s="112">
        <v>1</v>
      </c>
      <c r="O687" s="110"/>
      <c r="P687" s="110"/>
      <c r="Q687" s="110"/>
    </row>
    <row r="688" spans="1:17" s="117" customFormat="1" ht="17.5" customHeight="1">
      <c r="A688" s="109" t="s">
        <v>7058</v>
      </c>
      <c r="B688" s="109" t="s">
        <v>7059</v>
      </c>
      <c r="C688" s="113">
        <v>2017</v>
      </c>
      <c r="D688" s="112">
        <v>83</v>
      </c>
      <c r="E688" s="112">
        <v>92</v>
      </c>
      <c r="F688" s="112">
        <v>46</v>
      </c>
      <c r="G688" s="112">
        <v>55</v>
      </c>
      <c r="H688" s="112">
        <v>22</v>
      </c>
      <c r="I688" s="112">
        <v>2</v>
      </c>
      <c r="J688" s="112">
        <v>2</v>
      </c>
      <c r="K688" s="112" t="s">
        <v>6952</v>
      </c>
      <c r="L688" s="112">
        <v>22</v>
      </c>
      <c r="M688" s="112">
        <v>13</v>
      </c>
      <c r="N688" s="112">
        <v>9</v>
      </c>
      <c r="O688" s="110"/>
      <c r="P688" s="110"/>
      <c r="Q688" s="110"/>
    </row>
    <row r="689" spans="1:17" s="117" customFormat="1" ht="17.5" customHeight="1">
      <c r="A689" s="109" t="s">
        <v>7058</v>
      </c>
      <c r="B689" s="109" t="s">
        <v>7059</v>
      </c>
      <c r="C689" s="113">
        <v>2018</v>
      </c>
      <c r="D689" s="112">
        <v>81</v>
      </c>
      <c r="E689" s="112">
        <v>107</v>
      </c>
      <c r="F689" s="112">
        <v>35</v>
      </c>
      <c r="G689" s="112">
        <v>67</v>
      </c>
      <c r="H689" s="112">
        <v>21</v>
      </c>
      <c r="I689" s="112" t="s">
        <v>6952</v>
      </c>
      <c r="J689" s="112">
        <v>1</v>
      </c>
      <c r="K689" s="112">
        <v>1</v>
      </c>
      <c r="L689" s="112">
        <v>15</v>
      </c>
      <c r="M689" s="112">
        <v>20</v>
      </c>
      <c r="N689" s="112">
        <v>-5</v>
      </c>
      <c r="O689" s="110"/>
      <c r="P689" s="110"/>
      <c r="Q689" s="110"/>
    </row>
    <row r="690" spans="1:17" s="117" customFormat="1" ht="17.5" customHeight="1">
      <c r="A690" s="109" t="s">
        <v>7058</v>
      </c>
      <c r="B690" s="109" t="s">
        <v>7059</v>
      </c>
      <c r="C690" s="113">
        <v>2019</v>
      </c>
      <c r="D690" s="112">
        <v>79</v>
      </c>
      <c r="E690" s="112">
        <v>105.804151</v>
      </c>
      <c r="F690" s="112">
        <v>50.187249000000001</v>
      </c>
      <c r="G690" s="112">
        <v>57.000101999999998</v>
      </c>
      <c r="H690" s="112">
        <v>18.95055</v>
      </c>
      <c r="I690" s="112">
        <v>3.5810599999999999</v>
      </c>
      <c r="J690" s="112">
        <v>3.7155070000000001</v>
      </c>
      <c r="K690" s="112" t="s">
        <v>6952</v>
      </c>
      <c r="L690" s="112">
        <v>17.169899000000001</v>
      </c>
      <c r="M690" s="112">
        <v>15.74197</v>
      </c>
      <c r="N690" s="112">
        <v>1.427929</v>
      </c>
      <c r="O690" s="110"/>
      <c r="P690" s="110"/>
      <c r="Q690" s="110"/>
    </row>
    <row r="691" spans="1:17" s="117" customFormat="1" ht="17.5" customHeight="1">
      <c r="A691" s="114" t="s">
        <v>7058</v>
      </c>
      <c r="B691" s="114" t="s">
        <v>7060</v>
      </c>
      <c r="C691" s="113">
        <v>2020</v>
      </c>
      <c r="D691" s="112">
        <v>76</v>
      </c>
      <c r="E691" s="112">
        <v>95.563931999999994</v>
      </c>
      <c r="F691" s="112">
        <v>40.687182999999997</v>
      </c>
      <c r="G691" s="112">
        <v>55.665031999999997</v>
      </c>
      <c r="H691" s="112">
        <v>15.912219</v>
      </c>
      <c r="I691" s="112">
        <v>2.583148</v>
      </c>
      <c r="J691" s="112">
        <v>2.8162389999999999</v>
      </c>
      <c r="K691" s="112" t="s">
        <v>6952</v>
      </c>
      <c r="L691" s="112">
        <v>13.384665</v>
      </c>
      <c r="M691" s="112">
        <v>12.566497999999999</v>
      </c>
      <c r="N691" s="112">
        <v>0.81816699999999998</v>
      </c>
      <c r="O691" s="100"/>
      <c r="P691" s="100"/>
      <c r="Q691" s="100"/>
    </row>
    <row r="692" spans="1:17" s="117" customFormat="1" ht="31.75" customHeight="1">
      <c r="A692" s="109" t="s">
        <v>7061</v>
      </c>
      <c r="B692" s="109" t="s">
        <v>7062</v>
      </c>
      <c r="C692" s="98">
        <v>2008</v>
      </c>
      <c r="D692" s="99">
        <v>20</v>
      </c>
      <c r="E692" s="99">
        <v>279</v>
      </c>
      <c r="F692" s="99">
        <v>93</v>
      </c>
      <c r="G692" s="99">
        <v>203</v>
      </c>
      <c r="H692" s="99">
        <v>44</v>
      </c>
      <c r="I692" s="99">
        <v>36</v>
      </c>
      <c r="J692" s="99">
        <v>37</v>
      </c>
      <c r="K692" s="99">
        <v>2</v>
      </c>
      <c r="L692" s="99">
        <v>45</v>
      </c>
      <c r="M692" s="99">
        <v>28</v>
      </c>
      <c r="N692" s="99">
        <v>17</v>
      </c>
      <c r="O692" s="110"/>
      <c r="P692" s="110"/>
      <c r="Q692" s="110"/>
    </row>
    <row r="693" spans="1:17" s="117" customFormat="1" ht="31.75" customHeight="1">
      <c r="A693" s="109" t="s">
        <v>7061</v>
      </c>
      <c r="B693" s="109" t="s">
        <v>7062</v>
      </c>
      <c r="C693" s="98">
        <v>2009</v>
      </c>
      <c r="D693" s="99">
        <v>18</v>
      </c>
      <c r="E693" s="99">
        <v>181</v>
      </c>
      <c r="F693" s="99">
        <v>54</v>
      </c>
      <c r="G693" s="99">
        <v>119</v>
      </c>
      <c r="H693" s="99">
        <v>38</v>
      </c>
      <c r="I693" s="99">
        <v>5</v>
      </c>
      <c r="J693" s="99">
        <v>5</v>
      </c>
      <c r="K693" s="99" t="s">
        <v>6952</v>
      </c>
      <c r="L693" s="99">
        <v>19</v>
      </c>
      <c r="M693" s="99">
        <v>27</v>
      </c>
      <c r="N693" s="99">
        <v>-8</v>
      </c>
      <c r="O693" s="100"/>
      <c r="P693" s="100"/>
      <c r="Q693" s="100"/>
    </row>
    <row r="694" spans="1:17" s="117" customFormat="1" ht="31.75" customHeight="1">
      <c r="A694" s="109" t="s">
        <v>7061</v>
      </c>
      <c r="B694" s="109" t="s">
        <v>7062</v>
      </c>
      <c r="C694" s="98">
        <v>2010</v>
      </c>
      <c r="D694" s="99">
        <v>16</v>
      </c>
      <c r="E694" s="99">
        <v>192</v>
      </c>
      <c r="F694" s="99">
        <v>58</v>
      </c>
      <c r="G694" s="99">
        <v>137</v>
      </c>
      <c r="H694" s="99">
        <v>45</v>
      </c>
      <c r="I694" s="99">
        <v>3</v>
      </c>
      <c r="J694" s="99">
        <v>4</v>
      </c>
      <c r="K694" s="99">
        <v>1</v>
      </c>
      <c r="L694" s="99">
        <v>23</v>
      </c>
      <c r="M694" s="99">
        <v>21</v>
      </c>
      <c r="N694" s="99">
        <v>2</v>
      </c>
      <c r="O694" s="100"/>
      <c r="P694" s="100"/>
      <c r="Q694" s="100"/>
    </row>
    <row r="695" spans="1:17" s="117" customFormat="1" ht="31.75" customHeight="1">
      <c r="A695" s="109" t="s">
        <v>7061</v>
      </c>
      <c r="B695" s="109" t="s">
        <v>7062</v>
      </c>
      <c r="C695" s="98">
        <v>2011</v>
      </c>
      <c r="D695" s="99">
        <v>15</v>
      </c>
      <c r="E695" s="99">
        <v>108</v>
      </c>
      <c r="F695" s="99">
        <v>18</v>
      </c>
      <c r="G695" s="99">
        <v>89</v>
      </c>
      <c r="H695" s="99">
        <v>21</v>
      </c>
      <c r="I695" s="99">
        <v>1</v>
      </c>
      <c r="J695" s="99">
        <v>1</v>
      </c>
      <c r="K695" s="99" t="s">
        <v>6952</v>
      </c>
      <c r="L695" s="99">
        <v>10</v>
      </c>
      <c r="M695" s="99">
        <v>10</v>
      </c>
      <c r="N695" s="99" t="s">
        <v>6952</v>
      </c>
      <c r="O695" s="110"/>
      <c r="P695" s="110"/>
      <c r="Q695" s="110"/>
    </row>
    <row r="696" spans="1:17" s="117" customFormat="1" ht="31.75" customHeight="1">
      <c r="A696" s="109" t="s">
        <v>7061</v>
      </c>
      <c r="B696" s="109" t="s">
        <v>7062</v>
      </c>
      <c r="C696" s="111">
        <v>2012</v>
      </c>
      <c r="D696" s="112">
        <v>17</v>
      </c>
      <c r="E696" s="112">
        <v>266</v>
      </c>
      <c r="F696" s="112">
        <v>73</v>
      </c>
      <c r="G696" s="112">
        <v>191</v>
      </c>
      <c r="H696" s="112">
        <v>47</v>
      </c>
      <c r="I696" s="112">
        <v>16</v>
      </c>
      <c r="J696" s="112">
        <v>16</v>
      </c>
      <c r="K696" s="99" t="s">
        <v>6952</v>
      </c>
      <c r="L696" s="112">
        <v>38</v>
      </c>
      <c r="M696" s="112">
        <v>41</v>
      </c>
      <c r="N696" s="112">
        <v>-2</v>
      </c>
      <c r="O696" s="110"/>
      <c r="P696" s="110"/>
      <c r="Q696" s="110"/>
    </row>
    <row r="697" spans="1:17" s="117" customFormat="1" ht="31.75" customHeight="1">
      <c r="A697" s="109" t="s">
        <v>7061</v>
      </c>
      <c r="B697" s="109" t="s">
        <v>7062</v>
      </c>
      <c r="C697" s="113">
        <v>2013</v>
      </c>
      <c r="D697" s="112">
        <v>18</v>
      </c>
      <c r="E697" s="112">
        <v>313</v>
      </c>
      <c r="F697" s="112">
        <v>62</v>
      </c>
      <c r="G697" s="112">
        <v>247</v>
      </c>
      <c r="H697" s="112">
        <v>56</v>
      </c>
      <c r="I697" s="112">
        <v>4</v>
      </c>
      <c r="J697" s="112">
        <v>4</v>
      </c>
      <c r="K697" s="99" t="s">
        <v>6952</v>
      </c>
      <c r="L697" s="112">
        <v>39</v>
      </c>
      <c r="M697" s="112">
        <v>39</v>
      </c>
      <c r="N697" s="112" t="s">
        <v>6952</v>
      </c>
      <c r="O697" s="100"/>
      <c r="P697" s="100"/>
      <c r="Q697" s="100"/>
    </row>
    <row r="698" spans="1:17" s="117" customFormat="1" ht="31.75" customHeight="1">
      <c r="A698" s="109" t="s">
        <v>7061</v>
      </c>
      <c r="B698" s="109" t="s">
        <v>7062</v>
      </c>
      <c r="C698" s="113">
        <v>2014</v>
      </c>
      <c r="D698" s="99">
        <v>17</v>
      </c>
      <c r="E698" s="99">
        <v>139</v>
      </c>
      <c r="F698" s="99">
        <v>36</v>
      </c>
      <c r="G698" s="99">
        <v>99</v>
      </c>
      <c r="H698" s="99">
        <v>34</v>
      </c>
      <c r="I698" s="99">
        <v>12</v>
      </c>
      <c r="J698" s="99">
        <v>13</v>
      </c>
      <c r="K698" s="99">
        <v>1</v>
      </c>
      <c r="L698" s="99">
        <v>15</v>
      </c>
      <c r="M698" s="99">
        <v>17</v>
      </c>
      <c r="N698" s="99">
        <v>-2</v>
      </c>
      <c r="O698" s="100"/>
      <c r="P698" s="100"/>
      <c r="Q698" s="100"/>
    </row>
    <row r="699" spans="1:17" s="117" customFormat="1" ht="31.75" customHeight="1">
      <c r="A699" s="109" t="s">
        <v>7061</v>
      </c>
      <c r="B699" s="109" t="s">
        <v>7062</v>
      </c>
      <c r="C699" s="113">
        <v>2015</v>
      </c>
      <c r="D699" s="112">
        <v>19</v>
      </c>
      <c r="E699" s="112">
        <v>165</v>
      </c>
      <c r="F699" s="112">
        <v>61</v>
      </c>
      <c r="G699" s="112">
        <v>104</v>
      </c>
      <c r="H699" s="112">
        <v>43</v>
      </c>
      <c r="I699" s="112">
        <v>24</v>
      </c>
      <c r="J699" s="112">
        <v>24</v>
      </c>
      <c r="K699" s="112" t="s">
        <v>6952</v>
      </c>
      <c r="L699" s="112">
        <v>20</v>
      </c>
      <c r="M699" s="112">
        <v>20</v>
      </c>
      <c r="N699" s="112" t="s">
        <v>6952</v>
      </c>
      <c r="O699" s="110"/>
      <c r="P699" s="110"/>
      <c r="Q699" s="110"/>
    </row>
    <row r="700" spans="1:17" s="117" customFormat="1" ht="31.75" customHeight="1">
      <c r="A700" s="109" t="s">
        <v>7061</v>
      </c>
      <c r="B700" s="109" t="s">
        <v>7062</v>
      </c>
      <c r="C700" s="113">
        <v>2016</v>
      </c>
      <c r="D700" s="112">
        <v>22</v>
      </c>
      <c r="E700" s="112">
        <v>163</v>
      </c>
      <c r="F700" s="112">
        <v>58</v>
      </c>
      <c r="G700" s="112">
        <v>107</v>
      </c>
      <c r="H700" s="112">
        <v>30</v>
      </c>
      <c r="I700" s="112">
        <v>2</v>
      </c>
      <c r="J700" s="99" t="s">
        <v>6953</v>
      </c>
      <c r="K700" s="99" t="s">
        <v>6953</v>
      </c>
      <c r="L700" s="112">
        <v>21</v>
      </c>
      <c r="M700" s="112">
        <v>19</v>
      </c>
      <c r="N700" s="112">
        <v>2</v>
      </c>
      <c r="O700" s="110"/>
      <c r="P700" s="110"/>
      <c r="Q700" s="110"/>
    </row>
    <row r="701" spans="1:17" s="117" customFormat="1" ht="31.75" customHeight="1">
      <c r="A701" s="109" t="s">
        <v>7061</v>
      </c>
      <c r="B701" s="109" t="s">
        <v>7062</v>
      </c>
      <c r="C701" s="113">
        <v>2017</v>
      </c>
      <c r="D701" s="112">
        <v>18</v>
      </c>
      <c r="E701" s="112">
        <v>166</v>
      </c>
      <c r="F701" s="112">
        <v>65</v>
      </c>
      <c r="G701" s="112">
        <v>103</v>
      </c>
      <c r="H701" s="112">
        <v>30</v>
      </c>
      <c r="I701" s="112">
        <v>2</v>
      </c>
      <c r="J701" s="112">
        <v>2</v>
      </c>
      <c r="K701" s="112" t="s">
        <v>6952</v>
      </c>
      <c r="L701" s="112">
        <v>19</v>
      </c>
      <c r="M701" s="112">
        <v>18</v>
      </c>
      <c r="N701" s="112">
        <v>1</v>
      </c>
      <c r="O701" s="110"/>
      <c r="P701" s="110"/>
      <c r="Q701" s="110"/>
    </row>
    <row r="702" spans="1:17" s="117" customFormat="1" ht="31.75" customHeight="1">
      <c r="A702" s="109" t="s">
        <v>7061</v>
      </c>
      <c r="B702" s="109" t="s">
        <v>7062</v>
      </c>
      <c r="C702" s="113">
        <v>2018</v>
      </c>
      <c r="D702" s="112">
        <v>18</v>
      </c>
      <c r="E702" s="112">
        <v>175</v>
      </c>
      <c r="F702" s="112">
        <v>57</v>
      </c>
      <c r="G702" s="112">
        <v>118</v>
      </c>
      <c r="H702" s="112">
        <v>32</v>
      </c>
      <c r="I702" s="112">
        <v>7</v>
      </c>
      <c r="J702" s="112">
        <v>7</v>
      </c>
      <c r="K702" s="112" t="s">
        <v>6952</v>
      </c>
      <c r="L702" s="112">
        <v>20</v>
      </c>
      <c r="M702" s="112">
        <v>20</v>
      </c>
      <c r="N702" s="112" t="s">
        <v>6952</v>
      </c>
      <c r="O702" s="110"/>
      <c r="P702" s="110"/>
      <c r="Q702" s="110"/>
    </row>
    <row r="703" spans="1:17" s="117" customFormat="1" ht="31.75" customHeight="1">
      <c r="A703" s="109" t="s">
        <v>7061</v>
      </c>
      <c r="B703" s="109" t="s">
        <v>7062</v>
      </c>
      <c r="C703" s="113">
        <v>2019</v>
      </c>
      <c r="D703" s="112">
        <v>21</v>
      </c>
      <c r="E703" s="112">
        <v>172.09482800000001</v>
      </c>
      <c r="F703" s="112">
        <v>58.546456999999997</v>
      </c>
      <c r="G703" s="112">
        <v>113.507902</v>
      </c>
      <c r="H703" s="112">
        <v>30.750078999999999</v>
      </c>
      <c r="I703" s="112">
        <v>4.8275750000000004</v>
      </c>
      <c r="J703" s="112" t="s">
        <v>6953</v>
      </c>
      <c r="K703" s="112" t="s">
        <v>6953</v>
      </c>
      <c r="L703" s="112">
        <v>18.599644999999999</v>
      </c>
      <c r="M703" s="112">
        <v>18.498764999999999</v>
      </c>
      <c r="N703" s="112" t="s">
        <v>6952</v>
      </c>
      <c r="O703" s="100"/>
      <c r="P703" s="100"/>
      <c r="Q703" s="100"/>
    </row>
    <row r="704" spans="1:17" s="117" customFormat="1" ht="31.75" customHeight="1">
      <c r="A704" s="114" t="s">
        <v>7061</v>
      </c>
      <c r="B704" s="114" t="s">
        <v>7063</v>
      </c>
      <c r="C704" s="113">
        <v>2020</v>
      </c>
      <c r="D704" s="112">
        <v>20</v>
      </c>
      <c r="E704" s="112">
        <v>177.02374900000001</v>
      </c>
      <c r="F704" s="112">
        <v>60.358238</v>
      </c>
      <c r="G704" s="112">
        <v>117.720417</v>
      </c>
      <c r="H704" s="112">
        <v>30.190446000000001</v>
      </c>
      <c r="I704" s="112">
        <v>10.515414</v>
      </c>
      <c r="J704" s="112">
        <v>12.984597000000001</v>
      </c>
      <c r="K704" s="112">
        <v>2.4691830000000001</v>
      </c>
      <c r="L704" s="112">
        <v>21.135786</v>
      </c>
      <c r="M704" s="112">
        <v>20.047899999999998</v>
      </c>
      <c r="N704" s="112">
        <v>1.0878859999999999</v>
      </c>
      <c r="O704" s="110"/>
      <c r="P704" s="110"/>
      <c r="Q704" s="110"/>
    </row>
    <row r="705" spans="1:17" s="117" customFormat="1" ht="31.75" customHeight="1">
      <c r="A705" s="109" t="s">
        <v>7064</v>
      </c>
      <c r="B705" s="109" t="s">
        <v>7065</v>
      </c>
      <c r="C705" s="98">
        <v>2008</v>
      </c>
      <c r="D705" s="99">
        <v>165</v>
      </c>
      <c r="E705" s="99">
        <v>263</v>
      </c>
      <c r="F705" s="99">
        <v>104</v>
      </c>
      <c r="G705" s="99">
        <v>161</v>
      </c>
      <c r="H705" s="99">
        <v>82</v>
      </c>
      <c r="I705" s="99">
        <v>6</v>
      </c>
      <c r="J705" s="99">
        <v>9</v>
      </c>
      <c r="K705" s="99">
        <v>3</v>
      </c>
      <c r="L705" s="99">
        <v>47</v>
      </c>
      <c r="M705" s="99">
        <v>44</v>
      </c>
      <c r="N705" s="99">
        <v>2</v>
      </c>
      <c r="O705" s="100"/>
      <c r="P705" s="100"/>
      <c r="Q705" s="100"/>
    </row>
    <row r="706" spans="1:17" s="117" customFormat="1" ht="31.75" customHeight="1">
      <c r="A706" s="109" t="s">
        <v>7064</v>
      </c>
      <c r="B706" s="109" t="s">
        <v>7065</v>
      </c>
      <c r="C706" s="98">
        <v>2009</v>
      </c>
      <c r="D706" s="99">
        <v>162</v>
      </c>
      <c r="E706" s="99">
        <v>321</v>
      </c>
      <c r="F706" s="99">
        <v>123</v>
      </c>
      <c r="G706" s="99">
        <v>199</v>
      </c>
      <c r="H706" s="99">
        <v>92</v>
      </c>
      <c r="I706" s="99">
        <v>7</v>
      </c>
      <c r="J706" s="99">
        <v>11</v>
      </c>
      <c r="K706" s="99">
        <v>4</v>
      </c>
      <c r="L706" s="99">
        <v>61</v>
      </c>
      <c r="M706" s="99">
        <v>59</v>
      </c>
      <c r="N706" s="99">
        <v>2</v>
      </c>
      <c r="O706" s="100"/>
      <c r="P706" s="100"/>
      <c r="Q706" s="100"/>
    </row>
    <row r="707" spans="1:17" s="117" customFormat="1" ht="31.75" customHeight="1">
      <c r="A707" s="109" t="s">
        <v>7064</v>
      </c>
      <c r="B707" s="109" t="s">
        <v>7065</v>
      </c>
      <c r="C707" s="98">
        <v>2010</v>
      </c>
      <c r="D707" s="99">
        <v>164</v>
      </c>
      <c r="E707" s="99">
        <v>318</v>
      </c>
      <c r="F707" s="99">
        <v>136</v>
      </c>
      <c r="G707" s="99">
        <v>189</v>
      </c>
      <c r="H707" s="99">
        <v>100</v>
      </c>
      <c r="I707" s="99">
        <v>-2</v>
      </c>
      <c r="J707" s="99">
        <v>6</v>
      </c>
      <c r="K707" s="99">
        <v>7</v>
      </c>
      <c r="L707" s="99">
        <v>47</v>
      </c>
      <c r="M707" s="99">
        <v>40</v>
      </c>
      <c r="N707" s="99">
        <v>7</v>
      </c>
      <c r="O707" s="110"/>
      <c r="P707" s="110"/>
      <c r="Q707" s="110"/>
    </row>
    <row r="708" spans="1:17" s="117" customFormat="1" ht="31.75" customHeight="1">
      <c r="A708" s="109" t="s">
        <v>7064</v>
      </c>
      <c r="B708" s="109" t="s">
        <v>7065</v>
      </c>
      <c r="C708" s="98">
        <v>2011</v>
      </c>
      <c r="D708" s="99">
        <v>155</v>
      </c>
      <c r="E708" s="99">
        <v>304</v>
      </c>
      <c r="F708" s="99">
        <v>113</v>
      </c>
      <c r="G708" s="99">
        <v>183</v>
      </c>
      <c r="H708" s="99">
        <v>85</v>
      </c>
      <c r="I708" s="99">
        <v>7</v>
      </c>
      <c r="J708" s="99">
        <v>8</v>
      </c>
      <c r="K708" s="99">
        <v>1</v>
      </c>
      <c r="L708" s="99">
        <v>40</v>
      </c>
      <c r="M708" s="99">
        <v>48</v>
      </c>
      <c r="N708" s="99">
        <v>-8</v>
      </c>
      <c r="O708" s="110"/>
      <c r="P708" s="110"/>
      <c r="Q708" s="110"/>
    </row>
    <row r="709" spans="1:17" s="117" customFormat="1" ht="31.75" customHeight="1">
      <c r="A709" s="109" t="s">
        <v>7064</v>
      </c>
      <c r="B709" s="109" t="s">
        <v>7065</v>
      </c>
      <c r="C709" s="111">
        <v>2012</v>
      </c>
      <c r="D709" s="112">
        <v>141</v>
      </c>
      <c r="E709" s="112">
        <v>414</v>
      </c>
      <c r="F709" s="112">
        <v>138</v>
      </c>
      <c r="G709" s="112">
        <v>275</v>
      </c>
      <c r="H709" s="112">
        <v>91</v>
      </c>
      <c r="I709" s="112">
        <v>5</v>
      </c>
      <c r="J709" s="112">
        <v>6</v>
      </c>
      <c r="K709" s="112">
        <v>1</v>
      </c>
      <c r="L709" s="112">
        <v>65</v>
      </c>
      <c r="M709" s="112">
        <v>66</v>
      </c>
      <c r="N709" s="112">
        <v>-2</v>
      </c>
      <c r="O709" s="100"/>
      <c r="P709" s="100"/>
      <c r="Q709" s="100"/>
    </row>
    <row r="710" spans="1:17" s="117" customFormat="1" ht="31.75" customHeight="1">
      <c r="A710" s="109" t="s">
        <v>7064</v>
      </c>
      <c r="B710" s="109" t="s">
        <v>7065</v>
      </c>
      <c r="C710" s="113">
        <v>2013</v>
      </c>
      <c r="D710" s="112">
        <v>158</v>
      </c>
      <c r="E710" s="112">
        <v>451</v>
      </c>
      <c r="F710" s="112">
        <v>175</v>
      </c>
      <c r="G710" s="112">
        <v>267</v>
      </c>
      <c r="H710" s="112">
        <v>116</v>
      </c>
      <c r="I710" s="112">
        <v>10</v>
      </c>
      <c r="J710" s="112">
        <v>11</v>
      </c>
      <c r="K710" s="112">
        <v>1</v>
      </c>
      <c r="L710" s="112">
        <v>66</v>
      </c>
      <c r="M710" s="112">
        <v>69</v>
      </c>
      <c r="N710" s="112">
        <v>-4</v>
      </c>
      <c r="O710" s="100"/>
      <c r="P710" s="100"/>
      <c r="Q710" s="100"/>
    </row>
    <row r="711" spans="1:17" s="117" customFormat="1" ht="31.75" customHeight="1">
      <c r="A711" s="109" t="s">
        <v>7064</v>
      </c>
      <c r="B711" s="109" t="s">
        <v>7065</v>
      </c>
      <c r="C711" s="113">
        <v>2014</v>
      </c>
      <c r="D711" s="99">
        <v>183</v>
      </c>
      <c r="E711" s="99">
        <v>361</v>
      </c>
      <c r="F711" s="99">
        <v>137</v>
      </c>
      <c r="G711" s="99">
        <v>219</v>
      </c>
      <c r="H711" s="99">
        <v>90</v>
      </c>
      <c r="I711" s="99">
        <v>16</v>
      </c>
      <c r="J711" s="99">
        <v>17</v>
      </c>
      <c r="K711" s="99">
        <v>1</v>
      </c>
      <c r="L711" s="99">
        <v>59</v>
      </c>
      <c r="M711" s="99">
        <v>63</v>
      </c>
      <c r="N711" s="99">
        <v>-4</v>
      </c>
      <c r="O711" s="110"/>
      <c r="P711" s="110"/>
      <c r="Q711" s="110"/>
    </row>
    <row r="712" spans="1:17" s="117" customFormat="1" ht="31.75" customHeight="1">
      <c r="A712" s="109" t="s">
        <v>7064</v>
      </c>
      <c r="B712" s="109" t="s">
        <v>7065</v>
      </c>
      <c r="C712" s="113">
        <v>2015</v>
      </c>
      <c r="D712" s="112">
        <v>185</v>
      </c>
      <c r="E712" s="112">
        <v>367</v>
      </c>
      <c r="F712" s="112">
        <v>141</v>
      </c>
      <c r="G712" s="112">
        <v>218</v>
      </c>
      <c r="H712" s="112">
        <v>88</v>
      </c>
      <c r="I712" s="112">
        <v>11</v>
      </c>
      <c r="J712" s="112">
        <v>14</v>
      </c>
      <c r="K712" s="112">
        <v>3</v>
      </c>
      <c r="L712" s="112">
        <v>49</v>
      </c>
      <c r="M712" s="112">
        <v>56</v>
      </c>
      <c r="N712" s="112">
        <v>-7</v>
      </c>
      <c r="O712" s="110"/>
      <c r="P712" s="110"/>
      <c r="Q712" s="110"/>
    </row>
    <row r="713" spans="1:17" s="117" customFormat="1" ht="31.75" customHeight="1">
      <c r="A713" s="109" t="s">
        <v>7064</v>
      </c>
      <c r="B713" s="109" t="s">
        <v>7065</v>
      </c>
      <c r="C713" s="113">
        <v>2016</v>
      </c>
      <c r="D713" s="112">
        <v>200</v>
      </c>
      <c r="E713" s="112">
        <v>413</v>
      </c>
      <c r="F713" s="112">
        <v>160</v>
      </c>
      <c r="G713" s="112">
        <v>259</v>
      </c>
      <c r="H713" s="112">
        <v>96</v>
      </c>
      <c r="I713" s="112">
        <v>12</v>
      </c>
      <c r="J713" s="112">
        <v>13</v>
      </c>
      <c r="K713" s="112">
        <v>1</v>
      </c>
      <c r="L713" s="112">
        <v>64</v>
      </c>
      <c r="M713" s="112">
        <v>57</v>
      </c>
      <c r="N713" s="112">
        <v>7</v>
      </c>
      <c r="O713" s="110"/>
      <c r="P713" s="110"/>
      <c r="Q713" s="110"/>
    </row>
    <row r="714" spans="1:17" s="117" customFormat="1" ht="31.75" customHeight="1">
      <c r="A714" s="109" t="s">
        <v>7064</v>
      </c>
      <c r="B714" s="109" t="s">
        <v>7065</v>
      </c>
      <c r="C714" s="113">
        <v>2017</v>
      </c>
      <c r="D714" s="112">
        <v>191</v>
      </c>
      <c r="E714" s="112">
        <v>401</v>
      </c>
      <c r="F714" s="112">
        <v>186</v>
      </c>
      <c r="G714" s="112">
        <v>213</v>
      </c>
      <c r="H714" s="112">
        <v>90</v>
      </c>
      <c r="I714" s="112">
        <v>11</v>
      </c>
      <c r="J714" s="112">
        <v>14</v>
      </c>
      <c r="K714" s="112">
        <v>3</v>
      </c>
      <c r="L714" s="112">
        <v>56</v>
      </c>
      <c r="M714" s="112">
        <v>57</v>
      </c>
      <c r="N714" s="112">
        <v>-1</v>
      </c>
      <c r="O714" s="110"/>
      <c r="P714" s="110"/>
      <c r="Q714" s="110"/>
    </row>
    <row r="715" spans="1:17" s="117" customFormat="1" ht="31.75" customHeight="1">
      <c r="A715" s="109" t="s">
        <v>7064</v>
      </c>
      <c r="B715" s="109" t="s">
        <v>7065</v>
      </c>
      <c r="C715" s="113">
        <v>2018</v>
      </c>
      <c r="D715" s="112">
        <v>201</v>
      </c>
      <c r="E715" s="112">
        <v>453</v>
      </c>
      <c r="F715" s="112">
        <v>169</v>
      </c>
      <c r="G715" s="112">
        <v>286</v>
      </c>
      <c r="H715" s="112">
        <v>104</v>
      </c>
      <c r="I715" s="112">
        <v>19</v>
      </c>
      <c r="J715" s="112">
        <v>21</v>
      </c>
      <c r="K715" s="112">
        <v>2</v>
      </c>
      <c r="L715" s="112">
        <v>75</v>
      </c>
      <c r="M715" s="112">
        <v>72</v>
      </c>
      <c r="N715" s="112">
        <v>3</v>
      </c>
      <c r="O715" s="100"/>
      <c r="P715" s="100"/>
      <c r="Q715" s="100"/>
    </row>
    <row r="716" spans="1:17" s="117" customFormat="1" ht="31.75" customHeight="1">
      <c r="A716" s="109" t="s">
        <v>7064</v>
      </c>
      <c r="B716" s="109" t="s">
        <v>7065</v>
      </c>
      <c r="C716" s="113">
        <v>2019</v>
      </c>
      <c r="D716" s="112">
        <v>210</v>
      </c>
      <c r="E716" s="112">
        <v>493.45583599999998</v>
      </c>
      <c r="F716" s="112">
        <v>137.92180200000001</v>
      </c>
      <c r="G716" s="112">
        <v>352.41706499999998</v>
      </c>
      <c r="H716" s="112">
        <v>122.960858</v>
      </c>
      <c r="I716" s="112">
        <v>23.999006999999999</v>
      </c>
      <c r="J716" s="112">
        <v>27.284721000000001</v>
      </c>
      <c r="K716" s="112">
        <v>3.285714</v>
      </c>
      <c r="L716" s="112">
        <v>81.935498999999993</v>
      </c>
      <c r="M716" s="112">
        <v>84.477019999999996</v>
      </c>
      <c r="N716" s="112">
        <v>-2.5415209999999999</v>
      </c>
      <c r="O716" s="110"/>
      <c r="P716" s="110"/>
      <c r="Q716" s="110"/>
    </row>
    <row r="717" spans="1:17" s="117" customFormat="1" ht="31.75" customHeight="1">
      <c r="A717" s="114" t="s">
        <v>7064</v>
      </c>
      <c r="B717" s="114" t="s">
        <v>7066</v>
      </c>
      <c r="C717" s="113">
        <v>2020</v>
      </c>
      <c r="D717" s="112">
        <v>231</v>
      </c>
      <c r="E717" s="112">
        <v>447.02030999999999</v>
      </c>
      <c r="F717" s="112">
        <v>175.26235199999999</v>
      </c>
      <c r="G717" s="112">
        <v>267.22258799999997</v>
      </c>
      <c r="H717" s="112">
        <v>119.19359900000001</v>
      </c>
      <c r="I717" s="112">
        <v>16.203847</v>
      </c>
      <c r="J717" s="112">
        <v>16.571674000000002</v>
      </c>
      <c r="K717" s="112" t="s">
        <v>6952</v>
      </c>
      <c r="L717" s="112">
        <v>72.240797999999998</v>
      </c>
      <c r="M717" s="112">
        <v>77.426575</v>
      </c>
      <c r="N717" s="112">
        <v>-5.1857769999999999</v>
      </c>
      <c r="O717" s="100"/>
      <c r="P717" s="100"/>
      <c r="Q717" s="100"/>
    </row>
    <row r="718" spans="1:17" s="117" customFormat="1" ht="31.75" customHeight="1">
      <c r="A718" s="109" t="s">
        <v>7067</v>
      </c>
      <c r="B718" s="109" t="s">
        <v>7068</v>
      </c>
      <c r="C718" s="98">
        <v>2008</v>
      </c>
      <c r="D718" s="99">
        <v>499</v>
      </c>
      <c r="E718" s="99">
        <v>350</v>
      </c>
      <c r="F718" s="99">
        <v>120</v>
      </c>
      <c r="G718" s="99">
        <v>245</v>
      </c>
      <c r="H718" s="99">
        <v>75</v>
      </c>
      <c r="I718" s="99">
        <v>3</v>
      </c>
      <c r="J718" s="99">
        <v>3</v>
      </c>
      <c r="K718" s="99" t="s">
        <v>6952</v>
      </c>
      <c r="L718" s="99">
        <v>54</v>
      </c>
      <c r="M718" s="99">
        <v>51</v>
      </c>
      <c r="N718" s="99">
        <v>3</v>
      </c>
      <c r="O718" s="100"/>
      <c r="P718" s="100"/>
      <c r="Q718" s="100"/>
    </row>
    <row r="719" spans="1:17" s="117" customFormat="1" ht="31.75" customHeight="1">
      <c r="A719" s="109" t="s">
        <v>7067</v>
      </c>
      <c r="B719" s="109" t="s">
        <v>7068</v>
      </c>
      <c r="C719" s="98">
        <v>2009</v>
      </c>
      <c r="D719" s="99">
        <v>445</v>
      </c>
      <c r="E719" s="99">
        <v>230</v>
      </c>
      <c r="F719" s="99">
        <v>121</v>
      </c>
      <c r="G719" s="99">
        <v>114</v>
      </c>
      <c r="H719" s="99">
        <v>68</v>
      </c>
      <c r="I719" s="99">
        <v>10</v>
      </c>
      <c r="J719" s="99">
        <v>11</v>
      </c>
      <c r="K719" s="99">
        <v>1</v>
      </c>
      <c r="L719" s="99">
        <v>22</v>
      </c>
      <c r="M719" s="99">
        <v>14</v>
      </c>
      <c r="N719" s="99">
        <v>7</v>
      </c>
      <c r="O719" s="110"/>
      <c r="P719" s="110"/>
      <c r="Q719" s="110"/>
    </row>
    <row r="720" spans="1:17" s="117" customFormat="1" ht="31.75" customHeight="1">
      <c r="A720" s="109" t="s">
        <v>7067</v>
      </c>
      <c r="B720" s="109" t="s">
        <v>7068</v>
      </c>
      <c r="C720" s="98">
        <v>2010</v>
      </c>
      <c r="D720" s="99">
        <v>404</v>
      </c>
      <c r="E720" s="99">
        <v>221</v>
      </c>
      <c r="F720" s="99">
        <v>96</v>
      </c>
      <c r="G720" s="99">
        <v>123</v>
      </c>
      <c r="H720" s="99">
        <v>41</v>
      </c>
      <c r="I720" s="99">
        <v>5</v>
      </c>
      <c r="J720" s="99">
        <v>6</v>
      </c>
      <c r="K720" s="99">
        <v>1</v>
      </c>
      <c r="L720" s="99">
        <v>62</v>
      </c>
      <c r="M720" s="99">
        <v>62</v>
      </c>
      <c r="N720" s="99" t="s">
        <v>6952</v>
      </c>
      <c r="O720" s="110"/>
      <c r="P720" s="110"/>
      <c r="Q720" s="110"/>
    </row>
    <row r="721" spans="1:17" s="117" customFormat="1" ht="31.75" customHeight="1">
      <c r="A721" s="109" t="s">
        <v>7067</v>
      </c>
      <c r="B721" s="109" t="s">
        <v>7068</v>
      </c>
      <c r="C721" s="98">
        <v>2011</v>
      </c>
      <c r="D721" s="99">
        <v>382</v>
      </c>
      <c r="E721" s="99">
        <v>210</v>
      </c>
      <c r="F721" s="99">
        <v>78</v>
      </c>
      <c r="G721" s="99">
        <v>135</v>
      </c>
      <c r="H721" s="99">
        <v>42</v>
      </c>
      <c r="I721" s="99">
        <v>5</v>
      </c>
      <c r="J721" s="99">
        <v>6</v>
      </c>
      <c r="K721" s="99" t="s">
        <v>6952</v>
      </c>
      <c r="L721" s="99">
        <v>29</v>
      </c>
      <c r="M721" s="99">
        <v>26</v>
      </c>
      <c r="N721" s="99">
        <v>3</v>
      </c>
      <c r="O721" s="100"/>
      <c r="P721" s="100"/>
      <c r="Q721" s="100"/>
    </row>
    <row r="722" spans="1:17" s="117" customFormat="1" ht="31.75" customHeight="1">
      <c r="A722" s="109" t="s">
        <v>7067</v>
      </c>
      <c r="B722" s="109" t="s">
        <v>7068</v>
      </c>
      <c r="C722" s="111">
        <v>2012</v>
      </c>
      <c r="D722" s="112">
        <v>348</v>
      </c>
      <c r="E722" s="112">
        <v>268</v>
      </c>
      <c r="F722" s="112">
        <v>132</v>
      </c>
      <c r="G722" s="112">
        <v>136</v>
      </c>
      <c r="H722" s="112">
        <v>58</v>
      </c>
      <c r="I722" s="112">
        <v>6</v>
      </c>
      <c r="J722" s="112">
        <v>6</v>
      </c>
      <c r="K722" s="99" t="s">
        <v>6952</v>
      </c>
      <c r="L722" s="112">
        <v>28</v>
      </c>
      <c r="M722" s="112">
        <v>27</v>
      </c>
      <c r="N722" s="112">
        <v>1</v>
      </c>
      <c r="O722" s="100"/>
      <c r="P722" s="100"/>
      <c r="Q722" s="100"/>
    </row>
    <row r="723" spans="1:17" s="117" customFormat="1" ht="31.75" customHeight="1">
      <c r="A723" s="109" t="s">
        <v>7067</v>
      </c>
      <c r="B723" s="109" t="s">
        <v>7068</v>
      </c>
      <c r="C723" s="113">
        <v>2013</v>
      </c>
      <c r="D723" s="112">
        <v>339</v>
      </c>
      <c r="E723" s="112">
        <v>209</v>
      </c>
      <c r="F723" s="112">
        <v>97</v>
      </c>
      <c r="G723" s="112">
        <v>112</v>
      </c>
      <c r="H723" s="112">
        <v>40</v>
      </c>
      <c r="I723" s="112">
        <v>4</v>
      </c>
      <c r="J723" s="112">
        <v>4</v>
      </c>
      <c r="K723" s="99" t="s">
        <v>6952</v>
      </c>
      <c r="L723" s="112">
        <v>27</v>
      </c>
      <c r="M723" s="112">
        <v>25</v>
      </c>
      <c r="N723" s="112">
        <v>1</v>
      </c>
      <c r="O723" s="110"/>
      <c r="P723" s="110"/>
      <c r="Q723" s="110"/>
    </row>
    <row r="724" spans="1:17" s="117" customFormat="1" ht="31.75" customHeight="1">
      <c r="A724" s="109" t="s">
        <v>7067</v>
      </c>
      <c r="B724" s="109" t="s">
        <v>7068</v>
      </c>
      <c r="C724" s="113">
        <v>2014</v>
      </c>
      <c r="D724" s="99">
        <v>298</v>
      </c>
      <c r="E724" s="99">
        <v>254</v>
      </c>
      <c r="F724" s="99">
        <v>107</v>
      </c>
      <c r="G724" s="99">
        <v>149</v>
      </c>
      <c r="H724" s="99">
        <v>74</v>
      </c>
      <c r="I724" s="99">
        <v>3</v>
      </c>
      <c r="J724" s="99">
        <v>7</v>
      </c>
      <c r="K724" s="99">
        <v>3</v>
      </c>
      <c r="L724" s="99">
        <v>30</v>
      </c>
      <c r="M724" s="99">
        <v>27</v>
      </c>
      <c r="N724" s="99">
        <v>2</v>
      </c>
      <c r="O724" s="110"/>
      <c r="P724" s="110"/>
      <c r="Q724" s="110"/>
    </row>
    <row r="725" spans="1:17" s="117" customFormat="1" ht="31.75" customHeight="1">
      <c r="A725" s="109" t="s">
        <v>7067</v>
      </c>
      <c r="B725" s="109" t="s">
        <v>7068</v>
      </c>
      <c r="C725" s="113">
        <v>2015</v>
      </c>
      <c r="D725" s="112">
        <v>270</v>
      </c>
      <c r="E725" s="112">
        <v>210</v>
      </c>
      <c r="F725" s="112">
        <v>51</v>
      </c>
      <c r="G725" s="112">
        <v>160</v>
      </c>
      <c r="H725" s="112">
        <v>43</v>
      </c>
      <c r="I725" s="112">
        <v>2</v>
      </c>
      <c r="J725" s="112">
        <v>3</v>
      </c>
      <c r="K725" s="112" t="s">
        <v>6952</v>
      </c>
      <c r="L725" s="112">
        <v>21</v>
      </c>
      <c r="M725" s="112">
        <v>20</v>
      </c>
      <c r="N725" s="112">
        <v>1</v>
      </c>
      <c r="O725" s="110"/>
      <c r="P725" s="110"/>
      <c r="Q725" s="110"/>
    </row>
    <row r="726" spans="1:17" s="117" customFormat="1" ht="31.75" customHeight="1">
      <c r="A726" s="109" t="s">
        <v>7067</v>
      </c>
      <c r="B726" s="109" t="s">
        <v>7068</v>
      </c>
      <c r="C726" s="113">
        <v>2016</v>
      </c>
      <c r="D726" s="112">
        <v>261</v>
      </c>
      <c r="E726" s="112">
        <v>209</v>
      </c>
      <c r="F726" s="112">
        <v>91</v>
      </c>
      <c r="G726" s="112">
        <v>118</v>
      </c>
      <c r="H726" s="112">
        <v>54</v>
      </c>
      <c r="I726" s="112">
        <v>8</v>
      </c>
      <c r="J726" s="112">
        <v>8</v>
      </c>
      <c r="K726" s="112" t="s">
        <v>6952</v>
      </c>
      <c r="L726" s="112">
        <v>21</v>
      </c>
      <c r="M726" s="112">
        <v>20</v>
      </c>
      <c r="N726" s="112" t="s">
        <v>6952</v>
      </c>
      <c r="O726" s="110"/>
      <c r="P726" s="110"/>
      <c r="Q726" s="110"/>
    </row>
    <row r="727" spans="1:17" s="117" customFormat="1" ht="31.75" customHeight="1">
      <c r="A727" s="109" t="s">
        <v>7067</v>
      </c>
      <c r="B727" s="109" t="s">
        <v>7068</v>
      </c>
      <c r="C727" s="113">
        <v>2017</v>
      </c>
      <c r="D727" s="112">
        <v>287</v>
      </c>
      <c r="E727" s="112">
        <v>325</v>
      </c>
      <c r="F727" s="112">
        <v>168</v>
      </c>
      <c r="G727" s="112">
        <v>157</v>
      </c>
      <c r="H727" s="112">
        <v>146</v>
      </c>
      <c r="I727" s="112">
        <v>8</v>
      </c>
      <c r="J727" s="112">
        <v>9</v>
      </c>
      <c r="K727" s="112">
        <v>1</v>
      </c>
      <c r="L727" s="112">
        <v>29</v>
      </c>
      <c r="M727" s="112">
        <v>27</v>
      </c>
      <c r="N727" s="112">
        <v>2</v>
      </c>
      <c r="O727" s="100"/>
      <c r="P727" s="100"/>
      <c r="Q727" s="100"/>
    </row>
    <row r="728" spans="1:17" s="117" customFormat="1" ht="31.75" customHeight="1">
      <c r="A728" s="109" t="s">
        <v>7067</v>
      </c>
      <c r="B728" s="109" t="s">
        <v>7068</v>
      </c>
      <c r="C728" s="113">
        <v>2018</v>
      </c>
      <c r="D728" s="112">
        <v>353</v>
      </c>
      <c r="E728" s="112">
        <v>246</v>
      </c>
      <c r="F728" s="112">
        <v>91</v>
      </c>
      <c r="G728" s="112">
        <v>158</v>
      </c>
      <c r="H728" s="112">
        <v>47</v>
      </c>
      <c r="I728" s="112">
        <v>6</v>
      </c>
      <c r="J728" s="112">
        <v>7</v>
      </c>
      <c r="K728" s="112" t="s">
        <v>6952</v>
      </c>
      <c r="L728" s="112">
        <v>46</v>
      </c>
      <c r="M728" s="112">
        <v>42</v>
      </c>
      <c r="N728" s="112">
        <v>4</v>
      </c>
      <c r="O728" s="110"/>
      <c r="P728" s="110"/>
      <c r="Q728" s="110"/>
    </row>
    <row r="729" spans="1:17" s="117" customFormat="1" ht="31.75" customHeight="1">
      <c r="A729" s="109" t="s">
        <v>7067</v>
      </c>
      <c r="B729" s="109" t="s">
        <v>7068</v>
      </c>
      <c r="C729" s="113">
        <v>2019</v>
      </c>
      <c r="D729" s="112">
        <v>352</v>
      </c>
      <c r="E729" s="112">
        <v>242.006359</v>
      </c>
      <c r="F729" s="112">
        <v>91.489514</v>
      </c>
      <c r="G729" s="112">
        <v>150.94001700000001</v>
      </c>
      <c r="H729" s="112">
        <v>59.724434000000002</v>
      </c>
      <c r="I729" s="112">
        <v>10.207287000000001</v>
      </c>
      <c r="J729" s="112">
        <v>10.49305</v>
      </c>
      <c r="K729" s="112" t="s">
        <v>6952</v>
      </c>
      <c r="L729" s="112">
        <v>19.069379000000001</v>
      </c>
      <c r="M729" s="112">
        <v>19.091740999999999</v>
      </c>
      <c r="N729" s="112" t="s">
        <v>6952</v>
      </c>
      <c r="O729" s="100"/>
      <c r="P729" s="100"/>
      <c r="Q729" s="100"/>
    </row>
    <row r="730" spans="1:17" s="117" customFormat="1" ht="31.75" customHeight="1">
      <c r="A730" s="114" t="s">
        <v>7067</v>
      </c>
      <c r="B730" s="109" t="s">
        <v>7068</v>
      </c>
      <c r="C730" s="113">
        <v>2020</v>
      </c>
      <c r="D730" s="112">
        <v>309</v>
      </c>
      <c r="E730" s="112">
        <v>200.26615899999999</v>
      </c>
      <c r="F730" s="112">
        <v>85.651285000000001</v>
      </c>
      <c r="G730" s="112">
        <v>118.88595100000001</v>
      </c>
      <c r="H730" s="112">
        <v>49.199109</v>
      </c>
      <c r="I730" s="112">
        <v>5.791347</v>
      </c>
      <c r="J730" s="112">
        <v>5.9944600000000001</v>
      </c>
      <c r="K730" s="112" t="s">
        <v>6952</v>
      </c>
      <c r="L730" s="112">
        <v>32.276007999999997</v>
      </c>
      <c r="M730" s="112">
        <v>31.754390000000001</v>
      </c>
      <c r="N730" s="112" t="s">
        <v>6953</v>
      </c>
      <c r="O730" s="100"/>
      <c r="P730" s="100"/>
      <c r="Q730" s="100"/>
    </row>
    <row r="731" spans="1:17" s="117" customFormat="1" ht="17.5" customHeight="1">
      <c r="A731" s="109" t="s">
        <v>7069</v>
      </c>
      <c r="B731" s="109" t="s">
        <v>7070</v>
      </c>
      <c r="C731" s="98">
        <v>2008</v>
      </c>
      <c r="D731" s="99">
        <v>3825</v>
      </c>
      <c r="E731" s="99">
        <v>2925</v>
      </c>
      <c r="F731" s="99">
        <v>930</v>
      </c>
      <c r="G731" s="99">
        <v>2001</v>
      </c>
      <c r="H731" s="99">
        <v>515</v>
      </c>
      <c r="I731" s="99">
        <v>14</v>
      </c>
      <c r="J731" s="99">
        <v>26</v>
      </c>
      <c r="K731" s="99">
        <v>12</v>
      </c>
      <c r="L731" s="99">
        <v>522</v>
      </c>
      <c r="M731" s="99">
        <v>518</v>
      </c>
      <c r="N731" s="99">
        <v>4</v>
      </c>
      <c r="O731" s="110"/>
      <c r="P731" s="110"/>
      <c r="Q731" s="110"/>
    </row>
    <row r="732" spans="1:17" s="117" customFormat="1" ht="17.5" customHeight="1">
      <c r="A732" s="109" t="s">
        <v>7069</v>
      </c>
      <c r="B732" s="109" t="s">
        <v>7070</v>
      </c>
      <c r="C732" s="98">
        <v>2009</v>
      </c>
      <c r="D732" s="99">
        <v>3572</v>
      </c>
      <c r="E732" s="99">
        <v>2561</v>
      </c>
      <c r="F732" s="99">
        <v>651</v>
      </c>
      <c r="G732" s="99">
        <v>1862</v>
      </c>
      <c r="H732" s="99">
        <v>445</v>
      </c>
      <c r="I732" s="99">
        <v>15</v>
      </c>
      <c r="J732" s="99">
        <v>20</v>
      </c>
      <c r="K732" s="99">
        <v>5</v>
      </c>
      <c r="L732" s="99">
        <v>386</v>
      </c>
      <c r="M732" s="99">
        <v>428</v>
      </c>
      <c r="N732" s="99">
        <v>-42</v>
      </c>
      <c r="O732" s="110"/>
      <c r="P732" s="110"/>
      <c r="Q732" s="110"/>
    </row>
    <row r="733" spans="1:17" s="117" customFormat="1" ht="17.5" customHeight="1">
      <c r="A733" s="109" t="s">
        <v>7069</v>
      </c>
      <c r="B733" s="109" t="s">
        <v>7070</v>
      </c>
      <c r="C733" s="98">
        <v>2010</v>
      </c>
      <c r="D733" s="99">
        <v>3389</v>
      </c>
      <c r="E733" s="99">
        <v>2816</v>
      </c>
      <c r="F733" s="99">
        <v>885</v>
      </c>
      <c r="G733" s="99">
        <v>1928</v>
      </c>
      <c r="H733" s="99">
        <v>450</v>
      </c>
      <c r="I733" s="99">
        <v>24</v>
      </c>
      <c r="J733" s="99">
        <v>28</v>
      </c>
      <c r="K733" s="99">
        <v>4</v>
      </c>
      <c r="L733" s="99">
        <v>482</v>
      </c>
      <c r="M733" s="99">
        <v>476</v>
      </c>
      <c r="N733" s="99">
        <v>6</v>
      </c>
      <c r="O733" s="100"/>
      <c r="P733" s="100"/>
      <c r="Q733" s="100"/>
    </row>
    <row r="734" spans="1:17" s="117" customFormat="1" ht="17.5" customHeight="1">
      <c r="A734" s="109" t="s">
        <v>7069</v>
      </c>
      <c r="B734" s="109" t="s">
        <v>7070</v>
      </c>
      <c r="C734" s="98">
        <v>2011</v>
      </c>
      <c r="D734" s="99">
        <v>3378</v>
      </c>
      <c r="E734" s="99">
        <v>2834</v>
      </c>
      <c r="F734" s="99">
        <v>831</v>
      </c>
      <c r="G734" s="99">
        <v>2009</v>
      </c>
      <c r="H734" s="99">
        <v>479</v>
      </c>
      <c r="I734" s="99">
        <v>49</v>
      </c>
      <c r="J734" s="99">
        <v>52</v>
      </c>
      <c r="K734" s="99">
        <v>3</v>
      </c>
      <c r="L734" s="99">
        <v>369</v>
      </c>
      <c r="M734" s="99">
        <v>352</v>
      </c>
      <c r="N734" s="99">
        <v>18</v>
      </c>
      <c r="O734" s="100"/>
      <c r="P734" s="100"/>
      <c r="Q734" s="100"/>
    </row>
    <row r="735" spans="1:17" s="117" customFormat="1" ht="17.5" customHeight="1">
      <c r="A735" s="109" t="s">
        <v>7069</v>
      </c>
      <c r="B735" s="109" t="s">
        <v>7070</v>
      </c>
      <c r="C735" s="111">
        <v>2012</v>
      </c>
      <c r="D735" s="112">
        <v>3384</v>
      </c>
      <c r="E735" s="112">
        <v>2653</v>
      </c>
      <c r="F735" s="112">
        <v>744</v>
      </c>
      <c r="G735" s="112">
        <v>1895</v>
      </c>
      <c r="H735" s="112">
        <v>444</v>
      </c>
      <c r="I735" s="112">
        <v>13</v>
      </c>
      <c r="J735" s="112">
        <v>29</v>
      </c>
      <c r="K735" s="112">
        <v>16</v>
      </c>
      <c r="L735" s="112">
        <v>336</v>
      </c>
      <c r="M735" s="112">
        <v>348</v>
      </c>
      <c r="N735" s="112">
        <v>-13</v>
      </c>
      <c r="O735" s="110"/>
      <c r="P735" s="110"/>
      <c r="Q735" s="110"/>
    </row>
    <row r="736" spans="1:17" s="117" customFormat="1" ht="17.5" customHeight="1">
      <c r="A736" s="109" t="s">
        <v>7069</v>
      </c>
      <c r="B736" s="109" t="s">
        <v>7070</v>
      </c>
      <c r="C736" s="113">
        <v>2013</v>
      </c>
      <c r="D736" s="112">
        <v>3392</v>
      </c>
      <c r="E736" s="112">
        <v>2749</v>
      </c>
      <c r="F736" s="112">
        <v>911</v>
      </c>
      <c r="G736" s="112">
        <v>1848</v>
      </c>
      <c r="H736" s="112">
        <v>522</v>
      </c>
      <c r="I736" s="112">
        <v>33</v>
      </c>
      <c r="J736" s="112">
        <v>39</v>
      </c>
      <c r="K736" s="112">
        <v>6</v>
      </c>
      <c r="L736" s="112">
        <v>310</v>
      </c>
      <c r="M736" s="112">
        <v>301</v>
      </c>
      <c r="N736" s="112">
        <v>9</v>
      </c>
      <c r="O736" s="110"/>
      <c r="P736" s="110"/>
      <c r="Q736" s="110"/>
    </row>
    <row r="737" spans="1:17" s="117" customFormat="1" ht="17.5" customHeight="1">
      <c r="A737" s="109" t="s">
        <v>7069</v>
      </c>
      <c r="B737" s="109" t="s">
        <v>7070</v>
      </c>
      <c r="C737" s="113">
        <v>2014</v>
      </c>
      <c r="D737" s="99">
        <v>3412</v>
      </c>
      <c r="E737" s="99">
        <v>2861</v>
      </c>
      <c r="F737" s="99">
        <v>845</v>
      </c>
      <c r="G737" s="99">
        <v>2034</v>
      </c>
      <c r="H737" s="99">
        <v>532</v>
      </c>
      <c r="I737" s="99">
        <v>33</v>
      </c>
      <c r="J737" s="99">
        <v>34</v>
      </c>
      <c r="K737" s="99">
        <v>2</v>
      </c>
      <c r="L737" s="99">
        <v>366</v>
      </c>
      <c r="M737" s="99">
        <v>352</v>
      </c>
      <c r="N737" s="99">
        <v>13</v>
      </c>
      <c r="O737" s="110"/>
      <c r="P737" s="110"/>
      <c r="Q737" s="110"/>
    </row>
    <row r="738" spans="1:17" s="117" customFormat="1" ht="17.5" customHeight="1">
      <c r="A738" s="109" t="s">
        <v>7069</v>
      </c>
      <c r="B738" s="109" t="s">
        <v>7070</v>
      </c>
      <c r="C738" s="113">
        <v>2015</v>
      </c>
      <c r="D738" s="112">
        <v>3617</v>
      </c>
      <c r="E738" s="112">
        <v>3375</v>
      </c>
      <c r="F738" s="112">
        <v>1018</v>
      </c>
      <c r="G738" s="112">
        <v>2350</v>
      </c>
      <c r="H738" s="112">
        <v>590</v>
      </c>
      <c r="I738" s="112">
        <v>35</v>
      </c>
      <c r="J738" s="112">
        <v>41</v>
      </c>
      <c r="K738" s="112">
        <v>6</v>
      </c>
      <c r="L738" s="112">
        <v>436</v>
      </c>
      <c r="M738" s="112">
        <v>445</v>
      </c>
      <c r="N738" s="112">
        <v>-10</v>
      </c>
      <c r="O738" s="110"/>
      <c r="P738" s="110"/>
      <c r="Q738" s="110"/>
    </row>
    <row r="739" spans="1:17" s="117" customFormat="1" ht="17.5" customHeight="1">
      <c r="A739" s="109" t="s">
        <v>7069</v>
      </c>
      <c r="B739" s="109" t="s">
        <v>7070</v>
      </c>
      <c r="C739" s="113">
        <v>2016</v>
      </c>
      <c r="D739" s="112">
        <v>3856</v>
      </c>
      <c r="E739" s="112">
        <v>2679</v>
      </c>
      <c r="F739" s="112">
        <v>711</v>
      </c>
      <c r="G739" s="112">
        <v>1995</v>
      </c>
      <c r="H739" s="112">
        <v>590</v>
      </c>
      <c r="I739" s="112">
        <v>28</v>
      </c>
      <c r="J739" s="112">
        <v>42</v>
      </c>
      <c r="K739" s="112">
        <v>15</v>
      </c>
      <c r="L739" s="112">
        <v>292</v>
      </c>
      <c r="M739" s="112">
        <v>262</v>
      </c>
      <c r="N739" s="112">
        <v>29</v>
      </c>
      <c r="O739" s="100"/>
      <c r="P739" s="100"/>
      <c r="Q739" s="100"/>
    </row>
    <row r="740" spans="1:17" s="117" customFormat="1" ht="17.5" customHeight="1">
      <c r="A740" s="109" t="s">
        <v>7069</v>
      </c>
      <c r="B740" s="109" t="s">
        <v>7070</v>
      </c>
      <c r="C740" s="113">
        <v>2017</v>
      </c>
      <c r="D740" s="112">
        <v>3851</v>
      </c>
      <c r="E740" s="112">
        <v>2494</v>
      </c>
      <c r="F740" s="112">
        <v>873</v>
      </c>
      <c r="G740" s="112">
        <v>1657</v>
      </c>
      <c r="H740" s="112">
        <v>500</v>
      </c>
      <c r="I740" s="112">
        <v>48</v>
      </c>
      <c r="J740" s="112">
        <v>50</v>
      </c>
      <c r="K740" s="112">
        <v>2</v>
      </c>
      <c r="L740" s="112">
        <v>323</v>
      </c>
      <c r="M740" s="112">
        <v>282</v>
      </c>
      <c r="N740" s="112">
        <v>41</v>
      </c>
      <c r="O740" s="110"/>
      <c r="P740" s="110"/>
      <c r="Q740" s="110"/>
    </row>
    <row r="741" spans="1:17" s="117" customFormat="1" ht="17.5" customHeight="1">
      <c r="A741" s="109" t="s">
        <v>7069</v>
      </c>
      <c r="B741" s="109" t="s">
        <v>7070</v>
      </c>
      <c r="C741" s="113">
        <v>2018</v>
      </c>
      <c r="D741" s="112">
        <v>3951</v>
      </c>
      <c r="E741" s="112">
        <v>2460</v>
      </c>
      <c r="F741" s="112">
        <v>1080</v>
      </c>
      <c r="G741" s="112">
        <v>1531</v>
      </c>
      <c r="H741" s="112">
        <v>507</v>
      </c>
      <c r="I741" s="112">
        <v>49</v>
      </c>
      <c r="J741" s="112">
        <v>53</v>
      </c>
      <c r="K741" s="112">
        <v>4</v>
      </c>
      <c r="L741" s="112">
        <v>478</v>
      </c>
      <c r="M741" s="112">
        <v>335</v>
      </c>
      <c r="N741" s="112">
        <v>143</v>
      </c>
      <c r="O741" s="100"/>
      <c r="P741" s="100"/>
      <c r="Q741" s="100"/>
    </row>
    <row r="742" spans="1:17" s="117" customFormat="1" ht="17.5" customHeight="1">
      <c r="A742" s="109" t="s">
        <v>7069</v>
      </c>
      <c r="B742" s="109" t="s">
        <v>7070</v>
      </c>
      <c r="C742" s="113">
        <v>2019</v>
      </c>
      <c r="D742" s="112">
        <v>3877</v>
      </c>
      <c r="E742" s="112">
        <v>2464.1953389999999</v>
      </c>
      <c r="F742" s="112">
        <v>906.50234499999999</v>
      </c>
      <c r="G742" s="112">
        <v>1563.7868289999999</v>
      </c>
      <c r="H742" s="112">
        <v>450.73766899999998</v>
      </c>
      <c r="I742" s="112">
        <v>29.245737999999999</v>
      </c>
      <c r="J742" s="112">
        <v>34.296965</v>
      </c>
      <c r="K742" s="112">
        <v>5.0512269999999999</v>
      </c>
      <c r="L742" s="112">
        <v>413.70036599999997</v>
      </c>
      <c r="M742" s="112">
        <v>406.29791899999998</v>
      </c>
      <c r="N742" s="112">
        <v>7.4024470000000004</v>
      </c>
      <c r="O742" s="100"/>
      <c r="P742" s="100"/>
      <c r="Q742" s="100"/>
    </row>
    <row r="743" spans="1:17" s="117" customFormat="1" ht="17.5" customHeight="1">
      <c r="A743" s="114" t="s">
        <v>7069</v>
      </c>
      <c r="B743" s="114" t="s">
        <v>7070</v>
      </c>
      <c r="C743" s="113">
        <v>2020</v>
      </c>
      <c r="D743" s="112">
        <v>4068</v>
      </c>
      <c r="E743" s="112">
        <v>1838.0614849999999</v>
      </c>
      <c r="F743" s="112" t="s">
        <v>6953</v>
      </c>
      <c r="G743" s="112" t="s">
        <v>6953</v>
      </c>
      <c r="H743" s="112">
        <v>472.60273699999999</v>
      </c>
      <c r="I743" s="112">
        <v>60.840187</v>
      </c>
      <c r="J743" s="112" t="s">
        <v>6953</v>
      </c>
      <c r="K743" s="112" t="s">
        <v>6953</v>
      </c>
      <c r="L743" s="112">
        <v>317.28401100000002</v>
      </c>
      <c r="M743" s="112">
        <v>339.43705199999999</v>
      </c>
      <c r="N743" s="112">
        <v>-22.153041000000002</v>
      </c>
      <c r="O743" s="110"/>
      <c r="P743" s="110"/>
      <c r="Q743" s="110"/>
    </row>
    <row r="744" spans="1:17" s="117" customFormat="1" ht="31.75" customHeight="1">
      <c r="A744" s="109" t="s">
        <v>7071</v>
      </c>
      <c r="B744" s="109" t="s">
        <v>7072</v>
      </c>
      <c r="C744" s="98">
        <v>2008</v>
      </c>
      <c r="D744" s="99">
        <v>3529</v>
      </c>
      <c r="E744" s="99">
        <v>2489</v>
      </c>
      <c r="F744" s="99">
        <v>779</v>
      </c>
      <c r="G744" s="99">
        <v>1706</v>
      </c>
      <c r="H744" s="99">
        <v>421</v>
      </c>
      <c r="I744" s="99">
        <v>13</v>
      </c>
      <c r="J744" s="99">
        <v>24</v>
      </c>
      <c r="K744" s="99">
        <v>11</v>
      </c>
      <c r="L744" s="99">
        <v>438</v>
      </c>
      <c r="M744" s="99">
        <v>444</v>
      </c>
      <c r="N744" s="99">
        <v>-6</v>
      </c>
      <c r="O744" s="110"/>
      <c r="P744" s="110"/>
      <c r="Q744" s="110"/>
    </row>
    <row r="745" spans="1:17" s="117" customFormat="1" ht="31.75" customHeight="1">
      <c r="A745" s="109" t="s">
        <v>7071</v>
      </c>
      <c r="B745" s="109" t="s">
        <v>7072</v>
      </c>
      <c r="C745" s="98">
        <v>2009</v>
      </c>
      <c r="D745" s="99">
        <v>3301</v>
      </c>
      <c r="E745" s="99">
        <v>2249</v>
      </c>
      <c r="F745" s="99">
        <v>577</v>
      </c>
      <c r="G745" s="99">
        <v>1631</v>
      </c>
      <c r="H745" s="99">
        <v>357</v>
      </c>
      <c r="I745" s="99">
        <v>15</v>
      </c>
      <c r="J745" s="99">
        <v>19</v>
      </c>
      <c r="K745" s="99">
        <v>4</v>
      </c>
      <c r="L745" s="99">
        <v>336</v>
      </c>
      <c r="M745" s="99">
        <v>370</v>
      </c>
      <c r="N745" s="99">
        <v>-34</v>
      </c>
      <c r="O745" s="100"/>
      <c r="P745" s="100"/>
      <c r="Q745" s="100"/>
    </row>
    <row r="746" spans="1:17" s="117" customFormat="1" ht="31.75" customHeight="1">
      <c r="A746" s="109" t="s">
        <v>7071</v>
      </c>
      <c r="B746" s="109" t="s">
        <v>7072</v>
      </c>
      <c r="C746" s="98">
        <v>2010</v>
      </c>
      <c r="D746" s="99">
        <v>3126</v>
      </c>
      <c r="E746" s="99">
        <v>2405</v>
      </c>
      <c r="F746" s="99">
        <v>771</v>
      </c>
      <c r="G746" s="99">
        <v>1637</v>
      </c>
      <c r="H746" s="99">
        <v>368</v>
      </c>
      <c r="I746" s="99">
        <v>21</v>
      </c>
      <c r="J746" s="99">
        <v>23</v>
      </c>
      <c r="K746" s="99">
        <v>2</v>
      </c>
      <c r="L746" s="99">
        <v>409</v>
      </c>
      <c r="M746" s="99">
        <v>398</v>
      </c>
      <c r="N746" s="99">
        <v>11</v>
      </c>
      <c r="O746" s="100"/>
      <c r="P746" s="100"/>
      <c r="Q746" s="100"/>
    </row>
    <row r="747" spans="1:17" s="117" customFormat="1" ht="31.75" customHeight="1">
      <c r="A747" s="109" t="s">
        <v>7071</v>
      </c>
      <c r="B747" s="109" t="s">
        <v>7072</v>
      </c>
      <c r="C747" s="98">
        <v>2011</v>
      </c>
      <c r="D747" s="99" t="s">
        <v>6953</v>
      </c>
      <c r="E747" s="99" t="s">
        <v>6953</v>
      </c>
      <c r="F747" s="99" t="s">
        <v>6953</v>
      </c>
      <c r="G747" s="99" t="s">
        <v>6953</v>
      </c>
      <c r="H747" s="99" t="s">
        <v>6953</v>
      </c>
      <c r="I747" s="99" t="s">
        <v>6953</v>
      </c>
      <c r="J747" s="99" t="s">
        <v>6953</v>
      </c>
      <c r="K747" s="99" t="s">
        <v>6953</v>
      </c>
      <c r="L747" s="99" t="s">
        <v>6953</v>
      </c>
      <c r="M747" s="99" t="s">
        <v>6953</v>
      </c>
      <c r="N747" s="99" t="s">
        <v>6953</v>
      </c>
      <c r="O747" s="110"/>
      <c r="P747" s="110"/>
      <c r="Q747" s="110"/>
    </row>
    <row r="748" spans="1:17" s="117" customFormat="1" ht="31.75" customHeight="1">
      <c r="A748" s="109" t="s">
        <v>7071</v>
      </c>
      <c r="B748" s="109" t="s">
        <v>7072</v>
      </c>
      <c r="C748" s="111">
        <v>2012</v>
      </c>
      <c r="D748" s="99" t="s">
        <v>6953</v>
      </c>
      <c r="E748" s="99" t="s">
        <v>6953</v>
      </c>
      <c r="F748" s="99" t="s">
        <v>6953</v>
      </c>
      <c r="G748" s="99" t="s">
        <v>6953</v>
      </c>
      <c r="H748" s="99" t="s">
        <v>6953</v>
      </c>
      <c r="I748" s="99" t="s">
        <v>6953</v>
      </c>
      <c r="J748" s="99" t="s">
        <v>6953</v>
      </c>
      <c r="K748" s="99" t="s">
        <v>6953</v>
      </c>
      <c r="L748" s="99" t="s">
        <v>6953</v>
      </c>
      <c r="M748" s="99" t="s">
        <v>6953</v>
      </c>
      <c r="N748" s="99" t="s">
        <v>6953</v>
      </c>
      <c r="O748" s="110"/>
      <c r="P748" s="110"/>
      <c r="Q748" s="110"/>
    </row>
    <row r="749" spans="1:17" s="117" customFormat="1" ht="31.75" customHeight="1">
      <c r="A749" s="109" t="s">
        <v>7071</v>
      </c>
      <c r="B749" s="109" t="s">
        <v>7072</v>
      </c>
      <c r="C749" s="113">
        <v>2013</v>
      </c>
      <c r="D749" s="99" t="s">
        <v>6953</v>
      </c>
      <c r="E749" s="99" t="s">
        <v>6953</v>
      </c>
      <c r="F749" s="99" t="s">
        <v>6953</v>
      </c>
      <c r="G749" s="99" t="s">
        <v>6953</v>
      </c>
      <c r="H749" s="99" t="s">
        <v>6953</v>
      </c>
      <c r="I749" s="99" t="s">
        <v>6953</v>
      </c>
      <c r="J749" s="99" t="s">
        <v>6953</v>
      </c>
      <c r="K749" s="99" t="s">
        <v>6953</v>
      </c>
      <c r="L749" s="99" t="s">
        <v>6953</v>
      </c>
      <c r="M749" s="99" t="s">
        <v>6953</v>
      </c>
      <c r="N749" s="99" t="s">
        <v>6953</v>
      </c>
      <c r="O749" s="110"/>
      <c r="P749" s="110"/>
      <c r="Q749" s="110"/>
    </row>
    <row r="750" spans="1:17" s="117" customFormat="1" ht="31.75" customHeight="1">
      <c r="A750" s="109" t="s">
        <v>7071</v>
      </c>
      <c r="B750" s="109" t="s">
        <v>7072</v>
      </c>
      <c r="C750" s="113">
        <v>2014</v>
      </c>
      <c r="D750" s="99">
        <v>3196</v>
      </c>
      <c r="E750" s="99">
        <v>2510</v>
      </c>
      <c r="F750" s="99">
        <v>750</v>
      </c>
      <c r="G750" s="99">
        <v>1783</v>
      </c>
      <c r="H750" s="99">
        <v>447</v>
      </c>
      <c r="I750" s="99">
        <v>27</v>
      </c>
      <c r="J750" s="99">
        <v>28</v>
      </c>
      <c r="K750" s="99">
        <v>1</v>
      </c>
      <c r="L750" s="99">
        <v>324</v>
      </c>
      <c r="M750" s="99">
        <v>305</v>
      </c>
      <c r="N750" s="99">
        <v>19</v>
      </c>
      <c r="O750" s="110"/>
      <c r="P750" s="110"/>
      <c r="Q750" s="110"/>
    </row>
    <row r="751" spans="1:17" s="117" customFormat="1" ht="31.75" customHeight="1">
      <c r="A751" s="109" t="s">
        <v>7071</v>
      </c>
      <c r="B751" s="109" t="s">
        <v>7072</v>
      </c>
      <c r="C751" s="113">
        <v>2015</v>
      </c>
      <c r="D751" s="99" t="s">
        <v>6953</v>
      </c>
      <c r="E751" s="99" t="s">
        <v>6953</v>
      </c>
      <c r="F751" s="99" t="s">
        <v>6953</v>
      </c>
      <c r="G751" s="99" t="s">
        <v>6953</v>
      </c>
      <c r="H751" s="99" t="s">
        <v>6953</v>
      </c>
      <c r="I751" s="99" t="s">
        <v>6953</v>
      </c>
      <c r="J751" s="99" t="s">
        <v>6953</v>
      </c>
      <c r="K751" s="99" t="s">
        <v>6953</v>
      </c>
      <c r="L751" s="99" t="s">
        <v>6953</v>
      </c>
      <c r="M751" s="99" t="s">
        <v>6953</v>
      </c>
      <c r="N751" s="99" t="s">
        <v>6953</v>
      </c>
      <c r="O751" s="100"/>
      <c r="P751" s="100"/>
      <c r="Q751" s="100"/>
    </row>
    <row r="752" spans="1:17" s="117" customFormat="1" ht="31.75" customHeight="1">
      <c r="A752" s="109" t="s">
        <v>7071</v>
      </c>
      <c r="B752" s="109" t="s">
        <v>7072</v>
      </c>
      <c r="C752" s="113">
        <v>2016</v>
      </c>
      <c r="D752" s="99" t="s">
        <v>6953</v>
      </c>
      <c r="E752" s="99" t="s">
        <v>6953</v>
      </c>
      <c r="F752" s="99" t="s">
        <v>6953</v>
      </c>
      <c r="G752" s="99" t="s">
        <v>6953</v>
      </c>
      <c r="H752" s="99" t="s">
        <v>6953</v>
      </c>
      <c r="I752" s="99" t="s">
        <v>6953</v>
      </c>
      <c r="J752" s="99" t="s">
        <v>6953</v>
      </c>
      <c r="K752" s="99" t="s">
        <v>6953</v>
      </c>
      <c r="L752" s="99" t="s">
        <v>6953</v>
      </c>
      <c r="M752" s="99" t="s">
        <v>6953</v>
      </c>
      <c r="N752" s="99" t="s">
        <v>6953</v>
      </c>
      <c r="O752" s="110"/>
      <c r="P752" s="110"/>
      <c r="Q752" s="110"/>
    </row>
    <row r="753" spans="1:17" s="117" customFormat="1" ht="31.75" customHeight="1">
      <c r="A753" s="109" t="s">
        <v>7071</v>
      </c>
      <c r="B753" s="109" t="s">
        <v>7072</v>
      </c>
      <c r="C753" s="113">
        <v>2017</v>
      </c>
      <c r="D753" s="99" t="s">
        <v>6953</v>
      </c>
      <c r="E753" s="99" t="s">
        <v>6953</v>
      </c>
      <c r="F753" s="99" t="s">
        <v>6953</v>
      </c>
      <c r="G753" s="99" t="s">
        <v>6953</v>
      </c>
      <c r="H753" s="99" t="s">
        <v>6953</v>
      </c>
      <c r="I753" s="99" t="s">
        <v>6953</v>
      </c>
      <c r="J753" s="99" t="s">
        <v>6953</v>
      </c>
      <c r="K753" s="99" t="s">
        <v>6953</v>
      </c>
      <c r="L753" s="99" t="s">
        <v>6953</v>
      </c>
      <c r="M753" s="99" t="s">
        <v>6953</v>
      </c>
      <c r="N753" s="99" t="s">
        <v>6953</v>
      </c>
      <c r="O753" s="100"/>
      <c r="P753" s="100"/>
      <c r="Q753" s="100"/>
    </row>
    <row r="754" spans="1:17" s="117" customFormat="1" ht="31.75" customHeight="1">
      <c r="A754" s="109" t="s">
        <v>7071</v>
      </c>
      <c r="B754" s="109" t="s">
        <v>7072</v>
      </c>
      <c r="C754" s="113">
        <v>2018</v>
      </c>
      <c r="D754" s="99" t="s">
        <v>6953</v>
      </c>
      <c r="E754" s="99" t="s">
        <v>6953</v>
      </c>
      <c r="F754" s="99" t="s">
        <v>6953</v>
      </c>
      <c r="G754" s="99" t="s">
        <v>6953</v>
      </c>
      <c r="H754" s="99" t="s">
        <v>6953</v>
      </c>
      <c r="I754" s="99" t="s">
        <v>6953</v>
      </c>
      <c r="J754" s="99" t="s">
        <v>6953</v>
      </c>
      <c r="K754" s="99" t="s">
        <v>6953</v>
      </c>
      <c r="L754" s="99" t="s">
        <v>6953</v>
      </c>
      <c r="M754" s="99" t="s">
        <v>6953</v>
      </c>
      <c r="N754" s="99" t="s">
        <v>6953</v>
      </c>
      <c r="O754" s="100"/>
      <c r="P754" s="100"/>
      <c r="Q754" s="100"/>
    </row>
    <row r="755" spans="1:17" s="117" customFormat="1" ht="31.75" customHeight="1">
      <c r="A755" s="109" t="s">
        <v>7071</v>
      </c>
      <c r="B755" s="109" t="s">
        <v>7072</v>
      </c>
      <c r="C755" s="113">
        <v>2019</v>
      </c>
      <c r="D755" s="112" t="s">
        <v>6953</v>
      </c>
      <c r="E755" s="112" t="s">
        <v>6953</v>
      </c>
      <c r="F755" s="112" t="s">
        <v>6953</v>
      </c>
      <c r="G755" s="112" t="s">
        <v>6953</v>
      </c>
      <c r="H755" s="112" t="s">
        <v>6953</v>
      </c>
      <c r="I755" s="112" t="s">
        <v>6953</v>
      </c>
      <c r="J755" s="112" t="s">
        <v>6953</v>
      </c>
      <c r="K755" s="112" t="s">
        <v>6953</v>
      </c>
      <c r="L755" s="112" t="s">
        <v>6953</v>
      </c>
      <c r="M755" s="112" t="s">
        <v>6953</v>
      </c>
      <c r="N755" s="112" t="s">
        <v>6953</v>
      </c>
      <c r="O755" s="110"/>
      <c r="P755" s="110"/>
      <c r="Q755" s="110"/>
    </row>
    <row r="756" spans="1:17" s="117" customFormat="1" ht="31.75" customHeight="1">
      <c r="A756" s="114" t="s">
        <v>7071</v>
      </c>
      <c r="B756" s="114" t="s">
        <v>7073</v>
      </c>
      <c r="C756" s="113">
        <v>2020</v>
      </c>
      <c r="D756" s="112" t="s">
        <v>6953</v>
      </c>
      <c r="E756" s="112" t="s">
        <v>6953</v>
      </c>
      <c r="F756" s="112" t="s">
        <v>6953</v>
      </c>
      <c r="G756" s="112" t="s">
        <v>6953</v>
      </c>
      <c r="H756" s="112" t="s">
        <v>6953</v>
      </c>
      <c r="I756" s="112" t="s">
        <v>6953</v>
      </c>
      <c r="J756" s="112" t="s">
        <v>6953</v>
      </c>
      <c r="K756" s="112" t="s">
        <v>6953</v>
      </c>
      <c r="L756" s="112" t="s">
        <v>6953</v>
      </c>
      <c r="M756" s="112" t="s">
        <v>6953</v>
      </c>
      <c r="N756" s="112" t="s">
        <v>6953</v>
      </c>
      <c r="O756" s="110"/>
      <c r="P756" s="110"/>
      <c r="Q756" s="110"/>
    </row>
    <row r="757" spans="1:17" s="117" customFormat="1" ht="17.5" customHeight="1">
      <c r="A757" s="109" t="s">
        <v>7074</v>
      </c>
      <c r="B757" s="109" t="s">
        <v>7075</v>
      </c>
      <c r="C757" s="98">
        <v>2008</v>
      </c>
      <c r="D757" s="99">
        <v>71</v>
      </c>
      <c r="E757" s="99">
        <v>9</v>
      </c>
      <c r="F757" s="99">
        <v>7</v>
      </c>
      <c r="G757" s="99">
        <v>3</v>
      </c>
      <c r="H757" s="99">
        <v>1</v>
      </c>
      <c r="I757" s="99" t="s">
        <v>6952</v>
      </c>
      <c r="J757" s="99" t="s">
        <v>6952</v>
      </c>
      <c r="K757" s="99">
        <v>0</v>
      </c>
      <c r="L757" s="99">
        <v>1</v>
      </c>
      <c r="M757" s="99">
        <v>1</v>
      </c>
      <c r="N757" s="99" t="s">
        <v>6952</v>
      </c>
      <c r="O757" s="100"/>
      <c r="P757" s="100"/>
      <c r="Q757" s="100"/>
    </row>
    <row r="758" spans="1:17" s="117" customFormat="1" ht="17.5" customHeight="1">
      <c r="A758" s="109" t="s">
        <v>7074</v>
      </c>
      <c r="B758" s="109" t="s">
        <v>7075</v>
      </c>
      <c r="C758" s="98">
        <v>2009</v>
      </c>
      <c r="D758" s="99">
        <v>60</v>
      </c>
      <c r="E758" s="99">
        <v>16</v>
      </c>
      <c r="F758" s="99">
        <v>4</v>
      </c>
      <c r="G758" s="99">
        <v>12</v>
      </c>
      <c r="H758" s="99">
        <v>3</v>
      </c>
      <c r="I758" s="99" t="s">
        <v>6952</v>
      </c>
      <c r="J758" s="99" t="s">
        <v>6952</v>
      </c>
      <c r="K758" s="99">
        <v>0</v>
      </c>
      <c r="L758" s="99">
        <v>2</v>
      </c>
      <c r="M758" s="99">
        <v>2</v>
      </c>
      <c r="N758" s="99" t="s">
        <v>6952</v>
      </c>
      <c r="O758" s="100"/>
      <c r="P758" s="100"/>
      <c r="Q758" s="100"/>
    </row>
    <row r="759" spans="1:17" s="117" customFormat="1" ht="17.5" customHeight="1">
      <c r="A759" s="109" t="s">
        <v>7074</v>
      </c>
      <c r="B759" s="109" t="s">
        <v>7075</v>
      </c>
      <c r="C759" s="98">
        <v>2010</v>
      </c>
      <c r="D759" s="99" t="s">
        <v>6953</v>
      </c>
      <c r="E759" s="99" t="s">
        <v>6953</v>
      </c>
      <c r="F759" s="99" t="s">
        <v>6953</v>
      </c>
      <c r="G759" s="99" t="s">
        <v>6953</v>
      </c>
      <c r="H759" s="99" t="s">
        <v>6953</v>
      </c>
      <c r="I759" s="99" t="s">
        <v>6953</v>
      </c>
      <c r="J759" s="99" t="s">
        <v>6953</v>
      </c>
      <c r="K759" s="99" t="s">
        <v>6953</v>
      </c>
      <c r="L759" s="99" t="s">
        <v>6953</v>
      </c>
      <c r="M759" s="99" t="s">
        <v>6953</v>
      </c>
      <c r="N759" s="99" t="s">
        <v>6953</v>
      </c>
      <c r="O759" s="110"/>
      <c r="P759" s="110"/>
      <c r="Q759" s="110"/>
    </row>
    <row r="760" spans="1:17" s="117" customFormat="1" ht="17.5" customHeight="1">
      <c r="A760" s="109" t="s">
        <v>7074</v>
      </c>
      <c r="B760" s="109" t="s">
        <v>7075</v>
      </c>
      <c r="C760" s="98">
        <v>2011</v>
      </c>
      <c r="D760" s="99" t="s">
        <v>6953</v>
      </c>
      <c r="E760" s="99" t="s">
        <v>6953</v>
      </c>
      <c r="F760" s="99" t="s">
        <v>6953</v>
      </c>
      <c r="G760" s="99" t="s">
        <v>6953</v>
      </c>
      <c r="H760" s="99" t="s">
        <v>6953</v>
      </c>
      <c r="I760" s="99" t="s">
        <v>6953</v>
      </c>
      <c r="J760" s="99" t="s">
        <v>6953</v>
      </c>
      <c r="K760" s="99" t="s">
        <v>6953</v>
      </c>
      <c r="L760" s="99" t="s">
        <v>6953</v>
      </c>
      <c r="M760" s="99" t="s">
        <v>6953</v>
      </c>
      <c r="N760" s="99" t="s">
        <v>6953</v>
      </c>
      <c r="O760" s="110"/>
      <c r="P760" s="110"/>
      <c r="Q760" s="110"/>
    </row>
    <row r="761" spans="1:17" s="117" customFormat="1" ht="17.5" customHeight="1">
      <c r="A761" s="109" t="s">
        <v>7074</v>
      </c>
      <c r="B761" s="109" t="s">
        <v>7075</v>
      </c>
      <c r="C761" s="111">
        <v>2012</v>
      </c>
      <c r="D761" s="99" t="s">
        <v>6953</v>
      </c>
      <c r="E761" s="99" t="s">
        <v>6953</v>
      </c>
      <c r="F761" s="99" t="s">
        <v>6953</v>
      </c>
      <c r="G761" s="99" t="s">
        <v>6953</v>
      </c>
      <c r="H761" s="99" t="s">
        <v>6953</v>
      </c>
      <c r="I761" s="99" t="s">
        <v>6953</v>
      </c>
      <c r="J761" s="99" t="s">
        <v>6953</v>
      </c>
      <c r="K761" s="99" t="s">
        <v>6953</v>
      </c>
      <c r="L761" s="99" t="s">
        <v>6953</v>
      </c>
      <c r="M761" s="99" t="s">
        <v>6953</v>
      </c>
      <c r="N761" s="99" t="s">
        <v>6953</v>
      </c>
      <c r="O761" s="110"/>
      <c r="P761" s="110"/>
      <c r="Q761" s="110"/>
    </row>
    <row r="762" spans="1:17" s="117" customFormat="1" ht="17.5" customHeight="1">
      <c r="A762" s="109" t="s">
        <v>7074</v>
      </c>
      <c r="B762" s="109" t="s">
        <v>7075</v>
      </c>
      <c r="C762" s="113">
        <v>2013</v>
      </c>
      <c r="D762" s="99" t="s">
        <v>6953</v>
      </c>
      <c r="E762" s="99" t="s">
        <v>6953</v>
      </c>
      <c r="F762" s="99" t="s">
        <v>6953</v>
      </c>
      <c r="G762" s="99" t="s">
        <v>6953</v>
      </c>
      <c r="H762" s="99" t="s">
        <v>6953</v>
      </c>
      <c r="I762" s="99" t="s">
        <v>6953</v>
      </c>
      <c r="J762" s="99" t="s">
        <v>6953</v>
      </c>
      <c r="K762" s="99" t="s">
        <v>6953</v>
      </c>
      <c r="L762" s="99" t="s">
        <v>6953</v>
      </c>
      <c r="M762" s="99" t="s">
        <v>6953</v>
      </c>
      <c r="N762" s="99" t="s">
        <v>6953</v>
      </c>
      <c r="O762" s="110"/>
      <c r="P762" s="110"/>
      <c r="Q762" s="110"/>
    </row>
    <row r="763" spans="1:17" s="117" customFormat="1" ht="17.5" customHeight="1">
      <c r="A763" s="109" t="s">
        <v>7074</v>
      </c>
      <c r="B763" s="109" t="s">
        <v>7075</v>
      </c>
      <c r="C763" s="113">
        <v>2014</v>
      </c>
      <c r="D763" s="99">
        <v>47</v>
      </c>
      <c r="E763" s="99">
        <v>8</v>
      </c>
      <c r="F763" s="99">
        <v>2</v>
      </c>
      <c r="G763" s="99">
        <v>7</v>
      </c>
      <c r="H763" s="99">
        <v>2</v>
      </c>
      <c r="I763" s="99">
        <v>4</v>
      </c>
      <c r="J763" s="99">
        <v>4</v>
      </c>
      <c r="K763" s="99" t="s">
        <v>6952</v>
      </c>
      <c r="L763" s="99">
        <v>1</v>
      </c>
      <c r="M763" s="99">
        <v>1</v>
      </c>
      <c r="N763" s="99" t="s">
        <v>6952</v>
      </c>
      <c r="O763" s="100"/>
      <c r="P763" s="100"/>
      <c r="Q763" s="100"/>
    </row>
    <row r="764" spans="1:17" s="117" customFormat="1" ht="17.5" customHeight="1">
      <c r="A764" s="109" t="s">
        <v>7074</v>
      </c>
      <c r="B764" s="109" t="s">
        <v>7075</v>
      </c>
      <c r="C764" s="113">
        <v>2015</v>
      </c>
      <c r="D764" s="99" t="s">
        <v>6953</v>
      </c>
      <c r="E764" s="99" t="s">
        <v>6953</v>
      </c>
      <c r="F764" s="99" t="s">
        <v>6953</v>
      </c>
      <c r="G764" s="99" t="s">
        <v>6953</v>
      </c>
      <c r="H764" s="99" t="s">
        <v>6953</v>
      </c>
      <c r="I764" s="99" t="s">
        <v>6953</v>
      </c>
      <c r="J764" s="99" t="s">
        <v>6953</v>
      </c>
      <c r="K764" s="99" t="s">
        <v>6953</v>
      </c>
      <c r="L764" s="99" t="s">
        <v>6953</v>
      </c>
      <c r="M764" s="99" t="s">
        <v>6953</v>
      </c>
      <c r="N764" s="99" t="s">
        <v>6953</v>
      </c>
      <c r="O764" s="110"/>
      <c r="P764" s="110"/>
      <c r="Q764" s="110"/>
    </row>
    <row r="765" spans="1:17" s="117" customFormat="1" ht="17.5" customHeight="1">
      <c r="A765" s="109" t="s">
        <v>7074</v>
      </c>
      <c r="B765" s="109" t="s">
        <v>7075</v>
      </c>
      <c r="C765" s="113">
        <v>2016</v>
      </c>
      <c r="D765" s="99" t="s">
        <v>6953</v>
      </c>
      <c r="E765" s="99" t="s">
        <v>6953</v>
      </c>
      <c r="F765" s="99" t="s">
        <v>6953</v>
      </c>
      <c r="G765" s="99" t="s">
        <v>6953</v>
      </c>
      <c r="H765" s="99" t="s">
        <v>6953</v>
      </c>
      <c r="I765" s="99" t="s">
        <v>6953</v>
      </c>
      <c r="J765" s="99" t="s">
        <v>6953</v>
      </c>
      <c r="K765" s="99" t="s">
        <v>6953</v>
      </c>
      <c r="L765" s="99" t="s">
        <v>6953</v>
      </c>
      <c r="M765" s="99" t="s">
        <v>6953</v>
      </c>
      <c r="N765" s="99" t="s">
        <v>6953</v>
      </c>
      <c r="O765" s="100"/>
      <c r="P765" s="100"/>
      <c r="Q765" s="100"/>
    </row>
    <row r="766" spans="1:17" s="117" customFormat="1" ht="17.5" customHeight="1">
      <c r="A766" s="109" t="s">
        <v>7074</v>
      </c>
      <c r="B766" s="109" t="s">
        <v>7075</v>
      </c>
      <c r="C766" s="113">
        <v>2017</v>
      </c>
      <c r="D766" s="99" t="s">
        <v>6953</v>
      </c>
      <c r="E766" s="99" t="s">
        <v>6953</v>
      </c>
      <c r="F766" s="99" t="s">
        <v>6953</v>
      </c>
      <c r="G766" s="99" t="s">
        <v>6953</v>
      </c>
      <c r="H766" s="99" t="s">
        <v>6953</v>
      </c>
      <c r="I766" s="99" t="s">
        <v>6953</v>
      </c>
      <c r="J766" s="99" t="s">
        <v>6953</v>
      </c>
      <c r="K766" s="99" t="s">
        <v>6953</v>
      </c>
      <c r="L766" s="99" t="s">
        <v>6953</v>
      </c>
      <c r="M766" s="99" t="s">
        <v>6953</v>
      </c>
      <c r="N766" s="99" t="s">
        <v>6953</v>
      </c>
      <c r="O766" s="100"/>
      <c r="P766" s="100"/>
      <c r="Q766" s="100"/>
    </row>
    <row r="767" spans="1:17" s="117" customFormat="1" ht="17.5" customHeight="1">
      <c r="A767" s="109" t="s">
        <v>7074</v>
      </c>
      <c r="B767" s="109" t="s">
        <v>7075</v>
      </c>
      <c r="C767" s="113">
        <v>2018</v>
      </c>
      <c r="D767" s="99" t="s">
        <v>6953</v>
      </c>
      <c r="E767" s="99" t="s">
        <v>6953</v>
      </c>
      <c r="F767" s="99" t="s">
        <v>6953</v>
      </c>
      <c r="G767" s="99" t="s">
        <v>6953</v>
      </c>
      <c r="H767" s="99" t="s">
        <v>6953</v>
      </c>
      <c r="I767" s="99" t="s">
        <v>6953</v>
      </c>
      <c r="J767" s="99" t="s">
        <v>6953</v>
      </c>
      <c r="K767" s="99" t="s">
        <v>6953</v>
      </c>
      <c r="L767" s="99" t="s">
        <v>6953</v>
      </c>
      <c r="M767" s="99" t="s">
        <v>6953</v>
      </c>
      <c r="N767" s="99" t="s">
        <v>6953</v>
      </c>
      <c r="O767" s="110"/>
      <c r="P767" s="110"/>
      <c r="Q767" s="110"/>
    </row>
    <row r="768" spans="1:17" s="117" customFormat="1" ht="17.5" customHeight="1">
      <c r="A768" s="109" t="s">
        <v>7074</v>
      </c>
      <c r="B768" s="109" t="s">
        <v>7075</v>
      </c>
      <c r="C768" s="113">
        <v>2019</v>
      </c>
      <c r="D768" s="112" t="s">
        <v>6953</v>
      </c>
      <c r="E768" s="112" t="s">
        <v>6953</v>
      </c>
      <c r="F768" s="112" t="s">
        <v>6953</v>
      </c>
      <c r="G768" s="112" t="s">
        <v>6953</v>
      </c>
      <c r="H768" s="112" t="s">
        <v>6953</v>
      </c>
      <c r="I768" s="112" t="s">
        <v>6953</v>
      </c>
      <c r="J768" s="112" t="s">
        <v>6953</v>
      </c>
      <c r="K768" s="112" t="s">
        <v>6953</v>
      </c>
      <c r="L768" s="112" t="s">
        <v>6953</v>
      </c>
      <c r="M768" s="112" t="s">
        <v>6953</v>
      </c>
      <c r="N768" s="112" t="s">
        <v>6953</v>
      </c>
      <c r="O768" s="110"/>
      <c r="P768" s="110"/>
      <c r="Q768" s="110"/>
    </row>
    <row r="769" spans="1:17" s="117" customFormat="1" ht="17.5" customHeight="1">
      <c r="A769" s="114" t="s">
        <v>7074</v>
      </c>
      <c r="B769" s="114" t="s">
        <v>7075</v>
      </c>
      <c r="C769" s="113">
        <v>2020</v>
      </c>
      <c r="D769" s="112" t="s">
        <v>6953</v>
      </c>
      <c r="E769" s="112" t="s">
        <v>6953</v>
      </c>
      <c r="F769" s="112" t="s">
        <v>6953</v>
      </c>
      <c r="G769" s="112" t="s">
        <v>6953</v>
      </c>
      <c r="H769" s="112" t="s">
        <v>6953</v>
      </c>
      <c r="I769" s="112" t="s">
        <v>6953</v>
      </c>
      <c r="J769" s="112" t="s">
        <v>6953</v>
      </c>
      <c r="K769" s="112" t="s">
        <v>6953</v>
      </c>
      <c r="L769" s="112" t="s">
        <v>6953</v>
      </c>
      <c r="M769" s="112" t="s">
        <v>6953</v>
      </c>
      <c r="N769" s="112" t="s">
        <v>6953</v>
      </c>
      <c r="O769" s="100"/>
      <c r="P769" s="100"/>
      <c r="Q769" s="100"/>
    </row>
    <row r="770" spans="1:17" s="117" customFormat="1" ht="17.5" customHeight="1">
      <c r="A770" s="109" t="s">
        <v>7076</v>
      </c>
      <c r="B770" s="109" t="s">
        <v>7077</v>
      </c>
      <c r="C770" s="98">
        <v>2008</v>
      </c>
      <c r="D770" s="99">
        <v>276</v>
      </c>
      <c r="E770" s="99">
        <v>416</v>
      </c>
      <c r="F770" s="99">
        <v>183</v>
      </c>
      <c r="G770" s="99">
        <v>238</v>
      </c>
      <c r="H770" s="99">
        <v>73</v>
      </c>
      <c r="I770" s="99">
        <v>4</v>
      </c>
      <c r="J770" s="99">
        <v>4</v>
      </c>
      <c r="K770" s="99" t="s">
        <v>6952</v>
      </c>
      <c r="L770" s="99">
        <v>86</v>
      </c>
      <c r="M770" s="99">
        <v>79</v>
      </c>
      <c r="N770" s="99">
        <v>7</v>
      </c>
      <c r="O770" s="100"/>
      <c r="P770" s="100"/>
      <c r="Q770" s="100"/>
    </row>
    <row r="771" spans="1:17" s="117" customFormat="1" ht="17.5" customHeight="1">
      <c r="A771" s="109" t="s">
        <v>7076</v>
      </c>
      <c r="B771" s="109" t="s">
        <v>7077</v>
      </c>
      <c r="C771" s="98">
        <v>2009</v>
      </c>
      <c r="D771" s="99">
        <v>270</v>
      </c>
      <c r="E771" s="99">
        <v>315</v>
      </c>
      <c r="F771" s="99">
        <v>102</v>
      </c>
      <c r="G771" s="99">
        <v>197</v>
      </c>
      <c r="H771" s="99">
        <v>60</v>
      </c>
      <c r="I771" s="99">
        <v>4</v>
      </c>
      <c r="J771" s="99">
        <v>4</v>
      </c>
      <c r="K771" s="99" t="s">
        <v>6952</v>
      </c>
      <c r="L771" s="99">
        <v>80</v>
      </c>
      <c r="M771" s="99">
        <v>95</v>
      </c>
      <c r="N771" s="99">
        <v>-15</v>
      </c>
      <c r="O771" s="110"/>
      <c r="P771" s="110"/>
      <c r="Q771" s="110"/>
    </row>
    <row r="772" spans="1:17" s="117" customFormat="1" ht="17.5" customHeight="1">
      <c r="A772" s="109" t="s">
        <v>7076</v>
      </c>
      <c r="B772" s="109" t="s">
        <v>7077</v>
      </c>
      <c r="C772" s="98">
        <v>2010</v>
      </c>
      <c r="D772" s="99">
        <v>242</v>
      </c>
      <c r="E772" s="99">
        <v>263</v>
      </c>
      <c r="F772" s="99">
        <v>95</v>
      </c>
      <c r="G772" s="99">
        <v>174</v>
      </c>
      <c r="H772" s="99">
        <v>44</v>
      </c>
      <c r="I772" s="99">
        <v>8</v>
      </c>
      <c r="J772" s="99">
        <v>9</v>
      </c>
      <c r="K772" s="99">
        <v>1</v>
      </c>
      <c r="L772" s="99">
        <v>63</v>
      </c>
      <c r="M772" s="99">
        <v>57</v>
      </c>
      <c r="N772" s="99">
        <v>6</v>
      </c>
      <c r="O772" s="110"/>
      <c r="P772" s="110"/>
      <c r="Q772" s="110"/>
    </row>
    <row r="773" spans="1:17" s="117" customFormat="1" ht="17.5" customHeight="1">
      <c r="A773" s="109" t="s">
        <v>7076</v>
      </c>
      <c r="B773" s="109" t="s">
        <v>7077</v>
      </c>
      <c r="C773" s="98">
        <v>2011</v>
      </c>
      <c r="D773" s="99">
        <v>216</v>
      </c>
      <c r="E773" s="99">
        <v>293</v>
      </c>
      <c r="F773" s="99">
        <v>129</v>
      </c>
      <c r="G773" s="99">
        <v>175</v>
      </c>
      <c r="H773" s="99">
        <v>34</v>
      </c>
      <c r="I773" s="99">
        <v>25</v>
      </c>
      <c r="J773" s="99">
        <v>26</v>
      </c>
      <c r="K773" s="99">
        <v>1</v>
      </c>
      <c r="L773" s="99">
        <v>79</v>
      </c>
      <c r="M773" s="99">
        <v>69</v>
      </c>
      <c r="N773" s="99">
        <v>11</v>
      </c>
      <c r="O773" s="110"/>
      <c r="P773" s="110"/>
      <c r="Q773" s="110"/>
    </row>
    <row r="774" spans="1:17" s="117" customFormat="1" ht="17.5" customHeight="1">
      <c r="A774" s="109" t="s">
        <v>7076</v>
      </c>
      <c r="B774" s="109" t="s">
        <v>7077</v>
      </c>
      <c r="C774" s="111">
        <v>2012</v>
      </c>
      <c r="D774" s="112">
        <v>221</v>
      </c>
      <c r="E774" s="112">
        <v>282</v>
      </c>
      <c r="F774" s="112">
        <v>107</v>
      </c>
      <c r="G774" s="112">
        <v>178</v>
      </c>
      <c r="H774" s="112">
        <v>44</v>
      </c>
      <c r="I774" s="112">
        <v>-5</v>
      </c>
      <c r="J774" s="112">
        <v>3</v>
      </c>
      <c r="K774" s="112">
        <v>8</v>
      </c>
      <c r="L774" s="112">
        <v>73</v>
      </c>
      <c r="M774" s="112">
        <v>71</v>
      </c>
      <c r="N774" s="112">
        <v>3</v>
      </c>
      <c r="O774" s="110"/>
      <c r="P774" s="110"/>
      <c r="Q774" s="110"/>
    </row>
    <row r="775" spans="1:17" s="117" customFormat="1" ht="17.5" customHeight="1">
      <c r="A775" s="109" t="s">
        <v>7076</v>
      </c>
      <c r="B775" s="109" t="s">
        <v>7077</v>
      </c>
      <c r="C775" s="113">
        <v>2013</v>
      </c>
      <c r="D775" s="112">
        <v>250</v>
      </c>
      <c r="E775" s="112">
        <v>237</v>
      </c>
      <c r="F775" s="112">
        <v>97</v>
      </c>
      <c r="G775" s="112">
        <v>145</v>
      </c>
      <c r="H775" s="112">
        <v>45</v>
      </c>
      <c r="I775" s="112">
        <v>6</v>
      </c>
      <c r="J775" s="112">
        <v>6</v>
      </c>
      <c r="K775" s="112" t="s">
        <v>6952</v>
      </c>
      <c r="L775" s="112">
        <v>45</v>
      </c>
      <c r="M775" s="112">
        <v>43</v>
      </c>
      <c r="N775" s="112">
        <v>2</v>
      </c>
      <c r="O775" s="100"/>
      <c r="P775" s="100"/>
      <c r="Q775" s="100"/>
    </row>
    <row r="776" spans="1:17" s="117" customFormat="1" ht="17.5" customHeight="1">
      <c r="A776" s="109" t="s">
        <v>7076</v>
      </c>
      <c r="B776" s="109" t="s">
        <v>7077</v>
      </c>
      <c r="C776" s="113">
        <v>2014</v>
      </c>
      <c r="D776" s="99">
        <v>262</v>
      </c>
      <c r="E776" s="99">
        <v>168</v>
      </c>
      <c r="F776" s="99">
        <v>43</v>
      </c>
      <c r="G776" s="99">
        <v>122</v>
      </c>
      <c r="H776" s="99">
        <v>29</v>
      </c>
      <c r="I776" s="99" t="s">
        <v>6952</v>
      </c>
      <c r="J776" s="99">
        <v>1</v>
      </c>
      <c r="K776" s="99" t="s">
        <v>6952</v>
      </c>
      <c r="L776" s="99">
        <v>34</v>
      </c>
      <c r="M776" s="99">
        <v>37</v>
      </c>
      <c r="N776" s="99">
        <v>-4</v>
      </c>
      <c r="O776" s="110"/>
      <c r="P776" s="110"/>
      <c r="Q776" s="110"/>
    </row>
    <row r="777" spans="1:17" s="117" customFormat="1" ht="17.5" customHeight="1">
      <c r="A777" s="109" t="s">
        <v>7076</v>
      </c>
      <c r="B777" s="109" t="s">
        <v>7077</v>
      </c>
      <c r="C777" s="113">
        <v>2015</v>
      </c>
      <c r="D777" s="112">
        <v>284</v>
      </c>
      <c r="E777" s="112">
        <v>391</v>
      </c>
      <c r="F777" s="112">
        <v>150</v>
      </c>
      <c r="G777" s="112">
        <v>241</v>
      </c>
      <c r="H777" s="112">
        <v>67</v>
      </c>
      <c r="I777" s="112">
        <v>8</v>
      </c>
      <c r="J777" s="112">
        <v>10</v>
      </c>
      <c r="K777" s="112">
        <v>1</v>
      </c>
      <c r="L777" s="112">
        <v>60</v>
      </c>
      <c r="M777" s="112">
        <v>63</v>
      </c>
      <c r="N777" s="112">
        <v>-4</v>
      </c>
      <c r="O777" s="100"/>
      <c r="P777" s="100"/>
      <c r="Q777" s="100"/>
    </row>
    <row r="778" spans="1:17" s="117" customFormat="1" ht="17.5" customHeight="1">
      <c r="A778" s="109" t="s">
        <v>7076</v>
      </c>
      <c r="B778" s="109" t="s">
        <v>7077</v>
      </c>
      <c r="C778" s="113">
        <v>2016</v>
      </c>
      <c r="D778" s="112">
        <v>347</v>
      </c>
      <c r="E778" s="112">
        <v>277</v>
      </c>
      <c r="F778" s="112">
        <v>110</v>
      </c>
      <c r="G778" s="112">
        <v>175</v>
      </c>
      <c r="H778" s="112">
        <v>55</v>
      </c>
      <c r="I778" s="112">
        <v>4</v>
      </c>
      <c r="J778" s="112">
        <v>4</v>
      </c>
      <c r="K778" s="112" t="s">
        <v>6952</v>
      </c>
      <c r="L778" s="112">
        <v>61</v>
      </c>
      <c r="M778" s="112">
        <v>55</v>
      </c>
      <c r="N778" s="112">
        <v>6</v>
      </c>
      <c r="O778" s="100"/>
      <c r="P778" s="100"/>
      <c r="Q778" s="100"/>
    </row>
    <row r="779" spans="1:17" s="117" customFormat="1" ht="17.5" customHeight="1">
      <c r="A779" s="109" t="s">
        <v>7076</v>
      </c>
      <c r="B779" s="109" t="s">
        <v>7077</v>
      </c>
      <c r="C779" s="113">
        <v>2017</v>
      </c>
      <c r="D779" s="112">
        <v>350</v>
      </c>
      <c r="E779" s="112">
        <v>264</v>
      </c>
      <c r="F779" s="112">
        <v>94</v>
      </c>
      <c r="G779" s="112">
        <v>178</v>
      </c>
      <c r="H779" s="112">
        <v>58</v>
      </c>
      <c r="I779" s="112">
        <v>6</v>
      </c>
      <c r="J779" s="112">
        <v>6</v>
      </c>
      <c r="K779" s="112" t="s">
        <v>6952</v>
      </c>
      <c r="L779" s="112">
        <v>53</v>
      </c>
      <c r="M779" s="112">
        <v>46</v>
      </c>
      <c r="N779" s="112">
        <v>8</v>
      </c>
      <c r="O779" s="110"/>
      <c r="P779" s="110"/>
      <c r="Q779" s="110"/>
    </row>
    <row r="780" spans="1:17" s="117" customFormat="1" ht="17.5" customHeight="1">
      <c r="A780" s="109" t="s">
        <v>7076</v>
      </c>
      <c r="B780" s="109" t="s">
        <v>7077</v>
      </c>
      <c r="C780" s="113">
        <v>2018</v>
      </c>
      <c r="D780" s="112">
        <v>358</v>
      </c>
      <c r="E780" s="112">
        <v>266</v>
      </c>
      <c r="F780" s="112">
        <v>101</v>
      </c>
      <c r="G780" s="112">
        <v>180</v>
      </c>
      <c r="H780" s="112">
        <v>53</v>
      </c>
      <c r="I780" s="112">
        <v>8</v>
      </c>
      <c r="J780" s="112">
        <v>8</v>
      </c>
      <c r="K780" s="112" t="s">
        <v>6952</v>
      </c>
      <c r="L780" s="112">
        <v>74</v>
      </c>
      <c r="M780" s="112">
        <v>60</v>
      </c>
      <c r="N780" s="112">
        <v>14</v>
      </c>
      <c r="O780" s="110"/>
      <c r="P780" s="110"/>
      <c r="Q780" s="110"/>
    </row>
    <row r="781" spans="1:17" s="117" customFormat="1" ht="17.5" customHeight="1">
      <c r="A781" s="109" t="s">
        <v>7076</v>
      </c>
      <c r="B781" s="109" t="s">
        <v>7077</v>
      </c>
      <c r="C781" s="113">
        <v>2019</v>
      </c>
      <c r="D781" s="112">
        <v>347</v>
      </c>
      <c r="E781" s="112">
        <v>315.00983600000001</v>
      </c>
      <c r="F781" s="112">
        <v>108.207339</v>
      </c>
      <c r="G781" s="112">
        <v>214.24691200000001</v>
      </c>
      <c r="H781" s="112">
        <v>66.743431999999999</v>
      </c>
      <c r="I781" s="112">
        <v>4.5046439999999999</v>
      </c>
      <c r="J781" s="112">
        <v>4.5671010000000001</v>
      </c>
      <c r="K781" s="112" t="s">
        <v>6952</v>
      </c>
      <c r="L781" s="112">
        <v>103.521812</v>
      </c>
      <c r="M781" s="112">
        <v>95.674666999999999</v>
      </c>
      <c r="N781" s="112">
        <v>7.8471450000000003</v>
      </c>
      <c r="O781" s="100"/>
      <c r="P781" s="100"/>
      <c r="Q781" s="100"/>
    </row>
    <row r="782" spans="1:17" s="117" customFormat="1" ht="17.5" customHeight="1">
      <c r="A782" s="114" t="s">
        <v>7076</v>
      </c>
      <c r="B782" s="114" t="s">
        <v>7077</v>
      </c>
      <c r="C782" s="113">
        <v>2020</v>
      </c>
      <c r="D782" s="112">
        <v>439</v>
      </c>
      <c r="E782" s="112">
        <v>229.57008200000001</v>
      </c>
      <c r="F782" s="112">
        <v>64.363872999999998</v>
      </c>
      <c r="G782" s="112">
        <v>167.44096400000001</v>
      </c>
      <c r="H782" s="112">
        <v>61.624704999999999</v>
      </c>
      <c r="I782" s="112">
        <v>2.4148130000000001</v>
      </c>
      <c r="J782" s="112">
        <v>2.9727579999999998</v>
      </c>
      <c r="K782" s="112">
        <v>0.557944</v>
      </c>
      <c r="L782" s="112">
        <v>25.09376</v>
      </c>
      <c r="M782" s="112">
        <v>24.299406000000001</v>
      </c>
      <c r="N782" s="112">
        <v>0.794354</v>
      </c>
      <c r="O782" s="100"/>
      <c r="P782" s="100"/>
      <c r="Q782" s="100"/>
    </row>
    <row r="783" spans="1:17" s="117" customFormat="1" ht="17.5" customHeight="1">
      <c r="A783" s="109" t="s">
        <v>7078</v>
      </c>
      <c r="B783" s="109" t="s">
        <v>7079</v>
      </c>
      <c r="C783" s="98">
        <v>2008</v>
      </c>
      <c r="D783" s="99">
        <v>1515</v>
      </c>
      <c r="E783" s="99">
        <v>1144</v>
      </c>
      <c r="F783" s="99">
        <v>308</v>
      </c>
      <c r="G783" s="99">
        <v>815</v>
      </c>
      <c r="H783" s="99">
        <v>180</v>
      </c>
      <c r="I783" s="99">
        <v>-4</v>
      </c>
      <c r="J783" s="99">
        <v>5</v>
      </c>
      <c r="K783" s="99">
        <v>9</v>
      </c>
      <c r="L783" s="99">
        <v>142</v>
      </c>
      <c r="M783" s="99">
        <v>168</v>
      </c>
      <c r="N783" s="99">
        <v>-26</v>
      </c>
      <c r="O783" s="110"/>
      <c r="P783" s="110"/>
      <c r="Q783" s="110"/>
    </row>
    <row r="784" spans="1:17" s="117" customFormat="1" ht="17.5" customHeight="1">
      <c r="A784" s="109" t="s">
        <v>7078</v>
      </c>
      <c r="B784" s="109" t="s">
        <v>7079</v>
      </c>
      <c r="C784" s="98">
        <v>2009</v>
      </c>
      <c r="D784" s="99">
        <v>1561</v>
      </c>
      <c r="E784" s="99">
        <v>1148</v>
      </c>
      <c r="F784" s="99">
        <v>244</v>
      </c>
      <c r="G784" s="99">
        <v>875</v>
      </c>
      <c r="H784" s="99">
        <v>153</v>
      </c>
      <c r="I784" s="99">
        <v>7</v>
      </c>
      <c r="J784" s="99">
        <v>8</v>
      </c>
      <c r="K784" s="99">
        <v>1</v>
      </c>
      <c r="L784" s="99">
        <v>163</v>
      </c>
      <c r="M784" s="99">
        <v>186</v>
      </c>
      <c r="N784" s="99">
        <v>-23</v>
      </c>
      <c r="O784" s="110"/>
      <c r="P784" s="110"/>
      <c r="Q784" s="110"/>
    </row>
    <row r="785" spans="1:17" s="117" customFormat="1" ht="17.5" customHeight="1">
      <c r="A785" s="109" t="s">
        <v>7078</v>
      </c>
      <c r="B785" s="109" t="s">
        <v>7079</v>
      </c>
      <c r="C785" s="98">
        <v>2010</v>
      </c>
      <c r="D785" s="99">
        <v>1569</v>
      </c>
      <c r="E785" s="99">
        <v>1332</v>
      </c>
      <c r="F785" s="99">
        <v>307</v>
      </c>
      <c r="G785" s="99">
        <v>1023</v>
      </c>
      <c r="H785" s="99">
        <v>178</v>
      </c>
      <c r="I785" s="99">
        <v>4</v>
      </c>
      <c r="J785" s="99">
        <v>5</v>
      </c>
      <c r="K785" s="99" t="s">
        <v>6952</v>
      </c>
      <c r="L785" s="99">
        <v>205</v>
      </c>
      <c r="M785" s="99">
        <v>201</v>
      </c>
      <c r="N785" s="99">
        <v>5</v>
      </c>
      <c r="O785" s="110"/>
      <c r="P785" s="110"/>
      <c r="Q785" s="110"/>
    </row>
    <row r="786" spans="1:17" s="117" customFormat="1" ht="17.5" customHeight="1">
      <c r="A786" s="109" t="s">
        <v>7078</v>
      </c>
      <c r="B786" s="109" t="s">
        <v>7079</v>
      </c>
      <c r="C786" s="98">
        <v>2011</v>
      </c>
      <c r="D786" s="99">
        <v>1673</v>
      </c>
      <c r="E786" s="99">
        <v>1387</v>
      </c>
      <c r="F786" s="99">
        <v>312</v>
      </c>
      <c r="G786" s="99">
        <v>1061</v>
      </c>
      <c r="H786" s="99">
        <v>205</v>
      </c>
      <c r="I786" s="99">
        <v>13</v>
      </c>
      <c r="J786" s="99">
        <v>13</v>
      </c>
      <c r="K786" s="99" t="s">
        <v>6952</v>
      </c>
      <c r="L786" s="99">
        <v>124</v>
      </c>
      <c r="M786" s="99">
        <v>126</v>
      </c>
      <c r="N786" s="99">
        <v>-2</v>
      </c>
      <c r="O786" s="110"/>
      <c r="P786" s="110"/>
      <c r="Q786" s="110"/>
    </row>
    <row r="787" spans="1:17" s="117" customFormat="1" ht="17.5" customHeight="1">
      <c r="A787" s="109" t="s">
        <v>7078</v>
      </c>
      <c r="B787" s="109" t="s">
        <v>7079</v>
      </c>
      <c r="C787" s="111">
        <v>2012</v>
      </c>
      <c r="D787" s="112">
        <v>1790</v>
      </c>
      <c r="E787" s="112">
        <v>1359</v>
      </c>
      <c r="F787" s="112">
        <v>243</v>
      </c>
      <c r="G787" s="112">
        <v>1116</v>
      </c>
      <c r="H787" s="112">
        <v>190</v>
      </c>
      <c r="I787" s="112">
        <v>8</v>
      </c>
      <c r="J787" s="112">
        <v>12</v>
      </c>
      <c r="K787" s="112">
        <v>4</v>
      </c>
      <c r="L787" s="112">
        <v>86</v>
      </c>
      <c r="M787" s="112">
        <v>87</v>
      </c>
      <c r="N787" s="112" t="s">
        <v>6952</v>
      </c>
      <c r="O787" s="100"/>
      <c r="P787" s="100"/>
      <c r="Q787" s="100"/>
    </row>
    <row r="788" spans="1:17" s="117" customFormat="1" ht="17.5" customHeight="1">
      <c r="A788" s="109" t="s">
        <v>7078</v>
      </c>
      <c r="B788" s="109" t="s">
        <v>7079</v>
      </c>
      <c r="C788" s="113">
        <v>2013</v>
      </c>
      <c r="D788" s="112">
        <v>1731</v>
      </c>
      <c r="E788" s="112">
        <v>1462</v>
      </c>
      <c r="F788" s="112">
        <v>404</v>
      </c>
      <c r="G788" s="112">
        <v>1057</v>
      </c>
      <c r="H788" s="112">
        <v>253</v>
      </c>
      <c r="I788" s="112">
        <v>11</v>
      </c>
      <c r="J788" s="112">
        <v>14</v>
      </c>
      <c r="K788" s="112">
        <v>3</v>
      </c>
      <c r="L788" s="112">
        <v>91</v>
      </c>
      <c r="M788" s="112">
        <v>89</v>
      </c>
      <c r="N788" s="112">
        <v>2</v>
      </c>
      <c r="O788" s="110"/>
      <c r="P788" s="110"/>
      <c r="Q788" s="110"/>
    </row>
    <row r="789" spans="1:17" s="117" customFormat="1" ht="17.5" customHeight="1">
      <c r="A789" s="109" t="s">
        <v>7078</v>
      </c>
      <c r="B789" s="109" t="s">
        <v>7079</v>
      </c>
      <c r="C789" s="113">
        <v>2014</v>
      </c>
      <c r="D789" s="99">
        <v>1732</v>
      </c>
      <c r="E789" s="99">
        <v>1730</v>
      </c>
      <c r="F789" s="99">
        <v>440</v>
      </c>
      <c r="G789" s="99">
        <v>1312</v>
      </c>
      <c r="H789" s="99">
        <v>275</v>
      </c>
      <c r="I789" s="99">
        <v>15</v>
      </c>
      <c r="J789" s="99">
        <v>15</v>
      </c>
      <c r="K789" s="99" t="s">
        <v>6952</v>
      </c>
      <c r="L789" s="99">
        <v>167</v>
      </c>
      <c r="M789" s="99">
        <v>150</v>
      </c>
      <c r="N789" s="99">
        <v>18</v>
      </c>
      <c r="O789" s="100"/>
      <c r="P789" s="100"/>
      <c r="Q789" s="100"/>
    </row>
    <row r="790" spans="1:17" s="117" customFormat="1" ht="17.5" customHeight="1">
      <c r="A790" s="109" t="s">
        <v>7078</v>
      </c>
      <c r="B790" s="109" t="s">
        <v>7079</v>
      </c>
      <c r="C790" s="113">
        <v>2015</v>
      </c>
      <c r="D790" s="112">
        <v>1922</v>
      </c>
      <c r="E790" s="112">
        <v>1844</v>
      </c>
      <c r="F790" s="112">
        <v>504</v>
      </c>
      <c r="G790" s="112">
        <v>1321</v>
      </c>
      <c r="H790" s="112">
        <v>283</v>
      </c>
      <c r="I790" s="112">
        <v>11</v>
      </c>
      <c r="J790" s="112">
        <v>11</v>
      </c>
      <c r="K790" s="112">
        <v>1</v>
      </c>
      <c r="L790" s="112">
        <v>196</v>
      </c>
      <c r="M790" s="112">
        <v>212</v>
      </c>
      <c r="N790" s="112">
        <v>-17</v>
      </c>
      <c r="O790" s="100"/>
      <c r="P790" s="100"/>
      <c r="Q790" s="100"/>
    </row>
    <row r="791" spans="1:17" s="117" customFormat="1" ht="17.5" customHeight="1">
      <c r="A791" s="109" t="s">
        <v>7078</v>
      </c>
      <c r="B791" s="109" t="s">
        <v>7079</v>
      </c>
      <c r="C791" s="113">
        <v>2016</v>
      </c>
      <c r="D791" s="112">
        <v>2070</v>
      </c>
      <c r="E791" s="112">
        <v>1424</v>
      </c>
      <c r="F791" s="112">
        <v>280</v>
      </c>
      <c r="G791" s="112">
        <v>1139</v>
      </c>
      <c r="H791" s="112">
        <v>280</v>
      </c>
      <c r="I791" s="112">
        <v>13</v>
      </c>
      <c r="J791" s="112">
        <v>25</v>
      </c>
      <c r="K791" s="112">
        <v>12</v>
      </c>
      <c r="L791" s="112">
        <v>89</v>
      </c>
      <c r="M791" s="112">
        <v>90</v>
      </c>
      <c r="N791" s="112">
        <v>-1</v>
      </c>
      <c r="O791" s="110"/>
      <c r="P791" s="110"/>
      <c r="Q791" s="110"/>
    </row>
    <row r="792" spans="1:17" s="117" customFormat="1" ht="17.5" customHeight="1">
      <c r="A792" s="109" t="s">
        <v>7078</v>
      </c>
      <c r="B792" s="109" t="s">
        <v>7079</v>
      </c>
      <c r="C792" s="113">
        <v>2017</v>
      </c>
      <c r="D792" s="112">
        <v>2052</v>
      </c>
      <c r="E792" s="112">
        <v>1380</v>
      </c>
      <c r="F792" s="112">
        <v>407</v>
      </c>
      <c r="G792" s="112">
        <v>993</v>
      </c>
      <c r="H792" s="112">
        <v>262</v>
      </c>
      <c r="I792" s="112">
        <v>10</v>
      </c>
      <c r="J792" s="112">
        <v>11</v>
      </c>
      <c r="K792" s="112">
        <v>1</v>
      </c>
      <c r="L792" s="112">
        <v>140</v>
      </c>
      <c r="M792" s="112">
        <v>113</v>
      </c>
      <c r="N792" s="112">
        <v>26</v>
      </c>
      <c r="O792" s="110"/>
      <c r="P792" s="110"/>
      <c r="Q792" s="110"/>
    </row>
    <row r="793" spans="1:17" s="117" customFormat="1" ht="17.5" customHeight="1">
      <c r="A793" s="109" t="s">
        <v>7078</v>
      </c>
      <c r="B793" s="109" t="s">
        <v>7079</v>
      </c>
      <c r="C793" s="113">
        <v>2018</v>
      </c>
      <c r="D793" s="112">
        <v>2108</v>
      </c>
      <c r="E793" s="112">
        <v>1425</v>
      </c>
      <c r="F793" s="112">
        <v>660</v>
      </c>
      <c r="G793" s="112">
        <v>859</v>
      </c>
      <c r="H793" s="112">
        <v>283</v>
      </c>
      <c r="I793" s="112">
        <v>16</v>
      </c>
      <c r="J793" s="112">
        <v>19</v>
      </c>
      <c r="K793" s="112">
        <v>3</v>
      </c>
      <c r="L793" s="112">
        <v>266</v>
      </c>
      <c r="M793" s="112">
        <v>179</v>
      </c>
      <c r="N793" s="112">
        <v>87</v>
      </c>
      <c r="O793" s="100"/>
      <c r="P793" s="100"/>
      <c r="Q793" s="100"/>
    </row>
    <row r="794" spans="1:17" s="117" customFormat="1" ht="17.5" customHeight="1">
      <c r="A794" s="109" t="s">
        <v>7078</v>
      </c>
      <c r="B794" s="109" t="s">
        <v>7079</v>
      </c>
      <c r="C794" s="113">
        <v>2019</v>
      </c>
      <c r="D794" s="112">
        <v>2007</v>
      </c>
      <c r="E794" s="112">
        <v>1381.705068</v>
      </c>
      <c r="F794" s="112">
        <v>456.78334000000001</v>
      </c>
      <c r="G794" s="112">
        <v>913.05518600000005</v>
      </c>
      <c r="H794" s="112">
        <v>201.493358</v>
      </c>
      <c r="I794" s="112">
        <v>11.447438</v>
      </c>
      <c r="J794" s="112">
        <v>15.141640000000001</v>
      </c>
      <c r="K794" s="112">
        <v>3.6942029999999999</v>
      </c>
      <c r="L794" s="112">
        <v>188.34346600000001</v>
      </c>
      <c r="M794" s="112">
        <v>200.267607</v>
      </c>
      <c r="N794" s="112">
        <v>-11.92414</v>
      </c>
      <c r="O794" s="100"/>
      <c r="P794" s="100"/>
      <c r="Q794" s="100"/>
    </row>
    <row r="795" spans="1:17" s="117" customFormat="1" ht="17.5" customHeight="1">
      <c r="A795" s="114" t="s">
        <v>7078</v>
      </c>
      <c r="B795" s="114" t="s">
        <v>7079</v>
      </c>
      <c r="C795" s="113">
        <v>2020</v>
      </c>
      <c r="D795" s="112">
        <v>2042</v>
      </c>
      <c r="E795" s="112">
        <v>959.15756599999997</v>
      </c>
      <c r="F795" s="112">
        <v>300.17706399999997</v>
      </c>
      <c r="G795" s="112">
        <v>646.78154199999994</v>
      </c>
      <c r="H795" s="112">
        <v>241.065009</v>
      </c>
      <c r="I795" s="112">
        <v>7.3018400000000003</v>
      </c>
      <c r="J795" s="112">
        <v>8.4938330000000004</v>
      </c>
      <c r="K795" s="112">
        <v>1.1919930000000001</v>
      </c>
      <c r="L795" s="112">
        <v>131.93398199999999</v>
      </c>
      <c r="M795" s="112">
        <v>145.85995</v>
      </c>
      <c r="N795" s="112">
        <v>-13.925967999999999</v>
      </c>
      <c r="O795" s="110"/>
      <c r="P795" s="110"/>
      <c r="Q795" s="110"/>
    </row>
    <row r="796" spans="1:17" s="117" customFormat="1" ht="17.5" customHeight="1">
      <c r="A796" s="109" t="s">
        <v>7080</v>
      </c>
      <c r="B796" s="109" t="s">
        <v>7081</v>
      </c>
      <c r="C796" s="98">
        <v>2008</v>
      </c>
      <c r="D796" s="99">
        <v>214</v>
      </c>
      <c r="E796" s="99">
        <v>131</v>
      </c>
      <c r="F796" s="99">
        <v>57</v>
      </c>
      <c r="G796" s="99">
        <v>74</v>
      </c>
      <c r="H796" s="99">
        <v>35</v>
      </c>
      <c r="I796" s="99">
        <v>1</v>
      </c>
      <c r="J796" s="99">
        <v>1</v>
      </c>
      <c r="K796" s="99" t="s">
        <v>6952</v>
      </c>
      <c r="L796" s="99">
        <v>25</v>
      </c>
      <c r="M796" s="99">
        <v>24</v>
      </c>
      <c r="N796" s="99">
        <v>1</v>
      </c>
      <c r="O796" s="110"/>
      <c r="P796" s="110"/>
      <c r="Q796" s="110"/>
    </row>
    <row r="797" spans="1:17" s="117" customFormat="1" ht="17.5" customHeight="1">
      <c r="A797" s="109" t="s">
        <v>7080</v>
      </c>
      <c r="B797" s="109" t="s">
        <v>7081</v>
      </c>
      <c r="C797" s="98">
        <v>2009</v>
      </c>
      <c r="D797" s="99">
        <v>186</v>
      </c>
      <c r="E797" s="99">
        <v>178</v>
      </c>
      <c r="F797" s="99">
        <v>59</v>
      </c>
      <c r="G797" s="99">
        <v>114</v>
      </c>
      <c r="H797" s="99">
        <v>34</v>
      </c>
      <c r="I797" s="99">
        <v>1</v>
      </c>
      <c r="J797" s="99">
        <v>2</v>
      </c>
      <c r="K797" s="99">
        <v>1</v>
      </c>
      <c r="L797" s="99">
        <v>25</v>
      </c>
      <c r="M797" s="99">
        <v>29</v>
      </c>
      <c r="N797" s="99">
        <v>-3</v>
      </c>
      <c r="O797" s="110"/>
      <c r="P797" s="110"/>
      <c r="Q797" s="110"/>
    </row>
    <row r="798" spans="1:17" s="117" customFormat="1" ht="17.5" customHeight="1">
      <c r="A798" s="109" t="s">
        <v>7080</v>
      </c>
      <c r="B798" s="109" t="s">
        <v>7081</v>
      </c>
      <c r="C798" s="98">
        <v>2010</v>
      </c>
      <c r="D798" s="99" t="s">
        <v>6953</v>
      </c>
      <c r="E798" s="99" t="s">
        <v>6953</v>
      </c>
      <c r="F798" s="99" t="s">
        <v>6953</v>
      </c>
      <c r="G798" s="99" t="s">
        <v>6953</v>
      </c>
      <c r="H798" s="99" t="s">
        <v>6953</v>
      </c>
      <c r="I798" s="99" t="s">
        <v>6953</v>
      </c>
      <c r="J798" s="99" t="s">
        <v>6953</v>
      </c>
      <c r="K798" s="99" t="s">
        <v>6953</v>
      </c>
      <c r="L798" s="99" t="s">
        <v>6953</v>
      </c>
      <c r="M798" s="99" t="s">
        <v>6953</v>
      </c>
      <c r="N798" s="99" t="s">
        <v>6953</v>
      </c>
      <c r="O798" s="110"/>
      <c r="P798" s="110"/>
      <c r="Q798" s="110"/>
    </row>
    <row r="799" spans="1:17" s="117" customFormat="1" ht="17.5" customHeight="1">
      <c r="A799" s="109" t="s">
        <v>7080</v>
      </c>
      <c r="B799" s="109" t="s">
        <v>7081</v>
      </c>
      <c r="C799" s="98">
        <v>2011</v>
      </c>
      <c r="D799" s="99">
        <v>155</v>
      </c>
      <c r="E799" s="99">
        <v>210</v>
      </c>
      <c r="F799" s="99">
        <v>76</v>
      </c>
      <c r="G799" s="99">
        <v>139</v>
      </c>
      <c r="H799" s="99">
        <v>33</v>
      </c>
      <c r="I799" s="99">
        <v>2</v>
      </c>
      <c r="J799" s="99">
        <v>2</v>
      </c>
      <c r="K799" s="99" t="s">
        <v>6952</v>
      </c>
      <c r="L799" s="99">
        <v>39</v>
      </c>
      <c r="M799" s="99">
        <v>33</v>
      </c>
      <c r="N799" s="99">
        <v>6</v>
      </c>
      <c r="O799" s="100"/>
      <c r="P799" s="100"/>
      <c r="Q799" s="100"/>
    </row>
    <row r="800" spans="1:17" s="117" customFormat="1" ht="17.5" customHeight="1">
      <c r="A800" s="109" t="s">
        <v>7080</v>
      </c>
      <c r="B800" s="109" t="s">
        <v>7081</v>
      </c>
      <c r="C800" s="111">
        <v>2012</v>
      </c>
      <c r="D800" s="112">
        <v>145</v>
      </c>
      <c r="E800" s="112">
        <v>193</v>
      </c>
      <c r="F800" s="112">
        <v>94</v>
      </c>
      <c r="G800" s="112">
        <v>98</v>
      </c>
      <c r="H800" s="112">
        <v>37</v>
      </c>
      <c r="I800" s="112">
        <v>1</v>
      </c>
      <c r="J800" s="112">
        <v>4</v>
      </c>
      <c r="K800" s="112">
        <v>3</v>
      </c>
      <c r="L800" s="112">
        <v>32</v>
      </c>
      <c r="M800" s="112">
        <v>31</v>
      </c>
      <c r="N800" s="112">
        <v>1</v>
      </c>
      <c r="O800" s="110"/>
      <c r="P800" s="110"/>
      <c r="Q800" s="110"/>
    </row>
    <row r="801" spans="1:17" s="117" customFormat="1" ht="17.5" customHeight="1">
      <c r="A801" s="109" t="s">
        <v>7080</v>
      </c>
      <c r="B801" s="109" t="s">
        <v>7081</v>
      </c>
      <c r="C801" s="113">
        <v>2013</v>
      </c>
      <c r="D801" s="112">
        <v>147</v>
      </c>
      <c r="E801" s="112">
        <v>194</v>
      </c>
      <c r="F801" s="112">
        <v>60</v>
      </c>
      <c r="G801" s="112">
        <v>137</v>
      </c>
      <c r="H801" s="112">
        <v>37</v>
      </c>
      <c r="I801" s="112">
        <v>3</v>
      </c>
      <c r="J801" s="112">
        <v>3</v>
      </c>
      <c r="K801" s="112" t="s">
        <v>6952</v>
      </c>
      <c r="L801" s="112">
        <v>25</v>
      </c>
      <c r="M801" s="112">
        <v>22</v>
      </c>
      <c r="N801" s="112">
        <v>3</v>
      </c>
      <c r="O801" s="100"/>
      <c r="P801" s="100"/>
      <c r="Q801" s="100"/>
    </row>
    <row r="802" spans="1:17" s="117" customFormat="1" ht="17.5" customHeight="1">
      <c r="A802" s="109" t="s">
        <v>7080</v>
      </c>
      <c r="B802" s="109" t="s">
        <v>7081</v>
      </c>
      <c r="C802" s="113">
        <v>2014</v>
      </c>
      <c r="D802" s="99">
        <v>151</v>
      </c>
      <c r="E802" s="99">
        <v>69</v>
      </c>
      <c r="F802" s="99">
        <v>35</v>
      </c>
      <c r="G802" s="99">
        <v>35</v>
      </c>
      <c r="H802" s="99">
        <v>14</v>
      </c>
      <c r="I802" s="99">
        <v>1</v>
      </c>
      <c r="J802" s="99">
        <v>1</v>
      </c>
      <c r="K802" s="112" t="s">
        <v>6952</v>
      </c>
      <c r="L802" s="99">
        <v>14</v>
      </c>
      <c r="M802" s="99">
        <v>13</v>
      </c>
      <c r="N802" s="99">
        <v>1</v>
      </c>
      <c r="O802" s="100"/>
      <c r="P802" s="100"/>
      <c r="Q802" s="100"/>
    </row>
    <row r="803" spans="1:17" s="117" customFormat="1" ht="17.5" customHeight="1">
      <c r="A803" s="109" t="s">
        <v>7080</v>
      </c>
      <c r="B803" s="109" t="s">
        <v>7081</v>
      </c>
      <c r="C803" s="113">
        <v>2015</v>
      </c>
      <c r="D803" s="112">
        <v>149</v>
      </c>
      <c r="E803" s="112">
        <v>125</v>
      </c>
      <c r="F803" s="112">
        <v>33</v>
      </c>
      <c r="G803" s="112">
        <v>90</v>
      </c>
      <c r="H803" s="112">
        <v>21</v>
      </c>
      <c r="I803" s="112">
        <v>2</v>
      </c>
      <c r="J803" s="112">
        <v>2</v>
      </c>
      <c r="K803" s="112" t="s">
        <v>6952</v>
      </c>
      <c r="L803" s="112">
        <v>8</v>
      </c>
      <c r="M803" s="112">
        <v>9</v>
      </c>
      <c r="N803" s="112">
        <v>-1</v>
      </c>
      <c r="O803" s="110"/>
      <c r="P803" s="110"/>
      <c r="Q803" s="110"/>
    </row>
    <row r="804" spans="1:17" s="117" customFormat="1" ht="17.5" customHeight="1">
      <c r="A804" s="109" t="s">
        <v>7080</v>
      </c>
      <c r="B804" s="109" t="s">
        <v>7081</v>
      </c>
      <c r="C804" s="113">
        <v>2016</v>
      </c>
      <c r="D804" s="112">
        <v>153</v>
      </c>
      <c r="E804" s="112">
        <v>104</v>
      </c>
      <c r="F804" s="112">
        <v>35</v>
      </c>
      <c r="G804" s="112">
        <v>68</v>
      </c>
      <c r="H804" s="112">
        <v>18</v>
      </c>
      <c r="I804" s="112">
        <v>1</v>
      </c>
      <c r="J804" s="112">
        <v>1</v>
      </c>
      <c r="K804" s="112" t="s">
        <v>6952</v>
      </c>
      <c r="L804" s="112">
        <v>8</v>
      </c>
      <c r="M804" s="112">
        <v>9</v>
      </c>
      <c r="N804" s="112">
        <v>-1</v>
      </c>
      <c r="O804" s="110"/>
      <c r="P804" s="110"/>
      <c r="Q804" s="110"/>
    </row>
    <row r="805" spans="1:17" s="117" customFormat="1" ht="17.5" customHeight="1">
      <c r="A805" s="109" t="s">
        <v>7080</v>
      </c>
      <c r="B805" s="109" t="s">
        <v>7081</v>
      </c>
      <c r="C805" s="113">
        <v>2017</v>
      </c>
      <c r="D805" s="112">
        <v>140</v>
      </c>
      <c r="E805" s="112">
        <v>136</v>
      </c>
      <c r="F805" s="112">
        <v>77</v>
      </c>
      <c r="G805" s="112">
        <v>60</v>
      </c>
      <c r="H805" s="112">
        <v>16</v>
      </c>
      <c r="I805" s="112">
        <v>6</v>
      </c>
      <c r="J805" s="112">
        <v>6</v>
      </c>
      <c r="K805" s="112" t="s">
        <v>6952</v>
      </c>
      <c r="L805" s="112">
        <v>17</v>
      </c>
      <c r="M805" s="112">
        <v>16</v>
      </c>
      <c r="N805" s="112">
        <v>1</v>
      </c>
      <c r="O805" s="100"/>
      <c r="P805" s="100"/>
      <c r="Q805" s="100"/>
    </row>
    <row r="806" spans="1:17" s="117" customFormat="1" ht="17.5" customHeight="1">
      <c r="A806" s="109" t="s">
        <v>7080</v>
      </c>
      <c r="B806" s="109" t="s">
        <v>7081</v>
      </c>
      <c r="C806" s="113">
        <v>2018</v>
      </c>
      <c r="D806" s="112">
        <v>144</v>
      </c>
      <c r="E806" s="112">
        <v>123</v>
      </c>
      <c r="F806" s="112">
        <v>39</v>
      </c>
      <c r="G806" s="112">
        <v>84</v>
      </c>
      <c r="H806" s="112">
        <v>15</v>
      </c>
      <c r="I806" s="112">
        <v>1</v>
      </c>
      <c r="J806" s="112">
        <v>1</v>
      </c>
      <c r="K806" s="112" t="s">
        <v>6952</v>
      </c>
      <c r="L806" s="112">
        <v>15</v>
      </c>
      <c r="M806" s="112">
        <v>14</v>
      </c>
      <c r="N806" s="112">
        <v>1</v>
      </c>
      <c r="O806" s="100"/>
      <c r="P806" s="100"/>
      <c r="Q806" s="100"/>
    </row>
    <row r="807" spans="1:17" s="117" customFormat="1" ht="17.5" customHeight="1">
      <c r="A807" s="109" t="s">
        <v>7080</v>
      </c>
      <c r="B807" s="109" t="s">
        <v>7081</v>
      </c>
      <c r="C807" s="113">
        <v>2019</v>
      </c>
      <c r="D807" s="112">
        <v>138</v>
      </c>
      <c r="E807" s="112">
        <v>88.770651999999998</v>
      </c>
      <c r="F807" s="112">
        <v>60.563496999999998</v>
      </c>
      <c r="G807" s="112">
        <v>29.24166</v>
      </c>
      <c r="H807" s="112">
        <v>14.411267</v>
      </c>
      <c r="I807" s="112" t="s">
        <v>6952</v>
      </c>
      <c r="J807" s="112" t="s">
        <v>6952</v>
      </c>
      <c r="K807" s="112" t="s">
        <v>6952</v>
      </c>
      <c r="L807" s="112">
        <v>9.5725449999999999</v>
      </c>
      <c r="M807" s="112">
        <v>8.0953389999999992</v>
      </c>
      <c r="N807" s="112">
        <v>1.477206</v>
      </c>
      <c r="O807" s="110"/>
      <c r="P807" s="110"/>
      <c r="Q807" s="110"/>
    </row>
    <row r="808" spans="1:17" s="117" customFormat="1" ht="17.5" customHeight="1">
      <c r="A808" s="114" t="s">
        <v>7080</v>
      </c>
      <c r="B808" s="114" t="s">
        <v>7081</v>
      </c>
      <c r="C808" s="113">
        <v>2020</v>
      </c>
      <c r="D808" s="112">
        <v>139</v>
      </c>
      <c r="E808" s="112">
        <v>43.879469</v>
      </c>
      <c r="F808" s="112">
        <v>9.8198620000000005</v>
      </c>
      <c r="G808" s="112">
        <v>34.848869999999998</v>
      </c>
      <c r="H808" s="112">
        <v>14.669458000000001</v>
      </c>
      <c r="I808" s="112">
        <v>-0.91124499999999997</v>
      </c>
      <c r="J808" s="112" t="s">
        <v>6952</v>
      </c>
      <c r="K808" s="112">
        <v>1.2948200000000001</v>
      </c>
      <c r="L808" s="112">
        <v>11.231465999999999</v>
      </c>
      <c r="M808" s="112">
        <v>10.59684</v>
      </c>
      <c r="N808" s="112">
        <v>0.63462600000000002</v>
      </c>
      <c r="O808" s="110"/>
      <c r="P808" s="110"/>
      <c r="Q808" s="110"/>
    </row>
    <row r="809" spans="1:17" s="117" customFormat="1" ht="31.75" customHeight="1">
      <c r="A809" s="109" t="s">
        <v>7082</v>
      </c>
      <c r="B809" s="109" t="s">
        <v>7083</v>
      </c>
      <c r="C809" s="98">
        <v>2008</v>
      </c>
      <c r="D809" s="99">
        <v>1453</v>
      </c>
      <c r="E809" s="99">
        <v>790</v>
      </c>
      <c r="F809" s="99">
        <v>225</v>
      </c>
      <c r="G809" s="99">
        <v>577</v>
      </c>
      <c r="H809" s="99">
        <v>132</v>
      </c>
      <c r="I809" s="99">
        <v>12</v>
      </c>
      <c r="J809" s="99">
        <v>13</v>
      </c>
      <c r="K809" s="99">
        <v>1</v>
      </c>
      <c r="L809" s="99">
        <v>184</v>
      </c>
      <c r="M809" s="99">
        <v>172</v>
      </c>
      <c r="N809" s="99">
        <v>12</v>
      </c>
      <c r="O809" s="110"/>
      <c r="P809" s="110"/>
      <c r="Q809" s="110"/>
    </row>
    <row r="810" spans="1:17" s="117" customFormat="1" ht="31.75" customHeight="1">
      <c r="A810" s="109" t="s">
        <v>7082</v>
      </c>
      <c r="B810" s="109" t="s">
        <v>7083</v>
      </c>
      <c r="C810" s="98">
        <v>2009</v>
      </c>
      <c r="D810" s="99">
        <v>1224</v>
      </c>
      <c r="E810" s="99">
        <v>592</v>
      </c>
      <c r="F810" s="99">
        <v>169</v>
      </c>
      <c r="G810" s="99">
        <v>432</v>
      </c>
      <c r="H810" s="99">
        <v>107</v>
      </c>
      <c r="I810" s="99">
        <v>3</v>
      </c>
      <c r="J810" s="99">
        <v>5</v>
      </c>
      <c r="K810" s="99">
        <v>2</v>
      </c>
      <c r="L810" s="99">
        <v>66</v>
      </c>
      <c r="M810" s="99">
        <v>58</v>
      </c>
      <c r="N810" s="99">
        <v>8</v>
      </c>
      <c r="O810" s="110"/>
      <c r="P810" s="110"/>
      <c r="Q810" s="110"/>
    </row>
    <row r="811" spans="1:17" s="117" customFormat="1" ht="31.75" customHeight="1">
      <c r="A811" s="109" t="s">
        <v>7082</v>
      </c>
      <c r="B811" s="109" t="s">
        <v>7083</v>
      </c>
      <c r="C811" s="98">
        <v>2010</v>
      </c>
      <c r="D811" s="99">
        <v>1110</v>
      </c>
      <c r="E811" s="99">
        <v>573</v>
      </c>
      <c r="F811" s="99">
        <v>278</v>
      </c>
      <c r="G811" s="99">
        <v>296</v>
      </c>
      <c r="H811" s="99">
        <v>111</v>
      </c>
      <c r="I811" s="99">
        <v>7</v>
      </c>
      <c r="J811" s="99">
        <v>8</v>
      </c>
      <c r="K811" s="99">
        <v>1</v>
      </c>
      <c r="L811" s="99">
        <v>117</v>
      </c>
      <c r="M811" s="99">
        <v>115</v>
      </c>
      <c r="N811" s="99">
        <v>1</v>
      </c>
      <c r="O811" s="100"/>
      <c r="P811" s="100"/>
      <c r="Q811" s="100"/>
    </row>
    <row r="812" spans="1:17" s="117" customFormat="1" ht="31.75" customHeight="1">
      <c r="A812" s="109" t="s">
        <v>7082</v>
      </c>
      <c r="B812" s="109" t="s">
        <v>7083</v>
      </c>
      <c r="C812" s="98">
        <v>2011</v>
      </c>
      <c r="D812" s="99">
        <v>1042</v>
      </c>
      <c r="E812" s="99">
        <v>517</v>
      </c>
      <c r="F812" s="99">
        <v>152</v>
      </c>
      <c r="G812" s="99">
        <v>358</v>
      </c>
      <c r="H812" s="99">
        <v>108</v>
      </c>
      <c r="I812" s="99">
        <v>3</v>
      </c>
      <c r="J812" s="99">
        <v>4</v>
      </c>
      <c r="K812" s="99">
        <v>1</v>
      </c>
      <c r="L812" s="99">
        <v>57</v>
      </c>
      <c r="M812" s="99">
        <v>65</v>
      </c>
      <c r="N812" s="99">
        <v>-7</v>
      </c>
      <c r="O812" s="110"/>
      <c r="P812" s="110"/>
      <c r="Q812" s="110"/>
    </row>
    <row r="813" spans="1:17" s="117" customFormat="1" ht="31.75" customHeight="1">
      <c r="A813" s="109" t="s">
        <v>7082</v>
      </c>
      <c r="B813" s="109" t="s">
        <v>7083</v>
      </c>
      <c r="C813" s="111">
        <v>2012</v>
      </c>
      <c r="D813" s="112">
        <v>944</v>
      </c>
      <c r="E813" s="112">
        <v>417</v>
      </c>
      <c r="F813" s="112">
        <v>158</v>
      </c>
      <c r="G813" s="112">
        <v>254</v>
      </c>
      <c r="H813" s="112">
        <v>93</v>
      </c>
      <c r="I813" s="112">
        <v>4</v>
      </c>
      <c r="J813" s="112">
        <v>5</v>
      </c>
      <c r="K813" s="112">
        <v>1</v>
      </c>
      <c r="L813" s="112">
        <v>77</v>
      </c>
      <c r="M813" s="112">
        <v>82</v>
      </c>
      <c r="N813" s="112">
        <v>-5</v>
      </c>
      <c r="O813" s="100"/>
      <c r="P813" s="100"/>
      <c r="Q813" s="100"/>
    </row>
    <row r="814" spans="1:17" s="117" customFormat="1" ht="31.75" customHeight="1">
      <c r="A814" s="109" t="s">
        <v>7082</v>
      </c>
      <c r="B814" s="109" t="s">
        <v>7083</v>
      </c>
      <c r="C814" s="113">
        <v>2013</v>
      </c>
      <c r="D814" s="112">
        <v>985</v>
      </c>
      <c r="E814" s="112">
        <v>455</v>
      </c>
      <c r="F814" s="112">
        <v>197</v>
      </c>
      <c r="G814" s="112">
        <v>252</v>
      </c>
      <c r="H814" s="112">
        <v>102</v>
      </c>
      <c r="I814" s="112">
        <v>5</v>
      </c>
      <c r="J814" s="112">
        <v>7</v>
      </c>
      <c r="K814" s="112">
        <v>2</v>
      </c>
      <c r="L814" s="112">
        <v>100</v>
      </c>
      <c r="M814" s="112">
        <v>107</v>
      </c>
      <c r="N814" s="112">
        <v>-6</v>
      </c>
      <c r="O814" s="100"/>
      <c r="P814" s="100"/>
      <c r="Q814" s="100"/>
    </row>
    <row r="815" spans="1:17" s="117" customFormat="1" ht="31.75" customHeight="1">
      <c r="A815" s="109" t="s">
        <v>7082</v>
      </c>
      <c r="B815" s="109" t="s">
        <v>7083</v>
      </c>
      <c r="C815" s="113">
        <v>2014</v>
      </c>
      <c r="D815" s="99">
        <v>1004</v>
      </c>
      <c r="E815" s="99">
        <v>533</v>
      </c>
      <c r="F815" s="99">
        <v>230</v>
      </c>
      <c r="G815" s="99">
        <v>309</v>
      </c>
      <c r="H815" s="99">
        <v>127</v>
      </c>
      <c r="I815" s="99">
        <v>6</v>
      </c>
      <c r="J815" s="99">
        <v>7</v>
      </c>
      <c r="K815" s="99">
        <v>1</v>
      </c>
      <c r="L815" s="99">
        <v>108</v>
      </c>
      <c r="M815" s="99">
        <v>104</v>
      </c>
      <c r="N815" s="99">
        <v>5</v>
      </c>
      <c r="O815" s="110"/>
      <c r="P815" s="110"/>
      <c r="Q815" s="110"/>
    </row>
    <row r="816" spans="1:17" s="117" customFormat="1" ht="31.75" customHeight="1">
      <c r="A816" s="109" t="s">
        <v>7082</v>
      </c>
      <c r="B816" s="109" t="s">
        <v>7083</v>
      </c>
      <c r="C816" s="113">
        <v>2015</v>
      </c>
      <c r="D816" s="112">
        <v>1005</v>
      </c>
      <c r="E816" s="112">
        <v>604</v>
      </c>
      <c r="F816" s="112">
        <v>177</v>
      </c>
      <c r="G816" s="112">
        <v>437</v>
      </c>
      <c r="H816" s="112">
        <v>139</v>
      </c>
      <c r="I816" s="112">
        <v>5</v>
      </c>
      <c r="J816" s="112">
        <v>8</v>
      </c>
      <c r="K816" s="112">
        <v>2</v>
      </c>
      <c r="L816" s="112">
        <v>114</v>
      </c>
      <c r="M816" s="112">
        <v>103</v>
      </c>
      <c r="N816" s="112">
        <v>11</v>
      </c>
      <c r="O816" s="110"/>
      <c r="P816" s="110"/>
      <c r="Q816" s="110"/>
    </row>
    <row r="817" spans="1:17" s="117" customFormat="1" ht="31.75" customHeight="1">
      <c r="A817" s="109" t="s">
        <v>7082</v>
      </c>
      <c r="B817" s="109" t="s">
        <v>7083</v>
      </c>
      <c r="C817" s="113">
        <v>2016</v>
      </c>
      <c r="D817" s="112">
        <v>1025</v>
      </c>
      <c r="E817" s="112">
        <v>570</v>
      </c>
      <c r="F817" s="112">
        <v>157</v>
      </c>
      <c r="G817" s="112">
        <v>423</v>
      </c>
      <c r="H817" s="112">
        <v>140</v>
      </c>
      <c r="I817" s="112">
        <v>4</v>
      </c>
      <c r="J817" s="112">
        <v>5</v>
      </c>
      <c r="K817" s="112" t="s">
        <v>6952</v>
      </c>
      <c r="L817" s="112">
        <v>76</v>
      </c>
      <c r="M817" s="112">
        <v>65</v>
      </c>
      <c r="N817" s="112">
        <v>11</v>
      </c>
      <c r="O817" s="100"/>
      <c r="P817" s="100"/>
      <c r="Q817" s="100"/>
    </row>
    <row r="818" spans="1:17" s="117" customFormat="1" ht="31.75" customHeight="1">
      <c r="A818" s="109" t="s">
        <v>7082</v>
      </c>
      <c r="B818" s="109" t="s">
        <v>7083</v>
      </c>
      <c r="C818" s="113">
        <v>2017</v>
      </c>
      <c r="D818" s="112">
        <v>1058</v>
      </c>
      <c r="E818" s="112">
        <v>504</v>
      </c>
      <c r="F818" s="112">
        <v>179</v>
      </c>
      <c r="G818" s="112">
        <v>326</v>
      </c>
      <c r="H818" s="112">
        <v>103</v>
      </c>
      <c r="I818" s="112">
        <v>21</v>
      </c>
      <c r="J818" s="112">
        <v>22</v>
      </c>
      <c r="K818" s="112">
        <v>1</v>
      </c>
      <c r="L818" s="112">
        <v>75</v>
      </c>
      <c r="M818" s="112">
        <v>74</v>
      </c>
      <c r="N818" s="112">
        <v>1</v>
      </c>
      <c r="O818" s="100"/>
      <c r="P818" s="100"/>
      <c r="Q818" s="100"/>
    </row>
    <row r="819" spans="1:17" s="117" customFormat="1" ht="31.75" customHeight="1">
      <c r="A819" s="109" t="s">
        <v>7082</v>
      </c>
      <c r="B819" s="109" t="s">
        <v>7083</v>
      </c>
      <c r="C819" s="113">
        <v>2018</v>
      </c>
      <c r="D819" s="112">
        <v>1094</v>
      </c>
      <c r="E819" s="112">
        <v>436</v>
      </c>
      <c r="F819" s="112">
        <v>190</v>
      </c>
      <c r="G819" s="112">
        <v>273</v>
      </c>
      <c r="H819" s="112">
        <v>101</v>
      </c>
      <c r="I819" s="112">
        <v>8</v>
      </c>
      <c r="J819" s="112">
        <v>9</v>
      </c>
      <c r="K819" s="112">
        <v>1</v>
      </c>
      <c r="L819" s="112">
        <v>71</v>
      </c>
      <c r="M819" s="112">
        <v>45</v>
      </c>
      <c r="N819" s="112">
        <v>26</v>
      </c>
      <c r="O819" s="110"/>
      <c r="P819" s="110"/>
      <c r="Q819" s="110"/>
    </row>
    <row r="820" spans="1:17" s="117" customFormat="1" ht="31.75" customHeight="1">
      <c r="A820" s="109" t="s">
        <v>7082</v>
      </c>
      <c r="B820" s="109" t="s">
        <v>7083</v>
      </c>
      <c r="C820" s="113">
        <v>2019</v>
      </c>
      <c r="D820" s="112">
        <v>1148</v>
      </c>
      <c r="E820" s="112">
        <v>479.35395399999999</v>
      </c>
      <c r="F820" s="112">
        <v>174.27355499999999</v>
      </c>
      <c r="G820" s="112">
        <v>310.91350499999999</v>
      </c>
      <c r="H820" s="112">
        <v>103.979275</v>
      </c>
      <c r="I820" s="112">
        <v>7.0335359999999998</v>
      </c>
      <c r="J820" s="112">
        <v>7.6612609999999997</v>
      </c>
      <c r="K820" s="112">
        <v>0.62772499999999998</v>
      </c>
      <c r="L820" s="112">
        <v>67.283210999999994</v>
      </c>
      <c r="M820" s="112">
        <v>61.054532999999999</v>
      </c>
      <c r="N820" s="112">
        <v>6.2286780000000004</v>
      </c>
      <c r="O820" s="110"/>
      <c r="P820" s="110"/>
      <c r="Q820" s="110"/>
    </row>
    <row r="821" spans="1:17" s="117" customFormat="1" ht="31.75" customHeight="1">
      <c r="A821" s="114" t="s">
        <v>7082</v>
      </c>
      <c r="B821" s="114" t="s">
        <v>7083</v>
      </c>
      <c r="C821" s="113">
        <v>2020</v>
      </c>
      <c r="D821" s="112">
        <v>1196</v>
      </c>
      <c r="E821" s="112">
        <v>442.63481300000001</v>
      </c>
      <c r="F821" s="112">
        <v>133.21658500000001</v>
      </c>
      <c r="G821" s="112">
        <v>303.27093500000001</v>
      </c>
      <c r="H821" s="112">
        <v>104.749396</v>
      </c>
      <c r="I821" s="112">
        <v>26.092112</v>
      </c>
      <c r="J821" s="112">
        <v>27.309045000000001</v>
      </c>
      <c r="K821" s="112">
        <v>1.216933</v>
      </c>
      <c r="L821" s="112">
        <v>109.702972</v>
      </c>
      <c r="M821" s="112">
        <v>117.64639099999999</v>
      </c>
      <c r="N821" s="112">
        <v>-7.9434189999999996</v>
      </c>
      <c r="O821" s="110"/>
      <c r="P821" s="110"/>
      <c r="Q821" s="110"/>
    </row>
    <row r="822" spans="1:17" s="117" customFormat="1" ht="17.5" customHeight="1">
      <c r="A822" s="109" t="s">
        <v>7084</v>
      </c>
      <c r="B822" s="109" t="s">
        <v>7085</v>
      </c>
      <c r="C822" s="98">
        <v>2008</v>
      </c>
      <c r="D822" s="99">
        <v>12</v>
      </c>
      <c r="E822" s="99">
        <v>5</v>
      </c>
      <c r="F822" s="99">
        <v>2</v>
      </c>
      <c r="G822" s="99">
        <v>3</v>
      </c>
      <c r="H822" s="99">
        <v>2</v>
      </c>
      <c r="I822" s="99">
        <v>-1</v>
      </c>
      <c r="J822" s="99" t="s">
        <v>6952</v>
      </c>
      <c r="K822" s="99">
        <v>1</v>
      </c>
      <c r="L822" s="99">
        <v>2</v>
      </c>
      <c r="M822" s="99">
        <v>2</v>
      </c>
      <c r="N822" s="99" t="s">
        <v>6952</v>
      </c>
      <c r="O822" s="110"/>
      <c r="P822" s="110"/>
      <c r="Q822" s="110"/>
    </row>
    <row r="823" spans="1:17" s="117" customFormat="1" ht="17.5" customHeight="1">
      <c r="A823" s="109" t="s">
        <v>7084</v>
      </c>
      <c r="B823" s="109" t="s">
        <v>7085</v>
      </c>
      <c r="C823" s="98">
        <v>2009</v>
      </c>
      <c r="D823" s="99">
        <v>9</v>
      </c>
      <c r="E823" s="99">
        <v>3</v>
      </c>
      <c r="F823" s="99" t="s">
        <v>6952</v>
      </c>
      <c r="G823" s="99">
        <v>3</v>
      </c>
      <c r="H823" s="99">
        <v>1</v>
      </c>
      <c r="I823" s="99" t="s">
        <v>6952</v>
      </c>
      <c r="J823" s="99" t="s">
        <v>6952</v>
      </c>
      <c r="K823" s="99" t="s">
        <v>6952</v>
      </c>
      <c r="L823" s="99">
        <v>1</v>
      </c>
      <c r="M823" s="99">
        <v>1</v>
      </c>
      <c r="N823" s="99" t="s">
        <v>6952</v>
      </c>
      <c r="O823" s="100"/>
      <c r="P823" s="100"/>
      <c r="Q823" s="100"/>
    </row>
    <row r="824" spans="1:17" s="117" customFormat="1" ht="17.5" customHeight="1">
      <c r="A824" s="109" t="s">
        <v>7084</v>
      </c>
      <c r="B824" s="109" t="s">
        <v>7085</v>
      </c>
      <c r="C824" s="98">
        <v>2010</v>
      </c>
      <c r="D824" s="99">
        <v>9</v>
      </c>
      <c r="E824" s="99">
        <v>2</v>
      </c>
      <c r="F824" s="99">
        <v>1</v>
      </c>
      <c r="G824" s="99">
        <v>2</v>
      </c>
      <c r="H824" s="99">
        <v>1</v>
      </c>
      <c r="I824" s="99" t="s">
        <v>6952</v>
      </c>
      <c r="J824" s="99" t="s">
        <v>6952</v>
      </c>
      <c r="K824" s="99">
        <v>0</v>
      </c>
      <c r="L824" s="99">
        <v>1</v>
      </c>
      <c r="M824" s="99">
        <v>1</v>
      </c>
      <c r="N824" s="99" t="s">
        <v>6952</v>
      </c>
      <c r="O824" s="110"/>
      <c r="P824" s="110"/>
      <c r="Q824" s="110"/>
    </row>
    <row r="825" spans="1:17" s="117" customFormat="1" ht="17.5" customHeight="1">
      <c r="A825" s="109" t="s">
        <v>7084</v>
      </c>
      <c r="B825" s="109" t="s">
        <v>7085</v>
      </c>
      <c r="C825" s="98">
        <v>2011</v>
      </c>
      <c r="D825" s="99" t="s">
        <v>6953</v>
      </c>
      <c r="E825" s="99" t="s">
        <v>6953</v>
      </c>
      <c r="F825" s="99" t="s">
        <v>6953</v>
      </c>
      <c r="G825" s="99" t="s">
        <v>6953</v>
      </c>
      <c r="H825" s="99" t="s">
        <v>6953</v>
      </c>
      <c r="I825" s="99" t="s">
        <v>6953</v>
      </c>
      <c r="J825" s="99" t="s">
        <v>6953</v>
      </c>
      <c r="K825" s="99" t="s">
        <v>6953</v>
      </c>
      <c r="L825" s="99" t="s">
        <v>6953</v>
      </c>
      <c r="M825" s="99" t="s">
        <v>6953</v>
      </c>
      <c r="N825" s="99" t="s">
        <v>6953</v>
      </c>
      <c r="O825" s="100"/>
      <c r="P825" s="100"/>
      <c r="Q825" s="100"/>
    </row>
    <row r="826" spans="1:17" s="117" customFormat="1" ht="17.5" customHeight="1">
      <c r="A826" s="109" t="s">
        <v>7084</v>
      </c>
      <c r="B826" s="109" t="s">
        <v>7085</v>
      </c>
      <c r="C826" s="111">
        <v>2012</v>
      </c>
      <c r="D826" s="99" t="s">
        <v>6953</v>
      </c>
      <c r="E826" s="99" t="s">
        <v>6953</v>
      </c>
      <c r="F826" s="99" t="s">
        <v>6953</v>
      </c>
      <c r="G826" s="99" t="s">
        <v>6953</v>
      </c>
      <c r="H826" s="99" t="s">
        <v>6953</v>
      </c>
      <c r="I826" s="99" t="s">
        <v>6953</v>
      </c>
      <c r="J826" s="99" t="s">
        <v>6953</v>
      </c>
      <c r="K826" s="99" t="s">
        <v>6953</v>
      </c>
      <c r="L826" s="99" t="s">
        <v>6953</v>
      </c>
      <c r="M826" s="99" t="s">
        <v>6953</v>
      </c>
      <c r="N826" s="99" t="s">
        <v>6953</v>
      </c>
      <c r="O826" s="100"/>
      <c r="P826" s="100"/>
      <c r="Q826" s="100"/>
    </row>
    <row r="827" spans="1:17" s="117" customFormat="1" ht="17.5" customHeight="1">
      <c r="A827" s="109" t="s">
        <v>7084</v>
      </c>
      <c r="B827" s="109" t="s">
        <v>7085</v>
      </c>
      <c r="C827" s="113">
        <v>2013</v>
      </c>
      <c r="D827" s="99" t="s">
        <v>6953</v>
      </c>
      <c r="E827" s="99" t="s">
        <v>6953</v>
      </c>
      <c r="F827" s="99" t="s">
        <v>6953</v>
      </c>
      <c r="G827" s="99" t="s">
        <v>6953</v>
      </c>
      <c r="H827" s="99" t="s">
        <v>6953</v>
      </c>
      <c r="I827" s="99" t="s">
        <v>6953</v>
      </c>
      <c r="J827" s="99" t="s">
        <v>6953</v>
      </c>
      <c r="K827" s="99" t="s">
        <v>6953</v>
      </c>
      <c r="L827" s="99" t="s">
        <v>6953</v>
      </c>
      <c r="M827" s="99" t="s">
        <v>6953</v>
      </c>
      <c r="N827" s="99" t="s">
        <v>6953</v>
      </c>
      <c r="O827" s="110"/>
      <c r="P827" s="110"/>
      <c r="Q827" s="110"/>
    </row>
    <row r="828" spans="1:17" s="117" customFormat="1" ht="17.5" customHeight="1">
      <c r="A828" s="109" t="s">
        <v>7084</v>
      </c>
      <c r="B828" s="109" t="s">
        <v>7085</v>
      </c>
      <c r="C828" s="113">
        <v>2014</v>
      </c>
      <c r="D828" s="99">
        <v>7</v>
      </c>
      <c r="E828" s="99">
        <v>4</v>
      </c>
      <c r="F828" s="99">
        <v>1</v>
      </c>
      <c r="G828" s="99">
        <v>3</v>
      </c>
      <c r="H828" s="99">
        <v>1</v>
      </c>
      <c r="I828" s="99" t="s">
        <v>6952</v>
      </c>
      <c r="J828" s="99" t="s">
        <v>6952</v>
      </c>
      <c r="K828" s="99" t="s">
        <v>6952</v>
      </c>
      <c r="L828" s="99">
        <v>1</v>
      </c>
      <c r="M828" s="99">
        <v>1</v>
      </c>
      <c r="N828" s="99" t="s">
        <v>6952</v>
      </c>
      <c r="O828" s="110"/>
      <c r="P828" s="110"/>
      <c r="Q828" s="110"/>
    </row>
    <row r="829" spans="1:17" s="117" customFormat="1" ht="17.5" customHeight="1">
      <c r="A829" s="109" t="s">
        <v>7084</v>
      </c>
      <c r="B829" s="109" t="s">
        <v>7085</v>
      </c>
      <c r="C829" s="113">
        <v>2015</v>
      </c>
      <c r="D829" s="99" t="s">
        <v>6953</v>
      </c>
      <c r="E829" s="99" t="s">
        <v>6953</v>
      </c>
      <c r="F829" s="99" t="s">
        <v>6953</v>
      </c>
      <c r="G829" s="99" t="s">
        <v>6953</v>
      </c>
      <c r="H829" s="99" t="s">
        <v>6953</v>
      </c>
      <c r="I829" s="99" t="s">
        <v>6953</v>
      </c>
      <c r="J829" s="99" t="s">
        <v>6953</v>
      </c>
      <c r="K829" s="99" t="s">
        <v>6953</v>
      </c>
      <c r="L829" s="99" t="s">
        <v>6953</v>
      </c>
      <c r="M829" s="99" t="s">
        <v>6953</v>
      </c>
      <c r="N829" s="99" t="s">
        <v>6953</v>
      </c>
      <c r="O829" s="100"/>
      <c r="P829" s="100"/>
      <c r="Q829" s="100"/>
    </row>
    <row r="830" spans="1:17" s="117" customFormat="1" ht="17.5" customHeight="1">
      <c r="A830" s="109" t="s">
        <v>7084</v>
      </c>
      <c r="B830" s="109" t="s">
        <v>7085</v>
      </c>
      <c r="C830" s="113">
        <v>2016</v>
      </c>
      <c r="D830" s="99" t="s">
        <v>6953</v>
      </c>
      <c r="E830" s="99" t="s">
        <v>6953</v>
      </c>
      <c r="F830" s="99" t="s">
        <v>6953</v>
      </c>
      <c r="G830" s="99" t="s">
        <v>6953</v>
      </c>
      <c r="H830" s="99" t="s">
        <v>6953</v>
      </c>
      <c r="I830" s="99" t="s">
        <v>6953</v>
      </c>
      <c r="J830" s="99" t="s">
        <v>6953</v>
      </c>
      <c r="K830" s="99" t="s">
        <v>6953</v>
      </c>
      <c r="L830" s="99" t="s">
        <v>6953</v>
      </c>
      <c r="M830" s="99" t="s">
        <v>6953</v>
      </c>
      <c r="N830" s="99" t="s">
        <v>6953</v>
      </c>
      <c r="O830" s="100"/>
      <c r="P830" s="100"/>
      <c r="Q830" s="100"/>
    </row>
    <row r="831" spans="1:17" s="117" customFormat="1" ht="17.5" customHeight="1">
      <c r="A831" s="109" t="s">
        <v>7084</v>
      </c>
      <c r="B831" s="109" t="s">
        <v>7085</v>
      </c>
      <c r="C831" s="113">
        <v>2017</v>
      </c>
      <c r="D831" s="99" t="s">
        <v>6953</v>
      </c>
      <c r="E831" s="99" t="s">
        <v>6953</v>
      </c>
      <c r="F831" s="99" t="s">
        <v>6953</v>
      </c>
      <c r="G831" s="99" t="s">
        <v>6953</v>
      </c>
      <c r="H831" s="99" t="s">
        <v>6953</v>
      </c>
      <c r="I831" s="99" t="s">
        <v>6953</v>
      </c>
      <c r="J831" s="99" t="s">
        <v>6953</v>
      </c>
      <c r="K831" s="99" t="s">
        <v>6953</v>
      </c>
      <c r="L831" s="99" t="s">
        <v>6953</v>
      </c>
      <c r="M831" s="99" t="s">
        <v>6953</v>
      </c>
      <c r="N831" s="99" t="s">
        <v>6953</v>
      </c>
      <c r="O831" s="110"/>
      <c r="P831" s="110"/>
      <c r="Q831" s="110"/>
    </row>
    <row r="832" spans="1:17" s="117" customFormat="1" ht="17.5" customHeight="1">
      <c r="A832" s="109" t="s">
        <v>7084</v>
      </c>
      <c r="B832" s="109" t="s">
        <v>7085</v>
      </c>
      <c r="C832" s="113">
        <v>2018</v>
      </c>
      <c r="D832" s="99" t="s">
        <v>6953</v>
      </c>
      <c r="E832" s="99" t="s">
        <v>6953</v>
      </c>
      <c r="F832" s="99" t="s">
        <v>6953</v>
      </c>
      <c r="G832" s="99" t="s">
        <v>6953</v>
      </c>
      <c r="H832" s="99" t="s">
        <v>6953</v>
      </c>
      <c r="I832" s="99" t="s">
        <v>6953</v>
      </c>
      <c r="J832" s="99" t="s">
        <v>6953</v>
      </c>
      <c r="K832" s="99" t="s">
        <v>6953</v>
      </c>
      <c r="L832" s="99" t="s">
        <v>6953</v>
      </c>
      <c r="M832" s="99" t="s">
        <v>6953</v>
      </c>
      <c r="N832" s="99" t="s">
        <v>6953</v>
      </c>
      <c r="O832" s="110"/>
      <c r="P832" s="110"/>
      <c r="Q832" s="110"/>
    </row>
    <row r="833" spans="1:17" s="117" customFormat="1" ht="17.5" customHeight="1">
      <c r="A833" s="109" t="s">
        <v>7084</v>
      </c>
      <c r="B833" s="109" t="s">
        <v>7085</v>
      </c>
      <c r="C833" s="113">
        <v>2019</v>
      </c>
      <c r="D833" s="112" t="s">
        <v>6953</v>
      </c>
      <c r="E833" s="112" t="s">
        <v>6953</v>
      </c>
      <c r="F833" s="112" t="s">
        <v>6953</v>
      </c>
      <c r="G833" s="112" t="s">
        <v>6953</v>
      </c>
      <c r="H833" s="112" t="s">
        <v>6953</v>
      </c>
      <c r="I833" s="112" t="s">
        <v>6953</v>
      </c>
      <c r="J833" s="112" t="s">
        <v>6953</v>
      </c>
      <c r="K833" s="112" t="s">
        <v>6953</v>
      </c>
      <c r="L833" s="112" t="s">
        <v>6953</v>
      </c>
      <c r="M833" s="112" t="s">
        <v>6953</v>
      </c>
      <c r="N833" s="112" t="s">
        <v>6953</v>
      </c>
      <c r="O833" s="110"/>
      <c r="P833" s="110"/>
      <c r="Q833" s="110"/>
    </row>
    <row r="834" spans="1:17" s="117" customFormat="1" ht="17.5" customHeight="1">
      <c r="A834" s="114" t="s">
        <v>7084</v>
      </c>
      <c r="B834" s="114" t="s">
        <v>7085</v>
      </c>
      <c r="C834" s="113">
        <v>2020</v>
      </c>
      <c r="D834" s="112" t="s">
        <v>6953</v>
      </c>
      <c r="E834" s="112" t="s">
        <v>6953</v>
      </c>
      <c r="F834" s="112" t="s">
        <v>6953</v>
      </c>
      <c r="G834" s="112" t="s">
        <v>6953</v>
      </c>
      <c r="H834" s="112" t="s">
        <v>6953</v>
      </c>
      <c r="I834" s="112" t="s">
        <v>6953</v>
      </c>
      <c r="J834" s="112" t="s">
        <v>6953</v>
      </c>
      <c r="K834" s="112" t="s">
        <v>6953</v>
      </c>
      <c r="L834" s="112" t="s">
        <v>6953</v>
      </c>
      <c r="M834" s="112" t="s">
        <v>6953</v>
      </c>
      <c r="N834" s="112" t="s">
        <v>6953</v>
      </c>
      <c r="O834" s="110"/>
      <c r="P834" s="110"/>
      <c r="Q834" s="110"/>
    </row>
    <row r="835" spans="1:17" s="117" customFormat="1" ht="17.5" customHeight="1">
      <c r="A835" s="109" t="s">
        <v>7086</v>
      </c>
      <c r="B835" s="109" t="s">
        <v>7087</v>
      </c>
      <c r="C835" s="98">
        <v>2008</v>
      </c>
      <c r="D835" s="99">
        <v>284</v>
      </c>
      <c r="E835" s="99">
        <v>431</v>
      </c>
      <c r="F835" s="99">
        <v>149</v>
      </c>
      <c r="G835" s="99">
        <v>292</v>
      </c>
      <c r="H835" s="99">
        <v>92</v>
      </c>
      <c r="I835" s="99">
        <v>1</v>
      </c>
      <c r="J835" s="99">
        <v>2</v>
      </c>
      <c r="K835" s="99">
        <v>1</v>
      </c>
      <c r="L835" s="99">
        <v>82</v>
      </c>
      <c r="M835" s="99">
        <v>72</v>
      </c>
      <c r="N835" s="99">
        <v>10</v>
      </c>
      <c r="O835" s="100"/>
      <c r="P835" s="100"/>
      <c r="Q835" s="100"/>
    </row>
    <row r="836" spans="1:17" s="117" customFormat="1" ht="17.5" customHeight="1">
      <c r="A836" s="109" t="s">
        <v>7086</v>
      </c>
      <c r="B836" s="109" t="s">
        <v>7087</v>
      </c>
      <c r="C836" s="98">
        <v>2009</v>
      </c>
      <c r="D836" s="99">
        <v>262</v>
      </c>
      <c r="E836" s="99">
        <v>309</v>
      </c>
      <c r="F836" s="99">
        <v>73</v>
      </c>
      <c r="G836" s="99">
        <v>228</v>
      </c>
      <c r="H836" s="99">
        <v>87</v>
      </c>
      <c r="I836" s="99" t="s">
        <v>6952</v>
      </c>
      <c r="J836" s="99">
        <v>2</v>
      </c>
      <c r="K836" s="99">
        <v>1</v>
      </c>
      <c r="L836" s="99">
        <v>49</v>
      </c>
      <c r="M836" s="99">
        <v>57</v>
      </c>
      <c r="N836" s="99">
        <v>-8</v>
      </c>
      <c r="O836" s="110"/>
      <c r="P836" s="110"/>
      <c r="Q836" s="110"/>
    </row>
    <row r="837" spans="1:17" s="117" customFormat="1" ht="17.5" customHeight="1">
      <c r="A837" s="109" t="s">
        <v>7086</v>
      </c>
      <c r="B837" s="109" t="s">
        <v>7087</v>
      </c>
      <c r="C837" s="98">
        <v>2010</v>
      </c>
      <c r="D837" s="99">
        <v>254</v>
      </c>
      <c r="E837" s="99">
        <v>408</v>
      </c>
      <c r="F837" s="99">
        <v>113</v>
      </c>
      <c r="G837" s="99">
        <v>289</v>
      </c>
      <c r="H837" s="99">
        <v>81</v>
      </c>
      <c r="I837" s="99">
        <v>3</v>
      </c>
      <c r="J837" s="99">
        <v>4</v>
      </c>
      <c r="K837" s="99">
        <v>2</v>
      </c>
      <c r="L837" s="99">
        <v>72</v>
      </c>
      <c r="M837" s="99">
        <v>77</v>
      </c>
      <c r="N837" s="99">
        <v>-5</v>
      </c>
      <c r="O837" s="100"/>
      <c r="P837" s="100"/>
      <c r="Q837" s="100"/>
    </row>
    <row r="838" spans="1:17" s="117" customFormat="1" ht="17.5" customHeight="1">
      <c r="A838" s="109" t="s">
        <v>7086</v>
      </c>
      <c r="B838" s="109" t="s">
        <v>7087</v>
      </c>
      <c r="C838" s="98">
        <v>2011</v>
      </c>
      <c r="D838" s="99">
        <v>241</v>
      </c>
      <c r="E838" s="99">
        <v>415</v>
      </c>
      <c r="F838" s="99">
        <v>157</v>
      </c>
      <c r="G838" s="99">
        <v>269</v>
      </c>
      <c r="H838" s="99">
        <v>98</v>
      </c>
      <c r="I838" s="99">
        <v>7</v>
      </c>
      <c r="J838" s="99">
        <v>8</v>
      </c>
      <c r="K838" s="99">
        <v>1</v>
      </c>
      <c r="L838" s="99">
        <v>68</v>
      </c>
      <c r="M838" s="99">
        <v>57</v>
      </c>
      <c r="N838" s="99">
        <v>11</v>
      </c>
      <c r="O838" s="100"/>
      <c r="P838" s="100"/>
      <c r="Q838" s="100"/>
    </row>
    <row r="839" spans="1:17" s="117" customFormat="1" ht="17.5" customHeight="1">
      <c r="A839" s="109" t="s">
        <v>7086</v>
      </c>
      <c r="B839" s="109" t="s">
        <v>7087</v>
      </c>
      <c r="C839" s="111">
        <v>2012</v>
      </c>
      <c r="D839" s="112">
        <v>235</v>
      </c>
      <c r="E839" s="112">
        <v>390</v>
      </c>
      <c r="F839" s="112">
        <v>134</v>
      </c>
      <c r="G839" s="112">
        <v>246</v>
      </c>
      <c r="H839" s="112">
        <v>78</v>
      </c>
      <c r="I839" s="112">
        <v>5</v>
      </c>
      <c r="J839" s="112">
        <v>5</v>
      </c>
      <c r="K839" s="112" t="s">
        <v>6952</v>
      </c>
      <c r="L839" s="112">
        <v>63</v>
      </c>
      <c r="M839" s="112">
        <v>74</v>
      </c>
      <c r="N839" s="112">
        <v>-11</v>
      </c>
      <c r="O839" s="110"/>
      <c r="P839" s="110"/>
      <c r="Q839" s="110"/>
    </row>
    <row r="840" spans="1:17" s="117" customFormat="1" ht="17.5" customHeight="1">
      <c r="A840" s="109" t="s">
        <v>7086</v>
      </c>
      <c r="B840" s="109" t="s">
        <v>7087</v>
      </c>
      <c r="C840" s="113">
        <v>2013</v>
      </c>
      <c r="D840" s="112">
        <v>221</v>
      </c>
      <c r="E840" s="112">
        <v>381</v>
      </c>
      <c r="F840" s="112">
        <v>144</v>
      </c>
      <c r="G840" s="112">
        <v>246</v>
      </c>
      <c r="H840" s="112">
        <v>76</v>
      </c>
      <c r="I840" s="112">
        <v>8</v>
      </c>
      <c r="J840" s="112">
        <v>8</v>
      </c>
      <c r="K840" s="112">
        <v>1</v>
      </c>
      <c r="L840" s="112">
        <v>45</v>
      </c>
      <c r="M840" s="112">
        <v>38</v>
      </c>
      <c r="N840" s="112">
        <v>7</v>
      </c>
      <c r="O840" s="110"/>
      <c r="P840" s="110"/>
      <c r="Q840" s="110"/>
    </row>
    <row r="841" spans="1:17" s="117" customFormat="1" ht="17.5" customHeight="1">
      <c r="A841" s="109" t="s">
        <v>7086</v>
      </c>
      <c r="B841" s="109" t="s">
        <v>7087</v>
      </c>
      <c r="C841" s="113">
        <v>2014</v>
      </c>
      <c r="D841" s="99">
        <v>209</v>
      </c>
      <c r="E841" s="99">
        <v>348</v>
      </c>
      <c r="F841" s="99">
        <v>94</v>
      </c>
      <c r="G841" s="99">
        <v>248</v>
      </c>
      <c r="H841" s="99">
        <v>84</v>
      </c>
      <c r="I841" s="99">
        <v>6</v>
      </c>
      <c r="J841" s="99">
        <v>6</v>
      </c>
      <c r="K841" s="99" t="s">
        <v>6952</v>
      </c>
      <c r="L841" s="99">
        <v>41</v>
      </c>
      <c r="M841" s="99">
        <v>47</v>
      </c>
      <c r="N841" s="99">
        <v>-6</v>
      </c>
      <c r="O841" s="100"/>
      <c r="P841" s="100"/>
      <c r="Q841" s="100"/>
    </row>
    <row r="842" spans="1:17" s="117" customFormat="1" ht="17.5" customHeight="1">
      <c r="A842" s="109" t="s">
        <v>7086</v>
      </c>
      <c r="B842" s="109" t="s">
        <v>7087</v>
      </c>
      <c r="C842" s="113">
        <v>2015</v>
      </c>
      <c r="D842" s="112">
        <v>209</v>
      </c>
      <c r="E842" s="112">
        <v>407</v>
      </c>
      <c r="F842" s="112">
        <v>151</v>
      </c>
      <c r="G842" s="112">
        <v>258</v>
      </c>
      <c r="H842" s="112">
        <v>79</v>
      </c>
      <c r="I842" s="112">
        <v>10</v>
      </c>
      <c r="J842" s="112">
        <v>11</v>
      </c>
      <c r="K842" s="112">
        <v>2</v>
      </c>
      <c r="L842" s="112">
        <v>57</v>
      </c>
      <c r="M842" s="112">
        <v>56</v>
      </c>
      <c r="N842" s="112">
        <v>1</v>
      </c>
      <c r="O842" s="100"/>
      <c r="P842" s="100"/>
      <c r="Q842" s="100"/>
    </row>
    <row r="843" spans="1:17" s="117" customFormat="1" ht="17.5" customHeight="1">
      <c r="A843" s="109" t="s">
        <v>7086</v>
      </c>
      <c r="B843" s="109" t="s">
        <v>7087</v>
      </c>
      <c r="C843" s="113">
        <v>2016</v>
      </c>
      <c r="D843" s="112">
        <v>202</v>
      </c>
      <c r="E843" s="112">
        <v>291</v>
      </c>
      <c r="F843" s="112">
        <v>119</v>
      </c>
      <c r="G843" s="112">
        <v>186</v>
      </c>
      <c r="H843" s="112">
        <v>95</v>
      </c>
      <c r="I843" s="112">
        <v>6</v>
      </c>
      <c r="J843" s="112">
        <v>7</v>
      </c>
      <c r="K843" s="112">
        <v>1</v>
      </c>
      <c r="L843" s="112">
        <v>57</v>
      </c>
      <c r="M843" s="112">
        <v>43</v>
      </c>
      <c r="N843" s="112">
        <v>14</v>
      </c>
      <c r="O843" s="110"/>
      <c r="P843" s="110"/>
      <c r="Q843" s="110"/>
    </row>
    <row r="844" spans="1:17" s="117" customFormat="1" ht="17.5" customHeight="1">
      <c r="A844" s="109" t="s">
        <v>7086</v>
      </c>
      <c r="B844" s="109" t="s">
        <v>7087</v>
      </c>
      <c r="C844" s="113">
        <v>2017</v>
      </c>
      <c r="D844" s="112">
        <v>193</v>
      </c>
      <c r="E844" s="112">
        <v>205</v>
      </c>
      <c r="F844" s="112">
        <v>113</v>
      </c>
      <c r="G844" s="112">
        <v>97</v>
      </c>
      <c r="H844" s="112">
        <v>56</v>
      </c>
      <c r="I844" s="112">
        <v>6</v>
      </c>
      <c r="J844" s="112">
        <v>6</v>
      </c>
      <c r="K844" s="112" t="s">
        <v>6952</v>
      </c>
      <c r="L844" s="112">
        <v>38</v>
      </c>
      <c r="M844" s="112">
        <v>32</v>
      </c>
      <c r="N844" s="112">
        <v>5</v>
      </c>
      <c r="O844" s="110"/>
      <c r="P844" s="110"/>
      <c r="Q844" s="110"/>
    </row>
    <row r="845" spans="1:17" s="117" customFormat="1" ht="17.5" customHeight="1">
      <c r="A845" s="109" t="s">
        <v>7086</v>
      </c>
      <c r="B845" s="109" t="s">
        <v>7087</v>
      </c>
      <c r="C845" s="113">
        <v>2018</v>
      </c>
      <c r="D845" s="112">
        <v>186</v>
      </c>
      <c r="E845" s="112">
        <v>196</v>
      </c>
      <c r="F845" s="112">
        <v>80</v>
      </c>
      <c r="G845" s="112">
        <v>131</v>
      </c>
      <c r="H845" s="112">
        <v>51</v>
      </c>
      <c r="I845" s="112">
        <v>15</v>
      </c>
      <c r="J845" s="112">
        <v>15</v>
      </c>
      <c r="K845" s="112" t="s">
        <v>6952</v>
      </c>
      <c r="L845" s="112">
        <v>50</v>
      </c>
      <c r="M845" s="112">
        <v>36</v>
      </c>
      <c r="N845" s="112">
        <v>14</v>
      </c>
      <c r="O845" s="110"/>
      <c r="P845" s="110"/>
      <c r="Q845" s="110"/>
    </row>
    <row r="846" spans="1:17" s="117" customFormat="1" ht="17.5" customHeight="1">
      <c r="A846" s="109" t="s">
        <v>7086</v>
      </c>
      <c r="B846" s="109" t="s">
        <v>7087</v>
      </c>
      <c r="C846" s="113">
        <v>2019</v>
      </c>
      <c r="D846" s="112">
        <v>180</v>
      </c>
      <c r="E846" s="112">
        <v>181.15887699999999</v>
      </c>
      <c r="F846" s="112">
        <v>95.492705999999998</v>
      </c>
      <c r="G846" s="112">
        <v>88.709733999999997</v>
      </c>
      <c r="H846" s="112">
        <v>62.104976999999998</v>
      </c>
      <c r="I846" s="112">
        <v>5.8884660000000002</v>
      </c>
      <c r="J846" s="112">
        <v>6.5126619999999997</v>
      </c>
      <c r="K846" s="112">
        <v>0.62419500000000006</v>
      </c>
      <c r="L846" s="112">
        <v>39.856675000000003</v>
      </c>
      <c r="M846" s="112">
        <v>36.690274000000002</v>
      </c>
      <c r="N846" s="112">
        <v>3.1664020000000002</v>
      </c>
      <c r="O846" s="110"/>
      <c r="P846" s="110"/>
      <c r="Q846" s="110"/>
    </row>
    <row r="847" spans="1:17" s="117" customFormat="1" ht="17.5" customHeight="1">
      <c r="A847" s="114" t="s">
        <v>7086</v>
      </c>
      <c r="B847" s="114" t="s">
        <v>7088</v>
      </c>
      <c r="C847" s="113">
        <v>2020</v>
      </c>
      <c r="D847" s="112">
        <v>188</v>
      </c>
      <c r="E847" s="112">
        <v>142.45156700000001</v>
      </c>
      <c r="F847" s="112">
        <v>54.736548999999997</v>
      </c>
      <c r="G847" s="112">
        <v>88.197890999999998</v>
      </c>
      <c r="H847" s="112">
        <v>46.777290000000001</v>
      </c>
      <c r="I847" s="112">
        <v>25.942665999999999</v>
      </c>
      <c r="J847" s="112">
        <v>25.994730000000001</v>
      </c>
      <c r="K847" s="112" t="s">
        <v>6952</v>
      </c>
      <c r="L847" s="112">
        <v>34.644795000000002</v>
      </c>
      <c r="M847" s="112">
        <v>35.990712000000002</v>
      </c>
      <c r="N847" s="112">
        <v>-1.345917</v>
      </c>
      <c r="O847" s="100"/>
      <c r="P847" s="100"/>
      <c r="Q847" s="100"/>
    </row>
    <row r="848" spans="1:17" s="117" customFormat="1" ht="17.5" customHeight="1">
      <c r="A848" s="109" t="s">
        <v>7089</v>
      </c>
      <c r="B848" s="109" t="s">
        <v>7090</v>
      </c>
      <c r="C848" s="98">
        <v>2008</v>
      </c>
      <c r="D848" s="99">
        <v>74</v>
      </c>
      <c r="E848" s="99">
        <v>232</v>
      </c>
      <c r="F848" s="99">
        <v>71</v>
      </c>
      <c r="G848" s="99">
        <v>165</v>
      </c>
      <c r="H848" s="99">
        <v>47</v>
      </c>
      <c r="I848" s="99">
        <v>1</v>
      </c>
      <c r="J848" s="99">
        <v>1</v>
      </c>
      <c r="K848" s="99" t="s">
        <v>6952</v>
      </c>
      <c r="L848" s="99">
        <v>35</v>
      </c>
      <c r="M848" s="99">
        <v>32</v>
      </c>
      <c r="N848" s="99">
        <v>4</v>
      </c>
      <c r="O848" s="110"/>
      <c r="P848" s="110"/>
      <c r="Q848" s="110"/>
    </row>
    <row r="849" spans="1:17" s="117" customFormat="1" ht="17.5" customHeight="1">
      <c r="A849" s="109" t="s">
        <v>7089</v>
      </c>
      <c r="B849" s="109" t="s">
        <v>7090</v>
      </c>
      <c r="C849" s="98">
        <v>2009</v>
      </c>
      <c r="D849" s="99">
        <v>67</v>
      </c>
      <c r="E849" s="99">
        <v>208</v>
      </c>
      <c r="F849" s="99">
        <v>33</v>
      </c>
      <c r="G849" s="99">
        <v>167</v>
      </c>
      <c r="H849" s="99">
        <v>42</v>
      </c>
      <c r="I849" s="99" t="s">
        <v>6952</v>
      </c>
      <c r="J849" s="99" t="s">
        <v>6952</v>
      </c>
      <c r="K849" s="99" t="s">
        <v>6952</v>
      </c>
      <c r="L849" s="99">
        <v>29</v>
      </c>
      <c r="M849" s="99">
        <v>36</v>
      </c>
      <c r="N849" s="99">
        <v>-7</v>
      </c>
      <c r="O849" s="100"/>
      <c r="P849" s="100"/>
      <c r="Q849" s="100"/>
    </row>
    <row r="850" spans="1:17" s="117" customFormat="1" ht="17.5" customHeight="1">
      <c r="A850" s="109" t="s">
        <v>7089</v>
      </c>
      <c r="B850" s="109" t="s">
        <v>7090</v>
      </c>
      <c r="C850" s="98">
        <v>2010</v>
      </c>
      <c r="D850" s="99">
        <v>66</v>
      </c>
      <c r="E850" s="99">
        <v>191</v>
      </c>
      <c r="F850" s="99">
        <v>38</v>
      </c>
      <c r="G850" s="99">
        <v>150</v>
      </c>
      <c r="H850" s="99">
        <v>34</v>
      </c>
      <c r="I850" s="99" t="s">
        <v>6953</v>
      </c>
      <c r="J850" s="99" t="s">
        <v>6952</v>
      </c>
      <c r="K850" s="99" t="s">
        <v>6953</v>
      </c>
      <c r="L850" s="99">
        <v>34</v>
      </c>
      <c r="M850" s="99">
        <v>37</v>
      </c>
      <c r="N850" s="99">
        <v>-3</v>
      </c>
      <c r="O850" s="100"/>
      <c r="P850" s="100"/>
      <c r="Q850" s="100"/>
    </row>
    <row r="851" spans="1:17" s="117" customFormat="1" ht="17.5" customHeight="1">
      <c r="A851" s="109" t="s">
        <v>7089</v>
      </c>
      <c r="B851" s="109" t="s">
        <v>7090</v>
      </c>
      <c r="C851" s="98">
        <v>2011</v>
      </c>
      <c r="D851" s="99">
        <v>62</v>
      </c>
      <c r="E851" s="99">
        <v>206</v>
      </c>
      <c r="F851" s="99">
        <v>49</v>
      </c>
      <c r="G851" s="99">
        <v>162</v>
      </c>
      <c r="H851" s="99">
        <v>36</v>
      </c>
      <c r="I851" s="99">
        <v>1</v>
      </c>
      <c r="J851" s="99">
        <v>1</v>
      </c>
      <c r="K851" s="99" t="s">
        <v>6952</v>
      </c>
      <c r="L851" s="99">
        <v>32</v>
      </c>
      <c r="M851" s="99">
        <v>27</v>
      </c>
      <c r="N851" s="99">
        <v>5</v>
      </c>
      <c r="O851" s="110"/>
      <c r="P851" s="110"/>
      <c r="Q851" s="110"/>
    </row>
    <row r="852" spans="1:17" s="117" customFormat="1" ht="17.5" customHeight="1">
      <c r="A852" s="109" t="s">
        <v>7089</v>
      </c>
      <c r="B852" s="109" t="s">
        <v>7090</v>
      </c>
      <c r="C852" s="111">
        <v>2012</v>
      </c>
      <c r="D852" s="112">
        <v>55</v>
      </c>
      <c r="E852" s="112">
        <v>201</v>
      </c>
      <c r="F852" s="112">
        <v>49</v>
      </c>
      <c r="G852" s="112">
        <v>138</v>
      </c>
      <c r="H852" s="112">
        <v>32</v>
      </c>
      <c r="I852" s="112" t="s">
        <v>6952</v>
      </c>
      <c r="J852" s="112">
        <v>1</v>
      </c>
      <c r="K852" s="99" t="s">
        <v>6952</v>
      </c>
      <c r="L852" s="112">
        <v>18</v>
      </c>
      <c r="M852" s="112">
        <v>33</v>
      </c>
      <c r="N852" s="112">
        <v>-15</v>
      </c>
      <c r="O852" s="110"/>
      <c r="P852" s="110"/>
      <c r="Q852" s="110"/>
    </row>
    <row r="853" spans="1:17" s="117" customFormat="1" ht="17.5" customHeight="1">
      <c r="A853" s="109" t="s">
        <v>7089</v>
      </c>
      <c r="B853" s="109" t="s">
        <v>7090</v>
      </c>
      <c r="C853" s="113">
        <v>2013</v>
      </c>
      <c r="D853" s="112">
        <v>47</v>
      </c>
      <c r="E853" s="112">
        <v>196</v>
      </c>
      <c r="F853" s="112">
        <v>64</v>
      </c>
      <c r="G853" s="112">
        <v>135</v>
      </c>
      <c r="H853" s="112">
        <v>39</v>
      </c>
      <c r="I853" s="112">
        <v>3</v>
      </c>
      <c r="J853" s="112">
        <v>4</v>
      </c>
      <c r="K853" s="99" t="s">
        <v>6952</v>
      </c>
      <c r="L853" s="112">
        <v>17</v>
      </c>
      <c r="M853" s="112">
        <v>16</v>
      </c>
      <c r="N853" s="112">
        <v>1</v>
      </c>
      <c r="O853" s="100"/>
      <c r="P853" s="100"/>
      <c r="Q853" s="100"/>
    </row>
    <row r="854" spans="1:17" s="117" customFormat="1" ht="17.5" customHeight="1">
      <c r="A854" s="109" t="s">
        <v>7089</v>
      </c>
      <c r="B854" s="109" t="s">
        <v>7090</v>
      </c>
      <c r="C854" s="113">
        <v>2014</v>
      </c>
      <c r="D854" s="99">
        <v>42</v>
      </c>
      <c r="E854" s="99">
        <v>176</v>
      </c>
      <c r="F854" s="99">
        <v>39</v>
      </c>
      <c r="G854" s="99">
        <v>136</v>
      </c>
      <c r="H854" s="99">
        <v>35</v>
      </c>
      <c r="I854" s="99">
        <v>1</v>
      </c>
      <c r="J854" s="99">
        <v>1</v>
      </c>
      <c r="K854" s="99" t="s">
        <v>6952</v>
      </c>
      <c r="L854" s="99">
        <v>18</v>
      </c>
      <c r="M854" s="99">
        <v>19</v>
      </c>
      <c r="N854" s="99">
        <v>-1</v>
      </c>
      <c r="O854" s="100"/>
      <c r="P854" s="100"/>
      <c r="Q854" s="100"/>
    </row>
    <row r="855" spans="1:17" s="117" customFormat="1" ht="17.5" customHeight="1">
      <c r="A855" s="109" t="s">
        <v>7089</v>
      </c>
      <c r="B855" s="109" t="s">
        <v>7090</v>
      </c>
      <c r="C855" s="113">
        <v>2015</v>
      </c>
      <c r="D855" s="112">
        <v>42</v>
      </c>
      <c r="E855" s="112">
        <v>210</v>
      </c>
      <c r="F855" s="112">
        <v>57</v>
      </c>
      <c r="G855" s="112">
        <v>155</v>
      </c>
      <c r="H855" s="112">
        <v>30</v>
      </c>
      <c r="I855" s="112">
        <v>1</v>
      </c>
      <c r="J855" s="112">
        <v>2</v>
      </c>
      <c r="K855" s="112">
        <v>1</v>
      </c>
      <c r="L855" s="112">
        <v>31</v>
      </c>
      <c r="M855" s="112">
        <v>29</v>
      </c>
      <c r="N855" s="112">
        <v>2</v>
      </c>
      <c r="O855" s="110"/>
      <c r="P855" s="110"/>
      <c r="Q855" s="110"/>
    </row>
    <row r="856" spans="1:17" s="117" customFormat="1" ht="17.5" customHeight="1">
      <c r="A856" s="109" t="s">
        <v>7089</v>
      </c>
      <c r="B856" s="109" t="s">
        <v>7090</v>
      </c>
      <c r="C856" s="113">
        <v>2016</v>
      </c>
      <c r="D856" s="112">
        <v>39</v>
      </c>
      <c r="E856" s="112">
        <v>139</v>
      </c>
      <c r="F856" s="112">
        <v>56</v>
      </c>
      <c r="G856" s="112">
        <v>97</v>
      </c>
      <c r="H856" s="112">
        <v>55</v>
      </c>
      <c r="I856" s="112">
        <v>3</v>
      </c>
      <c r="J856" s="99" t="s">
        <v>6953</v>
      </c>
      <c r="K856" s="99" t="s">
        <v>6953</v>
      </c>
      <c r="L856" s="112">
        <v>30</v>
      </c>
      <c r="M856" s="112">
        <v>16</v>
      </c>
      <c r="N856" s="112">
        <v>14</v>
      </c>
      <c r="O856" s="110"/>
      <c r="P856" s="110"/>
      <c r="Q856" s="110"/>
    </row>
    <row r="857" spans="1:17" s="117" customFormat="1" ht="17.5" customHeight="1">
      <c r="A857" s="109" t="s">
        <v>7089</v>
      </c>
      <c r="B857" s="109" t="s">
        <v>7090</v>
      </c>
      <c r="C857" s="113">
        <v>2017</v>
      </c>
      <c r="D857" s="112">
        <v>40</v>
      </c>
      <c r="E857" s="112">
        <v>37</v>
      </c>
      <c r="F857" s="112">
        <v>14</v>
      </c>
      <c r="G857" s="112">
        <v>23</v>
      </c>
      <c r="H857" s="112">
        <v>13</v>
      </c>
      <c r="I857" s="112" t="s">
        <v>6952</v>
      </c>
      <c r="J857" s="112" t="s">
        <v>6952</v>
      </c>
      <c r="K857" s="112" t="s">
        <v>6952</v>
      </c>
      <c r="L857" s="112">
        <v>7</v>
      </c>
      <c r="M857" s="112">
        <v>7</v>
      </c>
      <c r="N857" s="112" t="s">
        <v>6952</v>
      </c>
      <c r="O857" s="110"/>
      <c r="P857" s="110"/>
      <c r="Q857" s="110"/>
    </row>
    <row r="858" spans="1:17" s="117" customFormat="1" ht="17.5" customHeight="1">
      <c r="A858" s="109" t="s">
        <v>7089</v>
      </c>
      <c r="B858" s="109" t="s">
        <v>7090</v>
      </c>
      <c r="C858" s="113">
        <v>2018</v>
      </c>
      <c r="D858" s="112">
        <v>41</v>
      </c>
      <c r="E858" s="112">
        <v>43</v>
      </c>
      <c r="F858" s="112">
        <v>14</v>
      </c>
      <c r="G858" s="112">
        <v>31</v>
      </c>
      <c r="H858" s="112">
        <v>12</v>
      </c>
      <c r="I858" s="112">
        <v>1</v>
      </c>
      <c r="J858" s="112">
        <v>1</v>
      </c>
      <c r="K858" s="112" t="s">
        <v>6952</v>
      </c>
      <c r="L858" s="112">
        <v>8</v>
      </c>
      <c r="M858" s="112">
        <v>8</v>
      </c>
      <c r="N858" s="112" t="s">
        <v>6952</v>
      </c>
      <c r="O858" s="110"/>
      <c r="P858" s="110"/>
      <c r="Q858" s="110"/>
    </row>
    <row r="859" spans="1:17" s="117" customFormat="1" ht="17.5" customHeight="1">
      <c r="A859" s="109" t="s">
        <v>7089</v>
      </c>
      <c r="B859" s="109" t="s">
        <v>7090</v>
      </c>
      <c r="C859" s="113">
        <v>2019</v>
      </c>
      <c r="D859" s="112">
        <v>39</v>
      </c>
      <c r="E859" s="112">
        <v>51.273451000000001</v>
      </c>
      <c r="F859" s="112">
        <v>19.058223000000002</v>
      </c>
      <c r="G859" s="112">
        <v>34.029457999999998</v>
      </c>
      <c r="H859" s="112">
        <v>14.055623000000001</v>
      </c>
      <c r="I859" s="112">
        <v>0.522617</v>
      </c>
      <c r="J859" s="112">
        <v>0.59883500000000001</v>
      </c>
      <c r="K859" s="112" t="s">
        <v>6952</v>
      </c>
      <c r="L859" s="112">
        <v>12.215194</v>
      </c>
      <c r="M859" s="112">
        <v>10.338438999999999</v>
      </c>
      <c r="N859" s="112">
        <v>1.876754</v>
      </c>
      <c r="O859" s="100"/>
      <c r="P859" s="100"/>
      <c r="Q859" s="100"/>
    </row>
    <row r="860" spans="1:17" s="117" customFormat="1" ht="17.5" customHeight="1">
      <c r="A860" s="114" t="s">
        <v>7089</v>
      </c>
      <c r="B860" s="114" t="s">
        <v>7090</v>
      </c>
      <c r="C860" s="113">
        <v>2020</v>
      </c>
      <c r="D860" s="112">
        <v>48</v>
      </c>
      <c r="E860" s="112">
        <v>39.516255000000001</v>
      </c>
      <c r="F860" s="112">
        <v>13.397596</v>
      </c>
      <c r="G860" s="112">
        <v>24.689291000000001</v>
      </c>
      <c r="H860" s="112">
        <v>12.130814000000001</v>
      </c>
      <c r="I860" s="112" t="s">
        <v>6952</v>
      </c>
      <c r="J860" s="112" t="s">
        <v>6952</v>
      </c>
      <c r="K860" s="112" t="s">
        <v>6952</v>
      </c>
      <c r="L860" s="112">
        <v>8.9190699999999996</v>
      </c>
      <c r="M860" s="112">
        <v>10.373824000000001</v>
      </c>
      <c r="N860" s="112">
        <v>-1.454755</v>
      </c>
      <c r="O860" s="110"/>
      <c r="P860" s="110"/>
      <c r="Q860" s="110"/>
    </row>
    <row r="861" spans="1:17" s="117" customFormat="1" ht="17.5" customHeight="1">
      <c r="A861" s="109" t="s">
        <v>7091</v>
      </c>
      <c r="B861" s="109" t="s">
        <v>7092</v>
      </c>
      <c r="C861" s="98">
        <v>2008</v>
      </c>
      <c r="D861" s="99">
        <v>210</v>
      </c>
      <c r="E861" s="99">
        <v>199</v>
      </c>
      <c r="F861" s="99">
        <v>78</v>
      </c>
      <c r="G861" s="99">
        <v>127</v>
      </c>
      <c r="H861" s="99">
        <v>46</v>
      </c>
      <c r="I861" s="99" t="s">
        <v>6952</v>
      </c>
      <c r="J861" s="99">
        <v>1</v>
      </c>
      <c r="K861" s="99">
        <v>1</v>
      </c>
      <c r="L861" s="99">
        <v>47</v>
      </c>
      <c r="M861" s="99">
        <v>40</v>
      </c>
      <c r="N861" s="99">
        <v>6</v>
      </c>
      <c r="O861" s="100"/>
      <c r="P861" s="100"/>
      <c r="Q861" s="100"/>
    </row>
    <row r="862" spans="1:17" s="117" customFormat="1" ht="17.5" customHeight="1">
      <c r="A862" s="109" t="s">
        <v>7091</v>
      </c>
      <c r="B862" s="109" t="s">
        <v>7092</v>
      </c>
      <c r="C862" s="98">
        <v>2009</v>
      </c>
      <c r="D862" s="99">
        <v>195</v>
      </c>
      <c r="E862" s="99">
        <v>101</v>
      </c>
      <c r="F862" s="99">
        <v>40</v>
      </c>
      <c r="G862" s="99">
        <v>61</v>
      </c>
      <c r="H862" s="99">
        <v>45</v>
      </c>
      <c r="I862" s="99" t="s">
        <v>6952</v>
      </c>
      <c r="J862" s="99">
        <v>1</v>
      </c>
      <c r="K862" s="99">
        <v>1</v>
      </c>
      <c r="L862" s="99">
        <v>20</v>
      </c>
      <c r="M862" s="99">
        <v>21</v>
      </c>
      <c r="N862" s="99">
        <v>-1</v>
      </c>
      <c r="O862" s="100"/>
      <c r="P862" s="100"/>
      <c r="Q862" s="100"/>
    </row>
    <row r="863" spans="1:17" s="117" customFormat="1" ht="17.5" customHeight="1">
      <c r="A863" s="109" t="s">
        <v>7091</v>
      </c>
      <c r="B863" s="109" t="s">
        <v>7092</v>
      </c>
      <c r="C863" s="98">
        <v>2010</v>
      </c>
      <c r="D863" s="99">
        <v>188</v>
      </c>
      <c r="E863" s="99">
        <v>217</v>
      </c>
      <c r="F863" s="99">
        <v>75</v>
      </c>
      <c r="G863" s="99">
        <v>140</v>
      </c>
      <c r="H863" s="99">
        <v>48</v>
      </c>
      <c r="I863" s="99" t="s">
        <v>6953</v>
      </c>
      <c r="J863" s="99">
        <v>4</v>
      </c>
      <c r="K863" s="99" t="s">
        <v>6953</v>
      </c>
      <c r="L863" s="99">
        <v>38</v>
      </c>
      <c r="M863" s="99">
        <v>40</v>
      </c>
      <c r="N863" s="99">
        <v>-2</v>
      </c>
      <c r="O863" s="110"/>
      <c r="P863" s="110"/>
      <c r="Q863" s="110"/>
    </row>
    <row r="864" spans="1:17" s="117" customFormat="1" ht="17.5" customHeight="1">
      <c r="A864" s="109" t="s">
        <v>7091</v>
      </c>
      <c r="B864" s="109" t="s">
        <v>7092</v>
      </c>
      <c r="C864" s="98">
        <v>2011</v>
      </c>
      <c r="D864" s="99">
        <v>179</v>
      </c>
      <c r="E864" s="99">
        <v>209</v>
      </c>
      <c r="F864" s="99">
        <v>108</v>
      </c>
      <c r="G864" s="99">
        <v>106</v>
      </c>
      <c r="H864" s="99">
        <v>62</v>
      </c>
      <c r="I864" s="99">
        <v>6</v>
      </c>
      <c r="J864" s="99">
        <v>7</v>
      </c>
      <c r="K864" s="99">
        <v>1</v>
      </c>
      <c r="L864" s="99">
        <v>36</v>
      </c>
      <c r="M864" s="99">
        <v>30</v>
      </c>
      <c r="N864" s="99">
        <v>6</v>
      </c>
      <c r="O864" s="110"/>
      <c r="P864" s="110"/>
      <c r="Q864" s="110"/>
    </row>
    <row r="865" spans="1:17" s="117" customFormat="1" ht="17.5" customHeight="1">
      <c r="A865" s="109" t="s">
        <v>7091</v>
      </c>
      <c r="B865" s="109" t="s">
        <v>7092</v>
      </c>
      <c r="C865" s="111">
        <v>2012</v>
      </c>
      <c r="D865" s="112">
        <v>180</v>
      </c>
      <c r="E865" s="112">
        <v>189</v>
      </c>
      <c r="F865" s="112">
        <v>85</v>
      </c>
      <c r="G865" s="112">
        <v>108</v>
      </c>
      <c r="H865" s="112">
        <v>46</v>
      </c>
      <c r="I865" s="112">
        <v>5</v>
      </c>
      <c r="J865" s="112">
        <v>5</v>
      </c>
      <c r="K865" s="112" t="s">
        <v>6952</v>
      </c>
      <c r="L865" s="112">
        <v>45</v>
      </c>
      <c r="M865" s="112">
        <v>41</v>
      </c>
      <c r="N865" s="112">
        <v>4</v>
      </c>
      <c r="O865" s="100"/>
      <c r="P865" s="100"/>
      <c r="Q865" s="100"/>
    </row>
    <row r="866" spans="1:17" s="117" customFormat="1" ht="17.5" customHeight="1">
      <c r="A866" s="109" t="s">
        <v>7091</v>
      </c>
      <c r="B866" s="109" t="s">
        <v>7092</v>
      </c>
      <c r="C866" s="113">
        <v>2013</v>
      </c>
      <c r="D866" s="112">
        <v>174</v>
      </c>
      <c r="E866" s="112">
        <v>185</v>
      </c>
      <c r="F866" s="112">
        <v>80</v>
      </c>
      <c r="G866" s="112">
        <v>111</v>
      </c>
      <c r="H866" s="112">
        <v>38</v>
      </c>
      <c r="I866" s="112">
        <v>4</v>
      </c>
      <c r="J866" s="112">
        <v>5</v>
      </c>
      <c r="K866" s="112" t="s">
        <v>6952</v>
      </c>
      <c r="L866" s="112">
        <v>28</v>
      </c>
      <c r="M866" s="112">
        <v>22</v>
      </c>
      <c r="N866" s="112">
        <v>6</v>
      </c>
      <c r="O866" s="100"/>
      <c r="P866" s="100"/>
      <c r="Q866" s="100"/>
    </row>
    <row r="867" spans="1:17" s="117" customFormat="1" ht="17.5" customHeight="1">
      <c r="A867" s="109" t="s">
        <v>7091</v>
      </c>
      <c r="B867" s="109" t="s">
        <v>7092</v>
      </c>
      <c r="C867" s="113">
        <v>2014</v>
      </c>
      <c r="D867" s="99">
        <v>167</v>
      </c>
      <c r="E867" s="99">
        <v>172</v>
      </c>
      <c r="F867" s="99">
        <v>55</v>
      </c>
      <c r="G867" s="99">
        <v>112</v>
      </c>
      <c r="H867" s="99">
        <v>49</v>
      </c>
      <c r="I867" s="99">
        <v>5</v>
      </c>
      <c r="J867" s="99">
        <v>5</v>
      </c>
      <c r="K867" s="112" t="s">
        <v>6952</v>
      </c>
      <c r="L867" s="99">
        <v>23</v>
      </c>
      <c r="M867" s="99">
        <v>28</v>
      </c>
      <c r="N867" s="99">
        <v>-5</v>
      </c>
      <c r="O867" s="110"/>
      <c r="P867" s="110"/>
      <c r="Q867" s="110"/>
    </row>
    <row r="868" spans="1:17" s="117" customFormat="1" ht="17.5" customHeight="1">
      <c r="A868" s="109" t="s">
        <v>7091</v>
      </c>
      <c r="B868" s="109" t="s">
        <v>7092</v>
      </c>
      <c r="C868" s="113">
        <v>2015</v>
      </c>
      <c r="D868" s="112">
        <v>167</v>
      </c>
      <c r="E868" s="112">
        <v>197</v>
      </c>
      <c r="F868" s="112">
        <v>94</v>
      </c>
      <c r="G868" s="112">
        <v>102</v>
      </c>
      <c r="H868" s="112">
        <v>49</v>
      </c>
      <c r="I868" s="112">
        <v>8</v>
      </c>
      <c r="J868" s="112">
        <v>9</v>
      </c>
      <c r="K868" s="112">
        <v>1</v>
      </c>
      <c r="L868" s="112">
        <v>26</v>
      </c>
      <c r="M868" s="112">
        <v>27</v>
      </c>
      <c r="N868" s="112">
        <v>-1</v>
      </c>
      <c r="O868" s="110"/>
      <c r="P868" s="110"/>
      <c r="Q868" s="110"/>
    </row>
    <row r="869" spans="1:17" s="117" customFormat="1" ht="17.5" customHeight="1">
      <c r="A869" s="109" t="s">
        <v>7091</v>
      </c>
      <c r="B869" s="109" t="s">
        <v>7092</v>
      </c>
      <c r="C869" s="113">
        <v>2016</v>
      </c>
      <c r="D869" s="112">
        <v>163</v>
      </c>
      <c r="E869" s="112">
        <v>151</v>
      </c>
      <c r="F869" s="112">
        <v>64</v>
      </c>
      <c r="G869" s="112">
        <v>88</v>
      </c>
      <c r="H869" s="112">
        <v>39</v>
      </c>
      <c r="I869" s="112">
        <v>3</v>
      </c>
      <c r="J869" s="99" t="s">
        <v>6953</v>
      </c>
      <c r="K869" s="99" t="s">
        <v>6953</v>
      </c>
      <c r="L869" s="112">
        <v>27</v>
      </c>
      <c r="M869" s="112">
        <v>27</v>
      </c>
      <c r="N869" s="112" t="s">
        <v>6952</v>
      </c>
      <c r="O869" s="110"/>
      <c r="P869" s="110"/>
      <c r="Q869" s="110"/>
    </row>
    <row r="870" spans="1:17" s="117" customFormat="1" ht="17.5" customHeight="1">
      <c r="A870" s="109" t="s">
        <v>7091</v>
      </c>
      <c r="B870" s="109" t="s">
        <v>7092</v>
      </c>
      <c r="C870" s="113">
        <v>2017</v>
      </c>
      <c r="D870" s="112">
        <v>153</v>
      </c>
      <c r="E870" s="112">
        <v>167</v>
      </c>
      <c r="F870" s="112">
        <v>99</v>
      </c>
      <c r="G870" s="112">
        <v>74</v>
      </c>
      <c r="H870" s="112">
        <v>43</v>
      </c>
      <c r="I870" s="112">
        <v>5</v>
      </c>
      <c r="J870" s="112">
        <v>6</v>
      </c>
      <c r="K870" s="112" t="s">
        <v>6952</v>
      </c>
      <c r="L870" s="112">
        <v>31</v>
      </c>
      <c r="M870" s="112">
        <v>25</v>
      </c>
      <c r="N870" s="112">
        <v>5</v>
      </c>
      <c r="O870" s="110"/>
      <c r="P870" s="110"/>
      <c r="Q870" s="110"/>
    </row>
    <row r="871" spans="1:17" s="117" customFormat="1" ht="17.5" customHeight="1">
      <c r="A871" s="109" t="s">
        <v>7091</v>
      </c>
      <c r="B871" s="109" t="s">
        <v>7092</v>
      </c>
      <c r="C871" s="113">
        <v>2018</v>
      </c>
      <c r="D871" s="112">
        <v>145</v>
      </c>
      <c r="E871" s="112">
        <v>153</v>
      </c>
      <c r="F871" s="112">
        <v>66</v>
      </c>
      <c r="G871" s="112">
        <v>100</v>
      </c>
      <c r="H871" s="112">
        <v>39</v>
      </c>
      <c r="I871" s="112">
        <v>15</v>
      </c>
      <c r="J871" s="112">
        <v>15</v>
      </c>
      <c r="K871" s="112" t="s">
        <v>6952</v>
      </c>
      <c r="L871" s="112">
        <v>42</v>
      </c>
      <c r="M871" s="112">
        <v>28</v>
      </c>
      <c r="N871" s="112">
        <v>14</v>
      </c>
      <c r="O871" s="100"/>
      <c r="P871" s="100"/>
      <c r="Q871" s="100"/>
    </row>
    <row r="872" spans="1:17" s="117" customFormat="1" ht="17.5" customHeight="1">
      <c r="A872" s="109" t="s">
        <v>7091</v>
      </c>
      <c r="B872" s="109" t="s">
        <v>7092</v>
      </c>
      <c r="C872" s="113">
        <v>2019</v>
      </c>
      <c r="D872" s="112">
        <v>141</v>
      </c>
      <c r="E872" s="112">
        <v>129.88542699999999</v>
      </c>
      <c r="F872" s="112">
        <v>76.434483</v>
      </c>
      <c r="G872" s="112">
        <v>54.680276999999997</v>
      </c>
      <c r="H872" s="112">
        <v>48.049354000000001</v>
      </c>
      <c r="I872" s="112">
        <v>5.36585</v>
      </c>
      <c r="J872" s="112">
        <v>5.9138260000000002</v>
      </c>
      <c r="K872" s="112">
        <v>0.54797700000000005</v>
      </c>
      <c r="L872" s="112">
        <v>27.641482</v>
      </c>
      <c r="M872" s="112">
        <v>26.351834</v>
      </c>
      <c r="N872" s="112">
        <v>1.2896479999999999</v>
      </c>
      <c r="O872" s="110"/>
      <c r="P872" s="110"/>
      <c r="Q872" s="110"/>
    </row>
    <row r="873" spans="1:17" s="117" customFormat="1" ht="17.5" customHeight="1">
      <c r="A873" s="114" t="s">
        <v>7091</v>
      </c>
      <c r="B873" s="114" t="s">
        <v>7092</v>
      </c>
      <c r="C873" s="113">
        <v>2020</v>
      </c>
      <c r="D873" s="112">
        <v>140</v>
      </c>
      <c r="E873" s="112">
        <v>102.935312</v>
      </c>
      <c r="F873" s="112">
        <v>41.338952999999997</v>
      </c>
      <c r="G873" s="112">
        <v>63.508598999999997</v>
      </c>
      <c r="H873" s="112">
        <v>34.646475000000002</v>
      </c>
      <c r="I873" s="112">
        <v>25.696702999999999</v>
      </c>
      <c r="J873" s="112">
        <v>25.720234999999999</v>
      </c>
      <c r="K873" s="112" t="s">
        <v>6952</v>
      </c>
      <c r="L873" s="112">
        <v>25.725726000000002</v>
      </c>
      <c r="M873" s="112">
        <v>25.616887999999999</v>
      </c>
      <c r="N873" s="112" t="s">
        <v>6952</v>
      </c>
      <c r="O873" s="100"/>
      <c r="P873" s="100"/>
      <c r="Q873" s="100"/>
    </row>
    <row r="874" spans="1:17" s="117" customFormat="1" ht="17.5" customHeight="1">
      <c r="A874" s="109" t="s">
        <v>7093</v>
      </c>
      <c r="B874" s="109" t="s">
        <v>7094</v>
      </c>
      <c r="C874" s="98">
        <v>2008</v>
      </c>
      <c r="D874" s="99">
        <v>533</v>
      </c>
      <c r="E874" s="99">
        <v>745</v>
      </c>
      <c r="F874" s="99">
        <v>279</v>
      </c>
      <c r="G874" s="99">
        <v>473</v>
      </c>
      <c r="H874" s="99">
        <v>163</v>
      </c>
      <c r="I874" s="99">
        <v>9</v>
      </c>
      <c r="J874" s="99">
        <v>10</v>
      </c>
      <c r="K874" s="99">
        <v>1</v>
      </c>
      <c r="L874" s="99">
        <v>121</v>
      </c>
      <c r="M874" s="99">
        <v>113</v>
      </c>
      <c r="N874" s="99">
        <v>9</v>
      </c>
      <c r="O874" s="100"/>
      <c r="P874" s="100"/>
      <c r="Q874" s="100"/>
    </row>
    <row r="875" spans="1:17" s="117" customFormat="1" ht="17.5" customHeight="1">
      <c r="A875" s="109" t="s">
        <v>7093</v>
      </c>
      <c r="B875" s="109" t="s">
        <v>7094</v>
      </c>
      <c r="C875" s="98">
        <v>2009</v>
      </c>
      <c r="D875" s="99">
        <v>577</v>
      </c>
      <c r="E875" s="99">
        <v>762</v>
      </c>
      <c r="F875" s="99">
        <v>242</v>
      </c>
      <c r="G875" s="99">
        <v>504</v>
      </c>
      <c r="H875" s="99">
        <v>157</v>
      </c>
      <c r="I875" s="99">
        <v>13</v>
      </c>
      <c r="J875" s="99">
        <v>14</v>
      </c>
      <c r="K875" s="99">
        <v>1</v>
      </c>
      <c r="L875" s="99">
        <v>141</v>
      </c>
      <c r="M875" s="99">
        <v>152</v>
      </c>
      <c r="N875" s="99">
        <v>-11</v>
      </c>
      <c r="O875" s="110"/>
      <c r="P875" s="110"/>
      <c r="Q875" s="110"/>
    </row>
    <row r="876" spans="1:17" s="117" customFormat="1" ht="17.5" customHeight="1">
      <c r="A876" s="109" t="s">
        <v>7093</v>
      </c>
      <c r="B876" s="109" t="s">
        <v>7094</v>
      </c>
      <c r="C876" s="98">
        <v>2010</v>
      </c>
      <c r="D876" s="99">
        <v>525</v>
      </c>
      <c r="E876" s="99">
        <v>893</v>
      </c>
      <c r="F876" s="99">
        <v>325</v>
      </c>
      <c r="G876" s="99">
        <v>593</v>
      </c>
      <c r="H876" s="99">
        <v>156</v>
      </c>
      <c r="I876" s="99">
        <v>26</v>
      </c>
      <c r="J876" s="99">
        <v>28</v>
      </c>
      <c r="K876" s="99">
        <v>1</v>
      </c>
      <c r="L876" s="99">
        <v>133</v>
      </c>
      <c r="M876" s="99">
        <v>105</v>
      </c>
      <c r="N876" s="99">
        <v>28</v>
      </c>
      <c r="O876" s="110"/>
      <c r="P876" s="110"/>
      <c r="Q876" s="110"/>
    </row>
    <row r="877" spans="1:17" s="117" customFormat="1" ht="17.5" customHeight="1">
      <c r="A877" s="109" t="s">
        <v>7093</v>
      </c>
      <c r="B877" s="109" t="s">
        <v>7094</v>
      </c>
      <c r="C877" s="98">
        <v>2011</v>
      </c>
      <c r="D877" s="99">
        <v>540</v>
      </c>
      <c r="E877" s="99">
        <v>976</v>
      </c>
      <c r="F877" s="99">
        <v>365</v>
      </c>
      <c r="G877" s="99">
        <v>642</v>
      </c>
      <c r="H877" s="99">
        <v>186</v>
      </c>
      <c r="I877" s="99">
        <v>25</v>
      </c>
      <c r="J877" s="99">
        <v>25</v>
      </c>
      <c r="K877" s="99">
        <v>1</v>
      </c>
      <c r="L877" s="99">
        <v>179</v>
      </c>
      <c r="M877" s="99">
        <v>146</v>
      </c>
      <c r="N877" s="99">
        <v>34</v>
      </c>
      <c r="O877" s="100"/>
      <c r="P877" s="100"/>
      <c r="Q877" s="100"/>
    </row>
    <row r="878" spans="1:17" s="117" customFormat="1" ht="17.5" customHeight="1">
      <c r="A878" s="109" t="s">
        <v>7093</v>
      </c>
      <c r="B878" s="109" t="s">
        <v>7094</v>
      </c>
      <c r="C878" s="111">
        <v>2012</v>
      </c>
      <c r="D878" s="112">
        <v>559</v>
      </c>
      <c r="E878" s="112">
        <v>970</v>
      </c>
      <c r="F878" s="112">
        <v>313</v>
      </c>
      <c r="G878" s="112">
        <v>647</v>
      </c>
      <c r="H878" s="112">
        <v>199</v>
      </c>
      <c r="I878" s="112">
        <v>29</v>
      </c>
      <c r="J878" s="112">
        <v>31</v>
      </c>
      <c r="K878" s="112">
        <v>2</v>
      </c>
      <c r="L878" s="112">
        <v>160</v>
      </c>
      <c r="M878" s="112">
        <v>166</v>
      </c>
      <c r="N878" s="112">
        <v>-6</v>
      </c>
      <c r="O878" s="100"/>
      <c r="P878" s="100"/>
      <c r="Q878" s="100"/>
    </row>
    <row r="879" spans="1:17" s="117" customFormat="1" ht="17.5" customHeight="1">
      <c r="A879" s="109" t="s">
        <v>7093</v>
      </c>
      <c r="B879" s="109" t="s">
        <v>7094</v>
      </c>
      <c r="C879" s="113">
        <v>2013</v>
      </c>
      <c r="D879" s="112">
        <v>551</v>
      </c>
      <c r="E879" s="112">
        <v>975</v>
      </c>
      <c r="F879" s="112">
        <v>386</v>
      </c>
      <c r="G879" s="112">
        <v>602</v>
      </c>
      <c r="H879" s="112">
        <v>187</v>
      </c>
      <c r="I879" s="112">
        <v>21</v>
      </c>
      <c r="J879" s="112">
        <v>22</v>
      </c>
      <c r="K879" s="112">
        <v>2</v>
      </c>
      <c r="L879" s="112">
        <v>160</v>
      </c>
      <c r="M879" s="112">
        <v>144</v>
      </c>
      <c r="N879" s="112">
        <v>16</v>
      </c>
      <c r="O879" s="110"/>
      <c r="P879" s="110"/>
      <c r="Q879" s="110"/>
    </row>
    <row r="880" spans="1:17" s="117" customFormat="1" ht="17.5" customHeight="1">
      <c r="A880" s="109" t="s">
        <v>7093</v>
      </c>
      <c r="B880" s="109" t="s">
        <v>7094</v>
      </c>
      <c r="C880" s="113">
        <v>2014</v>
      </c>
      <c r="D880" s="99">
        <v>575</v>
      </c>
      <c r="E880" s="99">
        <v>1030</v>
      </c>
      <c r="F880" s="99">
        <v>391</v>
      </c>
      <c r="G880" s="99">
        <v>650</v>
      </c>
      <c r="H880" s="99">
        <v>198</v>
      </c>
      <c r="I880" s="99">
        <v>29</v>
      </c>
      <c r="J880" s="99">
        <v>30</v>
      </c>
      <c r="K880" s="99" t="s">
        <v>6952</v>
      </c>
      <c r="L880" s="99">
        <v>155</v>
      </c>
      <c r="M880" s="99">
        <v>137</v>
      </c>
      <c r="N880" s="99">
        <v>18</v>
      </c>
      <c r="O880" s="110"/>
      <c r="P880" s="110"/>
      <c r="Q880" s="110"/>
    </row>
    <row r="881" spans="1:17" s="117" customFormat="1" ht="17.5" customHeight="1">
      <c r="A881" s="109" t="s">
        <v>7093</v>
      </c>
      <c r="B881" s="109" t="s">
        <v>7094</v>
      </c>
      <c r="C881" s="113">
        <v>2015</v>
      </c>
      <c r="D881" s="112">
        <v>580</v>
      </c>
      <c r="E881" s="112">
        <v>938</v>
      </c>
      <c r="F881" s="112">
        <v>327</v>
      </c>
      <c r="G881" s="112">
        <v>611</v>
      </c>
      <c r="H881" s="112">
        <v>211</v>
      </c>
      <c r="I881" s="112">
        <v>30</v>
      </c>
      <c r="J881" s="112">
        <v>31</v>
      </c>
      <c r="K881" s="112">
        <v>1</v>
      </c>
      <c r="L881" s="112">
        <v>170</v>
      </c>
      <c r="M881" s="112">
        <v>163</v>
      </c>
      <c r="N881" s="112">
        <v>7</v>
      </c>
      <c r="O881" s="110"/>
      <c r="P881" s="110"/>
      <c r="Q881" s="110"/>
    </row>
    <row r="882" spans="1:17" s="117" customFormat="1" ht="17.5" customHeight="1">
      <c r="A882" s="109" t="s">
        <v>7093</v>
      </c>
      <c r="B882" s="109" t="s">
        <v>7094</v>
      </c>
      <c r="C882" s="113">
        <v>2016</v>
      </c>
      <c r="D882" s="112">
        <v>609</v>
      </c>
      <c r="E882" s="112">
        <v>1059</v>
      </c>
      <c r="F882" s="112">
        <v>353</v>
      </c>
      <c r="G882" s="112">
        <v>715</v>
      </c>
      <c r="H882" s="112">
        <v>217</v>
      </c>
      <c r="I882" s="112">
        <v>25</v>
      </c>
      <c r="J882" s="112">
        <v>27</v>
      </c>
      <c r="K882" s="112">
        <v>2</v>
      </c>
      <c r="L882" s="112">
        <v>198</v>
      </c>
      <c r="M882" s="112">
        <v>180</v>
      </c>
      <c r="N882" s="112">
        <v>18</v>
      </c>
      <c r="O882" s="110"/>
      <c r="P882" s="110"/>
      <c r="Q882" s="110"/>
    </row>
    <row r="883" spans="1:17" s="117" customFormat="1" ht="17.5" customHeight="1">
      <c r="A883" s="109" t="s">
        <v>7093</v>
      </c>
      <c r="B883" s="109" t="s">
        <v>7094</v>
      </c>
      <c r="C883" s="113">
        <v>2017</v>
      </c>
      <c r="D883" s="112">
        <v>627</v>
      </c>
      <c r="E883" s="112">
        <v>1136</v>
      </c>
      <c r="F883" s="112">
        <v>353</v>
      </c>
      <c r="G883" s="112">
        <v>780</v>
      </c>
      <c r="H883" s="112">
        <v>249</v>
      </c>
      <c r="I883" s="112">
        <v>33</v>
      </c>
      <c r="J883" s="112">
        <v>33</v>
      </c>
      <c r="K883" s="112">
        <v>1</v>
      </c>
      <c r="L883" s="112">
        <v>207</v>
      </c>
      <c r="M883" s="112">
        <v>198</v>
      </c>
      <c r="N883" s="112">
        <v>9</v>
      </c>
      <c r="O883" s="100"/>
      <c r="P883" s="100"/>
      <c r="Q883" s="100"/>
    </row>
    <row r="884" spans="1:17" s="117" customFormat="1" ht="17.5" customHeight="1">
      <c r="A884" s="109" t="s">
        <v>7093</v>
      </c>
      <c r="B884" s="109" t="s">
        <v>7094</v>
      </c>
      <c r="C884" s="113">
        <v>2018</v>
      </c>
      <c r="D884" s="112">
        <v>634</v>
      </c>
      <c r="E884" s="112">
        <v>1214</v>
      </c>
      <c r="F884" s="112">
        <v>449</v>
      </c>
      <c r="G884" s="112">
        <v>763</v>
      </c>
      <c r="H884" s="112">
        <v>246</v>
      </c>
      <c r="I884" s="112">
        <v>29</v>
      </c>
      <c r="J884" s="112">
        <v>30</v>
      </c>
      <c r="K884" s="112">
        <v>1</v>
      </c>
      <c r="L884" s="112">
        <v>158</v>
      </c>
      <c r="M884" s="112">
        <v>160</v>
      </c>
      <c r="N884" s="112">
        <v>-2</v>
      </c>
      <c r="O884" s="110"/>
      <c r="P884" s="110"/>
      <c r="Q884" s="110"/>
    </row>
    <row r="885" spans="1:17" s="117" customFormat="1" ht="17.5" customHeight="1">
      <c r="A885" s="109" t="s">
        <v>7093</v>
      </c>
      <c r="B885" s="109" t="s">
        <v>7094</v>
      </c>
      <c r="C885" s="113">
        <v>2019</v>
      </c>
      <c r="D885" s="112">
        <v>617</v>
      </c>
      <c r="E885" s="112">
        <v>1239.549712</v>
      </c>
      <c r="F885" s="112">
        <v>439.02858800000001</v>
      </c>
      <c r="G885" s="112">
        <v>857.78313300000002</v>
      </c>
      <c r="H885" s="112">
        <v>245.613429</v>
      </c>
      <c r="I885" s="112">
        <v>64.658480999999995</v>
      </c>
      <c r="J885" s="112">
        <v>65.136114000000006</v>
      </c>
      <c r="K885" s="112" t="s">
        <v>6952</v>
      </c>
      <c r="L885" s="112">
        <v>267.90625799999998</v>
      </c>
      <c r="M885" s="112">
        <v>216.759433</v>
      </c>
      <c r="N885" s="112">
        <v>51.146825</v>
      </c>
      <c r="O885" s="100"/>
      <c r="P885" s="100"/>
      <c r="Q885" s="100"/>
    </row>
    <row r="886" spans="1:17" s="117" customFormat="1" ht="17.5" customHeight="1">
      <c r="A886" s="114" t="s">
        <v>7093</v>
      </c>
      <c r="B886" s="114" t="s">
        <v>7094</v>
      </c>
      <c r="C886" s="113">
        <v>2020</v>
      </c>
      <c r="D886" s="112">
        <v>617</v>
      </c>
      <c r="E886" s="112">
        <v>923.55990199999997</v>
      </c>
      <c r="F886" s="112">
        <v>307.07650999999998</v>
      </c>
      <c r="G886" s="112">
        <v>641.988339</v>
      </c>
      <c r="H886" s="112">
        <v>275.18178</v>
      </c>
      <c r="I886" s="112">
        <v>30.527930999999999</v>
      </c>
      <c r="J886" s="112">
        <v>35.025328999999999</v>
      </c>
      <c r="K886" s="112">
        <v>4.4973979999999996</v>
      </c>
      <c r="L886" s="112">
        <v>331.45491800000002</v>
      </c>
      <c r="M886" s="112">
        <v>298.72375499999998</v>
      </c>
      <c r="N886" s="112">
        <v>32.731163000000002</v>
      </c>
      <c r="O886" s="100"/>
      <c r="P886" s="100"/>
      <c r="Q886" s="100"/>
    </row>
    <row r="887" spans="1:17" s="117" customFormat="1" ht="31.75" customHeight="1">
      <c r="A887" s="109" t="s">
        <v>7095</v>
      </c>
      <c r="B887" s="109" t="s">
        <v>7096</v>
      </c>
      <c r="C887" s="98">
        <v>2008</v>
      </c>
      <c r="D887" s="99">
        <v>329</v>
      </c>
      <c r="E887" s="99">
        <v>381</v>
      </c>
      <c r="F887" s="99">
        <v>125</v>
      </c>
      <c r="G887" s="99">
        <v>261</v>
      </c>
      <c r="H887" s="99">
        <v>83</v>
      </c>
      <c r="I887" s="99">
        <v>3</v>
      </c>
      <c r="J887" s="99">
        <v>4</v>
      </c>
      <c r="K887" s="99">
        <v>1</v>
      </c>
      <c r="L887" s="99">
        <v>51</v>
      </c>
      <c r="M887" s="99">
        <v>44</v>
      </c>
      <c r="N887" s="99">
        <v>6</v>
      </c>
      <c r="O887" s="110"/>
      <c r="P887" s="110"/>
      <c r="Q887" s="110"/>
    </row>
    <row r="888" spans="1:17" s="117" customFormat="1" ht="31.75" customHeight="1">
      <c r="A888" s="109" t="s">
        <v>7095</v>
      </c>
      <c r="B888" s="109" t="s">
        <v>7096</v>
      </c>
      <c r="C888" s="98">
        <v>2009</v>
      </c>
      <c r="D888" s="99">
        <v>377</v>
      </c>
      <c r="E888" s="99">
        <v>431</v>
      </c>
      <c r="F888" s="99">
        <v>124</v>
      </c>
      <c r="G888" s="99">
        <v>306</v>
      </c>
      <c r="H888" s="99">
        <v>77</v>
      </c>
      <c r="I888" s="99">
        <v>8</v>
      </c>
      <c r="J888" s="99">
        <v>8</v>
      </c>
      <c r="K888" s="99" t="s">
        <v>6952</v>
      </c>
      <c r="L888" s="99">
        <v>67</v>
      </c>
      <c r="M888" s="99">
        <v>66</v>
      </c>
      <c r="N888" s="99">
        <v>1</v>
      </c>
      <c r="O888" s="110"/>
      <c r="P888" s="110"/>
      <c r="Q888" s="110"/>
    </row>
    <row r="889" spans="1:17" s="117" customFormat="1" ht="31.75" customHeight="1">
      <c r="A889" s="109" t="s">
        <v>7095</v>
      </c>
      <c r="B889" s="109" t="s">
        <v>7096</v>
      </c>
      <c r="C889" s="98">
        <v>2010</v>
      </c>
      <c r="D889" s="99">
        <v>345</v>
      </c>
      <c r="E889" s="99">
        <v>546</v>
      </c>
      <c r="F889" s="99">
        <v>196</v>
      </c>
      <c r="G889" s="99">
        <v>371</v>
      </c>
      <c r="H889" s="99">
        <v>79</v>
      </c>
      <c r="I889" s="99">
        <v>19</v>
      </c>
      <c r="J889" s="99">
        <v>20</v>
      </c>
      <c r="K889" s="99">
        <v>1</v>
      </c>
      <c r="L889" s="99">
        <v>76</v>
      </c>
      <c r="M889" s="99">
        <v>55</v>
      </c>
      <c r="N889" s="99">
        <v>21</v>
      </c>
      <c r="O889" s="100"/>
      <c r="P889" s="100"/>
      <c r="Q889" s="100"/>
    </row>
    <row r="890" spans="1:17" s="117" customFormat="1" ht="31.75" customHeight="1">
      <c r="A890" s="109" t="s">
        <v>7095</v>
      </c>
      <c r="B890" s="109" t="s">
        <v>7096</v>
      </c>
      <c r="C890" s="98">
        <v>2011</v>
      </c>
      <c r="D890" s="99">
        <v>363</v>
      </c>
      <c r="E890" s="99">
        <v>618</v>
      </c>
      <c r="F890" s="99">
        <v>217</v>
      </c>
      <c r="G890" s="99">
        <v>420</v>
      </c>
      <c r="H890" s="99">
        <v>105</v>
      </c>
      <c r="I890" s="99">
        <v>13</v>
      </c>
      <c r="J890" s="99">
        <v>14</v>
      </c>
      <c r="K890" s="99">
        <v>1</v>
      </c>
      <c r="L890" s="99">
        <v>105</v>
      </c>
      <c r="M890" s="99">
        <v>85</v>
      </c>
      <c r="N890" s="99">
        <v>20</v>
      </c>
      <c r="O890" s="100"/>
      <c r="P890" s="100"/>
      <c r="Q890" s="100"/>
    </row>
    <row r="891" spans="1:17" s="117" customFormat="1" ht="31.75" customHeight="1">
      <c r="A891" s="109" t="s">
        <v>7095</v>
      </c>
      <c r="B891" s="109" t="s">
        <v>7096</v>
      </c>
      <c r="C891" s="111">
        <v>2012</v>
      </c>
      <c r="D891" s="112">
        <v>369</v>
      </c>
      <c r="E891" s="112">
        <v>578</v>
      </c>
      <c r="F891" s="112">
        <v>136</v>
      </c>
      <c r="G891" s="112">
        <v>426</v>
      </c>
      <c r="H891" s="112">
        <v>101</v>
      </c>
      <c r="I891" s="112">
        <v>17</v>
      </c>
      <c r="J891" s="112">
        <v>18</v>
      </c>
      <c r="K891" s="112">
        <v>1</v>
      </c>
      <c r="L891" s="112">
        <v>87</v>
      </c>
      <c r="M891" s="112">
        <v>102</v>
      </c>
      <c r="N891" s="112">
        <v>-15</v>
      </c>
      <c r="O891" s="110"/>
      <c r="P891" s="110"/>
      <c r="Q891" s="110"/>
    </row>
    <row r="892" spans="1:17" s="117" customFormat="1" ht="31.75" customHeight="1">
      <c r="A892" s="109" t="s">
        <v>7095</v>
      </c>
      <c r="B892" s="109" t="s">
        <v>7096</v>
      </c>
      <c r="C892" s="113">
        <v>2013</v>
      </c>
      <c r="D892" s="112">
        <v>372</v>
      </c>
      <c r="E892" s="112">
        <v>573</v>
      </c>
      <c r="F892" s="112">
        <v>212</v>
      </c>
      <c r="G892" s="112">
        <v>368</v>
      </c>
      <c r="H892" s="112">
        <v>87</v>
      </c>
      <c r="I892" s="112">
        <v>15</v>
      </c>
      <c r="J892" s="112">
        <v>16</v>
      </c>
      <c r="K892" s="112">
        <v>1</v>
      </c>
      <c r="L892" s="112">
        <v>87</v>
      </c>
      <c r="M892" s="112">
        <v>79</v>
      </c>
      <c r="N892" s="112">
        <v>8</v>
      </c>
      <c r="O892" s="110"/>
      <c r="P892" s="110"/>
      <c r="Q892" s="110"/>
    </row>
    <row r="893" spans="1:17" s="117" customFormat="1" ht="31.75" customHeight="1">
      <c r="A893" s="109" t="s">
        <v>7095</v>
      </c>
      <c r="B893" s="109" t="s">
        <v>7096</v>
      </c>
      <c r="C893" s="113">
        <v>2014</v>
      </c>
      <c r="D893" s="99">
        <v>393</v>
      </c>
      <c r="E893" s="99">
        <v>533</v>
      </c>
      <c r="F893" s="99">
        <v>152</v>
      </c>
      <c r="G893" s="99">
        <v>390</v>
      </c>
      <c r="H893" s="99">
        <v>103</v>
      </c>
      <c r="I893" s="99">
        <v>8</v>
      </c>
      <c r="J893" s="99">
        <v>8</v>
      </c>
      <c r="K893" s="99" t="s">
        <v>6952</v>
      </c>
      <c r="L893" s="99">
        <v>74</v>
      </c>
      <c r="M893" s="99">
        <v>65</v>
      </c>
      <c r="N893" s="99">
        <v>9</v>
      </c>
      <c r="O893" s="110"/>
      <c r="P893" s="110"/>
      <c r="Q893" s="110"/>
    </row>
    <row r="894" spans="1:17" s="117" customFormat="1" ht="31.75" customHeight="1">
      <c r="A894" s="109" t="s">
        <v>7095</v>
      </c>
      <c r="B894" s="109" t="s">
        <v>7096</v>
      </c>
      <c r="C894" s="113">
        <v>2015</v>
      </c>
      <c r="D894" s="112">
        <v>403</v>
      </c>
      <c r="E894" s="112">
        <v>486</v>
      </c>
      <c r="F894" s="112">
        <v>114</v>
      </c>
      <c r="G894" s="112">
        <v>370</v>
      </c>
      <c r="H894" s="112">
        <v>109</v>
      </c>
      <c r="I894" s="112">
        <v>22</v>
      </c>
      <c r="J894" s="112">
        <v>23</v>
      </c>
      <c r="K894" s="112">
        <v>1</v>
      </c>
      <c r="L894" s="112">
        <v>81</v>
      </c>
      <c r="M894" s="112">
        <v>81</v>
      </c>
      <c r="N894" s="112" t="s">
        <v>6952</v>
      </c>
      <c r="O894" s="110"/>
      <c r="P894" s="110"/>
      <c r="Q894" s="110"/>
    </row>
    <row r="895" spans="1:17" s="117" customFormat="1" ht="31.75" customHeight="1">
      <c r="A895" s="109" t="s">
        <v>7095</v>
      </c>
      <c r="B895" s="109" t="s">
        <v>7096</v>
      </c>
      <c r="C895" s="113">
        <v>2016</v>
      </c>
      <c r="D895" s="112">
        <v>420</v>
      </c>
      <c r="E895" s="112">
        <v>584</v>
      </c>
      <c r="F895" s="112">
        <v>203</v>
      </c>
      <c r="G895" s="112">
        <v>382</v>
      </c>
      <c r="H895" s="112">
        <v>101</v>
      </c>
      <c r="I895" s="112">
        <v>16</v>
      </c>
      <c r="J895" s="112">
        <v>16</v>
      </c>
      <c r="K895" s="112" t="s">
        <v>6952</v>
      </c>
      <c r="L895" s="112">
        <v>77</v>
      </c>
      <c r="M895" s="112">
        <v>76</v>
      </c>
      <c r="N895" s="112">
        <v>1</v>
      </c>
      <c r="O895" s="100"/>
      <c r="P895" s="100"/>
      <c r="Q895" s="100"/>
    </row>
    <row r="896" spans="1:17" s="117" customFormat="1" ht="31.75" customHeight="1">
      <c r="A896" s="109" t="s">
        <v>7095</v>
      </c>
      <c r="B896" s="109" t="s">
        <v>7096</v>
      </c>
      <c r="C896" s="113">
        <v>2017</v>
      </c>
      <c r="D896" s="112">
        <v>437</v>
      </c>
      <c r="E896" s="112">
        <v>603</v>
      </c>
      <c r="F896" s="112">
        <v>177</v>
      </c>
      <c r="G896" s="112">
        <v>436</v>
      </c>
      <c r="H896" s="112">
        <v>129</v>
      </c>
      <c r="I896" s="112">
        <v>16</v>
      </c>
      <c r="J896" s="112">
        <v>16</v>
      </c>
      <c r="K896" s="112" t="s">
        <v>6952</v>
      </c>
      <c r="L896" s="112">
        <v>82</v>
      </c>
      <c r="M896" s="112">
        <v>72</v>
      </c>
      <c r="N896" s="112">
        <v>10</v>
      </c>
      <c r="O896" s="110"/>
      <c r="P896" s="110"/>
      <c r="Q896" s="110"/>
    </row>
    <row r="897" spans="1:17" s="117" customFormat="1" ht="31.75" customHeight="1">
      <c r="A897" s="109" t="s">
        <v>7095</v>
      </c>
      <c r="B897" s="109" t="s">
        <v>7096</v>
      </c>
      <c r="C897" s="113">
        <v>2018</v>
      </c>
      <c r="D897" s="112">
        <v>447</v>
      </c>
      <c r="E897" s="112">
        <v>561</v>
      </c>
      <c r="F897" s="112">
        <v>216</v>
      </c>
      <c r="G897" s="112">
        <v>344</v>
      </c>
      <c r="H897" s="112">
        <v>124</v>
      </c>
      <c r="I897" s="112">
        <v>20</v>
      </c>
      <c r="J897" s="112">
        <v>21</v>
      </c>
      <c r="K897" s="112">
        <v>1</v>
      </c>
      <c r="L897" s="112">
        <v>81</v>
      </c>
      <c r="M897" s="112">
        <v>84</v>
      </c>
      <c r="N897" s="112">
        <v>-3</v>
      </c>
      <c r="O897" s="100"/>
      <c r="P897" s="100"/>
      <c r="Q897" s="100"/>
    </row>
    <row r="898" spans="1:17" s="117" customFormat="1" ht="31.75" customHeight="1">
      <c r="A898" s="109" t="s">
        <v>7095</v>
      </c>
      <c r="B898" s="109" t="s">
        <v>7096</v>
      </c>
      <c r="C898" s="113">
        <v>2019</v>
      </c>
      <c r="D898" s="112">
        <v>443</v>
      </c>
      <c r="E898" s="112">
        <v>508.843433</v>
      </c>
      <c r="F898" s="112">
        <v>219.84849500000001</v>
      </c>
      <c r="G898" s="112">
        <v>320.00476099999997</v>
      </c>
      <c r="H898" s="112">
        <v>119.680927</v>
      </c>
      <c r="I898" s="112">
        <v>54.757461999999997</v>
      </c>
      <c r="J898" s="112">
        <v>55.189835000000002</v>
      </c>
      <c r="K898" s="112" t="s">
        <v>6952</v>
      </c>
      <c r="L898" s="112">
        <v>122.115404</v>
      </c>
      <c r="M898" s="112">
        <v>90.547529999999995</v>
      </c>
      <c r="N898" s="112">
        <v>31.567874</v>
      </c>
      <c r="O898" s="100"/>
      <c r="P898" s="100"/>
      <c r="Q898" s="100"/>
    </row>
    <row r="899" spans="1:17" s="117" customFormat="1" ht="31.75" customHeight="1">
      <c r="A899" s="114" t="s">
        <v>7095</v>
      </c>
      <c r="B899" s="114" t="s">
        <v>7096</v>
      </c>
      <c r="C899" s="113">
        <v>2020</v>
      </c>
      <c r="D899" s="112">
        <v>447</v>
      </c>
      <c r="E899" s="112">
        <v>387.27871599999997</v>
      </c>
      <c r="F899" s="112">
        <v>162.38504900000001</v>
      </c>
      <c r="G899" s="112">
        <v>252.253838</v>
      </c>
      <c r="H899" s="112">
        <v>108.3938</v>
      </c>
      <c r="I899" s="112">
        <v>15.139112000000001</v>
      </c>
      <c r="J899" s="112">
        <v>15.672828000000001</v>
      </c>
      <c r="K899" s="112">
        <v>0.53371599999999997</v>
      </c>
      <c r="L899" s="112">
        <v>171.46543399999999</v>
      </c>
      <c r="M899" s="112">
        <v>144.50890699999999</v>
      </c>
      <c r="N899" s="112">
        <v>26.956527000000001</v>
      </c>
      <c r="O899" s="110"/>
      <c r="P899" s="110"/>
      <c r="Q899" s="110"/>
    </row>
    <row r="900" spans="1:17" s="117" customFormat="1" ht="31.75" customHeight="1">
      <c r="A900" s="109" t="s">
        <v>7097</v>
      </c>
      <c r="B900" s="109" t="s">
        <v>7098</v>
      </c>
      <c r="C900" s="98">
        <v>2008</v>
      </c>
      <c r="D900" s="99">
        <v>82</v>
      </c>
      <c r="E900" s="99">
        <v>172</v>
      </c>
      <c r="F900" s="99">
        <v>22</v>
      </c>
      <c r="G900" s="99">
        <v>153</v>
      </c>
      <c r="H900" s="99">
        <v>35</v>
      </c>
      <c r="I900" s="99">
        <v>2</v>
      </c>
      <c r="J900" s="99">
        <v>3</v>
      </c>
      <c r="K900" s="99" t="s">
        <v>6952</v>
      </c>
      <c r="L900" s="99">
        <v>32</v>
      </c>
      <c r="M900" s="99">
        <v>30</v>
      </c>
      <c r="N900" s="99">
        <v>3</v>
      </c>
      <c r="O900" s="110"/>
      <c r="P900" s="110"/>
      <c r="Q900" s="110"/>
    </row>
    <row r="901" spans="1:17" s="117" customFormat="1" ht="31.75" customHeight="1">
      <c r="A901" s="109" t="s">
        <v>7097</v>
      </c>
      <c r="B901" s="109" t="s">
        <v>7098</v>
      </c>
      <c r="C901" s="98">
        <v>2009</v>
      </c>
      <c r="D901" s="99">
        <v>73</v>
      </c>
      <c r="E901" s="99">
        <v>210</v>
      </c>
      <c r="F901" s="99">
        <v>26</v>
      </c>
      <c r="G901" s="99">
        <v>188</v>
      </c>
      <c r="H901" s="99">
        <v>33</v>
      </c>
      <c r="I901" s="99">
        <v>5</v>
      </c>
      <c r="J901" s="99">
        <v>6</v>
      </c>
      <c r="K901" s="99" t="s">
        <v>6952</v>
      </c>
      <c r="L901" s="99">
        <v>46</v>
      </c>
      <c r="M901" s="99">
        <v>42</v>
      </c>
      <c r="N901" s="99">
        <v>4</v>
      </c>
      <c r="O901" s="100"/>
      <c r="P901" s="100"/>
      <c r="Q901" s="100"/>
    </row>
    <row r="902" spans="1:17" s="117" customFormat="1" ht="31.75" customHeight="1">
      <c r="A902" s="109" t="s">
        <v>7097</v>
      </c>
      <c r="B902" s="109" t="s">
        <v>7098</v>
      </c>
      <c r="C902" s="98">
        <v>2010</v>
      </c>
      <c r="D902" s="99">
        <v>63</v>
      </c>
      <c r="E902" s="99">
        <v>263</v>
      </c>
      <c r="F902" s="99">
        <v>61</v>
      </c>
      <c r="G902" s="99">
        <v>211</v>
      </c>
      <c r="H902" s="99">
        <v>34</v>
      </c>
      <c r="I902" s="99">
        <v>7</v>
      </c>
      <c r="J902" s="99">
        <v>7</v>
      </c>
      <c r="K902" s="99">
        <v>1</v>
      </c>
      <c r="L902" s="99">
        <v>40</v>
      </c>
      <c r="M902" s="99">
        <v>31</v>
      </c>
      <c r="N902" s="99">
        <v>9</v>
      </c>
      <c r="O902" s="100"/>
      <c r="P902" s="100"/>
      <c r="Q902" s="100"/>
    </row>
    <row r="903" spans="1:17" s="117" customFormat="1" ht="31.75" customHeight="1">
      <c r="A903" s="109" t="s">
        <v>7097</v>
      </c>
      <c r="B903" s="109" t="s">
        <v>7098</v>
      </c>
      <c r="C903" s="98">
        <v>2011</v>
      </c>
      <c r="D903" s="99">
        <v>57</v>
      </c>
      <c r="E903" s="99">
        <v>310</v>
      </c>
      <c r="F903" s="99">
        <v>75</v>
      </c>
      <c r="G903" s="99">
        <v>236</v>
      </c>
      <c r="H903" s="99">
        <v>39</v>
      </c>
      <c r="I903" s="99">
        <v>6</v>
      </c>
      <c r="J903" s="99">
        <v>7</v>
      </c>
      <c r="K903" s="99" t="s">
        <v>6952</v>
      </c>
      <c r="L903" s="99">
        <v>48</v>
      </c>
      <c r="M903" s="99">
        <v>47</v>
      </c>
      <c r="N903" s="99">
        <v>1</v>
      </c>
      <c r="O903" s="110"/>
      <c r="P903" s="110"/>
      <c r="Q903" s="110"/>
    </row>
    <row r="904" spans="1:17" s="117" customFormat="1" ht="31.75" customHeight="1">
      <c r="A904" s="109" t="s">
        <v>7097</v>
      </c>
      <c r="B904" s="109" t="s">
        <v>7098</v>
      </c>
      <c r="C904" s="111">
        <v>2012</v>
      </c>
      <c r="D904" s="112">
        <v>47</v>
      </c>
      <c r="E904" s="112">
        <v>306</v>
      </c>
      <c r="F904" s="112">
        <v>42</v>
      </c>
      <c r="G904" s="112">
        <v>263</v>
      </c>
      <c r="H904" s="112">
        <v>42</v>
      </c>
      <c r="I904" s="112">
        <v>8</v>
      </c>
      <c r="J904" s="112">
        <v>8</v>
      </c>
      <c r="K904" s="99" t="s">
        <v>6952</v>
      </c>
      <c r="L904" s="112">
        <v>51</v>
      </c>
      <c r="M904" s="112">
        <v>53</v>
      </c>
      <c r="N904" s="112">
        <v>-1</v>
      </c>
      <c r="O904" s="110"/>
      <c r="P904" s="110"/>
      <c r="Q904" s="110"/>
    </row>
    <row r="905" spans="1:17" s="117" customFormat="1" ht="31.75" customHeight="1">
      <c r="A905" s="109" t="s">
        <v>7097</v>
      </c>
      <c r="B905" s="109" t="s">
        <v>7098</v>
      </c>
      <c r="C905" s="113">
        <v>2013</v>
      </c>
      <c r="D905" s="112">
        <v>43</v>
      </c>
      <c r="E905" s="112">
        <v>268</v>
      </c>
      <c r="F905" s="112">
        <v>36</v>
      </c>
      <c r="G905" s="112">
        <v>227</v>
      </c>
      <c r="H905" s="112">
        <v>38</v>
      </c>
      <c r="I905" s="112">
        <v>2</v>
      </c>
      <c r="J905" s="112">
        <v>2</v>
      </c>
      <c r="K905" s="99" t="s">
        <v>6952</v>
      </c>
      <c r="L905" s="112">
        <v>38</v>
      </c>
      <c r="M905" s="112">
        <v>43</v>
      </c>
      <c r="N905" s="112">
        <v>-5</v>
      </c>
      <c r="O905" s="110"/>
      <c r="P905" s="110"/>
      <c r="Q905" s="110"/>
    </row>
    <row r="906" spans="1:17" s="117" customFormat="1" ht="31.75" customHeight="1">
      <c r="A906" s="109" t="s">
        <v>7097</v>
      </c>
      <c r="B906" s="109" t="s">
        <v>7098</v>
      </c>
      <c r="C906" s="113">
        <v>2014</v>
      </c>
      <c r="D906" s="99">
        <v>43</v>
      </c>
      <c r="E906" s="99">
        <v>289</v>
      </c>
      <c r="F906" s="99">
        <v>53</v>
      </c>
      <c r="G906" s="99">
        <v>240</v>
      </c>
      <c r="H906" s="99">
        <v>40</v>
      </c>
      <c r="I906" s="99">
        <v>1</v>
      </c>
      <c r="J906" s="99">
        <v>1</v>
      </c>
      <c r="K906" s="99" t="s">
        <v>6952</v>
      </c>
      <c r="L906" s="99">
        <v>27</v>
      </c>
      <c r="M906" s="99">
        <v>23</v>
      </c>
      <c r="N906" s="99">
        <v>4</v>
      </c>
      <c r="O906" s="110"/>
      <c r="P906" s="110"/>
      <c r="Q906" s="110"/>
    </row>
    <row r="907" spans="1:17" s="117" customFormat="1" ht="31.75" customHeight="1">
      <c r="A907" s="109" t="s">
        <v>7097</v>
      </c>
      <c r="B907" s="109" t="s">
        <v>7098</v>
      </c>
      <c r="C907" s="113">
        <v>2015</v>
      </c>
      <c r="D907" s="112">
        <v>41</v>
      </c>
      <c r="E907" s="112">
        <v>253</v>
      </c>
      <c r="F907" s="112">
        <v>52</v>
      </c>
      <c r="G907" s="112">
        <v>198</v>
      </c>
      <c r="H907" s="112">
        <v>44</v>
      </c>
      <c r="I907" s="112">
        <v>3</v>
      </c>
      <c r="J907" s="112">
        <v>3</v>
      </c>
      <c r="K907" s="99" t="s">
        <v>6952</v>
      </c>
      <c r="L907" s="112">
        <v>21</v>
      </c>
      <c r="M907" s="112">
        <v>23</v>
      </c>
      <c r="N907" s="112">
        <v>-3</v>
      </c>
      <c r="O907" s="100"/>
      <c r="P907" s="100"/>
      <c r="Q907" s="100"/>
    </row>
    <row r="908" spans="1:17" s="117" customFormat="1" ht="31.75" customHeight="1">
      <c r="A908" s="109" t="s">
        <v>7097</v>
      </c>
      <c r="B908" s="109" t="s">
        <v>7098</v>
      </c>
      <c r="C908" s="113">
        <v>2016</v>
      </c>
      <c r="D908" s="112">
        <v>39</v>
      </c>
      <c r="E908" s="112">
        <v>298</v>
      </c>
      <c r="F908" s="112">
        <v>66</v>
      </c>
      <c r="G908" s="112">
        <v>235</v>
      </c>
      <c r="H908" s="112">
        <v>46</v>
      </c>
      <c r="I908" s="112">
        <v>10</v>
      </c>
      <c r="J908" s="112">
        <v>10</v>
      </c>
      <c r="K908" s="99" t="s">
        <v>6952</v>
      </c>
      <c r="L908" s="112">
        <v>39</v>
      </c>
      <c r="M908" s="112">
        <v>37</v>
      </c>
      <c r="N908" s="112">
        <v>3</v>
      </c>
      <c r="O908" s="110"/>
      <c r="P908" s="110"/>
      <c r="Q908" s="110"/>
    </row>
    <row r="909" spans="1:17" s="117" customFormat="1" ht="31.75" customHeight="1">
      <c r="A909" s="109" t="s">
        <v>7097</v>
      </c>
      <c r="B909" s="109" t="s">
        <v>7098</v>
      </c>
      <c r="C909" s="113">
        <v>2017</v>
      </c>
      <c r="D909" s="112">
        <v>39</v>
      </c>
      <c r="E909" s="112">
        <v>303</v>
      </c>
      <c r="F909" s="112">
        <v>56</v>
      </c>
      <c r="G909" s="112">
        <v>247</v>
      </c>
      <c r="H909" s="112">
        <v>48</v>
      </c>
      <c r="I909" s="112">
        <v>8</v>
      </c>
      <c r="J909" s="112">
        <v>8</v>
      </c>
      <c r="K909" s="99" t="s">
        <v>6952</v>
      </c>
      <c r="L909" s="112">
        <v>32</v>
      </c>
      <c r="M909" s="112">
        <v>31</v>
      </c>
      <c r="N909" s="112">
        <v>1</v>
      </c>
      <c r="O909" s="100"/>
      <c r="P909" s="100"/>
      <c r="Q909" s="100"/>
    </row>
    <row r="910" spans="1:17" s="117" customFormat="1" ht="31.75" customHeight="1">
      <c r="A910" s="109" t="s">
        <v>7097</v>
      </c>
      <c r="B910" s="109" t="s">
        <v>7098</v>
      </c>
      <c r="C910" s="113">
        <v>2018</v>
      </c>
      <c r="D910" s="112">
        <v>33</v>
      </c>
      <c r="E910" s="112">
        <v>145</v>
      </c>
      <c r="F910" s="112">
        <v>32</v>
      </c>
      <c r="G910" s="112">
        <v>117</v>
      </c>
      <c r="H910" s="112">
        <v>26</v>
      </c>
      <c r="I910" s="112">
        <v>12</v>
      </c>
      <c r="J910" s="112">
        <v>13</v>
      </c>
      <c r="K910" s="99" t="s">
        <v>6952</v>
      </c>
      <c r="L910" s="112">
        <v>14</v>
      </c>
      <c r="M910" s="112">
        <v>11</v>
      </c>
      <c r="N910" s="112">
        <v>3</v>
      </c>
      <c r="O910" s="100"/>
      <c r="P910" s="100"/>
      <c r="Q910" s="100"/>
    </row>
    <row r="911" spans="1:17" s="117" customFormat="1" ht="31.75" customHeight="1">
      <c r="A911" s="109" t="s">
        <v>7097</v>
      </c>
      <c r="B911" s="109" t="s">
        <v>7098</v>
      </c>
      <c r="C911" s="113">
        <v>2019</v>
      </c>
      <c r="D911" s="112">
        <v>31</v>
      </c>
      <c r="E911" s="112">
        <v>130.60959399999999</v>
      </c>
      <c r="F911" s="112">
        <v>24.419740000000001</v>
      </c>
      <c r="G911" s="112">
        <v>103.69076</v>
      </c>
      <c r="H911" s="112">
        <v>28.952774999999999</v>
      </c>
      <c r="I911" s="112">
        <v>47.717925999999999</v>
      </c>
      <c r="J911" s="112">
        <v>47.732835999999999</v>
      </c>
      <c r="K911" s="112" t="s">
        <v>6952</v>
      </c>
      <c r="L911" s="112">
        <v>15.124572000000001</v>
      </c>
      <c r="M911" s="112">
        <v>17.622747</v>
      </c>
      <c r="N911" s="112">
        <v>-2.4981749999999998</v>
      </c>
      <c r="O911" s="110"/>
      <c r="P911" s="110"/>
      <c r="Q911" s="110"/>
    </row>
    <row r="912" spans="1:17" s="117" customFormat="1" ht="31.75" customHeight="1">
      <c r="A912" s="114" t="s">
        <v>7097</v>
      </c>
      <c r="B912" s="114" t="s">
        <v>7099</v>
      </c>
      <c r="C912" s="113">
        <v>2020</v>
      </c>
      <c r="D912" s="112">
        <v>30</v>
      </c>
      <c r="E912" s="112">
        <v>37.284674000000003</v>
      </c>
      <c r="F912" s="112">
        <v>1.0740959999999999</v>
      </c>
      <c r="G912" s="112">
        <v>33.026291999999998</v>
      </c>
      <c r="H912" s="112">
        <v>15.317021</v>
      </c>
      <c r="I912" s="112">
        <v>5.6565070000000004</v>
      </c>
      <c r="J912" s="112">
        <v>5.8198550000000004</v>
      </c>
      <c r="K912" s="112" t="s">
        <v>6952</v>
      </c>
      <c r="L912" s="112">
        <v>4.8751030000000002</v>
      </c>
      <c r="M912" s="112">
        <v>8.0453880000000009</v>
      </c>
      <c r="N912" s="112">
        <v>-3.1702840000000001</v>
      </c>
      <c r="O912" s="110"/>
      <c r="P912" s="110"/>
      <c r="Q912" s="110"/>
    </row>
    <row r="913" spans="1:17" s="117" customFormat="1" ht="31.75" customHeight="1">
      <c r="A913" s="109" t="s">
        <v>7100</v>
      </c>
      <c r="B913" s="109" t="s">
        <v>7101</v>
      </c>
      <c r="C913" s="98">
        <v>2008</v>
      </c>
      <c r="D913" s="99">
        <v>247</v>
      </c>
      <c r="E913" s="99">
        <v>208</v>
      </c>
      <c r="F913" s="99">
        <v>103</v>
      </c>
      <c r="G913" s="99">
        <v>108</v>
      </c>
      <c r="H913" s="99">
        <v>48</v>
      </c>
      <c r="I913" s="99">
        <v>1</v>
      </c>
      <c r="J913" s="99">
        <v>1</v>
      </c>
      <c r="K913" s="99" t="s">
        <v>6952</v>
      </c>
      <c r="L913" s="99">
        <v>19</v>
      </c>
      <c r="M913" s="99">
        <v>15</v>
      </c>
      <c r="N913" s="99">
        <v>4</v>
      </c>
      <c r="O913" s="100"/>
      <c r="P913" s="100"/>
      <c r="Q913" s="100"/>
    </row>
    <row r="914" spans="1:17" s="117" customFormat="1" ht="31.75" customHeight="1">
      <c r="A914" s="109" t="s">
        <v>7100</v>
      </c>
      <c r="B914" s="109" t="s">
        <v>7101</v>
      </c>
      <c r="C914" s="98">
        <v>2009</v>
      </c>
      <c r="D914" s="99">
        <v>304</v>
      </c>
      <c r="E914" s="99">
        <v>220</v>
      </c>
      <c r="F914" s="99">
        <v>98</v>
      </c>
      <c r="G914" s="99">
        <v>118</v>
      </c>
      <c r="H914" s="99">
        <v>44</v>
      </c>
      <c r="I914" s="99">
        <v>2</v>
      </c>
      <c r="J914" s="99">
        <v>2</v>
      </c>
      <c r="K914" s="99" t="s">
        <v>6952</v>
      </c>
      <c r="L914" s="99">
        <v>21</v>
      </c>
      <c r="M914" s="99">
        <v>24</v>
      </c>
      <c r="N914" s="99">
        <v>-3</v>
      </c>
      <c r="O914" s="100"/>
      <c r="P914" s="100"/>
      <c r="Q914" s="100"/>
    </row>
    <row r="915" spans="1:17" s="117" customFormat="1" ht="31.75" customHeight="1">
      <c r="A915" s="109" t="s">
        <v>7100</v>
      </c>
      <c r="B915" s="109" t="s">
        <v>7101</v>
      </c>
      <c r="C915" s="98">
        <v>2010</v>
      </c>
      <c r="D915" s="99">
        <v>282</v>
      </c>
      <c r="E915" s="99">
        <v>283</v>
      </c>
      <c r="F915" s="99">
        <v>135</v>
      </c>
      <c r="G915" s="99">
        <v>159</v>
      </c>
      <c r="H915" s="99">
        <v>46</v>
      </c>
      <c r="I915" s="99">
        <v>12</v>
      </c>
      <c r="J915" s="99">
        <v>13</v>
      </c>
      <c r="K915" s="99" t="s">
        <v>6952</v>
      </c>
      <c r="L915" s="99">
        <v>35</v>
      </c>
      <c r="M915" s="99">
        <v>23</v>
      </c>
      <c r="N915" s="99">
        <v>12</v>
      </c>
      <c r="O915" s="110"/>
      <c r="P915" s="110"/>
      <c r="Q915" s="110"/>
    </row>
    <row r="916" spans="1:17" s="117" customFormat="1" ht="31.75" customHeight="1">
      <c r="A916" s="109" t="s">
        <v>7100</v>
      </c>
      <c r="B916" s="109" t="s">
        <v>7101</v>
      </c>
      <c r="C916" s="98">
        <v>2011</v>
      </c>
      <c r="D916" s="99">
        <v>306</v>
      </c>
      <c r="E916" s="99">
        <v>308</v>
      </c>
      <c r="F916" s="99">
        <v>142</v>
      </c>
      <c r="G916" s="99">
        <v>184</v>
      </c>
      <c r="H916" s="99">
        <v>66</v>
      </c>
      <c r="I916" s="99">
        <v>6</v>
      </c>
      <c r="J916" s="99">
        <v>7</v>
      </c>
      <c r="K916" s="99" t="s">
        <v>6952</v>
      </c>
      <c r="L916" s="99">
        <v>57</v>
      </c>
      <c r="M916" s="99">
        <v>38</v>
      </c>
      <c r="N916" s="99">
        <v>19</v>
      </c>
      <c r="O916" s="110"/>
      <c r="P916" s="110"/>
      <c r="Q916" s="110"/>
    </row>
    <row r="917" spans="1:17" s="117" customFormat="1" ht="31.75" customHeight="1">
      <c r="A917" s="109" t="s">
        <v>7100</v>
      </c>
      <c r="B917" s="109" t="s">
        <v>7101</v>
      </c>
      <c r="C917" s="111">
        <v>2012</v>
      </c>
      <c r="D917" s="112">
        <v>322</v>
      </c>
      <c r="E917" s="112">
        <v>271</v>
      </c>
      <c r="F917" s="112">
        <v>94</v>
      </c>
      <c r="G917" s="112">
        <v>163</v>
      </c>
      <c r="H917" s="112">
        <v>59</v>
      </c>
      <c r="I917" s="112">
        <v>9</v>
      </c>
      <c r="J917" s="112">
        <v>10</v>
      </c>
      <c r="K917" s="112">
        <v>1</v>
      </c>
      <c r="L917" s="112">
        <v>36</v>
      </c>
      <c r="M917" s="112">
        <v>50</v>
      </c>
      <c r="N917" s="112">
        <v>-14</v>
      </c>
      <c r="O917" s="110"/>
      <c r="P917" s="110"/>
      <c r="Q917" s="110"/>
    </row>
    <row r="918" spans="1:17" s="117" customFormat="1" ht="31.75" customHeight="1">
      <c r="A918" s="109" t="s">
        <v>7100</v>
      </c>
      <c r="B918" s="109" t="s">
        <v>7101</v>
      </c>
      <c r="C918" s="113">
        <v>2013</v>
      </c>
      <c r="D918" s="112">
        <v>329</v>
      </c>
      <c r="E918" s="112">
        <v>305</v>
      </c>
      <c r="F918" s="112">
        <v>177</v>
      </c>
      <c r="G918" s="112">
        <v>141</v>
      </c>
      <c r="H918" s="112">
        <v>49</v>
      </c>
      <c r="I918" s="112">
        <v>13</v>
      </c>
      <c r="J918" s="112">
        <v>13</v>
      </c>
      <c r="K918" s="112">
        <v>1</v>
      </c>
      <c r="L918" s="112">
        <v>49</v>
      </c>
      <c r="M918" s="112">
        <v>36</v>
      </c>
      <c r="N918" s="112">
        <v>13</v>
      </c>
      <c r="O918" s="110"/>
      <c r="P918" s="110"/>
      <c r="Q918" s="110"/>
    </row>
    <row r="919" spans="1:17" s="117" customFormat="1" ht="31.75" customHeight="1">
      <c r="A919" s="109" t="s">
        <v>7100</v>
      </c>
      <c r="B919" s="109" t="s">
        <v>7101</v>
      </c>
      <c r="C919" s="113">
        <v>2014</v>
      </c>
      <c r="D919" s="99">
        <v>350</v>
      </c>
      <c r="E919" s="99">
        <v>244</v>
      </c>
      <c r="F919" s="99">
        <v>99</v>
      </c>
      <c r="G919" s="99">
        <v>150</v>
      </c>
      <c r="H919" s="99">
        <v>63</v>
      </c>
      <c r="I919" s="99">
        <v>6</v>
      </c>
      <c r="J919" s="99">
        <v>7</v>
      </c>
      <c r="K919" s="99" t="s">
        <v>6952</v>
      </c>
      <c r="L919" s="99">
        <v>47</v>
      </c>
      <c r="M919" s="99">
        <v>41</v>
      </c>
      <c r="N919" s="99">
        <v>6</v>
      </c>
      <c r="O919" s="100"/>
      <c r="P919" s="100"/>
      <c r="Q919" s="100"/>
    </row>
    <row r="920" spans="1:17" s="117" customFormat="1" ht="31.75" customHeight="1">
      <c r="A920" s="109" t="s">
        <v>7100</v>
      </c>
      <c r="B920" s="109" t="s">
        <v>7101</v>
      </c>
      <c r="C920" s="113">
        <v>2015</v>
      </c>
      <c r="D920" s="112">
        <v>362</v>
      </c>
      <c r="E920" s="112">
        <v>233</v>
      </c>
      <c r="F920" s="112">
        <v>62</v>
      </c>
      <c r="G920" s="112">
        <v>172</v>
      </c>
      <c r="H920" s="112">
        <v>64</v>
      </c>
      <c r="I920" s="112">
        <v>19</v>
      </c>
      <c r="J920" s="112">
        <v>20</v>
      </c>
      <c r="K920" s="99" t="s">
        <v>6952</v>
      </c>
      <c r="L920" s="112">
        <v>60</v>
      </c>
      <c r="M920" s="112">
        <v>58</v>
      </c>
      <c r="N920" s="112">
        <v>2</v>
      </c>
      <c r="O920" s="110"/>
      <c r="P920" s="110"/>
      <c r="Q920" s="110"/>
    </row>
    <row r="921" spans="1:17" s="117" customFormat="1" ht="31.75" customHeight="1">
      <c r="A921" s="109" t="s">
        <v>7100</v>
      </c>
      <c r="B921" s="109" t="s">
        <v>7101</v>
      </c>
      <c r="C921" s="113">
        <v>2016</v>
      </c>
      <c r="D921" s="112">
        <v>381</v>
      </c>
      <c r="E921" s="112">
        <v>286</v>
      </c>
      <c r="F921" s="112">
        <v>137</v>
      </c>
      <c r="G921" s="112">
        <v>147</v>
      </c>
      <c r="H921" s="112">
        <v>55</v>
      </c>
      <c r="I921" s="112">
        <v>6</v>
      </c>
      <c r="J921" s="112">
        <v>6</v>
      </c>
      <c r="K921" s="99" t="s">
        <v>6952</v>
      </c>
      <c r="L921" s="112">
        <v>38</v>
      </c>
      <c r="M921" s="112">
        <v>39</v>
      </c>
      <c r="N921" s="112">
        <v>-1</v>
      </c>
      <c r="O921" s="100"/>
      <c r="P921" s="100"/>
      <c r="Q921" s="100"/>
    </row>
    <row r="922" spans="1:17" s="117" customFormat="1" ht="31.75" customHeight="1">
      <c r="A922" s="109" t="s">
        <v>7100</v>
      </c>
      <c r="B922" s="109" t="s">
        <v>7101</v>
      </c>
      <c r="C922" s="113">
        <v>2017</v>
      </c>
      <c r="D922" s="112">
        <v>398</v>
      </c>
      <c r="E922" s="112">
        <v>300</v>
      </c>
      <c r="F922" s="112">
        <v>121</v>
      </c>
      <c r="G922" s="112">
        <v>189</v>
      </c>
      <c r="H922" s="112">
        <v>81</v>
      </c>
      <c r="I922" s="112">
        <v>8</v>
      </c>
      <c r="J922" s="112">
        <v>9</v>
      </c>
      <c r="K922" s="99" t="s">
        <v>6952</v>
      </c>
      <c r="L922" s="112">
        <v>50</v>
      </c>
      <c r="M922" s="112">
        <v>40</v>
      </c>
      <c r="N922" s="112">
        <v>10</v>
      </c>
      <c r="O922" s="100"/>
      <c r="P922" s="100"/>
      <c r="Q922" s="100"/>
    </row>
    <row r="923" spans="1:17" s="117" customFormat="1" ht="31.75" customHeight="1">
      <c r="A923" s="109" t="s">
        <v>7100</v>
      </c>
      <c r="B923" s="109" t="s">
        <v>7101</v>
      </c>
      <c r="C923" s="113">
        <v>2018</v>
      </c>
      <c r="D923" s="112">
        <v>414</v>
      </c>
      <c r="E923" s="112">
        <v>416</v>
      </c>
      <c r="F923" s="112">
        <v>184</v>
      </c>
      <c r="G923" s="112">
        <v>227</v>
      </c>
      <c r="H923" s="112">
        <v>98</v>
      </c>
      <c r="I923" s="112">
        <v>7</v>
      </c>
      <c r="J923" s="112">
        <v>8</v>
      </c>
      <c r="K923" s="112">
        <v>1</v>
      </c>
      <c r="L923" s="112">
        <v>66</v>
      </c>
      <c r="M923" s="112">
        <v>72</v>
      </c>
      <c r="N923" s="112">
        <v>-6</v>
      </c>
      <c r="O923" s="110"/>
      <c r="P923" s="110"/>
      <c r="Q923" s="110"/>
    </row>
    <row r="924" spans="1:17" s="117" customFormat="1" ht="31.75" customHeight="1">
      <c r="A924" s="109" t="s">
        <v>7100</v>
      </c>
      <c r="B924" s="109" t="s">
        <v>7101</v>
      </c>
      <c r="C924" s="113">
        <v>2019</v>
      </c>
      <c r="D924" s="112">
        <v>412</v>
      </c>
      <c r="E924" s="112">
        <v>378.23383799999999</v>
      </c>
      <c r="F924" s="112">
        <v>195.428755</v>
      </c>
      <c r="G924" s="112">
        <v>216.31400099999999</v>
      </c>
      <c r="H924" s="112">
        <v>90.728151999999994</v>
      </c>
      <c r="I924" s="112">
        <v>7.039536</v>
      </c>
      <c r="J924" s="112">
        <v>7.4569989999999997</v>
      </c>
      <c r="K924" s="112" t="s">
        <v>6952</v>
      </c>
      <c r="L924" s="112">
        <v>106.990832</v>
      </c>
      <c r="M924" s="112">
        <v>72.924783000000005</v>
      </c>
      <c r="N924" s="112">
        <v>34.066049</v>
      </c>
      <c r="O924" s="110"/>
      <c r="P924" s="110"/>
      <c r="Q924" s="110"/>
    </row>
    <row r="925" spans="1:17" s="117" customFormat="1" ht="31.75" customHeight="1">
      <c r="A925" s="114" t="s">
        <v>7100</v>
      </c>
      <c r="B925" s="114" t="s">
        <v>7101</v>
      </c>
      <c r="C925" s="113">
        <v>2020</v>
      </c>
      <c r="D925" s="112">
        <v>417</v>
      </c>
      <c r="E925" s="112">
        <v>349.99404199999998</v>
      </c>
      <c r="F925" s="112">
        <v>161.31095300000001</v>
      </c>
      <c r="G925" s="112">
        <v>219.22754499999999</v>
      </c>
      <c r="H925" s="112">
        <v>93.076779000000002</v>
      </c>
      <c r="I925" s="112">
        <v>9.4826049999999995</v>
      </c>
      <c r="J925" s="112">
        <v>9.8529730000000004</v>
      </c>
      <c r="K925" s="112" t="s">
        <v>6952</v>
      </c>
      <c r="L925" s="112">
        <v>166.59033099999999</v>
      </c>
      <c r="M925" s="112">
        <v>136.46351899999999</v>
      </c>
      <c r="N925" s="112">
        <v>30.126811</v>
      </c>
      <c r="O925" s="100"/>
      <c r="P925" s="100"/>
      <c r="Q925" s="100"/>
    </row>
    <row r="926" spans="1:17" s="117" customFormat="1" ht="17.5" customHeight="1">
      <c r="A926" s="109" t="s">
        <v>7102</v>
      </c>
      <c r="B926" s="109" t="s">
        <v>7103</v>
      </c>
      <c r="C926" s="98">
        <v>2008</v>
      </c>
      <c r="D926" s="99">
        <v>204</v>
      </c>
      <c r="E926" s="99">
        <v>364</v>
      </c>
      <c r="F926" s="99">
        <v>154</v>
      </c>
      <c r="G926" s="99">
        <v>212</v>
      </c>
      <c r="H926" s="99">
        <v>80</v>
      </c>
      <c r="I926" s="99">
        <v>6</v>
      </c>
      <c r="J926" s="99">
        <v>6</v>
      </c>
      <c r="K926" s="99">
        <v>1</v>
      </c>
      <c r="L926" s="99">
        <v>70</v>
      </c>
      <c r="M926" s="99">
        <v>68</v>
      </c>
      <c r="N926" s="99">
        <v>2</v>
      </c>
      <c r="O926" s="100"/>
      <c r="P926" s="100"/>
      <c r="Q926" s="100"/>
    </row>
    <row r="927" spans="1:17" s="117" customFormat="1" ht="17.5" customHeight="1">
      <c r="A927" s="109" t="s">
        <v>7102</v>
      </c>
      <c r="B927" s="109" t="s">
        <v>7103</v>
      </c>
      <c r="C927" s="98">
        <v>2009</v>
      </c>
      <c r="D927" s="99">
        <v>200</v>
      </c>
      <c r="E927" s="99">
        <v>332</v>
      </c>
      <c r="F927" s="99">
        <v>119</v>
      </c>
      <c r="G927" s="99">
        <v>198</v>
      </c>
      <c r="H927" s="99">
        <v>80</v>
      </c>
      <c r="I927" s="99">
        <v>5</v>
      </c>
      <c r="J927" s="99">
        <v>6</v>
      </c>
      <c r="K927" s="99">
        <v>1</v>
      </c>
      <c r="L927" s="99">
        <v>74</v>
      </c>
      <c r="M927" s="99">
        <v>86</v>
      </c>
      <c r="N927" s="99">
        <v>-12</v>
      </c>
      <c r="O927" s="110"/>
      <c r="P927" s="110"/>
      <c r="Q927" s="110"/>
    </row>
    <row r="928" spans="1:17" s="117" customFormat="1" ht="17.5" customHeight="1">
      <c r="A928" s="109" t="s">
        <v>7102</v>
      </c>
      <c r="B928" s="109" t="s">
        <v>7103</v>
      </c>
      <c r="C928" s="98">
        <v>2010</v>
      </c>
      <c r="D928" s="99">
        <v>180</v>
      </c>
      <c r="E928" s="99">
        <v>346</v>
      </c>
      <c r="F928" s="99">
        <v>129</v>
      </c>
      <c r="G928" s="99">
        <v>222</v>
      </c>
      <c r="H928" s="99">
        <v>77</v>
      </c>
      <c r="I928" s="99">
        <v>7</v>
      </c>
      <c r="J928" s="99">
        <v>8</v>
      </c>
      <c r="K928" s="99" t="s">
        <v>6952</v>
      </c>
      <c r="L928" s="99">
        <v>57</v>
      </c>
      <c r="M928" s="99">
        <v>50</v>
      </c>
      <c r="N928" s="99">
        <v>7</v>
      </c>
      <c r="O928" s="110"/>
      <c r="P928" s="110"/>
      <c r="Q928" s="110"/>
    </row>
    <row r="929" spans="1:17" s="117" customFormat="1" ht="17.5" customHeight="1">
      <c r="A929" s="109" t="s">
        <v>7102</v>
      </c>
      <c r="B929" s="109" t="s">
        <v>7103</v>
      </c>
      <c r="C929" s="98">
        <v>2011</v>
      </c>
      <c r="D929" s="99">
        <v>177</v>
      </c>
      <c r="E929" s="99">
        <v>359</v>
      </c>
      <c r="F929" s="99">
        <v>148</v>
      </c>
      <c r="G929" s="99">
        <v>222</v>
      </c>
      <c r="H929" s="99">
        <v>81</v>
      </c>
      <c r="I929" s="99">
        <v>12</v>
      </c>
      <c r="J929" s="99">
        <v>12</v>
      </c>
      <c r="K929" s="99" t="s">
        <v>6952</v>
      </c>
      <c r="L929" s="99">
        <v>74</v>
      </c>
      <c r="M929" s="99">
        <v>61</v>
      </c>
      <c r="N929" s="99">
        <v>14</v>
      </c>
      <c r="O929" s="110"/>
      <c r="P929" s="110"/>
      <c r="Q929" s="110"/>
    </row>
    <row r="930" spans="1:17" s="117" customFormat="1" ht="17.5" customHeight="1">
      <c r="A930" s="109" t="s">
        <v>7102</v>
      </c>
      <c r="B930" s="109" t="s">
        <v>7103</v>
      </c>
      <c r="C930" s="111">
        <v>2012</v>
      </c>
      <c r="D930" s="112">
        <v>190</v>
      </c>
      <c r="E930" s="112">
        <v>392</v>
      </c>
      <c r="F930" s="112">
        <v>178</v>
      </c>
      <c r="G930" s="112">
        <v>221</v>
      </c>
      <c r="H930" s="112">
        <v>97</v>
      </c>
      <c r="I930" s="112">
        <v>12</v>
      </c>
      <c r="J930" s="112">
        <v>13</v>
      </c>
      <c r="K930" s="99" t="s">
        <v>6952</v>
      </c>
      <c r="L930" s="112">
        <v>73</v>
      </c>
      <c r="M930" s="112">
        <v>64</v>
      </c>
      <c r="N930" s="112">
        <v>9</v>
      </c>
      <c r="O930" s="110"/>
      <c r="P930" s="110"/>
      <c r="Q930" s="110"/>
    </row>
    <row r="931" spans="1:17" s="117" customFormat="1" ht="17.5" customHeight="1">
      <c r="A931" s="109" t="s">
        <v>7102</v>
      </c>
      <c r="B931" s="109" t="s">
        <v>7103</v>
      </c>
      <c r="C931" s="113">
        <v>2013</v>
      </c>
      <c r="D931" s="112">
        <v>179</v>
      </c>
      <c r="E931" s="112">
        <v>403</v>
      </c>
      <c r="F931" s="112">
        <v>174</v>
      </c>
      <c r="G931" s="112">
        <v>234</v>
      </c>
      <c r="H931" s="112">
        <v>100</v>
      </c>
      <c r="I931" s="112">
        <v>6</v>
      </c>
      <c r="J931" s="112">
        <v>7</v>
      </c>
      <c r="K931" s="112">
        <v>1</v>
      </c>
      <c r="L931" s="112">
        <v>73</v>
      </c>
      <c r="M931" s="112">
        <v>65</v>
      </c>
      <c r="N931" s="112">
        <v>8</v>
      </c>
      <c r="O931" s="100"/>
      <c r="P931" s="100"/>
      <c r="Q931" s="100"/>
    </row>
    <row r="932" spans="1:17" s="117" customFormat="1" ht="17.5" customHeight="1">
      <c r="A932" s="109" t="s">
        <v>7102</v>
      </c>
      <c r="B932" s="109" t="s">
        <v>7103</v>
      </c>
      <c r="C932" s="113">
        <v>2014</v>
      </c>
      <c r="D932" s="99">
        <v>182</v>
      </c>
      <c r="E932" s="99">
        <v>496</v>
      </c>
      <c r="F932" s="99">
        <v>239</v>
      </c>
      <c r="G932" s="99">
        <v>260</v>
      </c>
      <c r="H932" s="99">
        <v>95</v>
      </c>
      <c r="I932" s="99">
        <v>22</v>
      </c>
      <c r="J932" s="99">
        <v>22</v>
      </c>
      <c r="K932" s="99" t="s">
        <v>6952</v>
      </c>
      <c r="L932" s="99">
        <v>81</v>
      </c>
      <c r="M932" s="99">
        <v>73</v>
      </c>
      <c r="N932" s="99">
        <v>8</v>
      </c>
      <c r="O932" s="110"/>
      <c r="P932" s="110"/>
      <c r="Q932" s="110"/>
    </row>
    <row r="933" spans="1:17" s="117" customFormat="1" ht="17.5" customHeight="1">
      <c r="A933" s="109" t="s">
        <v>7102</v>
      </c>
      <c r="B933" s="109" t="s">
        <v>7103</v>
      </c>
      <c r="C933" s="113">
        <v>2015</v>
      </c>
      <c r="D933" s="112">
        <v>177</v>
      </c>
      <c r="E933" s="112">
        <v>451</v>
      </c>
      <c r="F933" s="112">
        <v>213</v>
      </c>
      <c r="G933" s="112">
        <v>240</v>
      </c>
      <c r="H933" s="112">
        <v>102</v>
      </c>
      <c r="I933" s="112">
        <v>8</v>
      </c>
      <c r="J933" s="112">
        <v>8</v>
      </c>
      <c r="K933" s="99" t="s">
        <v>6952</v>
      </c>
      <c r="L933" s="112">
        <v>89</v>
      </c>
      <c r="M933" s="112">
        <v>82</v>
      </c>
      <c r="N933" s="112">
        <v>7</v>
      </c>
      <c r="O933" s="100"/>
      <c r="P933" s="100"/>
      <c r="Q933" s="100"/>
    </row>
    <row r="934" spans="1:17" s="117" customFormat="1" ht="17.5" customHeight="1">
      <c r="A934" s="109" t="s">
        <v>7102</v>
      </c>
      <c r="B934" s="109" t="s">
        <v>7103</v>
      </c>
      <c r="C934" s="113">
        <v>2016</v>
      </c>
      <c r="D934" s="112">
        <v>189</v>
      </c>
      <c r="E934" s="112">
        <v>475</v>
      </c>
      <c r="F934" s="112">
        <v>149</v>
      </c>
      <c r="G934" s="112">
        <v>333</v>
      </c>
      <c r="H934" s="112">
        <v>116</v>
      </c>
      <c r="I934" s="112">
        <v>10</v>
      </c>
      <c r="J934" s="112">
        <v>11</v>
      </c>
      <c r="K934" s="112">
        <v>2</v>
      </c>
      <c r="L934" s="112">
        <v>120</v>
      </c>
      <c r="M934" s="112">
        <v>104</v>
      </c>
      <c r="N934" s="112">
        <v>17</v>
      </c>
      <c r="O934" s="100"/>
      <c r="P934" s="100"/>
      <c r="Q934" s="100"/>
    </row>
    <row r="935" spans="1:17" s="117" customFormat="1" ht="17.5" customHeight="1">
      <c r="A935" s="109" t="s">
        <v>7102</v>
      </c>
      <c r="B935" s="109" t="s">
        <v>7103</v>
      </c>
      <c r="C935" s="113">
        <v>2017</v>
      </c>
      <c r="D935" s="112">
        <v>190</v>
      </c>
      <c r="E935" s="112">
        <v>533</v>
      </c>
      <c r="F935" s="112">
        <v>176</v>
      </c>
      <c r="G935" s="112">
        <v>345</v>
      </c>
      <c r="H935" s="112">
        <v>120</v>
      </c>
      <c r="I935" s="112">
        <v>17</v>
      </c>
      <c r="J935" s="112">
        <v>17</v>
      </c>
      <c r="K935" s="112" t="s">
        <v>6952</v>
      </c>
      <c r="L935" s="112">
        <v>125</v>
      </c>
      <c r="M935" s="112">
        <v>127</v>
      </c>
      <c r="N935" s="112">
        <v>-2</v>
      </c>
      <c r="O935" s="110"/>
      <c r="P935" s="110"/>
      <c r="Q935" s="110"/>
    </row>
    <row r="936" spans="1:17" s="117" customFormat="1" ht="17.5" customHeight="1">
      <c r="A936" s="109" t="s">
        <v>7102</v>
      </c>
      <c r="B936" s="109" t="s">
        <v>7103</v>
      </c>
      <c r="C936" s="113">
        <v>2018</v>
      </c>
      <c r="D936" s="112">
        <v>187</v>
      </c>
      <c r="E936" s="112">
        <v>653</v>
      </c>
      <c r="F936" s="112">
        <v>234</v>
      </c>
      <c r="G936" s="112">
        <v>420</v>
      </c>
      <c r="H936" s="112">
        <v>122</v>
      </c>
      <c r="I936" s="112">
        <v>9</v>
      </c>
      <c r="J936" s="112">
        <v>10</v>
      </c>
      <c r="K936" s="112" t="s">
        <v>6952</v>
      </c>
      <c r="L936" s="112">
        <v>78</v>
      </c>
      <c r="M936" s="112">
        <v>76</v>
      </c>
      <c r="N936" s="112">
        <v>1</v>
      </c>
      <c r="O936" s="110"/>
      <c r="P936" s="110"/>
      <c r="Q936" s="110"/>
    </row>
    <row r="937" spans="1:17" s="117" customFormat="1" ht="17.5" customHeight="1">
      <c r="A937" s="109" t="s">
        <v>7102</v>
      </c>
      <c r="B937" s="109" t="s">
        <v>7103</v>
      </c>
      <c r="C937" s="113">
        <v>2019</v>
      </c>
      <c r="D937" s="112">
        <v>174</v>
      </c>
      <c r="E937" s="112">
        <v>730.70627999999999</v>
      </c>
      <c r="F937" s="112">
        <v>219.180093</v>
      </c>
      <c r="G937" s="112">
        <v>537.77837099999999</v>
      </c>
      <c r="H937" s="112">
        <v>125.932502</v>
      </c>
      <c r="I937" s="112">
        <v>9.9010189999999998</v>
      </c>
      <c r="J937" s="112">
        <v>9.9462790000000005</v>
      </c>
      <c r="K937" s="112" t="s">
        <v>6952</v>
      </c>
      <c r="L937" s="112">
        <v>145.790854</v>
      </c>
      <c r="M937" s="112">
        <v>126.21190300000001</v>
      </c>
      <c r="N937" s="112">
        <v>19.578951</v>
      </c>
      <c r="O937" s="100"/>
      <c r="P937" s="100"/>
      <c r="Q937" s="100"/>
    </row>
    <row r="938" spans="1:17" s="117" customFormat="1" ht="17.5" customHeight="1">
      <c r="A938" s="114" t="s">
        <v>7102</v>
      </c>
      <c r="B938" s="114" t="s">
        <v>7103</v>
      </c>
      <c r="C938" s="113">
        <v>2020</v>
      </c>
      <c r="D938" s="112">
        <v>170</v>
      </c>
      <c r="E938" s="112">
        <v>536.28118600000005</v>
      </c>
      <c r="F938" s="112">
        <v>144.69146000000001</v>
      </c>
      <c r="G938" s="112">
        <v>389.73450100000002</v>
      </c>
      <c r="H938" s="112">
        <v>166.78798</v>
      </c>
      <c r="I938" s="112">
        <v>15.388820000000001</v>
      </c>
      <c r="J938" s="112">
        <v>19.352501</v>
      </c>
      <c r="K938" s="112">
        <v>3.9636819999999999</v>
      </c>
      <c r="L938" s="112">
        <v>159.989484</v>
      </c>
      <c r="M938" s="112">
        <v>154.21484799999999</v>
      </c>
      <c r="N938" s="112">
        <v>5.7746360000000001</v>
      </c>
      <c r="O938" s="100"/>
      <c r="P938" s="100"/>
      <c r="Q938" s="100"/>
    </row>
    <row r="939" spans="1:17" s="117" customFormat="1" ht="48" customHeight="1">
      <c r="A939" s="109" t="s">
        <v>7104</v>
      </c>
      <c r="B939" s="109" t="s">
        <v>7105</v>
      </c>
      <c r="C939" s="98">
        <v>2008</v>
      </c>
      <c r="D939" s="99">
        <v>7893</v>
      </c>
      <c r="E939" s="99">
        <v>7817</v>
      </c>
      <c r="F939" s="99">
        <v>2811</v>
      </c>
      <c r="G939" s="99">
        <v>5021</v>
      </c>
      <c r="H939" s="99">
        <v>1626</v>
      </c>
      <c r="I939" s="99">
        <v>133</v>
      </c>
      <c r="J939" s="99">
        <v>200</v>
      </c>
      <c r="K939" s="99">
        <v>67</v>
      </c>
      <c r="L939" s="99">
        <v>779</v>
      </c>
      <c r="M939" s="99">
        <v>797</v>
      </c>
      <c r="N939" s="99">
        <v>-18</v>
      </c>
      <c r="O939" s="110"/>
      <c r="P939" s="110"/>
      <c r="Q939" s="110"/>
    </row>
    <row r="940" spans="1:17" s="117" customFormat="1" ht="48" customHeight="1">
      <c r="A940" s="109" t="s">
        <v>7104</v>
      </c>
      <c r="B940" s="109" t="s">
        <v>7105</v>
      </c>
      <c r="C940" s="98">
        <v>2009</v>
      </c>
      <c r="D940" s="99">
        <v>8033</v>
      </c>
      <c r="E940" s="99">
        <v>6498</v>
      </c>
      <c r="F940" s="99">
        <v>2058</v>
      </c>
      <c r="G940" s="99">
        <v>4361</v>
      </c>
      <c r="H940" s="99">
        <v>1332</v>
      </c>
      <c r="I940" s="99">
        <v>185</v>
      </c>
      <c r="J940" s="99">
        <v>209</v>
      </c>
      <c r="K940" s="99">
        <v>23</v>
      </c>
      <c r="L940" s="99">
        <v>520</v>
      </c>
      <c r="M940" s="99">
        <v>597</v>
      </c>
      <c r="N940" s="99">
        <v>-78</v>
      </c>
      <c r="O940" s="110"/>
      <c r="P940" s="110"/>
      <c r="Q940" s="110"/>
    </row>
    <row r="941" spans="1:17" s="117" customFormat="1" ht="48" customHeight="1">
      <c r="A941" s="109" t="s">
        <v>7104</v>
      </c>
      <c r="B941" s="109" t="s">
        <v>7105</v>
      </c>
      <c r="C941" s="98">
        <v>2010</v>
      </c>
      <c r="D941" s="99">
        <v>7583</v>
      </c>
      <c r="E941" s="99">
        <v>6693</v>
      </c>
      <c r="F941" s="99">
        <v>2372</v>
      </c>
      <c r="G941" s="99">
        <v>4385</v>
      </c>
      <c r="H941" s="99">
        <v>1343</v>
      </c>
      <c r="I941" s="99">
        <v>89</v>
      </c>
      <c r="J941" s="99">
        <v>159</v>
      </c>
      <c r="K941" s="99">
        <v>70</v>
      </c>
      <c r="L941" s="99">
        <v>602</v>
      </c>
      <c r="M941" s="99">
        <v>542</v>
      </c>
      <c r="N941" s="99">
        <v>60</v>
      </c>
      <c r="O941" s="110"/>
      <c r="P941" s="110"/>
      <c r="Q941" s="110"/>
    </row>
    <row r="942" spans="1:17" s="117" customFormat="1" ht="48" customHeight="1">
      <c r="A942" s="109" t="s">
        <v>7104</v>
      </c>
      <c r="B942" s="109" t="s">
        <v>7105</v>
      </c>
      <c r="C942" s="98">
        <v>2011</v>
      </c>
      <c r="D942" s="99">
        <v>7321</v>
      </c>
      <c r="E942" s="99">
        <v>6806</v>
      </c>
      <c r="F942" s="99">
        <v>2454</v>
      </c>
      <c r="G942" s="99">
        <v>4363</v>
      </c>
      <c r="H942" s="99">
        <v>1398</v>
      </c>
      <c r="I942" s="99">
        <v>128</v>
      </c>
      <c r="J942" s="99">
        <v>192</v>
      </c>
      <c r="K942" s="99">
        <v>64</v>
      </c>
      <c r="L942" s="99">
        <v>608</v>
      </c>
      <c r="M942" s="99">
        <v>623</v>
      </c>
      <c r="N942" s="99">
        <v>-15</v>
      </c>
      <c r="O942" s="110"/>
      <c r="P942" s="110"/>
      <c r="Q942" s="110"/>
    </row>
    <row r="943" spans="1:17" s="117" customFormat="1" ht="48" customHeight="1">
      <c r="A943" s="109" t="s">
        <v>7104</v>
      </c>
      <c r="B943" s="109" t="s">
        <v>7105</v>
      </c>
      <c r="C943" s="111">
        <v>2012</v>
      </c>
      <c r="D943" s="112">
        <v>7105</v>
      </c>
      <c r="E943" s="112">
        <v>6752</v>
      </c>
      <c r="F943" s="112">
        <v>2673</v>
      </c>
      <c r="G943" s="112">
        <v>4136</v>
      </c>
      <c r="H943" s="112">
        <v>1403</v>
      </c>
      <c r="I943" s="112">
        <v>122</v>
      </c>
      <c r="J943" s="112">
        <v>171</v>
      </c>
      <c r="K943" s="112">
        <v>49</v>
      </c>
      <c r="L943" s="112">
        <v>659</v>
      </c>
      <c r="M943" s="112">
        <v>621</v>
      </c>
      <c r="N943" s="112">
        <v>38</v>
      </c>
      <c r="O943" s="100"/>
      <c r="P943" s="100"/>
      <c r="Q943" s="100"/>
    </row>
    <row r="944" spans="1:17" s="117" customFormat="1" ht="48" customHeight="1">
      <c r="A944" s="109" t="s">
        <v>7104</v>
      </c>
      <c r="B944" s="109" t="s">
        <v>7105</v>
      </c>
      <c r="C944" s="113">
        <v>2013</v>
      </c>
      <c r="D944" s="112">
        <v>7327</v>
      </c>
      <c r="E944" s="112">
        <v>7156</v>
      </c>
      <c r="F944" s="112">
        <v>2582</v>
      </c>
      <c r="G944" s="112">
        <v>4566</v>
      </c>
      <c r="H944" s="112">
        <v>1419</v>
      </c>
      <c r="I944" s="112">
        <v>202</v>
      </c>
      <c r="J944" s="112">
        <v>233</v>
      </c>
      <c r="K944" s="112">
        <v>31</v>
      </c>
      <c r="L944" s="112">
        <v>662</v>
      </c>
      <c r="M944" s="112">
        <v>665</v>
      </c>
      <c r="N944" s="112">
        <v>-3</v>
      </c>
      <c r="O944" s="110"/>
      <c r="P944" s="110"/>
      <c r="Q944" s="110"/>
    </row>
    <row r="945" spans="1:17" s="117" customFormat="1" ht="48" customHeight="1">
      <c r="A945" s="109" t="s">
        <v>7104</v>
      </c>
      <c r="B945" s="109" t="s">
        <v>7105</v>
      </c>
      <c r="C945" s="113">
        <v>2014</v>
      </c>
      <c r="D945" s="99">
        <v>7628</v>
      </c>
      <c r="E945" s="99">
        <v>7912</v>
      </c>
      <c r="F945" s="99">
        <v>2747</v>
      </c>
      <c r="G945" s="99">
        <v>5245</v>
      </c>
      <c r="H945" s="99">
        <v>1582</v>
      </c>
      <c r="I945" s="99">
        <v>180</v>
      </c>
      <c r="J945" s="99">
        <v>239</v>
      </c>
      <c r="K945" s="99">
        <v>59</v>
      </c>
      <c r="L945" s="99">
        <v>716</v>
      </c>
      <c r="M945" s="99">
        <v>643</v>
      </c>
      <c r="N945" s="99">
        <v>72</v>
      </c>
      <c r="O945" s="100"/>
      <c r="P945" s="100"/>
      <c r="Q945" s="100"/>
    </row>
    <row r="946" spans="1:17" s="117" customFormat="1" ht="48" customHeight="1">
      <c r="A946" s="109" t="s">
        <v>7104</v>
      </c>
      <c r="B946" s="109" t="s">
        <v>7105</v>
      </c>
      <c r="C946" s="113">
        <v>2015</v>
      </c>
      <c r="D946" s="112">
        <v>8248</v>
      </c>
      <c r="E946" s="112">
        <v>8385</v>
      </c>
      <c r="F946" s="112">
        <v>3275</v>
      </c>
      <c r="G946" s="112">
        <v>5176</v>
      </c>
      <c r="H946" s="112">
        <v>1566</v>
      </c>
      <c r="I946" s="112">
        <v>309</v>
      </c>
      <c r="J946" s="112">
        <v>329</v>
      </c>
      <c r="K946" s="112">
        <v>21</v>
      </c>
      <c r="L946" s="112">
        <v>740</v>
      </c>
      <c r="M946" s="112">
        <v>689</v>
      </c>
      <c r="N946" s="112">
        <v>51</v>
      </c>
      <c r="O946" s="100"/>
      <c r="P946" s="100"/>
      <c r="Q946" s="100"/>
    </row>
    <row r="947" spans="1:17" s="117" customFormat="1" ht="48" customHeight="1">
      <c r="A947" s="109" t="s">
        <v>7104</v>
      </c>
      <c r="B947" s="109" t="s">
        <v>7105</v>
      </c>
      <c r="C947" s="113">
        <v>2016</v>
      </c>
      <c r="D947" s="112">
        <v>9018</v>
      </c>
      <c r="E947" s="112">
        <v>9120</v>
      </c>
      <c r="F947" s="112">
        <v>3579</v>
      </c>
      <c r="G947" s="112">
        <v>5594</v>
      </c>
      <c r="H947" s="112">
        <v>1717</v>
      </c>
      <c r="I947" s="112">
        <v>372</v>
      </c>
      <c r="J947" s="112">
        <v>407</v>
      </c>
      <c r="K947" s="112">
        <v>35</v>
      </c>
      <c r="L947" s="112">
        <v>929</v>
      </c>
      <c r="M947" s="112">
        <v>878</v>
      </c>
      <c r="N947" s="112">
        <v>51</v>
      </c>
      <c r="O947" s="110"/>
      <c r="P947" s="110"/>
      <c r="Q947" s="110"/>
    </row>
    <row r="948" spans="1:17" s="117" customFormat="1" ht="48" customHeight="1">
      <c r="A948" s="109" t="s">
        <v>7104</v>
      </c>
      <c r="B948" s="109" t="s">
        <v>7105</v>
      </c>
      <c r="C948" s="113">
        <v>2017</v>
      </c>
      <c r="D948" s="112">
        <v>9287</v>
      </c>
      <c r="E948" s="112">
        <v>9131</v>
      </c>
      <c r="F948" s="112">
        <v>3315</v>
      </c>
      <c r="G948" s="112">
        <v>5911</v>
      </c>
      <c r="H948" s="112">
        <v>1705</v>
      </c>
      <c r="I948" s="112">
        <v>446</v>
      </c>
      <c r="J948" s="112">
        <v>471</v>
      </c>
      <c r="K948" s="112">
        <v>24</v>
      </c>
      <c r="L948" s="112">
        <v>725</v>
      </c>
      <c r="M948" s="112">
        <v>695</v>
      </c>
      <c r="N948" s="112">
        <v>30</v>
      </c>
      <c r="O948" s="110"/>
      <c r="P948" s="110"/>
      <c r="Q948" s="110"/>
    </row>
    <row r="949" spans="1:17" s="117" customFormat="1" ht="48" customHeight="1">
      <c r="A949" s="109" t="s">
        <v>7104</v>
      </c>
      <c r="B949" s="109" t="s">
        <v>7105</v>
      </c>
      <c r="C949" s="113">
        <v>2018</v>
      </c>
      <c r="D949" s="112">
        <v>9419</v>
      </c>
      <c r="E949" s="112">
        <v>9572</v>
      </c>
      <c r="F949" s="112">
        <v>3690</v>
      </c>
      <c r="G949" s="112">
        <v>6045</v>
      </c>
      <c r="H949" s="112">
        <v>1801</v>
      </c>
      <c r="I949" s="112">
        <v>250</v>
      </c>
      <c r="J949" s="112">
        <v>325</v>
      </c>
      <c r="K949" s="112">
        <v>75</v>
      </c>
      <c r="L949" s="112">
        <v>857</v>
      </c>
      <c r="M949" s="112">
        <v>736</v>
      </c>
      <c r="N949" s="112">
        <v>121</v>
      </c>
      <c r="O949" s="100"/>
      <c r="P949" s="100"/>
      <c r="Q949" s="100"/>
    </row>
    <row r="950" spans="1:17" s="117" customFormat="1" ht="48" customHeight="1">
      <c r="A950" s="109" t="s">
        <v>7104</v>
      </c>
      <c r="B950" s="109" t="s">
        <v>7105</v>
      </c>
      <c r="C950" s="113">
        <v>2019</v>
      </c>
      <c r="D950" s="112">
        <v>9266</v>
      </c>
      <c r="E950" s="112">
        <v>9735.1483939999998</v>
      </c>
      <c r="F950" s="112">
        <v>3682.7435540000001</v>
      </c>
      <c r="G950" s="112">
        <v>6083.751808</v>
      </c>
      <c r="H950" s="112">
        <v>1856.089095</v>
      </c>
      <c r="I950" s="112">
        <v>327.65048100000001</v>
      </c>
      <c r="J950" s="112">
        <v>352.05720600000001</v>
      </c>
      <c r="K950" s="112">
        <v>24.406725000000002</v>
      </c>
      <c r="L950" s="112">
        <v>859.54632800000002</v>
      </c>
      <c r="M950" s="112">
        <v>864.58106199999997</v>
      </c>
      <c r="N950" s="112">
        <v>-5.0347340000000003</v>
      </c>
      <c r="O950" s="100"/>
      <c r="P950" s="100"/>
      <c r="Q950" s="100"/>
    </row>
    <row r="951" spans="1:17" s="117" customFormat="1" ht="48" customHeight="1">
      <c r="A951" s="114" t="s">
        <v>7104</v>
      </c>
      <c r="B951" s="114" t="s">
        <v>7105</v>
      </c>
      <c r="C951" s="113">
        <v>2020</v>
      </c>
      <c r="D951" s="112">
        <v>9586</v>
      </c>
      <c r="E951" s="112">
        <v>9646.9077579999994</v>
      </c>
      <c r="F951" s="112">
        <v>3476.070678</v>
      </c>
      <c r="G951" s="112">
        <v>6224.3711469999998</v>
      </c>
      <c r="H951" s="112">
        <v>1857.5259639999999</v>
      </c>
      <c r="I951" s="112">
        <v>407.01623599999999</v>
      </c>
      <c r="J951" s="112">
        <v>470.42487999999997</v>
      </c>
      <c r="K951" s="112">
        <v>63.408644000000002</v>
      </c>
      <c r="L951" s="112">
        <v>865.27995299999998</v>
      </c>
      <c r="M951" s="112">
        <v>828.89928999999995</v>
      </c>
      <c r="N951" s="112">
        <v>36.380662999999998</v>
      </c>
      <c r="O951" s="110"/>
      <c r="P951" s="110"/>
      <c r="Q951" s="110"/>
    </row>
    <row r="952" spans="1:17" s="117" customFormat="1" ht="17.5" customHeight="1">
      <c r="A952" s="109" t="s">
        <v>7106</v>
      </c>
      <c r="B952" s="109" t="s">
        <v>7107</v>
      </c>
      <c r="C952" s="98">
        <v>2008</v>
      </c>
      <c r="D952" s="99">
        <v>717</v>
      </c>
      <c r="E952" s="99">
        <v>1321</v>
      </c>
      <c r="F952" s="99">
        <v>443</v>
      </c>
      <c r="G952" s="99">
        <v>894</v>
      </c>
      <c r="H952" s="99">
        <v>234</v>
      </c>
      <c r="I952" s="99">
        <v>43</v>
      </c>
      <c r="J952" s="99">
        <v>56</v>
      </c>
      <c r="K952" s="99">
        <v>14</v>
      </c>
      <c r="L952" s="99">
        <v>165</v>
      </c>
      <c r="M952" s="99">
        <v>177</v>
      </c>
      <c r="N952" s="99">
        <v>-12</v>
      </c>
      <c r="O952" s="110"/>
      <c r="P952" s="110"/>
      <c r="Q952" s="110"/>
    </row>
    <row r="953" spans="1:17" s="117" customFormat="1" ht="17.5" customHeight="1">
      <c r="A953" s="109" t="s">
        <v>7106</v>
      </c>
      <c r="B953" s="109" t="s">
        <v>7107</v>
      </c>
      <c r="C953" s="98">
        <v>2009</v>
      </c>
      <c r="D953" s="99">
        <v>664</v>
      </c>
      <c r="E953" s="99">
        <v>1038</v>
      </c>
      <c r="F953" s="99">
        <v>299</v>
      </c>
      <c r="G953" s="99">
        <v>722</v>
      </c>
      <c r="H953" s="99">
        <v>188</v>
      </c>
      <c r="I953" s="99">
        <v>46</v>
      </c>
      <c r="J953" s="99">
        <v>56</v>
      </c>
      <c r="K953" s="99">
        <v>10</v>
      </c>
      <c r="L953" s="99">
        <v>122</v>
      </c>
      <c r="M953" s="99">
        <v>139</v>
      </c>
      <c r="N953" s="99">
        <v>-17</v>
      </c>
      <c r="O953" s="110"/>
      <c r="P953" s="110"/>
      <c r="Q953" s="110"/>
    </row>
    <row r="954" spans="1:17" s="117" customFormat="1" ht="17.5" customHeight="1">
      <c r="A954" s="109" t="s">
        <v>7106</v>
      </c>
      <c r="B954" s="109" t="s">
        <v>7107</v>
      </c>
      <c r="C954" s="98">
        <v>2010</v>
      </c>
      <c r="D954" s="99">
        <v>622</v>
      </c>
      <c r="E954" s="99">
        <v>1056</v>
      </c>
      <c r="F954" s="99">
        <v>415</v>
      </c>
      <c r="G954" s="99">
        <v>664</v>
      </c>
      <c r="H954" s="99">
        <v>201</v>
      </c>
      <c r="I954" s="99">
        <v>38</v>
      </c>
      <c r="J954" s="99">
        <v>50</v>
      </c>
      <c r="K954" s="99">
        <v>13</v>
      </c>
      <c r="L954" s="99">
        <v>121</v>
      </c>
      <c r="M954" s="99">
        <v>106</v>
      </c>
      <c r="N954" s="99">
        <v>15</v>
      </c>
      <c r="O954" s="110"/>
      <c r="P954" s="110"/>
      <c r="Q954" s="110"/>
    </row>
    <row r="955" spans="1:17" s="117" customFormat="1" ht="17.5" customHeight="1">
      <c r="A955" s="109" t="s">
        <v>7106</v>
      </c>
      <c r="B955" s="109" t="s">
        <v>7107</v>
      </c>
      <c r="C955" s="98">
        <v>2011</v>
      </c>
      <c r="D955" s="99">
        <v>595</v>
      </c>
      <c r="E955" s="99">
        <v>1131</v>
      </c>
      <c r="F955" s="99">
        <v>435</v>
      </c>
      <c r="G955" s="99">
        <v>696</v>
      </c>
      <c r="H955" s="99">
        <v>184</v>
      </c>
      <c r="I955" s="99">
        <v>48</v>
      </c>
      <c r="J955" s="99">
        <v>57</v>
      </c>
      <c r="K955" s="99">
        <v>9</v>
      </c>
      <c r="L955" s="99">
        <v>128</v>
      </c>
      <c r="M955" s="99">
        <v>130</v>
      </c>
      <c r="N955" s="99">
        <v>-2</v>
      </c>
      <c r="O955" s="100"/>
      <c r="P955" s="100"/>
      <c r="Q955" s="100"/>
    </row>
    <row r="956" spans="1:17" s="117" customFormat="1" ht="17.5" customHeight="1">
      <c r="A956" s="109" t="s">
        <v>7106</v>
      </c>
      <c r="B956" s="109" t="s">
        <v>7107</v>
      </c>
      <c r="C956" s="111">
        <v>2012</v>
      </c>
      <c r="D956" s="112">
        <v>568</v>
      </c>
      <c r="E956" s="112">
        <v>1245</v>
      </c>
      <c r="F956" s="112">
        <v>586</v>
      </c>
      <c r="G956" s="112">
        <v>678</v>
      </c>
      <c r="H956" s="112">
        <v>177</v>
      </c>
      <c r="I956" s="112">
        <v>55</v>
      </c>
      <c r="J956" s="112">
        <v>58</v>
      </c>
      <c r="K956" s="112">
        <v>4</v>
      </c>
      <c r="L956" s="112">
        <v>146</v>
      </c>
      <c r="M956" s="112">
        <v>126</v>
      </c>
      <c r="N956" s="112">
        <v>20</v>
      </c>
      <c r="O956" s="110"/>
      <c r="P956" s="110"/>
      <c r="Q956" s="110"/>
    </row>
    <row r="957" spans="1:17" s="117" customFormat="1" ht="17.5" customHeight="1">
      <c r="A957" s="109" t="s">
        <v>7106</v>
      </c>
      <c r="B957" s="109" t="s">
        <v>7107</v>
      </c>
      <c r="C957" s="113">
        <v>2013</v>
      </c>
      <c r="D957" s="112">
        <v>558</v>
      </c>
      <c r="E957" s="112">
        <v>1231</v>
      </c>
      <c r="F957" s="112">
        <v>518</v>
      </c>
      <c r="G957" s="112">
        <v>714</v>
      </c>
      <c r="H957" s="112">
        <v>207</v>
      </c>
      <c r="I957" s="112">
        <v>41</v>
      </c>
      <c r="J957" s="112">
        <v>53</v>
      </c>
      <c r="K957" s="112">
        <v>12</v>
      </c>
      <c r="L957" s="112">
        <v>151</v>
      </c>
      <c r="M957" s="112">
        <v>149</v>
      </c>
      <c r="N957" s="112">
        <v>1</v>
      </c>
      <c r="O957" s="100"/>
      <c r="P957" s="100"/>
      <c r="Q957" s="100"/>
    </row>
    <row r="958" spans="1:17" s="117" customFormat="1" ht="17.5" customHeight="1">
      <c r="A958" s="109" t="s">
        <v>7106</v>
      </c>
      <c r="B958" s="109" t="s">
        <v>7107</v>
      </c>
      <c r="C958" s="113">
        <v>2014</v>
      </c>
      <c r="D958" s="99">
        <v>550</v>
      </c>
      <c r="E958" s="99">
        <v>1250</v>
      </c>
      <c r="F958" s="99">
        <v>356</v>
      </c>
      <c r="G958" s="99">
        <v>915</v>
      </c>
      <c r="H958" s="99">
        <v>202</v>
      </c>
      <c r="I958" s="99">
        <v>20</v>
      </c>
      <c r="J958" s="99">
        <v>62</v>
      </c>
      <c r="K958" s="99">
        <v>42</v>
      </c>
      <c r="L958" s="99">
        <v>182</v>
      </c>
      <c r="M958" s="99">
        <v>160</v>
      </c>
      <c r="N958" s="99">
        <v>22</v>
      </c>
      <c r="O958" s="100"/>
      <c r="P958" s="100"/>
      <c r="Q958" s="100"/>
    </row>
    <row r="959" spans="1:17" s="117" customFormat="1" ht="17.5" customHeight="1">
      <c r="A959" s="109" t="s">
        <v>7106</v>
      </c>
      <c r="B959" s="109" t="s">
        <v>7107</v>
      </c>
      <c r="C959" s="113">
        <v>2015</v>
      </c>
      <c r="D959" s="112">
        <v>550</v>
      </c>
      <c r="E959" s="112">
        <v>1358</v>
      </c>
      <c r="F959" s="112">
        <v>474</v>
      </c>
      <c r="G959" s="112">
        <v>884</v>
      </c>
      <c r="H959" s="112">
        <v>198</v>
      </c>
      <c r="I959" s="112">
        <v>71</v>
      </c>
      <c r="J959" s="112">
        <v>74</v>
      </c>
      <c r="K959" s="112">
        <v>3</v>
      </c>
      <c r="L959" s="112">
        <v>159</v>
      </c>
      <c r="M959" s="112">
        <v>165</v>
      </c>
      <c r="N959" s="112">
        <v>-6</v>
      </c>
      <c r="O959" s="110"/>
      <c r="P959" s="110"/>
      <c r="Q959" s="110"/>
    </row>
    <row r="960" spans="1:17" s="117" customFormat="1" ht="17.5" customHeight="1">
      <c r="A960" s="109" t="s">
        <v>7106</v>
      </c>
      <c r="B960" s="109" t="s">
        <v>7107</v>
      </c>
      <c r="C960" s="113">
        <v>2016</v>
      </c>
      <c r="D960" s="112">
        <v>556</v>
      </c>
      <c r="E960" s="112">
        <v>1468</v>
      </c>
      <c r="F960" s="112">
        <v>413</v>
      </c>
      <c r="G960" s="112">
        <v>1062</v>
      </c>
      <c r="H960" s="112">
        <v>224</v>
      </c>
      <c r="I960" s="112">
        <v>70</v>
      </c>
      <c r="J960" s="112">
        <v>76</v>
      </c>
      <c r="K960" s="112">
        <v>6</v>
      </c>
      <c r="L960" s="112">
        <v>184</v>
      </c>
      <c r="M960" s="112">
        <v>178</v>
      </c>
      <c r="N960" s="112">
        <v>6</v>
      </c>
      <c r="O960" s="110"/>
      <c r="P960" s="110"/>
      <c r="Q960" s="110"/>
    </row>
    <row r="961" spans="1:17" s="117" customFormat="1" ht="17.5" customHeight="1">
      <c r="A961" s="109" t="s">
        <v>7106</v>
      </c>
      <c r="B961" s="109" t="s">
        <v>7107</v>
      </c>
      <c r="C961" s="113">
        <v>2017</v>
      </c>
      <c r="D961" s="112">
        <v>535</v>
      </c>
      <c r="E961" s="112">
        <v>1626</v>
      </c>
      <c r="F961" s="112">
        <v>420</v>
      </c>
      <c r="G961" s="112">
        <v>1208</v>
      </c>
      <c r="H961" s="112">
        <v>237</v>
      </c>
      <c r="I961" s="112">
        <v>88</v>
      </c>
      <c r="J961" s="112">
        <v>96</v>
      </c>
      <c r="K961" s="112">
        <v>8</v>
      </c>
      <c r="L961" s="112">
        <v>186</v>
      </c>
      <c r="M961" s="112">
        <v>187</v>
      </c>
      <c r="N961" s="112">
        <v>-2</v>
      </c>
      <c r="O961" s="100"/>
      <c r="P961" s="100"/>
      <c r="Q961" s="100"/>
    </row>
    <row r="962" spans="1:17" s="117" customFormat="1" ht="17.5" customHeight="1">
      <c r="A962" s="109" t="s">
        <v>7106</v>
      </c>
      <c r="B962" s="109" t="s">
        <v>7107</v>
      </c>
      <c r="C962" s="113">
        <v>2018</v>
      </c>
      <c r="D962" s="112">
        <v>533</v>
      </c>
      <c r="E962" s="112">
        <v>1783</v>
      </c>
      <c r="F962" s="112">
        <v>580</v>
      </c>
      <c r="G962" s="112">
        <v>1262</v>
      </c>
      <c r="H962" s="112">
        <v>224</v>
      </c>
      <c r="I962" s="112">
        <v>68</v>
      </c>
      <c r="J962" s="112">
        <v>72</v>
      </c>
      <c r="K962" s="112">
        <v>5</v>
      </c>
      <c r="L962" s="112">
        <v>218</v>
      </c>
      <c r="M962" s="112">
        <v>182</v>
      </c>
      <c r="N962" s="112">
        <v>36</v>
      </c>
      <c r="O962" s="100"/>
      <c r="P962" s="100"/>
      <c r="Q962" s="100"/>
    </row>
    <row r="963" spans="1:17" s="117" customFormat="1" ht="17.5" customHeight="1">
      <c r="A963" s="109" t="s">
        <v>7106</v>
      </c>
      <c r="B963" s="109" t="s">
        <v>7107</v>
      </c>
      <c r="C963" s="113">
        <v>2019</v>
      </c>
      <c r="D963" s="112">
        <v>512</v>
      </c>
      <c r="E963" s="112">
        <v>1942.5692309999999</v>
      </c>
      <c r="F963" s="112">
        <v>496.10527000000002</v>
      </c>
      <c r="G963" s="112">
        <v>1482.99908</v>
      </c>
      <c r="H963" s="112">
        <v>240.51118299999999</v>
      </c>
      <c r="I963" s="112">
        <v>117.739909</v>
      </c>
      <c r="J963" s="112">
        <v>123.565878</v>
      </c>
      <c r="K963" s="112">
        <v>5.8259689999999997</v>
      </c>
      <c r="L963" s="112">
        <v>247.79523900000001</v>
      </c>
      <c r="M963" s="112">
        <v>224.80333899999999</v>
      </c>
      <c r="N963" s="112">
        <v>22.991899</v>
      </c>
      <c r="O963" s="110"/>
      <c r="P963" s="110"/>
      <c r="Q963" s="110"/>
    </row>
    <row r="964" spans="1:17" s="117" customFormat="1" ht="17.5" customHeight="1">
      <c r="A964" s="114" t="s">
        <v>7106</v>
      </c>
      <c r="B964" s="114" t="s">
        <v>7107</v>
      </c>
      <c r="C964" s="113">
        <v>2020</v>
      </c>
      <c r="D964" s="112">
        <v>516</v>
      </c>
      <c r="E964" s="112">
        <v>1865.7024819999999</v>
      </c>
      <c r="F964" s="112">
        <v>508.28128800000002</v>
      </c>
      <c r="G964" s="112">
        <v>1345.2219030000001</v>
      </c>
      <c r="H964" s="112">
        <v>258.25766599999997</v>
      </c>
      <c r="I964" s="112">
        <v>108.761594</v>
      </c>
      <c r="J964" s="112">
        <v>118.97368899999999</v>
      </c>
      <c r="K964" s="112">
        <v>10.212095</v>
      </c>
      <c r="L964" s="112">
        <v>217.10390100000001</v>
      </c>
      <c r="M964" s="112">
        <v>229.76003399999999</v>
      </c>
      <c r="N964" s="112">
        <v>-12.656133000000001</v>
      </c>
      <c r="O964" s="110"/>
      <c r="P964" s="110"/>
      <c r="Q964" s="110"/>
    </row>
    <row r="965" spans="1:17" s="117" customFormat="1" ht="31.75" customHeight="1">
      <c r="A965" s="109" t="s">
        <v>7108</v>
      </c>
      <c r="B965" s="109" t="s">
        <v>7109</v>
      </c>
      <c r="C965" s="98">
        <v>2008</v>
      </c>
      <c r="D965" s="99">
        <v>7176</v>
      </c>
      <c r="E965" s="99">
        <v>6495</v>
      </c>
      <c r="F965" s="99">
        <v>2368</v>
      </c>
      <c r="G965" s="99">
        <v>4127</v>
      </c>
      <c r="H965" s="99">
        <v>1392</v>
      </c>
      <c r="I965" s="99">
        <v>90</v>
      </c>
      <c r="J965" s="99">
        <v>144</v>
      </c>
      <c r="K965" s="99">
        <v>53</v>
      </c>
      <c r="L965" s="99">
        <v>614</v>
      </c>
      <c r="M965" s="99">
        <v>620</v>
      </c>
      <c r="N965" s="99">
        <v>-6</v>
      </c>
      <c r="O965" s="110"/>
      <c r="P965" s="110"/>
      <c r="Q965" s="110"/>
    </row>
    <row r="966" spans="1:17" s="117" customFormat="1" ht="31.75" customHeight="1">
      <c r="A966" s="109" t="s">
        <v>7108</v>
      </c>
      <c r="B966" s="109" t="s">
        <v>7109</v>
      </c>
      <c r="C966" s="98">
        <v>2009</v>
      </c>
      <c r="D966" s="99">
        <v>7369</v>
      </c>
      <c r="E966" s="99">
        <v>5460</v>
      </c>
      <c r="F966" s="99">
        <v>1760</v>
      </c>
      <c r="G966" s="99">
        <v>3639</v>
      </c>
      <c r="H966" s="99">
        <v>1144</v>
      </c>
      <c r="I966" s="99">
        <v>139</v>
      </c>
      <c r="J966" s="99">
        <v>153</v>
      </c>
      <c r="K966" s="99">
        <v>14</v>
      </c>
      <c r="L966" s="99">
        <v>398</v>
      </c>
      <c r="M966" s="99">
        <v>458</v>
      </c>
      <c r="N966" s="99">
        <v>-60</v>
      </c>
      <c r="O966" s="110"/>
      <c r="P966" s="110"/>
      <c r="Q966" s="110"/>
    </row>
    <row r="967" spans="1:17" s="117" customFormat="1" ht="31.75" customHeight="1">
      <c r="A967" s="109" t="s">
        <v>7108</v>
      </c>
      <c r="B967" s="109" t="s">
        <v>7109</v>
      </c>
      <c r="C967" s="98">
        <v>2010</v>
      </c>
      <c r="D967" s="99">
        <v>6961</v>
      </c>
      <c r="E967" s="99">
        <v>5636</v>
      </c>
      <c r="F967" s="99">
        <v>1957</v>
      </c>
      <c r="G967" s="99">
        <v>3720</v>
      </c>
      <c r="H967" s="99">
        <v>1142</v>
      </c>
      <c r="I967" s="99">
        <v>51</v>
      </c>
      <c r="J967" s="99">
        <v>108</v>
      </c>
      <c r="K967" s="99">
        <v>57</v>
      </c>
      <c r="L967" s="99">
        <v>481</v>
      </c>
      <c r="M967" s="99">
        <v>436</v>
      </c>
      <c r="N967" s="99">
        <v>45</v>
      </c>
      <c r="O967" s="100"/>
      <c r="P967" s="100"/>
      <c r="Q967" s="100"/>
    </row>
    <row r="968" spans="1:17" s="117" customFormat="1" ht="31.75" customHeight="1">
      <c r="A968" s="109" t="s">
        <v>7108</v>
      </c>
      <c r="B968" s="109" t="s">
        <v>7109</v>
      </c>
      <c r="C968" s="98">
        <v>2011</v>
      </c>
      <c r="D968" s="99">
        <v>6726</v>
      </c>
      <c r="E968" s="99">
        <v>5676</v>
      </c>
      <c r="F968" s="99">
        <v>2019</v>
      </c>
      <c r="G968" s="99">
        <v>3666</v>
      </c>
      <c r="H968" s="99">
        <v>1214</v>
      </c>
      <c r="I968" s="99">
        <v>80</v>
      </c>
      <c r="J968" s="99">
        <v>135</v>
      </c>
      <c r="K968" s="99">
        <v>55</v>
      </c>
      <c r="L968" s="99">
        <v>480</v>
      </c>
      <c r="M968" s="99">
        <v>494</v>
      </c>
      <c r="N968" s="99">
        <v>-13</v>
      </c>
      <c r="O968" s="110"/>
      <c r="P968" s="110"/>
      <c r="Q968" s="110"/>
    </row>
    <row r="969" spans="1:17" s="117" customFormat="1" ht="31.75" customHeight="1">
      <c r="A969" s="109" t="s">
        <v>7108</v>
      </c>
      <c r="B969" s="109" t="s">
        <v>7109</v>
      </c>
      <c r="C969" s="111">
        <v>2012</v>
      </c>
      <c r="D969" s="112">
        <v>6537</v>
      </c>
      <c r="E969" s="112">
        <v>5508</v>
      </c>
      <c r="F969" s="112">
        <v>2087</v>
      </c>
      <c r="G969" s="112">
        <v>3459</v>
      </c>
      <c r="H969" s="112">
        <v>1226</v>
      </c>
      <c r="I969" s="112">
        <v>68</v>
      </c>
      <c r="J969" s="112">
        <v>113</v>
      </c>
      <c r="K969" s="112">
        <v>45</v>
      </c>
      <c r="L969" s="112">
        <v>513</v>
      </c>
      <c r="M969" s="112">
        <v>495</v>
      </c>
      <c r="N969" s="112">
        <v>18</v>
      </c>
      <c r="O969" s="100"/>
      <c r="P969" s="100"/>
      <c r="Q969" s="100"/>
    </row>
    <row r="970" spans="1:17" s="117" customFormat="1" ht="31.75" customHeight="1">
      <c r="A970" s="109" t="s">
        <v>7108</v>
      </c>
      <c r="B970" s="109" t="s">
        <v>7109</v>
      </c>
      <c r="C970" s="113">
        <v>2013</v>
      </c>
      <c r="D970" s="112">
        <v>6769</v>
      </c>
      <c r="E970" s="112">
        <v>5925</v>
      </c>
      <c r="F970" s="112">
        <v>2064</v>
      </c>
      <c r="G970" s="112">
        <v>3852</v>
      </c>
      <c r="H970" s="112">
        <v>1212</v>
      </c>
      <c r="I970" s="112">
        <v>161</v>
      </c>
      <c r="J970" s="112">
        <v>180</v>
      </c>
      <c r="K970" s="112">
        <v>19</v>
      </c>
      <c r="L970" s="112">
        <v>511</v>
      </c>
      <c r="M970" s="112">
        <v>515</v>
      </c>
      <c r="N970" s="112">
        <v>-4</v>
      </c>
      <c r="O970" s="100"/>
      <c r="P970" s="100"/>
      <c r="Q970" s="100"/>
    </row>
    <row r="971" spans="1:17" s="117" customFormat="1" ht="31.75" customHeight="1">
      <c r="A971" s="109" t="s">
        <v>7108</v>
      </c>
      <c r="B971" s="109" t="s">
        <v>7109</v>
      </c>
      <c r="C971" s="113">
        <v>2014</v>
      </c>
      <c r="D971" s="99">
        <v>7078</v>
      </c>
      <c r="E971" s="99">
        <v>6662</v>
      </c>
      <c r="F971" s="99">
        <v>2391</v>
      </c>
      <c r="G971" s="99">
        <v>4331</v>
      </c>
      <c r="H971" s="99">
        <v>1380</v>
      </c>
      <c r="I971" s="99">
        <v>160</v>
      </c>
      <c r="J971" s="99">
        <v>177</v>
      </c>
      <c r="K971" s="99">
        <v>17</v>
      </c>
      <c r="L971" s="99">
        <v>534</v>
      </c>
      <c r="M971" s="99">
        <v>483</v>
      </c>
      <c r="N971" s="99">
        <v>51</v>
      </c>
      <c r="O971" s="110"/>
      <c r="P971" s="110"/>
      <c r="Q971" s="110"/>
    </row>
    <row r="972" spans="1:17" s="117" customFormat="1" ht="31.75" customHeight="1">
      <c r="A972" s="109" t="s">
        <v>7108</v>
      </c>
      <c r="B972" s="109" t="s">
        <v>7109</v>
      </c>
      <c r="C972" s="113">
        <v>2015</v>
      </c>
      <c r="D972" s="112">
        <v>7698</v>
      </c>
      <c r="E972" s="112">
        <v>7027</v>
      </c>
      <c r="F972" s="112">
        <v>2800</v>
      </c>
      <c r="G972" s="112">
        <v>4293</v>
      </c>
      <c r="H972" s="112">
        <v>1368</v>
      </c>
      <c r="I972" s="112">
        <v>238</v>
      </c>
      <c r="J972" s="112">
        <v>255</v>
      </c>
      <c r="K972" s="112">
        <v>17</v>
      </c>
      <c r="L972" s="112">
        <v>580</v>
      </c>
      <c r="M972" s="112">
        <v>523</v>
      </c>
      <c r="N972" s="112">
        <v>57</v>
      </c>
      <c r="O972" s="110"/>
      <c r="P972" s="110"/>
      <c r="Q972" s="110"/>
    </row>
    <row r="973" spans="1:17" s="117" customFormat="1" ht="31.75" customHeight="1">
      <c r="A973" s="109" t="s">
        <v>7108</v>
      </c>
      <c r="B973" s="109" t="s">
        <v>7109</v>
      </c>
      <c r="C973" s="113">
        <v>2016</v>
      </c>
      <c r="D973" s="112">
        <v>8462</v>
      </c>
      <c r="E973" s="112">
        <v>7652</v>
      </c>
      <c r="F973" s="112">
        <v>3166</v>
      </c>
      <c r="G973" s="112">
        <v>4532</v>
      </c>
      <c r="H973" s="112">
        <v>1493</v>
      </c>
      <c r="I973" s="112">
        <v>301</v>
      </c>
      <c r="J973" s="112">
        <v>330</v>
      </c>
      <c r="K973" s="112">
        <v>29</v>
      </c>
      <c r="L973" s="112">
        <v>745</v>
      </c>
      <c r="M973" s="112">
        <v>700</v>
      </c>
      <c r="N973" s="112">
        <v>45</v>
      </c>
      <c r="O973" s="100"/>
      <c r="P973" s="100"/>
      <c r="Q973" s="100"/>
    </row>
    <row r="974" spans="1:17" s="117" customFormat="1" ht="31.75" customHeight="1">
      <c r="A974" s="109" t="s">
        <v>7108</v>
      </c>
      <c r="B974" s="109" t="s">
        <v>7109</v>
      </c>
      <c r="C974" s="113">
        <v>2017</v>
      </c>
      <c r="D974" s="112">
        <v>8752</v>
      </c>
      <c r="E974" s="112">
        <v>7504</v>
      </c>
      <c r="F974" s="112">
        <v>2895</v>
      </c>
      <c r="G974" s="112">
        <v>4703</v>
      </c>
      <c r="H974" s="112">
        <v>1468</v>
      </c>
      <c r="I974" s="112">
        <v>358</v>
      </c>
      <c r="J974" s="112">
        <v>375</v>
      </c>
      <c r="K974" s="112">
        <v>17</v>
      </c>
      <c r="L974" s="112">
        <v>539</v>
      </c>
      <c r="M974" s="112">
        <v>508</v>
      </c>
      <c r="N974" s="112">
        <v>31</v>
      </c>
      <c r="O974" s="100"/>
      <c r="P974" s="100"/>
      <c r="Q974" s="100"/>
    </row>
    <row r="975" spans="1:17" s="117" customFormat="1" ht="31.75" customHeight="1">
      <c r="A975" s="109" t="s">
        <v>7108</v>
      </c>
      <c r="B975" s="109" t="s">
        <v>7109</v>
      </c>
      <c r="C975" s="113">
        <v>2018</v>
      </c>
      <c r="D975" s="112">
        <v>8886</v>
      </c>
      <c r="E975" s="112">
        <v>7789</v>
      </c>
      <c r="F975" s="112">
        <v>3110</v>
      </c>
      <c r="G975" s="112">
        <v>4783</v>
      </c>
      <c r="H975" s="112">
        <v>1577</v>
      </c>
      <c r="I975" s="112">
        <v>182</v>
      </c>
      <c r="J975" s="112">
        <v>253</v>
      </c>
      <c r="K975" s="112">
        <v>71</v>
      </c>
      <c r="L975" s="112">
        <v>639</v>
      </c>
      <c r="M975" s="112">
        <v>554</v>
      </c>
      <c r="N975" s="112">
        <v>85</v>
      </c>
      <c r="O975" s="110"/>
      <c r="P975" s="110"/>
      <c r="Q975" s="110"/>
    </row>
    <row r="976" spans="1:17" s="117" customFormat="1" ht="31.75" customHeight="1">
      <c r="A976" s="109" t="s">
        <v>7108</v>
      </c>
      <c r="B976" s="109" t="s">
        <v>7109</v>
      </c>
      <c r="C976" s="113">
        <v>2019</v>
      </c>
      <c r="D976" s="112">
        <v>8754</v>
      </c>
      <c r="E976" s="112">
        <v>7792.5791630000003</v>
      </c>
      <c r="F976" s="112">
        <v>3186.6382840000001</v>
      </c>
      <c r="G976" s="112">
        <v>4600.7527280000004</v>
      </c>
      <c r="H976" s="112">
        <v>1615.577912</v>
      </c>
      <c r="I976" s="112">
        <v>209.910572</v>
      </c>
      <c r="J976" s="112">
        <v>228.49132800000001</v>
      </c>
      <c r="K976" s="112">
        <v>18.580756999999998</v>
      </c>
      <c r="L976" s="112">
        <v>611.75108899999998</v>
      </c>
      <c r="M976" s="112">
        <v>639.77772200000004</v>
      </c>
      <c r="N976" s="112">
        <v>-28.026633</v>
      </c>
      <c r="O976" s="110"/>
      <c r="P976" s="110"/>
      <c r="Q976" s="110"/>
    </row>
    <row r="977" spans="1:17" s="117" customFormat="1" ht="31.75" customHeight="1">
      <c r="A977" s="114" t="s">
        <v>7108</v>
      </c>
      <c r="B977" s="114" t="s">
        <v>7109</v>
      </c>
      <c r="C977" s="113">
        <v>2020</v>
      </c>
      <c r="D977" s="112">
        <v>9070</v>
      </c>
      <c r="E977" s="112">
        <v>7781.2052759999997</v>
      </c>
      <c r="F977" s="112">
        <v>2967.7893909999998</v>
      </c>
      <c r="G977" s="112">
        <v>4879.1492440000002</v>
      </c>
      <c r="H977" s="112">
        <v>1599.268298</v>
      </c>
      <c r="I977" s="112">
        <v>298.25464199999999</v>
      </c>
      <c r="J977" s="112">
        <v>351.45119099999999</v>
      </c>
      <c r="K977" s="112">
        <v>53.196548999999997</v>
      </c>
      <c r="L977" s="112">
        <v>648.17605200000003</v>
      </c>
      <c r="M977" s="112">
        <v>599.13925600000005</v>
      </c>
      <c r="N977" s="112">
        <v>49.036796000000002</v>
      </c>
      <c r="O977" s="110"/>
      <c r="P977" s="110"/>
      <c r="Q977" s="110"/>
    </row>
    <row r="978" spans="1:17" s="117" customFormat="1" ht="31.75" customHeight="1">
      <c r="A978" s="109" t="s">
        <v>7110</v>
      </c>
      <c r="B978" s="109" t="s">
        <v>7111</v>
      </c>
      <c r="C978" s="98">
        <v>2008</v>
      </c>
      <c r="D978" s="99">
        <v>138</v>
      </c>
      <c r="E978" s="99">
        <v>1032</v>
      </c>
      <c r="F978" s="99">
        <v>254</v>
      </c>
      <c r="G978" s="99">
        <v>775</v>
      </c>
      <c r="H978" s="99">
        <v>149</v>
      </c>
      <c r="I978" s="99">
        <v>18</v>
      </c>
      <c r="J978" s="99">
        <v>27</v>
      </c>
      <c r="K978" s="99">
        <v>9</v>
      </c>
      <c r="L978" s="99">
        <v>98</v>
      </c>
      <c r="M978" s="99">
        <v>103</v>
      </c>
      <c r="N978" s="99">
        <v>-5</v>
      </c>
      <c r="O978" s="110"/>
      <c r="P978" s="110"/>
      <c r="Q978" s="110"/>
    </row>
    <row r="979" spans="1:17" s="117" customFormat="1" ht="31.75" customHeight="1">
      <c r="A979" s="109" t="s">
        <v>7110</v>
      </c>
      <c r="B979" s="109" t="s">
        <v>7111</v>
      </c>
      <c r="C979" s="98">
        <v>2009</v>
      </c>
      <c r="D979" s="99">
        <v>136</v>
      </c>
      <c r="E979" s="99">
        <v>821</v>
      </c>
      <c r="F979" s="99">
        <v>169</v>
      </c>
      <c r="G979" s="99">
        <v>637</v>
      </c>
      <c r="H979" s="99">
        <v>111</v>
      </c>
      <c r="I979" s="99">
        <v>14</v>
      </c>
      <c r="J979" s="99">
        <v>15</v>
      </c>
      <c r="K979" s="99">
        <v>1</v>
      </c>
      <c r="L979" s="99">
        <v>71</v>
      </c>
      <c r="M979" s="99">
        <v>89</v>
      </c>
      <c r="N979" s="99">
        <v>-18</v>
      </c>
      <c r="O979" s="100"/>
      <c r="P979" s="100"/>
      <c r="Q979" s="100"/>
    </row>
    <row r="980" spans="1:17" s="117" customFormat="1" ht="31.75" customHeight="1">
      <c r="A980" s="109" t="s">
        <v>7110</v>
      </c>
      <c r="B980" s="109" t="s">
        <v>7111</v>
      </c>
      <c r="C980" s="98">
        <v>2010</v>
      </c>
      <c r="D980" s="99" t="s">
        <v>6953</v>
      </c>
      <c r="E980" s="99" t="s">
        <v>6953</v>
      </c>
      <c r="F980" s="99" t="s">
        <v>6953</v>
      </c>
      <c r="G980" s="99" t="s">
        <v>6953</v>
      </c>
      <c r="H980" s="99" t="s">
        <v>6953</v>
      </c>
      <c r="I980" s="99" t="s">
        <v>6953</v>
      </c>
      <c r="J980" s="99" t="s">
        <v>6953</v>
      </c>
      <c r="K980" s="99" t="s">
        <v>6953</v>
      </c>
      <c r="L980" s="99" t="s">
        <v>6953</v>
      </c>
      <c r="M980" s="99" t="s">
        <v>6953</v>
      </c>
      <c r="N980" s="99" t="s">
        <v>6953</v>
      </c>
      <c r="O980" s="110"/>
      <c r="P980" s="110"/>
      <c r="Q980" s="110"/>
    </row>
    <row r="981" spans="1:17" s="117" customFormat="1" ht="31.75" customHeight="1">
      <c r="A981" s="109" t="s">
        <v>7110</v>
      </c>
      <c r="B981" s="109" t="s">
        <v>7111</v>
      </c>
      <c r="C981" s="98">
        <v>2011</v>
      </c>
      <c r="D981" s="99" t="s">
        <v>6953</v>
      </c>
      <c r="E981" s="99" t="s">
        <v>6953</v>
      </c>
      <c r="F981" s="99" t="s">
        <v>6953</v>
      </c>
      <c r="G981" s="99" t="s">
        <v>6953</v>
      </c>
      <c r="H981" s="99" t="s">
        <v>6953</v>
      </c>
      <c r="I981" s="99" t="s">
        <v>6953</v>
      </c>
      <c r="J981" s="99" t="s">
        <v>6953</v>
      </c>
      <c r="K981" s="99" t="s">
        <v>6953</v>
      </c>
      <c r="L981" s="99" t="s">
        <v>6953</v>
      </c>
      <c r="M981" s="99" t="s">
        <v>6953</v>
      </c>
      <c r="N981" s="99" t="s">
        <v>6953</v>
      </c>
      <c r="O981" s="100"/>
      <c r="P981" s="100"/>
      <c r="Q981" s="100"/>
    </row>
    <row r="982" spans="1:17" s="117" customFormat="1" ht="31.75" customHeight="1">
      <c r="A982" s="109" t="s">
        <v>7110</v>
      </c>
      <c r="B982" s="109" t="s">
        <v>7111</v>
      </c>
      <c r="C982" s="111">
        <v>2012</v>
      </c>
      <c r="D982" s="112">
        <v>134</v>
      </c>
      <c r="E982" s="112">
        <v>968</v>
      </c>
      <c r="F982" s="112">
        <v>226</v>
      </c>
      <c r="G982" s="112">
        <v>761</v>
      </c>
      <c r="H982" s="112">
        <v>144</v>
      </c>
      <c r="I982" s="99" t="s">
        <v>6953</v>
      </c>
      <c r="J982" s="99" t="s">
        <v>6953</v>
      </c>
      <c r="K982" s="112">
        <v>30</v>
      </c>
      <c r="L982" s="99" t="s">
        <v>6953</v>
      </c>
      <c r="M982" s="99" t="s">
        <v>6953</v>
      </c>
      <c r="N982" s="99" t="s">
        <v>6953</v>
      </c>
      <c r="O982" s="100"/>
      <c r="P982" s="100"/>
      <c r="Q982" s="100"/>
    </row>
    <row r="983" spans="1:17" s="117" customFormat="1" ht="31.75" customHeight="1">
      <c r="A983" s="109" t="s">
        <v>7110</v>
      </c>
      <c r="B983" s="109" t="s">
        <v>7111</v>
      </c>
      <c r="C983" s="113">
        <v>2013</v>
      </c>
      <c r="D983" s="99" t="s">
        <v>6953</v>
      </c>
      <c r="E983" s="99" t="s">
        <v>6953</v>
      </c>
      <c r="F983" s="99" t="s">
        <v>6953</v>
      </c>
      <c r="G983" s="99" t="s">
        <v>6953</v>
      </c>
      <c r="H983" s="99" t="s">
        <v>6953</v>
      </c>
      <c r="I983" s="99" t="s">
        <v>6953</v>
      </c>
      <c r="J983" s="99" t="s">
        <v>6953</v>
      </c>
      <c r="K983" s="99" t="s">
        <v>6953</v>
      </c>
      <c r="L983" s="99" t="s">
        <v>6953</v>
      </c>
      <c r="M983" s="99" t="s">
        <v>6953</v>
      </c>
      <c r="N983" s="99" t="s">
        <v>6953</v>
      </c>
      <c r="O983" s="110"/>
      <c r="P983" s="110"/>
      <c r="Q983" s="110"/>
    </row>
    <row r="984" spans="1:17" s="117" customFormat="1" ht="31.75" customHeight="1">
      <c r="A984" s="109" t="s">
        <v>7110</v>
      </c>
      <c r="B984" s="109" t="s">
        <v>7111</v>
      </c>
      <c r="C984" s="113">
        <v>2014</v>
      </c>
      <c r="D984" s="99" t="s">
        <v>6953</v>
      </c>
      <c r="E984" s="99" t="s">
        <v>6953</v>
      </c>
      <c r="F984" s="99" t="s">
        <v>6953</v>
      </c>
      <c r="G984" s="99" t="s">
        <v>6953</v>
      </c>
      <c r="H984" s="99" t="s">
        <v>6953</v>
      </c>
      <c r="I984" s="99" t="s">
        <v>6953</v>
      </c>
      <c r="J984" s="99" t="s">
        <v>6953</v>
      </c>
      <c r="K984" s="99" t="s">
        <v>6953</v>
      </c>
      <c r="L984" s="99" t="s">
        <v>6953</v>
      </c>
      <c r="M984" s="99" t="s">
        <v>6953</v>
      </c>
      <c r="N984" s="99" t="s">
        <v>6953</v>
      </c>
      <c r="O984" s="110"/>
      <c r="P984" s="110"/>
      <c r="Q984" s="110"/>
    </row>
    <row r="985" spans="1:17" s="117" customFormat="1" ht="31.75" customHeight="1">
      <c r="A985" s="109" t="s">
        <v>7110</v>
      </c>
      <c r="B985" s="109" t="s">
        <v>7111</v>
      </c>
      <c r="C985" s="113">
        <v>2015</v>
      </c>
      <c r="D985" s="99" t="s">
        <v>6953</v>
      </c>
      <c r="E985" s="99" t="s">
        <v>6953</v>
      </c>
      <c r="F985" s="99" t="s">
        <v>6953</v>
      </c>
      <c r="G985" s="99" t="s">
        <v>6953</v>
      </c>
      <c r="H985" s="99" t="s">
        <v>6953</v>
      </c>
      <c r="I985" s="99" t="s">
        <v>6953</v>
      </c>
      <c r="J985" s="99" t="s">
        <v>6953</v>
      </c>
      <c r="K985" s="99" t="s">
        <v>6953</v>
      </c>
      <c r="L985" s="99" t="s">
        <v>6953</v>
      </c>
      <c r="M985" s="99" t="s">
        <v>6953</v>
      </c>
      <c r="N985" s="99" t="s">
        <v>6953</v>
      </c>
      <c r="O985" s="100"/>
      <c r="P985" s="100"/>
      <c r="Q985" s="100"/>
    </row>
    <row r="986" spans="1:17" s="117" customFormat="1" ht="31.75" customHeight="1">
      <c r="A986" s="109" t="s">
        <v>7110</v>
      </c>
      <c r="B986" s="109" t="s">
        <v>7111</v>
      </c>
      <c r="C986" s="113">
        <v>2016</v>
      </c>
      <c r="D986" s="99" t="s">
        <v>6953</v>
      </c>
      <c r="E986" s="99" t="s">
        <v>6953</v>
      </c>
      <c r="F986" s="99" t="s">
        <v>6953</v>
      </c>
      <c r="G986" s="99" t="s">
        <v>6953</v>
      </c>
      <c r="H986" s="99" t="s">
        <v>6953</v>
      </c>
      <c r="I986" s="99" t="s">
        <v>6953</v>
      </c>
      <c r="J986" s="99" t="s">
        <v>6953</v>
      </c>
      <c r="K986" s="99" t="s">
        <v>6953</v>
      </c>
      <c r="L986" s="99" t="s">
        <v>6953</v>
      </c>
      <c r="M986" s="99" t="s">
        <v>6953</v>
      </c>
      <c r="N986" s="99" t="s">
        <v>6953</v>
      </c>
      <c r="O986" s="100"/>
      <c r="P986" s="100"/>
      <c r="Q986" s="100"/>
    </row>
    <row r="987" spans="1:17" s="117" customFormat="1" ht="31.75" customHeight="1">
      <c r="A987" s="109" t="s">
        <v>7110</v>
      </c>
      <c r="B987" s="109" t="s">
        <v>7111</v>
      </c>
      <c r="C987" s="113">
        <v>2017</v>
      </c>
      <c r="D987" s="112">
        <v>125</v>
      </c>
      <c r="E987" s="112">
        <v>1286</v>
      </c>
      <c r="F987" s="112">
        <v>363</v>
      </c>
      <c r="G987" s="112">
        <v>972</v>
      </c>
      <c r="H987" s="99" t="s">
        <v>6953</v>
      </c>
      <c r="I987" s="112">
        <v>117</v>
      </c>
      <c r="J987" s="112">
        <v>119</v>
      </c>
      <c r="K987" s="112">
        <v>2</v>
      </c>
      <c r="L987" s="112">
        <v>138</v>
      </c>
      <c r="M987" s="112">
        <v>122</v>
      </c>
      <c r="N987" s="112">
        <v>16</v>
      </c>
      <c r="O987" s="110"/>
      <c r="P987" s="110"/>
      <c r="Q987" s="110"/>
    </row>
    <row r="988" spans="1:17" s="117" customFormat="1" ht="31.75" customHeight="1">
      <c r="A988" s="109" t="s">
        <v>7110</v>
      </c>
      <c r="B988" s="109" t="s">
        <v>7111</v>
      </c>
      <c r="C988" s="113">
        <v>2018</v>
      </c>
      <c r="D988" s="99" t="s">
        <v>6953</v>
      </c>
      <c r="E988" s="99" t="s">
        <v>6953</v>
      </c>
      <c r="F988" s="99" t="s">
        <v>6953</v>
      </c>
      <c r="G988" s="99" t="s">
        <v>6953</v>
      </c>
      <c r="H988" s="99" t="s">
        <v>6953</v>
      </c>
      <c r="I988" s="99" t="s">
        <v>6953</v>
      </c>
      <c r="J988" s="99" t="s">
        <v>6953</v>
      </c>
      <c r="K988" s="99" t="s">
        <v>6953</v>
      </c>
      <c r="L988" s="99" t="s">
        <v>6953</v>
      </c>
      <c r="M988" s="99" t="s">
        <v>6953</v>
      </c>
      <c r="N988" s="99" t="s">
        <v>6953</v>
      </c>
      <c r="O988" s="110"/>
      <c r="P988" s="110"/>
      <c r="Q988" s="110"/>
    </row>
    <row r="989" spans="1:17" s="117" customFormat="1" ht="31.75" customHeight="1">
      <c r="A989" s="109" t="s">
        <v>7110</v>
      </c>
      <c r="B989" s="109" t="s">
        <v>7111</v>
      </c>
      <c r="C989" s="113">
        <v>2019</v>
      </c>
      <c r="D989" s="112">
        <v>129</v>
      </c>
      <c r="E989" s="112">
        <v>1333.421857</v>
      </c>
      <c r="F989" s="112">
        <v>378.63239099999998</v>
      </c>
      <c r="G989" s="112">
        <v>952.66883600000006</v>
      </c>
      <c r="H989" s="112">
        <v>176.29254800000001</v>
      </c>
      <c r="I989" s="112">
        <v>70.499128999999996</v>
      </c>
      <c r="J989" s="112">
        <v>70.981979999999993</v>
      </c>
      <c r="K989" s="112" t="s">
        <v>6952</v>
      </c>
      <c r="L989" s="112">
        <v>142.45298700000001</v>
      </c>
      <c r="M989" s="112">
        <v>155.84139500000001</v>
      </c>
      <c r="N989" s="112">
        <v>-13.388408</v>
      </c>
      <c r="O989" s="110"/>
      <c r="P989" s="110"/>
      <c r="Q989" s="110"/>
    </row>
    <row r="990" spans="1:17" s="117" customFormat="1" ht="31.75" customHeight="1">
      <c r="A990" s="114" t="s">
        <v>7110</v>
      </c>
      <c r="B990" s="114" t="s">
        <v>7111</v>
      </c>
      <c r="C990" s="113">
        <v>2020</v>
      </c>
      <c r="D990" s="112">
        <v>137</v>
      </c>
      <c r="E990" s="112">
        <v>1326.8308730000001</v>
      </c>
      <c r="F990" s="112">
        <v>390.60692699999998</v>
      </c>
      <c r="G990" s="112">
        <v>929.68079999999998</v>
      </c>
      <c r="H990" s="112">
        <v>170.662081</v>
      </c>
      <c r="I990" s="112">
        <v>47.287182000000001</v>
      </c>
      <c r="J990" s="112">
        <v>50.655749999999998</v>
      </c>
      <c r="K990" s="112">
        <v>3.3685679999999998</v>
      </c>
      <c r="L990" s="112">
        <v>176.29648599999999</v>
      </c>
      <c r="M990" s="112">
        <v>183.23744199999999</v>
      </c>
      <c r="N990" s="112">
        <v>-6.9409559999999999</v>
      </c>
      <c r="O990" s="110"/>
      <c r="P990" s="110"/>
      <c r="Q990" s="110"/>
    </row>
    <row r="991" spans="1:17" s="117" customFormat="1" ht="17.5" customHeight="1">
      <c r="A991" s="109" t="s">
        <v>7112</v>
      </c>
      <c r="B991" s="109" t="s">
        <v>7113</v>
      </c>
      <c r="C991" s="98">
        <v>2008</v>
      </c>
      <c r="D991" s="99">
        <v>6</v>
      </c>
      <c r="E991" s="99">
        <v>6</v>
      </c>
      <c r="F991" s="99">
        <v>3</v>
      </c>
      <c r="G991" s="99">
        <v>3</v>
      </c>
      <c r="H991" s="99">
        <v>1</v>
      </c>
      <c r="I991" s="99" t="s">
        <v>6952</v>
      </c>
      <c r="J991" s="99" t="s">
        <v>6952</v>
      </c>
      <c r="K991" s="99">
        <v>0</v>
      </c>
      <c r="L991" s="99" t="s">
        <v>6952</v>
      </c>
      <c r="M991" s="99" t="s">
        <v>6952</v>
      </c>
      <c r="N991" s="99" t="s">
        <v>6952</v>
      </c>
      <c r="O991" s="100"/>
      <c r="P991" s="100"/>
      <c r="Q991" s="100"/>
    </row>
    <row r="992" spans="1:17" s="117" customFormat="1" ht="17.5" customHeight="1">
      <c r="A992" s="109" t="s">
        <v>7112</v>
      </c>
      <c r="B992" s="109" t="s">
        <v>7113</v>
      </c>
      <c r="C992" s="98">
        <v>2009</v>
      </c>
      <c r="D992" s="99">
        <v>8</v>
      </c>
      <c r="E992" s="99">
        <v>5</v>
      </c>
      <c r="F992" s="99">
        <v>2</v>
      </c>
      <c r="G992" s="99">
        <v>3</v>
      </c>
      <c r="H992" s="99">
        <v>1</v>
      </c>
      <c r="I992" s="99" t="s">
        <v>6952</v>
      </c>
      <c r="J992" s="99" t="s">
        <v>6952</v>
      </c>
      <c r="K992" s="99">
        <v>0</v>
      </c>
      <c r="L992" s="99">
        <v>1</v>
      </c>
      <c r="M992" s="99">
        <v>1</v>
      </c>
      <c r="N992" s="99" t="s">
        <v>6952</v>
      </c>
      <c r="O992" s="110"/>
      <c r="P992" s="110"/>
      <c r="Q992" s="110"/>
    </row>
    <row r="993" spans="1:17" s="117" customFormat="1" ht="17.5" customHeight="1">
      <c r="A993" s="109" t="s">
        <v>7112</v>
      </c>
      <c r="B993" s="109" t="s">
        <v>7113</v>
      </c>
      <c r="C993" s="98">
        <v>2010</v>
      </c>
      <c r="D993" s="99" t="s">
        <v>6953</v>
      </c>
      <c r="E993" s="99" t="s">
        <v>6953</v>
      </c>
      <c r="F993" s="99" t="s">
        <v>6953</v>
      </c>
      <c r="G993" s="99" t="s">
        <v>6953</v>
      </c>
      <c r="H993" s="99" t="s">
        <v>6953</v>
      </c>
      <c r="I993" s="99" t="s">
        <v>6953</v>
      </c>
      <c r="J993" s="99" t="s">
        <v>6953</v>
      </c>
      <c r="K993" s="99" t="s">
        <v>6953</v>
      </c>
      <c r="L993" s="99" t="s">
        <v>6953</v>
      </c>
      <c r="M993" s="99" t="s">
        <v>6953</v>
      </c>
      <c r="N993" s="99" t="s">
        <v>6953</v>
      </c>
      <c r="O993" s="100"/>
      <c r="P993" s="100"/>
      <c r="Q993" s="100"/>
    </row>
    <row r="994" spans="1:17" s="117" customFormat="1" ht="17.5" customHeight="1">
      <c r="A994" s="109" t="s">
        <v>7112</v>
      </c>
      <c r="B994" s="109" t="s">
        <v>7113</v>
      </c>
      <c r="C994" s="98">
        <v>2011</v>
      </c>
      <c r="D994" s="99" t="s">
        <v>6953</v>
      </c>
      <c r="E994" s="99" t="s">
        <v>6953</v>
      </c>
      <c r="F994" s="99" t="s">
        <v>6953</v>
      </c>
      <c r="G994" s="99" t="s">
        <v>6953</v>
      </c>
      <c r="H994" s="99" t="s">
        <v>6953</v>
      </c>
      <c r="I994" s="99" t="s">
        <v>6953</v>
      </c>
      <c r="J994" s="99" t="s">
        <v>6953</v>
      </c>
      <c r="K994" s="99" t="s">
        <v>6953</v>
      </c>
      <c r="L994" s="99" t="s">
        <v>6953</v>
      </c>
      <c r="M994" s="99" t="s">
        <v>6953</v>
      </c>
      <c r="N994" s="99" t="s">
        <v>6953</v>
      </c>
      <c r="O994" s="100"/>
      <c r="P994" s="100"/>
      <c r="Q994" s="100"/>
    </row>
    <row r="995" spans="1:17" s="117" customFormat="1" ht="17.5" customHeight="1">
      <c r="A995" s="109" t="s">
        <v>7112</v>
      </c>
      <c r="B995" s="109" t="s">
        <v>7113</v>
      </c>
      <c r="C995" s="111">
        <v>2012</v>
      </c>
      <c r="D995" s="112">
        <v>11</v>
      </c>
      <c r="E995" s="112">
        <v>11</v>
      </c>
      <c r="F995" s="112">
        <v>4</v>
      </c>
      <c r="G995" s="112">
        <v>7</v>
      </c>
      <c r="H995" s="112">
        <v>2</v>
      </c>
      <c r="I995" s="99" t="s">
        <v>6953</v>
      </c>
      <c r="J995" s="99" t="s">
        <v>6953</v>
      </c>
      <c r="K995" s="112" t="s">
        <v>6952</v>
      </c>
      <c r="L995" s="99" t="s">
        <v>6953</v>
      </c>
      <c r="M995" s="99" t="s">
        <v>6953</v>
      </c>
      <c r="N995" s="99" t="s">
        <v>6953</v>
      </c>
      <c r="O995" s="110"/>
      <c r="P995" s="110"/>
      <c r="Q995" s="110"/>
    </row>
    <row r="996" spans="1:17" s="117" customFormat="1" ht="17.5" customHeight="1">
      <c r="A996" s="109" t="s">
        <v>7112</v>
      </c>
      <c r="B996" s="109" t="s">
        <v>7113</v>
      </c>
      <c r="C996" s="113">
        <v>2013</v>
      </c>
      <c r="D996" s="99" t="s">
        <v>6953</v>
      </c>
      <c r="E996" s="99" t="s">
        <v>6953</v>
      </c>
      <c r="F996" s="99" t="s">
        <v>6953</v>
      </c>
      <c r="G996" s="99" t="s">
        <v>6953</v>
      </c>
      <c r="H996" s="99" t="s">
        <v>6953</v>
      </c>
      <c r="I996" s="99" t="s">
        <v>6953</v>
      </c>
      <c r="J996" s="99" t="s">
        <v>6953</v>
      </c>
      <c r="K996" s="99" t="s">
        <v>6953</v>
      </c>
      <c r="L996" s="99" t="s">
        <v>6953</v>
      </c>
      <c r="M996" s="99" t="s">
        <v>6953</v>
      </c>
      <c r="N996" s="99" t="s">
        <v>6953</v>
      </c>
      <c r="O996" s="110"/>
      <c r="P996" s="110"/>
      <c r="Q996" s="110"/>
    </row>
    <row r="997" spans="1:17" s="117" customFormat="1" ht="17.5" customHeight="1">
      <c r="A997" s="109" t="s">
        <v>7112</v>
      </c>
      <c r="B997" s="109" t="s">
        <v>7113</v>
      </c>
      <c r="C997" s="113">
        <v>2014</v>
      </c>
      <c r="D997" s="99" t="s">
        <v>6953</v>
      </c>
      <c r="E997" s="99" t="s">
        <v>6953</v>
      </c>
      <c r="F997" s="99" t="s">
        <v>6953</v>
      </c>
      <c r="G997" s="99" t="s">
        <v>6953</v>
      </c>
      <c r="H997" s="99" t="s">
        <v>6953</v>
      </c>
      <c r="I997" s="99" t="s">
        <v>6953</v>
      </c>
      <c r="J997" s="99" t="s">
        <v>6953</v>
      </c>
      <c r="K997" s="99" t="s">
        <v>6953</v>
      </c>
      <c r="L997" s="99" t="s">
        <v>6953</v>
      </c>
      <c r="M997" s="99" t="s">
        <v>6953</v>
      </c>
      <c r="N997" s="99" t="s">
        <v>6953</v>
      </c>
      <c r="O997" s="100"/>
      <c r="P997" s="100"/>
      <c r="Q997" s="100"/>
    </row>
    <row r="998" spans="1:17" s="117" customFormat="1" ht="17.5" customHeight="1">
      <c r="A998" s="109" t="s">
        <v>7112</v>
      </c>
      <c r="B998" s="109" t="s">
        <v>7113</v>
      </c>
      <c r="C998" s="113">
        <v>2015</v>
      </c>
      <c r="D998" s="99" t="s">
        <v>6953</v>
      </c>
      <c r="E998" s="99" t="s">
        <v>6953</v>
      </c>
      <c r="F998" s="99" t="s">
        <v>6953</v>
      </c>
      <c r="G998" s="99" t="s">
        <v>6953</v>
      </c>
      <c r="H998" s="99" t="s">
        <v>6953</v>
      </c>
      <c r="I998" s="99" t="s">
        <v>6953</v>
      </c>
      <c r="J998" s="99" t="s">
        <v>6953</v>
      </c>
      <c r="K998" s="99" t="s">
        <v>6953</v>
      </c>
      <c r="L998" s="99" t="s">
        <v>6953</v>
      </c>
      <c r="M998" s="99" t="s">
        <v>6953</v>
      </c>
      <c r="N998" s="99" t="s">
        <v>6953</v>
      </c>
      <c r="O998" s="100"/>
      <c r="P998" s="100"/>
      <c r="Q998" s="100"/>
    </row>
    <row r="999" spans="1:17" s="117" customFormat="1" ht="17.5" customHeight="1">
      <c r="A999" s="109" t="s">
        <v>7112</v>
      </c>
      <c r="B999" s="109" t="s">
        <v>7113</v>
      </c>
      <c r="C999" s="113">
        <v>2016</v>
      </c>
      <c r="D999" s="99" t="s">
        <v>6953</v>
      </c>
      <c r="E999" s="99" t="s">
        <v>6953</v>
      </c>
      <c r="F999" s="99" t="s">
        <v>6953</v>
      </c>
      <c r="G999" s="99" t="s">
        <v>6953</v>
      </c>
      <c r="H999" s="99" t="s">
        <v>6953</v>
      </c>
      <c r="I999" s="99" t="s">
        <v>6953</v>
      </c>
      <c r="J999" s="99" t="s">
        <v>6953</v>
      </c>
      <c r="K999" s="99" t="s">
        <v>6953</v>
      </c>
      <c r="L999" s="99" t="s">
        <v>6953</v>
      </c>
      <c r="M999" s="99" t="s">
        <v>6953</v>
      </c>
      <c r="N999" s="99" t="s">
        <v>6953</v>
      </c>
      <c r="O999" s="110"/>
      <c r="P999" s="110"/>
      <c r="Q999" s="110"/>
    </row>
    <row r="1000" spans="1:17" s="117" customFormat="1" ht="17.5" customHeight="1">
      <c r="A1000" s="109" t="s">
        <v>7112</v>
      </c>
      <c r="B1000" s="109" t="s">
        <v>7113</v>
      </c>
      <c r="C1000" s="113">
        <v>2017</v>
      </c>
      <c r="D1000" s="112">
        <v>14</v>
      </c>
      <c r="E1000" s="112">
        <v>9</v>
      </c>
      <c r="F1000" s="112">
        <v>4</v>
      </c>
      <c r="G1000" s="112">
        <v>5</v>
      </c>
      <c r="H1000" s="99" t="s">
        <v>6953</v>
      </c>
      <c r="I1000" s="112">
        <v>1</v>
      </c>
      <c r="J1000" s="112">
        <v>1</v>
      </c>
      <c r="K1000" s="112" t="s">
        <v>6952</v>
      </c>
      <c r="L1000" s="112">
        <v>1</v>
      </c>
      <c r="M1000" s="112">
        <v>1</v>
      </c>
      <c r="N1000" s="112" t="s">
        <v>6952</v>
      </c>
      <c r="O1000" s="110"/>
      <c r="P1000" s="110"/>
      <c r="Q1000" s="110"/>
    </row>
    <row r="1001" spans="1:17" s="117" customFormat="1" ht="17.5" customHeight="1">
      <c r="A1001" s="109" t="s">
        <v>7112</v>
      </c>
      <c r="B1001" s="109" t="s">
        <v>7113</v>
      </c>
      <c r="C1001" s="113">
        <v>2018</v>
      </c>
      <c r="D1001" s="99" t="s">
        <v>6953</v>
      </c>
      <c r="E1001" s="99" t="s">
        <v>6953</v>
      </c>
      <c r="F1001" s="99" t="s">
        <v>6953</v>
      </c>
      <c r="G1001" s="99" t="s">
        <v>6953</v>
      </c>
      <c r="H1001" s="99" t="s">
        <v>6953</v>
      </c>
      <c r="I1001" s="99" t="s">
        <v>6953</v>
      </c>
      <c r="J1001" s="99" t="s">
        <v>6953</v>
      </c>
      <c r="K1001" s="99" t="s">
        <v>6953</v>
      </c>
      <c r="L1001" s="99" t="s">
        <v>6953</v>
      </c>
      <c r="M1001" s="99" t="s">
        <v>6953</v>
      </c>
      <c r="N1001" s="99" t="s">
        <v>6953</v>
      </c>
      <c r="O1001" s="110"/>
      <c r="P1001" s="110"/>
      <c r="Q1001" s="110"/>
    </row>
    <row r="1002" spans="1:17" s="117" customFormat="1" ht="17.5" customHeight="1">
      <c r="A1002" s="109" t="s">
        <v>7112</v>
      </c>
      <c r="B1002" s="109" t="s">
        <v>7113</v>
      </c>
      <c r="C1002" s="113">
        <v>2019</v>
      </c>
      <c r="D1002" s="112">
        <v>0</v>
      </c>
      <c r="E1002" s="112">
        <v>0</v>
      </c>
      <c r="F1002" s="112">
        <v>0</v>
      </c>
      <c r="G1002" s="112">
        <v>0</v>
      </c>
      <c r="H1002" s="112">
        <v>0</v>
      </c>
      <c r="I1002" s="112">
        <v>0</v>
      </c>
      <c r="J1002" s="112">
        <v>0</v>
      </c>
      <c r="K1002" s="112">
        <v>0</v>
      </c>
      <c r="L1002" s="112">
        <v>0</v>
      </c>
      <c r="M1002" s="112">
        <v>0</v>
      </c>
      <c r="N1002" s="112">
        <v>0</v>
      </c>
      <c r="O1002" s="110"/>
      <c r="P1002" s="110"/>
      <c r="Q1002" s="110"/>
    </row>
    <row r="1003" spans="1:17" s="117" customFormat="1" ht="17.5" customHeight="1">
      <c r="A1003" s="114" t="s">
        <v>7112</v>
      </c>
      <c r="B1003" s="114" t="s">
        <v>7113</v>
      </c>
      <c r="C1003" s="113">
        <v>2020</v>
      </c>
      <c r="D1003" s="112" t="s">
        <v>6953</v>
      </c>
      <c r="E1003" s="112" t="s">
        <v>6953</v>
      </c>
      <c r="F1003" s="112" t="s">
        <v>6953</v>
      </c>
      <c r="G1003" s="112" t="s">
        <v>6953</v>
      </c>
      <c r="H1003" s="112" t="s">
        <v>6953</v>
      </c>
      <c r="I1003" s="112" t="s">
        <v>6953</v>
      </c>
      <c r="J1003" s="112" t="s">
        <v>6953</v>
      </c>
      <c r="K1003" s="112" t="s">
        <v>6953</v>
      </c>
      <c r="L1003" s="112" t="s">
        <v>6953</v>
      </c>
      <c r="M1003" s="112" t="s">
        <v>6953</v>
      </c>
      <c r="N1003" s="112" t="s">
        <v>6953</v>
      </c>
      <c r="O1003" s="100"/>
      <c r="P1003" s="100"/>
      <c r="Q1003" s="100"/>
    </row>
    <row r="1004" spans="1:17" s="117" customFormat="1" ht="17.5" customHeight="1">
      <c r="A1004" s="109" t="s">
        <v>7114</v>
      </c>
      <c r="B1004" s="109" t="s">
        <v>7115</v>
      </c>
      <c r="C1004" s="98">
        <v>2008</v>
      </c>
      <c r="D1004" s="99">
        <v>5209</v>
      </c>
      <c r="E1004" s="99">
        <v>4242</v>
      </c>
      <c r="F1004" s="99">
        <v>1607</v>
      </c>
      <c r="G1004" s="99">
        <v>2611</v>
      </c>
      <c r="H1004" s="99">
        <v>982</v>
      </c>
      <c r="I1004" s="99">
        <v>59</v>
      </c>
      <c r="J1004" s="99">
        <v>98</v>
      </c>
      <c r="K1004" s="99">
        <v>39</v>
      </c>
      <c r="L1004" s="99">
        <v>360</v>
      </c>
      <c r="M1004" s="99">
        <v>387</v>
      </c>
      <c r="N1004" s="99">
        <v>-28</v>
      </c>
      <c r="O1004" s="110"/>
      <c r="P1004" s="110"/>
      <c r="Q1004" s="110"/>
    </row>
    <row r="1005" spans="1:17" s="117" customFormat="1" ht="17.5" customHeight="1">
      <c r="A1005" s="109" t="s">
        <v>7114</v>
      </c>
      <c r="B1005" s="109" t="s">
        <v>7115</v>
      </c>
      <c r="C1005" s="98">
        <v>2009</v>
      </c>
      <c r="D1005" s="99">
        <v>5515</v>
      </c>
      <c r="E1005" s="99">
        <v>3531</v>
      </c>
      <c r="F1005" s="99">
        <v>1196</v>
      </c>
      <c r="G1005" s="99">
        <v>2297</v>
      </c>
      <c r="H1005" s="99">
        <v>827</v>
      </c>
      <c r="I1005" s="99">
        <v>113</v>
      </c>
      <c r="J1005" s="99">
        <v>124</v>
      </c>
      <c r="K1005" s="112">
        <v>11</v>
      </c>
      <c r="L1005" s="99">
        <v>238</v>
      </c>
      <c r="M1005" s="99">
        <v>275</v>
      </c>
      <c r="N1005" s="99">
        <v>-37</v>
      </c>
      <c r="O1005" s="100"/>
      <c r="P1005" s="100"/>
      <c r="Q1005" s="100"/>
    </row>
    <row r="1006" spans="1:17" s="117" customFormat="1" ht="17.5" customHeight="1">
      <c r="A1006" s="109" t="s">
        <v>7114</v>
      </c>
      <c r="B1006" s="109" t="s">
        <v>7115</v>
      </c>
      <c r="C1006" s="98">
        <v>2010</v>
      </c>
      <c r="D1006" s="99">
        <v>5193</v>
      </c>
      <c r="E1006" s="99">
        <v>3456</v>
      </c>
      <c r="F1006" s="99">
        <v>1252</v>
      </c>
      <c r="G1006" s="99">
        <v>2219</v>
      </c>
      <c r="H1006" s="99">
        <v>787</v>
      </c>
      <c r="I1006" s="99">
        <v>50</v>
      </c>
      <c r="J1006" s="99">
        <v>64</v>
      </c>
      <c r="K1006" s="99">
        <v>15</v>
      </c>
      <c r="L1006" s="99">
        <v>309</v>
      </c>
      <c r="M1006" s="99">
        <v>292</v>
      </c>
      <c r="N1006" s="99">
        <v>16</v>
      </c>
      <c r="O1006" s="100"/>
      <c r="P1006" s="100"/>
      <c r="Q1006" s="100"/>
    </row>
    <row r="1007" spans="1:17" s="117" customFormat="1" ht="17.5" customHeight="1">
      <c r="A1007" s="109" t="s">
        <v>7114</v>
      </c>
      <c r="B1007" s="109" t="s">
        <v>7115</v>
      </c>
      <c r="C1007" s="98">
        <v>2011</v>
      </c>
      <c r="D1007" s="99">
        <v>4953</v>
      </c>
      <c r="E1007" s="99">
        <v>3644</v>
      </c>
      <c r="F1007" s="99">
        <v>1414</v>
      </c>
      <c r="G1007" s="99">
        <v>2203</v>
      </c>
      <c r="H1007" s="99">
        <v>837</v>
      </c>
      <c r="I1007" s="99">
        <v>18</v>
      </c>
      <c r="J1007" s="99">
        <v>56</v>
      </c>
      <c r="K1007" s="99">
        <v>38</v>
      </c>
      <c r="L1007" s="99">
        <v>309</v>
      </c>
      <c r="M1007" s="99">
        <v>333</v>
      </c>
      <c r="N1007" s="99">
        <v>-24</v>
      </c>
      <c r="O1007" s="110"/>
      <c r="P1007" s="110"/>
      <c r="Q1007" s="110"/>
    </row>
    <row r="1008" spans="1:17" s="117" customFormat="1" ht="17.5" customHeight="1">
      <c r="A1008" s="109" t="s">
        <v>7114</v>
      </c>
      <c r="B1008" s="109" t="s">
        <v>7115</v>
      </c>
      <c r="C1008" s="111">
        <v>2012</v>
      </c>
      <c r="D1008" s="112">
        <v>4888</v>
      </c>
      <c r="E1008" s="112">
        <v>3518</v>
      </c>
      <c r="F1008" s="112">
        <v>1484</v>
      </c>
      <c r="G1008" s="112">
        <v>2049</v>
      </c>
      <c r="H1008" s="112">
        <v>868</v>
      </c>
      <c r="I1008" s="112">
        <v>40</v>
      </c>
      <c r="J1008" s="112">
        <v>50</v>
      </c>
      <c r="K1008" s="112">
        <v>10</v>
      </c>
      <c r="L1008" s="112">
        <v>317</v>
      </c>
      <c r="M1008" s="112">
        <v>300</v>
      </c>
      <c r="N1008" s="112">
        <v>17</v>
      </c>
      <c r="O1008" s="110"/>
      <c r="P1008" s="110"/>
      <c r="Q1008" s="110"/>
    </row>
    <row r="1009" spans="1:17" s="117" customFormat="1" ht="17.5" customHeight="1">
      <c r="A1009" s="109" t="s">
        <v>7114</v>
      </c>
      <c r="B1009" s="109" t="s">
        <v>7115</v>
      </c>
      <c r="C1009" s="113">
        <v>2013</v>
      </c>
      <c r="D1009" s="112">
        <v>5171</v>
      </c>
      <c r="E1009" s="112">
        <v>3680</v>
      </c>
      <c r="F1009" s="112">
        <v>1386</v>
      </c>
      <c r="G1009" s="112">
        <v>2285</v>
      </c>
      <c r="H1009" s="112">
        <v>839</v>
      </c>
      <c r="I1009" s="112">
        <v>80</v>
      </c>
      <c r="J1009" s="112">
        <v>89</v>
      </c>
      <c r="K1009" s="112">
        <v>10</v>
      </c>
      <c r="L1009" s="112">
        <v>277</v>
      </c>
      <c r="M1009" s="112">
        <v>281</v>
      </c>
      <c r="N1009" s="112">
        <v>-4</v>
      </c>
      <c r="O1009" s="100"/>
      <c r="P1009" s="100"/>
      <c r="Q1009" s="100"/>
    </row>
    <row r="1010" spans="1:17" s="117" customFormat="1" ht="17.5" customHeight="1">
      <c r="A1010" s="109" t="s">
        <v>7114</v>
      </c>
      <c r="B1010" s="109" t="s">
        <v>7115</v>
      </c>
      <c r="C1010" s="113">
        <v>2014</v>
      </c>
      <c r="D1010" s="99">
        <v>5519</v>
      </c>
      <c r="E1010" s="99">
        <v>3931</v>
      </c>
      <c r="F1010" s="99">
        <v>1492</v>
      </c>
      <c r="G1010" s="99">
        <v>2460</v>
      </c>
      <c r="H1010" s="99">
        <v>944</v>
      </c>
      <c r="I1010" s="99">
        <v>82</v>
      </c>
      <c r="J1010" s="99">
        <v>94</v>
      </c>
      <c r="K1010" s="99">
        <v>12</v>
      </c>
      <c r="L1010" s="99">
        <v>251</v>
      </c>
      <c r="M1010" s="99">
        <v>234</v>
      </c>
      <c r="N1010" s="99">
        <v>16</v>
      </c>
      <c r="O1010" s="100"/>
      <c r="P1010" s="100"/>
      <c r="Q1010" s="100"/>
    </row>
    <row r="1011" spans="1:17" s="117" customFormat="1" ht="17.5" customHeight="1">
      <c r="A1011" s="109" t="s">
        <v>7114</v>
      </c>
      <c r="B1011" s="109" t="s">
        <v>7115</v>
      </c>
      <c r="C1011" s="113">
        <v>2015</v>
      </c>
      <c r="D1011" s="112">
        <v>6173</v>
      </c>
      <c r="E1011" s="112">
        <v>4649</v>
      </c>
      <c r="F1011" s="112">
        <v>1920</v>
      </c>
      <c r="G1011" s="112">
        <v>2770</v>
      </c>
      <c r="H1011" s="112">
        <v>986</v>
      </c>
      <c r="I1011" s="112">
        <v>151</v>
      </c>
      <c r="J1011" s="112">
        <v>164</v>
      </c>
      <c r="K1011" s="112">
        <v>13</v>
      </c>
      <c r="L1011" s="112">
        <v>357</v>
      </c>
      <c r="M1011" s="112">
        <v>316</v>
      </c>
      <c r="N1011" s="112">
        <v>42</v>
      </c>
      <c r="O1011" s="110"/>
      <c r="P1011" s="110"/>
      <c r="Q1011" s="110"/>
    </row>
    <row r="1012" spans="1:17" s="117" customFormat="1" ht="17.5" customHeight="1">
      <c r="A1012" s="109" t="s">
        <v>7114</v>
      </c>
      <c r="B1012" s="109" t="s">
        <v>7115</v>
      </c>
      <c r="C1012" s="113">
        <v>2016</v>
      </c>
      <c r="D1012" s="112">
        <v>6959</v>
      </c>
      <c r="E1012" s="112">
        <v>5015</v>
      </c>
      <c r="F1012" s="112">
        <v>2155</v>
      </c>
      <c r="G1012" s="112">
        <v>2867</v>
      </c>
      <c r="H1012" s="112">
        <v>1048</v>
      </c>
      <c r="I1012" s="112">
        <v>167</v>
      </c>
      <c r="J1012" s="112">
        <v>191</v>
      </c>
      <c r="K1012" s="112">
        <v>24</v>
      </c>
      <c r="L1012" s="112">
        <v>439</v>
      </c>
      <c r="M1012" s="112">
        <v>428</v>
      </c>
      <c r="N1012" s="112">
        <v>12</v>
      </c>
      <c r="O1012" s="110"/>
      <c r="P1012" s="110"/>
      <c r="Q1012" s="110"/>
    </row>
    <row r="1013" spans="1:17" s="117" customFormat="1" ht="17.5" customHeight="1">
      <c r="A1013" s="109" t="s">
        <v>7114</v>
      </c>
      <c r="B1013" s="109" t="s">
        <v>7115</v>
      </c>
      <c r="C1013" s="113">
        <v>2017</v>
      </c>
      <c r="D1013" s="112">
        <v>7225</v>
      </c>
      <c r="E1013" s="112">
        <v>4778</v>
      </c>
      <c r="F1013" s="112">
        <v>1975</v>
      </c>
      <c r="G1013" s="112">
        <v>2817</v>
      </c>
      <c r="H1013" s="112">
        <v>983</v>
      </c>
      <c r="I1013" s="112">
        <v>163</v>
      </c>
      <c r="J1013" s="112">
        <v>172</v>
      </c>
      <c r="K1013" s="112">
        <v>9</v>
      </c>
      <c r="L1013" s="112">
        <v>278</v>
      </c>
      <c r="M1013" s="112">
        <v>269</v>
      </c>
      <c r="N1013" s="112">
        <v>9</v>
      </c>
      <c r="O1013" s="110"/>
      <c r="P1013" s="110"/>
      <c r="Q1013" s="110"/>
    </row>
    <row r="1014" spans="1:17" s="117" customFormat="1" ht="17.5" customHeight="1">
      <c r="A1014" s="109" t="s">
        <v>7114</v>
      </c>
      <c r="B1014" s="109" t="s">
        <v>7115</v>
      </c>
      <c r="C1014" s="113">
        <v>2018</v>
      </c>
      <c r="D1014" s="112">
        <v>7408</v>
      </c>
      <c r="E1014" s="112">
        <v>4936</v>
      </c>
      <c r="F1014" s="112">
        <v>2128</v>
      </c>
      <c r="G1014" s="112">
        <v>2843</v>
      </c>
      <c r="H1014" s="112">
        <v>1115</v>
      </c>
      <c r="I1014" s="112">
        <v>117</v>
      </c>
      <c r="J1014" s="112">
        <v>141</v>
      </c>
      <c r="K1014" s="112">
        <v>23</v>
      </c>
      <c r="L1014" s="112">
        <v>328</v>
      </c>
      <c r="M1014" s="112">
        <v>292</v>
      </c>
      <c r="N1014" s="112">
        <v>35</v>
      </c>
      <c r="O1014" s="110"/>
      <c r="P1014" s="110"/>
      <c r="Q1014" s="110"/>
    </row>
    <row r="1015" spans="1:17" s="117" customFormat="1" ht="17.5" customHeight="1">
      <c r="A1015" s="109" t="s">
        <v>7114</v>
      </c>
      <c r="B1015" s="109" t="s">
        <v>7115</v>
      </c>
      <c r="C1015" s="113">
        <v>2019</v>
      </c>
      <c r="D1015" s="112">
        <v>7312</v>
      </c>
      <c r="E1015" s="112">
        <v>5078.8714259999997</v>
      </c>
      <c r="F1015" s="112">
        <v>2219.699638</v>
      </c>
      <c r="G1015" s="112">
        <v>2854.1152790000001</v>
      </c>
      <c r="H1015" s="112">
        <v>1160.2075179999999</v>
      </c>
      <c r="I1015" s="112">
        <v>109.258506</v>
      </c>
      <c r="J1015" s="112">
        <v>118.197508</v>
      </c>
      <c r="K1015" s="112">
        <v>8.9390020000000003</v>
      </c>
      <c r="L1015" s="112">
        <v>362.61402299999997</v>
      </c>
      <c r="M1015" s="112">
        <v>372.37183499999998</v>
      </c>
      <c r="N1015" s="112">
        <v>-9.7578110000000002</v>
      </c>
      <c r="O1015" s="100"/>
      <c r="P1015" s="100"/>
      <c r="Q1015" s="100"/>
    </row>
    <row r="1016" spans="1:17" s="117" customFormat="1" ht="17.5" customHeight="1">
      <c r="A1016" s="114" t="s">
        <v>7114</v>
      </c>
      <c r="B1016" s="114" t="s">
        <v>7115</v>
      </c>
      <c r="C1016" s="113">
        <v>2020</v>
      </c>
      <c r="D1016" s="112">
        <v>7617</v>
      </c>
      <c r="E1016" s="112">
        <v>4926.809827</v>
      </c>
      <c r="F1016" s="112">
        <v>2110.4117000000001</v>
      </c>
      <c r="G1016" s="112">
        <v>2866.2443709999998</v>
      </c>
      <c r="H1016" s="112">
        <v>1115.0757080000001</v>
      </c>
      <c r="I1016" s="112">
        <v>191.61283299999999</v>
      </c>
      <c r="J1016" s="112">
        <v>238.232304</v>
      </c>
      <c r="K1016" s="112">
        <v>46.619470999999997</v>
      </c>
      <c r="L1016" s="112">
        <v>330.35602</v>
      </c>
      <c r="M1016" s="112">
        <v>292.375429</v>
      </c>
      <c r="N1016" s="112">
        <v>37.980590999999997</v>
      </c>
      <c r="O1016" s="110"/>
      <c r="P1016" s="110"/>
      <c r="Q1016" s="110"/>
    </row>
    <row r="1017" spans="1:17" s="117" customFormat="1" ht="17.5" customHeight="1">
      <c r="A1017" s="109" t="s">
        <v>7116</v>
      </c>
      <c r="B1017" s="109" t="s">
        <v>7117</v>
      </c>
      <c r="C1017" s="98">
        <v>2008</v>
      </c>
      <c r="D1017" s="99">
        <v>424</v>
      </c>
      <c r="E1017" s="99">
        <v>637</v>
      </c>
      <c r="F1017" s="99">
        <v>274</v>
      </c>
      <c r="G1017" s="99">
        <v>358</v>
      </c>
      <c r="H1017" s="99">
        <v>121</v>
      </c>
      <c r="I1017" s="99">
        <v>6</v>
      </c>
      <c r="J1017" s="99">
        <v>10</v>
      </c>
      <c r="K1017" s="99">
        <v>4</v>
      </c>
      <c r="L1017" s="99">
        <v>37</v>
      </c>
      <c r="M1017" s="99">
        <v>41</v>
      </c>
      <c r="N1017" s="99">
        <v>-4</v>
      </c>
      <c r="O1017" s="100"/>
      <c r="P1017" s="100"/>
      <c r="Q1017" s="100"/>
    </row>
    <row r="1018" spans="1:17" s="117" customFormat="1" ht="17.5" customHeight="1">
      <c r="A1018" s="109" t="s">
        <v>7116</v>
      </c>
      <c r="B1018" s="109" t="s">
        <v>7117</v>
      </c>
      <c r="C1018" s="98">
        <v>2009</v>
      </c>
      <c r="D1018" s="99">
        <v>407</v>
      </c>
      <c r="E1018" s="99">
        <v>540</v>
      </c>
      <c r="F1018" s="99">
        <v>190</v>
      </c>
      <c r="G1018" s="99">
        <v>353</v>
      </c>
      <c r="H1018" s="99">
        <v>94</v>
      </c>
      <c r="I1018" s="99">
        <v>6</v>
      </c>
      <c r="J1018" s="99">
        <v>7</v>
      </c>
      <c r="K1018" s="99">
        <v>1</v>
      </c>
      <c r="L1018" s="99">
        <v>50</v>
      </c>
      <c r="M1018" s="99">
        <v>43</v>
      </c>
      <c r="N1018" s="99">
        <v>7</v>
      </c>
      <c r="O1018" s="100"/>
      <c r="P1018" s="100"/>
      <c r="Q1018" s="100"/>
    </row>
    <row r="1019" spans="1:17" s="117" customFormat="1" ht="17.5" customHeight="1">
      <c r="A1019" s="109" t="s">
        <v>7116</v>
      </c>
      <c r="B1019" s="109" t="s">
        <v>7117</v>
      </c>
      <c r="C1019" s="98">
        <v>2010</v>
      </c>
      <c r="D1019" s="99">
        <v>399</v>
      </c>
      <c r="E1019" s="99">
        <v>552</v>
      </c>
      <c r="F1019" s="99">
        <v>183</v>
      </c>
      <c r="G1019" s="99">
        <v>377</v>
      </c>
      <c r="H1019" s="99">
        <v>100</v>
      </c>
      <c r="I1019" s="99">
        <v>-22</v>
      </c>
      <c r="J1019" s="99">
        <v>9</v>
      </c>
      <c r="K1019" s="99">
        <v>31</v>
      </c>
      <c r="L1019" s="99">
        <v>41</v>
      </c>
      <c r="M1019" s="99">
        <v>35</v>
      </c>
      <c r="N1019" s="99">
        <v>6</v>
      </c>
      <c r="O1019" s="110"/>
      <c r="P1019" s="110"/>
      <c r="Q1019" s="110"/>
    </row>
    <row r="1020" spans="1:17" s="117" customFormat="1" ht="17.5" customHeight="1">
      <c r="A1020" s="109" t="s">
        <v>7116</v>
      </c>
      <c r="B1020" s="109" t="s">
        <v>7117</v>
      </c>
      <c r="C1020" s="98">
        <v>2011</v>
      </c>
      <c r="D1020" s="99">
        <v>392</v>
      </c>
      <c r="E1020" s="99">
        <v>525</v>
      </c>
      <c r="F1020" s="99">
        <v>177</v>
      </c>
      <c r="G1020" s="99">
        <v>355</v>
      </c>
      <c r="H1020" s="99">
        <v>129</v>
      </c>
      <c r="I1020" s="99">
        <v>8</v>
      </c>
      <c r="J1020" s="99">
        <v>9</v>
      </c>
      <c r="K1020" s="99">
        <v>1</v>
      </c>
      <c r="L1020" s="99">
        <v>34</v>
      </c>
      <c r="M1020" s="99">
        <v>29</v>
      </c>
      <c r="N1020" s="99">
        <v>5</v>
      </c>
      <c r="O1020" s="110"/>
      <c r="P1020" s="110"/>
      <c r="Q1020" s="110"/>
    </row>
    <row r="1021" spans="1:17" s="117" customFormat="1" ht="17.5" customHeight="1">
      <c r="A1021" s="109" t="s">
        <v>7116</v>
      </c>
      <c r="B1021" s="109" t="s">
        <v>7117</v>
      </c>
      <c r="C1021" s="111">
        <v>2012</v>
      </c>
      <c r="D1021" s="112">
        <v>388</v>
      </c>
      <c r="E1021" s="112">
        <v>521</v>
      </c>
      <c r="F1021" s="112">
        <v>188</v>
      </c>
      <c r="G1021" s="112">
        <v>331</v>
      </c>
      <c r="H1021" s="112">
        <v>105</v>
      </c>
      <c r="I1021" s="112">
        <v>9</v>
      </c>
      <c r="J1021" s="112">
        <v>12</v>
      </c>
      <c r="K1021" s="112">
        <v>3</v>
      </c>
      <c r="L1021" s="112">
        <v>41</v>
      </c>
      <c r="M1021" s="112">
        <v>43</v>
      </c>
      <c r="N1021" s="112">
        <v>-1</v>
      </c>
      <c r="O1021" s="100"/>
      <c r="P1021" s="100"/>
      <c r="Q1021" s="100"/>
    </row>
    <row r="1022" spans="1:17" s="117" customFormat="1" ht="17.5" customHeight="1">
      <c r="A1022" s="109" t="s">
        <v>7116</v>
      </c>
      <c r="B1022" s="109" t="s">
        <v>7117</v>
      </c>
      <c r="C1022" s="113">
        <v>2013</v>
      </c>
      <c r="D1022" s="112">
        <v>389</v>
      </c>
      <c r="E1022" s="112">
        <v>542</v>
      </c>
      <c r="F1022" s="112">
        <v>165</v>
      </c>
      <c r="G1022" s="112">
        <v>359</v>
      </c>
      <c r="H1022" s="112">
        <v>107</v>
      </c>
      <c r="I1022" s="112">
        <v>13</v>
      </c>
      <c r="J1022" s="112">
        <v>16</v>
      </c>
      <c r="K1022" s="112">
        <v>2</v>
      </c>
      <c r="L1022" s="112">
        <v>35</v>
      </c>
      <c r="M1022" s="112">
        <v>51</v>
      </c>
      <c r="N1022" s="112">
        <v>-17</v>
      </c>
      <c r="O1022" s="100"/>
      <c r="P1022" s="100"/>
      <c r="Q1022" s="100"/>
    </row>
    <row r="1023" spans="1:17" s="117" customFormat="1" ht="17.5" customHeight="1">
      <c r="A1023" s="109" t="s">
        <v>7116</v>
      </c>
      <c r="B1023" s="109" t="s">
        <v>7117</v>
      </c>
      <c r="C1023" s="113">
        <v>2014</v>
      </c>
      <c r="D1023" s="99">
        <v>396</v>
      </c>
      <c r="E1023" s="99">
        <v>756</v>
      </c>
      <c r="F1023" s="99">
        <v>213</v>
      </c>
      <c r="G1023" s="99">
        <v>557</v>
      </c>
      <c r="H1023" s="99">
        <v>129</v>
      </c>
      <c r="I1023" s="99">
        <v>21</v>
      </c>
      <c r="J1023" s="99">
        <v>22</v>
      </c>
      <c r="K1023" s="99">
        <v>1</v>
      </c>
      <c r="L1023" s="99">
        <v>67</v>
      </c>
      <c r="M1023" s="99">
        <v>53</v>
      </c>
      <c r="N1023" s="99">
        <v>14</v>
      </c>
      <c r="O1023" s="110"/>
      <c r="P1023" s="110"/>
      <c r="Q1023" s="110"/>
    </row>
    <row r="1024" spans="1:17" s="117" customFormat="1" ht="17.5" customHeight="1">
      <c r="A1024" s="109" t="s">
        <v>7116</v>
      </c>
      <c r="B1024" s="109" t="s">
        <v>7117</v>
      </c>
      <c r="C1024" s="113">
        <v>2015</v>
      </c>
      <c r="D1024" s="112">
        <v>393</v>
      </c>
      <c r="E1024" s="112">
        <v>728</v>
      </c>
      <c r="F1024" s="112">
        <v>275</v>
      </c>
      <c r="G1024" s="112">
        <v>458</v>
      </c>
      <c r="H1024" s="112">
        <v>116</v>
      </c>
      <c r="I1024" s="112">
        <v>30</v>
      </c>
      <c r="J1024" s="112">
        <v>32</v>
      </c>
      <c r="K1024" s="112">
        <v>2</v>
      </c>
      <c r="L1024" s="112">
        <v>53</v>
      </c>
      <c r="M1024" s="112">
        <v>52</v>
      </c>
      <c r="N1024" s="112" t="s">
        <v>6952</v>
      </c>
      <c r="O1024" s="110"/>
      <c r="P1024" s="110"/>
      <c r="Q1024" s="110"/>
    </row>
    <row r="1025" spans="1:17" s="117" customFormat="1" ht="17.5" customHeight="1">
      <c r="A1025" s="109" t="s">
        <v>7116</v>
      </c>
      <c r="B1025" s="109" t="s">
        <v>7117</v>
      </c>
      <c r="C1025" s="113">
        <v>2016</v>
      </c>
      <c r="D1025" s="112">
        <v>397</v>
      </c>
      <c r="E1025" s="112">
        <v>895</v>
      </c>
      <c r="F1025" s="112">
        <v>429</v>
      </c>
      <c r="G1025" s="112">
        <v>481</v>
      </c>
      <c r="H1025" s="112">
        <v>183</v>
      </c>
      <c r="I1025" s="112">
        <v>25</v>
      </c>
      <c r="J1025" s="112">
        <v>27</v>
      </c>
      <c r="K1025" s="112">
        <v>2</v>
      </c>
      <c r="L1025" s="112">
        <v>104</v>
      </c>
      <c r="M1025" s="112">
        <v>90</v>
      </c>
      <c r="N1025" s="112">
        <v>14</v>
      </c>
      <c r="O1025" s="110"/>
      <c r="P1025" s="110"/>
      <c r="Q1025" s="110"/>
    </row>
    <row r="1026" spans="1:17" s="117" customFormat="1" ht="17.5" customHeight="1">
      <c r="A1026" s="109" t="s">
        <v>7116</v>
      </c>
      <c r="B1026" s="109" t="s">
        <v>7117</v>
      </c>
      <c r="C1026" s="113">
        <v>2017</v>
      </c>
      <c r="D1026" s="112">
        <v>400</v>
      </c>
      <c r="E1026" s="112">
        <v>799</v>
      </c>
      <c r="F1026" s="112">
        <v>273</v>
      </c>
      <c r="G1026" s="112">
        <v>535</v>
      </c>
      <c r="H1026" s="112">
        <v>176</v>
      </c>
      <c r="I1026" s="112">
        <v>32</v>
      </c>
      <c r="J1026" s="112">
        <v>35</v>
      </c>
      <c r="K1026" s="112">
        <v>3</v>
      </c>
      <c r="L1026" s="112">
        <v>61</v>
      </c>
      <c r="M1026" s="112">
        <v>53</v>
      </c>
      <c r="N1026" s="112">
        <v>8</v>
      </c>
      <c r="O1026" s="110"/>
      <c r="P1026" s="110"/>
      <c r="Q1026" s="110"/>
    </row>
    <row r="1027" spans="1:17" s="117" customFormat="1" ht="17.5" customHeight="1">
      <c r="A1027" s="109" t="s">
        <v>7116</v>
      </c>
      <c r="B1027" s="109" t="s">
        <v>7117</v>
      </c>
      <c r="C1027" s="113">
        <v>2018</v>
      </c>
      <c r="D1027" s="112">
        <v>388</v>
      </c>
      <c r="E1027" s="112">
        <v>851</v>
      </c>
      <c r="F1027" s="112">
        <v>268</v>
      </c>
      <c r="G1027" s="112">
        <v>596</v>
      </c>
      <c r="H1027" s="112">
        <v>180</v>
      </c>
      <c r="I1027" s="112">
        <v>20</v>
      </c>
      <c r="J1027" s="112">
        <v>22</v>
      </c>
      <c r="K1027" s="112">
        <v>2</v>
      </c>
      <c r="L1027" s="112">
        <v>65</v>
      </c>
      <c r="M1027" s="112">
        <v>53</v>
      </c>
      <c r="N1027" s="112">
        <v>12</v>
      </c>
      <c r="O1027" s="100"/>
      <c r="P1027" s="100"/>
      <c r="Q1027" s="100"/>
    </row>
    <row r="1028" spans="1:17" s="117" customFormat="1" ht="17.5" customHeight="1">
      <c r="A1028" s="109" t="s">
        <v>7116</v>
      </c>
      <c r="B1028" s="109" t="s">
        <v>7117</v>
      </c>
      <c r="C1028" s="113">
        <v>2019</v>
      </c>
      <c r="D1028" s="112">
        <v>381</v>
      </c>
      <c r="E1028" s="112">
        <v>830.39773300000002</v>
      </c>
      <c r="F1028" s="112">
        <v>328.42118799999997</v>
      </c>
      <c r="G1028" s="112">
        <v>497.733611</v>
      </c>
      <c r="H1028" s="112">
        <v>177.11008100000001</v>
      </c>
      <c r="I1028" s="112">
        <v>17.782793000000002</v>
      </c>
      <c r="J1028" s="112">
        <v>19.098293000000002</v>
      </c>
      <c r="K1028" s="112">
        <v>1.3154999999999999</v>
      </c>
      <c r="L1028" s="112">
        <v>48.975769999999997</v>
      </c>
      <c r="M1028" s="112">
        <v>54.360202999999998</v>
      </c>
      <c r="N1028" s="112">
        <v>-5.3844329999999996</v>
      </c>
      <c r="O1028" s="110"/>
      <c r="P1028" s="110"/>
      <c r="Q1028" s="110"/>
    </row>
    <row r="1029" spans="1:17" s="117" customFormat="1" ht="17.5" customHeight="1">
      <c r="A1029" s="114" t="s">
        <v>7116</v>
      </c>
      <c r="B1029" s="114" t="s">
        <v>7117</v>
      </c>
      <c r="C1029" s="113">
        <v>2020</v>
      </c>
      <c r="D1029" s="112">
        <v>382</v>
      </c>
      <c r="E1029" s="112">
        <v>947.64861599999995</v>
      </c>
      <c r="F1029" s="112">
        <v>217.672799</v>
      </c>
      <c r="G1029" s="112">
        <v>733.94395999999995</v>
      </c>
      <c r="H1029" s="112">
        <v>204.757003</v>
      </c>
      <c r="I1029" s="112">
        <v>42.319079000000002</v>
      </c>
      <c r="J1029" s="112">
        <v>43.078515000000003</v>
      </c>
      <c r="K1029" s="112">
        <v>0.759436</v>
      </c>
      <c r="L1029" s="112">
        <v>58.322206000000001</v>
      </c>
      <c r="M1029" s="112">
        <v>54.936599000000001</v>
      </c>
      <c r="N1029" s="112">
        <v>3.3856069999999998</v>
      </c>
      <c r="O1029" s="100"/>
      <c r="P1029" s="100"/>
      <c r="Q1029" s="100"/>
    </row>
    <row r="1030" spans="1:17" s="117" customFormat="1" ht="31.75" customHeight="1">
      <c r="A1030" s="109" t="s">
        <v>7118</v>
      </c>
      <c r="B1030" s="109" t="s">
        <v>7119</v>
      </c>
      <c r="C1030" s="98">
        <v>2008</v>
      </c>
      <c r="D1030" s="99">
        <v>1399</v>
      </c>
      <c r="E1030" s="99">
        <v>579</v>
      </c>
      <c r="F1030" s="99">
        <v>230</v>
      </c>
      <c r="G1030" s="99">
        <v>379</v>
      </c>
      <c r="H1030" s="99">
        <v>138</v>
      </c>
      <c r="I1030" s="99">
        <v>7</v>
      </c>
      <c r="J1030" s="99">
        <v>8</v>
      </c>
      <c r="K1030" s="99">
        <v>1</v>
      </c>
      <c r="L1030" s="99">
        <v>118</v>
      </c>
      <c r="M1030" s="99">
        <v>88</v>
      </c>
      <c r="N1030" s="99">
        <v>30</v>
      </c>
      <c r="O1030" s="100"/>
      <c r="P1030" s="100"/>
      <c r="Q1030" s="100"/>
    </row>
    <row r="1031" spans="1:17" s="117" customFormat="1" ht="31.75" customHeight="1">
      <c r="A1031" s="109" t="s">
        <v>7118</v>
      </c>
      <c r="B1031" s="109" t="s">
        <v>7119</v>
      </c>
      <c r="C1031" s="98">
        <v>2009</v>
      </c>
      <c r="D1031" s="99">
        <v>1303</v>
      </c>
      <c r="E1031" s="99">
        <v>564</v>
      </c>
      <c r="F1031" s="99">
        <v>203</v>
      </c>
      <c r="G1031" s="99">
        <v>348</v>
      </c>
      <c r="H1031" s="99">
        <v>110</v>
      </c>
      <c r="I1031" s="99">
        <v>5</v>
      </c>
      <c r="J1031" s="99">
        <v>7</v>
      </c>
      <c r="K1031" s="99">
        <v>1</v>
      </c>
      <c r="L1031" s="99">
        <v>38</v>
      </c>
      <c r="M1031" s="99">
        <v>50</v>
      </c>
      <c r="N1031" s="99">
        <v>-12</v>
      </c>
      <c r="O1031" s="110"/>
      <c r="P1031" s="110"/>
      <c r="Q1031" s="110"/>
    </row>
    <row r="1032" spans="1:17" s="117" customFormat="1" ht="31.75" customHeight="1">
      <c r="A1032" s="109" t="s">
        <v>7118</v>
      </c>
      <c r="B1032" s="109" t="s">
        <v>7119</v>
      </c>
      <c r="C1032" s="98">
        <v>2010</v>
      </c>
      <c r="D1032" s="99">
        <v>1221</v>
      </c>
      <c r="E1032" s="99">
        <v>504</v>
      </c>
      <c r="F1032" s="99">
        <v>195</v>
      </c>
      <c r="G1032" s="99">
        <v>311</v>
      </c>
      <c r="H1032" s="99">
        <v>95</v>
      </c>
      <c r="I1032" s="99">
        <v>4</v>
      </c>
      <c r="J1032" s="99">
        <v>6</v>
      </c>
      <c r="K1032" s="99">
        <v>1</v>
      </c>
      <c r="L1032" s="99">
        <v>52</v>
      </c>
      <c r="M1032" s="99">
        <v>46</v>
      </c>
      <c r="N1032" s="99">
        <v>6</v>
      </c>
      <c r="O1032" s="110"/>
      <c r="P1032" s="110"/>
      <c r="Q1032" s="110"/>
    </row>
    <row r="1033" spans="1:17" s="117" customFormat="1" ht="31.75" customHeight="1">
      <c r="A1033" s="109" t="s">
        <v>7118</v>
      </c>
      <c r="B1033" s="109" t="s">
        <v>7119</v>
      </c>
      <c r="C1033" s="98">
        <v>2011</v>
      </c>
      <c r="D1033" s="99">
        <v>1231</v>
      </c>
      <c r="E1033" s="99">
        <v>523</v>
      </c>
      <c r="F1033" s="99">
        <v>231</v>
      </c>
      <c r="G1033" s="99">
        <v>311</v>
      </c>
      <c r="H1033" s="99">
        <v>121</v>
      </c>
      <c r="I1033" s="99">
        <v>5</v>
      </c>
      <c r="J1033" s="99">
        <v>18</v>
      </c>
      <c r="K1033" s="99">
        <v>13</v>
      </c>
      <c r="L1033" s="99">
        <v>59</v>
      </c>
      <c r="M1033" s="99">
        <v>62</v>
      </c>
      <c r="N1033" s="99">
        <v>-3</v>
      </c>
      <c r="O1033" s="100"/>
      <c r="P1033" s="100"/>
      <c r="Q1033" s="100"/>
    </row>
    <row r="1034" spans="1:17" s="117" customFormat="1" ht="31.75" customHeight="1">
      <c r="A1034" s="109" t="s">
        <v>7118</v>
      </c>
      <c r="B1034" s="109" t="s">
        <v>7119</v>
      </c>
      <c r="C1034" s="111">
        <v>2012</v>
      </c>
      <c r="D1034" s="112">
        <v>1116</v>
      </c>
      <c r="E1034" s="112">
        <v>490</v>
      </c>
      <c r="F1034" s="112">
        <v>185</v>
      </c>
      <c r="G1034" s="112">
        <v>310</v>
      </c>
      <c r="H1034" s="112">
        <v>107</v>
      </c>
      <c r="I1034" s="112">
        <v>5</v>
      </c>
      <c r="J1034" s="112">
        <v>7</v>
      </c>
      <c r="K1034" s="112">
        <v>2</v>
      </c>
      <c r="L1034" s="112">
        <v>46</v>
      </c>
      <c r="M1034" s="112">
        <v>41</v>
      </c>
      <c r="N1034" s="112">
        <v>5</v>
      </c>
      <c r="O1034" s="100"/>
      <c r="P1034" s="100"/>
      <c r="Q1034" s="100"/>
    </row>
    <row r="1035" spans="1:17" s="117" customFormat="1" ht="31.75" customHeight="1">
      <c r="A1035" s="109" t="s">
        <v>7118</v>
      </c>
      <c r="B1035" s="109" t="s">
        <v>7119</v>
      </c>
      <c r="C1035" s="113">
        <v>2013</v>
      </c>
      <c r="D1035" s="112">
        <v>1063</v>
      </c>
      <c r="E1035" s="112">
        <v>569</v>
      </c>
      <c r="F1035" s="112">
        <v>246</v>
      </c>
      <c r="G1035" s="112">
        <v>325</v>
      </c>
      <c r="H1035" s="112">
        <v>120</v>
      </c>
      <c r="I1035" s="112">
        <v>9</v>
      </c>
      <c r="J1035" s="112">
        <v>14</v>
      </c>
      <c r="K1035" s="112">
        <v>5</v>
      </c>
      <c r="L1035" s="112">
        <v>62</v>
      </c>
      <c r="M1035" s="112">
        <v>60</v>
      </c>
      <c r="N1035" s="112">
        <v>1</v>
      </c>
      <c r="O1035" s="110"/>
      <c r="P1035" s="110"/>
      <c r="Q1035" s="110"/>
    </row>
    <row r="1036" spans="1:17" s="117" customFormat="1" ht="31.75" customHeight="1">
      <c r="A1036" s="109" t="s">
        <v>7118</v>
      </c>
      <c r="B1036" s="109" t="s">
        <v>7119</v>
      </c>
      <c r="C1036" s="113">
        <v>2014</v>
      </c>
      <c r="D1036" s="99">
        <v>1025</v>
      </c>
      <c r="E1036" s="99">
        <v>642</v>
      </c>
      <c r="F1036" s="99">
        <v>250</v>
      </c>
      <c r="G1036" s="99">
        <v>402</v>
      </c>
      <c r="H1036" s="99">
        <v>137</v>
      </c>
      <c r="I1036" s="99">
        <v>23</v>
      </c>
      <c r="J1036" s="99">
        <v>25</v>
      </c>
      <c r="K1036" s="99">
        <v>3</v>
      </c>
      <c r="L1036" s="99">
        <v>68</v>
      </c>
      <c r="M1036" s="99">
        <v>59</v>
      </c>
      <c r="N1036" s="99">
        <v>9</v>
      </c>
      <c r="O1036" s="110"/>
      <c r="P1036" s="110"/>
      <c r="Q1036" s="110"/>
    </row>
    <row r="1037" spans="1:17" s="117" customFormat="1" ht="31.75" customHeight="1">
      <c r="A1037" s="109" t="s">
        <v>7118</v>
      </c>
      <c r="B1037" s="109" t="s">
        <v>7119</v>
      </c>
      <c r="C1037" s="113">
        <v>2015</v>
      </c>
      <c r="D1037" s="112">
        <v>1000</v>
      </c>
      <c r="E1037" s="112">
        <v>602</v>
      </c>
      <c r="F1037" s="112">
        <v>282</v>
      </c>
      <c r="G1037" s="112">
        <v>332</v>
      </c>
      <c r="H1037" s="112">
        <v>145</v>
      </c>
      <c r="I1037" s="112">
        <v>28</v>
      </c>
      <c r="J1037" s="112">
        <v>29</v>
      </c>
      <c r="K1037" s="112">
        <v>1</v>
      </c>
      <c r="L1037" s="112">
        <v>57</v>
      </c>
      <c r="M1037" s="112">
        <v>50</v>
      </c>
      <c r="N1037" s="112">
        <v>7</v>
      </c>
      <c r="O1037" s="110"/>
      <c r="P1037" s="110"/>
      <c r="Q1037" s="110"/>
    </row>
    <row r="1038" spans="1:17" s="117" customFormat="1" ht="31.75" customHeight="1">
      <c r="A1038" s="109" t="s">
        <v>7118</v>
      </c>
      <c r="B1038" s="109" t="s">
        <v>7119</v>
      </c>
      <c r="C1038" s="113">
        <v>2016</v>
      </c>
      <c r="D1038" s="112">
        <v>970</v>
      </c>
      <c r="E1038" s="112">
        <v>579</v>
      </c>
      <c r="F1038" s="112">
        <v>266</v>
      </c>
      <c r="G1038" s="112">
        <v>327</v>
      </c>
      <c r="H1038" s="112">
        <v>110</v>
      </c>
      <c r="I1038" s="112">
        <v>32</v>
      </c>
      <c r="J1038" s="112">
        <v>33</v>
      </c>
      <c r="K1038" s="112">
        <v>1</v>
      </c>
      <c r="L1038" s="112">
        <v>82</v>
      </c>
      <c r="M1038" s="112">
        <v>70</v>
      </c>
      <c r="N1038" s="112">
        <v>12</v>
      </c>
      <c r="O1038" s="110"/>
      <c r="P1038" s="110"/>
      <c r="Q1038" s="110"/>
    </row>
    <row r="1039" spans="1:17" s="117" customFormat="1" ht="31.75" customHeight="1">
      <c r="A1039" s="109" t="s">
        <v>7118</v>
      </c>
      <c r="B1039" s="109" t="s">
        <v>7119</v>
      </c>
      <c r="C1039" s="113">
        <v>2017</v>
      </c>
      <c r="D1039" s="112">
        <v>988</v>
      </c>
      <c r="E1039" s="112">
        <v>633</v>
      </c>
      <c r="F1039" s="112">
        <v>280</v>
      </c>
      <c r="G1039" s="112">
        <v>374</v>
      </c>
      <c r="H1039" s="112">
        <v>152</v>
      </c>
      <c r="I1039" s="112">
        <v>44</v>
      </c>
      <c r="J1039" s="112">
        <v>48</v>
      </c>
      <c r="K1039" s="112">
        <v>4</v>
      </c>
      <c r="L1039" s="112">
        <v>62</v>
      </c>
      <c r="M1039" s="112">
        <v>64</v>
      </c>
      <c r="N1039" s="112">
        <v>-2</v>
      </c>
      <c r="O1039" s="100"/>
      <c r="P1039" s="100"/>
      <c r="Q1039" s="100"/>
    </row>
    <row r="1040" spans="1:17" s="117" customFormat="1" ht="31.75" customHeight="1">
      <c r="A1040" s="109" t="s">
        <v>7118</v>
      </c>
      <c r="B1040" s="109" t="s">
        <v>7119</v>
      </c>
      <c r="C1040" s="113">
        <v>2018</v>
      </c>
      <c r="D1040" s="112">
        <v>944</v>
      </c>
      <c r="E1040" s="112">
        <v>537</v>
      </c>
      <c r="F1040" s="112">
        <v>261</v>
      </c>
      <c r="G1040" s="112">
        <v>283</v>
      </c>
      <c r="H1040" s="112">
        <v>119</v>
      </c>
      <c r="I1040" s="112">
        <v>-28</v>
      </c>
      <c r="J1040" s="112">
        <v>14</v>
      </c>
      <c r="K1040" s="112">
        <v>42</v>
      </c>
      <c r="L1040" s="112">
        <v>61</v>
      </c>
      <c r="M1040" s="112">
        <v>53</v>
      </c>
      <c r="N1040" s="112">
        <v>7</v>
      </c>
      <c r="O1040" s="110"/>
      <c r="P1040" s="110"/>
      <c r="Q1040" s="110"/>
    </row>
    <row r="1041" spans="1:17" s="117" customFormat="1" ht="31.75" customHeight="1">
      <c r="A1041" s="109" t="s">
        <v>7118</v>
      </c>
      <c r="B1041" s="109" t="s">
        <v>7119</v>
      </c>
      <c r="C1041" s="113">
        <v>2019</v>
      </c>
      <c r="D1041" s="112">
        <v>932</v>
      </c>
      <c r="E1041" s="112">
        <v>549.888147</v>
      </c>
      <c r="F1041" s="112">
        <v>259.88506699999999</v>
      </c>
      <c r="G1041" s="112">
        <v>296.23500200000001</v>
      </c>
      <c r="H1041" s="112">
        <v>101.967765</v>
      </c>
      <c r="I1041" s="112">
        <v>12.370144</v>
      </c>
      <c r="J1041" s="112">
        <v>20.213546999999998</v>
      </c>
      <c r="K1041" s="112">
        <v>7.8434030000000003</v>
      </c>
      <c r="L1041" s="112">
        <v>57.708309</v>
      </c>
      <c r="M1041" s="112">
        <v>57.204289000000003</v>
      </c>
      <c r="N1041" s="112">
        <v>0.50401899999999999</v>
      </c>
      <c r="O1041" s="100"/>
      <c r="P1041" s="100"/>
      <c r="Q1041" s="100"/>
    </row>
    <row r="1042" spans="1:17" s="117" customFormat="1" ht="31.75" customHeight="1">
      <c r="A1042" s="114" t="s">
        <v>7118</v>
      </c>
      <c r="B1042" s="114" t="s">
        <v>7119</v>
      </c>
      <c r="C1042" s="113">
        <v>2020</v>
      </c>
      <c r="D1042" s="112" t="s">
        <v>6953</v>
      </c>
      <c r="E1042" s="112" t="s">
        <v>6953</v>
      </c>
      <c r="F1042" s="112" t="s">
        <v>6953</v>
      </c>
      <c r="G1042" s="112" t="s">
        <v>6953</v>
      </c>
      <c r="H1042" s="112" t="s">
        <v>6953</v>
      </c>
      <c r="I1042" s="112" t="s">
        <v>6953</v>
      </c>
      <c r="J1042" s="112" t="s">
        <v>6953</v>
      </c>
      <c r="K1042" s="112" t="s">
        <v>6953</v>
      </c>
      <c r="L1042" s="112" t="s">
        <v>6953</v>
      </c>
      <c r="M1042" s="112" t="s">
        <v>6953</v>
      </c>
      <c r="N1042" s="112" t="s">
        <v>6953</v>
      </c>
      <c r="O1042" s="100"/>
      <c r="P1042" s="100"/>
      <c r="Q1042" s="100"/>
    </row>
    <row r="1043" spans="1:17" s="117" customFormat="1" ht="17.5" customHeight="1">
      <c r="A1043" s="109" t="s">
        <v>7120</v>
      </c>
      <c r="B1043" s="109" t="s">
        <v>7121</v>
      </c>
      <c r="C1043" s="98">
        <v>2008</v>
      </c>
      <c r="D1043" s="99">
        <v>2626</v>
      </c>
      <c r="E1043" s="99">
        <v>10794</v>
      </c>
      <c r="F1043" s="99">
        <v>2760</v>
      </c>
      <c r="G1043" s="99">
        <v>8058</v>
      </c>
      <c r="H1043" s="99">
        <v>1810</v>
      </c>
      <c r="I1043" s="99">
        <v>221</v>
      </c>
      <c r="J1043" s="99">
        <v>281</v>
      </c>
      <c r="K1043" s="99">
        <v>60</v>
      </c>
      <c r="L1043" s="99">
        <v>873</v>
      </c>
      <c r="M1043" s="99">
        <v>841</v>
      </c>
      <c r="N1043" s="99">
        <v>32</v>
      </c>
      <c r="O1043" s="110"/>
      <c r="P1043" s="110"/>
      <c r="Q1043" s="110"/>
    </row>
    <row r="1044" spans="1:17" s="117" customFormat="1" ht="17.5" customHeight="1">
      <c r="A1044" s="109" t="s">
        <v>7120</v>
      </c>
      <c r="B1044" s="109" t="s">
        <v>7121</v>
      </c>
      <c r="C1044" s="98">
        <v>2009</v>
      </c>
      <c r="D1044" s="99">
        <v>1881</v>
      </c>
      <c r="E1044" s="99">
        <v>10873</v>
      </c>
      <c r="F1044" s="99">
        <v>2968</v>
      </c>
      <c r="G1044" s="99">
        <v>7889</v>
      </c>
      <c r="H1044" s="99">
        <v>1829</v>
      </c>
      <c r="I1044" s="99">
        <v>134</v>
      </c>
      <c r="J1044" s="99">
        <v>232</v>
      </c>
      <c r="K1044" s="99">
        <v>98</v>
      </c>
      <c r="L1044" s="99">
        <v>772</v>
      </c>
      <c r="M1044" s="99">
        <v>793</v>
      </c>
      <c r="N1044" s="99">
        <v>-21</v>
      </c>
      <c r="O1044" s="110"/>
      <c r="P1044" s="110"/>
      <c r="Q1044" s="110"/>
    </row>
    <row r="1045" spans="1:17" s="117" customFormat="1" ht="17.5" customHeight="1">
      <c r="A1045" s="109" t="s">
        <v>7120</v>
      </c>
      <c r="B1045" s="109" t="s">
        <v>7121</v>
      </c>
      <c r="C1045" s="98">
        <v>2010</v>
      </c>
      <c r="D1045" s="99">
        <v>1770</v>
      </c>
      <c r="E1045" s="99">
        <v>10796</v>
      </c>
      <c r="F1045" s="99">
        <v>3541</v>
      </c>
      <c r="G1045" s="99">
        <v>7298</v>
      </c>
      <c r="H1045" s="99">
        <v>1851</v>
      </c>
      <c r="I1045" s="99">
        <v>166</v>
      </c>
      <c r="J1045" s="99">
        <v>233</v>
      </c>
      <c r="K1045" s="99">
        <v>67</v>
      </c>
      <c r="L1045" s="99">
        <v>904</v>
      </c>
      <c r="M1045" s="99">
        <v>857</v>
      </c>
      <c r="N1045" s="99">
        <v>47</v>
      </c>
      <c r="O1045" s="100"/>
      <c r="P1045" s="100"/>
      <c r="Q1045" s="100"/>
    </row>
    <row r="1046" spans="1:17" s="117" customFormat="1" ht="17.5" customHeight="1">
      <c r="A1046" s="109" t="s">
        <v>7120</v>
      </c>
      <c r="B1046" s="109" t="s">
        <v>7121</v>
      </c>
      <c r="C1046" s="98">
        <v>2011</v>
      </c>
      <c r="D1046" s="99">
        <v>1679</v>
      </c>
      <c r="E1046" s="99">
        <v>11507</v>
      </c>
      <c r="F1046" s="99">
        <v>4049</v>
      </c>
      <c r="G1046" s="99">
        <v>7561</v>
      </c>
      <c r="H1046" s="99">
        <v>1889</v>
      </c>
      <c r="I1046" s="99">
        <v>310</v>
      </c>
      <c r="J1046" s="99">
        <v>354</v>
      </c>
      <c r="K1046" s="99">
        <v>43</v>
      </c>
      <c r="L1046" s="99">
        <v>920</v>
      </c>
      <c r="M1046" s="99">
        <v>828</v>
      </c>
      <c r="N1046" s="99">
        <v>91</v>
      </c>
      <c r="O1046" s="100"/>
      <c r="P1046" s="100"/>
      <c r="Q1046" s="100"/>
    </row>
    <row r="1047" spans="1:17" s="117" customFormat="1" ht="17.5" customHeight="1">
      <c r="A1047" s="109" t="s">
        <v>7120</v>
      </c>
      <c r="B1047" s="109" t="s">
        <v>7121</v>
      </c>
      <c r="C1047" s="111">
        <v>2012</v>
      </c>
      <c r="D1047" s="112">
        <v>1576</v>
      </c>
      <c r="E1047" s="112">
        <v>10827</v>
      </c>
      <c r="F1047" s="112">
        <v>3859</v>
      </c>
      <c r="G1047" s="112">
        <v>6910</v>
      </c>
      <c r="H1047" s="112">
        <v>1794</v>
      </c>
      <c r="I1047" s="112">
        <v>340</v>
      </c>
      <c r="J1047" s="112">
        <v>379</v>
      </c>
      <c r="K1047" s="112">
        <v>39</v>
      </c>
      <c r="L1047" s="112">
        <v>831</v>
      </c>
      <c r="M1047" s="112">
        <v>897</v>
      </c>
      <c r="N1047" s="112">
        <v>-66</v>
      </c>
      <c r="O1047" s="110"/>
      <c r="P1047" s="110"/>
      <c r="Q1047" s="110"/>
    </row>
    <row r="1048" spans="1:17" s="117" customFormat="1" ht="17.5" customHeight="1">
      <c r="A1048" s="109" t="s">
        <v>7120</v>
      </c>
      <c r="B1048" s="109" t="s">
        <v>7121</v>
      </c>
      <c r="C1048" s="113">
        <v>2013</v>
      </c>
      <c r="D1048" s="112">
        <v>1550</v>
      </c>
      <c r="E1048" s="112">
        <v>10906</v>
      </c>
      <c r="F1048" s="112">
        <v>3693</v>
      </c>
      <c r="G1048" s="112">
        <v>7295</v>
      </c>
      <c r="H1048" s="112">
        <v>1842</v>
      </c>
      <c r="I1048" s="112">
        <v>307</v>
      </c>
      <c r="J1048" s="112">
        <v>368</v>
      </c>
      <c r="K1048" s="112">
        <v>61</v>
      </c>
      <c r="L1048" s="112">
        <v>886</v>
      </c>
      <c r="M1048" s="112">
        <v>813</v>
      </c>
      <c r="N1048" s="112">
        <v>72</v>
      </c>
      <c r="O1048" s="110"/>
      <c r="P1048" s="110"/>
      <c r="Q1048" s="110"/>
    </row>
    <row r="1049" spans="1:17" s="117" customFormat="1" ht="17.5" customHeight="1">
      <c r="A1049" s="109" t="s">
        <v>7120</v>
      </c>
      <c r="B1049" s="109" t="s">
        <v>7121</v>
      </c>
      <c r="C1049" s="113">
        <v>2014</v>
      </c>
      <c r="D1049" s="99">
        <v>1514</v>
      </c>
      <c r="E1049" s="99">
        <v>10991</v>
      </c>
      <c r="F1049" s="99">
        <v>3793</v>
      </c>
      <c r="G1049" s="99">
        <v>7200</v>
      </c>
      <c r="H1049" s="99">
        <v>1868</v>
      </c>
      <c r="I1049" s="99">
        <v>353</v>
      </c>
      <c r="J1049" s="99">
        <v>383</v>
      </c>
      <c r="K1049" s="99">
        <v>29</v>
      </c>
      <c r="L1049" s="99">
        <v>870</v>
      </c>
      <c r="M1049" s="99">
        <v>876</v>
      </c>
      <c r="N1049" s="99">
        <v>-6</v>
      </c>
      <c r="O1049" s="110"/>
      <c r="P1049" s="110"/>
      <c r="Q1049" s="110"/>
    </row>
    <row r="1050" spans="1:17" s="117" customFormat="1" ht="17.5" customHeight="1">
      <c r="A1050" s="109" t="s">
        <v>7120</v>
      </c>
      <c r="B1050" s="109" t="s">
        <v>7121</v>
      </c>
      <c r="C1050" s="113">
        <v>2015</v>
      </c>
      <c r="D1050" s="112">
        <v>1497</v>
      </c>
      <c r="E1050" s="112">
        <v>11413</v>
      </c>
      <c r="F1050" s="112">
        <v>3487</v>
      </c>
      <c r="G1050" s="112">
        <v>7933</v>
      </c>
      <c r="H1050" s="112">
        <v>1789</v>
      </c>
      <c r="I1050" s="112">
        <v>450</v>
      </c>
      <c r="J1050" s="112">
        <v>467</v>
      </c>
      <c r="K1050" s="112">
        <v>17</v>
      </c>
      <c r="L1050" s="112">
        <v>917</v>
      </c>
      <c r="M1050" s="112">
        <v>916</v>
      </c>
      <c r="N1050" s="112">
        <v>1</v>
      </c>
      <c r="O1050" s="110"/>
      <c r="P1050" s="110"/>
      <c r="Q1050" s="110"/>
    </row>
    <row r="1051" spans="1:17" s="117" customFormat="1" ht="17.5" customHeight="1">
      <c r="A1051" s="109" t="s">
        <v>7120</v>
      </c>
      <c r="B1051" s="109" t="s">
        <v>7121</v>
      </c>
      <c r="C1051" s="113">
        <v>2016</v>
      </c>
      <c r="D1051" s="112">
        <v>1488</v>
      </c>
      <c r="E1051" s="112">
        <v>10851</v>
      </c>
      <c r="F1051" s="112">
        <v>3396</v>
      </c>
      <c r="G1051" s="112">
        <v>7535</v>
      </c>
      <c r="H1051" s="112">
        <v>1759</v>
      </c>
      <c r="I1051" s="112">
        <v>472</v>
      </c>
      <c r="J1051" s="112">
        <v>512</v>
      </c>
      <c r="K1051" s="112">
        <v>40</v>
      </c>
      <c r="L1051" s="112">
        <v>906</v>
      </c>
      <c r="M1051" s="112">
        <v>861</v>
      </c>
      <c r="N1051" s="112">
        <v>44</v>
      </c>
      <c r="O1051" s="100"/>
      <c r="P1051" s="100"/>
      <c r="Q1051" s="100"/>
    </row>
    <row r="1052" spans="1:17" s="117" customFormat="1" ht="17.5" customHeight="1">
      <c r="A1052" s="109" t="s">
        <v>7120</v>
      </c>
      <c r="B1052" s="109" t="s">
        <v>7121</v>
      </c>
      <c r="C1052" s="113">
        <v>2017</v>
      </c>
      <c r="D1052" s="112">
        <v>1460</v>
      </c>
      <c r="E1052" s="112">
        <v>11542</v>
      </c>
      <c r="F1052" s="112">
        <v>3314</v>
      </c>
      <c r="G1052" s="112">
        <v>8312</v>
      </c>
      <c r="H1052" s="112">
        <v>1838</v>
      </c>
      <c r="I1052" s="112">
        <v>445</v>
      </c>
      <c r="J1052" s="112">
        <v>478</v>
      </c>
      <c r="K1052" s="112">
        <v>34</v>
      </c>
      <c r="L1052" s="112">
        <v>932</v>
      </c>
      <c r="M1052" s="112">
        <v>906</v>
      </c>
      <c r="N1052" s="112">
        <v>26</v>
      </c>
      <c r="O1052" s="110"/>
      <c r="P1052" s="110"/>
      <c r="Q1052" s="110"/>
    </row>
    <row r="1053" spans="1:17" s="117" customFormat="1" ht="17.5" customHeight="1">
      <c r="A1053" s="109" t="s">
        <v>7120</v>
      </c>
      <c r="B1053" s="109" t="s">
        <v>7121</v>
      </c>
      <c r="C1053" s="113">
        <v>2018</v>
      </c>
      <c r="D1053" s="112">
        <v>1417</v>
      </c>
      <c r="E1053" s="112">
        <v>12181</v>
      </c>
      <c r="F1053" s="112">
        <v>3378</v>
      </c>
      <c r="G1053" s="112">
        <v>8935</v>
      </c>
      <c r="H1053" s="112">
        <v>1949</v>
      </c>
      <c r="I1053" s="112">
        <v>424</v>
      </c>
      <c r="J1053" s="112">
        <v>461</v>
      </c>
      <c r="K1053" s="112">
        <v>37</v>
      </c>
      <c r="L1053" s="112">
        <v>1065</v>
      </c>
      <c r="M1053" s="112">
        <v>962</v>
      </c>
      <c r="N1053" s="112">
        <v>104</v>
      </c>
      <c r="O1053" s="100"/>
      <c r="P1053" s="100"/>
      <c r="Q1053" s="100"/>
    </row>
    <row r="1054" spans="1:17" s="117" customFormat="1" ht="17.5" customHeight="1">
      <c r="A1054" s="109" t="s">
        <v>7120</v>
      </c>
      <c r="B1054" s="109" t="s">
        <v>7121</v>
      </c>
      <c r="C1054" s="113">
        <v>2019</v>
      </c>
      <c r="D1054" s="112">
        <v>1418</v>
      </c>
      <c r="E1054" s="112">
        <v>12112.645041</v>
      </c>
      <c r="F1054" s="112">
        <v>3598.4147929999999</v>
      </c>
      <c r="G1054" s="112">
        <v>8576.5718240000006</v>
      </c>
      <c r="H1054" s="112">
        <v>1986.213935</v>
      </c>
      <c r="I1054" s="112">
        <v>413.88316800000001</v>
      </c>
      <c r="J1054" s="112">
        <v>461.80955299999999</v>
      </c>
      <c r="K1054" s="112">
        <v>47.926385000000003</v>
      </c>
      <c r="L1054" s="112">
        <v>1066.390369</v>
      </c>
      <c r="M1054" s="112">
        <v>1019.25377</v>
      </c>
      <c r="N1054" s="112">
        <v>47.136598999999997</v>
      </c>
      <c r="O1054" s="100"/>
      <c r="P1054" s="100"/>
      <c r="Q1054" s="100"/>
    </row>
    <row r="1055" spans="1:17" s="117" customFormat="1" ht="17.5" customHeight="1">
      <c r="A1055" s="114" t="s">
        <v>7120</v>
      </c>
      <c r="B1055" s="114" t="s">
        <v>7121</v>
      </c>
      <c r="C1055" s="113">
        <v>2020</v>
      </c>
      <c r="D1055" s="112">
        <v>1452</v>
      </c>
      <c r="E1055" s="112">
        <v>11552.741947</v>
      </c>
      <c r="F1055" s="112">
        <v>3566.4276669999999</v>
      </c>
      <c r="G1055" s="112">
        <v>8022.7076829999996</v>
      </c>
      <c r="H1055" s="112">
        <v>1963.5048179999999</v>
      </c>
      <c r="I1055" s="112">
        <v>502.462672</v>
      </c>
      <c r="J1055" s="112">
        <v>536.22240899999997</v>
      </c>
      <c r="K1055" s="112">
        <v>33.759737000000001</v>
      </c>
      <c r="L1055" s="112">
        <v>1105.937359</v>
      </c>
      <c r="M1055" s="112">
        <v>1085.5436850000001</v>
      </c>
      <c r="N1055" s="112">
        <v>20.393674000000001</v>
      </c>
      <c r="O1055" s="110"/>
      <c r="P1055" s="110"/>
      <c r="Q1055" s="110"/>
    </row>
    <row r="1056" spans="1:17" s="117" customFormat="1" ht="17.5" customHeight="1">
      <c r="A1056" s="109" t="s">
        <v>7122</v>
      </c>
      <c r="B1056" s="109" t="s">
        <v>7123</v>
      </c>
      <c r="C1056" s="98">
        <v>2008</v>
      </c>
      <c r="D1056" s="99">
        <v>295</v>
      </c>
      <c r="E1056" s="99">
        <v>3425</v>
      </c>
      <c r="F1056" s="99">
        <v>734</v>
      </c>
      <c r="G1056" s="99">
        <v>2732</v>
      </c>
      <c r="H1056" s="99">
        <v>472</v>
      </c>
      <c r="I1056" s="99">
        <v>97</v>
      </c>
      <c r="J1056" s="99">
        <v>102</v>
      </c>
      <c r="K1056" s="99">
        <v>5</v>
      </c>
      <c r="L1056" s="99">
        <v>328</v>
      </c>
      <c r="M1056" s="99">
        <v>289</v>
      </c>
      <c r="N1056" s="99">
        <v>39</v>
      </c>
      <c r="O1056" s="110"/>
      <c r="P1056" s="110"/>
      <c r="Q1056" s="110"/>
    </row>
    <row r="1057" spans="1:17" s="117" customFormat="1" ht="17.5" customHeight="1">
      <c r="A1057" s="109" t="s">
        <v>7122</v>
      </c>
      <c r="B1057" s="109" t="s">
        <v>7123</v>
      </c>
      <c r="C1057" s="98">
        <v>2009</v>
      </c>
      <c r="D1057" s="99">
        <v>277</v>
      </c>
      <c r="E1057" s="99">
        <v>2991</v>
      </c>
      <c r="F1057" s="99">
        <v>658</v>
      </c>
      <c r="G1057" s="99">
        <v>2332</v>
      </c>
      <c r="H1057" s="99">
        <v>455</v>
      </c>
      <c r="I1057" s="99">
        <v>60</v>
      </c>
      <c r="J1057" s="99">
        <v>69</v>
      </c>
      <c r="K1057" s="99">
        <v>9</v>
      </c>
      <c r="L1057" s="99">
        <v>268</v>
      </c>
      <c r="M1057" s="99">
        <v>270</v>
      </c>
      <c r="N1057" s="99">
        <v>-2</v>
      </c>
      <c r="O1057" s="100"/>
      <c r="P1057" s="100"/>
      <c r="Q1057" s="100"/>
    </row>
    <row r="1058" spans="1:17" s="117" customFormat="1" ht="17.5" customHeight="1">
      <c r="A1058" s="109" t="s">
        <v>7122</v>
      </c>
      <c r="B1058" s="109" t="s">
        <v>7123</v>
      </c>
      <c r="C1058" s="98">
        <v>2010</v>
      </c>
      <c r="D1058" s="99">
        <v>266</v>
      </c>
      <c r="E1058" s="99">
        <v>2980</v>
      </c>
      <c r="F1058" s="99">
        <v>628</v>
      </c>
      <c r="G1058" s="99">
        <v>2356</v>
      </c>
      <c r="H1058" s="99">
        <v>456</v>
      </c>
      <c r="I1058" s="99">
        <v>68</v>
      </c>
      <c r="J1058" s="99">
        <v>77</v>
      </c>
      <c r="K1058" s="99">
        <v>9</v>
      </c>
      <c r="L1058" s="99">
        <v>255</v>
      </c>
      <c r="M1058" s="99">
        <v>251</v>
      </c>
      <c r="N1058" s="99">
        <v>4</v>
      </c>
      <c r="O1058" s="100"/>
      <c r="P1058" s="100"/>
      <c r="Q1058" s="100"/>
    </row>
    <row r="1059" spans="1:17" s="117" customFormat="1" ht="17.5" customHeight="1">
      <c r="A1059" s="109" t="s">
        <v>7122</v>
      </c>
      <c r="B1059" s="109" t="s">
        <v>7123</v>
      </c>
      <c r="C1059" s="98">
        <v>2011</v>
      </c>
      <c r="D1059" s="99">
        <v>263</v>
      </c>
      <c r="E1059" s="99">
        <v>3448</v>
      </c>
      <c r="F1059" s="99">
        <v>888</v>
      </c>
      <c r="G1059" s="99">
        <v>2581</v>
      </c>
      <c r="H1059" s="99">
        <v>442</v>
      </c>
      <c r="I1059" s="99">
        <v>115</v>
      </c>
      <c r="J1059" s="99">
        <v>123</v>
      </c>
      <c r="K1059" s="99">
        <v>9</v>
      </c>
      <c r="L1059" s="99">
        <v>299</v>
      </c>
      <c r="M1059" s="99">
        <v>281</v>
      </c>
      <c r="N1059" s="99">
        <v>17</v>
      </c>
      <c r="O1059" s="110"/>
      <c r="P1059" s="110"/>
      <c r="Q1059" s="110"/>
    </row>
    <row r="1060" spans="1:17" s="117" customFormat="1" ht="17.5" customHeight="1">
      <c r="A1060" s="109" t="s">
        <v>7122</v>
      </c>
      <c r="B1060" s="109" t="s">
        <v>7123</v>
      </c>
      <c r="C1060" s="111">
        <v>2012</v>
      </c>
      <c r="D1060" s="112">
        <v>247</v>
      </c>
      <c r="E1060" s="112">
        <v>3008</v>
      </c>
      <c r="F1060" s="112">
        <v>776</v>
      </c>
      <c r="G1060" s="112">
        <v>2204</v>
      </c>
      <c r="H1060" s="112">
        <v>424</v>
      </c>
      <c r="I1060" s="112">
        <v>120</v>
      </c>
      <c r="J1060" s="112">
        <v>129</v>
      </c>
      <c r="K1060" s="112">
        <v>9</v>
      </c>
      <c r="L1060" s="112">
        <v>308</v>
      </c>
      <c r="M1060" s="112">
        <v>338</v>
      </c>
      <c r="N1060" s="112">
        <v>-29</v>
      </c>
      <c r="O1060" s="110"/>
      <c r="P1060" s="110"/>
      <c r="Q1060" s="110"/>
    </row>
    <row r="1061" spans="1:17" s="117" customFormat="1" ht="17.5" customHeight="1">
      <c r="A1061" s="109" t="s">
        <v>7122</v>
      </c>
      <c r="B1061" s="109" t="s">
        <v>7123</v>
      </c>
      <c r="C1061" s="113">
        <v>2013</v>
      </c>
      <c r="D1061" s="112">
        <v>250</v>
      </c>
      <c r="E1061" s="112">
        <v>2591</v>
      </c>
      <c r="F1061" s="112">
        <v>578</v>
      </c>
      <c r="G1061" s="112">
        <v>2036</v>
      </c>
      <c r="H1061" s="112">
        <v>418</v>
      </c>
      <c r="I1061" s="112">
        <v>59</v>
      </c>
      <c r="J1061" s="112">
        <v>86</v>
      </c>
      <c r="K1061" s="112">
        <v>27</v>
      </c>
      <c r="L1061" s="112">
        <v>288</v>
      </c>
      <c r="M1061" s="112">
        <v>275</v>
      </c>
      <c r="N1061" s="112">
        <v>13</v>
      </c>
      <c r="O1061" s="110"/>
      <c r="P1061" s="110"/>
      <c r="Q1061" s="110"/>
    </row>
    <row r="1062" spans="1:17" s="117" customFormat="1" ht="17.5" customHeight="1">
      <c r="A1062" s="109" t="s">
        <v>7122</v>
      </c>
      <c r="B1062" s="109" t="s">
        <v>7123</v>
      </c>
      <c r="C1062" s="113">
        <v>2014</v>
      </c>
      <c r="D1062" s="99">
        <v>233</v>
      </c>
      <c r="E1062" s="99">
        <v>2651</v>
      </c>
      <c r="F1062" s="99">
        <v>596</v>
      </c>
      <c r="G1062" s="99">
        <v>2030</v>
      </c>
      <c r="H1062" s="99">
        <v>396</v>
      </c>
      <c r="I1062" s="99">
        <v>64</v>
      </c>
      <c r="J1062" s="99">
        <v>65</v>
      </c>
      <c r="K1062" s="99">
        <v>1</v>
      </c>
      <c r="L1062" s="99">
        <v>244</v>
      </c>
      <c r="M1062" s="99">
        <v>274</v>
      </c>
      <c r="N1062" s="99">
        <v>-30</v>
      </c>
      <c r="O1062" s="110"/>
      <c r="P1062" s="110"/>
      <c r="Q1062" s="110"/>
    </row>
    <row r="1063" spans="1:17" s="117" customFormat="1" ht="17.5" customHeight="1">
      <c r="A1063" s="109" t="s">
        <v>7122</v>
      </c>
      <c r="B1063" s="109" t="s">
        <v>7123</v>
      </c>
      <c r="C1063" s="113">
        <v>2015</v>
      </c>
      <c r="D1063" s="112">
        <v>223</v>
      </c>
      <c r="E1063" s="112">
        <v>2812</v>
      </c>
      <c r="F1063" s="112">
        <v>738</v>
      </c>
      <c r="G1063" s="112">
        <v>2059</v>
      </c>
      <c r="H1063" s="112">
        <v>324</v>
      </c>
      <c r="I1063" s="112">
        <v>73</v>
      </c>
      <c r="J1063" s="112">
        <v>74</v>
      </c>
      <c r="K1063" s="112">
        <v>1</v>
      </c>
      <c r="L1063" s="112">
        <v>272</v>
      </c>
      <c r="M1063" s="112">
        <v>280</v>
      </c>
      <c r="N1063" s="112">
        <v>-8</v>
      </c>
      <c r="O1063" s="100"/>
      <c r="P1063" s="100"/>
      <c r="Q1063" s="100"/>
    </row>
    <row r="1064" spans="1:17" s="117" customFormat="1" ht="17.5" customHeight="1">
      <c r="A1064" s="109" t="s">
        <v>7122</v>
      </c>
      <c r="B1064" s="109" t="s">
        <v>7123</v>
      </c>
      <c r="C1064" s="113">
        <v>2016</v>
      </c>
      <c r="D1064" s="112">
        <v>239</v>
      </c>
      <c r="E1064" s="112">
        <v>2353</v>
      </c>
      <c r="F1064" s="112">
        <v>610</v>
      </c>
      <c r="G1064" s="112">
        <v>1766</v>
      </c>
      <c r="H1064" s="112">
        <v>318</v>
      </c>
      <c r="I1064" s="112">
        <v>94</v>
      </c>
      <c r="J1064" s="112">
        <v>98</v>
      </c>
      <c r="K1064" s="112">
        <v>4</v>
      </c>
      <c r="L1064" s="112">
        <v>258</v>
      </c>
      <c r="M1064" s="112">
        <v>240</v>
      </c>
      <c r="N1064" s="112">
        <v>18</v>
      </c>
      <c r="O1064" s="110"/>
      <c r="P1064" s="110"/>
      <c r="Q1064" s="110"/>
    </row>
    <row r="1065" spans="1:17" s="117" customFormat="1" ht="17.5" customHeight="1">
      <c r="A1065" s="109" t="s">
        <v>7122</v>
      </c>
      <c r="B1065" s="109" t="s">
        <v>7123</v>
      </c>
      <c r="C1065" s="113">
        <v>2017</v>
      </c>
      <c r="D1065" s="112">
        <v>246</v>
      </c>
      <c r="E1065" s="112">
        <v>2720</v>
      </c>
      <c r="F1065" s="112">
        <v>707</v>
      </c>
      <c r="G1065" s="112">
        <v>2070</v>
      </c>
      <c r="H1065" s="112">
        <v>338</v>
      </c>
      <c r="I1065" s="112">
        <v>107</v>
      </c>
      <c r="J1065" s="112">
        <v>112</v>
      </c>
      <c r="K1065" s="112">
        <v>4</v>
      </c>
      <c r="L1065" s="112">
        <v>276</v>
      </c>
      <c r="M1065" s="112">
        <v>266</v>
      </c>
      <c r="N1065" s="112">
        <v>11</v>
      </c>
      <c r="O1065" s="100"/>
      <c r="P1065" s="100"/>
      <c r="Q1065" s="100"/>
    </row>
    <row r="1066" spans="1:17" s="117" customFormat="1" ht="17.5" customHeight="1">
      <c r="A1066" s="109" t="s">
        <v>7122</v>
      </c>
      <c r="B1066" s="109" t="s">
        <v>7123</v>
      </c>
      <c r="C1066" s="113">
        <v>2018</v>
      </c>
      <c r="D1066" s="112">
        <v>238</v>
      </c>
      <c r="E1066" s="112">
        <v>3021</v>
      </c>
      <c r="F1066" s="112">
        <v>841</v>
      </c>
      <c r="G1066" s="112">
        <v>2227</v>
      </c>
      <c r="H1066" s="112">
        <v>390</v>
      </c>
      <c r="I1066" s="112">
        <v>104</v>
      </c>
      <c r="J1066" s="112">
        <v>108</v>
      </c>
      <c r="K1066" s="112">
        <v>5</v>
      </c>
      <c r="L1066" s="112">
        <v>314</v>
      </c>
      <c r="M1066" s="112">
        <v>284</v>
      </c>
      <c r="N1066" s="112">
        <v>29</v>
      </c>
      <c r="O1066" s="100"/>
      <c r="P1066" s="100"/>
      <c r="Q1066" s="100"/>
    </row>
    <row r="1067" spans="1:17" s="117" customFormat="1" ht="17.5" customHeight="1">
      <c r="A1067" s="109" t="s">
        <v>7122</v>
      </c>
      <c r="B1067" s="109" t="s">
        <v>7123</v>
      </c>
      <c r="C1067" s="113">
        <v>2019</v>
      </c>
      <c r="D1067" s="112">
        <v>228</v>
      </c>
      <c r="E1067" s="112">
        <v>2865.1019510000001</v>
      </c>
      <c r="F1067" s="112">
        <v>686.65757099999996</v>
      </c>
      <c r="G1067" s="112">
        <v>2178.3373609999999</v>
      </c>
      <c r="H1067" s="112">
        <v>364.69571300000001</v>
      </c>
      <c r="I1067" s="112">
        <v>118.92969100000001</v>
      </c>
      <c r="J1067" s="112">
        <v>119.696797</v>
      </c>
      <c r="K1067" s="112">
        <v>0.76710599999999995</v>
      </c>
      <c r="L1067" s="112">
        <v>283.02988299999998</v>
      </c>
      <c r="M1067" s="112">
        <v>287.47806200000002</v>
      </c>
      <c r="N1067" s="112">
        <v>-4.4481789999999997</v>
      </c>
      <c r="O1067" s="110"/>
      <c r="P1067" s="110"/>
      <c r="Q1067" s="110"/>
    </row>
    <row r="1068" spans="1:17" s="117" customFormat="1" ht="17.5" customHeight="1">
      <c r="A1068" s="114" t="s">
        <v>7122</v>
      </c>
      <c r="B1068" s="114" t="s">
        <v>7123</v>
      </c>
      <c r="C1068" s="113">
        <v>2020</v>
      </c>
      <c r="D1068" s="112">
        <v>235</v>
      </c>
      <c r="E1068" s="112">
        <v>2467.0480579999999</v>
      </c>
      <c r="F1068" s="112">
        <v>632.46473000000003</v>
      </c>
      <c r="G1068" s="112">
        <v>1842.886432</v>
      </c>
      <c r="H1068" s="112">
        <v>373.47706099999999</v>
      </c>
      <c r="I1068" s="112">
        <v>139.28427400000001</v>
      </c>
      <c r="J1068" s="112">
        <v>140.978714</v>
      </c>
      <c r="K1068" s="112">
        <v>1.6944399999999999</v>
      </c>
      <c r="L1068" s="112">
        <v>324.358991</v>
      </c>
      <c r="M1068" s="112">
        <v>322.65765499999998</v>
      </c>
      <c r="N1068" s="112">
        <v>1.701336</v>
      </c>
      <c r="O1068" s="110"/>
      <c r="P1068" s="110"/>
      <c r="Q1068" s="110"/>
    </row>
    <row r="1069" spans="1:17" s="117" customFormat="1" ht="17.5" customHeight="1">
      <c r="A1069" s="109" t="s">
        <v>7124</v>
      </c>
      <c r="B1069" s="109" t="s">
        <v>7125</v>
      </c>
      <c r="C1069" s="98">
        <v>2008</v>
      </c>
      <c r="D1069" s="99">
        <v>0</v>
      </c>
      <c r="E1069" s="99">
        <v>0</v>
      </c>
      <c r="F1069" s="99">
        <v>0</v>
      </c>
      <c r="G1069" s="99">
        <v>0</v>
      </c>
      <c r="H1069" s="99">
        <v>0</v>
      </c>
      <c r="I1069" s="99">
        <v>0</v>
      </c>
      <c r="J1069" s="99">
        <v>0</v>
      </c>
      <c r="K1069" s="99">
        <v>0</v>
      </c>
      <c r="L1069" s="99">
        <v>0</v>
      </c>
      <c r="M1069" s="99">
        <v>0</v>
      </c>
      <c r="N1069" s="99">
        <v>0</v>
      </c>
      <c r="O1069" s="100"/>
      <c r="P1069" s="100"/>
      <c r="Q1069" s="100"/>
    </row>
    <row r="1070" spans="1:17" s="117" customFormat="1" ht="17.5" customHeight="1">
      <c r="A1070" s="109" t="s">
        <v>7124</v>
      </c>
      <c r="B1070" s="109" t="s">
        <v>7125</v>
      </c>
      <c r="C1070" s="98">
        <v>2009</v>
      </c>
      <c r="D1070" s="99">
        <v>0</v>
      </c>
      <c r="E1070" s="99">
        <v>0</v>
      </c>
      <c r="F1070" s="99">
        <v>0</v>
      </c>
      <c r="G1070" s="99">
        <v>0</v>
      </c>
      <c r="H1070" s="99">
        <v>0</v>
      </c>
      <c r="I1070" s="99">
        <v>0</v>
      </c>
      <c r="J1070" s="99">
        <v>0</v>
      </c>
      <c r="K1070" s="99">
        <v>0</v>
      </c>
      <c r="L1070" s="99">
        <v>0</v>
      </c>
      <c r="M1070" s="99">
        <v>0</v>
      </c>
      <c r="N1070" s="99">
        <v>0</v>
      </c>
      <c r="O1070" s="100"/>
      <c r="P1070" s="100"/>
      <c r="Q1070" s="100"/>
    </row>
    <row r="1071" spans="1:17" s="117" customFormat="1" ht="17.5" customHeight="1">
      <c r="A1071" s="109" t="s">
        <v>7124</v>
      </c>
      <c r="B1071" s="109" t="s">
        <v>7125</v>
      </c>
      <c r="C1071" s="98">
        <v>2010</v>
      </c>
      <c r="D1071" s="99" t="s">
        <v>6953</v>
      </c>
      <c r="E1071" s="99" t="s">
        <v>6953</v>
      </c>
      <c r="F1071" s="99" t="s">
        <v>6953</v>
      </c>
      <c r="G1071" s="99" t="s">
        <v>6953</v>
      </c>
      <c r="H1071" s="99" t="s">
        <v>6953</v>
      </c>
      <c r="I1071" s="99" t="s">
        <v>6953</v>
      </c>
      <c r="J1071" s="99" t="s">
        <v>6953</v>
      </c>
      <c r="K1071" s="99" t="s">
        <v>6953</v>
      </c>
      <c r="L1071" s="99" t="s">
        <v>6953</v>
      </c>
      <c r="M1071" s="99" t="s">
        <v>6953</v>
      </c>
      <c r="N1071" s="99" t="s">
        <v>6953</v>
      </c>
      <c r="O1071" s="110"/>
      <c r="P1071" s="110"/>
      <c r="Q1071" s="110"/>
    </row>
    <row r="1072" spans="1:17" s="117" customFormat="1" ht="17.5" customHeight="1">
      <c r="A1072" s="109" t="s">
        <v>7124</v>
      </c>
      <c r="B1072" s="109" t="s">
        <v>7125</v>
      </c>
      <c r="C1072" s="98">
        <v>2011</v>
      </c>
      <c r="D1072" s="99" t="s">
        <v>6953</v>
      </c>
      <c r="E1072" s="99" t="s">
        <v>6953</v>
      </c>
      <c r="F1072" s="99" t="s">
        <v>6953</v>
      </c>
      <c r="G1072" s="99" t="s">
        <v>6953</v>
      </c>
      <c r="H1072" s="99" t="s">
        <v>6953</v>
      </c>
      <c r="I1072" s="99" t="s">
        <v>6953</v>
      </c>
      <c r="J1072" s="99" t="s">
        <v>6953</v>
      </c>
      <c r="K1072" s="99" t="s">
        <v>6953</v>
      </c>
      <c r="L1072" s="99" t="s">
        <v>6953</v>
      </c>
      <c r="M1072" s="99" t="s">
        <v>6953</v>
      </c>
      <c r="N1072" s="99" t="s">
        <v>6953</v>
      </c>
      <c r="O1072" s="110"/>
      <c r="P1072" s="110"/>
      <c r="Q1072" s="110"/>
    </row>
    <row r="1073" spans="1:17" s="117" customFormat="1" ht="17.5" customHeight="1">
      <c r="A1073" s="109" t="s">
        <v>7124</v>
      </c>
      <c r="B1073" s="109" t="s">
        <v>7125</v>
      </c>
      <c r="C1073" s="111">
        <v>2012</v>
      </c>
      <c r="D1073" s="112">
        <v>0</v>
      </c>
      <c r="E1073" s="112">
        <v>0</v>
      </c>
      <c r="F1073" s="112">
        <v>0</v>
      </c>
      <c r="G1073" s="112">
        <v>0</v>
      </c>
      <c r="H1073" s="112">
        <v>0</v>
      </c>
      <c r="I1073" s="112">
        <v>0</v>
      </c>
      <c r="J1073" s="112">
        <v>0</v>
      </c>
      <c r="K1073" s="112">
        <v>0</v>
      </c>
      <c r="L1073" s="112">
        <v>0</v>
      </c>
      <c r="M1073" s="112">
        <v>0</v>
      </c>
      <c r="N1073" s="112">
        <v>0</v>
      </c>
      <c r="O1073" s="110"/>
      <c r="P1073" s="110"/>
      <c r="Q1073" s="110"/>
    </row>
    <row r="1074" spans="1:17" s="117" customFormat="1" ht="17.5" customHeight="1">
      <c r="A1074" s="109" t="s">
        <v>7124</v>
      </c>
      <c r="B1074" s="109" t="s">
        <v>7125</v>
      </c>
      <c r="C1074" s="113">
        <v>2013</v>
      </c>
      <c r="D1074" s="99" t="s">
        <v>6953</v>
      </c>
      <c r="E1074" s="99" t="s">
        <v>6953</v>
      </c>
      <c r="F1074" s="99" t="s">
        <v>6953</v>
      </c>
      <c r="G1074" s="99" t="s">
        <v>6953</v>
      </c>
      <c r="H1074" s="99" t="s">
        <v>6953</v>
      </c>
      <c r="I1074" s="99" t="s">
        <v>6953</v>
      </c>
      <c r="J1074" s="99" t="s">
        <v>6953</v>
      </c>
      <c r="K1074" s="99" t="s">
        <v>6953</v>
      </c>
      <c r="L1074" s="99" t="s">
        <v>6953</v>
      </c>
      <c r="M1074" s="99" t="s">
        <v>6953</v>
      </c>
      <c r="N1074" s="99" t="s">
        <v>6953</v>
      </c>
      <c r="O1074" s="110"/>
      <c r="P1074" s="110"/>
      <c r="Q1074" s="110"/>
    </row>
    <row r="1075" spans="1:17" s="117" customFormat="1" ht="17.5" customHeight="1">
      <c r="A1075" s="109" t="s">
        <v>7124</v>
      </c>
      <c r="B1075" s="109" t="s">
        <v>7125</v>
      </c>
      <c r="C1075" s="113">
        <v>2014</v>
      </c>
      <c r="D1075" s="99" t="s">
        <v>6953</v>
      </c>
      <c r="E1075" s="99" t="s">
        <v>6953</v>
      </c>
      <c r="F1075" s="99" t="s">
        <v>6953</v>
      </c>
      <c r="G1075" s="99" t="s">
        <v>6953</v>
      </c>
      <c r="H1075" s="99" t="s">
        <v>6953</v>
      </c>
      <c r="I1075" s="99" t="s">
        <v>6953</v>
      </c>
      <c r="J1075" s="99" t="s">
        <v>6953</v>
      </c>
      <c r="K1075" s="99" t="s">
        <v>6953</v>
      </c>
      <c r="L1075" s="99" t="s">
        <v>6953</v>
      </c>
      <c r="M1075" s="99" t="s">
        <v>6953</v>
      </c>
      <c r="N1075" s="99" t="s">
        <v>6953</v>
      </c>
      <c r="O1075" s="100"/>
      <c r="P1075" s="100"/>
      <c r="Q1075" s="100"/>
    </row>
    <row r="1076" spans="1:17" s="117" customFormat="1" ht="17.5" customHeight="1">
      <c r="A1076" s="109" t="s">
        <v>7124</v>
      </c>
      <c r="B1076" s="109" t="s">
        <v>7125</v>
      </c>
      <c r="C1076" s="113">
        <v>2015</v>
      </c>
      <c r="D1076" s="99" t="s">
        <v>6953</v>
      </c>
      <c r="E1076" s="99" t="s">
        <v>6953</v>
      </c>
      <c r="F1076" s="99" t="s">
        <v>6953</v>
      </c>
      <c r="G1076" s="99" t="s">
        <v>6953</v>
      </c>
      <c r="H1076" s="99" t="s">
        <v>6953</v>
      </c>
      <c r="I1076" s="99" t="s">
        <v>6953</v>
      </c>
      <c r="J1076" s="99" t="s">
        <v>6953</v>
      </c>
      <c r="K1076" s="99" t="s">
        <v>6953</v>
      </c>
      <c r="L1076" s="99" t="s">
        <v>6953</v>
      </c>
      <c r="M1076" s="99" t="s">
        <v>6953</v>
      </c>
      <c r="N1076" s="99" t="s">
        <v>6953</v>
      </c>
      <c r="O1076" s="110"/>
      <c r="P1076" s="110"/>
      <c r="Q1076" s="110"/>
    </row>
    <row r="1077" spans="1:17" s="117" customFormat="1" ht="17.5" customHeight="1">
      <c r="A1077" s="109" t="s">
        <v>7124</v>
      </c>
      <c r="B1077" s="109" t="s">
        <v>7125</v>
      </c>
      <c r="C1077" s="113">
        <v>2016</v>
      </c>
      <c r="D1077" s="99" t="s">
        <v>6953</v>
      </c>
      <c r="E1077" s="99" t="s">
        <v>6953</v>
      </c>
      <c r="F1077" s="99" t="s">
        <v>6953</v>
      </c>
      <c r="G1077" s="99" t="s">
        <v>6953</v>
      </c>
      <c r="H1077" s="99" t="s">
        <v>6953</v>
      </c>
      <c r="I1077" s="99" t="s">
        <v>6953</v>
      </c>
      <c r="J1077" s="99" t="s">
        <v>6953</v>
      </c>
      <c r="K1077" s="99" t="s">
        <v>6953</v>
      </c>
      <c r="L1077" s="99" t="s">
        <v>6953</v>
      </c>
      <c r="M1077" s="99" t="s">
        <v>6953</v>
      </c>
      <c r="N1077" s="99" t="s">
        <v>6953</v>
      </c>
      <c r="O1077" s="100"/>
      <c r="P1077" s="100"/>
      <c r="Q1077" s="100"/>
    </row>
    <row r="1078" spans="1:17" s="117" customFormat="1" ht="17.5" customHeight="1">
      <c r="A1078" s="109" t="s">
        <v>7124</v>
      </c>
      <c r="B1078" s="109" t="s">
        <v>7125</v>
      </c>
      <c r="C1078" s="113">
        <v>2017</v>
      </c>
      <c r="D1078" s="99" t="s">
        <v>6953</v>
      </c>
      <c r="E1078" s="99" t="s">
        <v>6953</v>
      </c>
      <c r="F1078" s="99" t="s">
        <v>6953</v>
      </c>
      <c r="G1078" s="99" t="s">
        <v>6953</v>
      </c>
      <c r="H1078" s="99" t="s">
        <v>6953</v>
      </c>
      <c r="I1078" s="99" t="s">
        <v>6953</v>
      </c>
      <c r="J1078" s="99" t="s">
        <v>6953</v>
      </c>
      <c r="K1078" s="99" t="s">
        <v>6953</v>
      </c>
      <c r="L1078" s="99" t="s">
        <v>6953</v>
      </c>
      <c r="M1078" s="99" t="s">
        <v>6953</v>
      </c>
      <c r="N1078" s="99" t="s">
        <v>6953</v>
      </c>
      <c r="O1078" s="100"/>
      <c r="P1078" s="100"/>
      <c r="Q1078" s="100"/>
    </row>
    <row r="1079" spans="1:17" s="117" customFormat="1" ht="17.5" customHeight="1">
      <c r="A1079" s="109" t="s">
        <v>7124</v>
      </c>
      <c r="B1079" s="109" t="s">
        <v>7125</v>
      </c>
      <c r="C1079" s="113">
        <v>2018</v>
      </c>
      <c r="D1079" s="112">
        <v>0</v>
      </c>
      <c r="E1079" s="112">
        <v>0</v>
      </c>
      <c r="F1079" s="112">
        <v>0</v>
      </c>
      <c r="G1079" s="112">
        <v>0</v>
      </c>
      <c r="H1079" s="112">
        <v>0</v>
      </c>
      <c r="I1079" s="112">
        <v>0</v>
      </c>
      <c r="J1079" s="112">
        <v>0</v>
      </c>
      <c r="K1079" s="112">
        <v>0</v>
      </c>
      <c r="L1079" s="112">
        <v>0</v>
      </c>
      <c r="M1079" s="112">
        <v>0</v>
      </c>
      <c r="N1079" s="112">
        <v>0</v>
      </c>
      <c r="O1079" s="110"/>
      <c r="P1079" s="110"/>
      <c r="Q1079" s="110"/>
    </row>
    <row r="1080" spans="1:17" s="117" customFormat="1" ht="17.5" customHeight="1">
      <c r="A1080" s="109" t="s">
        <v>7124</v>
      </c>
      <c r="B1080" s="109" t="s">
        <v>7125</v>
      </c>
      <c r="C1080" s="113">
        <v>2019</v>
      </c>
      <c r="D1080" s="112">
        <v>0</v>
      </c>
      <c r="E1080" s="112">
        <v>0</v>
      </c>
      <c r="F1080" s="112">
        <v>0</v>
      </c>
      <c r="G1080" s="112">
        <v>0</v>
      </c>
      <c r="H1080" s="112">
        <v>0</v>
      </c>
      <c r="I1080" s="112">
        <v>0</v>
      </c>
      <c r="J1080" s="112">
        <v>0</v>
      </c>
      <c r="K1080" s="112">
        <v>0</v>
      </c>
      <c r="L1080" s="112">
        <v>0</v>
      </c>
      <c r="M1080" s="112">
        <v>0</v>
      </c>
      <c r="N1080" s="112">
        <v>0</v>
      </c>
      <c r="O1080" s="110"/>
      <c r="P1080" s="110"/>
      <c r="Q1080" s="110"/>
    </row>
    <row r="1081" spans="1:17" s="117" customFormat="1" ht="17.5" customHeight="1">
      <c r="A1081" s="114" t="s">
        <v>7124</v>
      </c>
      <c r="B1081" s="114" t="s">
        <v>7125</v>
      </c>
      <c r="C1081" s="113">
        <v>2020</v>
      </c>
      <c r="D1081" s="112">
        <v>0</v>
      </c>
      <c r="E1081" s="112">
        <v>0</v>
      </c>
      <c r="F1081" s="112">
        <v>0</v>
      </c>
      <c r="G1081" s="112">
        <v>0</v>
      </c>
      <c r="H1081" s="112">
        <v>0</v>
      </c>
      <c r="I1081" s="112">
        <v>0</v>
      </c>
      <c r="J1081" s="112">
        <v>0</v>
      </c>
      <c r="K1081" s="112">
        <v>0</v>
      </c>
      <c r="L1081" s="112">
        <v>0</v>
      </c>
      <c r="M1081" s="112">
        <v>0</v>
      </c>
      <c r="N1081" s="112">
        <v>0</v>
      </c>
      <c r="O1081" s="100"/>
      <c r="P1081" s="100"/>
      <c r="Q1081" s="100"/>
    </row>
    <row r="1082" spans="1:17" s="117" customFormat="1" ht="17.5" customHeight="1">
      <c r="A1082" s="109" t="s">
        <v>7126</v>
      </c>
      <c r="B1082" s="109" t="s">
        <v>7127</v>
      </c>
      <c r="C1082" s="98">
        <v>2008</v>
      </c>
      <c r="D1082" s="99">
        <v>295</v>
      </c>
      <c r="E1082" s="99">
        <v>3425</v>
      </c>
      <c r="F1082" s="99">
        <v>734</v>
      </c>
      <c r="G1082" s="99">
        <v>2732</v>
      </c>
      <c r="H1082" s="99">
        <v>472</v>
      </c>
      <c r="I1082" s="99">
        <v>97</v>
      </c>
      <c r="J1082" s="99">
        <v>102</v>
      </c>
      <c r="K1082" s="99">
        <v>5</v>
      </c>
      <c r="L1082" s="99">
        <v>328</v>
      </c>
      <c r="M1082" s="99">
        <v>289</v>
      </c>
      <c r="N1082" s="99">
        <v>39</v>
      </c>
      <c r="O1082" s="100"/>
      <c r="P1082" s="100"/>
      <c r="Q1082" s="100"/>
    </row>
    <row r="1083" spans="1:17" s="117" customFormat="1" ht="17.5" customHeight="1">
      <c r="A1083" s="109" t="s">
        <v>7126</v>
      </c>
      <c r="B1083" s="109" t="s">
        <v>7127</v>
      </c>
      <c r="C1083" s="98">
        <v>2009</v>
      </c>
      <c r="D1083" s="99">
        <v>277</v>
      </c>
      <c r="E1083" s="99">
        <v>2991</v>
      </c>
      <c r="F1083" s="99">
        <v>658</v>
      </c>
      <c r="G1083" s="99">
        <v>2332</v>
      </c>
      <c r="H1083" s="99">
        <v>455</v>
      </c>
      <c r="I1083" s="99">
        <v>60</v>
      </c>
      <c r="J1083" s="99">
        <v>69</v>
      </c>
      <c r="K1083" s="99">
        <v>9</v>
      </c>
      <c r="L1083" s="99">
        <v>268</v>
      </c>
      <c r="M1083" s="99">
        <v>270</v>
      </c>
      <c r="N1083" s="99">
        <v>-2</v>
      </c>
      <c r="O1083" s="110"/>
      <c r="P1083" s="110"/>
      <c r="Q1083" s="110"/>
    </row>
    <row r="1084" spans="1:17" s="117" customFormat="1" ht="17.5" customHeight="1">
      <c r="A1084" s="109" t="s">
        <v>7126</v>
      </c>
      <c r="B1084" s="109" t="s">
        <v>7127</v>
      </c>
      <c r="C1084" s="98">
        <v>2010</v>
      </c>
      <c r="D1084" s="99" t="s">
        <v>6953</v>
      </c>
      <c r="E1084" s="99" t="s">
        <v>6953</v>
      </c>
      <c r="F1084" s="99" t="s">
        <v>6953</v>
      </c>
      <c r="G1084" s="99" t="s">
        <v>6953</v>
      </c>
      <c r="H1084" s="99" t="s">
        <v>6953</v>
      </c>
      <c r="I1084" s="99" t="s">
        <v>6953</v>
      </c>
      <c r="J1084" s="99" t="s">
        <v>6953</v>
      </c>
      <c r="K1084" s="99" t="s">
        <v>6953</v>
      </c>
      <c r="L1084" s="99" t="s">
        <v>6953</v>
      </c>
      <c r="M1084" s="99" t="s">
        <v>6953</v>
      </c>
      <c r="N1084" s="99" t="s">
        <v>6953</v>
      </c>
      <c r="O1084" s="110"/>
      <c r="P1084" s="110"/>
      <c r="Q1084" s="110"/>
    </row>
    <row r="1085" spans="1:17" s="117" customFormat="1" ht="17.5" customHeight="1">
      <c r="A1085" s="109" t="s">
        <v>7126</v>
      </c>
      <c r="B1085" s="109" t="s">
        <v>7127</v>
      </c>
      <c r="C1085" s="98">
        <v>2011</v>
      </c>
      <c r="D1085" s="99" t="s">
        <v>6953</v>
      </c>
      <c r="E1085" s="99" t="s">
        <v>6953</v>
      </c>
      <c r="F1085" s="99" t="s">
        <v>6953</v>
      </c>
      <c r="G1085" s="99" t="s">
        <v>6953</v>
      </c>
      <c r="H1085" s="99" t="s">
        <v>6953</v>
      </c>
      <c r="I1085" s="99" t="s">
        <v>6953</v>
      </c>
      <c r="J1085" s="99" t="s">
        <v>6953</v>
      </c>
      <c r="K1085" s="99" t="s">
        <v>6953</v>
      </c>
      <c r="L1085" s="99" t="s">
        <v>6953</v>
      </c>
      <c r="M1085" s="99" t="s">
        <v>6953</v>
      </c>
      <c r="N1085" s="99" t="s">
        <v>6953</v>
      </c>
      <c r="O1085" s="110"/>
      <c r="P1085" s="110"/>
      <c r="Q1085" s="110"/>
    </row>
    <row r="1086" spans="1:17" s="117" customFormat="1" ht="17.5" customHeight="1">
      <c r="A1086" s="109" t="s">
        <v>7126</v>
      </c>
      <c r="B1086" s="109" t="s">
        <v>7127</v>
      </c>
      <c r="C1086" s="111">
        <v>2012</v>
      </c>
      <c r="D1086" s="112">
        <v>247</v>
      </c>
      <c r="E1086" s="112">
        <v>3008</v>
      </c>
      <c r="F1086" s="112">
        <v>776</v>
      </c>
      <c r="G1086" s="112">
        <v>2204</v>
      </c>
      <c r="H1086" s="112">
        <v>424</v>
      </c>
      <c r="I1086" s="112">
        <v>120</v>
      </c>
      <c r="J1086" s="112">
        <v>129</v>
      </c>
      <c r="K1086" s="112">
        <v>9</v>
      </c>
      <c r="L1086" s="112">
        <v>308</v>
      </c>
      <c r="M1086" s="112">
        <v>338</v>
      </c>
      <c r="N1086" s="112">
        <v>-29</v>
      </c>
      <c r="O1086" s="110"/>
      <c r="P1086" s="110"/>
      <c r="Q1086" s="110"/>
    </row>
    <row r="1087" spans="1:17" s="117" customFormat="1" ht="17.5" customHeight="1">
      <c r="A1087" s="109" t="s">
        <v>7126</v>
      </c>
      <c r="B1087" s="109" t="s">
        <v>7127</v>
      </c>
      <c r="C1087" s="113">
        <v>2013</v>
      </c>
      <c r="D1087" s="99" t="s">
        <v>6953</v>
      </c>
      <c r="E1087" s="99" t="s">
        <v>6953</v>
      </c>
      <c r="F1087" s="99" t="s">
        <v>6953</v>
      </c>
      <c r="G1087" s="99" t="s">
        <v>6953</v>
      </c>
      <c r="H1087" s="99" t="s">
        <v>6953</v>
      </c>
      <c r="I1087" s="99" t="s">
        <v>6953</v>
      </c>
      <c r="J1087" s="99" t="s">
        <v>6953</v>
      </c>
      <c r="K1087" s="99" t="s">
        <v>6953</v>
      </c>
      <c r="L1087" s="99" t="s">
        <v>6953</v>
      </c>
      <c r="M1087" s="99" t="s">
        <v>6953</v>
      </c>
      <c r="N1087" s="99" t="s">
        <v>6953</v>
      </c>
      <c r="O1087" s="100"/>
      <c r="P1087" s="100"/>
      <c r="Q1087" s="100"/>
    </row>
    <row r="1088" spans="1:17" s="117" customFormat="1" ht="17.5" customHeight="1">
      <c r="A1088" s="109" t="s">
        <v>7126</v>
      </c>
      <c r="B1088" s="109" t="s">
        <v>7127</v>
      </c>
      <c r="C1088" s="113">
        <v>2014</v>
      </c>
      <c r="D1088" s="99" t="s">
        <v>6953</v>
      </c>
      <c r="E1088" s="99" t="s">
        <v>6953</v>
      </c>
      <c r="F1088" s="99" t="s">
        <v>6953</v>
      </c>
      <c r="G1088" s="99" t="s">
        <v>6953</v>
      </c>
      <c r="H1088" s="99" t="s">
        <v>6953</v>
      </c>
      <c r="I1088" s="99" t="s">
        <v>6953</v>
      </c>
      <c r="J1088" s="99" t="s">
        <v>6953</v>
      </c>
      <c r="K1088" s="99" t="s">
        <v>6953</v>
      </c>
      <c r="L1088" s="99" t="s">
        <v>6953</v>
      </c>
      <c r="M1088" s="99" t="s">
        <v>6953</v>
      </c>
      <c r="N1088" s="99" t="s">
        <v>6953</v>
      </c>
      <c r="O1088" s="110"/>
      <c r="P1088" s="110"/>
      <c r="Q1088" s="110"/>
    </row>
    <row r="1089" spans="1:17" s="117" customFormat="1" ht="17.5" customHeight="1">
      <c r="A1089" s="109" t="s">
        <v>7126</v>
      </c>
      <c r="B1089" s="109" t="s">
        <v>7127</v>
      </c>
      <c r="C1089" s="113">
        <v>2015</v>
      </c>
      <c r="D1089" s="99" t="s">
        <v>6953</v>
      </c>
      <c r="E1089" s="99" t="s">
        <v>6953</v>
      </c>
      <c r="F1089" s="99" t="s">
        <v>6953</v>
      </c>
      <c r="G1089" s="99" t="s">
        <v>6953</v>
      </c>
      <c r="H1089" s="99" t="s">
        <v>6953</v>
      </c>
      <c r="I1089" s="99" t="s">
        <v>6953</v>
      </c>
      <c r="J1089" s="99" t="s">
        <v>6953</v>
      </c>
      <c r="K1089" s="99" t="s">
        <v>6953</v>
      </c>
      <c r="L1089" s="99" t="s">
        <v>6953</v>
      </c>
      <c r="M1089" s="99" t="s">
        <v>6953</v>
      </c>
      <c r="N1089" s="99" t="s">
        <v>6953</v>
      </c>
      <c r="O1089" s="100"/>
      <c r="P1089" s="100"/>
      <c r="Q1089" s="100"/>
    </row>
    <row r="1090" spans="1:17" s="117" customFormat="1" ht="17.5" customHeight="1">
      <c r="A1090" s="109" t="s">
        <v>7126</v>
      </c>
      <c r="B1090" s="109" t="s">
        <v>7127</v>
      </c>
      <c r="C1090" s="113">
        <v>2016</v>
      </c>
      <c r="D1090" s="99" t="s">
        <v>6953</v>
      </c>
      <c r="E1090" s="99" t="s">
        <v>6953</v>
      </c>
      <c r="F1090" s="99" t="s">
        <v>6953</v>
      </c>
      <c r="G1090" s="99" t="s">
        <v>6953</v>
      </c>
      <c r="H1090" s="99" t="s">
        <v>6953</v>
      </c>
      <c r="I1090" s="99" t="s">
        <v>6953</v>
      </c>
      <c r="J1090" s="99" t="s">
        <v>6953</v>
      </c>
      <c r="K1090" s="99" t="s">
        <v>6953</v>
      </c>
      <c r="L1090" s="99" t="s">
        <v>6953</v>
      </c>
      <c r="M1090" s="99" t="s">
        <v>6953</v>
      </c>
      <c r="N1090" s="99" t="s">
        <v>6953</v>
      </c>
      <c r="O1090" s="100"/>
      <c r="P1090" s="100"/>
      <c r="Q1090" s="100"/>
    </row>
    <row r="1091" spans="1:17" s="117" customFormat="1" ht="17.5" customHeight="1">
      <c r="A1091" s="109" t="s">
        <v>7126</v>
      </c>
      <c r="B1091" s="109" t="s">
        <v>7127</v>
      </c>
      <c r="C1091" s="113">
        <v>2017</v>
      </c>
      <c r="D1091" s="99" t="s">
        <v>6953</v>
      </c>
      <c r="E1091" s="99" t="s">
        <v>6953</v>
      </c>
      <c r="F1091" s="99" t="s">
        <v>6953</v>
      </c>
      <c r="G1091" s="99" t="s">
        <v>6953</v>
      </c>
      <c r="H1091" s="99" t="s">
        <v>6953</v>
      </c>
      <c r="I1091" s="99" t="s">
        <v>6953</v>
      </c>
      <c r="J1091" s="99" t="s">
        <v>6953</v>
      </c>
      <c r="K1091" s="99" t="s">
        <v>6953</v>
      </c>
      <c r="L1091" s="99" t="s">
        <v>6953</v>
      </c>
      <c r="M1091" s="99" t="s">
        <v>6953</v>
      </c>
      <c r="N1091" s="99" t="s">
        <v>6953</v>
      </c>
      <c r="O1091" s="110"/>
      <c r="P1091" s="110"/>
      <c r="Q1091" s="110"/>
    </row>
    <row r="1092" spans="1:17" s="117" customFormat="1" ht="17.5" customHeight="1">
      <c r="A1092" s="109" t="s">
        <v>7126</v>
      </c>
      <c r="B1092" s="109" t="s">
        <v>7127</v>
      </c>
      <c r="C1092" s="113">
        <v>2018</v>
      </c>
      <c r="D1092" s="112">
        <v>238</v>
      </c>
      <c r="E1092" s="112">
        <v>3021</v>
      </c>
      <c r="F1092" s="112">
        <v>841</v>
      </c>
      <c r="G1092" s="112">
        <v>2227</v>
      </c>
      <c r="H1092" s="112">
        <v>390</v>
      </c>
      <c r="I1092" s="112">
        <v>104</v>
      </c>
      <c r="J1092" s="112">
        <v>108</v>
      </c>
      <c r="K1092" s="112">
        <v>5</v>
      </c>
      <c r="L1092" s="112">
        <v>314</v>
      </c>
      <c r="M1092" s="112">
        <v>284</v>
      </c>
      <c r="N1092" s="112">
        <v>29</v>
      </c>
      <c r="O1092" s="110"/>
      <c r="P1092" s="110"/>
      <c r="Q1092" s="110"/>
    </row>
    <row r="1093" spans="1:17" s="117" customFormat="1" ht="17.5" customHeight="1">
      <c r="A1093" s="109" t="s">
        <v>7126</v>
      </c>
      <c r="B1093" s="109" t="s">
        <v>7127</v>
      </c>
      <c r="C1093" s="113">
        <v>2019</v>
      </c>
      <c r="D1093" s="112">
        <v>228</v>
      </c>
      <c r="E1093" s="112">
        <v>2865.1019510000001</v>
      </c>
      <c r="F1093" s="112">
        <v>686.65757099999996</v>
      </c>
      <c r="G1093" s="112">
        <v>2178.3373609999999</v>
      </c>
      <c r="H1093" s="112">
        <v>364.69571300000001</v>
      </c>
      <c r="I1093" s="112">
        <v>118.92969100000001</v>
      </c>
      <c r="J1093" s="112">
        <v>119.696797</v>
      </c>
      <c r="K1093" s="112">
        <v>0.76710599999999995</v>
      </c>
      <c r="L1093" s="112">
        <v>283.02988299999998</v>
      </c>
      <c r="M1093" s="112">
        <v>287.47806200000002</v>
      </c>
      <c r="N1093" s="112">
        <v>-4.4481789999999997</v>
      </c>
      <c r="O1093" s="100"/>
      <c r="P1093" s="100"/>
      <c r="Q1093" s="100"/>
    </row>
    <row r="1094" spans="1:17" s="117" customFormat="1" ht="17.5" customHeight="1">
      <c r="A1094" s="114" t="s">
        <v>7126</v>
      </c>
      <c r="B1094" s="114" t="s">
        <v>7127</v>
      </c>
      <c r="C1094" s="113">
        <v>2020</v>
      </c>
      <c r="D1094" s="112">
        <v>235</v>
      </c>
      <c r="E1094" s="112">
        <v>2467.0480579999999</v>
      </c>
      <c r="F1094" s="112">
        <v>632.46473000000003</v>
      </c>
      <c r="G1094" s="112">
        <v>1842.886432</v>
      </c>
      <c r="H1094" s="112">
        <v>373.47706099999999</v>
      </c>
      <c r="I1094" s="112">
        <v>139.28427400000001</v>
      </c>
      <c r="J1094" s="112">
        <v>140.978714</v>
      </c>
      <c r="K1094" s="112">
        <v>1.6944399999999999</v>
      </c>
      <c r="L1094" s="112">
        <v>324.358991</v>
      </c>
      <c r="M1094" s="112">
        <v>322.65765499999998</v>
      </c>
      <c r="N1094" s="112">
        <v>1.701336</v>
      </c>
      <c r="O1094" s="100"/>
      <c r="P1094" s="100"/>
      <c r="Q1094" s="100"/>
    </row>
    <row r="1095" spans="1:17" s="117" customFormat="1" ht="17.5" customHeight="1">
      <c r="A1095" s="109" t="s">
        <v>7128</v>
      </c>
      <c r="B1095" s="109" t="s">
        <v>7129</v>
      </c>
      <c r="C1095" s="98">
        <v>2008</v>
      </c>
      <c r="D1095" s="99">
        <v>2331</v>
      </c>
      <c r="E1095" s="99">
        <v>7369</v>
      </c>
      <c r="F1095" s="99">
        <v>2026</v>
      </c>
      <c r="G1095" s="99">
        <v>5326</v>
      </c>
      <c r="H1095" s="99">
        <v>1339</v>
      </c>
      <c r="I1095" s="99">
        <v>124</v>
      </c>
      <c r="J1095" s="99">
        <v>179</v>
      </c>
      <c r="K1095" s="99">
        <v>55</v>
      </c>
      <c r="L1095" s="99">
        <v>544</v>
      </c>
      <c r="M1095" s="99">
        <v>552</v>
      </c>
      <c r="N1095" s="99">
        <v>-7</v>
      </c>
      <c r="O1095" s="110"/>
      <c r="P1095" s="110"/>
      <c r="Q1095" s="110"/>
    </row>
    <row r="1096" spans="1:17" s="117" customFormat="1" ht="17.5" customHeight="1">
      <c r="A1096" s="109" t="s">
        <v>7128</v>
      </c>
      <c r="B1096" s="109" t="s">
        <v>7129</v>
      </c>
      <c r="C1096" s="98">
        <v>2009</v>
      </c>
      <c r="D1096" s="99">
        <v>1604</v>
      </c>
      <c r="E1096" s="99">
        <v>7882</v>
      </c>
      <c r="F1096" s="99">
        <v>2309</v>
      </c>
      <c r="G1096" s="99">
        <v>5557</v>
      </c>
      <c r="H1096" s="99">
        <v>1374</v>
      </c>
      <c r="I1096" s="99">
        <v>74</v>
      </c>
      <c r="J1096" s="99">
        <v>164</v>
      </c>
      <c r="K1096" s="99">
        <v>89</v>
      </c>
      <c r="L1096" s="99">
        <v>504</v>
      </c>
      <c r="M1096" s="99">
        <v>523</v>
      </c>
      <c r="N1096" s="99">
        <v>-18</v>
      </c>
      <c r="O1096" s="110"/>
      <c r="P1096" s="110"/>
      <c r="Q1096" s="110"/>
    </row>
    <row r="1097" spans="1:17" s="117" customFormat="1" ht="17.5" customHeight="1">
      <c r="A1097" s="109" t="s">
        <v>7128</v>
      </c>
      <c r="B1097" s="109" t="s">
        <v>7129</v>
      </c>
      <c r="C1097" s="98">
        <v>2010</v>
      </c>
      <c r="D1097" s="99">
        <v>1504</v>
      </c>
      <c r="E1097" s="99">
        <v>7817</v>
      </c>
      <c r="F1097" s="99">
        <v>2912</v>
      </c>
      <c r="G1097" s="99">
        <v>4942</v>
      </c>
      <c r="H1097" s="99">
        <v>1394</v>
      </c>
      <c r="I1097" s="99">
        <v>98</v>
      </c>
      <c r="J1097" s="99">
        <v>156</v>
      </c>
      <c r="K1097" s="99">
        <v>59</v>
      </c>
      <c r="L1097" s="99">
        <v>649</v>
      </c>
      <c r="M1097" s="99">
        <v>606</v>
      </c>
      <c r="N1097" s="99">
        <v>43</v>
      </c>
      <c r="O1097" s="110"/>
      <c r="P1097" s="110"/>
      <c r="Q1097" s="110"/>
    </row>
    <row r="1098" spans="1:17" s="117" customFormat="1" ht="17.5" customHeight="1">
      <c r="A1098" s="109" t="s">
        <v>7128</v>
      </c>
      <c r="B1098" s="109" t="s">
        <v>7129</v>
      </c>
      <c r="C1098" s="98">
        <v>2011</v>
      </c>
      <c r="D1098" s="99">
        <v>1416</v>
      </c>
      <c r="E1098" s="99">
        <v>8059</v>
      </c>
      <c r="F1098" s="99">
        <v>3160</v>
      </c>
      <c r="G1098" s="99">
        <v>4981</v>
      </c>
      <c r="H1098" s="99">
        <v>1447</v>
      </c>
      <c r="I1098" s="99">
        <v>196</v>
      </c>
      <c r="J1098" s="99">
        <v>230</v>
      </c>
      <c r="K1098" s="99">
        <v>35</v>
      </c>
      <c r="L1098" s="99">
        <v>621</v>
      </c>
      <c r="M1098" s="99">
        <v>547</v>
      </c>
      <c r="N1098" s="99">
        <v>74</v>
      </c>
      <c r="O1098" s="110"/>
      <c r="P1098" s="110"/>
      <c r="Q1098" s="110"/>
    </row>
    <row r="1099" spans="1:17" s="117" customFormat="1" ht="17.5" customHeight="1">
      <c r="A1099" s="109" t="s">
        <v>7128</v>
      </c>
      <c r="B1099" s="109" t="s">
        <v>7129</v>
      </c>
      <c r="C1099" s="111">
        <v>2012</v>
      </c>
      <c r="D1099" s="112">
        <v>1329</v>
      </c>
      <c r="E1099" s="112">
        <v>7818</v>
      </c>
      <c r="F1099" s="112">
        <v>3083</v>
      </c>
      <c r="G1099" s="112">
        <v>4706</v>
      </c>
      <c r="H1099" s="112">
        <v>1370</v>
      </c>
      <c r="I1099" s="112">
        <v>220</v>
      </c>
      <c r="J1099" s="112">
        <v>250</v>
      </c>
      <c r="K1099" s="112">
        <v>30</v>
      </c>
      <c r="L1099" s="112">
        <v>523</v>
      </c>
      <c r="M1099" s="112">
        <v>560</v>
      </c>
      <c r="N1099" s="112">
        <v>-37</v>
      </c>
      <c r="O1099" s="100"/>
      <c r="P1099" s="100"/>
      <c r="Q1099" s="100"/>
    </row>
    <row r="1100" spans="1:17" s="117" customFormat="1" ht="17.5" customHeight="1">
      <c r="A1100" s="109" t="s">
        <v>7128</v>
      </c>
      <c r="B1100" s="109" t="s">
        <v>7129</v>
      </c>
      <c r="C1100" s="113">
        <v>2013</v>
      </c>
      <c r="D1100" s="112">
        <v>1300</v>
      </c>
      <c r="E1100" s="112">
        <v>8315</v>
      </c>
      <c r="F1100" s="112">
        <v>3115</v>
      </c>
      <c r="G1100" s="112">
        <v>5259</v>
      </c>
      <c r="H1100" s="112">
        <v>1425</v>
      </c>
      <c r="I1100" s="112">
        <v>248</v>
      </c>
      <c r="J1100" s="112">
        <v>282</v>
      </c>
      <c r="K1100" s="112">
        <v>34</v>
      </c>
      <c r="L1100" s="112">
        <v>598</v>
      </c>
      <c r="M1100" s="112">
        <v>538</v>
      </c>
      <c r="N1100" s="112">
        <v>59</v>
      </c>
      <c r="O1100" s="110"/>
      <c r="P1100" s="110"/>
      <c r="Q1100" s="110"/>
    </row>
    <row r="1101" spans="1:17" s="117" customFormat="1" ht="17.5" customHeight="1">
      <c r="A1101" s="109" t="s">
        <v>7128</v>
      </c>
      <c r="B1101" s="109" t="s">
        <v>7129</v>
      </c>
      <c r="C1101" s="113">
        <v>2014</v>
      </c>
      <c r="D1101" s="99">
        <v>1281</v>
      </c>
      <c r="E1101" s="99">
        <v>8340</v>
      </c>
      <c r="F1101" s="99">
        <v>3197</v>
      </c>
      <c r="G1101" s="99">
        <v>5170</v>
      </c>
      <c r="H1101" s="99">
        <v>1472</v>
      </c>
      <c r="I1101" s="99">
        <v>289</v>
      </c>
      <c r="J1101" s="99">
        <v>317</v>
      </c>
      <c r="K1101" s="99">
        <v>28</v>
      </c>
      <c r="L1101" s="99">
        <v>626</v>
      </c>
      <c r="M1101" s="99">
        <v>602</v>
      </c>
      <c r="N1101" s="99">
        <v>24</v>
      </c>
      <c r="O1101" s="100"/>
      <c r="P1101" s="100"/>
      <c r="Q1101" s="100"/>
    </row>
    <row r="1102" spans="1:17" s="117" customFormat="1" ht="17.5" customHeight="1">
      <c r="A1102" s="109" t="s">
        <v>7128</v>
      </c>
      <c r="B1102" s="109" t="s">
        <v>7129</v>
      </c>
      <c r="C1102" s="113">
        <v>2015</v>
      </c>
      <c r="D1102" s="112">
        <v>1274</v>
      </c>
      <c r="E1102" s="112">
        <v>8601</v>
      </c>
      <c r="F1102" s="112">
        <v>2749</v>
      </c>
      <c r="G1102" s="112">
        <v>5874</v>
      </c>
      <c r="H1102" s="112">
        <v>1464</v>
      </c>
      <c r="I1102" s="112">
        <v>378</v>
      </c>
      <c r="J1102" s="112">
        <v>393</v>
      </c>
      <c r="K1102" s="112">
        <v>16</v>
      </c>
      <c r="L1102" s="112">
        <v>646</v>
      </c>
      <c r="M1102" s="112">
        <v>636</v>
      </c>
      <c r="N1102" s="112">
        <v>10</v>
      </c>
      <c r="O1102" s="100"/>
      <c r="P1102" s="100"/>
      <c r="Q1102" s="100"/>
    </row>
    <row r="1103" spans="1:17" s="117" customFormat="1" ht="17.5" customHeight="1">
      <c r="A1103" s="109" t="s">
        <v>7128</v>
      </c>
      <c r="B1103" s="109" t="s">
        <v>7129</v>
      </c>
      <c r="C1103" s="113">
        <v>2016</v>
      </c>
      <c r="D1103" s="112">
        <v>1249</v>
      </c>
      <c r="E1103" s="112">
        <v>8497</v>
      </c>
      <c r="F1103" s="112">
        <v>2786</v>
      </c>
      <c r="G1103" s="112">
        <v>5769</v>
      </c>
      <c r="H1103" s="112">
        <v>1440</v>
      </c>
      <c r="I1103" s="112">
        <v>377</v>
      </c>
      <c r="J1103" s="112">
        <v>413</v>
      </c>
      <c r="K1103" s="112">
        <v>36</v>
      </c>
      <c r="L1103" s="112">
        <v>648</v>
      </c>
      <c r="M1103" s="112">
        <v>621</v>
      </c>
      <c r="N1103" s="112">
        <v>27</v>
      </c>
      <c r="O1103" s="110"/>
      <c r="P1103" s="110"/>
      <c r="Q1103" s="110"/>
    </row>
    <row r="1104" spans="1:17" s="117" customFormat="1" ht="17.5" customHeight="1">
      <c r="A1104" s="109" t="s">
        <v>7128</v>
      </c>
      <c r="B1104" s="109" t="s">
        <v>7129</v>
      </c>
      <c r="C1104" s="113">
        <v>2017</v>
      </c>
      <c r="D1104" s="112">
        <v>1214</v>
      </c>
      <c r="E1104" s="112">
        <v>8822</v>
      </c>
      <c r="F1104" s="112">
        <v>2607</v>
      </c>
      <c r="G1104" s="112">
        <v>6241</v>
      </c>
      <c r="H1104" s="112">
        <v>1500</v>
      </c>
      <c r="I1104" s="112">
        <v>338</v>
      </c>
      <c r="J1104" s="112">
        <v>367</v>
      </c>
      <c r="K1104" s="112">
        <v>29</v>
      </c>
      <c r="L1104" s="112">
        <v>656</v>
      </c>
      <c r="M1104" s="112">
        <v>641</v>
      </c>
      <c r="N1104" s="112">
        <v>15</v>
      </c>
      <c r="O1104" s="110"/>
      <c r="P1104" s="110"/>
      <c r="Q1104" s="110"/>
    </row>
    <row r="1105" spans="1:17" s="117" customFormat="1" ht="17.5" customHeight="1">
      <c r="A1105" s="109" t="s">
        <v>7128</v>
      </c>
      <c r="B1105" s="109" t="s">
        <v>7129</v>
      </c>
      <c r="C1105" s="113">
        <v>2018</v>
      </c>
      <c r="D1105" s="112">
        <v>1179</v>
      </c>
      <c r="E1105" s="112">
        <v>9160</v>
      </c>
      <c r="F1105" s="112">
        <v>2538</v>
      </c>
      <c r="G1105" s="112">
        <v>6708</v>
      </c>
      <c r="H1105" s="112">
        <v>1559</v>
      </c>
      <c r="I1105" s="112">
        <v>320</v>
      </c>
      <c r="J1105" s="112">
        <v>352</v>
      </c>
      <c r="K1105" s="112">
        <v>32</v>
      </c>
      <c r="L1105" s="112">
        <v>752</v>
      </c>
      <c r="M1105" s="112">
        <v>677</v>
      </c>
      <c r="N1105" s="112">
        <v>75</v>
      </c>
      <c r="O1105" s="100"/>
      <c r="P1105" s="100"/>
      <c r="Q1105" s="100"/>
    </row>
    <row r="1106" spans="1:17" s="117" customFormat="1" ht="17.5" customHeight="1">
      <c r="A1106" s="109" t="s">
        <v>7128</v>
      </c>
      <c r="B1106" s="109" t="s">
        <v>7129</v>
      </c>
      <c r="C1106" s="113">
        <v>2019</v>
      </c>
      <c r="D1106" s="112">
        <v>1190</v>
      </c>
      <c r="E1106" s="112">
        <v>9247.5430909999995</v>
      </c>
      <c r="F1106" s="112">
        <v>2911.7572220000002</v>
      </c>
      <c r="G1106" s="112">
        <v>6398.2344629999998</v>
      </c>
      <c r="H1106" s="112">
        <v>1621.5182219999999</v>
      </c>
      <c r="I1106" s="112">
        <v>294.95347700000002</v>
      </c>
      <c r="J1106" s="112">
        <v>342.11275599999999</v>
      </c>
      <c r="K1106" s="112">
        <v>47.159278999999998</v>
      </c>
      <c r="L1106" s="112">
        <v>783.36048600000004</v>
      </c>
      <c r="M1106" s="112">
        <v>731.77570800000001</v>
      </c>
      <c r="N1106" s="112">
        <v>51.584778</v>
      </c>
      <c r="O1106" s="100"/>
      <c r="P1106" s="100"/>
      <c r="Q1106" s="100"/>
    </row>
    <row r="1107" spans="1:17" s="117" customFormat="1" ht="17.5" customHeight="1">
      <c r="A1107" s="114" t="s">
        <v>7128</v>
      </c>
      <c r="B1107" s="114" t="s">
        <v>7129</v>
      </c>
      <c r="C1107" s="113">
        <v>2020</v>
      </c>
      <c r="D1107" s="112">
        <v>1217</v>
      </c>
      <c r="E1107" s="112">
        <v>9085.6938900000005</v>
      </c>
      <c r="F1107" s="112">
        <v>2933.9629369999998</v>
      </c>
      <c r="G1107" s="112">
        <v>6179.8212510000003</v>
      </c>
      <c r="H1107" s="112">
        <v>1590.0277570000001</v>
      </c>
      <c r="I1107" s="112">
        <v>363.17839800000002</v>
      </c>
      <c r="J1107" s="112">
        <v>395.243695</v>
      </c>
      <c r="K1107" s="112">
        <v>32.065297000000001</v>
      </c>
      <c r="L1107" s="112">
        <v>781.57836799999995</v>
      </c>
      <c r="M1107" s="112">
        <v>762.88603000000001</v>
      </c>
      <c r="N1107" s="112">
        <v>18.692337999999999</v>
      </c>
      <c r="O1107" s="110"/>
      <c r="P1107" s="110"/>
      <c r="Q1107" s="110"/>
    </row>
    <row r="1108" spans="1:17" s="117" customFormat="1" ht="31.75" customHeight="1">
      <c r="A1108" s="109" t="s">
        <v>7130</v>
      </c>
      <c r="B1108" s="109" t="s">
        <v>7131</v>
      </c>
      <c r="C1108" s="98">
        <v>2008</v>
      </c>
      <c r="D1108" s="99">
        <v>585</v>
      </c>
      <c r="E1108" s="99">
        <v>3423</v>
      </c>
      <c r="F1108" s="99">
        <v>1138</v>
      </c>
      <c r="G1108" s="99">
        <v>2270</v>
      </c>
      <c r="H1108" s="99">
        <v>783</v>
      </c>
      <c r="I1108" s="99">
        <v>66</v>
      </c>
      <c r="J1108" s="99">
        <v>94</v>
      </c>
      <c r="K1108" s="99">
        <v>28</v>
      </c>
      <c r="L1108" s="99">
        <v>256</v>
      </c>
      <c r="M1108" s="99">
        <v>262</v>
      </c>
      <c r="N1108" s="99">
        <v>-6</v>
      </c>
      <c r="O1108" s="110"/>
      <c r="P1108" s="110"/>
      <c r="Q1108" s="110"/>
    </row>
    <row r="1109" spans="1:17" s="117" customFormat="1" ht="31.75" customHeight="1">
      <c r="A1109" s="109" t="s">
        <v>7130</v>
      </c>
      <c r="B1109" s="109" t="s">
        <v>7131</v>
      </c>
      <c r="C1109" s="98">
        <v>2009</v>
      </c>
      <c r="D1109" s="99">
        <v>562</v>
      </c>
      <c r="E1109" s="99">
        <v>3696</v>
      </c>
      <c r="F1109" s="99">
        <v>1106</v>
      </c>
      <c r="G1109" s="99">
        <v>2592</v>
      </c>
      <c r="H1109" s="99">
        <v>762</v>
      </c>
      <c r="I1109" s="99">
        <v>20</v>
      </c>
      <c r="J1109" s="99">
        <v>72</v>
      </c>
      <c r="K1109" s="99">
        <v>52</v>
      </c>
      <c r="L1109" s="99">
        <v>238</v>
      </c>
      <c r="M1109" s="99">
        <v>236</v>
      </c>
      <c r="N1109" s="99">
        <v>2</v>
      </c>
      <c r="O1109" s="110"/>
      <c r="P1109" s="110"/>
      <c r="Q1109" s="110"/>
    </row>
    <row r="1110" spans="1:17" s="117" customFormat="1" ht="31.75" customHeight="1">
      <c r="A1110" s="109" t="s">
        <v>7130</v>
      </c>
      <c r="B1110" s="109" t="s">
        <v>7131</v>
      </c>
      <c r="C1110" s="98">
        <v>2010</v>
      </c>
      <c r="D1110" s="99">
        <v>532</v>
      </c>
      <c r="E1110" s="99">
        <v>3778</v>
      </c>
      <c r="F1110" s="99">
        <v>1157</v>
      </c>
      <c r="G1110" s="99">
        <v>2669</v>
      </c>
      <c r="H1110" s="99">
        <v>745</v>
      </c>
      <c r="I1110" s="99">
        <v>36</v>
      </c>
      <c r="J1110" s="99">
        <v>47</v>
      </c>
      <c r="K1110" s="99">
        <v>11</v>
      </c>
      <c r="L1110" s="99">
        <v>241</v>
      </c>
      <c r="M1110" s="99">
        <v>191</v>
      </c>
      <c r="N1110" s="99">
        <v>50</v>
      </c>
      <c r="O1110" s="110"/>
      <c r="P1110" s="110"/>
      <c r="Q1110" s="110"/>
    </row>
    <row r="1111" spans="1:17" s="117" customFormat="1" ht="31.75" customHeight="1">
      <c r="A1111" s="109" t="s">
        <v>7130</v>
      </c>
      <c r="B1111" s="109" t="s">
        <v>7131</v>
      </c>
      <c r="C1111" s="98">
        <v>2011</v>
      </c>
      <c r="D1111" s="99">
        <v>526</v>
      </c>
      <c r="E1111" s="99">
        <v>4112</v>
      </c>
      <c r="F1111" s="99">
        <v>1585</v>
      </c>
      <c r="G1111" s="99">
        <v>2557</v>
      </c>
      <c r="H1111" s="99">
        <v>803</v>
      </c>
      <c r="I1111" s="99">
        <v>97</v>
      </c>
      <c r="J1111" s="99">
        <v>126</v>
      </c>
      <c r="K1111" s="99">
        <v>28</v>
      </c>
      <c r="L1111" s="99">
        <v>274</v>
      </c>
      <c r="M1111" s="99">
        <v>253</v>
      </c>
      <c r="N1111" s="99">
        <v>22</v>
      </c>
      <c r="O1111" s="100"/>
      <c r="P1111" s="100"/>
      <c r="Q1111" s="100"/>
    </row>
    <row r="1112" spans="1:17" s="117" customFormat="1" ht="31.75" customHeight="1">
      <c r="A1112" s="109" t="s">
        <v>7130</v>
      </c>
      <c r="B1112" s="109" t="s">
        <v>7131</v>
      </c>
      <c r="C1112" s="111">
        <v>2012</v>
      </c>
      <c r="D1112" s="112">
        <v>520</v>
      </c>
      <c r="E1112" s="112">
        <v>4047</v>
      </c>
      <c r="F1112" s="112">
        <v>1516</v>
      </c>
      <c r="G1112" s="112">
        <v>2509</v>
      </c>
      <c r="H1112" s="112">
        <v>792</v>
      </c>
      <c r="I1112" s="112">
        <v>114</v>
      </c>
      <c r="J1112" s="112">
        <v>128</v>
      </c>
      <c r="K1112" s="112">
        <v>15</v>
      </c>
      <c r="L1112" s="112">
        <v>249</v>
      </c>
      <c r="M1112" s="112">
        <v>269</v>
      </c>
      <c r="N1112" s="112">
        <v>-21</v>
      </c>
      <c r="O1112" s="110"/>
      <c r="P1112" s="110"/>
      <c r="Q1112" s="110"/>
    </row>
    <row r="1113" spans="1:17" s="117" customFormat="1" ht="31.75" customHeight="1">
      <c r="A1113" s="109" t="s">
        <v>7130</v>
      </c>
      <c r="B1113" s="109" t="s">
        <v>7131</v>
      </c>
      <c r="C1113" s="113">
        <v>2013</v>
      </c>
      <c r="D1113" s="112">
        <v>489</v>
      </c>
      <c r="E1113" s="112">
        <v>4298</v>
      </c>
      <c r="F1113" s="112">
        <v>1487</v>
      </c>
      <c r="G1113" s="112">
        <v>2815</v>
      </c>
      <c r="H1113" s="112">
        <v>835</v>
      </c>
      <c r="I1113" s="112">
        <v>104</v>
      </c>
      <c r="J1113" s="112">
        <v>109</v>
      </c>
      <c r="K1113" s="112">
        <v>4</v>
      </c>
      <c r="L1113" s="112">
        <v>249</v>
      </c>
      <c r="M1113" s="112">
        <v>244</v>
      </c>
      <c r="N1113" s="112">
        <v>5</v>
      </c>
      <c r="O1113" s="100"/>
      <c r="P1113" s="100"/>
      <c r="Q1113" s="100"/>
    </row>
    <row r="1114" spans="1:17" s="117" customFormat="1" ht="31.75" customHeight="1">
      <c r="A1114" s="109" t="s">
        <v>7130</v>
      </c>
      <c r="B1114" s="109" t="s">
        <v>7131</v>
      </c>
      <c r="C1114" s="113">
        <v>2014</v>
      </c>
      <c r="D1114" s="99">
        <v>485</v>
      </c>
      <c r="E1114" s="99">
        <v>3945</v>
      </c>
      <c r="F1114" s="99">
        <v>1452</v>
      </c>
      <c r="G1114" s="99">
        <v>2506</v>
      </c>
      <c r="H1114" s="99">
        <v>781</v>
      </c>
      <c r="I1114" s="99">
        <v>94</v>
      </c>
      <c r="J1114" s="99">
        <v>108</v>
      </c>
      <c r="K1114" s="99">
        <v>14</v>
      </c>
      <c r="L1114" s="99">
        <v>253</v>
      </c>
      <c r="M1114" s="99">
        <v>238</v>
      </c>
      <c r="N1114" s="99">
        <v>15</v>
      </c>
      <c r="O1114" s="100"/>
      <c r="P1114" s="100"/>
      <c r="Q1114" s="100"/>
    </row>
    <row r="1115" spans="1:17" s="117" customFormat="1" ht="31.75" customHeight="1">
      <c r="A1115" s="109" t="s">
        <v>7130</v>
      </c>
      <c r="B1115" s="109" t="s">
        <v>7131</v>
      </c>
      <c r="C1115" s="113">
        <v>2015</v>
      </c>
      <c r="D1115" s="112">
        <v>463</v>
      </c>
      <c r="E1115" s="112">
        <v>4199</v>
      </c>
      <c r="F1115" s="112">
        <v>1472</v>
      </c>
      <c r="G1115" s="112">
        <v>2744</v>
      </c>
      <c r="H1115" s="112">
        <v>817</v>
      </c>
      <c r="I1115" s="112">
        <v>203</v>
      </c>
      <c r="J1115" s="112">
        <v>212</v>
      </c>
      <c r="K1115" s="112">
        <v>9</v>
      </c>
      <c r="L1115" s="112">
        <v>286</v>
      </c>
      <c r="M1115" s="112">
        <v>274</v>
      </c>
      <c r="N1115" s="112">
        <v>12</v>
      </c>
      <c r="O1115" s="110"/>
      <c r="P1115" s="110"/>
      <c r="Q1115" s="110"/>
    </row>
    <row r="1116" spans="1:17" s="117" customFormat="1" ht="31.75" customHeight="1">
      <c r="A1116" s="109" t="s">
        <v>7130</v>
      </c>
      <c r="B1116" s="109" t="s">
        <v>7131</v>
      </c>
      <c r="C1116" s="113">
        <v>2016</v>
      </c>
      <c r="D1116" s="112">
        <v>462</v>
      </c>
      <c r="E1116" s="112">
        <v>4236</v>
      </c>
      <c r="F1116" s="112">
        <v>1537</v>
      </c>
      <c r="G1116" s="112">
        <v>2743</v>
      </c>
      <c r="H1116" s="112">
        <v>783</v>
      </c>
      <c r="I1116" s="112">
        <v>211</v>
      </c>
      <c r="J1116" s="112">
        <v>240</v>
      </c>
      <c r="K1116" s="112">
        <v>29</v>
      </c>
      <c r="L1116" s="112">
        <v>270</v>
      </c>
      <c r="M1116" s="112">
        <v>255</v>
      </c>
      <c r="N1116" s="112">
        <v>15</v>
      </c>
      <c r="O1116" s="110"/>
      <c r="P1116" s="110"/>
      <c r="Q1116" s="110"/>
    </row>
    <row r="1117" spans="1:17" s="117" customFormat="1" ht="31.75" customHeight="1">
      <c r="A1117" s="109" t="s">
        <v>7130</v>
      </c>
      <c r="B1117" s="109" t="s">
        <v>7131</v>
      </c>
      <c r="C1117" s="113">
        <v>2017</v>
      </c>
      <c r="D1117" s="112">
        <v>442</v>
      </c>
      <c r="E1117" s="112">
        <v>4359</v>
      </c>
      <c r="F1117" s="112">
        <v>1341</v>
      </c>
      <c r="G1117" s="112">
        <v>3039</v>
      </c>
      <c r="H1117" s="112">
        <v>802</v>
      </c>
      <c r="I1117" s="112">
        <v>145</v>
      </c>
      <c r="J1117" s="112">
        <v>157</v>
      </c>
      <c r="K1117" s="112">
        <v>13</v>
      </c>
      <c r="L1117" s="112">
        <v>288</v>
      </c>
      <c r="M1117" s="112">
        <v>274</v>
      </c>
      <c r="N1117" s="112">
        <v>14</v>
      </c>
      <c r="O1117" s="100"/>
      <c r="P1117" s="100"/>
      <c r="Q1117" s="100"/>
    </row>
    <row r="1118" spans="1:17" s="117" customFormat="1" ht="31.75" customHeight="1">
      <c r="A1118" s="109" t="s">
        <v>7130</v>
      </c>
      <c r="B1118" s="109" t="s">
        <v>7131</v>
      </c>
      <c r="C1118" s="113">
        <v>2018</v>
      </c>
      <c r="D1118" s="112">
        <v>408</v>
      </c>
      <c r="E1118" s="112">
        <v>4716</v>
      </c>
      <c r="F1118" s="112">
        <v>1422</v>
      </c>
      <c r="G1118" s="112">
        <v>3304</v>
      </c>
      <c r="H1118" s="112">
        <v>879</v>
      </c>
      <c r="I1118" s="112">
        <v>177</v>
      </c>
      <c r="J1118" s="112">
        <v>187</v>
      </c>
      <c r="K1118" s="112">
        <v>11</v>
      </c>
      <c r="L1118" s="112">
        <v>337</v>
      </c>
      <c r="M1118" s="112">
        <v>317</v>
      </c>
      <c r="N1118" s="112">
        <v>19</v>
      </c>
      <c r="O1118" s="100"/>
      <c r="P1118" s="100"/>
      <c r="Q1118" s="100"/>
    </row>
    <row r="1119" spans="1:17" s="117" customFormat="1" ht="31.75" customHeight="1">
      <c r="A1119" s="109" t="s">
        <v>7130</v>
      </c>
      <c r="B1119" s="109" t="s">
        <v>7131</v>
      </c>
      <c r="C1119" s="113">
        <v>2019</v>
      </c>
      <c r="D1119" s="112">
        <v>406</v>
      </c>
      <c r="E1119" s="112">
        <v>4800.7283770000004</v>
      </c>
      <c r="F1119" s="112">
        <v>1631.35088</v>
      </c>
      <c r="G1119" s="112">
        <v>3188.2542709999998</v>
      </c>
      <c r="H1119" s="112">
        <v>884.197406</v>
      </c>
      <c r="I1119" s="112">
        <v>191.64504099999999</v>
      </c>
      <c r="J1119" s="112">
        <v>207.92824899999999</v>
      </c>
      <c r="K1119" s="112">
        <v>16.283207999999998</v>
      </c>
      <c r="L1119" s="112">
        <v>345.89452999999997</v>
      </c>
      <c r="M1119" s="112">
        <v>326.86295899999999</v>
      </c>
      <c r="N1119" s="112">
        <v>19.031571</v>
      </c>
      <c r="O1119" s="110"/>
      <c r="P1119" s="110"/>
      <c r="Q1119" s="110"/>
    </row>
    <row r="1120" spans="1:17" s="117" customFormat="1" ht="31.75" customHeight="1">
      <c r="A1120" s="114" t="s">
        <v>7130</v>
      </c>
      <c r="B1120" s="114" t="s">
        <v>7131</v>
      </c>
      <c r="C1120" s="113">
        <v>2020</v>
      </c>
      <c r="D1120" s="112">
        <v>410</v>
      </c>
      <c r="E1120" s="112">
        <v>4611.7997820000001</v>
      </c>
      <c r="F1120" s="112">
        <v>1554.5517970000001</v>
      </c>
      <c r="G1120" s="112">
        <v>3070.8129560000002</v>
      </c>
      <c r="H1120" s="112">
        <v>919.73427500000003</v>
      </c>
      <c r="I1120" s="112">
        <v>220.40634</v>
      </c>
      <c r="J1120" s="112">
        <v>226.07414399999999</v>
      </c>
      <c r="K1120" s="112">
        <v>5.6678040000000003</v>
      </c>
      <c r="L1120" s="112">
        <v>344.10164200000003</v>
      </c>
      <c r="M1120" s="112">
        <v>332.209429</v>
      </c>
      <c r="N1120" s="112">
        <v>11.892212000000001</v>
      </c>
      <c r="O1120" s="110"/>
      <c r="P1120" s="110"/>
      <c r="Q1120" s="110"/>
    </row>
    <row r="1121" spans="1:17" s="117" customFormat="1" ht="31.75" customHeight="1">
      <c r="A1121" s="109" t="s">
        <v>7132</v>
      </c>
      <c r="B1121" s="109" t="s">
        <v>7133</v>
      </c>
      <c r="C1121" s="98">
        <v>2008</v>
      </c>
      <c r="D1121" s="99">
        <v>88</v>
      </c>
      <c r="E1121" s="99">
        <v>2445</v>
      </c>
      <c r="F1121" s="99">
        <v>387</v>
      </c>
      <c r="G1121" s="99">
        <v>2063</v>
      </c>
      <c r="H1121" s="99">
        <v>259</v>
      </c>
      <c r="I1121" s="99">
        <v>37</v>
      </c>
      <c r="J1121" s="99">
        <v>54</v>
      </c>
      <c r="K1121" s="99">
        <v>17</v>
      </c>
      <c r="L1121" s="99">
        <v>171</v>
      </c>
      <c r="M1121" s="99">
        <v>167</v>
      </c>
      <c r="N1121" s="99">
        <v>4</v>
      </c>
      <c r="O1121" s="110"/>
      <c r="P1121" s="110"/>
      <c r="Q1121" s="110"/>
    </row>
    <row r="1122" spans="1:17" s="117" customFormat="1" ht="31.75" customHeight="1">
      <c r="A1122" s="109" t="s">
        <v>7132</v>
      </c>
      <c r="B1122" s="109" t="s">
        <v>7133</v>
      </c>
      <c r="C1122" s="98">
        <v>2009</v>
      </c>
      <c r="D1122" s="99">
        <v>81</v>
      </c>
      <c r="E1122" s="99">
        <v>2452</v>
      </c>
      <c r="F1122" s="99">
        <v>598</v>
      </c>
      <c r="G1122" s="99">
        <v>1840</v>
      </c>
      <c r="H1122" s="99">
        <v>246</v>
      </c>
      <c r="I1122" s="99">
        <v>24</v>
      </c>
      <c r="J1122" s="99">
        <v>55</v>
      </c>
      <c r="K1122" s="99">
        <v>31</v>
      </c>
      <c r="L1122" s="99">
        <v>116</v>
      </c>
      <c r="M1122" s="99">
        <v>130</v>
      </c>
      <c r="N1122" s="99">
        <v>-15</v>
      </c>
      <c r="O1122" s="110"/>
      <c r="P1122" s="110"/>
      <c r="Q1122" s="110"/>
    </row>
    <row r="1123" spans="1:17" s="117" customFormat="1" ht="31.75" customHeight="1">
      <c r="A1123" s="109" t="s">
        <v>7132</v>
      </c>
      <c r="B1123" s="109" t="s">
        <v>7133</v>
      </c>
      <c r="C1123" s="98">
        <v>2010</v>
      </c>
      <c r="D1123" s="99">
        <v>81</v>
      </c>
      <c r="E1123" s="99">
        <v>2267</v>
      </c>
      <c r="F1123" s="99">
        <v>1107</v>
      </c>
      <c r="G1123" s="99">
        <v>1166</v>
      </c>
      <c r="H1123" s="99">
        <v>297</v>
      </c>
      <c r="I1123" s="99">
        <v>42</v>
      </c>
      <c r="J1123" s="99">
        <v>61</v>
      </c>
      <c r="K1123" s="99">
        <v>19</v>
      </c>
      <c r="L1123" s="99">
        <v>155</v>
      </c>
      <c r="M1123" s="99">
        <v>149</v>
      </c>
      <c r="N1123" s="99">
        <v>6</v>
      </c>
      <c r="O1123" s="100"/>
      <c r="P1123" s="100"/>
      <c r="Q1123" s="100"/>
    </row>
    <row r="1124" spans="1:17" s="117" customFormat="1" ht="31.75" customHeight="1">
      <c r="A1124" s="109" t="s">
        <v>7132</v>
      </c>
      <c r="B1124" s="109" t="s">
        <v>7133</v>
      </c>
      <c r="C1124" s="98">
        <v>2011</v>
      </c>
      <c r="D1124" s="99">
        <v>76</v>
      </c>
      <c r="E1124" s="99">
        <v>2283</v>
      </c>
      <c r="F1124" s="99">
        <v>998</v>
      </c>
      <c r="G1124" s="99">
        <v>1318</v>
      </c>
      <c r="H1124" s="99">
        <v>286</v>
      </c>
      <c r="I1124" s="99">
        <v>64</v>
      </c>
      <c r="J1124" s="99">
        <v>68</v>
      </c>
      <c r="K1124" s="99">
        <v>4</v>
      </c>
      <c r="L1124" s="99">
        <v>172</v>
      </c>
      <c r="M1124" s="99">
        <v>138</v>
      </c>
      <c r="N1124" s="99">
        <v>34</v>
      </c>
      <c r="O1124" s="110"/>
      <c r="P1124" s="110"/>
      <c r="Q1124" s="110"/>
    </row>
    <row r="1125" spans="1:17" s="117" customFormat="1" ht="31.75" customHeight="1">
      <c r="A1125" s="109" t="s">
        <v>7132</v>
      </c>
      <c r="B1125" s="109" t="s">
        <v>7133</v>
      </c>
      <c r="C1125" s="111">
        <v>2012</v>
      </c>
      <c r="D1125" s="112">
        <v>70</v>
      </c>
      <c r="E1125" s="112">
        <v>2310</v>
      </c>
      <c r="F1125" s="112">
        <v>972</v>
      </c>
      <c r="G1125" s="112">
        <v>1332</v>
      </c>
      <c r="H1125" s="112">
        <v>249</v>
      </c>
      <c r="I1125" s="112">
        <v>72</v>
      </c>
      <c r="J1125" s="112">
        <v>80</v>
      </c>
      <c r="K1125" s="112">
        <v>8</v>
      </c>
      <c r="L1125" s="112">
        <v>155</v>
      </c>
      <c r="M1125" s="112">
        <v>161</v>
      </c>
      <c r="N1125" s="112">
        <v>-6</v>
      </c>
      <c r="O1125" s="100"/>
      <c r="P1125" s="100"/>
      <c r="Q1125" s="100"/>
    </row>
    <row r="1126" spans="1:17" s="117" customFormat="1" ht="31.75" customHeight="1">
      <c r="A1126" s="109" t="s">
        <v>7132</v>
      </c>
      <c r="B1126" s="109" t="s">
        <v>7133</v>
      </c>
      <c r="C1126" s="113">
        <v>2013</v>
      </c>
      <c r="D1126" s="112">
        <v>75</v>
      </c>
      <c r="E1126" s="112">
        <v>2480</v>
      </c>
      <c r="F1126" s="112">
        <v>1067</v>
      </c>
      <c r="G1126" s="112">
        <v>1429</v>
      </c>
      <c r="H1126" s="112">
        <v>254</v>
      </c>
      <c r="I1126" s="112">
        <v>81</v>
      </c>
      <c r="J1126" s="112">
        <v>97</v>
      </c>
      <c r="K1126" s="112">
        <v>16</v>
      </c>
      <c r="L1126" s="112">
        <v>173</v>
      </c>
      <c r="M1126" s="112">
        <v>157</v>
      </c>
      <c r="N1126" s="112">
        <v>16</v>
      </c>
      <c r="O1126" s="100"/>
      <c r="P1126" s="100"/>
      <c r="Q1126" s="100"/>
    </row>
    <row r="1127" spans="1:17" s="117" customFormat="1" ht="31.75" customHeight="1">
      <c r="A1127" s="109" t="s">
        <v>7132</v>
      </c>
      <c r="B1127" s="109" t="s">
        <v>7133</v>
      </c>
      <c r="C1127" s="113">
        <v>2014</v>
      </c>
      <c r="D1127" s="99">
        <v>71</v>
      </c>
      <c r="E1127" s="99">
        <v>2536</v>
      </c>
      <c r="F1127" s="99">
        <v>1124</v>
      </c>
      <c r="G1127" s="99">
        <v>1419</v>
      </c>
      <c r="H1127" s="99">
        <v>245</v>
      </c>
      <c r="I1127" s="99">
        <v>134</v>
      </c>
      <c r="J1127" s="99">
        <v>140</v>
      </c>
      <c r="K1127" s="99">
        <v>6</v>
      </c>
      <c r="L1127" s="99">
        <v>165</v>
      </c>
      <c r="M1127" s="99">
        <v>160</v>
      </c>
      <c r="N1127" s="99">
        <v>6</v>
      </c>
      <c r="O1127" s="110"/>
      <c r="P1127" s="110"/>
      <c r="Q1127" s="110"/>
    </row>
    <row r="1128" spans="1:17" s="117" customFormat="1" ht="31.75" customHeight="1">
      <c r="A1128" s="109" t="s">
        <v>7132</v>
      </c>
      <c r="B1128" s="109" t="s">
        <v>7133</v>
      </c>
      <c r="C1128" s="113">
        <v>2015</v>
      </c>
      <c r="D1128" s="112">
        <v>75</v>
      </c>
      <c r="E1128" s="112">
        <v>2431</v>
      </c>
      <c r="F1128" s="112">
        <v>511</v>
      </c>
      <c r="G1128" s="112">
        <v>1928</v>
      </c>
      <c r="H1128" s="112">
        <v>270</v>
      </c>
      <c r="I1128" s="112">
        <v>88</v>
      </c>
      <c r="J1128" s="112">
        <v>89</v>
      </c>
      <c r="K1128" s="112">
        <v>2</v>
      </c>
      <c r="L1128" s="112">
        <v>163</v>
      </c>
      <c r="M1128" s="112">
        <v>162</v>
      </c>
      <c r="N1128" s="112">
        <v>1</v>
      </c>
      <c r="O1128" s="110"/>
      <c r="P1128" s="110"/>
      <c r="Q1128" s="110"/>
    </row>
    <row r="1129" spans="1:17" s="117" customFormat="1" ht="31.75" customHeight="1">
      <c r="A1129" s="109" t="s">
        <v>7132</v>
      </c>
      <c r="B1129" s="109" t="s">
        <v>7133</v>
      </c>
      <c r="C1129" s="113">
        <v>2016</v>
      </c>
      <c r="D1129" s="112">
        <v>74</v>
      </c>
      <c r="E1129" s="112">
        <v>2451</v>
      </c>
      <c r="F1129" s="112">
        <v>583</v>
      </c>
      <c r="G1129" s="112">
        <v>1886</v>
      </c>
      <c r="H1129" s="112">
        <v>273</v>
      </c>
      <c r="I1129" s="112">
        <v>106</v>
      </c>
      <c r="J1129" s="112">
        <v>108</v>
      </c>
      <c r="K1129" s="112">
        <v>1</v>
      </c>
      <c r="L1129" s="112">
        <v>180</v>
      </c>
      <c r="M1129" s="112">
        <v>164</v>
      </c>
      <c r="N1129" s="112">
        <v>16</v>
      </c>
      <c r="O1129" s="100"/>
      <c r="P1129" s="100"/>
      <c r="Q1129" s="100"/>
    </row>
    <row r="1130" spans="1:17" s="117" customFormat="1" ht="31.75" customHeight="1">
      <c r="A1130" s="109" t="s">
        <v>7132</v>
      </c>
      <c r="B1130" s="109" t="s">
        <v>7133</v>
      </c>
      <c r="C1130" s="113">
        <v>2017</v>
      </c>
      <c r="D1130" s="112">
        <v>83</v>
      </c>
      <c r="E1130" s="112">
        <v>2604</v>
      </c>
      <c r="F1130" s="112">
        <v>614</v>
      </c>
      <c r="G1130" s="112">
        <v>1998</v>
      </c>
      <c r="H1130" s="112">
        <v>278</v>
      </c>
      <c r="I1130" s="112">
        <v>75</v>
      </c>
      <c r="J1130" s="112">
        <v>83</v>
      </c>
      <c r="K1130" s="112">
        <v>9</v>
      </c>
      <c r="L1130" s="112">
        <v>179</v>
      </c>
      <c r="M1130" s="112">
        <v>176</v>
      </c>
      <c r="N1130" s="112">
        <v>2</v>
      </c>
      <c r="O1130" s="100"/>
      <c r="P1130" s="100"/>
      <c r="Q1130" s="100"/>
    </row>
    <row r="1131" spans="1:17" s="117" customFormat="1" ht="31.75" customHeight="1">
      <c r="A1131" s="109" t="s">
        <v>7132</v>
      </c>
      <c r="B1131" s="109" t="s">
        <v>7133</v>
      </c>
      <c r="C1131" s="113">
        <v>2018</v>
      </c>
      <c r="D1131" s="112">
        <v>88</v>
      </c>
      <c r="E1131" s="112">
        <v>2573</v>
      </c>
      <c r="F1131" s="112">
        <v>536</v>
      </c>
      <c r="G1131" s="112">
        <v>2090</v>
      </c>
      <c r="H1131" s="112">
        <v>278</v>
      </c>
      <c r="I1131" s="112">
        <v>58</v>
      </c>
      <c r="J1131" s="112">
        <v>71</v>
      </c>
      <c r="K1131" s="112">
        <v>12</v>
      </c>
      <c r="L1131" s="112">
        <v>207</v>
      </c>
      <c r="M1131" s="112">
        <v>176</v>
      </c>
      <c r="N1131" s="112">
        <v>32</v>
      </c>
      <c r="O1131" s="110"/>
      <c r="P1131" s="110"/>
      <c r="Q1131" s="110"/>
    </row>
    <row r="1132" spans="1:17" s="117" customFormat="1" ht="31.75" customHeight="1">
      <c r="A1132" s="109" t="s">
        <v>7132</v>
      </c>
      <c r="B1132" s="109" t="s">
        <v>7133</v>
      </c>
      <c r="C1132" s="113">
        <v>2019</v>
      </c>
      <c r="D1132" s="112">
        <v>91</v>
      </c>
      <c r="E1132" s="112">
        <v>2532.1350560000001</v>
      </c>
      <c r="F1132" s="112">
        <v>631.97427300000004</v>
      </c>
      <c r="G1132" s="112">
        <v>1930.3196109999999</v>
      </c>
      <c r="H1132" s="112">
        <v>281.44232199999999</v>
      </c>
      <c r="I1132" s="112">
        <v>55.607112000000001</v>
      </c>
      <c r="J1132" s="112">
        <v>70.104951</v>
      </c>
      <c r="K1132" s="112">
        <v>14.497839000000001</v>
      </c>
      <c r="L1132" s="112">
        <v>227.100278</v>
      </c>
      <c r="M1132" s="112">
        <v>204.707527</v>
      </c>
      <c r="N1132" s="112">
        <v>22.392751000000001</v>
      </c>
      <c r="O1132" s="110"/>
      <c r="P1132" s="110"/>
      <c r="Q1132" s="110"/>
    </row>
    <row r="1133" spans="1:17" s="117" customFormat="1" ht="31.75" customHeight="1">
      <c r="A1133" s="114" t="s">
        <v>7132</v>
      </c>
      <c r="B1133" s="114" t="s">
        <v>7133</v>
      </c>
      <c r="C1133" s="113">
        <v>2020</v>
      </c>
      <c r="D1133" s="112">
        <v>102</v>
      </c>
      <c r="E1133" s="112">
        <v>2597.653593</v>
      </c>
      <c r="F1133" s="112">
        <v>698.85895500000004</v>
      </c>
      <c r="G1133" s="112">
        <v>1908.789221</v>
      </c>
      <c r="H1133" s="112">
        <v>268.894994</v>
      </c>
      <c r="I1133" s="112">
        <v>68.507738000000003</v>
      </c>
      <c r="J1133" s="112">
        <v>70.071293999999995</v>
      </c>
      <c r="K1133" s="112">
        <v>1.5635559999999999</v>
      </c>
      <c r="L1133" s="112">
        <v>237.832561</v>
      </c>
      <c r="M1133" s="112">
        <v>234.24514199999999</v>
      </c>
      <c r="N1133" s="112">
        <v>3.5874190000000001</v>
      </c>
      <c r="O1133" s="110"/>
      <c r="P1133" s="110"/>
      <c r="Q1133" s="110"/>
    </row>
    <row r="1134" spans="1:17" s="117" customFormat="1" ht="17.5" customHeight="1">
      <c r="A1134" s="109" t="s">
        <v>7134</v>
      </c>
      <c r="B1134" s="109" t="s">
        <v>7135</v>
      </c>
      <c r="C1134" s="98">
        <v>2008</v>
      </c>
      <c r="D1134" s="99">
        <v>425</v>
      </c>
      <c r="E1134" s="99">
        <v>655</v>
      </c>
      <c r="F1134" s="99">
        <v>196</v>
      </c>
      <c r="G1134" s="99">
        <v>462</v>
      </c>
      <c r="H1134" s="99">
        <v>106</v>
      </c>
      <c r="I1134" s="99">
        <v>13</v>
      </c>
      <c r="J1134" s="99">
        <v>15</v>
      </c>
      <c r="K1134" s="99">
        <v>2</v>
      </c>
      <c r="L1134" s="99">
        <v>42</v>
      </c>
      <c r="M1134" s="99">
        <v>39</v>
      </c>
      <c r="N1134" s="99">
        <v>3</v>
      </c>
      <c r="O1134" s="110"/>
      <c r="P1134" s="110"/>
      <c r="Q1134" s="110"/>
    </row>
    <row r="1135" spans="1:17" s="117" customFormat="1" ht="17.5" customHeight="1">
      <c r="A1135" s="109" t="s">
        <v>7134</v>
      </c>
      <c r="B1135" s="109" t="s">
        <v>7135</v>
      </c>
      <c r="C1135" s="98">
        <v>2009</v>
      </c>
      <c r="D1135" s="99">
        <v>406</v>
      </c>
      <c r="E1135" s="99">
        <v>495</v>
      </c>
      <c r="F1135" s="99">
        <v>187</v>
      </c>
      <c r="G1135" s="99">
        <v>308</v>
      </c>
      <c r="H1135" s="99">
        <v>117</v>
      </c>
      <c r="I1135" s="99">
        <v>6</v>
      </c>
      <c r="J1135" s="99">
        <v>9</v>
      </c>
      <c r="K1135" s="99">
        <v>3</v>
      </c>
      <c r="L1135" s="99">
        <v>35</v>
      </c>
      <c r="M1135" s="99">
        <v>39</v>
      </c>
      <c r="N1135" s="99">
        <v>-4</v>
      </c>
      <c r="O1135" s="100"/>
      <c r="P1135" s="100"/>
      <c r="Q1135" s="100"/>
    </row>
    <row r="1136" spans="1:17" s="117" customFormat="1" ht="17.5" customHeight="1">
      <c r="A1136" s="109" t="s">
        <v>7134</v>
      </c>
      <c r="B1136" s="109" t="s">
        <v>7135</v>
      </c>
      <c r="C1136" s="98">
        <v>2010</v>
      </c>
      <c r="D1136" s="99">
        <v>363</v>
      </c>
      <c r="E1136" s="99">
        <v>633</v>
      </c>
      <c r="F1136" s="99">
        <v>238</v>
      </c>
      <c r="G1136" s="99">
        <v>399</v>
      </c>
      <c r="H1136" s="99">
        <v>131</v>
      </c>
      <c r="I1136" s="99">
        <v>-4</v>
      </c>
      <c r="J1136" s="99">
        <v>7</v>
      </c>
      <c r="K1136" s="99">
        <v>11</v>
      </c>
      <c r="L1136" s="99">
        <v>56</v>
      </c>
      <c r="M1136" s="99">
        <v>52</v>
      </c>
      <c r="N1136" s="99">
        <v>4</v>
      </c>
      <c r="O1136" s="110"/>
      <c r="P1136" s="110"/>
      <c r="Q1136" s="110"/>
    </row>
    <row r="1137" spans="1:17" s="117" customFormat="1" ht="17.5" customHeight="1">
      <c r="A1137" s="109" t="s">
        <v>7134</v>
      </c>
      <c r="B1137" s="109" t="s">
        <v>7135</v>
      </c>
      <c r="C1137" s="98">
        <v>2011</v>
      </c>
      <c r="D1137" s="99">
        <v>322</v>
      </c>
      <c r="E1137" s="99">
        <v>544</v>
      </c>
      <c r="F1137" s="99">
        <v>180</v>
      </c>
      <c r="G1137" s="99">
        <v>364</v>
      </c>
      <c r="H1137" s="99">
        <v>125</v>
      </c>
      <c r="I1137" s="99">
        <v>6</v>
      </c>
      <c r="J1137" s="99">
        <v>6</v>
      </c>
      <c r="K1137" s="99">
        <v>1</v>
      </c>
      <c r="L1137" s="99">
        <v>53</v>
      </c>
      <c r="M1137" s="99">
        <v>54</v>
      </c>
      <c r="N1137" s="99" t="s">
        <v>6952</v>
      </c>
      <c r="O1137" s="100"/>
      <c r="P1137" s="100"/>
      <c r="Q1137" s="100"/>
    </row>
    <row r="1138" spans="1:17" s="117" customFormat="1" ht="17.5" customHeight="1">
      <c r="A1138" s="109" t="s">
        <v>7134</v>
      </c>
      <c r="B1138" s="109" t="s">
        <v>7135</v>
      </c>
      <c r="C1138" s="111">
        <v>2012</v>
      </c>
      <c r="D1138" s="112">
        <v>297</v>
      </c>
      <c r="E1138" s="112">
        <v>468</v>
      </c>
      <c r="F1138" s="112">
        <v>173</v>
      </c>
      <c r="G1138" s="112">
        <v>300</v>
      </c>
      <c r="H1138" s="112">
        <v>111</v>
      </c>
      <c r="I1138" s="99" t="s">
        <v>6953</v>
      </c>
      <c r="J1138" s="99" t="s">
        <v>6953</v>
      </c>
      <c r="K1138" s="112">
        <v>3</v>
      </c>
      <c r="L1138" s="112">
        <v>37</v>
      </c>
      <c r="M1138" s="112">
        <v>39</v>
      </c>
      <c r="N1138" s="112">
        <v>-2</v>
      </c>
      <c r="O1138" s="100"/>
      <c r="P1138" s="100"/>
      <c r="Q1138" s="100"/>
    </row>
    <row r="1139" spans="1:17" s="117" customFormat="1" ht="17.5" customHeight="1">
      <c r="A1139" s="109" t="s">
        <v>7134</v>
      </c>
      <c r="B1139" s="109" t="s">
        <v>7135</v>
      </c>
      <c r="C1139" s="113">
        <v>2013</v>
      </c>
      <c r="D1139" s="112">
        <v>305</v>
      </c>
      <c r="E1139" s="112">
        <v>503</v>
      </c>
      <c r="F1139" s="112">
        <v>169</v>
      </c>
      <c r="G1139" s="112">
        <v>331</v>
      </c>
      <c r="H1139" s="112">
        <v>102</v>
      </c>
      <c r="I1139" s="112">
        <v>17</v>
      </c>
      <c r="J1139" s="112">
        <v>23</v>
      </c>
      <c r="K1139" s="112">
        <v>6</v>
      </c>
      <c r="L1139" s="112">
        <v>47</v>
      </c>
      <c r="M1139" s="112">
        <v>49</v>
      </c>
      <c r="N1139" s="112">
        <v>-3</v>
      </c>
      <c r="O1139" s="110"/>
      <c r="P1139" s="110"/>
      <c r="Q1139" s="110"/>
    </row>
    <row r="1140" spans="1:17" s="117" customFormat="1" ht="17.5" customHeight="1">
      <c r="A1140" s="109" t="s">
        <v>7134</v>
      </c>
      <c r="B1140" s="109" t="s">
        <v>7135</v>
      </c>
      <c r="C1140" s="113">
        <v>2014</v>
      </c>
      <c r="D1140" s="99">
        <v>308</v>
      </c>
      <c r="E1140" s="99">
        <v>494</v>
      </c>
      <c r="F1140" s="99">
        <v>159</v>
      </c>
      <c r="G1140" s="99">
        <v>342</v>
      </c>
      <c r="H1140" s="99">
        <v>107</v>
      </c>
      <c r="I1140" s="99">
        <v>8</v>
      </c>
      <c r="J1140" s="99">
        <v>14</v>
      </c>
      <c r="K1140" s="99">
        <v>6</v>
      </c>
      <c r="L1140" s="99">
        <v>51</v>
      </c>
      <c r="M1140" s="99">
        <v>45</v>
      </c>
      <c r="N1140" s="99">
        <v>6</v>
      </c>
      <c r="O1140" s="110"/>
      <c r="P1140" s="110"/>
      <c r="Q1140" s="110"/>
    </row>
    <row r="1141" spans="1:17" s="117" customFormat="1" ht="17.5" customHeight="1">
      <c r="A1141" s="109" t="s">
        <v>7134</v>
      </c>
      <c r="B1141" s="109" t="s">
        <v>7135</v>
      </c>
      <c r="C1141" s="113">
        <v>2015</v>
      </c>
      <c r="D1141" s="112">
        <v>305</v>
      </c>
      <c r="E1141" s="112">
        <v>432</v>
      </c>
      <c r="F1141" s="112">
        <v>143</v>
      </c>
      <c r="G1141" s="112">
        <v>287</v>
      </c>
      <c r="H1141" s="112">
        <v>88</v>
      </c>
      <c r="I1141" s="112">
        <v>23</v>
      </c>
      <c r="J1141" s="112">
        <v>27</v>
      </c>
      <c r="K1141" s="112">
        <v>4</v>
      </c>
      <c r="L1141" s="112">
        <v>49</v>
      </c>
      <c r="M1141" s="112">
        <v>52</v>
      </c>
      <c r="N1141" s="112">
        <v>-3</v>
      </c>
      <c r="O1141" s="100"/>
      <c r="P1141" s="100"/>
      <c r="Q1141" s="100"/>
    </row>
    <row r="1142" spans="1:17" s="117" customFormat="1" ht="17.5" customHeight="1">
      <c r="A1142" s="109" t="s">
        <v>7134</v>
      </c>
      <c r="B1142" s="109" t="s">
        <v>7135</v>
      </c>
      <c r="C1142" s="113">
        <v>2016</v>
      </c>
      <c r="D1142" s="112">
        <v>290</v>
      </c>
      <c r="E1142" s="112">
        <v>384</v>
      </c>
      <c r="F1142" s="112">
        <v>136</v>
      </c>
      <c r="G1142" s="112">
        <v>245</v>
      </c>
      <c r="H1142" s="112">
        <v>82</v>
      </c>
      <c r="I1142" s="112">
        <v>10</v>
      </c>
      <c r="J1142" s="112">
        <v>11</v>
      </c>
      <c r="K1142" s="112">
        <v>2</v>
      </c>
      <c r="L1142" s="112">
        <v>46</v>
      </c>
      <c r="M1142" s="112">
        <v>49</v>
      </c>
      <c r="N1142" s="112">
        <v>-3</v>
      </c>
      <c r="O1142" s="100"/>
      <c r="P1142" s="100"/>
      <c r="Q1142" s="100"/>
    </row>
    <row r="1143" spans="1:17" s="117" customFormat="1" ht="17.5" customHeight="1">
      <c r="A1143" s="109" t="s">
        <v>7134</v>
      </c>
      <c r="B1143" s="109" t="s">
        <v>7135</v>
      </c>
      <c r="C1143" s="113">
        <v>2017</v>
      </c>
      <c r="D1143" s="112">
        <v>285</v>
      </c>
      <c r="E1143" s="112">
        <v>382</v>
      </c>
      <c r="F1143" s="112">
        <v>147</v>
      </c>
      <c r="G1143" s="112">
        <v>233</v>
      </c>
      <c r="H1143" s="112">
        <v>97</v>
      </c>
      <c r="I1143" s="112">
        <v>5</v>
      </c>
      <c r="J1143" s="112">
        <v>9</v>
      </c>
      <c r="K1143" s="112">
        <v>4</v>
      </c>
      <c r="L1143" s="112">
        <v>42</v>
      </c>
      <c r="M1143" s="112">
        <v>45</v>
      </c>
      <c r="N1143" s="112">
        <v>-3</v>
      </c>
      <c r="O1143" s="110"/>
      <c r="P1143" s="110"/>
      <c r="Q1143" s="110"/>
    </row>
    <row r="1144" spans="1:17" s="117" customFormat="1" ht="17.5" customHeight="1">
      <c r="A1144" s="109" t="s">
        <v>7134</v>
      </c>
      <c r="B1144" s="109" t="s">
        <v>7135</v>
      </c>
      <c r="C1144" s="113">
        <v>2018</v>
      </c>
      <c r="D1144" s="112">
        <v>291</v>
      </c>
      <c r="E1144" s="112">
        <v>371</v>
      </c>
      <c r="F1144" s="112">
        <v>106</v>
      </c>
      <c r="G1144" s="112">
        <v>272</v>
      </c>
      <c r="H1144" s="112">
        <v>92</v>
      </c>
      <c r="I1144" s="112">
        <v>23</v>
      </c>
      <c r="J1144" s="99" t="s">
        <v>6953</v>
      </c>
      <c r="K1144" s="99" t="s">
        <v>6953</v>
      </c>
      <c r="L1144" s="112">
        <v>48</v>
      </c>
      <c r="M1144" s="112">
        <v>40</v>
      </c>
      <c r="N1144" s="112">
        <v>7</v>
      </c>
      <c r="O1144" s="110"/>
      <c r="P1144" s="110"/>
      <c r="Q1144" s="110"/>
    </row>
    <row r="1145" spans="1:17" s="117" customFormat="1" ht="17.5" customHeight="1">
      <c r="A1145" s="109" t="s">
        <v>7134</v>
      </c>
      <c r="B1145" s="109" t="s">
        <v>7135</v>
      </c>
      <c r="C1145" s="113">
        <v>2019</v>
      </c>
      <c r="D1145" s="112">
        <v>291</v>
      </c>
      <c r="E1145" s="112">
        <v>388.74298700000003</v>
      </c>
      <c r="F1145" s="112">
        <v>152.453621</v>
      </c>
      <c r="G1145" s="112">
        <v>241.80058500000001</v>
      </c>
      <c r="H1145" s="112">
        <v>77.472972999999996</v>
      </c>
      <c r="I1145" s="112">
        <v>10.407747000000001</v>
      </c>
      <c r="J1145" s="112">
        <v>11.630317</v>
      </c>
      <c r="K1145" s="112">
        <v>1.2225699999999999</v>
      </c>
      <c r="L1145" s="112">
        <v>48.032822000000003</v>
      </c>
      <c r="M1145" s="112">
        <v>42.650193000000002</v>
      </c>
      <c r="N1145" s="112">
        <v>5.3826280000000004</v>
      </c>
      <c r="O1145" s="110"/>
      <c r="P1145" s="110"/>
      <c r="Q1145" s="110"/>
    </row>
    <row r="1146" spans="1:17" s="117" customFormat="1" ht="17.5" customHeight="1">
      <c r="A1146" s="114" t="s">
        <v>7134</v>
      </c>
      <c r="B1146" s="114" t="s">
        <v>7135</v>
      </c>
      <c r="C1146" s="113">
        <v>2020</v>
      </c>
      <c r="D1146" s="112">
        <v>302</v>
      </c>
      <c r="E1146" s="112">
        <v>338.62693000000002</v>
      </c>
      <c r="F1146" s="112">
        <v>137.35332500000001</v>
      </c>
      <c r="G1146" s="112">
        <v>208.551695</v>
      </c>
      <c r="H1146" s="112">
        <v>83.721163000000004</v>
      </c>
      <c r="I1146" s="112">
        <v>19.860602</v>
      </c>
      <c r="J1146" s="112">
        <v>21.365608000000002</v>
      </c>
      <c r="K1146" s="112">
        <v>1.5050060000000001</v>
      </c>
      <c r="L1146" s="112">
        <v>45.046087999999997</v>
      </c>
      <c r="M1146" s="112">
        <v>38.313752000000001</v>
      </c>
      <c r="N1146" s="112">
        <v>6.7323360000000001</v>
      </c>
      <c r="O1146" s="110"/>
      <c r="P1146" s="110"/>
      <c r="Q1146" s="110"/>
    </row>
    <row r="1147" spans="1:17" s="117" customFormat="1" ht="17.5" customHeight="1">
      <c r="A1147" s="109" t="s">
        <v>7136</v>
      </c>
      <c r="B1147" s="109" t="s">
        <v>7137</v>
      </c>
      <c r="C1147" s="98">
        <v>2008</v>
      </c>
      <c r="D1147" s="99">
        <v>11</v>
      </c>
      <c r="E1147" s="99">
        <v>124</v>
      </c>
      <c r="F1147" s="99">
        <v>43</v>
      </c>
      <c r="G1147" s="99">
        <v>83</v>
      </c>
      <c r="H1147" s="99">
        <v>35</v>
      </c>
      <c r="I1147" s="99">
        <v>2</v>
      </c>
      <c r="J1147" s="99">
        <v>2</v>
      </c>
      <c r="K1147" s="99" t="s">
        <v>6952</v>
      </c>
      <c r="L1147" s="99">
        <v>20</v>
      </c>
      <c r="M1147" s="99">
        <v>19</v>
      </c>
      <c r="N1147" s="99">
        <v>1</v>
      </c>
      <c r="O1147" s="100"/>
      <c r="P1147" s="100"/>
      <c r="Q1147" s="100"/>
    </row>
    <row r="1148" spans="1:17" s="117" customFormat="1" ht="17.5" customHeight="1">
      <c r="A1148" s="109" t="s">
        <v>7136</v>
      </c>
      <c r="B1148" s="109" t="s">
        <v>7137</v>
      </c>
      <c r="C1148" s="98">
        <v>2009</v>
      </c>
      <c r="D1148" s="99">
        <v>9</v>
      </c>
      <c r="E1148" s="99">
        <v>119</v>
      </c>
      <c r="F1148" s="99">
        <v>46</v>
      </c>
      <c r="G1148" s="99">
        <v>73</v>
      </c>
      <c r="H1148" s="99">
        <v>35</v>
      </c>
      <c r="I1148" s="99">
        <v>3</v>
      </c>
      <c r="J1148" s="99">
        <v>3</v>
      </c>
      <c r="K1148" s="99" t="s">
        <v>6952</v>
      </c>
      <c r="L1148" s="99">
        <v>20</v>
      </c>
      <c r="M1148" s="99">
        <v>20</v>
      </c>
      <c r="N1148" s="99" t="s">
        <v>6952</v>
      </c>
      <c r="O1148" s="110"/>
      <c r="P1148" s="110"/>
      <c r="Q1148" s="110"/>
    </row>
    <row r="1149" spans="1:17" s="117" customFormat="1" ht="17.5" customHeight="1">
      <c r="A1149" s="109" t="s">
        <v>7136</v>
      </c>
      <c r="B1149" s="109" t="s">
        <v>7137</v>
      </c>
      <c r="C1149" s="98">
        <v>2010</v>
      </c>
      <c r="D1149" s="99">
        <v>11</v>
      </c>
      <c r="E1149" s="99">
        <v>154</v>
      </c>
      <c r="F1149" s="99">
        <v>55</v>
      </c>
      <c r="G1149" s="99">
        <v>102</v>
      </c>
      <c r="H1149" s="99">
        <v>42</v>
      </c>
      <c r="I1149" s="99">
        <v>2</v>
      </c>
      <c r="J1149" s="99">
        <v>2</v>
      </c>
      <c r="K1149" s="99" t="s">
        <v>6952</v>
      </c>
      <c r="L1149" s="99">
        <v>29</v>
      </c>
      <c r="M1149" s="99">
        <v>25</v>
      </c>
      <c r="N1149" s="99">
        <v>4</v>
      </c>
      <c r="O1149" s="100"/>
      <c r="P1149" s="100"/>
      <c r="Q1149" s="100"/>
    </row>
    <row r="1150" spans="1:17" s="117" customFormat="1" ht="17.5" customHeight="1">
      <c r="A1150" s="109" t="s">
        <v>7136</v>
      </c>
      <c r="B1150" s="109" t="s">
        <v>7137</v>
      </c>
      <c r="C1150" s="98">
        <v>2011</v>
      </c>
      <c r="D1150" s="99">
        <v>8</v>
      </c>
      <c r="E1150" s="99">
        <v>129</v>
      </c>
      <c r="F1150" s="99">
        <v>44</v>
      </c>
      <c r="G1150" s="99">
        <v>92</v>
      </c>
      <c r="H1150" s="99">
        <v>34</v>
      </c>
      <c r="I1150" s="99">
        <v>1</v>
      </c>
      <c r="J1150" s="99">
        <v>1</v>
      </c>
      <c r="K1150" s="99" t="s">
        <v>6952</v>
      </c>
      <c r="L1150" s="99">
        <v>30</v>
      </c>
      <c r="M1150" s="99">
        <v>23</v>
      </c>
      <c r="N1150" s="99">
        <v>7</v>
      </c>
      <c r="O1150" s="100"/>
      <c r="P1150" s="100"/>
      <c r="Q1150" s="100"/>
    </row>
    <row r="1151" spans="1:17" s="117" customFormat="1" ht="17.5" customHeight="1">
      <c r="A1151" s="109" t="s">
        <v>7136</v>
      </c>
      <c r="B1151" s="109" t="s">
        <v>7137</v>
      </c>
      <c r="C1151" s="111">
        <v>2012</v>
      </c>
      <c r="D1151" s="112">
        <v>11</v>
      </c>
      <c r="E1151" s="112">
        <v>124</v>
      </c>
      <c r="F1151" s="112">
        <v>46</v>
      </c>
      <c r="G1151" s="112">
        <v>80</v>
      </c>
      <c r="H1151" s="112">
        <v>35</v>
      </c>
      <c r="I1151" s="99" t="s">
        <v>6953</v>
      </c>
      <c r="J1151" s="99" t="s">
        <v>6953</v>
      </c>
      <c r="K1151" s="99" t="s">
        <v>6952</v>
      </c>
      <c r="L1151" s="112">
        <v>19</v>
      </c>
      <c r="M1151" s="112">
        <v>20</v>
      </c>
      <c r="N1151" s="112">
        <v>-1</v>
      </c>
      <c r="O1151" s="110"/>
      <c r="P1151" s="110"/>
      <c r="Q1151" s="110"/>
    </row>
    <row r="1152" spans="1:17" s="117" customFormat="1" ht="17.5" customHeight="1">
      <c r="A1152" s="109" t="s">
        <v>7136</v>
      </c>
      <c r="B1152" s="109" t="s">
        <v>7137</v>
      </c>
      <c r="C1152" s="113">
        <v>2013</v>
      </c>
      <c r="D1152" s="112">
        <v>10</v>
      </c>
      <c r="E1152" s="112">
        <v>126</v>
      </c>
      <c r="F1152" s="112">
        <v>46</v>
      </c>
      <c r="G1152" s="112">
        <v>94</v>
      </c>
      <c r="H1152" s="112">
        <v>34</v>
      </c>
      <c r="I1152" s="112">
        <v>2</v>
      </c>
      <c r="J1152" s="112">
        <v>2</v>
      </c>
      <c r="K1152" s="99" t="s">
        <v>6952</v>
      </c>
      <c r="L1152" s="112">
        <v>41</v>
      </c>
      <c r="M1152" s="112">
        <v>29</v>
      </c>
      <c r="N1152" s="112">
        <v>12</v>
      </c>
      <c r="O1152" s="110"/>
      <c r="P1152" s="110"/>
      <c r="Q1152" s="110"/>
    </row>
    <row r="1153" spans="1:17" s="117" customFormat="1" ht="17.5" customHeight="1">
      <c r="A1153" s="109" t="s">
        <v>7136</v>
      </c>
      <c r="B1153" s="109" t="s">
        <v>7137</v>
      </c>
      <c r="C1153" s="113">
        <v>2014</v>
      </c>
      <c r="D1153" s="99">
        <v>8</v>
      </c>
      <c r="E1153" s="99">
        <v>109</v>
      </c>
      <c r="F1153" s="99">
        <v>34</v>
      </c>
      <c r="G1153" s="99">
        <v>75</v>
      </c>
      <c r="H1153" s="99">
        <v>30</v>
      </c>
      <c r="I1153" s="99">
        <v>3</v>
      </c>
      <c r="J1153" s="99">
        <v>3</v>
      </c>
      <c r="K1153" s="99" t="s">
        <v>6952</v>
      </c>
      <c r="L1153" s="99">
        <v>25</v>
      </c>
      <c r="M1153" s="99">
        <v>27</v>
      </c>
      <c r="N1153" s="99">
        <v>-2</v>
      </c>
      <c r="O1153" s="100"/>
      <c r="P1153" s="100"/>
      <c r="Q1153" s="100"/>
    </row>
    <row r="1154" spans="1:17" s="117" customFormat="1" ht="17.5" customHeight="1">
      <c r="A1154" s="109" t="s">
        <v>7136</v>
      </c>
      <c r="B1154" s="109" t="s">
        <v>7137</v>
      </c>
      <c r="C1154" s="113">
        <v>2015</v>
      </c>
      <c r="D1154" s="112">
        <v>9</v>
      </c>
      <c r="E1154" s="112">
        <v>104</v>
      </c>
      <c r="F1154" s="112">
        <v>41</v>
      </c>
      <c r="G1154" s="112">
        <v>66</v>
      </c>
      <c r="H1154" s="112">
        <v>31</v>
      </c>
      <c r="I1154" s="112">
        <v>3</v>
      </c>
      <c r="J1154" s="112">
        <v>3</v>
      </c>
      <c r="K1154" s="99" t="s">
        <v>6952</v>
      </c>
      <c r="L1154" s="112">
        <v>21</v>
      </c>
      <c r="M1154" s="112">
        <v>18</v>
      </c>
      <c r="N1154" s="112">
        <v>3</v>
      </c>
      <c r="O1154" s="100"/>
      <c r="P1154" s="100"/>
      <c r="Q1154" s="100"/>
    </row>
    <row r="1155" spans="1:17" s="117" customFormat="1" ht="17.5" customHeight="1">
      <c r="A1155" s="109" t="s">
        <v>7136</v>
      </c>
      <c r="B1155" s="109" t="s">
        <v>7137</v>
      </c>
      <c r="C1155" s="113">
        <v>2016</v>
      </c>
      <c r="D1155" s="112">
        <v>8</v>
      </c>
      <c r="E1155" s="112">
        <v>105</v>
      </c>
      <c r="F1155" s="112">
        <v>37</v>
      </c>
      <c r="G1155" s="112">
        <v>67</v>
      </c>
      <c r="H1155" s="112">
        <v>30</v>
      </c>
      <c r="I1155" s="112">
        <v>2</v>
      </c>
      <c r="J1155" s="112">
        <v>2</v>
      </c>
      <c r="K1155" s="99" t="s">
        <v>6952</v>
      </c>
      <c r="L1155" s="112">
        <v>23</v>
      </c>
      <c r="M1155" s="112">
        <v>23</v>
      </c>
      <c r="N1155" s="112">
        <v>-1</v>
      </c>
      <c r="O1155" s="110"/>
      <c r="P1155" s="110"/>
      <c r="Q1155" s="110"/>
    </row>
    <row r="1156" spans="1:17" s="117" customFormat="1" ht="17.5" customHeight="1">
      <c r="A1156" s="109" t="s">
        <v>7136</v>
      </c>
      <c r="B1156" s="109" t="s">
        <v>7137</v>
      </c>
      <c r="C1156" s="113">
        <v>2017</v>
      </c>
      <c r="D1156" s="112">
        <v>9</v>
      </c>
      <c r="E1156" s="112">
        <v>108</v>
      </c>
      <c r="F1156" s="112">
        <v>35</v>
      </c>
      <c r="G1156" s="112">
        <v>71</v>
      </c>
      <c r="H1156" s="112">
        <v>29</v>
      </c>
      <c r="I1156" s="112">
        <v>1</v>
      </c>
      <c r="J1156" s="112">
        <v>1</v>
      </c>
      <c r="K1156" s="99" t="s">
        <v>6952</v>
      </c>
      <c r="L1156" s="112">
        <v>21</v>
      </c>
      <c r="M1156" s="112">
        <v>23</v>
      </c>
      <c r="N1156" s="112">
        <v>-2</v>
      </c>
      <c r="O1156" s="110"/>
      <c r="P1156" s="110"/>
      <c r="Q1156" s="110"/>
    </row>
    <row r="1157" spans="1:17" s="117" customFormat="1" ht="17.5" customHeight="1">
      <c r="A1157" s="109" t="s">
        <v>7136</v>
      </c>
      <c r="B1157" s="109" t="s">
        <v>7137</v>
      </c>
      <c r="C1157" s="113">
        <v>2018</v>
      </c>
      <c r="D1157" s="112">
        <v>9</v>
      </c>
      <c r="E1157" s="112">
        <v>108</v>
      </c>
      <c r="F1157" s="112">
        <v>36</v>
      </c>
      <c r="G1157" s="112">
        <v>72</v>
      </c>
      <c r="H1157" s="112">
        <v>31</v>
      </c>
      <c r="I1157" s="112">
        <v>1</v>
      </c>
      <c r="J1157" s="99" t="s">
        <v>6953</v>
      </c>
      <c r="K1157" s="99" t="s">
        <v>6953</v>
      </c>
      <c r="L1157" s="112">
        <v>22</v>
      </c>
      <c r="M1157" s="112">
        <v>22</v>
      </c>
      <c r="N1157" s="112" t="s">
        <v>6952</v>
      </c>
      <c r="O1157" s="110"/>
      <c r="P1157" s="110"/>
      <c r="Q1157" s="110"/>
    </row>
    <row r="1158" spans="1:17" s="117" customFormat="1" ht="17.5" customHeight="1">
      <c r="A1158" s="109" t="s">
        <v>7136</v>
      </c>
      <c r="B1158" s="109" t="s">
        <v>7137</v>
      </c>
      <c r="C1158" s="113">
        <v>2019</v>
      </c>
      <c r="D1158" s="112">
        <v>10</v>
      </c>
      <c r="E1158" s="112">
        <v>101.351251</v>
      </c>
      <c r="F1158" s="112">
        <v>42.214199000000001</v>
      </c>
      <c r="G1158" s="112">
        <v>59.182774999999999</v>
      </c>
      <c r="H1158" s="112">
        <v>69.920608999999999</v>
      </c>
      <c r="I1158" s="112">
        <v>3.83866</v>
      </c>
      <c r="J1158" s="112">
        <v>3.84511</v>
      </c>
      <c r="K1158" s="112" t="s">
        <v>6952</v>
      </c>
      <c r="L1158" s="112">
        <v>20.806998</v>
      </c>
      <c r="M1158" s="112">
        <v>22.235849999999999</v>
      </c>
      <c r="N1158" s="112">
        <v>-1.428852</v>
      </c>
      <c r="O1158" s="110"/>
      <c r="P1158" s="110"/>
      <c r="Q1158" s="110"/>
    </row>
    <row r="1159" spans="1:17" s="117" customFormat="1" ht="17.5" customHeight="1">
      <c r="A1159" s="114" t="s">
        <v>7136</v>
      </c>
      <c r="B1159" s="114" t="s">
        <v>7137</v>
      </c>
      <c r="C1159" s="113">
        <v>2020</v>
      </c>
      <c r="D1159" s="112">
        <v>11</v>
      </c>
      <c r="E1159" s="112">
        <v>109.435621</v>
      </c>
      <c r="F1159" s="112">
        <v>42.558185999999999</v>
      </c>
      <c r="G1159" s="112">
        <v>64.423000000000002</v>
      </c>
      <c r="H1159" s="112">
        <v>25.362696</v>
      </c>
      <c r="I1159" s="112">
        <v>3.7619590000000001</v>
      </c>
      <c r="J1159" s="112">
        <v>3.7709670000000002</v>
      </c>
      <c r="K1159" s="112" t="s">
        <v>6952</v>
      </c>
      <c r="L1159" s="112">
        <v>17.872767</v>
      </c>
      <c r="M1159" s="112">
        <v>20.382952</v>
      </c>
      <c r="N1159" s="112">
        <v>-2.5101840000000002</v>
      </c>
      <c r="O1159" s="100"/>
      <c r="P1159" s="100"/>
      <c r="Q1159" s="100"/>
    </row>
    <row r="1160" spans="1:17" s="117" customFormat="1" ht="31.75" customHeight="1">
      <c r="A1160" s="109" t="s">
        <v>7138</v>
      </c>
      <c r="B1160" s="109" t="s">
        <v>7139</v>
      </c>
      <c r="C1160" s="98">
        <v>2008</v>
      </c>
      <c r="D1160" s="99">
        <v>1222</v>
      </c>
      <c r="E1160" s="99">
        <v>722</v>
      </c>
      <c r="F1160" s="99">
        <v>264</v>
      </c>
      <c r="G1160" s="99">
        <v>447</v>
      </c>
      <c r="H1160" s="99">
        <v>156</v>
      </c>
      <c r="I1160" s="99">
        <v>5</v>
      </c>
      <c r="J1160" s="99">
        <v>13</v>
      </c>
      <c r="K1160" s="99">
        <v>7</v>
      </c>
      <c r="L1160" s="99">
        <v>55</v>
      </c>
      <c r="M1160" s="99">
        <v>65</v>
      </c>
      <c r="N1160" s="99">
        <v>-10</v>
      </c>
      <c r="O1160" s="110"/>
      <c r="P1160" s="110"/>
      <c r="Q1160" s="110"/>
    </row>
    <row r="1161" spans="1:17" s="117" customFormat="1" ht="31.75" customHeight="1">
      <c r="A1161" s="109" t="s">
        <v>7138</v>
      </c>
      <c r="B1161" s="109" t="s">
        <v>7139</v>
      </c>
      <c r="C1161" s="98">
        <v>2009</v>
      </c>
      <c r="D1161" s="99">
        <v>546</v>
      </c>
      <c r="E1161" s="99">
        <v>1121</v>
      </c>
      <c r="F1161" s="99">
        <v>372</v>
      </c>
      <c r="G1161" s="99">
        <v>743</v>
      </c>
      <c r="H1161" s="99">
        <v>214</v>
      </c>
      <c r="I1161" s="99">
        <v>22</v>
      </c>
      <c r="J1161" s="99">
        <v>26</v>
      </c>
      <c r="K1161" s="99">
        <v>4</v>
      </c>
      <c r="L1161" s="99">
        <v>96</v>
      </c>
      <c r="M1161" s="99">
        <v>97</v>
      </c>
      <c r="N1161" s="99">
        <v>-1</v>
      </c>
      <c r="O1161" s="100"/>
      <c r="P1161" s="100"/>
      <c r="Q1161" s="100"/>
    </row>
    <row r="1162" spans="1:17" s="117" customFormat="1" ht="31.75" customHeight="1">
      <c r="A1162" s="109" t="s">
        <v>7138</v>
      </c>
      <c r="B1162" s="109" t="s">
        <v>7139</v>
      </c>
      <c r="C1162" s="98">
        <v>2010</v>
      </c>
      <c r="D1162" s="99">
        <v>517</v>
      </c>
      <c r="E1162" s="99">
        <v>985</v>
      </c>
      <c r="F1162" s="99">
        <v>355</v>
      </c>
      <c r="G1162" s="99">
        <v>605</v>
      </c>
      <c r="H1162" s="99">
        <v>179</v>
      </c>
      <c r="I1162" s="99">
        <v>22</v>
      </c>
      <c r="J1162" s="99">
        <v>40</v>
      </c>
      <c r="K1162" s="99">
        <v>18</v>
      </c>
      <c r="L1162" s="99">
        <v>167</v>
      </c>
      <c r="M1162" s="99">
        <v>188</v>
      </c>
      <c r="N1162" s="99">
        <v>-22</v>
      </c>
      <c r="O1162" s="100"/>
      <c r="P1162" s="100"/>
      <c r="Q1162" s="100"/>
    </row>
    <row r="1163" spans="1:17" s="117" customFormat="1" ht="31.75" customHeight="1">
      <c r="A1163" s="109" t="s">
        <v>7138</v>
      </c>
      <c r="B1163" s="109" t="s">
        <v>7139</v>
      </c>
      <c r="C1163" s="98">
        <v>2011</v>
      </c>
      <c r="D1163" s="99">
        <v>484</v>
      </c>
      <c r="E1163" s="99">
        <v>990</v>
      </c>
      <c r="F1163" s="99">
        <v>353</v>
      </c>
      <c r="G1163" s="99">
        <v>650</v>
      </c>
      <c r="H1163" s="99">
        <v>200</v>
      </c>
      <c r="I1163" s="99">
        <v>27</v>
      </c>
      <c r="J1163" s="99">
        <v>29</v>
      </c>
      <c r="K1163" s="99">
        <v>2</v>
      </c>
      <c r="L1163" s="99">
        <v>92</v>
      </c>
      <c r="M1163" s="99">
        <v>80</v>
      </c>
      <c r="N1163" s="99">
        <v>12</v>
      </c>
      <c r="O1163" s="110"/>
      <c r="P1163" s="110"/>
      <c r="Q1163" s="110"/>
    </row>
    <row r="1164" spans="1:17" s="117" customFormat="1" ht="31.75" customHeight="1">
      <c r="A1164" s="109" t="s">
        <v>7138</v>
      </c>
      <c r="B1164" s="109" t="s">
        <v>7139</v>
      </c>
      <c r="C1164" s="111">
        <v>2012</v>
      </c>
      <c r="D1164" s="112">
        <v>431</v>
      </c>
      <c r="E1164" s="112">
        <v>869</v>
      </c>
      <c r="F1164" s="112">
        <v>377</v>
      </c>
      <c r="G1164" s="112">
        <v>485</v>
      </c>
      <c r="H1164" s="112">
        <v>184</v>
      </c>
      <c r="I1164" s="112">
        <v>24</v>
      </c>
      <c r="J1164" s="112">
        <v>28</v>
      </c>
      <c r="K1164" s="112">
        <v>4</v>
      </c>
      <c r="L1164" s="112">
        <v>63</v>
      </c>
      <c r="M1164" s="112">
        <v>71</v>
      </c>
      <c r="N1164" s="112">
        <v>-7</v>
      </c>
      <c r="O1164" s="110"/>
      <c r="P1164" s="110"/>
      <c r="Q1164" s="110"/>
    </row>
    <row r="1165" spans="1:17" s="117" customFormat="1" ht="31.75" customHeight="1">
      <c r="A1165" s="109" t="s">
        <v>7138</v>
      </c>
      <c r="B1165" s="109" t="s">
        <v>7139</v>
      </c>
      <c r="C1165" s="113">
        <v>2013</v>
      </c>
      <c r="D1165" s="112">
        <v>421</v>
      </c>
      <c r="E1165" s="112">
        <v>908</v>
      </c>
      <c r="F1165" s="112">
        <v>347</v>
      </c>
      <c r="G1165" s="112">
        <v>590</v>
      </c>
      <c r="H1165" s="112">
        <v>200</v>
      </c>
      <c r="I1165" s="112">
        <v>43</v>
      </c>
      <c r="J1165" s="112">
        <v>51</v>
      </c>
      <c r="K1165" s="112">
        <v>8</v>
      </c>
      <c r="L1165" s="112">
        <v>88</v>
      </c>
      <c r="M1165" s="112">
        <v>59</v>
      </c>
      <c r="N1165" s="112">
        <v>29</v>
      </c>
      <c r="O1165" s="100"/>
      <c r="P1165" s="100"/>
      <c r="Q1165" s="100"/>
    </row>
    <row r="1166" spans="1:17" s="117" customFormat="1" ht="31.75" customHeight="1">
      <c r="A1166" s="109" t="s">
        <v>7138</v>
      </c>
      <c r="B1166" s="109" t="s">
        <v>7139</v>
      </c>
      <c r="C1166" s="113">
        <v>2014</v>
      </c>
      <c r="D1166" s="99">
        <v>409</v>
      </c>
      <c r="E1166" s="99">
        <v>1257</v>
      </c>
      <c r="F1166" s="99">
        <v>429</v>
      </c>
      <c r="G1166" s="99">
        <v>828</v>
      </c>
      <c r="H1166" s="99">
        <v>308</v>
      </c>
      <c r="I1166" s="99">
        <v>49</v>
      </c>
      <c r="J1166" s="99">
        <v>51</v>
      </c>
      <c r="K1166" s="99">
        <v>2</v>
      </c>
      <c r="L1166" s="99">
        <v>132</v>
      </c>
      <c r="M1166" s="99">
        <v>132</v>
      </c>
      <c r="N1166" s="99">
        <v>-1</v>
      </c>
      <c r="O1166" s="100"/>
      <c r="P1166" s="100"/>
      <c r="Q1166" s="100"/>
    </row>
    <row r="1167" spans="1:17" s="117" customFormat="1" ht="31.75" customHeight="1">
      <c r="A1167" s="109" t="s">
        <v>7138</v>
      </c>
      <c r="B1167" s="109" t="s">
        <v>7139</v>
      </c>
      <c r="C1167" s="113">
        <v>2015</v>
      </c>
      <c r="D1167" s="112">
        <v>422</v>
      </c>
      <c r="E1167" s="112">
        <v>1434</v>
      </c>
      <c r="F1167" s="112">
        <v>583</v>
      </c>
      <c r="G1167" s="112">
        <v>848</v>
      </c>
      <c r="H1167" s="112">
        <v>258</v>
      </c>
      <c r="I1167" s="112">
        <v>61</v>
      </c>
      <c r="J1167" s="112">
        <v>62</v>
      </c>
      <c r="K1167" s="112">
        <v>1</v>
      </c>
      <c r="L1167" s="112">
        <v>127</v>
      </c>
      <c r="M1167" s="112">
        <v>131</v>
      </c>
      <c r="N1167" s="112">
        <v>-3</v>
      </c>
      <c r="O1167" s="110"/>
      <c r="P1167" s="110"/>
      <c r="Q1167" s="110"/>
    </row>
    <row r="1168" spans="1:17" s="117" customFormat="1" ht="31.75" customHeight="1">
      <c r="A1168" s="109" t="s">
        <v>7138</v>
      </c>
      <c r="B1168" s="109" t="s">
        <v>7139</v>
      </c>
      <c r="C1168" s="113">
        <v>2016</v>
      </c>
      <c r="D1168" s="112">
        <v>415</v>
      </c>
      <c r="E1168" s="112">
        <v>1322</v>
      </c>
      <c r="F1168" s="112">
        <v>493</v>
      </c>
      <c r="G1168" s="112">
        <v>828</v>
      </c>
      <c r="H1168" s="112">
        <v>272</v>
      </c>
      <c r="I1168" s="112">
        <v>49</v>
      </c>
      <c r="J1168" s="112">
        <v>53</v>
      </c>
      <c r="K1168" s="112">
        <v>4</v>
      </c>
      <c r="L1168" s="112">
        <v>128</v>
      </c>
      <c r="M1168" s="112">
        <v>129</v>
      </c>
      <c r="N1168" s="112" t="s">
        <v>6952</v>
      </c>
      <c r="O1168" s="110"/>
      <c r="P1168" s="110"/>
      <c r="Q1168" s="110"/>
    </row>
    <row r="1169" spans="1:17" s="117" customFormat="1" ht="31.75" customHeight="1">
      <c r="A1169" s="109" t="s">
        <v>7138</v>
      </c>
      <c r="B1169" s="109" t="s">
        <v>7139</v>
      </c>
      <c r="C1169" s="113">
        <v>2017</v>
      </c>
      <c r="D1169" s="112">
        <v>395</v>
      </c>
      <c r="E1169" s="112">
        <v>1368</v>
      </c>
      <c r="F1169" s="112">
        <v>470</v>
      </c>
      <c r="G1169" s="112">
        <v>901</v>
      </c>
      <c r="H1169" s="112">
        <v>295</v>
      </c>
      <c r="I1169" s="112">
        <v>112</v>
      </c>
      <c r="J1169" s="112">
        <v>116</v>
      </c>
      <c r="K1169" s="112">
        <v>4</v>
      </c>
      <c r="L1169" s="112">
        <v>126</v>
      </c>
      <c r="M1169" s="112">
        <v>123</v>
      </c>
      <c r="N1169" s="112">
        <v>3</v>
      </c>
      <c r="O1169" s="110"/>
      <c r="P1169" s="110"/>
      <c r="Q1169" s="110"/>
    </row>
    <row r="1170" spans="1:17" s="117" customFormat="1" ht="31.75" customHeight="1">
      <c r="A1170" s="109" t="s">
        <v>7138</v>
      </c>
      <c r="B1170" s="109" t="s">
        <v>7139</v>
      </c>
      <c r="C1170" s="113">
        <v>2018</v>
      </c>
      <c r="D1170" s="112">
        <v>383</v>
      </c>
      <c r="E1170" s="112">
        <v>1391</v>
      </c>
      <c r="F1170" s="112">
        <v>437</v>
      </c>
      <c r="G1170" s="112">
        <v>970</v>
      </c>
      <c r="H1170" s="112">
        <v>279</v>
      </c>
      <c r="I1170" s="112">
        <v>60</v>
      </c>
      <c r="J1170" s="112">
        <v>65</v>
      </c>
      <c r="K1170" s="112">
        <v>5</v>
      </c>
      <c r="L1170" s="112">
        <v>138</v>
      </c>
      <c r="M1170" s="112">
        <v>122</v>
      </c>
      <c r="N1170" s="112">
        <v>16</v>
      </c>
      <c r="O1170" s="110"/>
      <c r="P1170" s="110"/>
      <c r="Q1170" s="110"/>
    </row>
    <row r="1171" spans="1:17" s="117" customFormat="1" ht="31.75" customHeight="1">
      <c r="A1171" s="109" t="s">
        <v>7138</v>
      </c>
      <c r="B1171" s="109" t="s">
        <v>7139</v>
      </c>
      <c r="C1171" s="113">
        <v>2019</v>
      </c>
      <c r="D1171" s="112">
        <v>392</v>
      </c>
      <c r="E1171" s="112">
        <v>1424.585419</v>
      </c>
      <c r="F1171" s="112">
        <v>453.76424900000001</v>
      </c>
      <c r="G1171" s="112">
        <v>978.67722100000003</v>
      </c>
      <c r="H1171" s="112">
        <v>308.48491200000001</v>
      </c>
      <c r="I1171" s="112">
        <v>33.454915999999997</v>
      </c>
      <c r="J1171" s="112">
        <v>48.604129</v>
      </c>
      <c r="K1171" s="112">
        <v>15.149213</v>
      </c>
      <c r="L1171" s="112">
        <v>141.525859</v>
      </c>
      <c r="M1171" s="112">
        <v>135.31917899999999</v>
      </c>
      <c r="N1171" s="112">
        <v>6.2066800000000004</v>
      </c>
      <c r="O1171" s="100"/>
      <c r="P1171" s="100"/>
      <c r="Q1171" s="100"/>
    </row>
    <row r="1172" spans="1:17" s="117" customFormat="1" ht="31.75" customHeight="1">
      <c r="A1172" s="114" t="s">
        <v>7138</v>
      </c>
      <c r="B1172" s="109" t="s">
        <v>7139</v>
      </c>
      <c r="C1172" s="113">
        <v>2020</v>
      </c>
      <c r="D1172" s="112">
        <v>392</v>
      </c>
      <c r="E1172" s="112">
        <v>1428.177964</v>
      </c>
      <c r="F1172" s="112">
        <v>500.64067399999999</v>
      </c>
      <c r="G1172" s="112">
        <v>927.24437899999998</v>
      </c>
      <c r="H1172" s="112">
        <v>292.31462900000002</v>
      </c>
      <c r="I1172" s="112">
        <v>50.641759</v>
      </c>
      <c r="J1172" s="112">
        <v>73.961680999999999</v>
      </c>
      <c r="K1172" s="112">
        <v>23.319921999999998</v>
      </c>
      <c r="L1172" s="112">
        <v>136.72531000000001</v>
      </c>
      <c r="M1172" s="112">
        <v>137.73475500000001</v>
      </c>
      <c r="N1172" s="112">
        <v>-1.0094449999999999</v>
      </c>
      <c r="O1172" s="110"/>
      <c r="P1172" s="110"/>
      <c r="Q1172" s="110"/>
    </row>
    <row r="1173" spans="1:17" s="117" customFormat="1" ht="17.5" customHeight="1">
      <c r="A1173" s="109" t="s">
        <v>7140</v>
      </c>
      <c r="B1173" s="109" t="s">
        <v>7141</v>
      </c>
      <c r="C1173" s="98">
        <v>2008</v>
      </c>
      <c r="D1173" s="99">
        <v>16517</v>
      </c>
      <c r="E1173" s="99">
        <v>13465</v>
      </c>
      <c r="F1173" s="99">
        <v>6477</v>
      </c>
      <c r="G1173" s="99">
        <v>6992</v>
      </c>
      <c r="H1173" s="99">
        <v>3589</v>
      </c>
      <c r="I1173" s="99">
        <v>537</v>
      </c>
      <c r="J1173" s="99">
        <v>715</v>
      </c>
      <c r="K1173" s="99">
        <v>178</v>
      </c>
      <c r="L1173" s="99">
        <v>692</v>
      </c>
      <c r="M1173" s="99">
        <v>691</v>
      </c>
      <c r="N1173" s="99">
        <v>1</v>
      </c>
      <c r="O1173" s="100"/>
      <c r="P1173" s="100"/>
      <c r="Q1173" s="100"/>
    </row>
    <row r="1174" spans="1:17" s="117" customFormat="1" ht="17.5" customHeight="1">
      <c r="A1174" s="109" t="s">
        <v>7140</v>
      </c>
      <c r="B1174" s="109" t="s">
        <v>7141</v>
      </c>
      <c r="C1174" s="98">
        <v>2009</v>
      </c>
      <c r="D1174" s="99">
        <v>15433</v>
      </c>
      <c r="E1174" s="99">
        <v>11383</v>
      </c>
      <c r="F1174" s="99">
        <v>5068</v>
      </c>
      <c r="G1174" s="99">
        <v>6275</v>
      </c>
      <c r="H1174" s="99">
        <v>3407</v>
      </c>
      <c r="I1174" s="99">
        <v>352</v>
      </c>
      <c r="J1174" s="99">
        <v>488</v>
      </c>
      <c r="K1174" s="99">
        <v>137</v>
      </c>
      <c r="L1174" s="99">
        <v>451</v>
      </c>
      <c r="M1174" s="99">
        <v>493</v>
      </c>
      <c r="N1174" s="99">
        <v>-42</v>
      </c>
      <c r="O1174" s="100"/>
      <c r="P1174" s="100"/>
      <c r="Q1174" s="100"/>
    </row>
    <row r="1175" spans="1:17" s="117" customFormat="1" ht="17.5" customHeight="1">
      <c r="A1175" s="109" t="s">
        <v>7140</v>
      </c>
      <c r="B1175" s="109" t="s">
        <v>7141</v>
      </c>
      <c r="C1175" s="98">
        <v>2010</v>
      </c>
      <c r="D1175" s="99">
        <v>14465</v>
      </c>
      <c r="E1175" s="99">
        <v>11388</v>
      </c>
      <c r="F1175" s="99">
        <v>5087</v>
      </c>
      <c r="G1175" s="99">
        <v>6300</v>
      </c>
      <c r="H1175" s="99">
        <v>3034</v>
      </c>
      <c r="I1175" s="99">
        <v>248</v>
      </c>
      <c r="J1175" s="99">
        <v>361</v>
      </c>
      <c r="K1175" s="99">
        <v>113</v>
      </c>
      <c r="L1175" s="99">
        <v>503</v>
      </c>
      <c r="M1175" s="99">
        <v>501</v>
      </c>
      <c r="N1175" s="99">
        <v>2</v>
      </c>
      <c r="O1175" s="110"/>
      <c r="P1175" s="110"/>
      <c r="Q1175" s="110"/>
    </row>
    <row r="1176" spans="1:17" s="117" customFormat="1" ht="17.5" customHeight="1">
      <c r="A1176" s="109" t="s">
        <v>7140</v>
      </c>
      <c r="B1176" s="109" t="s">
        <v>7141</v>
      </c>
      <c r="C1176" s="98">
        <v>2011</v>
      </c>
      <c r="D1176" s="99">
        <v>13923</v>
      </c>
      <c r="E1176" s="99">
        <v>11411</v>
      </c>
      <c r="F1176" s="99">
        <v>5337</v>
      </c>
      <c r="G1176" s="99">
        <v>6113</v>
      </c>
      <c r="H1176" s="99">
        <v>2842</v>
      </c>
      <c r="I1176" s="99">
        <v>280</v>
      </c>
      <c r="J1176" s="99">
        <v>420</v>
      </c>
      <c r="K1176" s="99">
        <v>140</v>
      </c>
      <c r="L1176" s="99">
        <v>498</v>
      </c>
      <c r="M1176" s="99">
        <v>485</v>
      </c>
      <c r="N1176" s="99">
        <v>13</v>
      </c>
      <c r="O1176" s="110"/>
      <c r="P1176" s="110"/>
      <c r="Q1176" s="110"/>
    </row>
    <row r="1177" spans="1:17" s="117" customFormat="1" ht="17.5" customHeight="1">
      <c r="A1177" s="109" t="s">
        <v>7140</v>
      </c>
      <c r="B1177" s="109" t="s">
        <v>7141</v>
      </c>
      <c r="C1177" s="111">
        <v>2012</v>
      </c>
      <c r="D1177" s="112">
        <v>13259</v>
      </c>
      <c r="E1177" s="112">
        <v>10943</v>
      </c>
      <c r="F1177" s="112">
        <v>4966</v>
      </c>
      <c r="G1177" s="112">
        <v>5955</v>
      </c>
      <c r="H1177" s="112">
        <v>2811</v>
      </c>
      <c r="I1177" s="112">
        <v>288</v>
      </c>
      <c r="J1177" s="112">
        <v>458</v>
      </c>
      <c r="K1177" s="112">
        <v>170</v>
      </c>
      <c r="L1177" s="112">
        <v>428</v>
      </c>
      <c r="M1177" s="112">
        <v>437</v>
      </c>
      <c r="N1177" s="112">
        <v>-10</v>
      </c>
      <c r="O1177" s="100"/>
      <c r="P1177" s="100"/>
      <c r="Q1177" s="100"/>
    </row>
    <row r="1178" spans="1:17" s="117" customFormat="1" ht="17.5" customHeight="1">
      <c r="A1178" s="109" t="s">
        <v>7140</v>
      </c>
      <c r="B1178" s="109" t="s">
        <v>7141</v>
      </c>
      <c r="C1178" s="113">
        <v>2013</v>
      </c>
      <c r="D1178" s="112">
        <v>12988</v>
      </c>
      <c r="E1178" s="112">
        <v>10755</v>
      </c>
      <c r="F1178" s="112">
        <v>5056</v>
      </c>
      <c r="G1178" s="112">
        <v>5729</v>
      </c>
      <c r="H1178" s="112">
        <v>2788</v>
      </c>
      <c r="I1178" s="112">
        <v>368</v>
      </c>
      <c r="J1178" s="112">
        <v>436</v>
      </c>
      <c r="K1178" s="112">
        <v>68</v>
      </c>
      <c r="L1178" s="112">
        <v>469</v>
      </c>
      <c r="M1178" s="112">
        <v>444</v>
      </c>
      <c r="N1178" s="112">
        <v>24</v>
      </c>
      <c r="O1178" s="100"/>
      <c r="P1178" s="100"/>
      <c r="Q1178" s="100"/>
    </row>
    <row r="1179" spans="1:17" s="117" customFormat="1" ht="17.5" customHeight="1">
      <c r="A1179" s="109" t="s">
        <v>7140</v>
      </c>
      <c r="B1179" s="109" t="s">
        <v>7141</v>
      </c>
      <c r="C1179" s="113">
        <v>2014</v>
      </c>
      <c r="D1179" s="99">
        <v>12562</v>
      </c>
      <c r="E1179" s="99">
        <v>10956</v>
      </c>
      <c r="F1179" s="99">
        <v>4793</v>
      </c>
      <c r="G1179" s="99">
        <v>6235</v>
      </c>
      <c r="H1179" s="99">
        <v>2727</v>
      </c>
      <c r="I1179" s="99">
        <v>578</v>
      </c>
      <c r="J1179" s="99">
        <v>669</v>
      </c>
      <c r="K1179" s="99">
        <v>91</v>
      </c>
      <c r="L1179" s="99">
        <v>495</v>
      </c>
      <c r="M1179" s="99">
        <v>468</v>
      </c>
      <c r="N1179" s="99">
        <v>27</v>
      </c>
      <c r="O1179" s="110"/>
      <c r="P1179" s="110"/>
      <c r="Q1179" s="110"/>
    </row>
    <row r="1180" spans="1:17" s="117" customFormat="1" ht="17.5" customHeight="1">
      <c r="A1180" s="109" t="s">
        <v>7140</v>
      </c>
      <c r="B1180" s="109" t="s">
        <v>7141</v>
      </c>
      <c r="C1180" s="113">
        <v>2015</v>
      </c>
      <c r="D1180" s="112">
        <v>12319</v>
      </c>
      <c r="E1180" s="112">
        <v>10926</v>
      </c>
      <c r="F1180" s="112">
        <v>4940</v>
      </c>
      <c r="G1180" s="112">
        <v>6048</v>
      </c>
      <c r="H1180" s="112">
        <v>2693</v>
      </c>
      <c r="I1180" s="112">
        <v>546</v>
      </c>
      <c r="J1180" s="112">
        <v>617</v>
      </c>
      <c r="K1180" s="112">
        <v>71</v>
      </c>
      <c r="L1180" s="112">
        <v>590</v>
      </c>
      <c r="M1180" s="112">
        <v>547</v>
      </c>
      <c r="N1180" s="112">
        <v>43</v>
      </c>
      <c r="O1180" s="110"/>
      <c r="P1180" s="110"/>
      <c r="Q1180" s="110"/>
    </row>
    <row r="1181" spans="1:17" s="117" customFormat="1" ht="17.5" customHeight="1">
      <c r="A1181" s="109" t="s">
        <v>7140</v>
      </c>
      <c r="B1181" s="109" t="s">
        <v>7141</v>
      </c>
      <c r="C1181" s="113">
        <v>2016</v>
      </c>
      <c r="D1181" s="112">
        <v>12106</v>
      </c>
      <c r="E1181" s="112">
        <v>10634</v>
      </c>
      <c r="F1181" s="112">
        <v>4645</v>
      </c>
      <c r="G1181" s="112">
        <v>6091</v>
      </c>
      <c r="H1181" s="112">
        <v>2678</v>
      </c>
      <c r="I1181" s="112">
        <v>624</v>
      </c>
      <c r="J1181" s="112">
        <v>695</v>
      </c>
      <c r="K1181" s="112">
        <v>71</v>
      </c>
      <c r="L1181" s="112">
        <v>499</v>
      </c>
      <c r="M1181" s="112">
        <v>462</v>
      </c>
      <c r="N1181" s="112">
        <v>37</v>
      </c>
      <c r="O1181" s="110"/>
      <c r="P1181" s="110"/>
      <c r="Q1181" s="110"/>
    </row>
    <row r="1182" spans="1:17" s="117" customFormat="1" ht="17.5" customHeight="1">
      <c r="A1182" s="109" t="s">
        <v>7140</v>
      </c>
      <c r="B1182" s="109" t="s">
        <v>7141</v>
      </c>
      <c r="C1182" s="113">
        <v>2017</v>
      </c>
      <c r="D1182" s="112">
        <v>11782</v>
      </c>
      <c r="E1182" s="112">
        <v>10814</v>
      </c>
      <c r="F1182" s="112">
        <v>4697</v>
      </c>
      <c r="G1182" s="112">
        <v>6170</v>
      </c>
      <c r="H1182" s="112">
        <v>2862</v>
      </c>
      <c r="I1182" s="112">
        <v>401</v>
      </c>
      <c r="J1182" s="112">
        <v>538</v>
      </c>
      <c r="K1182" s="112">
        <v>137</v>
      </c>
      <c r="L1182" s="112">
        <v>484</v>
      </c>
      <c r="M1182" s="112">
        <v>497</v>
      </c>
      <c r="N1182" s="112">
        <v>-14</v>
      </c>
      <c r="O1182" s="110"/>
      <c r="P1182" s="110"/>
      <c r="Q1182" s="110"/>
    </row>
    <row r="1183" spans="1:17" s="117" customFormat="1" ht="17.5" customHeight="1">
      <c r="A1183" s="109" t="s">
        <v>7140</v>
      </c>
      <c r="B1183" s="109" t="s">
        <v>7141</v>
      </c>
      <c r="C1183" s="113">
        <v>2018</v>
      </c>
      <c r="D1183" s="112">
        <v>11583</v>
      </c>
      <c r="E1183" s="112">
        <v>10838</v>
      </c>
      <c r="F1183" s="112">
        <v>5027</v>
      </c>
      <c r="G1183" s="112">
        <v>5917</v>
      </c>
      <c r="H1183" s="112">
        <v>2863</v>
      </c>
      <c r="I1183" s="112">
        <v>564</v>
      </c>
      <c r="J1183" s="112">
        <v>662</v>
      </c>
      <c r="K1183" s="112">
        <v>98</v>
      </c>
      <c r="L1183" s="112">
        <v>568</v>
      </c>
      <c r="M1183" s="112">
        <v>524</v>
      </c>
      <c r="N1183" s="112">
        <v>43</v>
      </c>
      <c r="O1183" s="100"/>
      <c r="P1183" s="100"/>
      <c r="Q1183" s="100"/>
    </row>
    <row r="1184" spans="1:17" s="117" customFormat="1" ht="17.5" customHeight="1">
      <c r="A1184" s="109" t="s">
        <v>7140</v>
      </c>
      <c r="B1184" s="109" t="s">
        <v>7141</v>
      </c>
      <c r="C1184" s="113">
        <v>2019</v>
      </c>
      <c r="D1184" s="112">
        <v>11095</v>
      </c>
      <c r="E1184" s="112">
        <v>10412.126120999999</v>
      </c>
      <c r="F1184" s="112">
        <v>4456.3970719999998</v>
      </c>
      <c r="G1184" s="112">
        <v>5989.3683639999999</v>
      </c>
      <c r="H1184" s="112">
        <v>2541.0843260000001</v>
      </c>
      <c r="I1184" s="112">
        <v>392.678313</v>
      </c>
      <c r="J1184" s="112">
        <v>478.087425</v>
      </c>
      <c r="K1184" s="112">
        <v>85.409113000000005</v>
      </c>
      <c r="L1184" s="112">
        <v>541.51138400000002</v>
      </c>
      <c r="M1184" s="112">
        <v>534.03992100000005</v>
      </c>
      <c r="N1184" s="112">
        <v>7.4714640000000001</v>
      </c>
      <c r="O1184" s="110"/>
      <c r="P1184" s="110"/>
      <c r="Q1184" s="110"/>
    </row>
    <row r="1185" spans="1:17" s="117" customFormat="1" ht="17.5" customHeight="1">
      <c r="A1185" s="114" t="s">
        <v>7140</v>
      </c>
      <c r="B1185" s="114" t="s">
        <v>7141</v>
      </c>
      <c r="C1185" s="113">
        <v>2020</v>
      </c>
      <c r="D1185" s="112">
        <v>10893</v>
      </c>
      <c r="E1185" s="112">
        <v>8667.8997049999998</v>
      </c>
      <c r="F1185" s="112">
        <v>3832.854906</v>
      </c>
      <c r="G1185" s="112">
        <v>4878.543017</v>
      </c>
      <c r="H1185" s="112">
        <v>2153.695999</v>
      </c>
      <c r="I1185" s="112">
        <v>328.020196</v>
      </c>
      <c r="J1185" s="112">
        <v>402.09852599999999</v>
      </c>
      <c r="K1185" s="112">
        <v>74.078329999999994</v>
      </c>
      <c r="L1185" s="112">
        <v>476.37314800000001</v>
      </c>
      <c r="M1185" s="112">
        <v>477.891366</v>
      </c>
      <c r="N1185" s="112">
        <v>-1.5182180000000001</v>
      </c>
      <c r="O1185" s="100"/>
      <c r="P1185" s="100"/>
      <c r="Q1185" s="100"/>
    </row>
    <row r="1186" spans="1:17" s="117" customFormat="1" ht="17.5" customHeight="1">
      <c r="A1186" s="109" t="s">
        <v>7142</v>
      </c>
      <c r="B1186" s="109" t="s">
        <v>7143</v>
      </c>
      <c r="C1186" s="98">
        <v>2008</v>
      </c>
      <c r="D1186" s="99">
        <v>14942</v>
      </c>
      <c r="E1186" s="99">
        <v>12949</v>
      </c>
      <c r="F1186" s="99">
        <v>6129</v>
      </c>
      <c r="G1186" s="99">
        <v>6810</v>
      </c>
      <c r="H1186" s="99">
        <v>3492</v>
      </c>
      <c r="I1186" s="99">
        <v>509</v>
      </c>
      <c r="J1186" s="99">
        <v>687</v>
      </c>
      <c r="K1186" s="99">
        <v>178</v>
      </c>
      <c r="L1186" s="99">
        <v>548</v>
      </c>
      <c r="M1186" s="99">
        <v>553</v>
      </c>
      <c r="N1186" s="99">
        <v>-5</v>
      </c>
      <c r="O1186" s="100"/>
      <c r="P1186" s="100"/>
      <c r="Q1186" s="100"/>
    </row>
    <row r="1187" spans="1:17" s="117" customFormat="1" ht="17.5" customHeight="1">
      <c r="A1187" s="109" t="s">
        <v>7142</v>
      </c>
      <c r="B1187" s="109" t="s">
        <v>7143</v>
      </c>
      <c r="C1187" s="98">
        <v>2009</v>
      </c>
      <c r="D1187" s="99">
        <v>14055</v>
      </c>
      <c r="E1187" s="99">
        <v>10998</v>
      </c>
      <c r="F1187" s="99">
        <v>4873</v>
      </c>
      <c r="G1187" s="99">
        <v>6081</v>
      </c>
      <c r="H1187" s="99">
        <v>3295</v>
      </c>
      <c r="I1187" s="99">
        <v>340</v>
      </c>
      <c r="J1187" s="99" t="s">
        <v>6953</v>
      </c>
      <c r="K1187" s="99" t="s">
        <v>6953</v>
      </c>
      <c r="L1187" s="99">
        <v>438</v>
      </c>
      <c r="M1187" s="99">
        <v>484</v>
      </c>
      <c r="N1187" s="99">
        <v>-46</v>
      </c>
      <c r="O1187" s="110"/>
      <c r="P1187" s="110"/>
      <c r="Q1187" s="110"/>
    </row>
    <row r="1188" spans="1:17" s="117" customFormat="1" ht="17.5" customHeight="1">
      <c r="A1188" s="109" t="s">
        <v>7142</v>
      </c>
      <c r="B1188" s="109" t="s">
        <v>7143</v>
      </c>
      <c r="C1188" s="98">
        <v>2010</v>
      </c>
      <c r="D1188" s="99">
        <v>13243</v>
      </c>
      <c r="E1188" s="99">
        <v>11078</v>
      </c>
      <c r="F1188" s="99">
        <v>4915</v>
      </c>
      <c r="G1188" s="99">
        <v>6162</v>
      </c>
      <c r="H1188" s="99">
        <v>2952</v>
      </c>
      <c r="I1188" s="99">
        <v>223</v>
      </c>
      <c r="J1188" s="99">
        <v>336</v>
      </c>
      <c r="K1188" s="99">
        <v>113</v>
      </c>
      <c r="L1188" s="99">
        <v>500</v>
      </c>
      <c r="M1188" s="99">
        <v>498</v>
      </c>
      <c r="N1188" s="99">
        <v>2</v>
      </c>
      <c r="O1188" s="110"/>
      <c r="P1188" s="110"/>
      <c r="Q1188" s="110"/>
    </row>
    <row r="1189" spans="1:17" s="117" customFormat="1" ht="17.5" customHeight="1">
      <c r="A1189" s="109" t="s">
        <v>7142</v>
      </c>
      <c r="B1189" s="109" t="s">
        <v>7143</v>
      </c>
      <c r="C1189" s="98">
        <v>2011</v>
      </c>
      <c r="D1189" s="99">
        <v>12786</v>
      </c>
      <c r="E1189" s="99">
        <v>11068</v>
      </c>
      <c r="F1189" s="99">
        <v>5190</v>
      </c>
      <c r="G1189" s="99">
        <v>5914</v>
      </c>
      <c r="H1189" s="99">
        <v>2776</v>
      </c>
      <c r="I1189" s="99">
        <v>267</v>
      </c>
      <c r="J1189" s="99">
        <v>406</v>
      </c>
      <c r="K1189" s="99">
        <v>139</v>
      </c>
      <c r="L1189" s="99">
        <v>467</v>
      </c>
      <c r="M1189" s="99">
        <v>457</v>
      </c>
      <c r="N1189" s="99">
        <v>10</v>
      </c>
      <c r="O1189" s="100"/>
      <c r="P1189" s="100"/>
      <c r="Q1189" s="100"/>
    </row>
    <row r="1190" spans="1:17" s="117" customFormat="1" ht="17.5" customHeight="1">
      <c r="A1190" s="109" t="s">
        <v>7142</v>
      </c>
      <c r="B1190" s="109" t="s">
        <v>7143</v>
      </c>
      <c r="C1190" s="111">
        <v>2012</v>
      </c>
      <c r="D1190" s="112">
        <v>12196</v>
      </c>
      <c r="E1190" s="112">
        <v>10701</v>
      </c>
      <c r="F1190" s="112">
        <v>4861</v>
      </c>
      <c r="G1190" s="112">
        <v>5822</v>
      </c>
      <c r="H1190" s="112">
        <v>2760</v>
      </c>
      <c r="I1190" s="112">
        <v>270</v>
      </c>
      <c r="J1190" s="112">
        <v>439</v>
      </c>
      <c r="K1190" s="112">
        <v>169</v>
      </c>
      <c r="L1190" s="112">
        <v>421</v>
      </c>
      <c r="M1190" s="112">
        <v>429</v>
      </c>
      <c r="N1190" s="112">
        <v>-8</v>
      </c>
      <c r="O1190" s="100"/>
      <c r="P1190" s="100"/>
      <c r="Q1190" s="100"/>
    </row>
    <row r="1191" spans="1:17" s="117" customFormat="1" ht="17.5" customHeight="1">
      <c r="A1191" s="109" t="s">
        <v>7142</v>
      </c>
      <c r="B1191" s="109" t="s">
        <v>7143</v>
      </c>
      <c r="C1191" s="113">
        <v>2013</v>
      </c>
      <c r="D1191" s="112">
        <v>11973</v>
      </c>
      <c r="E1191" s="112">
        <v>10325</v>
      </c>
      <c r="F1191" s="112">
        <v>4797</v>
      </c>
      <c r="G1191" s="112">
        <v>5562</v>
      </c>
      <c r="H1191" s="112">
        <v>2708</v>
      </c>
      <c r="I1191" s="112">
        <v>358</v>
      </c>
      <c r="J1191" s="112">
        <v>422</v>
      </c>
      <c r="K1191" s="112">
        <v>63</v>
      </c>
      <c r="L1191" s="112">
        <v>458</v>
      </c>
      <c r="M1191" s="112">
        <v>430</v>
      </c>
      <c r="N1191" s="112">
        <v>28</v>
      </c>
      <c r="O1191" s="110"/>
      <c r="P1191" s="110"/>
      <c r="Q1191" s="110"/>
    </row>
    <row r="1192" spans="1:17" s="117" customFormat="1" ht="17.5" customHeight="1">
      <c r="A1192" s="109" t="s">
        <v>7142</v>
      </c>
      <c r="B1192" s="109" t="s">
        <v>7143</v>
      </c>
      <c r="C1192" s="113">
        <v>2014</v>
      </c>
      <c r="D1192" s="99">
        <v>11601</v>
      </c>
      <c r="E1192" s="99">
        <v>10617</v>
      </c>
      <c r="F1192" s="99">
        <v>4599</v>
      </c>
      <c r="G1192" s="99">
        <v>6085</v>
      </c>
      <c r="H1192" s="99">
        <v>2676</v>
      </c>
      <c r="I1192" s="99">
        <v>566</v>
      </c>
      <c r="J1192" s="99">
        <v>656</v>
      </c>
      <c r="K1192" s="99">
        <v>90</v>
      </c>
      <c r="L1192" s="99">
        <v>485</v>
      </c>
      <c r="M1192" s="99">
        <v>458</v>
      </c>
      <c r="N1192" s="99">
        <v>26</v>
      </c>
      <c r="O1192" s="110"/>
      <c r="P1192" s="110"/>
      <c r="Q1192" s="110"/>
    </row>
    <row r="1193" spans="1:17" s="117" customFormat="1" ht="17.5" customHeight="1">
      <c r="A1193" s="109" t="s">
        <v>7142</v>
      </c>
      <c r="B1193" s="109" t="s">
        <v>7143</v>
      </c>
      <c r="C1193" s="113">
        <v>2015</v>
      </c>
      <c r="D1193" s="112">
        <v>11399</v>
      </c>
      <c r="E1193" s="112">
        <v>10657</v>
      </c>
      <c r="F1193" s="112">
        <v>4827</v>
      </c>
      <c r="G1193" s="112">
        <v>5890</v>
      </c>
      <c r="H1193" s="112">
        <v>2659</v>
      </c>
      <c r="I1193" s="112">
        <v>533</v>
      </c>
      <c r="J1193" s="112">
        <v>601</v>
      </c>
      <c r="K1193" s="112">
        <v>69</v>
      </c>
      <c r="L1193" s="112">
        <v>587</v>
      </c>
      <c r="M1193" s="112">
        <v>543</v>
      </c>
      <c r="N1193" s="112">
        <v>44</v>
      </c>
      <c r="O1193" s="110"/>
      <c r="P1193" s="110"/>
      <c r="Q1193" s="110"/>
    </row>
    <row r="1194" spans="1:17" s="117" customFormat="1" ht="17.5" customHeight="1">
      <c r="A1194" s="109" t="s">
        <v>7142</v>
      </c>
      <c r="B1194" s="109" t="s">
        <v>7143</v>
      </c>
      <c r="C1194" s="113">
        <v>2016</v>
      </c>
      <c r="D1194" s="112">
        <v>11201</v>
      </c>
      <c r="E1194" s="112">
        <v>10427</v>
      </c>
      <c r="F1194" s="112">
        <v>4516</v>
      </c>
      <c r="G1194" s="112">
        <v>6011</v>
      </c>
      <c r="H1194" s="112">
        <v>2643</v>
      </c>
      <c r="I1194" s="112">
        <v>622</v>
      </c>
      <c r="J1194" s="112">
        <v>691</v>
      </c>
      <c r="K1194" s="112">
        <v>70</v>
      </c>
      <c r="L1194" s="112">
        <v>490</v>
      </c>
      <c r="M1194" s="112">
        <v>454</v>
      </c>
      <c r="N1194" s="112">
        <v>36</v>
      </c>
      <c r="O1194" s="110"/>
      <c r="P1194" s="110"/>
      <c r="Q1194" s="110"/>
    </row>
    <row r="1195" spans="1:17" s="117" customFormat="1" ht="17.5" customHeight="1">
      <c r="A1195" s="109" t="s">
        <v>7142</v>
      </c>
      <c r="B1195" s="109" t="s">
        <v>7143</v>
      </c>
      <c r="C1195" s="113">
        <v>2017</v>
      </c>
      <c r="D1195" s="112">
        <v>10928</v>
      </c>
      <c r="E1195" s="112">
        <v>10603</v>
      </c>
      <c r="F1195" s="112">
        <v>4595</v>
      </c>
      <c r="G1195" s="112">
        <v>6060</v>
      </c>
      <c r="H1195" s="112">
        <v>2831</v>
      </c>
      <c r="I1195" s="112">
        <v>391</v>
      </c>
      <c r="J1195" s="112">
        <v>514</v>
      </c>
      <c r="K1195" s="112">
        <v>123</v>
      </c>
      <c r="L1195" s="112">
        <v>480</v>
      </c>
      <c r="M1195" s="112">
        <v>493</v>
      </c>
      <c r="N1195" s="112">
        <v>-13</v>
      </c>
      <c r="O1195" s="100"/>
      <c r="P1195" s="100"/>
      <c r="Q1195" s="100"/>
    </row>
    <row r="1196" spans="1:17" s="117" customFormat="1" ht="17.5" customHeight="1">
      <c r="A1196" s="109" t="s">
        <v>7142</v>
      </c>
      <c r="B1196" s="109" t="s">
        <v>7143</v>
      </c>
      <c r="C1196" s="113">
        <v>2018</v>
      </c>
      <c r="D1196" s="112">
        <v>10756</v>
      </c>
      <c r="E1196" s="112">
        <v>10667</v>
      </c>
      <c r="F1196" s="112">
        <v>4961</v>
      </c>
      <c r="G1196" s="112">
        <v>5811</v>
      </c>
      <c r="H1196" s="112">
        <v>2819</v>
      </c>
      <c r="I1196" s="112">
        <v>549</v>
      </c>
      <c r="J1196" s="112">
        <v>647</v>
      </c>
      <c r="K1196" s="112">
        <v>98</v>
      </c>
      <c r="L1196" s="112">
        <v>564</v>
      </c>
      <c r="M1196" s="112">
        <v>521</v>
      </c>
      <c r="N1196" s="112">
        <v>43</v>
      </c>
      <c r="O1196" s="110"/>
      <c r="P1196" s="110"/>
      <c r="Q1196" s="110"/>
    </row>
    <row r="1197" spans="1:17" s="117" customFormat="1" ht="17.5" customHeight="1">
      <c r="A1197" s="109" t="s">
        <v>7142</v>
      </c>
      <c r="B1197" s="109" t="s">
        <v>7143</v>
      </c>
      <c r="C1197" s="113">
        <v>2019</v>
      </c>
      <c r="D1197" s="112">
        <v>10278</v>
      </c>
      <c r="E1197" s="112">
        <v>10306.856609</v>
      </c>
      <c r="F1197" s="112">
        <v>4379.6706610000001</v>
      </c>
      <c r="G1197" s="112">
        <v>5960.862674</v>
      </c>
      <c r="H1197" s="112">
        <v>2523.918463</v>
      </c>
      <c r="I1197" s="112">
        <v>414.479536</v>
      </c>
      <c r="J1197" s="112">
        <v>473.30155400000001</v>
      </c>
      <c r="K1197" s="112">
        <v>58.822018</v>
      </c>
      <c r="L1197" s="112">
        <v>539.88004599999999</v>
      </c>
      <c r="M1197" s="112">
        <v>532.37836700000003</v>
      </c>
      <c r="N1197" s="112">
        <v>7.5016790000000002</v>
      </c>
      <c r="O1197" s="100"/>
      <c r="P1197" s="100"/>
      <c r="Q1197" s="100"/>
    </row>
    <row r="1198" spans="1:17" s="117" customFormat="1" ht="17.5" customHeight="1">
      <c r="A1198" s="114" t="s">
        <v>7142</v>
      </c>
      <c r="B1198" s="114" t="s">
        <v>7143</v>
      </c>
      <c r="C1198" s="113">
        <v>2020</v>
      </c>
      <c r="D1198" s="112">
        <v>10070</v>
      </c>
      <c r="E1198" s="112">
        <v>8527.3294970000006</v>
      </c>
      <c r="F1198" s="112">
        <v>3737.5437240000001</v>
      </c>
      <c r="G1198" s="112">
        <v>4828.3325750000004</v>
      </c>
      <c r="H1198" s="112">
        <v>2125.4094989999999</v>
      </c>
      <c r="I1198" s="112">
        <v>322.32972000000001</v>
      </c>
      <c r="J1198" s="112">
        <v>394.71678100000003</v>
      </c>
      <c r="K1198" s="112">
        <v>72.387061000000003</v>
      </c>
      <c r="L1198" s="112">
        <v>470.77972699999998</v>
      </c>
      <c r="M1198" s="112">
        <v>476.49669599999999</v>
      </c>
      <c r="N1198" s="112">
        <v>-5.7169699999999999</v>
      </c>
      <c r="O1198" s="100"/>
      <c r="P1198" s="100"/>
      <c r="Q1198" s="100"/>
    </row>
    <row r="1199" spans="1:17" s="117" customFormat="1" ht="17.5" customHeight="1">
      <c r="A1199" s="109" t="s">
        <v>7144</v>
      </c>
      <c r="B1199" s="109" t="s">
        <v>7145</v>
      </c>
      <c r="C1199" s="98">
        <v>2008</v>
      </c>
      <c r="D1199" s="99">
        <v>63</v>
      </c>
      <c r="E1199" s="99">
        <v>125</v>
      </c>
      <c r="F1199" s="99">
        <v>73</v>
      </c>
      <c r="G1199" s="99">
        <v>53</v>
      </c>
      <c r="H1199" s="99">
        <v>60</v>
      </c>
      <c r="I1199" s="99">
        <v>-1</v>
      </c>
      <c r="J1199" s="99">
        <v>1</v>
      </c>
      <c r="K1199" s="99">
        <v>2</v>
      </c>
      <c r="L1199" s="99">
        <v>3</v>
      </c>
      <c r="M1199" s="99">
        <v>3</v>
      </c>
      <c r="N1199" s="99" t="s">
        <v>6952</v>
      </c>
      <c r="O1199" s="110"/>
      <c r="P1199" s="110"/>
      <c r="Q1199" s="110"/>
    </row>
    <row r="1200" spans="1:17" s="117" customFormat="1" ht="17.5" customHeight="1">
      <c r="A1200" s="109" t="s">
        <v>7144</v>
      </c>
      <c r="B1200" s="109" t="s">
        <v>7145</v>
      </c>
      <c r="C1200" s="98">
        <v>2009</v>
      </c>
      <c r="D1200" s="99">
        <v>53</v>
      </c>
      <c r="E1200" s="99">
        <v>111</v>
      </c>
      <c r="F1200" s="99">
        <v>54</v>
      </c>
      <c r="G1200" s="99">
        <v>56</v>
      </c>
      <c r="H1200" s="99">
        <v>44</v>
      </c>
      <c r="I1200" s="99" t="s">
        <v>6953</v>
      </c>
      <c r="J1200" s="99" t="s">
        <v>6953</v>
      </c>
      <c r="K1200" s="99" t="s">
        <v>6953</v>
      </c>
      <c r="L1200" s="99">
        <v>3</v>
      </c>
      <c r="M1200" s="99">
        <v>3</v>
      </c>
      <c r="N1200" s="99">
        <v>-1</v>
      </c>
      <c r="O1200" s="110"/>
      <c r="P1200" s="110"/>
      <c r="Q1200" s="110"/>
    </row>
    <row r="1201" spans="1:17" s="117" customFormat="1" ht="17.5" customHeight="1">
      <c r="A1201" s="109" t="s">
        <v>7144</v>
      </c>
      <c r="B1201" s="109" t="s">
        <v>7145</v>
      </c>
      <c r="C1201" s="98">
        <v>2010</v>
      </c>
      <c r="D1201" s="99">
        <v>54</v>
      </c>
      <c r="E1201" s="99">
        <v>81</v>
      </c>
      <c r="F1201" s="99">
        <v>44</v>
      </c>
      <c r="G1201" s="99">
        <v>36</v>
      </c>
      <c r="H1201" s="99">
        <v>35</v>
      </c>
      <c r="I1201" s="99" t="s">
        <v>6953</v>
      </c>
      <c r="J1201" s="99" t="s">
        <v>6953</v>
      </c>
      <c r="K1201" s="99" t="s">
        <v>6952</v>
      </c>
      <c r="L1201" s="99">
        <v>1</v>
      </c>
      <c r="M1201" s="99">
        <v>2</v>
      </c>
      <c r="N1201" s="99">
        <v>-1</v>
      </c>
      <c r="O1201" s="100"/>
      <c r="P1201" s="100"/>
      <c r="Q1201" s="100"/>
    </row>
    <row r="1202" spans="1:17" s="117" customFormat="1" ht="17.5" customHeight="1">
      <c r="A1202" s="109" t="s">
        <v>7144</v>
      </c>
      <c r="B1202" s="109" t="s">
        <v>7145</v>
      </c>
      <c r="C1202" s="98">
        <v>2011</v>
      </c>
      <c r="D1202" s="99">
        <v>52</v>
      </c>
      <c r="E1202" s="99">
        <v>116</v>
      </c>
      <c r="F1202" s="99">
        <v>69</v>
      </c>
      <c r="G1202" s="99">
        <v>47</v>
      </c>
      <c r="H1202" s="99">
        <v>32</v>
      </c>
      <c r="I1202" s="99">
        <v>45</v>
      </c>
      <c r="J1202" s="99">
        <v>45</v>
      </c>
      <c r="K1202" s="99" t="s">
        <v>6952</v>
      </c>
      <c r="L1202" s="99">
        <v>1</v>
      </c>
      <c r="M1202" s="99">
        <v>1</v>
      </c>
      <c r="N1202" s="99" t="s">
        <v>6952</v>
      </c>
      <c r="O1202" s="100"/>
      <c r="P1202" s="100"/>
      <c r="Q1202" s="100"/>
    </row>
    <row r="1203" spans="1:17" s="117" customFormat="1" ht="17.5" customHeight="1">
      <c r="A1203" s="109" t="s">
        <v>7144</v>
      </c>
      <c r="B1203" s="109" t="s">
        <v>7145</v>
      </c>
      <c r="C1203" s="111">
        <v>2012</v>
      </c>
      <c r="D1203" s="112">
        <v>42</v>
      </c>
      <c r="E1203" s="112">
        <v>76</v>
      </c>
      <c r="F1203" s="112">
        <v>40</v>
      </c>
      <c r="G1203" s="112">
        <v>36</v>
      </c>
      <c r="H1203" s="112">
        <v>21</v>
      </c>
      <c r="I1203" s="112">
        <v>2</v>
      </c>
      <c r="J1203" s="112">
        <v>3</v>
      </c>
      <c r="K1203" s="112" t="s">
        <v>6952</v>
      </c>
      <c r="L1203" s="112">
        <v>1</v>
      </c>
      <c r="M1203" s="112">
        <v>1</v>
      </c>
      <c r="N1203" s="112" t="s">
        <v>6952</v>
      </c>
      <c r="O1203" s="110"/>
      <c r="P1203" s="110"/>
      <c r="Q1203" s="110"/>
    </row>
    <row r="1204" spans="1:17" s="117" customFormat="1" ht="17.5" customHeight="1">
      <c r="A1204" s="109" t="s">
        <v>7144</v>
      </c>
      <c r="B1204" s="109" t="s">
        <v>7145</v>
      </c>
      <c r="C1204" s="113">
        <v>2013</v>
      </c>
      <c r="D1204" s="112">
        <v>38</v>
      </c>
      <c r="E1204" s="112">
        <v>55</v>
      </c>
      <c r="F1204" s="112">
        <v>29</v>
      </c>
      <c r="G1204" s="112">
        <v>26</v>
      </c>
      <c r="H1204" s="112">
        <v>16</v>
      </c>
      <c r="I1204" s="112">
        <v>4</v>
      </c>
      <c r="J1204" s="112">
        <v>4</v>
      </c>
      <c r="K1204" s="112" t="s">
        <v>6952</v>
      </c>
      <c r="L1204" s="112">
        <v>1</v>
      </c>
      <c r="M1204" s="112">
        <v>1</v>
      </c>
      <c r="N1204" s="112" t="s">
        <v>6952</v>
      </c>
      <c r="O1204" s="110"/>
      <c r="P1204" s="110"/>
      <c r="Q1204" s="110"/>
    </row>
    <row r="1205" spans="1:17" s="117" customFormat="1" ht="17.5" customHeight="1">
      <c r="A1205" s="109" t="s">
        <v>7144</v>
      </c>
      <c r="B1205" s="109" t="s">
        <v>7145</v>
      </c>
      <c r="C1205" s="113">
        <v>2014</v>
      </c>
      <c r="D1205" s="99">
        <v>30</v>
      </c>
      <c r="E1205" s="99">
        <v>51</v>
      </c>
      <c r="F1205" s="99">
        <v>27</v>
      </c>
      <c r="G1205" s="99">
        <v>24</v>
      </c>
      <c r="H1205" s="99">
        <v>12</v>
      </c>
      <c r="I1205" s="99" t="s">
        <v>6953</v>
      </c>
      <c r="J1205" s="99" t="s">
        <v>6953</v>
      </c>
      <c r="K1205" s="99" t="s">
        <v>6952</v>
      </c>
      <c r="L1205" s="99">
        <v>1</v>
      </c>
      <c r="M1205" s="99">
        <v>1</v>
      </c>
      <c r="N1205" s="99" t="s">
        <v>6952</v>
      </c>
      <c r="O1205" s="110"/>
      <c r="P1205" s="110"/>
      <c r="Q1205" s="110"/>
    </row>
    <row r="1206" spans="1:17" s="117" customFormat="1" ht="17.5" customHeight="1">
      <c r="A1206" s="109" t="s">
        <v>7144</v>
      </c>
      <c r="B1206" s="109" t="s">
        <v>7145</v>
      </c>
      <c r="C1206" s="113">
        <v>2015</v>
      </c>
      <c r="D1206" s="112">
        <v>25</v>
      </c>
      <c r="E1206" s="112">
        <v>29</v>
      </c>
      <c r="F1206" s="112">
        <v>15</v>
      </c>
      <c r="G1206" s="112">
        <v>13</v>
      </c>
      <c r="H1206" s="112">
        <v>15</v>
      </c>
      <c r="I1206" s="112" t="s">
        <v>6952</v>
      </c>
      <c r="J1206" s="112" t="s">
        <v>6952</v>
      </c>
      <c r="K1206" s="112" t="s">
        <v>6952</v>
      </c>
      <c r="L1206" s="112" t="s">
        <v>6952</v>
      </c>
      <c r="M1206" s="112">
        <v>1</v>
      </c>
      <c r="N1206" s="112">
        <v>-1</v>
      </c>
      <c r="O1206" s="110"/>
      <c r="P1206" s="110"/>
      <c r="Q1206" s="110"/>
    </row>
    <row r="1207" spans="1:17" s="117" customFormat="1" ht="17.5" customHeight="1">
      <c r="A1207" s="109" t="s">
        <v>7144</v>
      </c>
      <c r="B1207" s="109" t="s">
        <v>7145</v>
      </c>
      <c r="C1207" s="113">
        <v>2016</v>
      </c>
      <c r="D1207" s="112">
        <v>28</v>
      </c>
      <c r="E1207" s="112">
        <v>46</v>
      </c>
      <c r="F1207" s="112">
        <v>21</v>
      </c>
      <c r="G1207" s="112">
        <v>26</v>
      </c>
      <c r="H1207" s="112">
        <v>12</v>
      </c>
      <c r="I1207" s="112">
        <v>1</v>
      </c>
      <c r="J1207" s="112">
        <v>1</v>
      </c>
      <c r="K1207" s="112" t="s">
        <v>6952</v>
      </c>
      <c r="L1207" s="112" t="s">
        <v>6952</v>
      </c>
      <c r="M1207" s="112" t="s">
        <v>6952</v>
      </c>
      <c r="N1207" s="112" t="s">
        <v>6952</v>
      </c>
      <c r="O1207" s="100"/>
      <c r="P1207" s="100"/>
      <c r="Q1207" s="100"/>
    </row>
    <row r="1208" spans="1:17" s="117" customFormat="1" ht="17.5" customHeight="1">
      <c r="A1208" s="109" t="s">
        <v>7144</v>
      </c>
      <c r="B1208" s="109" t="s">
        <v>7145</v>
      </c>
      <c r="C1208" s="113">
        <v>2017</v>
      </c>
      <c r="D1208" s="112">
        <v>31</v>
      </c>
      <c r="E1208" s="112">
        <v>44</v>
      </c>
      <c r="F1208" s="112">
        <v>20</v>
      </c>
      <c r="G1208" s="112">
        <v>24</v>
      </c>
      <c r="H1208" s="112">
        <v>9</v>
      </c>
      <c r="I1208" s="112" t="s">
        <v>6952</v>
      </c>
      <c r="J1208" s="112" t="s">
        <v>6952</v>
      </c>
      <c r="K1208" s="112" t="s">
        <v>6952</v>
      </c>
      <c r="L1208" s="112" t="s">
        <v>6952</v>
      </c>
      <c r="M1208" s="112" t="s">
        <v>6952</v>
      </c>
      <c r="N1208" s="112" t="s">
        <v>6952</v>
      </c>
      <c r="O1208" s="110"/>
      <c r="P1208" s="110"/>
      <c r="Q1208" s="110"/>
    </row>
    <row r="1209" spans="1:17" s="117" customFormat="1" ht="17.5" customHeight="1">
      <c r="A1209" s="109" t="s">
        <v>7144</v>
      </c>
      <c r="B1209" s="109" t="s">
        <v>7145</v>
      </c>
      <c r="C1209" s="113">
        <v>2018</v>
      </c>
      <c r="D1209" s="112">
        <v>33</v>
      </c>
      <c r="E1209" s="112">
        <v>19</v>
      </c>
      <c r="F1209" s="112">
        <v>7</v>
      </c>
      <c r="G1209" s="112">
        <v>12</v>
      </c>
      <c r="H1209" s="112">
        <v>5</v>
      </c>
      <c r="I1209" s="112">
        <v>1</v>
      </c>
      <c r="J1209" s="112">
        <v>1</v>
      </c>
      <c r="K1209" s="112" t="s">
        <v>6952</v>
      </c>
      <c r="L1209" s="112" t="s">
        <v>6952</v>
      </c>
      <c r="M1209" s="112" t="s">
        <v>6952</v>
      </c>
      <c r="N1209" s="112" t="s">
        <v>6952</v>
      </c>
      <c r="O1209" s="100"/>
      <c r="P1209" s="100"/>
      <c r="Q1209" s="100"/>
    </row>
    <row r="1210" spans="1:17" s="117" customFormat="1" ht="17.5" customHeight="1">
      <c r="A1210" s="109" t="s">
        <v>7144</v>
      </c>
      <c r="B1210" s="109" t="s">
        <v>7145</v>
      </c>
      <c r="C1210" s="113">
        <v>2019</v>
      </c>
      <c r="D1210" s="112">
        <v>28</v>
      </c>
      <c r="E1210" s="112">
        <v>11.417452000000001</v>
      </c>
      <c r="F1210" s="112">
        <v>4.8877509999999997</v>
      </c>
      <c r="G1210" s="112">
        <v>6.6827009999999998</v>
      </c>
      <c r="H1210" s="112">
        <v>3.3523710000000002</v>
      </c>
      <c r="I1210" s="112" t="s">
        <v>6952</v>
      </c>
      <c r="J1210" s="112" t="s">
        <v>6952</v>
      </c>
      <c r="K1210" s="112" t="s">
        <v>6952</v>
      </c>
      <c r="L1210" s="112" t="s">
        <v>6952</v>
      </c>
      <c r="M1210" s="112">
        <v>0</v>
      </c>
      <c r="N1210" s="112" t="s">
        <v>6952</v>
      </c>
      <c r="O1210" s="100"/>
      <c r="P1210" s="100"/>
      <c r="Q1210" s="100"/>
    </row>
    <row r="1211" spans="1:17" s="117" customFormat="1" ht="17.5" customHeight="1">
      <c r="A1211" s="114" t="s">
        <v>7144</v>
      </c>
      <c r="B1211" s="114" t="s">
        <v>7145</v>
      </c>
      <c r="C1211" s="113">
        <v>2020</v>
      </c>
      <c r="D1211" s="112">
        <v>27</v>
      </c>
      <c r="E1211" s="112">
        <v>7.6928710000000002</v>
      </c>
      <c r="F1211" s="112">
        <v>2.5951170000000001</v>
      </c>
      <c r="G1211" s="112">
        <v>5.0790030000000002</v>
      </c>
      <c r="H1211" s="112">
        <v>2.1801710000000001</v>
      </c>
      <c r="I1211" s="112" t="s">
        <v>6952</v>
      </c>
      <c r="J1211" s="112" t="s">
        <v>6952</v>
      </c>
      <c r="K1211" s="112" t="s">
        <v>6952</v>
      </c>
      <c r="L1211" s="112" t="s">
        <v>6952</v>
      </c>
      <c r="M1211" s="112" t="s">
        <v>6952</v>
      </c>
      <c r="N1211" s="112" t="s">
        <v>6952</v>
      </c>
      <c r="O1211" s="110"/>
      <c r="P1211" s="110"/>
      <c r="Q1211" s="110"/>
    </row>
    <row r="1212" spans="1:17" s="117" customFormat="1" ht="17.5" customHeight="1">
      <c r="A1212" s="109" t="s">
        <v>7146</v>
      </c>
      <c r="B1212" s="109" t="s">
        <v>7147</v>
      </c>
      <c r="C1212" s="98">
        <v>2008</v>
      </c>
      <c r="D1212" s="99">
        <v>11514</v>
      </c>
      <c r="E1212" s="99">
        <v>11473</v>
      </c>
      <c r="F1212" s="99">
        <v>5286</v>
      </c>
      <c r="G1212" s="99">
        <v>6180</v>
      </c>
      <c r="H1212" s="99">
        <v>3016</v>
      </c>
      <c r="I1212" s="99">
        <v>477</v>
      </c>
      <c r="J1212" s="99">
        <v>640</v>
      </c>
      <c r="K1212" s="99">
        <v>163</v>
      </c>
      <c r="L1212" s="99">
        <v>501</v>
      </c>
      <c r="M1212" s="99">
        <v>502</v>
      </c>
      <c r="N1212" s="99">
        <v>-1</v>
      </c>
      <c r="O1212" s="110"/>
      <c r="P1212" s="110"/>
      <c r="Q1212" s="110"/>
    </row>
    <row r="1213" spans="1:17" s="117" customFormat="1" ht="17.5" customHeight="1">
      <c r="A1213" s="109" t="s">
        <v>7146</v>
      </c>
      <c r="B1213" s="109" t="s">
        <v>7147</v>
      </c>
      <c r="C1213" s="98">
        <v>2009</v>
      </c>
      <c r="D1213" s="99">
        <v>11058</v>
      </c>
      <c r="E1213" s="99">
        <v>9681</v>
      </c>
      <c r="F1213" s="99">
        <v>4126</v>
      </c>
      <c r="G1213" s="99">
        <v>5522</v>
      </c>
      <c r="H1213" s="99">
        <v>2849</v>
      </c>
      <c r="I1213" s="99">
        <v>300</v>
      </c>
      <c r="J1213" s="99">
        <v>426</v>
      </c>
      <c r="K1213" s="99">
        <v>127</v>
      </c>
      <c r="L1213" s="99">
        <v>411</v>
      </c>
      <c r="M1213" s="99">
        <v>446</v>
      </c>
      <c r="N1213" s="99">
        <v>-35</v>
      </c>
      <c r="O1213" s="100"/>
      <c r="P1213" s="100"/>
      <c r="Q1213" s="100"/>
    </row>
    <row r="1214" spans="1:17" s="117" customFormat="1" ht="17.5" customHeight="1">
      <c r="A1214" s="109" t="s">
        <v>7146</v>
      </c>
      <c r="B1214" s="109" t="s">
        <v>7147</v>
      </c>
      <c r="C1214" s="98">
        <v>2010</v>
      </c>
      <c r="D1214" s="99">
        <v>10584</v>
      </c>
      <c r="E1214" s="99">
        <v>9815</v>
      </c>
      <c r="F1214" s="99">
        <v>4203</v>
      </c>
      <c r="G1214" s="99">
        <v>5611</v>
      </c>
      <c r="H1214" s="99">
        <v>2520</v>
      </c>
      <c r="I1214" s="99">
        <v>204</v>
      </c>
      <c r="J1214" s="99">
        <v>310</v>
      </c>
      <c r="K1214" s="99">
        <v>106</v>
      </c>
      <c r="L1214" s="99">
        <v>460</v>
      </c>
      <c r="M1214" s="99">
        <v>461</v>
      </c>
      <c r="N1214" s="99" t="s">
        <v>6952</v>
      </c>
      <c r="O1214" s="100"/>
      <c r="P1214" s="100"/>
      <c r="Q1214" s="100"/>
    </row>
    <row r="1215" spans="1:17" s="117" customFormat="1" ht="17.5" customHeight="1">
      <c r="A1215" s="109" t="s">
        <v>7146</v>
      </c>
      <c r="B1215" s="109" t="s">
        <v>7147</v>
      </c>
      <c r="C1215" s="98">
        <v>2011</v>
      </c>
      <c r="D1215" s="99">
        <v>10335</v>
      </c>
      <c r="E1215" s="99">
        <v>9922</v>
      </c>
      <c r="F1215" s="99">
        <v>4465</v>
      </c>
      <c r="G1215" s="99">
        <v>5491</v>
      </c>
      <c r="H1215" s="99">
        <v>2412</v>
      </c>
      <c r="I1215" s="99">
        <v>207</v>
      </c>
      <c r="J1215" s="99">
        <v>341</v>
      </c>
      <c r="K1215" s="99">
        <v>134</v>
      </c>
      <c r="L1215" s="99">
        <v>427</v>
      </c>
      <c r="M1215" s="99">
        <v>417</v>
      </c>
      <c r="N1215" s="99">
        <v>9</v>
      </c>
      <c r="O1215" s="110"/>
      <c r="P1215" s="110"/>
      <c r="Q1215" s="110"/>
    </row>
    <row r="1216" spans="1:17" s="117" customFormat="1" ht="17.5" customHeight="1">
      <c r="A1216" s="109" t="s">
        <v>7146</v>
      </c>
      <c r="B1216" s="109" t="s">
        <v>7147</v>
      </c>
      <c r="C1216" s="111">
        <v>2012</v>
      </c>
      <c r="D1216" s="112">
        <v>10022</v>
      </c>
      <c r="E1216" s="112">
        <v>9619</v>
      </c>
      <c r="F1216" s="112">
        <v>4180</v>
      </c>
      <c r="G1216" s="112">
        <v>5428</v>
      </c>
      <c r="H1216" s="112">
        <v>2420</v>
      </c>
      <c r="I1216" s="112">
        <v>242</v>
      </c>
      <c r="J1216" s="112">
        <v>408</v>
      </c>
      <c r="K1216" s="112">
        <v>166</v>
      </c>
      <c r="L1216" s="112">
        <v>387</v>
      </c>
      <c r="M1216" s="112">
        <v>391</v>
      </c>
      <c r="N1216" s="112">
        <v>-4</v>
      </c>
      <c r="O1216" s="110"/>
      <c r="P1216" s="110"/>
      <c r="Q1216" s="110"/>
    </row>
    <row r="1217" spans="1:17" s="117" customFormat="1" ht="17.5" customHeight="1">
      <c r="A1217" s="109" t="s">
        <v>7146</v>
      </c>
      <c r="B1217" s="109" t="s">
        <v>7147</v>
      </c>
      <c r="C1217" s="113">
        <v>2013</v>
      </c>
      <c r="D1217" s="112">
        <v>9854</v>
      </c>
      <c r="E1217" s="112">
        <v>9431</v>
      </c>
      <c r="F1217" s="112">
        <v>4301</v>
      </c>
      <c r="G1217" s="112">
        <v>5161</v>
      </c>
      <c r="H1217" s="112">
        <v>2398</v>
      </c>
      <c r="I1217" s="112">
        <v>342</v>
      </c>
      <c r="J1217" s="112">
        <v>401</v>
      </c>
      <c r="K1217" s="112">
        <v>59</v>
      </c>
      <c r="L1217" s="112">
        <v>427</v>
      </c>
      <c r="M1217" s="112">
        <v>402</v>
      </c>
      <c r="N1217" s="112">
        <v>26</v>
      </c>
      <c r="O1217" s="110"/>
      <c r="P1217" s="110"/>
      <c r="Q1217" s="110"/>
    </row>
    <row r="1218" spans="1:17" s="117" customFormat="1" ht="17.5" customHeight="1">
      <c r="A1218" s="109" t="s">
        <v>7146</v>
      </c>
      <c r="B1218" s="109" t="s">
        <v>7147</v>
      </c>
      <c r="C1218" s="113">
        <v>2014</v>
      </c>
      <c r="D1218" s="99">
        <v>9620</v>
      </c>
      <c r="E1218" s="99">
        <v>9728</v>
      </c>
      <c r="F1218" s="99">
        <v>4072</v>
      </c>
      <c r="G1218" s="99">
        <v>5723</v>
      </c>
      <c r="H1218" s="99">
        <v>2372</v>
      </c>
      <c r="I1218" s="99">
        <v>543</v>
      </c>
      <c r="J1218" s="99">
        <v>631</v>
      </c>
      <c r="K1218" s="99">
        <v>88</v>
      </c>
      <c r="L1218" s="99">
        <v>449</v>
      </c>
      <c r="M1218" s="99">
        <v>421</v>
      </c>
      <c r="N1218" s="99">
        <v>27</v>
      </c>
      <c r="O1218" s="110"/>
      <c r="P1218" s="110"/>
      <c r="Q1218" s="110"/>
    </row>
    <row r="1219" spans="1:17" s="117" customFormat="1" ht="17.5" customHeight="1">
      <c r="A1219" s="109" t="s">
        <v>7146</v>
      </c>
      <c r="B1219" s="109" t="s">
        <v>7147</v>
      </c>
      <c r="C1219" s="113">
        <v>2015</v>
      </c>
      <c r="D1219" s="112">
        <v>9508</v>
      </c>
      <c r="E1219" s="112">
        <v>9683</v>
      </c>
      <c r="F1219" s="112">
        <v>4261</v>
      </c>
      <c r="G1219" s="112">
        <v>5482</v>
      </c>
      <c r="H1219" s="112">
        <v>2365</v>
      </c>
      <c r="I1219" s="112">
        <v>477</v>
      </c>
      <c r="J1219" s="112">
        <v>536</v>
      </c>
      <c r="K1219" s="112">
        <v>59</v>
      </c>
      <c r="L1219" s="112">
        <v>534</v>
      </c>
      <c r="M1219" s="112">
        <v>489</v>
      </c>
      <c r="N1219" s="112">
        <v>45</v>
      </c>
      <c r="O1219" s="100"/>
      <c r="P1219" s="100"/>
      <c r="Q1219" s="100"/>
    </row>
    <row r="1220" spans="1:17" s="117" customFormat="1" ht="17.5" customHeight="1">
      <c r="A1220" s="109" t="s">
        <v>7146</v>
      </c>
      <c r="B1220" s="109" t="s">
        <v>7147</v>
      </c>
      <c r="C1220" s="113">
        <v>2016</v>
      </c>
      <c r="D1220" s="112">
        <v>9388</v>
      </c>
      <c r="E1220" s="112">
        <v>9470</v>
      </c>
      <c r="F1220" s="112">
        <v>3990</v>
      </c>
      <c r="G1220" s="112">
        <v>5564</v>
      </c>
      <c r="H1220" s="112">
        <v>2336</v>
      </c>
      <c r="I1220" s="112">
        <v>593</v>
      </c>
      <c r="J1220" s="112">
        <v>639</v>
      </c>
      <c r="K1220" s="112">
        <v>46</v>
      </c>
      <c r="L1220" s="112">
        <v>451</v>
      </c>
      <c r="M1220" s="112">
        <v>422</v>
      </c>
      <c r="N1220" s="112">
        <v>30</v>
      </c>
      <c r="O1220" s="110"/>
      <c r="P1220" s="110"/>
      <c r="Q1220" s="110"/>
    </row>
    <row r="1221" spans="1:17" s="117" customFormat="1" ht="17.5" customHeight="1">
      <c r="A1221" s="109" t="s">
        <v>7146</v>
      </c>
      <c r="B1221" s="109" t="s">
        <v>7147</v>
      </c>
      <c r="C1221" s="113">
        <v>2017</v>
      </c>
      <c r="D1221" s="112">
        <v>9232</v>
      </c>
      <c r="E1221" s="112">
        <v>9650</v>
      </c>
      <c r="F1221" s="112">
        <v>4074</v>
      </c>
      <c r="G1221" s="112">
        <v>5617</v>
      </c>
      <c r="H1221" s="112">
        <v>2533</v>
      </c>
      <c r="I1221" s="112">
        <v>358</v>
      </c>
      <c r="J1221" s="112">
        <v>480</v>
      </c>
      <c r="K1221" s="112">
        <v>122</v>
      </c>
      <c r="L1221" s="112">
        <v>427</v>
      </c>
      <c r="M1221" s="112">
        <v>448</v>
      </c>
      <c r="N1221" s="112">
        <v>-21</v>
      </c>
      <c r="O1221" s="100"/>
      <c r="P1221" s="100"/>
      <c r="Q1221" s="100"/>
    </row>
    <row r="1222" spans="1:17" s="117" customFormat="1" ht="17.5" customHeight="1">
      <c r="A1222" s="109" t="s">
        <v>7146</v>
      </c>
      <c r="B1222" s="109" t="s">
        <v>7147</v>
      </c>
      <c r="C1222" s="113">
        <v>2018</v>
      </c>
      <c r="D1222" s="112">
        <v>9151</v>
      </c>
      <c r="E1222" s="112">
        <v>9743</v>
      </c>
      <c r="F1222" s="112">
        <v>4416</v>
      </c>
      <c r="G1222" s="112">
        <v>5441</v>
      </c>
      <c r="H1222" s="112">
        <v>2520</v>
      </c>
      <c r="I1222" s="112">
        <v>507</v>
      </c>
      <c r="J1222" s="112">
        <v>603</v>
      </c>
      <c r="K1222" s="112">
        <v>96</v>
      </c>
      <c r="L1222" s="112">
        <v>514</v>
      </c>
      <c r="M1222" s="112">
        <v>461</v>
      </c>
      <c r="N1222" s="112">
        <v>52</v>
      </c>
      <c r="O1222" s="100"/>
      <c r="P1222" s="100"/>
      <c r="Q1222" s="100"/>
    </row>
    <row r="1223" spans="1:17" s="117" customFormat="1" ht="17.5" customHeight="1">
      <c r="A1223" s="109" t="s">
        <v>7146</v>
      </c>
      <c r="B1223" s="109" t="s">
        <v>7147</v>
      </c>
      <c r="C1223" s="113">
        <v>2019</v>
      </c>
      <c r="D1223" s="112">
        <v>8776</v>
      </c>
      <c r="E1223" s="112">
        <v>9461.1733499999991</v>
      </c>
      <c r="F1223" s="112">
        <v>3902.3450870000001</v>
      </c>
      <c r="G1223" s="112">
        <v>5584.47127</v>
      </c>
      <c r="H1223" s="112">
        <v>2266.015641</v>
      </c>
      <c r="I1223" s="112">
        <v>387.38284499999997</v>
      </c>
      <c r="J1223" s="112">
        <v>444.86903599999999</v>
      </c>
      <c r="K1223" s="112">
        <v>57.486190999999998</v>
      </c>
      <c r="L1223" s="112">
        <v>498.206547</v>
      </c>
      <c r="M1223" s="112">
        <v>491.45990499999999</v>
      </c>
      <c r="N1223" s="112">
        <v>6.7466419999999996</v>
      </c>
      <c r="O1223" s="110"/>
      <c r="P1223" s="110"/>
      <c r="Q1223" s="110"/>
    </row>
    <row r="1224" spans="1:17" s="117" customFormat="1" ht="17.5" customHeight="1">
      <c r="A1224" s="114" t="s">
        <v>7146</v>
      </c>
      <c r="B1224" s="114" t="s">
        <v>7147</v>
      </c>
      <c r="C1224" s="113">
        <v>2020</v>
      </c>
      <c r="D1224" s="112">
        <v>8600</v>
      </c>
      <c r="E1224" s="112">
        <v>7815.2597539999997</v>
      </c>
      <c r="F1224" s="112">
        <v>3335.557339</v>
      </c>
      <c r="G1224" s="112">
        <v>4516.7108470000003</v>
      </c>
      <c r="H1224" s="112">
        <v>1862.4399370000001</v>
      </c>
      <c r="I1224" s="112">
        <v>313.849557</v>
      </c>
      <c r="J1224" s="112">
        <v>375.49531200000001</v>
      </c>
      <c r="K1224" s="112">
        <v>61.645755000000001</v>
      </c>
      <c r="L1224" s="112">
        <v>431.441147</v>
      </c>
      <c r="M1224" s="112">
        <v>435.31971499999997</v>
      </c>
      <c r="N1224" s="112">
        <v>-3.8785669999999999</v>
      </c>
      <c r="O1224" s="110"/>
      <c r="P1224" s="110"/>
      <c r="Q1224" s="110"/>
    </row>
    <row r="1225" spans="1:17" s="117" customFormat="1" ht="17.5" customHeight="1">
      <c r="A1225" s="109" t="s">
        <v>7148</v>
      </c>
      <c r="B1225" s="109" t="s">
        <v>7149</v>
      </c>
      <c r="C1225" s="98">
        <v>2008</v>
      </c>
      <c r="D1225" s="99">
        <v>2963</v>
      </c>
      <c r="E1225" s="99">
        <v>1060</v>
      </c>
      <c r="F1225" s="99">
        <v>582</v>
      </c>
      <c r="G1225" s="99">
        <v>475</v>
      </c>
      <c r="H1225" s="99">
        <v>299</v>
      </c>
      <c r="I1225" s="99">
        <v>22</v>
      </c>
      <c r="J1225" s="99">
        <v>29</v>
      </c>
      <c r="K1225" s="99">
        <v>7</v>
      </c>
      <c r="L1225" s="99">
        <v>38</v>
      </c>
      <c r="M1225" s="99">
        <v>41</v>
      </c>
      <c r="N1225" s="99">
        <v>-3</v>
      </c>
      <c r="O1225" s="100"/>
      <c r="P1225" s="100"/>
      <c r="Q1225" s="100"/>
    </row>
    <row r="1226" spans="1:17" s="117" customFormat="1" ht="17.5" customHeight="1">
      <c r="A1226" s="109" t="s">
        <v>7148</v>
      </c>
      <c r="B1226" s="109" t="s">
        <v>7149</v>
      </c>
      <c r="C1226" s="98">
        <v>2009</v>
      </c>
      <c r="D1226" s="99">
        <v>2567</v>
      </c>
      <c r="E1226" s="99">
        <v>1016</v>
      </c>
      <c r="F1226" s="99">
        <v>571</v>
      </c>
      <c r="G1226" s="99">
        <v>436</v>
      </c>
      <c r="H1226" s="99">
        <v>293</v>
      </c>
      <c r="I1226" s="99">
        <v>32</v>
      </c>
      <c r="J1226" s="99">
        <v>39</v>
      </c>
      <c r="K1226" s="99">
        <v>6</v>
      </c>
      <c r="L1226" s="99">
        <v>22</v>
      </c>
      <c r="M1226" s="99">
        <v>31</v>
      </c>
      <c r="N1226" s="99">
        <v>-10</v>
      </c>
      <c r="O1226" s="110"/>
      <c r="P1226" s="110"/>
      <c r="Q1226" s="110"/>
    </row>
    <row r="1227" spans="1:17" s="117" customFormat="1" ht="17.5" customHeight="1">
      <c r="A1227" s="109" t="s">
        <v>7148</v>
      </c>
      <c r="B1227" s="109" t="s">
        <v>7149</v>
      </c>
      <c r="C1227" s="98">
        <v>2010</v>
      </c>
      <c r="D1227" s="99">
        <v>2277</v>
      </c>
      <c r="E1227" s="99">
        <v>920</v>
      </c>
      <c r="F1227" s="99">
        <v>527</v>
      </c>
      <c r="G1227" s="99">
        <v>393</v>
      </c>
      <c r="H1227" s="99">
        <v>279</v>
      </c>
      <c r="I1227" s="99">
        <v>12</v>
      </c>
      <c r="J1227" s="99">
        <v>15</v>
      </c>
      <c r="K1227" s="99">
        <v>3</v>
      </c>
      <c r="L1227" s="99">
        <v>28</v>
      </c>
      <c r="M1227" s="99">
        <v>27</v>
      </c>
      <c r="N1227" s="99">
        <v>1</v>
      </c>
      <c r="O1227" s="110"/>
      <c r="P1227" s="110"/>
      <c r="Q1227" s="110"/>
    </row>
    <row r="1228" spans="1:17" s="117" customFormat="1" ht="17.5" customHeight="1">
      <c r="A1228" s="109" t="s">
        <v>7148</v>
      </c>
      <c r="B1228" s="109" t="s">
        <v>7149</v>
      </c>
      <c r="C1228" s="98">
        <v>2011</v>
      </c>
      <c r="D1228" s="99">
        <v>2101</v>
      </c>
      <c r="E1228" s="99">
        <v>856</v>
      </c>
      <c r="F1228" s="99">
        <v>552</v>
      </c>
      <c r="G1228" s="99">
        <v>305</v>
      </c>
      <c r="H1228" s="99">
        <v>265</v>
      </c>
      <c r="I1228" s="99">
        <v>11</v>
      </c>
      <c r="J1228" s="99">
        <v>15</v>
      </c>
      <c r="K1228" s="99">
        <v>3</v>
      </c>
      <c r="L1228" s="99">
        <v>30</v>
      </c>
      <c r="M1228" s="99">
        <v>29</v>
      </c>
      <c r="N1228" s="99">
        <v>1</v>
      </c>
      <c r="O1228" s="110"/>
      <c r="P1228" s="110"/>
      <c r="Q1228" s="110"/>
    </row>
    <row r="1229" spans="1:17" s="117" customFormat="1" ht="17.5" customHeight="1">
      <c r="A1229" s="109" t="s">
        <v>7148</v>
      </c>
      <c r="B1229" s="109" t="s">
        <v>7149</v>
      </c>
      <c r="C1229" s="111">
        <v>2012</v>
      </c>
      <c r="D1229" s="112">
        <v>1852</v>
      </c>
      <c r="E1229" s="112">
        <v>821</v>
      </c>
      <c r="F1229" s="112">
        <v>516</v>
      </c>
      <c r="G1229" s="112">
        <v>298</v>
      </c>
      <c r="H1229" s="112">
        <v>254</v>
      </c>
      <c r="I1229" s="112">
        <v>23</v>
      </c>
      <c r="J1229" s="112">
        <v>24</v>
      </c>
      <c r="K1229" s="112">
        <v>2</v>
      </c>
      <c r="L1229" s="112">
        <v>26</v>
      </c>
      <c r="M1229" s="112">
        <v>30</v>
      </c>
      <c r="N1229" s="112">
        <v>-4</v>
      </c>
      <c r="O1229" s="110"/>
      <c r="P1229" s="110"/>
      <c r="Q1229" s="110"/>
    </row>
    <row r="1230" spans="1:17" s="117" customFormat="1" ht="17.5" customHeight="1">
      <c r="A1230" s="109" t="s">
        <v>7148</v>
      </c>
      <c r="B1230" s="109" t="s">
        <v>7149</v>
      </c>
      <c r="C1230" s="113">
        <v>2013</v>
      </c>
      <c r="D1230" s="112">
        <v>1786</v>
      </c>
      <c r="E1230" s="112">
        <v>668</v>
      </c>
      <c r="F1230" s="112">
        <v>354</v>
      </c>
      <c r="G1230" s="112">
        <v>317</v>
      </c>
      <c r="H1230" s="112">
        <v>224</v>
      </c>
      <c r="I1230" s="112">
        <v>9</v>
      </c>
      <c r="J1230" s="112">
        <v>14</v>
      </c>
      <c r="K1230" s="112">
        <v>4</v>
      </c>
      <c r="L1230" s="112">
        <v>22</v>
      </c>
      <c r="M1230" s="112">
        <v>19</v>
      </c>
      <c r="N1230" s="112">
        <v>3</v>
      </c>
      <c r="O1230" s="110"/>
      <c r="P1230" s="110"/>
      <c r="Q1230" s="110"/>
    </row>
    <row r="1231" spans="1:17" s="117" customFormat="1" ht="17.5" customHeight="1">
      <c r="A1231" s="109" t="s">
        <v>7148</v>
      </c>
      <c r="B1231" s="109" t="s">
        <v>7149</v>
      </c>
      <c r="C1231" s="113">
        <v>2014</v>
      </c>
      <c r="D1231" s="99">
        <v>1658</v>
      </c>
      <c r="E1231" s="99">
        <v>633</v>
      </c>
      <c r="F1231" s="99">
        <v>383</v>
      </c>
      <c r="G1231" s="99">
        <v>252</v>
      </c>
      <c r="H1231" s="99">
        <v>227</v>
      </c>
      <c r="I1231" s="99">
        <v>17</v>
      </c>
      <c r="J1231" s="99">
        <v>19</v>
      </c>
      <c r="K1231" s="99">
        <v>2</v>
      </c>
      <c r="L1231" s="99">
        <v>22</v>
      </c>
      <c r="M1231" s="99">
        <v>22</v>
      </c>
      <c r="N1231" s="99" t="s">
        <v>6952</v>
      </c>
      <c r="O1231" s="100"/>
      <c r="P1231" s="100"/>
      <c r="Q1231" s="100"/>
    </row>
    <row r="1232" spans="1:17" s="117" customFormat="1" ht="17.5" customHeight="1">
      <c r="A1232" s="109" t="s">
        <v>7148</v>
      </c>
      <c r="B1232" s="109" t="s">
        <v>7149</v>
      </c>
      <c r="C1232" s="113">
        <v>2015</v>
      </c>
      <c r="D1232" s="112">
        <v>1555</v>
      </c>
      <c r="E1232" s="112">
        <v>748</v>
      </c>
      <c r="F1232" s="112">
        <v>425</v>
      </c>
      <c r="G1232" s="112">
        <v>323</v>
      </c>
      <c r="H1232" s="112">
        <v>214</v>
      </c>
      <c r="I1232" s="112">
        <v>40</v>
      </c>
      <c r="J1232" s="112">
        <v>47</v>
      </c>
      <c r="K1232" s="112">
        <v>7</v>
      </c>
      <c r="L1232" s="112">
        <v>43</v>
      </c>
      <c r="M1232" s="112">
        <v>42</v>
      </c>
      <c r="N1232" s="112">
        <v>1</v>
      </c>
      <c r="O1232" s="110"/>
      <c r="P1232" s="110"/>
      <c r="Q1232" s="110"/>
    </row>
    <row r="1233" spans="1:17" s="117" customFormat="1" ht="17.5" customHeight="1">
      <c r="A1233" s="109" t="s">
        <v>7148</v>
      </c>
      <c r="B1233" s="109" t="s">
        <v>7149</v>
      </c>
      <c r="C1233" s="113">
        <v>2016</v>
      </c>
      <c r="D1233" s="112">
        <v>1472</v>
      </c>
      <c r="E1233" s="112">
        <v>662</v>
      </c>
      <c r="F1233" s="112">
        <v>369</v>
      </c>
      <c r="G1233" s="112">
        <v>306</v>
      </c>
      <c r="H1233" s="112">
        <v>210</v>
      </c>
      <c r="I1233" s="112">
        <v>26</v>
      </c>
      <c r="J1233" s="112">
        <v>49</v>
      </c>
      <c r="K1233" s="112">
        <v>23</v>
      </c>
      <c r="L1233" s="112">
        <v>22</v>
      </c>
      <c r="M1233" s="112">
        <v>18</v>
      </c>
      <c r="N1233" s="112">
        <v>4</v>
      </c>
      <c r="O1233" s="100"/>
      <c r="P1233" s="100"/>
      <c r="Q1233" s="100"/>
    </row>
    <row r="1234" spans="1:17" s="117" customFormat="1" ht="17.5" customHeight="1">
      <c r="A1234" s="109" t="s">
        <v>7148</v>
      </c>
      <c r="B1234" s="109" t="s">
        <v>7149</v>
      </c>
      <c r="C1234" s="113">
        <v>2017</v>
      </c>
      <c r="D1234" s="112">
        <v>1364</v>
      </c>
      <c r="E1234" s="112">
        <v>668</v>
      </c>
      <c r="F1234" s="112">
        <v>334</v>
      </c>
      <c r="G1234" s="112">
        <v>343</v>
      </c>
      <c r="H1234" s="112">
        <v>203</v>
      </c>
      <c r="I1234" s="112">
        <v>26</v>
      </c>
      <c r="J1234" s="112">
        <v>26</v>
      </c>
      <c r="K1234" s="112">
        <v>1</v>
      </c>
      <c r="L1234" s="112">
        <v>43</v>
      </c>
      <c r="M1234" s="112">
        <v>36</v>
      </c>
      <c r="N1234" s="112">
        <v>7</v>
      </c>
      <c r="O1234" s="100"/>
      <c r="P1234" s="100"/>
      <c r="Q1234" s="100"/>
    </row>
    <row r="1235" spans="1:17" s="117" customFormat="1" ht="17.5" customHeight="1">
      <c r="A1235" s="109" t="s">
        <v>7148</v>
      </c>
      <c r="B1235" s="109" t="s">
        <v>7149</v>
      </c>
      <c r="C1235" s="113">
        <v>2018</v>
      </c>
      <c r="D1235" s="112">
        <v>1286</v>
      </c>
      <c r="E1235" s="112">
        <v>675</v>
      </c>
      <c r="F1235" s="112">
        <v>394</v>
      </c>
      <c r="G1235" s="112">
        <v>269</v>
      </c>
      <c r="H1235" s="112">
        <v>213</v>
      </c>
      <c r="I1235" s="112">
        <v>37</v>
      </c>
      <c r="J1235" s="112">
        <v>39</v>
      </c>
      <c r="K1235" s="112">
        <v>2</v>
      </c>
      <c r="L1235" s="112">
        <v>34</v>
      </c>
      <c r="M1235" s="112">
        <v>46</v>
      </c>
      <c r="N1235" s="112">
        <v>-12</v>
      </c>
      <c r="O1235" s="110"/>
      <c r="P1235" s="110"/>
      <c r="Q1235" s="110"/>
    </row>
    <row r="1236" spans="1:17" s="117" customFormat="1" ht="17.5" customHeight="1">
      <c r="A1236" s="109" t="s">
        <v>7148</v>
      </c>
      <c r="B1236" s="109" t="s">
        <v>7149</v>
      </c>
      <c r="C1236" s="113">
        <v>2019</v>
      </c>
      <c r="D1236" s="112">
        <v>1200</v>
      </c>
      <c r="E1236" s="112">
        <v>641.59388300000001</v>
      </c>
      <c r="F1236" s="112">
        <v>350.58604300000002</v>
      </c>
      <c r="G1236" s="112">
        <v>299.44434100000001</v>
      </c>
      <c r="H1236" s="112">
        <v>183.28896399999999</v>
      </c>
      <c r="I1236" s="112">
        <v>12.811006000000001</v>
      </c>
      <c r="J1236" s="112">
        <v>13.778454999999999</v>
      </c>
      <c r="K1236" s="112">
        <v>0.967449</v>
      </c>
      <c r="L1236" s="112">
        <v>28.562322000000002</v>
      </c>
      <c r="M1236" s="112">
        <v>27.404502000000001</v>
      </c>
      <c r="N1236" s="112">
        <v>1.1578200000000001</v>
      </c>
      <c r="O1236" s="110"/>
      <c r="P1236" s="110"/>
      <c r="Q1236" s="110"/>
    </row>
    <row r="1237" spans="1:17" s="117" customFormat="1" ht="17.5" customHeight="1">
      <c r="A1237" s="114" t="s">
        <v>7148</v>
      </c>
      <c r="B1237" s="114" t="s">
        <v>7149</v>
      </c>
      <c r="C1237" s="113">
        <v>2020</v>
      </c>
      <c r="D1237" s="112">
        <v>1162</v>
      </c>
      <c r="E1237" s="112">
        <v>536.33486600000003</v>
      </c>
      <c r="F1237" s="112">
        <v>296.29536400000001</v>
      </c>
      <c r="G1237" s="112">
        <v>242.43183200000001</v>
      </c>
      <c r="H1237" s="112">
        <v>202.88933499999999</v>
      </c>
      <c r="I1237" s="112">
        <v>9.5783109999999994</v>
      </c>
      <c r="J1237" s="112">
        <v>10.089478</v>
      </c>
      <c r="K1237" s="112">
        <v>0.51116700000000004</v>
      </c>
      <c r="L1237" s="112">
        <v>30.071421999999998</v>
      </c>
      <c r="M1237" s="112">
        <v>30.496206999999998</v>
      </c>
      <c r="N1237" s="112" t="s">
        <v>6952</v>
      </c>
      <c r="O1237" s="110"/>
      <c r="P1237" s="110"/>
      <c r="Q1237" s="110"/>
    </row>
    <row r="1238" spans="1:17" s="117" customFormat="1" ht="17.5" customHeight="1">
      <c r="A1238" s="109" t="s">
        <v>7150</v>
      </c>
      <c r="B1238" s="109" t="s">
        <v>7151</v>
      </c>
      <c r="C1238" s="98">
        <v>2008</v>
      </c>
      <c r="D1238" s="99">
        <v>402</v>
      </c>
      <c r="E1238" s="99">
        <v>291</v>
      </c>
      <c r="F1238" s="99">
        <v>188</v>
      </c>
      <c r="G1238" s="99">
        <v>102</v>
      </c>
      <c r="H1238" s="99">
        <v>117</v>
      </c>
      <c r="I1238" s="99">
        <v>11</v>
      </c>
      <c r="J1238" s="99">
        <v>17</v>
      </c>
      <c r="K1238" s="99">
        <v>6</v>
      </c>
      <c r="L1238" s="99">
        <v>6</v>
      </c>
      <c r="M1238" s="99">
        <v>8</v>
      </c>
      <c r="N1238" s="99">
        <v>-1</v>
      </c>
      <c r="O1238" s="110"/>
      <c r="P1238" s="110"/>
      <c r="Q1238" s="110"/>
    </row>
    <row r="1239" spans="1:17" s="117" customFormat="1" ht="17.5" customHeight="1">
      <c r="A1239" s="109" t="s">
        <v>7150</v>
      </c>
      <c r="B1239" s="109" t="s">
        <v>7151</v>
      </c>
      <c r="C1239" s="98">
        <v>2009</v>
      </c>
      <c r="D1239" s="99">
        <v>377</v>
      </c>
      <c r="E1239" s="99">
        <v>190</v>
      </c>
      <c r="F1239" s="99">
        <v>122</v>
      </c>
      <c r="G1239" s="99">
        <v>68</v>
      </c>
      <c r="H1239" s="99">
        <v>109</v>
      </c>
      <c r="I1239" s="99" t="s">
        <v>6953</v>
      </c>
      <c r="J1239" s="99" t="s">
        <v>6953</v>
      </c>
      <c r="K1239" s="99">
        <v>3</v>
      </c>
      <c r="L1239" s="99">
        <v>3</v>
      </c>
      <c r="M1239" s="99">
        <v>4</v>
      </c>
      <c r="N1239" s="99">
        <v>-1</v>
      </c>
      <c r="O1239" s="110"/>
      <c r="P1239" s="110"/>
      <c r="Q1239" s="110"/>
    </row>
    <row r="1240" spans="1:17" s="117" customFormat="1" ht="17.5" customHeight="1">
      <c r="A1240" s="109" t="s">
        <v>7150</v>
      </c>
      <c r="B1240" s="109" t="s">
        <v>7151</v>
      </c>
      <c r="C1240" s="98">
        <v>2010</v>
      </c>
      <c r="D1240" s="99">
        <v>328</v>
      </c>
      <c r="E1240" s="99">
        <v>262</v>
      </c>
      <c r="F1240" s="99">
        <v>142</v>
      </c>
      <c r="G1240" s="99">
        <v>123</v>
      </c>
      <c r="H1240" s="99">
        <v>119</v>
      </c>
      <c r="I1240" s="99" t="s">
        <v>6953</v>
      </c>
      <c r="J1240" s="99" t="s">
        <v>6953</v>
      </c>
      <c r="K1240" s="99">
        <v>4</v>
      </c>
      <c r="L1240" s="99">
        <v>11</v>
      </c>
      <c r="M1240" s="99">
        <v>9</v>
      </c>
      <c r="N1240" s="99">
        <v>3</v>
      </c>
      <c r="O1240" s="110"/>
      <c r="P1240" s="110"/>
      <c r="Q1240" s="110"/>
    </row>
    <row r="1241" spans="1:17" s="117" customFormat="1" ht="17.5" customHeight="1">
      <c r="A1241" s="109" t="s">
        <v>7150</v>
      </c>
      <c r="B1241" s="109" t="s">
        <v>7151</v>
      </c>
      <c r="C1241" s="98">
        <v>2011</v>
      </c>
      <c r="D1241" s="99">
        <v>298</v>
      </c>
      <c r="E1241" s="99">
        <v>175</v>
      </c>
      <c r="F1241" s="99">
        <v>104</v>
      </c>
      <c r="G1241" s="99">
        <v>72</v>
      </c>
      <c r="H1241" s="99">
        <v>68</v>
      </c>
      <c r="I1241" s="99">
        <v>4</v>
      </c>
      <c r="J1241" s="99">
        <v>6</v>
      </c>
      <c r="K1241" s="99">
        <v>2</v>
      </c>
      <c r="L1241" s="99">
        <v>10</v>
      </c>
      <c r="M1241" s="99">
        <v>10</v>
      </c>
      <c r="N1241" s="99" t="s">
        <v>6952</v>
      </c>
      <c r="O1241" s="110"/>
      <c r="P1241" s="110"/>
      <c r="Q1241" s="110"/>
    </row>
    <row r="1242" spans="1:17" s="117" customFormat="1" ht="17.5" customHeight="1">
      <c r="A1242" s="109" t="s">
        <v>7150</v>
      </c>
      <c r="B1242" s="109" t="s">
        <v>7151</v>
      </c>
      <c r="C1242" s="111">
        <v>2012</v>
      </c>
      <c r="D1242" s="112">
        <v>280</v>
      </c>
      <c r="E1242" s="112">
        <v>185</v>
      </c>
      <c r="F1242" s="112">
        <v>125</v>
      </c>
      <c r="G1242" s="112">
        <v>60</v>
      </c>
      <c r="H1242" s="112">
        <v>65</v>
      </c>
      <c r="I1242" s="112">
        <v>3</v>
      </c>
      <c r="J1242" s="112">
        <v>5</v>
      </c>
      <c r="K1242" s="112">
        <v>2</v>
      </c>
      <c r="L1242" s="112">
        <v>6</v>
      </c>
      <c r="M1242" s="112">
        <v>6</v>
      </c>
      <c r="N1242" s="99" t="s">
        <v>6952</v>
      </c>
      <c r="O1242" s="110"/>
      <c r="P1242" s="110"/>
      <c r="Q1242" s="110"/>
    </row>
    <row r="1243" spans="1:17" s="117" customFormat="1" ht="17.5" customHeight="1">
      <c r="A1243" s="109" t="s">
        <v>7150</v>
      </c>
      <c r="B1243" s="109" t="s">
        <v>7151</v>
      </c>
      <c r="C1243" s="113">
        <v>2013</v>
      </c>
      <c r="D1243" s="112">
        <v>295</v>
      </c>
      <c r="E1243" s="112">
        <v>171</v>
      </c>
      <c r="F1243" s="112">
        <v>113</v>
      </c>
      <c r="G1243" s="112">
        <v>57</v>
      </c>
      <c r="H1243" s="112">
        <v>71</v>
      </c>
      <c r="I1243" s="112">
        <v>3</v>
      </c>
      <c r="J1243" s="112">
        <v>3</v>
      </c>
      <c r="K1243" s="112" t="s">
        <v>6952</v>
      </c>
      <c r="L1243" s="112">
        <v>9</v>
      </c>
      <c r="M1243" s="112">
        <v>9</v>
      </c>
      <c r="N1243" s="99" t="s">
        <v>6952</v>
      </c>
      <c r="O1243" s="100"/>
      <c r="P1243" s="100"/>
      <c r="Q1243" s="100"/>
    </row>
    <row r="1244" spans="1:17" s="117" customFormat="1" ht="17.5" customHeight="1">
      <c r="A1244" s="109" t="s">
        <v>7150</v>
      </c>
      <c r="B1244" s="109" t="s">
        <v>7151</v>
      </c>
      <c r="C1244" s="113">
        <v>2014</v>
      </c>
      <c r="D1244" s="99">
        <v>293</v>
      </c>
      <c r="E1244" s="99">
        <v>204</v>
      </c>
      <c r="F1244" s="99">
        <v>118</v>
      </c>
      <c r="G1244" s="99">
        <v>86</v>
      </c>
      <c r="H1244" s="99">
        <v>65</v>
      </c>
      <c r="I1244" s="99" t="s">
        <v>6953</v>
      </c>
      <c r="J1244" s="99" t="s">
        <v>6953</v>
      </c>
      <c r="K1244" s="112" t="s">
        <v>6952</v>
      </c>
      <c r="L1244" s="99">
        <v>14</v>
      </c>
      <c r="M1244" s="99">
        <v>14</v>
      </c>
      <c r="N1244" s="99" t="s">
        <v>6952</v>
      </c>
      <c r="O1244" s="110"/>
      <c r="P1244" s="110"/>
      <c r="Q1244" s="110"/>
    </row>
    <row r="1245" spans="1:17" s="117" customFormat="1" ht="17.5" customHeight="1">
      <c r="A1245" s="109" t="s">
        <v>7150</v>
      </c>
      <c r="B1245" s="109" t="s">
        <v>7151</v>
      </c>
      <c r="C1245" s="113">
        <v>2015</v>
      </c>
      <c r="D1245" s="112">
        <v>311</v>
      </c>
      <c r="E1245" s="112">
        <v>198</v>
      </c>
      <c r="F1245" s="112">
        <v>125</v>
      </c>
      <c r="G1245" s="112">
        <v>73</v>
      </c>
      <c r="H1245" s="112">
        <v>65</v>
      </c>
      <c r="I1245" s="112">
        <v>16</v>
      </c>
      <c r="J1245" s="112">
        <v>18</v>
      </c>
      <c r="K1245" s="112">
        <v>3</v>
      </c>
      <c r="L1245" s="112">
        <v>10</v>
      </c>
      <c r="M1245" s="112">
        <v>11</v>
      </c>
      <c r="N1245" s="112">
        <v>-1</v>
      </c>
      <c r="O1245" s="100"/>
      <c r="P1245" s="100"/>
      <c r="Q1245" s="100"/>
    </row>
    <row r="1246" spans="1:17" s="117" customFormat="1" ht="17.5" customHeight="1">
      <c r="A1246" s="109" t="s">
        <v>7150</v>
      </c>
      <c r="B1246" s="109" t="s">
        <v>7151</v>
      </c>
      <c r="C1246" s="113">
        <v>2016</v>
      </c>
      <c r="D1246" s="112">
        <v>313</v>
      </c>
      <c r="E1246" s="112">
        <v>249</v>
      </c>
      <c r="F1246" s="112">
        <v>136</v>
      </c>
      <c r="G1246" s="112">
        <v>115</v>
      </c>
      <c r="H1246" s="112">
        <v>85</v>
      </c>
      <c r="I1246" s="112">
        <v>2</v>
      </c>
      <c r="J1246" s="112">
        <v>3</v>
      </c>
      <c r="K1246" s="112">
        <v>1</v>
      </c>
      <c r="L1246" s="112">
        <v>16</v>
      </c>
      <c r="M1246" s="112">
        <v>14</v>
      </c>
      <c r="N1246" s="112">
        <v>2</v>
      </c>
      <c r="O1246" s="100"/>
      <c r="P1246" s="100"/>
      <c r="Q1246" s="100"/>
    </row>
    <row r="1247" spans="1:17" s="117" customFormat="1" ht="17.5" customHeight="1">
      <c r="A1247" s="109" t="s">
        <v>7150</v>
      </c>
      <c r="B1247" s="109" t="s">
        <v>7151</v>
      </c>
      <c r="C1247" s="113">
        <v>2017</v>
      </c>
      <c r="D1247" s="112">
        <v>301</v>
      </c>
      <c r="E1247" s="112">
        <v>241</v>
      </c>
      <c r="F1247" s="112">
        <v>167</v>
      </c>
      <c r="G1247" s="112">
        <v>76</v>
      </c>
      <c r="H1247" s="112">
        <v>87</v>
      </c>
      <c r="I1247" s="112">
        <v>7</v>
      </c>
      <c r="J1247" s="112">
        <v>8</v>
      </c>
      <c r="K1247" s="112">
        <v>1</v>
      </c>
      <c r="L1247" s="112">
        <v>10</v>
      </c>
      <c r="M1247" s="112">
        <v>9</v>
      </c>
      <c r="N1247" s="112">
        <v>2</v>
      </c>
      <c r="O1247" s="110"/>
      <c r="P1247" s="110"/>
      <c r="Q1247" s="110"/>
    </row>
    <row r="1248" spans="1:17" s="117" customFormat="1" ht="17.5" customHeight="1">
      <c r="A1248" s="109" t="s">
        <v>7150</v>
      </c>
      <c r="B1248" s="109" t="s">
        <v>7151</v>
      </c>
      <c r="C1248" s="113">
        <v>2018</v>
      </c>
      <c r="D1248" s="112">
        <v>286</v>
      </c>
      <c r="E1248" s="112">
        <v>230</v>
      </c>
      <c r="F1248" s="112">
        <v>143</v>
      </c>
      <c r="G1248" s="112">
        <v>89</v>
      </c>
      <c r="H1248" s="112">
        <v>81</v>
      </c>
      <c r="I1248" s="112">
        <v>5</v>
      </c>
      <c r="J1248" s="112">
        <v>5</v>
      </c>
      <c r="K1248" s="112">
        <v>1</v>
      </c>
      <c r="L1248" s="112">
        <v>15</v>
      </c>
      <c r="M1248" s="112">
        <v>13</v>
      </c>
      <c r="N1248" s="112">
        <v>2</v>
      </c>
      <c r="O1248" s="110"/>
      <c r="P1248" s="110"/>
      <c r="Q1248" s="110"/>
    </row>
    <row r="1249" spans="1:17" s="117" customFormat="1" ht="17.5" customHeight="1">
      <c r="A1249" s="109" t="s">
        <v>7150</v>
      </c>
      <c r="B1249" s="109" t="s">
        <v>7151</v>
      </c>
      <c r="C1249" s="113">
        <v>2019</v>
      </c>
      <c r="D1249" s="112">
        <v>274</v>
      </c>
      <c r="E1249" s="112">
        <v>192.67192499999999</v>
      </c>
      <c r="F1249" s="112">
        <v>121.85178000000001</v>
      </c>
      <c r="G1249" s="112">
        <v>70.264362000000006</v>
      </c>
      <c r="H1249" s="112">
        <v>71.261488</v>
      </c>
      <c r="I1249" s="112">
        <v>13.878652000000001</v>
      </c>
      <c r="J1249" s="112">
        <v>14.225802</v>
      </c>
      <c r="K1249" s="112" t="s">
        <v>6952</v>
      </c>
      <c r="L1249" s="112">
        <v>12.958176999999999</v>
      </c>
      <c r="M1249" s="112">
        <v>13.513960000000001</v>
      </c>
      <c r="N1249" s="112">
        <v>-0.55578300000000003</v>
      </c>
      <c r="O1249" s="110"/>
      <c r="P1249" s="110"/>
      <c r="Q1249" s="110"/>
    </row>
    <row r="1250" spans="1:17" s="117" customFormat="1" ht="17.5" customHeight="1">
      <c r="A1250" s="114" t="s">
        <v>7150</v>
      </c>
      <c r="B1250" s="114" t="s">
        <v>7151</v>
      </c>
      <c r="C1250" s="113">
        <v>2020</v>
      </c>
      <c r="D1250" s="112">
        <v>281</v>
      </c>
      <c r="E1250" s="112">
        <v>168.04200599999999</v>
      </c>
      <c r="F1250" s="112">
        <v>103.095905</v>
      </c>
      <c r="G1250" s="112">
        <v>64.110894000000002</v>
      </c>
      <c r="H1250" s="112">
        <v>57.900055999999999</v>
      </c>
      <c r="I1250" s="112">
        <v>-1.1192880000000001</v>
      </c>
      <c r="J1250" s="112">
        <v>9.0874849999999991</v>
      </c>
      <c r="K1250" s="112">
        <v>10.206773999999999</v>
      </c>
      <c r="L1250" s="112">
        <v>9.1441569999999999</v>
      </c>
      <c r="M1250" s="112">
        <v>10.527775</v>
      </c>
      <c r="N1250" s="112">
        <v>-1.383618</v>
      </c>
      <c r="O1250" s="110"/>
      <c r="P1250" s="110"/>
      <c r="Q1250" s="110"/>
    </row>
    <row r="1251" spans="1:17" s="117" customFormat="1" ht="17.5" customHeight="1">
      <c r="A1251" s="109" t="s">
        <v>7152</v>
      </c>
      <c r="B1251" s="109" t="s">
        <v>7153</v>
      </c>
      <c r="C1251" s="98">
        <v>2008</v>
      </c>
      <c r="D1251" s="99">
        <v>1575</v>
      </c>
      <c r="E1251" s="99">
        <v>516</v>
      </c>
      <c r="F1251" s="99">
        <v>348</v>
      </c>
      <c r="G1251" s="99">
        <v>182</v>
      </c>
      <c r="H1251" s="99">
        <v>96</v>
      </c>
      <c r="I1251" s="99">
        <v>28</v>
      </c>
      <c r="J1251" s="99">
        <v>28</v>
      </c>
      <c r="K1251" s="99" t="s">
        <v>6952</v>
      </c>
      <c r="L1251" s="99">
        <v>144</v>
      </c>
      <c r="M1251" s="99">
        <v>137</v>
      </c>
      <c r="N1251" s="99">
        <v>6</v>
      </c>
      <c r="O1251" s="110"/>
      <c r="P1251" s="110"/>
      <c r="Q1251" s="110"/>
    </row>
    <row r="1252" spans="1:17" s="117" customFormat="1" ht="17.5" customHeight="1">
      <c r="A1252" s="109" t="s">
        <v>7152</v>
      </c>
      <c r="B1252" s="109" t="s">
        <v>7153</v>
      </c>
      <c r="C1252" s="98">
        <v>2009</v>
      </c>
      <c r="D1252" s="99">
        <v>1378</v>
      </c>
      <c r="E1252" s="99">
        <v>385</v>
      </c>
      <c r="F1252" s="99">
        <v>195</v>
      </c>
      <c r="G1252" s="99">
        <v>194</v>
      </c>
      <c r="H1252" s="99">
        <v>112</v>
      </c>
      <c r="I1252" s="99">
        <v>11</v>
      </c>
      <c r="J1252" s="99" t="s">
        <v>6953</v>
      </c>
      <c r="K1252" s="99" t="s">
        <v>6953</v>
      </c>
      <c r="L1252" s="99">
        <v>12</v>
      </c>
      <c r="M1252" s="99">
        <v>8</v>
      </c>
      <c r="N1252" s="99">
        <v>4</v>
      </c>
      <c r="O1252" s="110"/>
      <c r="P1252" s="110"/>
      <c r="Q1252" s="110"/>
    </row>
    <row r="1253" spans="1:17" s="117" customFormat="1" ht="17.5" customHeight="1">
      <c r="A1253" s="109" t="s">
        <v>7152</v>
      </c>
      <c r="B1253" s="109" t="s">
        <v>7153</v>
      </c>
      <c r="C1253" s="98">
        <v>2010</v>
      </c>
      <c r="D1253" s="99">
        <v>1222</v>
      </c>
      <c r="E1253" s="99">
        <v>310</v>
      </c>
      <c r="F1253" s="99">
        <v>172</v>
      </c>
      <c r="G1253" s="99">
        <v>138</v>
      </c>
      <c r="H1253" s="99">
        <v>82</v>
      </c>
      <c r="I1253" s="99">
        <v>25</v>
      </c>
      <c r="J1253" s="99">
        <v>25</v>
      </c>
      <c r="K1253" s="99" t="s">
        <v>6952</v>
      </c>
      <c r="L1253" s="99">
        <v>2</v>
      </c>
      <c r="M1253" s="99">
        <v>3</v>
      </c>
      <c r="N1253" s="99">
        <v>-1</v>
      </c>
      <c r="O1253" s="110"/>
      <c r="P1253" s="110"/>
      <c r="Q1253" s="110"/>
    </row>
    <row r="1254" spans="1:17" s="117" customFormat="1" ht="17.5" customHeight="1">
      <c r="A1254" s="109" t="s">
        <v>7152</v>
      </c>
      <c r="B1254" s="109" t="s">
        <v>7153</v>
      </c>
      <c r="C1254" s="98">
        <v>2011</v>
      </c>
      <c r="D1254" s="99">
        <v>1137</v>
      </c>
      <c r="E1254" s="99">
        <v>343</v>
      </c>
      <c r="F1254" s="99">
        <v>146</v>
      </c>
      <c r="G1254" s="99">
        <v>198</v>
      </c>
      <c r="H1254" s="99">
        <v>65</v>
      </c>
      <c r="I1254" s="99">
        <v>13</v>
      </c>
      <c r="J1254" s="99">
        <v>13</v>
      </c>
      <c r="K1254" s="99">
        <v>1</v>
      </c>
      <c r="L1254" s="99">
        <v>31</v>
      </c>
      <c r="M1254" s="99">
        <v>28</v>
      </c>
      <c r="N1254" s="99">
        <v>3</v>
      </c>
      <c r="O1254" s="110"/>
      <c r="P1254" s="110"/>
      <c r="Q1254" s="110"/>
    </row>
    <row r="1255" spans="1:17" s="117" customFormat="1" ht="17.5" customHeight="1">
      <c r="A1255" s="109" t="s">
        <v>7152</v>
      </c>
      <c r="B1255" s="109" t="s">
        <v>7153</v>
      </c>
      <c r="C1255" s="111">
        <v>2012</v>
      </c>
      <c r="D1255" s="112">
        <v>1063</v>
      </c>
      <c r="E1255" s="112">
        <v>241</v>
      </c>
      <c r="F1255" s="112">
        <v>106</v>
      </c>
      <c r="G1255" s="112">
        <v>134</v>
      </c>
      <c r="H1255" s="112">
        <v>51</v>
      </c>
      <c r="I1255" s="112">
        <v>18</v>
      </c>
      <c r="J1255" s="112">
        <v>19</v>
      </c>
      <c r="K1255" s="112" t="s">
        <v>6952</v>
      </c>
      <c r="L1255" s="112">
        <v>7</v>
      </c>
      <c r="M1255" s="112">
        <v>8</v>
      </c>
      <c r="N1255" s="112">
        <v>-1</v>
      </c>
      <c r="O1255" s="100"/>
      <c r="P1255" s="100"/>
      <c r="Q1255" s="100"/>
    </row>
    <row r="1256" spans="1:17" s="117" customFormat="1" ht="17.5" customHeight="1">
      <c r="A1256" s="109" t="s">
        <v>7152</v>
      </c>
      <c r="B1256" s="109" t="s">
        <v>7153</v>
      </c>
      <c r="C1256" s="113">
        <v>2013</v>
      </c>
      <c r="D1256" s="112">
        <v>1015</v>
      </c>
      <c r="E1256" s="112">
        <v>430</v>
      </c>
      <c r="F1256" s="112">
        <v>259</v>
      </c>
      <c r="G1256" s="112">
        <v>168</v>
      </c>
      <c r="H1256" s="112">
        <v>80</v>
      </c>
      <c r="I1256" s="112">
        <v>10</v>
      </c>
      <c r="J1256" s="112">
        <v>15</v>
      </c>
      <c r="K1256" s="112">
        <v>5</v>
      </c>
      <c r="L1256" s="112">
        <v>10</v>
      </c>
      <c r="M1256" s="112">
        <v>14</v>
      </c>
      <c r="N1256" s="112">
        <v>-4</v>
      </c>
      <c r="O1256" s="110"/>
      <c r="P1256" s="110"/>
      <c r="Q1256" s="110"/>
    </row>
    <row r="1257" spans="1:17" s="117" customFormat="1" ht="17.5" customHeight="1">
      <c r="A1257" s="109" t="s">
        <v>7152</v>
      </c>
      <c r="B1257" s="109" t="s">
        <v>7153</v>
      </c>
      <c r="C1257" s="113">
        <v>2014</v>
      </c>
      <c r="D1257" s="99">
        <v>961</v>
      </c>
      <c r="E1257" s="99">
        <v>340</v>
      </c>
      <c r="F1257" s="99">
        <v>194</v>
      </c>
      <c r="G1257" s="99">
        <v>150</v>
      </c>
      <c r="H1257" s="99">
        <v>52</v>
      </c>
      <c r="I1257" s="99">
        <v>12</v>
      </c>
      <c r="J1257" s="99">
        <v>13</v>
      </c>
      <c r="K1257" s="99">
        <v>1</v>
      </c>
      <c r="L1257" s="99">
        <v>10</v>
      </c>
      <c r="M1257" s="99">
        <v>9</v>
      </c>
      <c r="N1257" s="99" t="s">
        <v>6952</v>
      </c>
      <c r="O1257" s="100"/>
      <c r="P1257" s="100"/>
      <c r="Q1257" s="100"/>
    </row>
    <row r="1258" spans="1:17" s="117" customFormat="1" ht="17.5" customHeight="1">
      <c r="A1258" s="109" t="s">
        <v>7152</v>
      </c>
      <c r="B1258" s="109" t="s">
        <v>7153</v>
      </c>
      <c r="C1258" s="113">
        <v>2015</v>
      </c>
      <c r="D1258" s="112">
        <v>920</v>
      </c>
      <c r="E1258" s="112">
        <v>268</v>
      </c>
      <c r="F1258" s="112">
        <v>113</v>
      </c>
      <c r="G1258" s="112">
        <v>158</v>
      </c>
      <c r="H1258" s="112">
        <v>34</v>
      </c>
      <c r="I1258" s="112">
        <v>13</v>
      </c>
      <c r="J1258" s="112">
        <v>15</v>
      </c>
      <c r="K1258" s="112">
        <v>2</v>
      </c>
      <c r="L1258" s="112">
        <v>3</v>
      </c>
      <c r="M1258" s="112">
        <v>4</v>
      </c>
      <c r="N1258" s="112">
        <v>-1</v>
      </c>
      <c r="O1258" s="100"/>
      <c r="P1258" s="100"/>
      <c r="Q1258" s="100"/>
    </row>
    <row r="1259" spans="1:17" s="117" customFormat="1" ht="17.5" customHeight="1">
      <c r="A1259" s="109" t="s">
        <v>7152</v>
      </c>
      <c r="B1259" s="109" t="s">
        <v>7153</v>
      </c>
      <c r="C1259" s="113">
        <v>2016</v>
      </c>
      <c r="D1259" s="112">
        <v>905</v>
      </c>
      <c r="E1259" s="112">
        <v>207</v>
      </c>
      <c r="F1259" s="112">
        <v>128</v>
      </c>
      <c r="G1259" s="112">
        <v>80</v>
      </c>
      <c r="H1259" s="112">
        <v>35</v>
      </c>
      <c r="I1259" s="112">
        <v>3</v>
      </c>
      <c r="J1259" s="112">
        <v>4</v>
      </c>
      <c r="K1259" s="112">
        <v>1</v>
      </c>
      <c r="L1259" s="112">
        <v>9</v>
      </c>
      <c r="M1259" s="112">
        <v>8</v>
      </c>
      <c r="N1259" s="112">
        <v>1</v>
      </c>
      <c r="O1259" s="110"/>
      <c r="P1259" s="110"/>
      <c r="Q1259" s="110"/>
    </row>
    <row r="1260" spans="1:17" s="117" customFormat="1" ht="17.5" customHeight="1">
      <c r="A1260" s="109" t="s">
        <v>7152</v>
      </c>
      <c r="B1260" s="109" t="s">
        <v>7153</v>
      </c>
      <c r="C1260" s="113">
        <v>2017</v>
      </c>
      <c r="D1260" s="112">
        <v>854</v>
      </c>
      <c r="E1260" s="112">
        <v>211</v>
      </c>
      <c r="F1260" s="112">
        <v>102</v>
      </c>
      <c r="G1260" s="112">
        <v>110</v>
      </c>
      <c r="H1260" s="112">
        <v>31</v>
      </c>
      <c r="I1260" s="112">
        <v>10</v>
      </c>
      <c r="J1260" s="112">
        <v>24</v>
      </c>
      <c r="K1260" s="112">
        <v>13</v>
      </c>
      <c r="L1260" s="112">
        <v>4</v>
      </c>
      <c r="M1260" s="112">
        <v>4</v>
      </c>
      <c r="N1260" s="112">
        <v>-1</v>
      </c>
      <c r="O1260" s="110"/>
      <c r="P1260" s="110"/>
      <c r="Q1260" s="110"/>
    </row>
    <row r="1261" spans="1:17" s="117" customFormat="1" ht="17.5" customHeight="1">
      <c r="A1261" s="109" t="s">
        <v>7152</v>
      </c>
      <c r="B1261" s="109" t="s">
        <v>7153</v>
      </c>
      <c r="C1261" s="113">
        <v>2018</v>
      </c>
      <c r="D1261" s="112">
        <v>827</v>
      </c>
      <c r="E1261" s="112">
        <v>171</v>
      </c>
      <c r="F1261" s="112">
        <v>66</v>
      </c>
      <c r="G1261" s="112">
        <v>106</v>
      </c>
      <c r="H1261" s="112">
        <v>44</v>
      </c>
      <c r="I1261" s="112">
        <v>15</v>
      </c>
      <c r="J1261" s="112">
        <v>15</v>
      </c>
      <c r="K1261" s="112" t="s">
        <v>6952</v>
      </c>
      <c r="L1261" s="112">
        <v>4</v>
      </c>
      <c r="M1261" s="112">
        <v>3</v>
      </c>
      <c r="N1261" s="112">
        <v>1</v>
      </c>
      <c r="O1261" s="110"/>
      <c r="P1261" s="110"/>
      <c r="Q1261" s="110"/>
    </row>
    <row r="1262" spans="1:17" s="117" customFormat="1" ht="17.5" customHeight="1">
      <c r="A1262" s="109" t="s">
        <v>7152</v>
      </c>
      <c r="B1262" s="109" t="s">
        <v>7153</v>
      </c>
      <c r="C1262" s="113">
        <v>2019</v>
      </c>
      <c r="D1262" s="112">
        <v>817</v>
      </c>
      <c r="E1262" s="112">
        <v>105.26951200000001</v>
      </c>
      <c r="F1262" s="112">
        <v>76.726410999999999</v>
      </c>
      <c r="G1262" s="112">
        <v>28.505690000000001</v>
      </c>
      <c r="H1262" s="112">
        <v>17.165863000000002</v>
      </c>
      <c r="I1262" s="112">
        <v>-21.801223</v>
      </c>
      <c r="J1262" s="112">
        <v>4.7858710000000002</v>
      </c>
      <c r="K1262" s="112">
        <v>26.587095000000001</v>
      </c>
      <c r="L1262" s="112">
        <v>1.631338</v>
      </c>
      <c r="M1262" s="112">
        <v>1.661554</v>
      </c>
      <c r="N1262" s="112" t="s">
        <v>6952</v>
      </c>
      <c r="O1262" s="110"/>
      <c r="P1262" s="110"/>
      <c r="Q1262" s="110"/>
    </row>
    <row r="1263" spans="1:17" s="117" customFormat="1" ht="17.5" customHeight="1">
      <c r="A1263" s="114" t="s">
        <v>7152</v>
      </c>
      <c r="B1263" s="114" t="s">
        <v>7153</v>
      </c>
      <c r="C1263" s="113">
        <v>2020</v>
      </c>
      <c r="D1263" s="112">
        <v>823</v>
      </c>
      <c r="E1263" s="112">
        <v>140.57020700000001</v>
      </c>
      <c r="F1263" s="112">
        <v>95.311182000000002</v>
      </c>
      <c r="G1263" s="112">
        <v>50.210442</v>
      </c>
      <c r="H1263" s="112">
        <v>28.286501000000001</v>
      </c>
      <c r="I1263" s="112">
        <v>5.6904760000000003</v>
      </c>
      <c r="J1263" s="112">
        <v>7.3817449999999996</v>
      </c>
      <c r="K1263" s="112">
        <v>1.6912689999999999</v>
      </c>
      <c r="L1263" s="112">
        <v>5.5934210000000002</v>
      </c>
      <c r="M1263" s="112">
        <v>1.3946700000000001</v>
      </c>
      <c r="N1263" s="112">
        <v>4.1987509999999997</v>
      </c>
      <c r="O1263" s="110"/>
      <c r="P1263" s="110"/>
      <c r="Q1263" s="110"/>
    </row>
    <row r="1264" spans="1:17" s="117" customFormat="1" ht="31.75" customHeight="1">
      <c r="A1264" s="109" t="s">
        <v>7154</v>
      </c>
      <c r="B1264" s="109" t="s">
        <v>7155</v>
      </c>
      <c r="C1264" s="98">
        <v>2008</v>
      </c>
      <c r="D1264" s="99">
        <v>242</v>
      </c>
      <c r="E1264" s="99">
        <v>39320</v>
      </c>
      <c r="F1264" s="99">
        <v>1420</v>
      </c>
      <c r="G1264" s="99">
        <v>27002</v>
      </c>
      <c r="H1264" s="99">
        <v>596</v>
      </c>
      <c r="I1264" s="99">
        <v>359</v>
      </c>
      <c r="J1264" s="99">
        <v>384</v>
      </c>
      <c r="K1264" s="99">
        <v>26</v>
      </c>
      <c r="L1264" s="99">
        <v>1359</v>
      </c>
      <c r="M1264" s="99">
        <v>1785</v>
      </c>
      <c r="N1264" s="99">
        <v>-427</v>
      </c>
    </row>
    <row r="1265" spans="1:17" s="117" customFormat="1" ht="31.75" customHeight="1">
      <c r="A1265" s="109" t="s">
        <v>7154</v>
      </c>
      <c r="B1265" s="109" t="s">
        <v>7155</v>
      </c>
      <c r="C1265" s="98">
        <v>2009</v>
      </c>
      <c r="D1265" s="99">
        <v>208</v>
      </c>
      <c r="E1265" s="99">
        <v>32798</v>
      </c>
      <c r="F1265" s="99">
        <v>1418</v>
      </c>
      <c r="G1265" s="99">
        <v>20725</v>
      </c>
      <c r="H1265" s="99">
        <v>702</v>
      </c>
      <c r="I1265" s="99">
        <v>375</v>
      </c>
      <c r="J1265" s="99">
        <v>390</v>
      </c>
      <c r="K1265" s="99">
        <v>16</v>
      </c>
      <c r="L1265" s="99">
        <v>1806</v>
      </c>
      <c r="M1265" s="99">
        <v>1353</v>
      </c>
      <c r="N1265" s="99">
        <v>453</v>
      </c>
      <c r="O1265" s="110"/>
      <c r="P1265" s="110"/>
      <c r="Q1265" s="110"/>
    </row>
    <row r="1266" spans="1:17" s="117" customFormat="1" ht="31.75" customHeight="1">
      <c r="A1266" s="109" t="s">
        <v>7154</v>
      </c>
      <c r="B1266" s="109" t="s">
        <v>7155</v>
      </c>
      <c r="C1266" s="98">
        <v>2010</v>
      </c>
      <c r="D1266" s="99">
        <v>174</v>
      </c>
      <c r="E1266" s="99">
        <v>39300</v>
      </c>
      <c r="F1266" s="99">
        <v>2248</v>
      </c>
      <c r="G1266" s="99">
        <v>26597</v>
      </c>
      <c r="H1266" s="99">
        <v>810</v>
      </c>
      <c r="I1266" s="99">
        <v>206</v>
      </c>
      <c r="J1266" s="99">
        <v>382</v>
      </c>
      <c r="K1266" s="99">
        <v>176</v>
      </c>
      <c r="L1266" s="99">
        <v>2332</v>
      </c>
      <c r="M1266" s="99">
        <v>1881</v>
      </c>
      <c r="N1266" s="99">
        <v>451</v>
      </c>
      <c r="O1266" s="110"/>
      <c r="P1266" s="110"/>
      <c r="Q1266" s="110"/>
    </row>
    <row r="1267" spans="1:17" s="117" customFormat="1" ht="31.75" customHeight="1">
      <c r="A1267" s="109" t="s">
        <v>7154</v>
      </c>
      <c r="B1267" s="109" t="s">
        <v>7155</v>
      </c>
      <c r="C1267" s="98">
        <v>2011</v>
      </c>
      <c r="D1267" s="99">
        <v>164</v>
      </c>
      <c r="E1267" s="99">
        <v>49895</v>
      </c>
      <c r="F1267" s="99">
        <v>2232</v>
      </c>
      <c r="G1267" s="99">
        <v>38281</v>
      </c>
      <c r="H1267" s="99">
        <v>969</v>
      </c>
      <c r="I1267" s="99">
        <v>535</v>
      </c>
      <c r="J1267" s="99">
        <v>560</v>
      </c>
      <c r="K1267" s="99">
        <v>25</v>
      </c>
      <c r="L1267" s="99">
        <v>3854</v>
      </c>
      <c r="M1267" s="99">
        <v>2842</v>
      </c>
      <c r="N1267" s="99">
        <v>1012</v>
      </c>
      <c r="O1267" s="100"/>
      <c r="P1267" s="100"/>
      <c r="Q1267" s="100"/>
    </row>
    <row r="1268" spans="1:17" s="117" customFormat="1" ht="31.75" customHeight="1">
      <c r="A1268" s="109" t="s">
        <v>7154</v>
      </c>
      <c r="B1268" s="109" t="s">
        <v>7155</v>
      </c>
      <c r="C1268" s="111">
        <v>2012</v>
      </c>
      <c r="D1268" s="112">
        <v>149</v>
      </c>
      <c r="E1268" s="112">
        <v>53725</v>
      </c>
      <c r="F1268" s="112">
        <v>2226</v>
      </c>
      <c r="G1268" s="112">
        <v>42590</v>
      </c>
      <c r="H1268" s="112">
        <v>1111</v>
      </c>
      <c r="I1268" s="112">
        <v>509</v>
      </c>
      <c r="J1268" s="112">
        <v>531</v>
      </c>
      <c r="K1268" s="112">
        <v>22</v>
      </c>
      <c r="L1268" s="112">
        <v>2841</v>
      </c>
      <c r="M1268" s="112">
        <v>3759</v>
      </c>
      <c r="N1268" s="112">
        <v>-919</v>
      </c>
      <c r="O1268" s="110"/>
      <c r="P1268" s="110"/>
      <c r="Q1268" s="110"/>
    </row>
    <row r="1269" spans="1:17" s="117" customFormat="1" ht="31.75" customHeight="1">
      <c r="A1269" s="109" t="s">
        <v>7154</v>
      </c>
      <c r="B1269" s="109" t="s">
        <v>7155</v>
      </c>
      <c r="C1269" s="113">
        <v>2013</v>
      </c>
      <c r="D1269" s="112">
        <v>131</v>
      </c>
      <c r="E1269" s="112">
        <v>48260</v>
      </c>
      <c r="F1269" s="112">
        <v>1321</v>
      </c>
      <c r="G1269" s="112">
        <v>38584</v>
      </c>
      <c r="H1269" s="112">
        <v>781</v>
      </c>
      <c r="I1269" s="112">
        <v>506</v>
      </c>
      <c r="J1269" s="112">
        <v>563</v>
      </c>
      <c r="K1269" s="112">
        <v>57</v>
      </c>
      <c r="L1269" s="112">
        <v>3045</v>
      </c>
      <c r="M1269" s="112">
        <v>2893</v>
      </c>
      <c r="N1269" s="112">
        <v>152</v>
      </c>
      <c r="O1269" s="100"/>
      <c r="P1269" s="100"/>
      <c r="Q1269" s="100"/>
    </row>
    <row r="1270" spans="1:17" s="117" customFormat="1" ht="31.75" customHeight="1">
      <c r="A1270" s="109" t="s">
        <v>7154</v>
      </c>
      <c r="B1270" s="109" t="s">
        <v>7155</v>
      </c>
      <c r="C1270" s="113">
        <v>2014</v>
      </c>
      <c r="D1270" s="99">
        <v>133</v>
      </c>
      <c r="E1270" s="99">
        <v>42596</v>
      </c>
      <c r="F1270" s="99">
        <v>901</v>
      </c>
      <c r="G1270" s="99">
        <v>31812</v>
      </c>
      <c r="H1270" s="99">
        <v>883</v>
      </c>
      <c r="I1270" s="99">
        <v>404</v>
      </c>
      <c r="J1270" s="99">
        <v>614</v>
      </c>
      <c r="K1270" s="99">
        <v>210</v>
      </c>
      <c r="L1270" s="99">
        <v>1912</v>
      </c>
      <c r="M1270" s="99">
        <v>3140</v>
      </c>
      <c r="N1270" s="99">
        <v>-1228</v>
      </c>
      <c r="O1270" s="100"/>
      <c r="P1270" s="100"/>
      <c r="Q1270" s="100"/>
    </row>
    <row r="1271" spans="1:17" s="117" customFormat="1" ht="31.75" customHeight="1">
      <c r="A1271" s="109" t="s">
        <v>7154</v>
      </c>
      <c r="B1271" s="109" t="s">
        <v>7155</v>
      </c>
      <c r="C1271" s="113">
        <v>2015</v>
      </c>
      <c r="D1271" s="112">
        <v>132</v>
      </c>
      <c r="E1271" s="112">
        <v>29177</v>
      </c>
      <c r="F1271" s="112">
        <v>2955</v>
      </c>
      <c r="G1271" s="112">
        <v>17608</v>
      </c>
      <c r="H1271" s="112">
        <v>744</v>
      </c>
      <c r="I1271" s="99" t="s">
        <v>6953</v>
      </c>
      <c r="J1271" s="112">
        <v>527</v>
      </c>
      <c r="K1271" s="99" t="s">
        <v>6953</v>
      </c>
      <c r="L1271" s="112">
        <v>1511</v>
      </c>
      <c r="M1271" s="112">
        <v>1835</v>
      </c>
      <c r="N1271" s="112">
        <v>-324</v>
      </c>
      <c r="O1271" s="110"/>
      <c r="P1271" s="110"/>
      <c r="Q1271" s="110"/>
    </row>
    <row r="1272" spans="1:17" s="117" customFormat="1" ht="31.75" customHeight="1">
      <c r="A1272" s="109" t="s">
        <v>7154</v>
      </c>
      <c r="B1272" s="109" t="s">
        <v>7155</v>
      </c>
      <c r="C1272" s="113">
        <v>2016</v>
      </c>
      <c r="D1272" s="112">
        <v>122</v>
      </c>
      <c r="E1272" s="112">
        <v>27615</v>
      </c>
      <c r="F1272" s="112">
        <v>2609</v>
      </c>
      <c r="G1272" s="112">
        <v>17585</v>
      </c>
      <c r="H1272" s="112">
        <v>768</v>
      </c>
      <c r="I1272" s="112">
        <v>488</v>
      </c>
      <c r="J1272" s="112">
        <v>521</v>
      </c>
      <c r="K1272" s="112">
        <v>33</v>
      </c>
      <c r="L1272" s="112">
        <v>1970</v>
      </c>
      <c r="M1272" s="112">
        <v>1553</v>
      </c>
      <c r="N1272" s="112">
        <v>417</v>
      </c>
      <c r="O1272" s="110"/>
      <c r="P1272" s="110"/>
      <c r="Q1272" s="110"/>
    </row>
    <row r="1273" spans="1:17" s="117" customFormat="1" ht="31.75" customHeight="1">
      <c r="A1273" s="109" t="s">
        <v>7154</v>
      </c>
      <c r="B1273" s="109" t="s">
        <v>7155</v>
      </c>
      <c r="C1273" s="113">
        <v>2017</v>
      </c>
      <c r="D1273" s="112">
        <v>116</v>
      </c>
      <c r="E1273" s="112">
        <v>33024</v>
      </c>
      <c r="F1273" s="112">
        <v>2398</v>
      </c>
      <c r="G1273" s="112">
        <v>22838</v>
      </c>
      <c r="H1273" s="112">
        <v>711</v>
      </c>
      <c r="I1273" s="112">
        <v>405</v>
      </c>
      <c r="J1273" s="99" t="s">
        <v>6953</v>
      </c>
      <c r="K1273" s="99" t="s">
        <v>6953</v>
      </c>
      <c r="L1273" s="112">
        <v>2261</v>
      </c>
      <c r="M1273" s="112">
        <v>1917</v>
      </c>
      <c r="N1273" s="112">
        <v>344</v>
      </c>
    </row>
    <row r="1274" spans="1:17" s="117" customFormat="1" ht="31.75" customHeight="1">
      <c r="A1274" s="109" t="s">
        <v>7154</v>
      </c>
      <c r="B1274" s="109" t="s">
        <v>7155</v>
      </c>
      <c r="C1274" s="113">
        <v>2018</v>
      </c>
      <c r="D1274" s="112">
        <v>118</v>
      </c>
      <c r="E1274" s="112">
        <v>38618</v>
      </c>
      <c r="F1274" s="112">
        <v>2115</v>
      </c>
      <c r="G1274" s="112">
        <v>27740</v>
      </c>
      <c r="H1274" s="112">
        <v>727</v>
      </c>
      <c r="I1274" s="112">
        <v>614</v>
      </c>
      <c r="J1274" s="112">
        <v>615</v>
      </c>
      <c r="K1274" s="112">
        <v>2</v>
      </c>
      <c r="L1274" s="112">
        <v>1894</v>
      </c>
      <c r="M1274" s="112">
        <v>1904</v>
      </c>
      <c r="N1274" s="112">
        <v>-9</v>
      </c>
    </row>
    <row r="1275" spans="1:17" s="117" customFormat="1" ht="31.75" customHeight="1">
      <c r="A1275" s="109" t="s">
        <v>7154</v>
      </c>
      <c r="B1275" s="109" t="s">
        <v>7155</v>
      </c>
      <c r="C1275" s="113">
        <v>2019</v>
      </c>
      <c r="D1275" s="112">
        <v>94</v>
      </c>
      <c r="E1275" s="112">
        <v>38296.937895000003</v>
      </c>
      <c r="F1275" s="112">
        <v>2396.5641860000001</v>
      </c>
      <c r="G1275" s="112">
        <v>27237.246415000001</v>
      </c>
      <c r="H1275" s="112">
        <v>700.71994800000004</v>
      </c>
      <c r="I1275" s="112">
        <v>819.90368100000001</v>
      </c>
      <c r="J1275" s="112">
        <v>822.59163699999999</v>
      </c>
      <c r="K1275" s="112">
        <v>2.6879569999999999</v>
      </c>
      <c r="L1275" s="112">
        <v>2168.6102190000001</v>
      </c>
      <c r="M1275" s="112">
        <v>1890.047971</v>
      </c>
      <c r="N1275" s="112">
        <v>278.56224800000001</v>
      </c>
    </row>
    <row r="1276" spans="1:17" s="117" customFormat="1" ht="31.75" customHeight="1">
      <c r="A1276" s="114" t="s">
        <v>7154</v>
      </c>
      <c r="B1276" s="114" t="s">
        <v>7155</v>
      </c>
      <c r="C1276" s="113">
        <v>2020</v>
      </c>
      <c r="D1276" s="112">
        <v>94</v>
      </c>
      <c r="E1276" s="112">
        <v>25339.350288000001</v>
      </c>
      <c r="F1276" s="112" t="s">
        <v>6953</v>
      </c>
      <c r="G1276" s="112" t="s">
        <v>6953</v>
      </c>
      <c r="H1276" s="112">
        <v>737.89443800000004</v>
      </c>
      <c r="I1276" s="112">
        <v>785.24783000000002</v>
      </c>
      <c r="J1276" s="112" t="s">
        <v>6953</v>
      </c>
      <c r="K1276" s="112" t="s">
        <v>6953</v>
      </c>
      <c r="L1276" s="112">
        <v>1879.0207399999999</v>
      </c>
      <c r="M1276" s="112">
        <v>2197.6013640000001</v>
      </c>
      <c r="N1276" s="112">
        <v>-318.580624</v>
      </c>
    </row>
    <row r="1277" spans="1:17" s="117" customFormat="1" ht="17.5" customHeight="1">
      <c r="A1277" s="109" t="s">
        <v>7156</v>
      </c>
      <c r="B1277" s="109" t="s">
        <v>7157</v>
      </c>
      <c r="C1277" s="98">
        <v>2008</v>
      </c>
      <c r="D1277" s="99">
        <v>0</v>
      </c>
      <c r="E1277" s="99">
        <v>0</v>
      </c>
      <c r="F1277" s="99">
        <v>0</v>
      </c>
      <c r="G1277" s="99">
        <v>0</v>
      </c>
      <c r="H1277" s="99">
        <v>0</v>
      </c>
      <c r="I1277" s="99">
        <v>0</v>
      </c>
      <c r="J1277" s="99">
        <v>0</v>
      </c>
      <c r="K1277" s="99">
        <v>0</v>
      </c>
      <c r="L1277" s="99">
        <v>0</v>
      </c>
      <c r="M1277" s="99">
        <v>0</v>
      </c>
      <c r="N1277" s="99">
        <v>0</v>
      </c>
      <c r="O1277" s="110"/>
      <c r="P1277" s="110"/>
      <c r="Q1277" s="110"/>
    </row>
    <row r="1278" spans="1:17" s="117" customFormat="1" ht="17.5" customHeight="1">
      <c r="A1278" s="109" t="s">
        <v>7156</v>
      </c>
      <c r="B1278" s="109" t="s">
        <v>7157</v>
      </c>
      <c r="C1278" s="98">
        <v>2009</v>
      </c>
      <c r="D1278" s="99">
        <v>0</v>
      </c>
      <c r="E1278" s="99">
        <v>0</v>
      </c>
      <c r="F1278" s="99">
        <v>0</v>
      </c>
      <c r="G1278" s="99">
        <v>0</v>
      </c>
      <c r="H1278" s="99">
        <v>0</v>
      </c>
      <c r="I1278" s="99">
        <v>0</v>
      </c>
      <c r="J1278" s="99">
        <v>0</v>
      </c>
      <c r="K1278" s="99">
        <v>0</v>
      </c>
      <c r="L1278" s="99">
        <v>0</v>
      </c>
      <c r="M1278" s="99">
        <v>0</v>
      </c>
      <c r="N1278" s="99">
        <v>0</v>
      </c>
      <c r="O1278" s="110"/>
      <c r="P1278" s="110"/>
      <c r="Q1278" s="110"/>
    </row>
    <row r="1279" spans="1:17" s="117" customFormat="1" ht="17.5" customHeight="1">
      <c r="A1279" s="109" t="s">
        <v>7156</v>
      </c>
      <c r="B1279" s="109" t="s">
        <v>7157</v>
      </c>
      <c r="C1279" s="98">
        <v>2010</v>
      </c>
      <c r="D1279" s="99" t="s">
        <v>6953</v>
      </c>
      <c r="E1279" s="99" t="s">
        <v>6953</v>
      </c>
      <c r="F1279" s="99" t="s">
        <v>6953</v>
      </c>
      <c r="G1279" s="99" t="s">
        <v>6953</v>
      </c>
      <c r="H1279" s="99" t="s">
        <v>6953</v>
      </c>
      <c r="I1279" s="99" t="s">
        <v>6953</v>
      </c>
      <c r="J1279" s="99" t="s">
        <v>6953</v>
      </c>
      <c r="K1279" s="99" t="s">
        <v>6953</v>
      </c>
      <c r="L1279" s="99" t="s">
        <v>6953</v>
      </c>
      <c r="M1279" s="99" t="s">
        <v>6953</v>
      </c>
      <c r="N1279" s="99" t="s">
        <v>6953</v>
      </c>
      <c r="O1279" s="100"/>
      <c r="P1279" s="100"/>
      <c r="Q1279" s="100"/>
    </row>
    <row r="1280" spans="1:17" s="117" customFormat="1" ht="17.5" customHeight="1">
      <c r="A1280" s="109" t="s">
        <v>7156</v>
      </c>
      <c r="B1280" s="109" t="s">
        <v>7157</v>
      </c>
      <c r="C1280" s="98">
        <v>2011</v>
      </c>
      <c r="D1280" s="99" t="s">
        <v>6953</v>
      </c>
      <c r="E1280" s="99" t="s">
        <v>6953</v>
      </c>
      <c r="F1280" s="99" t="s">
        <v>6953</v>
      </c>
      <c r="G1280" s="99" t="s">
        <v>6953</v>
      </c>
      <c r="H1280" s="99" t="s">
        <v>6953</v>
      </c>
      <c r="I1280" s="99" t="s">
        <v>6953</v>
      </c>
      <c r="J1280" s="99" t="s">
        <v>6953</v>
      </c>
      <c r="K1280" s="99" t="s">
        <v>6953</v>
      </c>
      <c r="L1280" s="99" t="s">
        <v>6953</v>
      </c>
      <c r="M1280" s="99" t="s">
        <v>6953</v>
      </c>
      <c r="N1280" s="99" t="s">
        <v>6953</v>
      </c>
      <c r="O1280" s="110"/>
      <c r="P1280" s="110"/>
      <c r="Q1280" s="110"/>
    </row>
    <row r="1281" spans="1:17" s="117" customFormat="1" ht="17.5" customHeight="1">
      <c r="A1281" s="109" t="s">
        <v>7156</v>
      </c>
      <c r="B1281" s="109" t="s">
        <v>7157</v>
      </c>
      <c r="C1281" s="111">
        <v>2012</v>
      </c>
      <c r="D1281" s="99" t="s">
        <v>6953</v>
      </c>
      <c r="E1281" s="99" t="s">
        <v>6953</v>
      </c>
      <c r="F1281" s="99" t="s">
        <v>6953</v>
      </c>
      <c r="G1281" s="99" t="s">
        <v>6953</v>
      </c>
      <c r="H1281" s="99" t="s">
        <v>6953</v>
      </c>
      <c r="I1281" s="99" t="s">
        <v>6953</v>
      </c>
      <c r="J1281" s="99" t="s">
        <v>6953</v>
      </c>
      <c r="K1281" s="99" t="s">
        <v>6953</v>
      </c>
      <c r="L1281" s="99" t="s">
        <v>6953</v>
      </c>
      <c r="M1281" s="99" t="s">
        <v>6953</v>
      </c>
      <c r="N1281" s="99" t="s">
        <v>6953</v>
      </c>
      <c r="O1281" s="100"/>
      <c r="P1281" s="100"/>
      <c r="Q1281" s="100"/>
    </row>
    <row r="1282" spans="1:17" s="117" customFormat="1" ht="17.5" customHeight="1">
      <c r="A1282" s="109" t="s">
        <v>7156</v>
      </c>
      <c r="B1282" s="109" t="s">
        <v>7157</v>
      </c>
      <c r="C1282" s="113">
        <v>2013</v>
      </c>
      <c r="D1282" s="99" t="s">
        <v>6953</v>
      </c>
      <c r="E1282" s="99" t="s">
        <v>6953</v>
      </c>
      <c r="F1282" s="99" t="s">
        <v>6953</v>
      </c>
      <c r="G1282" s="99" t="s">
        <v>6953</v>
      </c>
      <c r="H1282" s="99" t="s">
        <v>6953</v>
      </c>
      <c r="I1282" s="99" t="s">
        <v>6953</v>
      </c>
      <c r="J1282" s="99" t="s">
        <v>6953</v>
      </c>
      <c r="K1282" s="99" t="s">
        <v>6953</v>
      </c>
      <c r="L1282" s="99" t="s">
        <v>6953</v>
      </c>
      <c r="M1282" s="99" t="s">
        <v>6953</v>
      </c>
      <c r="N1282" s="99" t="s">
        <v>6953</v>
      </c>
      <c r="O1282" s="100"/>
      <c r="P1282" s="100"/>
      <c r="Q1282" s="100"/>
    </row>
    <row r="1283" spans="1:17" s="117" customFormat="1" ht="17.5" customHeight="1">
      <c r="A1283" s="109" t="s">
        <v>7156</v>
      </c>
      <c r="B1283" s="109" t="s">
        <v>7157</v>
      </c>
      <c r="C1283" s="113">
        <v>2014</v>
      </c>
      <c r="D1283" s="99" t="s">
        <v>6953</v>
      </c>
      <c r="E1283" s="99" t="s">
        <v>6953</v>
      </c>
      <c r="F1283" s="99" t="s">
        <v>6953</v>
      </c>
      <c r="G1283" s="99" t="s">
        <v>6953</v>
      </c>
      <c r="H1283" s="99" t="s">
        <v>6953</v>
      </c>
      <c r="I1283" s="99" t="s">
        <v>6953</v>
      </c>
      <c r="J1283" s="99" t="s">
        <v>6953</v>
      </c>
      <c r="K1283" s="99" t="s">
        <v>6953</v>
      </c>
      <c r="L1283" s="99" t="s">
        <v>6953</v>
      </c>
      <c r="M1283" s="99" t="s">
        <v>6953</v>
      </c>
      <c r="N1283" s="99" t="s">
        <v>6953</v>
      </c>
      <c r="O1283" s="110"/>
      <c r="P1283" s="110"/>
      <c r="Q1283" s="110"/>
    </row>
    <row r="1284" spans="1:17" s="117" customFormat="1" ht="17.5" customHeight="1">
      <c r="A1284" s="109" t="s">
        <v>7156</v>
      </c>
      <c r="B1284" s="109" t="s">
        <v>7157</v>
      </c>
      <c r="C1284" s="113">
        <v>2015</v>
      </c>
      <c r="D1284" s="112">
        <v>0</v>
      </c>
      <c r="E1284" s="112">
        <v>0</v>
      </c>
      <c r="F1284" s="112">
        <v>0</v>
      </c>
      <c r="G1284" s="112">
        <v>0</v>
      </c>
      <c r="H1284" s="112">
        <v>0</v>
      </c>
      <c r="I1284" s="112">
        <v>0</v>
      </c>
      <c r="J1284" s="112">
        <v>0</v>
      </c>
      <c r="K1284" s="112">
        <v>0</v>
      </c>
      <c r="L1284" s="112">
        <v>0</v>
      </c>
      <c r="M1284" s="112">
        <v>0</v>
      </c>
      <c r="N1284" s="112">
        <v>0</v>
      </c>
      <c r="O1284" s="110"/>
      <c r="P1284" s="110"/>
      <c r="Q1284" s="110"/>
    </row>
    <row r="1285" spans="1:17" s="117" customFormat="1" ht="17.5" customHeight="1">
      <c r="A1285" s="109" t="s">
        <v>7156</v>
      </c>
      <c r="B1285" s="109" t="s">
        <v>7157</v>
      </c>
      <c r="C1285" s="113">
        <v>2016</v>
      </c>
      <c r="D1285" s="112">
        <v>0</v>
      </c>
      <c r="E1285" s="112">
        <v>0</v>
      </c>
      <c r="F1285" s="112">
        <v>0</v>
      </c>
      <c r="G1285" s="112">
        <v>0</v>
      </c>
      <c r="H1285" s="112">
        <v>0</v>
      </c>
      <c r="I1285" s="112">
        <v>0</v>
      </c>
      <c r="J1285" s="112">
        <v>0</v>
      </c>
      <c r="K1285" s="112">
        <v>0</v>
      </c>
      <c r="L1285" s="112">
        <v>0</v>
      </c>
      <c r="M1285" s="112">
        <v>0</v>
      </c>
      <c r="N1285" s="112">
        <v>0</v>
      </c>
    </row>
    <row r="1286" spans="1:17" s="117" customFormat="1" ht="17.5" customHeight="1">
      <c r="A1286" s="109" t="s">
        <v>7156</v>
      </c>
      <c r="B1286" s="109" t="s">
        <v>7157</v>
      </c>
      <c r="C1286" s="113">
        <v>2017</v>
      </c>
      <c r="D1286" s="112">
        <v>0</v>
      </c>
      <c r="E1286" s="112">
        <v>0</v>
      </c>
      <c r="F1286" s="112">
        <v>0</v>
      </c>
      <c r="G1286" s="112">
        <v>0</v>
      </c>
      <c r="H1286" s="112">
        <v>0</v>
      </c>
      <c r="I1286" s="112">
        <v>0</v>
      </c>
      <c r="J1286" s="112">
        <v>0</v>
      </c>
      <c r="K1286" s="112">
        <v>0</v>
      </c>
      <c r="L1286" s="112">
        <v>0</v>
      </c>
      <c r="M1286" s="112">
        <v>0</v>
      </c>
      <c r="N1286" s="112">
        <v>0</v>
      </c>
    </row>
    <row r="1287" spans="1:17" s="117" customFormat="1" ht="17.5" customHeight="1">
      <c r="A1287" s="109" t="s">
        <v>7156</v>
      </c>
      <c r="B1287" s="109" t="s">
        <v>7157</v>
      </c>
      <c r="C1287" s="113">
        <v>2018</v>
      </c>
      <c r="D1287" s="112">
        <v>0</v>
      </c>
      <c r="E1287" s="112">
        <v>0</v>
      </c>
      <c r="F1287" s="112">
        <v>0</v>
      </c>
      <c r="G1287" s="112">
        <v>0</v>
      </c>
      <c r="H1287" s="112">
        <v>0</v>
      </c>
      <c r="I1287" s="112">
        <v>0</v>
      </c>
      <c r="J1287" s="112">
        <v>0</v>
      </c>
      <c r="K1287" s="112">
        <v>0</v>
      </c>
      <c r="L1287" s="112">
        <v>0</v>
      </c>
      <c r="M1287" s="112">
        <v>0</v>
      </c>
      <c r="N1287" s="112">
        <v>0</v>
      </c>
    </row>
    <row r="1288" spans="1:17" s="117" customFormat="1" ht="17.5" customHeight="1">
      <c r="A1288" s="109" t="s">
        <v>7156</v>
      </c>
      <c r="B1288" s="109" t="s">
        <v>7157</v>
      </c>
      <c r="C1288" s="113">
        <v>2019</v>
      </c>
      <c r="D1288" s="112">
        <v>0</v>
      </c>
      <c r="E1288" s="112">
        <v>0</v>
      </c>
      <c r="F1288" s="112">
        <v>0</v>
      </c>
      <c r="G1288" s="112">
        <v>0</v>
      </c>
      <c r="H1288" s="112">
        <v>0</v>
      </c>
      <c r="I1288" s="112">
        <v>0</v>
      </c>
      <c r="J1288" s="112">
        <v>0</v>
      </c>
      <c r="K1288" s="112">
        <v>0</v>
      </c>
      <c r="L1288" s="112">
        <v>0</v>
      </c>
      <c r="M1288" s="112">
        <v>0</v>
      </c>
      <c r="N1288" s="112">
        <v>0</v>
      </c>
    </row>
    <row r="1289" spans="1:17" s="117" customFormat="1" ht="17.5" customHeight="1">
      <c r="A1289" s="114" t="s">
        <v>7156</v>
      </c>
      <c r="B1289" s="114" t="s">
        <v>7157</v>
      </c>
      <c r="C1289" s="113">
        <v>2020</v>
      </c>
      <c r="D1289" s="112">
        <v>0</v>
      </c>
      <c r="E1289" s="112">
        <v>0</v>
      </c>
      <c r="F1289" s="112">
        <v>0</v>
      </c>
      <c r="G1289" s="112">
        <v>0</v>
      </c>
      <c r="H1289" s="112">
        <v>0</v>
      </c>
      <c r="I1289" s="112">
        <v>0</v>
      </c>
      <c r="J1289" s="112">
        <v>0</v>
      </c>
      <c r="K1289" s="112">
        <v>0</v>
      </c>
      <c r="L1289" s="112">
        <v>0</v>
      </c>
      <c r="M1289" s="112">
        <v>0</v>
      </c>
      <c r="N1289" s="112">
        <v>0</v>
      </c>
      <c r="O1289" s="110"/>
      <c r="P1289" s="110"/>
      <c r="Q1289" s="110"/>
    </row>
    <row r="1290" spans="1:17" s="117" customFormat="1" ht="17.5" customHeight="1">
      <c r="A1290" s="109" t="s">
        <v>7158</v>
      </c>
      <c r="B1290" s="109" t="s">
        <v>7159</v>
      </c>
      <c r="C1290" s="98">
        <v>2008</v>
      </c>
      <c r="D1290" s="99">
        <v>242</v>
      </c>
      <c r="E1290" s="99">
        <v>39320</v>
      </c>
      <c r="F1290" s="99">
        <v>1420</v>
      </c>
      <c r="G1290" s="99">
        <v>27002</v>
      </c>
      <c r="H1290" s="99">
        <v>596</v>
      </c>
      <c r="I1290" s="99">
        <v>359</v>
      </c>
      <c r="J1290" s="99">
        <v>384</v>
      </c>
      <c r="K1290" s="99">
        <v>26</v>
      </c>
      <c r="L1290" s="99">
        <v>1359</v>
      </c>
      <c r="M1290" s="99">
        <v>1785</v>
      </c>
      <c r="N1290" s="99">
        <v>-427</v>
      </c>
      <c r="O1290" s="110"/>
      <c r="P1290" s="110"/>
      <c r="Q1290" s="110"/>
    </row>
    <row r="1291" spans="1:17" s="117" customFormat="1" ht="17.5" customHeight="1">
      <c r="A1291" s="109" t="s">
        <v>7158</v>
      </c>
      <c r="B1291" s="109" t="s">
        <v>7159</v>
      </c>
      <c r="C1291" s="98">
        <v>2009</v>
      </c>
      <c r="D1291" s="99">
        <v>208</v>
      </c>
      <c r="E1291" s="99">
        <v>32798</v>
      </c>
      <c r="F1291" s="99">
        <v>1418</v>
      </c>
      <c r="G1291" s="99">
        <v>20725</v>
      </c>
      <c r="H1291" s="99">
        <v>702</v>
      </c>
      <c r="I1291" s="99">
        <v>375</v>
      </c>
      <c r="J1291" s="99">
        <v>390</v>
      </c>
      <c r="K1291" s="99">
        <v>16</v>
      </c>
      <c r="L1291" s="99">
        <v>1806</v>
      </c>
      <c r="M1291" s="99">
        <v>1353</v>
      </c>
      <c r="N1291" s="99">
        <v>453</v>
      </c>
      <c r="O1291" s="100"/>
      <c r="P1291" s="100"/>
      <c r="Q1291" s="100"/>
    </row>
    <row r="1292" spans="1:17" s="117" customFormat="1" ht="17.5" customHeight="1">
      <c r="A1292" s="109" t="s">
        <v>7158</v>
      </c>
      <c r="B1292" s="109" t="s">
        <v>7159</v>
      </c>
      <c r="C1292" s="98">
        <v>2010</v>
      </c>
      <c r="D1292" s="99" t="s">
        <v>6953</v>
      </c>
      <c r="E1292" s="99" t="s">
        <v>6953</v>
      </c>
      <c r="F1292" s="99" t="s">
        <v>6953</v>
      </c>
      <c r="G1292" s="99" t="s">
        <v>6953</v>
      </c>
      <c r="H1292" s="99" t="s">
        <v>6953</v>
      </c>
      <c r="I1292" s="99" t="s">
        <v>6953</v>
      </c>
      <c r="J1292" s="99" t="s">
        <v>6953</v>
      </c>
      <c r="K1292" s="99" t="s">
        <v>6953</v>
      </c>
      <c r="L1292" s="99" t="s">
        <v>6953</v>
      </c>
      <c r="M1292" s="99" t="s">
        <v>6953</v>
      </c>
      <c r="N1292" s="99" t="s">
        <v>6953</v>
      </c>
      <c r="O1292" s="110"/>
      <c r="P1292" s="110"/>
      <c r="Q1292" s="110"/>
    </row>
    <row r="1293" spans="1:17" s="117" customFormat="1" ht="17.5" customHeight="1">
      <c r="A1293" s="109" t="s">
        <v>7158</v>
      </c>
      <c r="B1293" s="109" t="s">
        <v>7159</v>
      </c>
      <c r="C1293" s="98">
        <v>2011</v>
      </c>
      <c r="D1293" s="99" t="s">
        <v>6953</v>
      </c>
      <c r="E1293" s="99" t="s">
        <v>6953</v>
      </c>
      <c r="F1293" s="99" t="s">
        <v>6953</v>
      </c>
      <c r="G1293" s="99" t="s">
        <v>6953</v>
      </c>
      <c r="H1293" s="99" t="s">
        <v>6953</v>
      </c>
      <c r="I1293" s="99" t="s">
        <v>6953</v>
      </c>
      <c r="J1293" s="99" t="s">
        <v>6953</v>
      </c>
      <c r="K1293" s="99" t="s">
        <v>6953</v>
      </c>
      <c r="L1293" s="99" t="s">
        <v>6953</v>
      </c>
      <c r="M1293" s="99" t="s">
        <v>6953</v>
      </c>
      <c r="N1293" s="99" t="s">
        <v>6953</v>
      </c>
      <c r="O1293" s="100"/>
      <c r="P1293" s="100"/>
      <c r="Q1293" s="100"/>
    </row>
    <row r="1294" spans="1:17" s="117" customFormat="1" ht="17.5" customHeight="1">
      <c r="A1294" s="109" t="s">
        <v>7158</v>
      </c>
      <c r="B1294" s="109" t="s">
        <v>7159</v>
      </c>
      <c r="C1294" s="111">
        <v>2012</v>
      </c>
      <c r="D1294" s="99" t="s">
        <v>6953</v>
      </c>
      <c r="E1294" s="99" t="s">
        <v>6953</v>
      </c>
      <c r="F1294" s="99" t="s">
        <v>6953</v>
      </c>
      <c r="G1294" s="99" t="s">
        <v>6953</v>
      </c>
      <c r="H1294" s="99" t="s">
        <v>6953</v>
      </c>
      <c r="I1294" s="99" t="s">
        <v>6953</v>
      </c>
      <c r="J1294" s="99" t="s">
        <v>6953</v>
      </c>
      <c r="K1294" s="99" t="s">
        <v>6953</v>
      </c>
      <c r="L1294" s="99" t="s">
        <v>6953</v>
      </c>
      <c r="M1294" s="99" t="s">
        <v>6953</v>
      </c>
      <c r="N1294" s="99" t="s">
        <v>6953</v>
      </c>
      <c r="O1294" s="100"/>
      <c r="P1294" s="100"/>
      <c r="Q1294" s="100"/>
    </row>
    <row r="1295" spans="1:17" s="117" customFormat="1" ht="17.5" customHeight="1">
      <c r="A1295" s="109" t="s">
        <v>7158</v>
      </c>
      <c r="B1295" s="109" t="s">
        <v>7159</v>
      </c>
      <c r="C1295" s="113">
        <v>2013</v>
      </c>
      <c r="D1295" s="99" t="s">
        <v>6953</v>
      </c>
      <c r="E1295" s="99" t="s">
        <v>6953</v>
      </c>
      <c r="F1295" s="99" t="s">
        <v>6953</v>
      </c>
      <c r="G1295" s="99" t="s">
        <v>6953</v>
      </c>
      <c r="H1295" s="99" t="s">
        <v>6953</v>
      </c>
      <c r="I1295" s="99" t="s">
        <v>6953</v>
      </c>
      <c r="J1295" s="99" t="s">
        <v>6953</v>
      </c>
      <c r="K1295" s="99" t="s">
        <v>6953</v>
      </c>
      <c r="L1295" s="99" t="s">
        <v>6953</v>
      </c>
      <c r="M1295" s="99" t="s">
        <v>6953</v>
      </c>
      <c r="N1295" s="99" t="s">
        <v>6953</v>
      </c>
      <c r="O1295" s="110"/>
      <c r="P1295" s="110"/>
      <c r="Q1295" s="110"/>
    </row>
    <row r="1296" spans="1:17" s="117" customFormat="1" ht="17.5" customHeight="1">
      <c r="A1296" s="109" t="s">
        <v>7158</v>
      </c>
      <c r="B1296" s="109" t="s">
        <v>7159</v>
      </c>
      <c r="C1296" s="113">
        <v>2014</v>
      </c>
      <c r="D1296" s="99" t="s">
        <v>6953</v>
      </c>
      <c r="E1296" s="99" t="s">
        <v>6953</v>
      </c>
      <c r="F1296" s="99" t="s">
        <v>6953</v>
      </c>
      <c r="G1296" s="99" t="s">
        <v>6953</v>
      </c>
      <c r="H1296" s="99" t="s">
        <v>6953</v>
      </c>
      <c r="I1296" s="99" t="s">
        <v>6953</v>
      </c>
      <c r="J1296" s="99" t="s">
        <v>6953</v>
      </c>
      <c r="K1296" s="99" t="s">
        <v>6953</v>
      </c>
      <c r="L1296" s="99" t="s">
        <v>6953</v>
      </c>
      <c r="M1296" s="99" t="s">
        <v>6953</v>
      </c>
      <c r="N1296" s="99" t="s">
        <v>6953</v>
      </c>
      <c r="O1296" s="110"/>
      <c r="P1296" s="110"/>
      <c r="Q1296" s="110"/>
    </row>
    <row r="1297" spans="1:17" s="117" customFormat="1" ht="17.5" customHeight="1">
      <c r="A1297" s="109" t="s">
        <v>7158</v>
      </c>
      <c r="B1297" s="109" t="s">
        <v>7159</v>
      </c>
      <c r="C1297" s="113">
        <v>2015</v>
      </c>
      <c r="D1297" s="112">
        <v>132</v>
      </c>
      <c r="E1297" s="112">
        <v>29177</v>
      </c>
      <c r="F1297" s="112">
        <v>2955</v>
      </c>
      <c r="G1297" s="112">
        <v>17608</v>
      </c>
      <c r="H1297" s="112">
        <v>744</v>
      </c>
      <c r="I1297" s="99" t="s">
        <v>6953</v>
      </c>
      <c r="J1297" s="112">
        <v>527</v>
      </c>
      <c r="K1297" s="99" t="s">
        <v>6953</v>
      </c>
      <c r="L1297" s="112">
        <v>1511</v>
      </c>
      <c r="M1297" s="112">
        <v>1835</v>
      </c>
      <c r="N1297" s="112">
        <v>-324</v>
      </c>
    </row>
    <row r="1298" spans="1:17" s="117" customFormat="1" ht="17.5" customHeight="1">
      <c r="A1298" s="109" t="s">
        <v>7158</v>
      </c>
      <c r="B1298" s="109" t="s">
        <v>7159</v>
      </c>
      <c r="C1298" s="113">
        <v>2016</v>
      </c>
      <c r="D1298" s="112">
        <v>122</v>
      </c>
      <c r="E1298" s="112">
        <v>27615</v>
      </c>
      <c r="F1298" s="112">
        <v>2609</v>
      </c>
      <c r="G1298" s="112">
        <v>17585</v>
      </c>
      <c r="H1298" s="112">
        <v>768</v>
      </c>
      <c r="I1298" s="112">
        <v>488</v>
      </c>
      <c r="J1298" s="112">
        <v>521</v>
      </c>
      <c r="K1298" s="112">
        <v>33</v>
      </c>
      <c r="L1298" s="112">
        <v>1970</v>
      </c>
      <c r="M1298" s="112">
        <v>1553</v>
      </c>
      <c r="N1298" s="112">
        <v>417</v>
      </c>
    </row>
    <row r="1299" spans="1:17" s="117" customFormat="1" ht="17.5" customHeight="1">
      <c r="A1299" s="109" t="s">
        <v>7158</v>
      </c>
      <c r="B1299" s="109" t="s">
        <v>7159</v>
      </c>
      <c r="C1299" s="113">
        <v>2017</v>
      </c>
      <c r="D1299" s="112">
        <v>116</v>
      </c>
      <c r="E1299" s="112">
        <v>33024</v>
      </c>
      <c r="F1299" s="112">
        <v>2398</v>
      </c>
      <c r="G1299" s="112">
        <v>22838</v>
      </c>
      <c r="H1299" s="112">
        <v>711</v>
      </c>
      <c r="I1299" s="112">
        <v>405</v>
      </c>
      <c r="J1299" s="99" t="s">
        <v>6953</v>
      </c>
      <c r="K1299" s="99" t="s">
        <v>6953</v>
      </c>
      <c r="L1299" s="112">
        <v>2261</v>
      </c>
      <c r="M1299" s="112">
        <v>1917</v>
      </c>
      <c r="N1299" s="112">
        <v>344</v>
      </c>
    </row>
    <row r="1300" spans="1:17" s="117" customFormat="1" ht="17.5" customHeight="1">
      <c r="A1300" s="109" t="s">
        <v>7158</v>
      </c>
      <c r="B1300" s="109" t="s">
        <v>7159</v>
      </c>
      <c r="C1300" s="113">
        <v>2018</v>
      </c>
      <c r="D1300" s="112">
        <v>118</v>
      </c>
      <c r="E1300" s="112">
        <v>38618</v>
      </c>
      <c r="F1300" s="112">
        <v>2115</v>
      </c>
      <c r="G1300" s="112">
        <v>27740</v>
      </c>
      <c r="H1300" s="112">
        <v>727</v>
      </c>
      <c r="I1300" s="112">
        <v>614</v>
      </c>
      <c r="J1300" s="112">
        <v>615</v>
      </c>
      <c r="K1300" s="112">
        <v>2</v>
      </c>
      <c r="L1300" s="112">
        <v>1894</v>
      </c>
      <c r="M1300" s="112">
        <v>1904</v>
      </c>
      <c r="N1300" s="112">
        <v>-9</v>
      </c>
    </row>
    <row r="1301" spans="1:17" s="117" customFormat="1" ht="17.5" customHeight="1">
      <c r="A1301" s="109" t="s">
        <v>7158</v>
      </c>
      <c r="B1301" s="109" t="s">
        <v>7159</v>
      </c>
      <c r="C1301" s="113">
        <v>2019</v>
      </c>
      <c r="D1301" s="112">
        <v>94</v>
      </c>
      <c r="E1301" s="112">
        <v>38296.937895000003</v>
      </c>
      <c r="F1301" s="112">
        <v>2396.5641860000001</v>
      </c>
      <c r="G1301" s="112">
        <v>27237.246415000001</v>
      </c>
      <c r="H1301" s="112">
        <v>700.71994800000004</v>
      </c>
      <c r="I1301" s="112">
        <v>819.90368100000001</v>
      </c>
      <c r="J1301" s="112">
        <v>822.59163699999999</v>
      </c>
      <c r="K1301" s="112">
        <v>2.6879569999999999</v>
      </c>
      <c r="L1301" s="112">
        <v>2168.6102190000001</v>
      </c>
      <c r="M1301" s="112">
        <v>1890.047971</v>
      </c>
      <c r="N1301" s="112">
        <v>278.56224800000001</v>
      </c>
      <c r="O1301" s="110"/>
      <c r="P1301" s="110"/>
      <c r="Q1301" s="110"/>
    </row>
    <row r="1302" spans="1:17" s="117" customFormat="1" ht="17.5" customHeight="1">
      <c r="A1302" s="114" t="s">
        <v>7158</v>
      </c>
      <c r="B1302" s="114" t="s">
        <v>7159</v>
      </c>
      <c r="C1302" s="113">
        <v>2020</v>
      </c>
      <c r="D1302" s="112">
        <v>94</v>
      </c>
      <c r="E1302" s="112">
        <v>25339.350288000001</v>
      </c>
      <c r="F1302" s="112" t="s">
        <v>6953</v>
      </c>
      <c r="G1302" s="112" t="s">
        <v>6953</v>
      </c>
      <c r="H1302" s="112">
        <v>737.89443800000004</v>
      </c>
      <c r="I1302" s="112">
        <v>785.24783000000002</v>
      </c>
      <c r="J1302" s="112" t="s">
        <v>6953</v>
      </c>
      <c r="K1302" s="112" t="s">
        <v>6953</v>
      </c>
      <c r="L1302" s="112">
        <v>1879.0207399999999</v>
      </c>
      <c r="M1302" s="112">
        <v>2197.6013640000001</v>
      </c>
      <c r="N1302" s="112">
        <v>-318.580624</v>
      </c>
      <c r="O1302" s="110"/>
      <c r="P1302" s="110"/>
      <c r="Q1302" s="110"/>
    </row>
    <row r="1303" spans="1:17" s="117" customFormat="1" ht="17.5" customHeight="1">
      <c r="A1303" s="109" t="s">
        <v>7160</v>
      </c>
      <c r="B1303" s="109" t="s">
        <v>7161</v>
      </c>
      <c r="C1303" s="98">
        <v>2008</v>
      </c>
      <c r="D1303" s="99">
        <v>2864</v>
      </c>
      <c r="E1303" s="99">
        <v>41858</v>
      </c>
      <c r="F1303" s="99">
        <v>10243</v>
      </c>
      <c r="G1303" s="99">
        <v>31907</v>
      </c>
      <c r="H1303" s="99">
        <v>4552</v>
      </c>
      <c r="I1303" s="99">
        <v>1121</v>
      </c>
      <c r="J1303" s="99">
        <v>1448</v>
      </c>
      <c r="K1303" s="99">
        <v>327</v>
      </c>
      <c r="L1303" s="99">
        <v>4122</v>
      </c>
      <c r="M1303" s="99">
        <v>3829</v>
      </c>
      <c r="N1303" s="99">
        <v>293</v>
      </c>
      <c r="O1303" s="100"/>
      <c r="P1303" s="100"/>
      <c r="Q1303" s="100"/>
    </row>
    <row r="1304" spans="1:17" s="117" customFormat="1" ht="17.5" customHeight="1">
      <c r="A1304" s="109" t="s">
        <v>7160</v>
      </c>
      <c r="B1304" s="109" t="s">
        <v>7161</v>
      </c>
      <c r="C1304" s="98">
        <v>2009</v>
      </c>
      <c r="D1304" s="99">
        <v>2710</v>
      </c>
      <c r="E1304" s="99">
        <v>34074</v>
      </c>
      <c r="F1304" s="99">
        <v>9087</v>
      </c>
      <c r="G1304" s="99">
        <v>24397</v>
      </c>
      <c r="H1304" s="99">
        <v>4507</v>
      </c>
      <c r="I1304" s="99">
        <v>711</v>
      </c>
      <c r="J1304" s="99">
        <v>883</v>
      </c>
      <c r="K1304" s="99">
        <v>173</v>
      </c>
      <c r="L1304" s="99">
        <v>3420</v>
      </c>
      <c r="M1304" s="99">
        <v>3980</v>
      </c>
      <c r="N1304" s="99">
        <v>-560</v>
      </c>
      <c r="O1304" s="110"/>
      <c r="P1304" s="110"/>
      <c r="Q1304" s="110"/>
    </row>
    <row r="1305" spans="1:17" s="117" customFormat="1" ht="17.5" customHeight="1">
      <c r="A1305" s="109" t="s">
        <v>7160</v>
      </c>
      <c r="B1305" s="109" t="s">
        <v>7161</v>
      </c>
      <c r="C1305" s="98">
        <v>2010</v>
      </c>
      <c r="D1305" s="99">
        <v>2565</v>
      </c>
      <c r="E1305" s="99">
        <v>37764</v>
      </c>
      <c r="F1305" s="99">
        <v>10326</v>
      </c>
      <c r="G1305" s="99">
        <v>28061</v>
      </c>
      <c r="H1305" s="99">
        <v>4273</v>
      </c>
      <c r="I1305" s="99">
        <v>917</v>
      </c>
      <c r="J1305" s="99">
        <v>1004</v>
      </c>
      <c r="K1305" s="99">
        <v>87</v>
      </c>
      <c r="L1305" s="99">
        <v>3660</v>
      </c>
      <c r="M1305" s="99">
        <v>3225</v>
      </c>
      <c r="N1305" s="99">
        <v>435</v>
      </c>
      <c r="O1305" s="100"/>
      <c r="P1305" s="100"/>
      <c r="Q1305" s="100"/>
    </row>
    <row r="1306" spans="1:17" s="117" customFormat="1" ht="17.5" customHeight="1">
      <c r="A1306" s="109" t="s">
        <v>7160</v>
      </c>
      <c r="B1306" s="109" t="s">
        <v>7161</v>
      </c>
      <c r="C1306" s="98">
        <v>2011</v>
      </c>
      <c r="D1306" s="99">
        <v>2464</v>
      </c>
      <c r="E1306" s="99">
        <v>38874</v>
      </c>
      <c r="F1306" s="99">
        <v>8910</v>
      </c>
      <c r="G1306" s="99">
        <v>30330</v>
      </c>
      <c r="H1306" s="99">
        <v>4381</v>
      </c>
      <c r="I1306" s="99">
        <v>953</v>
      </c>
      <c r="J1306" s="99">
        <v>1101</v>
      </c>
      <c r="K1306" s="99">
        <v>148</v>
      </c>
      <c r="L1306" s="99">
        <v>4005</v>
      </c>
      <c r="M1306" s="99">
        <v>3665</v>
      </c>
      <c r="N1306" s="99">
        <v>340</v>
      </c>
      <c r="O1306" s="100"/>
      <c r="P1306" s="100"/>
      <c r="Q1306" s="100"/>
    </row>
    <row r="1307" spans="1:17" s="117" customFormat="1" ht="17.5" customHeight="1">
      <c r="A1307" s="109" t="s">
        <v>7160</v>
      </c>
      <c r="B1307" s="109" t="s">
        <v>7161</v>
      </c>
      <c r="C1307" s="111">
        <v>2012</v>
      </c>
      <c r="D1307" s="112">
        <v>2468</v>
      </c>
      <c r="E1307" s="112">
        <v>31201</v>
      </c>
      <c r="F1307" s="112">
        <v>8500</v>
      </c>
      <c r="G1307" s="112">
        <v>22758</v>
      </c>
      <c r="H1307" s="112">
        <v>4293</v>
      </c>
      <c r="I1307" s="112">
        <v>1174</v>
      </c>
      <c r="J1307" s="112">
        <v>1266</v>
      </c>
      <c r="K1307" s="112">
        <v>92</v>
      </c>
      <c r="L1307" s="112">
        <v>3473</v>
      </c>
      <c r="M1307" s="112">
        <v>3426</v>
      </c>
      <c r="N1307" s="112">
        <v>46</v>
      </c>
      <c r="O1307" s="110"/>
      <c r="P1307" s="110"/>
      <c r="Q1307" s="110"/>
    </row>
    <row r="1308" spans="1:17" s="117" customFormat="1" ht="17.5" customHeight="1">
      <c r="A1308" s="109" t="s">
        <v>7160</v>
      </c>
      <c r="B1308" s="109" t="s">
        <v>7161</v>
      </c>
      <c r="C1308" s="113">
        <v>2013</v>
      </c>
      <c r="D1308" s="112">
        <v>2549</v>
      </c>
      <c r="E1308" s="112">
        <v>31388</v>
      </c>
      <c r="F1308" s="112">
        <v>8534</v>
      </c>
      <c r="G1308" s="112">
        <v>22900</v>
      </c>
      <c r="H1308" s="112">
        <v>4350</v>
      </c>
      <c r="I1308" s="112">
        <v>981</v>
      </c>
      <c r="J1308" s="112">
        <v>1177</v>
      </c>
      <c r="K1308" s="112">
        <v>196</v>
      </c>
      <c r="L1308" s="112">
        <v>3495</v>
      </c>
      <c r="M1308" s="112">
        <v>3415</v>
      </c>
      <c r="N1308" s="112">
        <v>80</v>
      </c>
      <c r="O1308" s="110"/>
      <c r="P1308" s="110"/>
      <c r="Q1308" s="110"/>
    </row>
    <row r="1309" spans="1:17" s="117" customFormat="1" ht="17.5" customHeight="1">
      <c r="A1309" s="109" t="s">
        <v>7160</v>
      </c>
      <c r="B1309" s="109" t="s">
        <v>7161</v>
      </c>
      <c r="C1309" s="113">
        <v>2014</v>
      </c>
      <c r="D1309" s="99">
        <v>2613</v>
      </c>
      <c r="E1309" s="99">
        <v>29962</v>
      </c>
      <c r="F1309" s="99">
        <v>8601</v>
      </c>
      <c r="G1309" s="99">
        <v>21498</v>
      </c>
      <c r="H1309" s="99">
        <v>4171</v>
      </c>
      <c r="I1309" s="99">
        <v>1043</v>
      </c>
      <c r="J1309" s="99">
        <v>1702</v>
      </c>
      <c r="K1309" s="99">
        <v>659</v>
      </c>
      <c r="L1309" s="99">
        <v>3395</v>
      </c>
      <c r="M1309" s="99">
        <v>3334</v>
      </c>
      <c r="N1309" s="99">
        <v>61</v>
      </c>
    </row>
    <row r="1310" spans="1:17" s="117" customFormat="1" ht="17.5" customHeight="1">
      <c r="A1310" s="109" t="s">
        <v>7160</v>
      </c>
      <c r="B1310" s="109" t="s">
        <v>7161</v>
      </c>
      <c r="C1310" s="113">
        <v>2015</v>
      </c>
      <c r="D1310" s="112">
        <v>2732</v>
      </c>
      <c r="E1310" s="112">
        <v>29418</v>
      </c>
      <c r="F1310" s="112">
        <v>8599</v>
      </c>
      <c r="G1310" s="112">
        <v>20707</v>
      </c>
      <c r="H1310" s="112">
        <v>4325</v>
      </c>
      <c r="I1310" s="112">
        <v>1273</v>
      </c>
      <c r="J1310" s="112">
        <v>1317</v>
      </c>
      <c r="K1310" s="112">
        <v>44</v>
      </c>
      <c r="L1310" s="112">
        <v>3442</v>
      </c>
      <c r="M1310" s="112">
        <v>3581</v>
      </c>
      <c r="N1310" s="112">
        <v>-138</v>
      </c>
    </row>
    <row r="1311" spans="1:17" s="117" customFormat="1" ht="17.5" customHeight="1">
      <c r="A1311" s="109" t="s">
        <v>7160</v>
      </c>
      <c r="B1311" s="109" t="s">
        <v>7161</v>
      </c>
      <c r="C1311" s="113">
        <v>2016</v>
      </c>
      <c r="D1311" s="112">
        <v>2848</v>
      </c>
      <c r="E1311" s="112">
        <v>30846</v>
      </c>
      <c r="F1311" s="112">
        <v>8862</v>
      </c>
      <c r="G1311" s="112">
        <v>22002</v>
      </c>
      <c r="H1311" s="112">
        <v>4470</v>
      </c>
      <c r="I1311" s="112">
        <v>1218</v>
      </c>
      <c r="J1311" s="112">
        <v>1345</v>
      </c>
      <c r="K1311" s="112">
        <v>127</v>
      </c>
      <c r="L1311" s="112">
        <v>3622</v>
      </c>
      <c r="M1311" s="112">
        <v>3664</v>
      </c>
      <c r="N1311" s="112">
        <v>-42</v>
      </c>
    </row>
    <row r="1312" spans="1:17" s="117" customFormat="1" ht="17.5" customHeight="1">
      <c r="A1312" s="109" t="s">
        <v>7160</v>
      </c>
      <c r="B1312" s="109" t="s">
        <v>7161</v>
      </c>
      <c r="C1312" s="113">
        <v>2017</v>
      </c>
      <c r="D1312" s="112">
        <v>2915</v>
      </c>
      <c r="E1312" s="112">
        <v>33307</v>
      </c>
      <c r="F1312" s="112">
        <v>9686</v>
      </c>
      <c r="G1312" s="112">
        <v>24063</v>
      </c>
      <c r="H1312" s="112">
        <v>4363</v>
      </c>
      <c r="I1312" s="112">
        <v>1393</v>
      </c>
      <c r="J1312" s="112">
        <v>1470</v>
      </c>
      <c r="K1312" s="112">
        <v>77</v>
      </c>
      <c r="L1312" s="112">
        <v>3850</v>
      </c>
      <c r="M1312" s="112">
        <v>3465</v>
      </c>
      <c r="N1312" s="112">
        <v>385</v>
      </c>
    </row>
    <row r="1313" spans="1:17" s="117" customFormat="1" ht="17.5" customHeight="1">
      <c r="A1313" s="109" t="s">
        <v>7160</v>
      </c>
      <c r="B1313" s="109" t="s">
        <v>7161</v>
      </c>
      <c r="C1313" s="113">
        <v>2018</v>
      </c>
      <c r="D1313" s="112">
        <v>2960</v>
      </c>
      <c r="E1313" s="112">
        <v>35376</v>
      </c>
      <c r="F1313" s="112">
        <v>10600</v>
      </c>
      <c r="G1313" s="112">
        <v>25079</v>
      </c>
      <c r="H1313" s="112">
        <v>4605</v>
      </c>
      <c r="I1313" s="112">
        <v>1270</v>
      </c>
      <c r="J1313" s="112">
        <v>1300</v>
      </c>
      <c r="K1313" s="112">
        <v>30</v>
      </c>
      <c r="L1313" s="112">
        <v>4240</v>
      </c>
      <c r="M1313" s="112">
        <v>4003</v>
      </c>
      <c r="N1313" s="112">
        <v>237</v>
      </c>
      <c r="O1313" s="110"/>
      <c r="P1313" s="110"/>
      <c r="Q1313" s="110"/>
    </row>
    <row r="1314" spans="1:17" s="117" customFormat="1" ht="17.5" customHeight="1">
      <c r="A1314" s="109" t="s">
        <v>7160</v>
      </c>
      <c r="B1314" s="109" t="s">
        <v>7161</v>
      </c>
      <c r="C1314" s="113">
        <v>2019</v>
      </c>
      <c r="D1314" s="112">
        <v>2996</v>
      </c>
      <c r="E1314" s="112">
        <v>34305.360643</v>
      </c>
      <c r="F1314" s="112">
        <v>10649.155411</v>
      </c>
      <c r="G1314" s="112">
        <v>23687.322046000001</v>
      </c>
      <c r="H1314" s="112">
        <v>4810.0104579999997</v>
      </c>
      <c r="I1314" s="112">
        <v>1342.7707069999999</v>
      </c>
      <c r="J1314" s="112">
        <v>1502.397565</v>
      </c>
      <c r="K1314" s="112">
        <v>159.626858</v>
      </c>
      <c r="L1314" s="112">
        <v>4134.1545299999998</v>
      </c>
      <c r="M1314" s="112">
        <v>4173.9341780000004</v>
      </c>
      <c r="N1314" s="112">
        <v>-39.779648000000002</v>
      </c>
      <c r="O1314" s="110"/>
      <c r="P1314" s="110"/>
      <c r="Q1314" s="110"/>
    </row>
    <row r="1315" spans="1:17" s="117" customFormat="1" ht="17.5" customHeight="1">
      <c r="A1315" s="114" t="s">
        <v>7160</v>
      </c>
      <c r="B1315" s="114" t="s">
        <v>7161</v>
      </c>
      <c r="C1315" s="113">
        <v>2020</v>
      </c>
      <c r="D1315" s="112">
        <v>3186</v>
      </c>
      <c r="E1315" s="112">
        <v>32829.224347000003</v>
      </c>
      <c r="F1315" s="112">
        <v>11174.636495000001</v>
      </c>
      <c r="G1315" s="112">
        <v>21746.511770000001</v>
      </c>
      <c r="H1315" s="112">
        <v>4777.1980460000004</v>
      </c>
      <c r="I1315" s="112">
        <v>1112.3516500000001</v>
      </c>
      <c r="J1315" s="112">
        <v>1288.2446849999999</v>
      </c>
      <c r="K1315" s="112">
        <v>175.893036</v>
      </c>
      <c r="L1315" s="112">
        <v>3949.3652659999998</v>
      </c>
      <c r="M1315" s="112">
        <v>3979.2759590000001</v>
      </c>
      <c r="N1315" s="112">
        <v>-29.910693999999999</v>
      </c>
      <c r="O1315" s="100"/>
      <c r="P1315" s="100"/>
      <c r="Q1315" s="100"/>
    </row>
    <row r="1316" spans="1:17" s="117" customFormat="1" ht="48" customHeight="1">
      <c r="A1316" s="109" t="s">
        <v>7162</v>
      </c>
      <c r="B1316" s="109" t="s">
        <v>7163</v>
      </c>
      <c r="C1316" s="98">
        <v>2008</v>
      </c>
      <c r="D1316" s="99">
        <v>924</v>
      </c>
      <c r="E1316" s="99">
        <v>27185</v>
      </c>
      <c r="F1316" s="99">
        <v>5185</v>
      </c>
      <c r="G1316" s="99">
        <v>22051</v>
      </c>
      <c r="H1316" s="99">
        <v>2043</v>
      </c>
      <c r="I1316" s="99">
        <v>797</v>
      </c>
      <c r="J1316" s="99">
        <v>898</v>
      </c>
      <c r="K1316" s="99">
        <v>101</v>
      </c>
      <c r="L1316" s="99">
        <v>2289</v>
      </c>
      <c r="M1316" s="99">
        <v>2238</v>
      </c>
      <c r="N1316" s="99">
        <v>51</v>
      </c>
      <c r="O1316" s="110"/>
      <c r="P1316" s="110"/>
      <c r="Q1316" s="110"/>
    </row>
    <row r="1317" spans="1:17" s="117" customFormat="1" ht="48" customHeight="1">
      <c r="A1317" s="109" t="s">
        <v>7162</v>
      </c>
      <c r="B1317" s="109" t="s">
        <v>7163</v>
      </c>
      <c r="C1317" s="98">
        <v>2009</v>
      </c>
      <c r="D1317" s="99">
        <v>843</v>
      </c>
      <c r="E1317" s="99">
        <v>18922</v>
      </c>
      <c r="F1317" s="99">
        <v>4609</v>
      </c>
      <c r="G1317" s="99">
        <v>13934</v>
      </c>
      <c r="H1317" s="99">
        <v>1953</v>
      </c>
      <c r="I1317" s="99">
        <v>404</v>
      </c>
      <c r="J1317" s="99">
        <v>428</v>
      </c>
      <c r="K1317" s="99">
        <v>24</v>
      </c>
      <c r="L1317" s="99">
        <v>1785</v>
      </c>
      <c r="M1317" s="99">
        <v>2150</v>
      </c>
      <c r="N1317" s="99">
        <v>-365</v>
      </c>
      <c r="O1317" s="100"/>
      <c r="P1317" s="100"/>
      <c r="Q1317" s="100"/>
    </row>
    <row r="1318" spans="1:17" s="117" customFormat="1" ht="48" customHeight="1">
      <c r="A1318" s="109" t="s">
        <v>7162</v>
      </c>
      <c r="B1318" s="109" t="s">
        <v>7163</v>
      </c>
      <c r="C1318" s="98">
        <v>2010</v>
      </c>
      <c r="D1318" s="99">
        <v>780</v>
      </c>
      <c r="E1318" s="99">
        <v>21132</v>
      </c>
      <c r="F1318" s="99">
        <v>5569</v>
      </c>
      <c r="G1318" s="99">
        <v>15998</v>
      </c>
      <c r="H1318" s="99">
        <v>1813</v>
      </c>
      <c r="I1318" s="99">
        <v>509</v>
      </c>
      <c r="J1318" s="99">
        <v>553</v>
      </c>
      <c r="K1318" s="99">
        <v>44</v>
      </c>
      <c r="L1318" s="99">
        <v>2016</v>
      </c>
      <c r="M1318" s="99">
        <v>1785</v>
      </c>
      <c r="N1318" s="99">
        <v>231</v>
      </c>
      <c r="O1318" s="100"/>
      <c r="P1318" s="100"/>
      <c r="Q1318" s="100"/>
    </row>
    <row r="1319" spans="1:17" s="117" customFormat="1" ht="48" customHeight="1">
      <c r="A1319" s="109" t="s">
        <v>7162</v>
      </c>
      <c r="B1319" s="109" t="s">
        <v>7163</v>
      </c>
      <c r="C1319" s="98">
        <v>2011</v>
      </c>
      <c r="D1319" s="99">
        <v>723</v>
      </c>
      <c r="E1319" s="99">
        <v>22156</v>
      </c>
      <c r="F1319" s="99">
        <v>4437</v>
      </c>
      <c r="G1319" s="99">
        <v>18068</v>
      </c>
      <c r="H1319" s="99">
        <v>1883</v>
      </c>
      <c r="I1319" s="99">
        <v>538</v>
      </c>
      <c r="J1319" s="99" t="s">
        <v>6953</v>
      </c>
      <c r="K1319" s="99" t="s">
        <v>6953</v>
      </c>
      <c r="L1319" s="99">
        <v>2190</v>
      </c>
      <c r="M1319" s="99">
        <v>1887</v>
      </c>
      <c r="N1319" s="99">
        <v>303</v>
      </c>
      <c r="O1319" s="110"/>
      <c r="P1319" s="110"/>
      <c r="Q1319" s="110"/>
    </row>
    <row r="1320" spans="1:17" s="117" customFormat="1" ht="48" customHeight="1">
      <c r="A1320" s="109" t="s">
        <v>7162</v>
      </c>
      <c r="B1320" s="109" t="s">
        <v>7163</v>
      </c>
      <c r="C1320" s="111">
        <v>2012</v>
      </c>
      <c r="D1320" s="112">
        <v>745</v>
      </c>
      <c r="E1320" s="112">
        <v>14284</v>
      </c>
      <c r="F1320" s="112">
        <v>3898</v>
      </c>
      <c r="G1320" s="112">
        <v>10488</v>
      </c>
      <c r="H1320" s="112">
        <v>1683</v>
      </c>
      <c r="I1320" s="112">
        <v>680</v>
      </c>
      <c r="J1320" s="112">
        <v>751</v>
      </c>
      <c r="K1320" s="112">
        <v>72</v>
      </c>
      <c r="L1320" s="112">
        <v>1706</v>
      </c>
      <c r="M1320" s="112">
        <v>1620</v>
      </c>
      <c r="N1320" s="112">
        <v>85</v>
      </c>
      <c r="O1320" s="110"/>
      <c r="P1320" s="110"/>
      <c r="Q1320" s="110"/>
    </row>
    <row r="1321" spans="1:17" s="117" customFormat="1" ht="48" customHeight="1">
      <c r="A1321" s="109" t="s">
        <v>7162</v>
      </c>
      <c r="B1321" s="109" t="s">
        <v>7163</v>
      </c>
      <c r="C1321" s="113">
        <v>2013</v>
      </c>
      <c r="D1321" s="112">
        <v>740</v>
      </c>
      <c r="E1321" s="112">
        <v>14007</v>
      </c>
      <c r="F1321" s="112">
        <v>3529</v>
      </c>
      <c r="G1321" s="112">
        <v>10476</v>
      </c>
      <c r="H1321" s="112">
        <v>1750</v>
      </c>
      <c r="I1321" s="112">
        <v>545</v>
      </c>
      <c r="J1321" s="112">
        <v>695</v>
      </c>
      <c r="K1321" s="112">
        <v>150</v>
      </c>
      <c r="L1321" s="112">
        <v>1690</v>
      </c>
      <c r="M1321" s="112">
        <v>1668</v>
      </c>
      <c r="N1321" s="112">
        <v>22</v>
      </c>
    </row>
    <row r="1322" spans="1:17" s="117" customFormat="1" ht="48" customHeight="1">
      <c r="A1322" s="109" t="s">
        <v>7162</v>
      </c>
      <c r="B1322" s="109" t="s">
        <v>7163</v>
      </c>
      <c r="C1322" s="113">
        <v>2014</v>
      </c>
      <c r="D1322" s="99">
        <v>735</v>
      </c>
      <c r="E1322" s="99">
        <v>13826</v>
      </c>
      <c r="F1322" s="99">
        <v>3705</v>
      </c>
      <c r="G1322" s="99">
        <v>10276</v>
      </c>
      <c r="H1322" s="99">
        <v>1696</v>
      </c>
      <c r="I1322" s="99" t="s">
        <v>6953</v>
      </c>
      <c r="J1322" s="99" t="s">
        <v>6953</v>
      </c>
      <c r="K1322" s="99" t="s">
        <v>6953</v>
      </c>
      <c r="L1322" s="99">
        <v>1809</v>
      </c>
      <c r="M1322" s="99">
        <v>1733</v>
      </c>
      <c r="N1322" s="99">
        <v>77</v>
      </c>
    </row>
    <row r="1323" spans="1:17" s="117" customFormat="1" ht="48" customHeight="1">
      <c r="A1323" s="109" t="s">
        <v>7162</v>
      </c>
      <c r="B1323" s="109" t="s">
        <v>7163</v>
      </c>
      <c r="C1323" s="113">
        <v>2015</v>
      </c>
      <c r="D1323" s="112">
        <v>750</v>
      </c>
      <c r="E1323" s="112">
        <v>13799</v>
      </c>
      <c r="F1323" s="112">
        <v>3387</v>
      </c>
      <c r="G1323" s="112">
        <v>10229</v>
      </c>
      <c r="H1323" s="112">
        <v>1724</v>
      </c>
      <c r="I1323" s="112">
        <v>659</v>
      </c>
      <c r="J1323" s="112">
        <v>685</v>
      </c>
      <c r="K1323" s="112">
        <v>26</v>
      </c>
      <c r="L1323" s="112">
        <v>1836</v>
      </c>
      <c r="M1323" s="112">
        <v>2037</v>
      </c>
      <c r="N1323" s="112">
        <v>-201</v>
      </c>
    </row>
    <row r="1324" spans="1:17" s="117" customFormat="1" ht="48" customHeight="1">
      <c r="A1324" s="109" t="s">
        <v>7162</v>
      </c>
      <c r="B1324" s="109" t="s">
        <v>7163</v>
      </c>
      <c r="C1324" s="113">
        <v>2016</v>
      </c>
      <c r="D1324" s="112">
        <v>758</v>
      </c>
      <c r="E1324" s="112">
        <v>14432</v>
      </c>
      <c r="F1324" s="112">
        <v>3607</v>
      </c>
      <c r="G1324" s="112">
        <v>10819</v>
      </c>
      <c r="H1324" s="112">
        <v>1772</v>
      </c>
      <c r="I1324" s="112">
        <v>686</v>
      </c>
      <c r="J1324" s="112">
        <v>747</v>
      </c>
      <c r="K1324" s="112">
        <v>61</v>
      </c>
      <c r="L1324" s="112">
        <v>1762</v>
      </c>
      <c r="M1324" s="112">
        <v>1805</v>
      </c>
      <c r="N1324" s="112">
        <v>-43</v>
      </c>
    </row>
    <row r="1325" spans="1:17" s="117" customFormat="1" ht="48" customHeight="1">
      <c r="A1325" s="109" t="s">
        <v>7162</v>
      </c>
      <c r="B1325" s="109" t="s">
        <v>7163</v>
      </c>
      <c r="C1325" s="113">
        <v>2017</v>
      </c>
      <c r="D1325" s="112">
        <v>756</v>
      </c>
      <c r="E1325" s="112">
        <v>16141</v>
      </c>
      <c r="F1325" s="112">
        <v>4166</v>
      </c>
      <c r="G1325" s="112">
        <v>12165</v>
      </c>
      <c r="H1325" s="112">
        <v>1812</v>
      </c>
      <c r="I1325" s="112">
        <v>658</v>
      </c>
      <c r="J1325" s="112">
        <v>693</v>
      </c>
      <c r="K1325" s="112">
        <v>35</v>
      </c>
      <c r="L1325" s="112">
        <v>1901</v>
      </c>
      <c r="M1325" s="112">
        <v>1735</v>
      </c>
      <c r="N1325" s="112">
        <v>166</v>
      </c>
      <c r="O1325" s="110"/>
      <c r="P1325" s="110"/>
      <c r="Q1325" s="110"/>
    </row>
    <row r="1326" spans="1:17" s="117" customFormat="1" ht="48" customHeight="1">
      <c r="A1326" s="109" t="s">
        <v>7162</v>
      </c>
      <c r="B1326" s="109" t="s">
        <v>7163</v>
      </c>
      <c r="C1326" s="113">
        <v>2018</v>
      </c>
      <c r="D1326" s="112">
        <v>767</v>
      </c>
      <c r="E1326" s="112">
        <v>17119</v>
      </c>
      <c r="F1326" s="112">
        <v>4841</v>
      </c>
      <c r="G1326" s="112">
        <v>12321</v>
      </c>
      <c r="H1326" s="112">
        <v>1870</v>
      </c>
      <c r="I1326" s="112">
        <v>685</v>
      </c>
      <c r="J1326" s="112">
        <v>696</v>
      </c>
      <c r="K1326" s="112">
        <v>10</v>
      </c>
      <c r="L1326" s="112">
        <v>2038</v>
      </c>
      <c r="M1326" s="112">
        <v>2007</v>
      </c>
      <c r="N1326" s="112">
        <v>31</v>
      </c>
      <c r="O1326" s="110"/>
      <c r="P1326" s="110"/>
      <c r="Q1326" s="110"/>
    </row>
    <row r="1327" spans="1:17" s="117" customFormat="1" ht="48" customHeight="1">
      <c r="A1327" s="109" t="s">
        <v>7162</v>
      </c>
      <c r="B1327" s="109" t="s">
        <v>7163</v>
      </c>
      <c r="C1327" s="113">
        <v>2019</v>
      </c>
      <c r="D1327" s="112">
        <v>804</v>
      </c>
      <c r="E1327" s="112">
        <v>15339.318261</v>
      </c>
      <c r="F1327" s="112">
        <v>4546.6384289999996</v>
      </c>
      <c r="G1327" s="112">
        <v>10740.066570000001</v>
      </c>
      <c r="H1327" s="112">
        <v>1922.633838</v>
      </c>
      <c r="I1327" s="112">
        <v>799.576731</v>
      </c>
      <c r="J1327" s="112">
        <v>876.71604000000002</v>
      </c>
      <c r="K1327" s="112">
        <v>77.139308999999997</v>
      </c>
      <c r="L1327" s="112">
        <v>1725.671198</v>
      </c>
      <c r="M1327" s="112">
        <v>1847.749082</v>
      </c>
      <c r="N1327" s="112">
        <v>-122.077884</v>
      </c>
      <c r="O1327" s="100"/>
      <c r="P1327" s="100"/>
      <c r="Q1327" s="100"/>
    </row>
    <row r="1328" spans="1:17" s="117" customFormat="1" ht="48" customHeight="1">
      <c r="A1328" s="114" t="s">
        <v>7162</v>
      </c>
      <c r="B1328" s="114" t="s">
        <v>7163</v>
      </c>
      <c r="C1328" s="113">
        <v>2020</v>
      </c>
      <c r="D1328" s="112">
        <v>804</v>
      </c>
      <c r="E1328" s="112">
        <v>13672.583751</v>
      </c>
      <c r="F1328" s="112">
        <v>4369.5365490000004</v>
      </c>
      <c r="G1328" s="112">
        <v>9250.1799680000004</v>
      </c>
      <c r="H1328" s="112">
        <v>1870.435825</v>
      </c>
      <c r="I1328" s="112">
        <v>557.93407300000001</v>
      </c>
      <c r="J1328" s="112">
        <v>599.06733999999994</v>
      </c>
      <c r="K1328" s="112">
        <v>41.133266999999996</v>
      </c>
      <c r="L1328" s="112">
        <v>1547.271242</v>
      </c>
      <c r="M1328" s="112">
        <v>1685.853429</v>
      </c>
      <c r="N1328" s="112">
        <v>-138.582187</v>
      </c>
      <c r="O1328" s="110"/>
      <c r="P1328" s="110"/>
      <c r="Q1328" s="110"/>
    </row>
    <row r="1329" spans="1:17" s="117" customFormat="1" ht="17.5" customHeight="1">
      <c r="A1329" s="109" t="s">
        <v>7164</v>
      </c>
      <c r="B1329" s="109" t="s">
        <v>7165</v>
      </c>
      <c r="C1329" s="98">
        <v>2008</v>
      </c>
      <c r="D1329" s="99">
        <v>10</v>
      </c>
      <c r="E1329" s="99">
        <v>1354</v>
      </c>
      <c r="F1329" s="99">
        <v>673</v>
      </c>
      <c r="G1329" s="99">
        <v>660</v>
      </c>
      <c r="H1329" s="99">
        <v>288</v>
      </c>
      <c r="I1329" s="99" t="s">
        <v>6953</v>
      </c>
      <c r="J1329" s="99" t="s">
        <v>6953</v>
      </c>
      <c r="K1329" s="99" t="s">
        <v>6953</v>
      </c>
      <c r="L1329" s="99" t="s">
        <v>6953</v>
      </c>
      <c r="M1329" s="99" t="s">
        <v>6953</v>
      </c>
      <c r="N1329" s="99" t="s">
        <v>6953</v>
      </c>
      <c r="O1329" s="100"/>
      <c r="P1329" s="100"/>
      <c r="Q1329" s="100"/>
    </row>
    <row r="1330" spans="1:17" s="117" customFormat="1" ht="17.5" customHeight="1">
      <c r="A1330" s="109" t="s">
        <v>7164</v>
      </c>
      <c r="B1330" s="109" t="s">
        <v>7165</v>
      </c>
      <c r="C1330" s="98">
        <v>2009</v>
      </c>
      <c r="D1330" s="99">
        <v>14</v>
      </c>
      <c r="E1330" s="99">
        <v>1250</v>
      </c>
      <c r="F1330" s="99">
        <v>651</v>
      </c>
      <c r="G1330" s="99">
        <v>601</v>
      </c>
      <c r="H1330" s="99">
        <v>261</v>
      </c>
      <c r="I1330" s="99">
        <v>80</v>
      </c>
      <c r="J1330" s="99">
        <v>84</v>
      </c>
      <c r="K1330" s="99">
        <v>4</v>
      </c>
      <c r="L1330" s="99">
        <v>118</v>
      </c>
      <c r="M1330" s="99">
        <v>114</v>
      </c>
      <c r="N1330" s="99">
        <v>4</v>
      </c>
      <c r="O1330" s="100"/>
      <c r="P1330" s="100"/>
      <c r="Q1330" s="100"/>
    </row>
    <row r="1331" spans="1:17" s="117" customFormat="1" ht="17.5" customHeight="1">
      <c r="A1331" s="109" t="s">
        <v>7164</v>
      </c>
      <c r="B1331" s="109" t="s">
        <v>7165</v>
      </c>
      <c r="C1331" s="98">
        <v>2010</v>
      </c>
      <c r="D1331" s="99">
        <v>12</v>
      </c>
      <c r="E1331" s="99">
        <v>1185</v>
      </c>
      <c r="F1331" s="99">
        <v>661</v>
      </c>
      <c r="G1331" s="99">
        <v>518</v>
      </c>
      <c r="H1331" s="99">
        <v>251</v>
      </c>
      <c r="I1331" s="99">
        <v>79</v>
      </c>
      <c r="J1331" s="99">
        <v>84</v>
      </c>
      <c r="K1331" s="99">
        <v>5</v>
      </c>
      <c r="L1331" s="99">
        <v>81</v>
      </c>
      <c r="M1331" s="99">
        <v>91</v>
      </c>
      <c r="N1331" s="99">
        <v>-9</v>
      </c>
      <c r="O1331" s="110"/>
      <c r="P1331" s="110"/>
      <c r="Q1331" s="110"/>
    </row>
    <row r="1332" spans="1:17" s="117" customFormat="1" ht="17.5" customHeight="1">
      <c r="A1332" s="109" t="s">
        <v>7164</v>
      </c>
      <c r="B1332" s="109" t="s">
        <v>7165</v>
      </c>
      <c r="C1332" s="98">
        <v>2011</v>
      </c>
      <c r="D1332" s="99">
        <v>11</v>
      </c>
      <c r="E1332" s="99">
        <v>1201</v>
      </c>
      <c r="F1332" s="99">
        <v>654</v>
      </c>
      <c r="G1332" s="99">
        <v>591</v>
      </c>
      <c r="H1332" s="99">
        <v>232</v>
      </c>
      <c r="I1332" s="99">
        <v>102</v>
      </c>
      <c r="J1332" s="99" t="s">
        <v>6953</v>
      </c>
      <c r="K1332" s="99" t="s">
        <v>6953</v>
      </c>
      <c r="L1332" s="99" t="s">
        <v>6953</v>
      </c>
      <c r="M1332" s="99">
        <v>80</v>
      </c>
      <c r="N1332" s="99" t="s">
        <v>6953</v>
      </c>
      <c r="O1332" s="110"/>
      <c r="P1332" s="110"/>
      <c r="Q1332" s="110"/>
    </row>
    <row r="1333" spans="1:17" s="117" customFormat="1" ht="17.5" customHeight="1">
      <c r="A1333" s="109" t="s">
        <v>7164</v>
      </c>
      <c r="B1333" s="109" t="s">
        <v>7165</v>
      </c>
      <c r="C1333" s="111">
        <v>2012</v>
      </c>
      <c r="D1333" s="99" t="s">
        <v>6953</v>
      </c>
      <c r="E1333" s="99" t="s">
        <v>6953</v>
      </c>
      <c r="F1333" s="99" t="s">
        <v>6953</v>
      </c>
      <c r="G1333" s="99" t="s">
        <v>6953</v>
      </c>
      <c r="H1333" s="99" t="s">
        <v>6953</v>
      </c>
      <c r="I1333" s="99" t="s">
        <v>6953</v>
      </c>
      <c r="J1333" s="99" t="s">
        <v>6953</v>
      </c>
      <c r="K1333" s="99" t="s">
        <v>6953</v>
      </c>
      <c r="L1333" s="99" t="s">
        <v>6953</v>
      </c>
      <c r="M1333" s="99" t="s">
        <v>6953</v>
      </c>
      <c r="N1333" s="99" t="s">
        <v>6953</v>
      </c>
    </row>
    <row r="1334" spans="1:17" s="117" customFormat="1" ht="17.5" customHeight="1">
      <c r="A1334" s="109" t="s">
        <v>7164</v>
      </c>
      <c r="B1334" s="109" t="s">
        <v>7165</v>
      </c>
      <c r="C1334" s="113">
        <v>2013</v>
      </c>
      <c r="D1334" s="99" t="s">
        <v>6953</v>
      </c>
      <c r="E1334" s="99" t="s">
        <v>6953</v>
      </c>
      <c r="F1334" s="99" t="s">
        <v>6953</v>
      </c>
      <c r="G1334" s="99" t="s">
        <v>6953</v>
      </c>
      <c r="H1334" s="99" t="s">
        <v>6953</v>
      </c>
      <c r="I1334" s="99" t="s">
        <v>6953</v>
      </c>
      <c r="J1334" s="99" t="s">
        <v>6953</v>
      </c>
      <c r="K1334" s="99" t="s">
        <v>6953</v>
      </c>
      <c r="L1334" s="99" t="s">
        <v>6953</v>
      </c>
      <c r="M1334" s="99" t="s">
        <v>6953</v>
      </c>
      <c r="N1334" s="99" t="s">
        <v>6953</v>
      </c>
    </row>
    <row r="1335" spans="1:17" s="117" customFormat="1" ht="17.5" customHeight="1">
      <c r="A1335" s="109" t="s">
        <v>7164</v>
      </c>
      <c r="B1335" s="109" t="s">
        <v>7165</v>
      </c>
      <c r="C1335" s="113">
        <v>2014</v>
      </c>
      <c r="D1335" s="99" t="s">
        <v>6953</v>
      </c>
      <c r="E1335" s="99" t="s">
        <v>6953</v>
      </c>
      <c r="F1335" s="99" t="s">
        <v>6953</v>
      </c>
      <c r="G1335" s="99" t="s">
        <v>6953</v>
      </c>
      <c r="H1335" s="99" t="s">
        <v>6953</v>
      </c>
      <c r="I1335" s="99" t="s">
        <v>6953</v>
      </c>
      <c r="J1335" s="99" t="s">
        <v>6953</v>
      </c>
      <c r="K1335" s="99" t="s">
        <v>6953</v>
      </c>
      <c r="L1335" s="99" t="s">
        <v>6953</v>
      </c>
      <c r="M1335" s="99" t="s">
        <v>6953</v>
      </c>
      <c r="N1335" s="99" t="s">
        <v>6953</v>
      </c>
    </row>
    <row r="1336" spans="1:17" s="117" customFormat="1" ht="17.5" customHeight="1">
      <c r="A1336" s="109" t="s">
        <v>7164</v>
      </c>
      <c r="B1336" s="109" t="s">
        <v>7165</v>
      </c>
      <c r="C1336" s="113">
        <v>2015</v>
      </c>
      <c r="D1336" s="99" t="s">
        <v>6953</v>
      </c>
      <c r="E1336" s="99" t="s">
        <v>6953</v>
      </c>
      <c r="F1336" s="99" t="s">
        <v>6953</v>
      </c>
      <c r="G1336" s="99" t="s">
        <v>6953</v>
      </c>
      <c r="H1336" s="99" t="s">
        <v>6953</v>
      </c>
      <c r="I1336" s="99" t="s">
        <v>6953</v>
      </c>
      <c r="J1336" s="99" t="s">
        <v>6953</v>
      </c>
      <c r="K1336" s="99" t="s">
        <v>6953</v>
      </c>
      <c r="L1336" s="99" t="s">
        <v>6953</v>
      </c>
      <c r="M1336" s="99" t="s">
        <v>6953</v>
      </c>
      <c r="N1336" s="99" t="s">
        <v>6953</v>
      </c>
    </row>
    <row r="1337" spans="1:17" s="117" customFormat="1" ht="17.5" customHeight="1">
      <c r="A1337" s="109" t="s">
        <v>7164</v>
      </c>
      <c r="B1337" s="109" t="s">
        <v>7165</v>
      </c>
      <c r="C1337" s="113">
        <v>2016</v>
      </c>
      <c r="D1337" s="99" t="s">
        <v>6953</v>
      </c>
      <c r="E1337" s="99" t="s">
        <v>6953</v>
      </c>
      <c r="F1337" s="99" t="s">
        <v>6953</v>
      </c>
      <c r="G1337" s="99" t="s">
        <v>6953</v>
      </c>
      <c r="H1337" s="99" t="s">
        <v>6953</v>
      </c>
      <c r="I1337" s="99" t="s">
        <v>6953</v>
      </c>
      <c r="J1337" s="99" t="s">
        <v>6953</v>
      </c>
      <c r="K1337" s="99" t="s">
        <v>6953</v>
      </c>
      <c r="L1337" s="99" t="s">
        <v>6953</v>
      </c>
      <c r="M1337" s="99" t="s">
        <v>6953</v>
      </c>
      <c r="N1337" s="99" t="s">
        <v>6953</v>
      </c>
      <c r="O1337" s="110"/>
      <c r="P1337" s="110"/>
      <c r="Q1337" s="110"/>
    </row>
    <row r="1338" spans="1:17" s="117" customFormat="1" ht="17.5" customHeight="1">
      <c r="A1338" s="109" t="s">
        <v>7164</v>
      </c>
      <c r="B1338" s="109" t="s">
        <v>7165</v>
      </c>
      <c r="C1338" s="113">
        <v>2017</v>
      </c>
      <c r="D1338" s="99" t="s">
        <v>6953</v>
      </c>
      <c r="E1338" s="99" t="s">
        <v>6953</v>
      </c>
      <c r="F1338" s="99" t="s">
        <v>6953</v>
      </c>
      <c r="G1338" s="99" t="s">
        <v>6953</v>
      </c>
      <c r="H1338" s="99" t="s">
        <v>6953</v>
      </c>
      <c r="I1338" s="99" t="s">
        <v>6953</v>
      </c>
      <c r="J1338" s="99" t="s">
        <v>6953</v>
      </c>
      <c r="K1338" s="99" t="s">
        <v>6953</v>
      </c>
      <c r="L1338" s="99" t="s">
        <v>6953</v>
      </c>
      <c r="M1338" s="99" t="s">
        <v>6953</v>
      </c>
      <c r="N1338" s="99" t="s">
        <v>6953</v>
      </c>
      <c r="O1338" s="110"/>
      <c r="P1338" s="110"/>
      <c r="Q1338" s="110"/>
    </row>
    <row r="1339" spans="1:17" s="117" customFormat="1" ht="17.5" customHeight="1">
      <c r="A1339" s="109" t="s">
        <v>7164</v>
      </c>
      <c r="B1339" s="109" t="s">
        <v>7165</v>
      </c>
      <c r="C1339" s="113">
        <v>2018</v>
      </c>
      <c r="D1339" s="112">
        <v>18</v>
      </c>
      <c r="E1339" s="112">
        <v>1297</v>
      </c>
      <c r="F1339" s="99" t="s">
        <v>6953</v>
      </c>
      <c r="G1339" s="99" t="s">
        <v>6953</v>
      </c>
      <c r="H1339" s="99" t="s">
        <v>6953</v>
      </c>
      <c r="I1339" s="99" t="s">
        <v>6953</v>
      </c>
      <c r="J1339" s="99" t="s">
        <v>6953</v>
      </c>
      <c r="K1339" s="99" t="s">
        <v>6953</v>
      </c>
      <c r="L1339" s="112">
        <v>49</v>
      </c>
      <c r="M1339" s="112">
        <v>93</v>
      </c>
      <c r="N1339" s="112">
        <v>-44</v>
      </c>
      <c r="O1339" s="100"/>
      <c r="P1339" s="100"/>
      <c r="Q1339" s="100"/>
    </row>
    <row r="1340" spans="1:17" s="117" customFormat="1" ht="17.5" customHeight="1">
      <c r="A1340" s="109" t="s">
        <v>7164</v>
      </c>
      <c r="B1340" s="109" t="s">
        <v>7165</v>
      </c>
      <c r="C1340" s="113">
        <v>2019</v>
      </c>
      <c r="D1340" s="112">
        <v>21</v>
      </c>
      <c r="E1340" s="112">
        <v>1150.015357</v>
      </c>
      <c r="F1340" s="112">
        <v>643.75923899999998</v>
      </c>
      <c r="G1340" s="112">
        <v>535.99529900000005</v>
      </c>
      <c r="H1340" s="112">
        <v>286.48923300000001</v>
      </c>
      <c r="I1340" s="112" t="s">
        <v>6953</v>
      </c>
      <c r="J1340" s="112" t="s">
        <v>6953</v>
      </c>
      <c r="K1340" s="112" t="s">
        <v>6953</v>
      </c>
      <c r="L1340" s="112">
        <v>51.479940999999997</v>
      </c>
      <c r="M1340" s="112">
        <v>48.690980000000003</v>
      </c>
      <c r="N1340" s="112">
        <v>2.788961</v>
      </c>
      <c r="O1340" s="110"/>
      <c r="P1340" s="110"/>
      <c r="Q1340" s="110"/>
    </row>
    <row r="1341" spans="1:17" s="117" customFormat="1" ht="17.5" customHeight="1">
      <c r="A1341" s="114" t="s">
        <v>7164</v>
      </c>
      <c r="B1341" s="114" t="s">
        <v>7165</v>
      </c>
      <c r="C1341" s="113">
        <v>2020</v>
      </c>
      <c r="D1341" s="112">
        <v>25</v>
      </c>
      <c r="E1341" s="112">
        <v>1033.214158</v>
      </c>
      <c r="F1341" s="112" t="s">
        <v>6953</v>
      </c>
      <c r="G1341" s="112" t="s">
        <v>6953</v>
      </c>
      <c r="H1341" s="112" t="s">
        <v>6953</v>
      </c>
      <c r="I1341" s="112" t="s">
        <v>6953</v>
      </c>
      <c r="J1341" s="112" t="s">
        <v>6953</v>
      </c>
      <c r="K1341" s="112" t="s">
        <v>6953</v>
      </c>
      <c r="L1341" s="112" t="s">
        <v>6953</v>
      </c>
      <c r="M1341" s="112" t="s">
        <v>6953</v>
      </c>
      <c r="N1341" s="112" t="s">
        <v>6953</v>
      </c>
      <c r="O1341" s="100"/>
      <c r="P1341" s="100"/>
      <c r="Q1341" s="100"/>
    </row>
    <row r="1342" spans="1:17" s="117" customFormat="1" ht="17.5" customHeight="1">
      <c r="A1342" s="109" t="s">
        <v>7166</v>
      </c>
      <c r="B1342" s="109" t="s">
        <v>7167</v>
      </c>
      <c r="C1342" s="98">
        <v>2008</v>
      </c>
      <c r="D1342" s="99">
        <v>77</v>
      </c>
      <c r="E1342" s="99">
        <v>1583</v>
      </c>
      <c r="F1342" s="99">
        <v>411</v>
      </c>
      <c r="G1342" s="99">
        <v>1247</v>
      </c>
      <c r="H1342" s="99">
        <v>217</v>
      </c>
      <c r="I1342" s="99" t="s">
        <v>6953</v>
      </c>
      <c r="J1342" s="99" t="s">
        <v>6953</v>
      </c>
      <c r="K1342" s="99" t="s">
        <v>6953</v>
      </c>
      <c r="L1342" s="99" t="s">
        <v>6953</v>
      </c>
      <c r="M1342" s="99" t="s">
        <v>6953</v>
      </c>
      <c r="N1342" s="99" t="s">
        <v>6953</v>
      </c>
      <c r="O1342" s="100"/>
      <c r="P1342" s="100"/>
      <c r="Q1342" s="100"/>
    </row>
    <row r="1343" spans="1:17" s="117" customFormat="1" ht="17.5" customHeight="1">
      <c r="A1343" s="109" t="s">
        <v>7166</v>
      </c>
      <c r="B1343" s="109" t="s">
        <v>7167</v>
      </c>
      <c r="C1343" s="98">
        <v>2009</v>
      </c>
      <c r="D1343" s="99">
        <v>70</v>
      </c>
      <c r="E1343" s="99">
        <v>1362</v>
      </c>
      <c r="F1343" s="99">
        <v>445</v>
      </c>
      <c r="G1343" s="99">
        <v>837</v>
      </c>
      <c r="H1343" s="99">
        <v>243</v>
      </c>
      <c r="I1343" s="99">
        <v>20</v>
      </c>
      <c r="J1343" s="99">
        <v>23</v>
      </c>
      <c r="K1343" s="99">
        <v>3</v>
      </c>
      <c r="L1343" s="99">
        <v>207</v>
      </c>
      <c r="M1343" s="99">
        <v>292</v>
      </c>
      <c r="N1343" s="99">
        <v>-85</v>
      </c>
      <c r="O1343" s="110"/>
      <c r="P1343" s="110"/>
      <c r="Q1343" s="110"/>
    </row>
    <row r="1344" spans="1:17" s="117" customFormat="1" ht="17.5" customHeight="1">
      <c r="A1344" s="109" t="s">
        <v>7166</v>
      </c>
      <c r="B1344" s="109" t="s">
        <v>7167</v>
      </c>
      <c r="C1344" s="98">
        <v>2010</v>
      </c>
      <c r="D1344" s="99">
        <v>63</v>
      </c>
      <c r="E1344" s="99">
        <v>1163</v>
      </c>
      <c r="F1344" s="99">
        <v>315</v>
      </c>
      <c r="G1344" s="99">
        <v>848</v>
      </c>
      <c r="H1344" s="99">
        <v>153</v>
      </c>
      <c r="I1344" s="99">
        <v>27</v>
      </c>
      <c r="J1344" s="99">
        <v>35</v>
      </c>
      <c r="K1344" s="99">
        <v>8</v>
      </c>
      <c r="L1344" s="99">
        <v>189</v>
      </c>
      <c r="M1344" s="99">
        <v>188</v>
      </c>
      <c r="N1344" s="99">
        <v>1</v>
      </c>
      <c r="O1344" s="110"/>
      <c r="P1344" s="110"/>
      <c r="Q1344" s="110"/>
    </row>
    <row r="1345" spans="1:17" s="117" customFormat="1" ht="17.5" customHeight="1">
      <c r="A1345" s="109" t="s">
        <v>7166</v>
      </c>
      <c r="B1345" s="109" t="s">
        <v>7167</v>
      </c>
      <c r="C1345" s="98">
        <v>2011</v>
      </c>
      <c r="D1345" s="99">
        <v>61</v>
      </c>
      <c r="E1345" s="99">
        <v>1398</v>
      </c>
      <c r="F1345" s="99">
        <v>525</v>
      </c>
      <c r="G1345" s="99">
        <v>946</v>
      </c>
      <c r="H1345" s="99">
        <v>148</v>
      </c>
      <c r="I1345" s="99">
        <v>35</v>
      </c>
      <c r="J1345" s="99">
        <v>37</v>
      </c>
      <c r="K1345" s="99">
        <v>3</v>
      </c>
      <c r="L1345" s="99">
        <v>273</v>
      </c>
      <c r="M1345" s="99">
        <v>199</v>
      </c>
      <c r="N1345" s="99">
        <v>74</v>
      </c>
    </row>
    <row r="1346" spans="1:17" s="117" customFormat="1" ht="17.5" customHeight="1">
      <c r="A1346" s="109" t="s">
        <v>7166</v>
      </c>
      <c r="B1346" s="109" t="s">
        <v>7167</v>
      </c>
      <c r="C1346" s="111">
        <v>2012</v>
      </c>
      <c r="D1346" s="112">
        <v>76</v>
      </c>
      <c r="E1346" s="112">
        <v>1001</v>
      </c>
      <c r="F1346" s="112">
        <v>304</v>
      </c>
      <c r="G1346" s="112">
        <v>755</v>
      </c>
      <c r="H1346" s="112">
        <v>126</v>
      </c>
      <c r="I1346" s="112">
        <v>31</v>
      </c>
      <c r="J1346" s="112">
        <v>34</v>
      </c>
      <c r="K1346" s="112">
        <v>3</v>
      </c>
      <c r="L1346" s="112">
        <v>266</v>
      </c>
      <c r="M1346" s="112">
        <v>207</v>
      </c>
      <c r="N1346" s="112">
        <v>59</v>
      </c>
    </row>
    <row r="1347" spans="1:17" s="117" customFormat="1" ht="17.5" customHeight="1">
      <c r="A1347" s="109" t="s">
        <v>7166</v>
      </c>
      <c r="B1347" s="109" t="s">
        <v>7167</v>
      </c>
      <c r="C1347" s="113">
        <v>2013</v>
      </c>
      <c r="D1347" s="112">
        <v>77</v>
      </c>
      <c r="E1347" s="112">
        <v>773</v>
      </c>
      <c r="F1347" s="112">
        <v>178</v>
      </c>
      <c r="G1347" s="112">
        <v>593</v>
      </c>
      <c r="H1347" s="112">
        <v>107</v>
      </c>
      <c r="I1347" s="112">
        <v>27</v>
      </c>
      <c r="J1347" s="112">
        <v>28</v>
      </c>
      <c r="K1347" s="112">
        <v>1</v>
      </c>
      <c r="L1347" s="112">
        <v>248</v>
      </c>
      <c r="M1347" s="112">
        <v>250</v>
      </c>
      <c r="N1347" s="112">
        <v>-2</v>
      </c>
    </row>
    <row r="1348" spans="1:17" s="117" customFormat="1" ht="17.5" customHeight="1">
      <c r="A1348" s="109" t="s">
        <v>7166</v>
      </c>
      <c r="B1348" s="109" t="s">
        <v>7167</v>
      </c>
      <c r="C1348" s="113">
        <v>2014</v>
      </c>
      <c r="D1348" s="99">
        <v>70</v>
      </c>
      <c r="E1348" s="99">
        <v>1091</v>
      </c>
      <c r="F1348" s="99">
        <v>258</v>
      </c>
      <c r="G1348" s="99">
        <v>800</v>
      </c>
      <c r="H1348" s="99">
        <v>157</v>
      </c>
      <c r="I1348" s="99">
        <v>30</v>
      </c>
      <c r="J1348" s="99">
        <v>38</v>
      </c>
      <c r="K1348" s="99">
        <v>8</v>
      </c>
      <c r="L1348" s="99">
        <v>239</v>
      </c>
      <c r="M1348" s="99">
        <v>271</v>
      </c>
      <c r="N1348" s="99">
        <v>-32</v>
      </c>
    </row>
    <row r="1349" spans="1:17" s="117" customFormat="1" ht="17.5" customHeight="1">
      <c r="A1349" s="109" t="s">
        <v>7166</v>
      </c>
      <c r="B1349" s="109" t="s">
        <v>7167</v>
      </c>
      <c r="C1349" s="113">
        <v>2015</v>
      </c>
      <c r="D1349" s="112">
        <v>74</v>
      </c>
      <c r="E1349" s="112">
        <v>1104</v>
      </c>
      <c r="F1349" s="112">
        <v>221</v>
      </c>
      <c r="G1349" s="112">
        <v>829</v>
      </c>
      <c r="H1349" s="112">
        <v>193</v>
      </c>
      <c r="I1349" s="112">
        <v>36</v>
      </c>
      <c r="J1349" s="112">
        <v>36</v>
      </c>
      <c r="K1349" s="112">
        <v>1</v>
      </c>
      <c r="L1349" s="112">
        <v>238</v>
      </c>
      <c r="M1349" s="112">
        <v>292</v>
      </c>
      <c r="N1349" s="112">
        <v>-53</v>
      </c>
      <c r="O1349" s="110"/>
      <c r="P1349" s="110"/>
      <c r="Q1349" s="110"/>
    </row>
    <row r="1350" spans="1:17" s="117" customFormat="1" ht="17.5" customHeight="1">
      <c r="A1350" s="109" t="s">
        <v>7166</v>
      </c>
      <c r="B1350" s="109" t="s">
        <v>7167</v>
      </c>
      <c r="C1350" s="113">
        <v>2016</v>
      </c>
      <c r="D1350" s="112">
        <v>72</v>
      </c>
      <c r="E1350" s="112">
        <v>1047</v>
      </c>
      <c r="F1350" s="112">
        <v>280</v>
      </c>
      <c r="G1350" s="112">
        <v>755</v>
      </c>
      <c r="H1350" s="112">
        <v>146</v>
      </c>
      <c r="I1350" s="112">
        <v>21</v>
      </c>
      <c r="J1350" s="112">
        <v>24</v>
      </c>
      <c r="K1350" s="112">
        <v>3</v>
      </c>
      <c r="L1350" s="112">
        <v>197</v>
      </c>
      <c r="M1350" s="112">
        <v>208</v>
      </c>
      <c r="N1350" s="112">
        <v>-12</v>
      </c>
      <c r="O1350" s="110"/>
      <c r="P1350" s="110"/>
      <c r="Q1350" s="110"/>
    </row>
    <row r="1351" spans="1:17" s="117" customFormat="1" ht="17.5" customHeight="1">
      <c r="A1351" s="109" t="s">
        <v>7166</v>
      </c>
      <c r="B1351" s="109" t="s">
        <v>7167</v>
      </c>
      <c r="C1351" s="113">
        <v>2017</v>
      </c>
      <c r="D1351" s="112">
        <v>71</v>
      </c>
      <c r="E1351" s="112">
        <v>1189</v>
      </c>
      <c r="F1351" s="112">
        <v>310</v>
      </c>
      <c r="G1351" s="112">
        <v>879</v>
      </c>
      <c r="H1351" s="112">
        <v>154</v>
      </c>
      <c r="I1351" s="112">
        <v>24</v>
      </c>
      <c r="J1351" s="112">
        <v>25</v>
      </c>
      <c r="K1351" s="112">
        <v>1</v>
      </c>
      <c r="L1351" s="112">
        <v>199</v>
      </c>
      <c r="M1351" s="112">
        <v>198</v>
      </c>
      <c r="N1351" s="112">
        <v>1</v>
      </c>
      <c r="O1351" s="100"/>
      <c r="P1351" s="100"/>
      <c r="Q1351" s="100"/>
    </row>
    <row r="1352" spans="1:17" s="117" customFormat="1" ht="17.5" customHeight="1">
      <c r="A1352" s="109" t="s">
        <v>7166</v>
      </c>
      <c r="B1352" s="109" t="s">
        <v>7167</v>
      </c>
      <c r="C1352" s="113">
        <v>2018</v>
      </c>
      <c r="D1352" s="112">
        <v>75</v>
      </c>
      <c r="E1352" s="112">
        <v>1268</v>
      </c>
      <c r="F1352" s="112">
        <v>395</v>
      </c>
      <c r="G1352" s="112">
        <v>874</v>
      </c>
      <c r="H1352" s="112">
        <v>174</v>
      </c>
      <c r="I1352" s="112">
        <v>28</v>
      </c>
      <c r="J1352" s="112">
        <v>29</v>
      </c>
      <c r="K1352" s="112" t="s">
        <v>6952</v>
      </c>
      <c r="L1352" s="112">
        <v>223</v>
      </c>
      <c r="M1352" s="112">
        <v>222</v>
      </c>
      <c r="N1352" s="112">
        <v>1</v>
      </c>
      <c r="O1352" s="110"/>
      <c r="P1352" s="110"/>
      <c r="Q1352" s="110"/>
    </row>
    <row r="1353" spans="1:17" s="117" customFormat="1" ht="17.5" customHeight="1">
      <c r="A1353" s="109" t="s">
        <v>7166</v>
      </c>
      <c r="B1353" s="109" t="s">
        <v>7167</v>
      </c>
      <c r="C1353" s="113">
        <v>2019</v>
      </c>
      <c r="D1353" s="112">
        <v>78</v>
      </c>
      <c r="E1353" s="112">
        <v>1208.1849400000001</v>
      </c>
      <c r="F1353" s="112">
        <v>267.14352600000001</v>
      </c>
      <c r="G1353" s="112">
        <v>906.82138299999997</v>
      </c>
      <c r="H1353" s="112">
        <v>164.15728799999999</v>
      </c>
      <c r="I1353" s="112">
        <v>19.737553999999999</v>
      </c>
      <c r="J1353" s="112">
        <v>21.433623999999998</v>
      </c>
      <c r="K1353" s="112">
        <v>1.69607</v>
      </c>
      <c r="L1353" s="112">
        <v>208.24824899999999</v>
      </c>
      <c r="M1353" s="112">
        <v>241.560125</v>
      </c>
      <c r="N1353" s="112">
        <v>-33.311875999999998</v>
      </c>
      <c r="O1353" s="100"/>
      <c r="P1353" s="100"/>
      <c r="Q1353" s="100"/>
    </row>
    <row r="1354" spans="1:17" s="117" customFormat="1" ht="17.5" customHeight="1">
      <c r="A1354" s="114" t="s">
        <v>7166</v>
      </c>
      <c r="B1354" s="114" t="s">
        <v>7167</v>
      </c>
      <c r="C1354" s="113">
        <v>2020</v>
      </c>
      <c r="D1354" s="112">
        <v>73</v>
      </c>
      <c r="E1354" s="112">
        <v>1276.2393030000001</v>
      </c>
      <c r="F1354" s="112">
        <v>403.10173500000002</v>
      </c>
      <c r="G1354" s="112">
        <v>914.32386399999996</v>
      </c>
      <c r="H1354" s="112">
        <v>170.93409299999999</v>
      </c>
      <c r="I1354" s="112">
        <v>23.673798999999999</v>
      </c>
      <c r="J1354" s="112">
        <v>24.306062000000001</v>
      </c>
      <c r="K1354" s="112">
        <v>0.63226300000000002</v>
      </c>
      <c r="L1354" s="112">
        <v>257.51330400000001</v>
      </c>
      <c r="M1354" s="112">
        <v>216.261258</v>
      </c>
      <c r="N1354" s="112">
        <v>41.252046</v>
      </c>
      <c r="O1354" s="100"/>
      <c r="P1354" s="100"/>
      <c r="Q1354" s="100"/>
    </row>
    <row r="1355" spans="1:17" s="117" customFormat="1" ht="17.5" customHeight="1">
      <c r="A1355" s="109" t="s">
        <v>7168</v>
      </c>
      <c r="B1355" s="109" t="s">
        <v>7169</v>
      </c>
      <c r="C1355" s="98">
        <v>2008</v>
      </c>
      <c r="D1355" s="99">
        <v>129</v>
      </c>
      <c r="E1355" s="99">
        <v>2030</v>
      </c>
      <c r="F1355" s="99">
        <v>790</v>
      </c>
      <c r="G1355" s="99">
        <v>1255</v>
      </c>
      <c r="H1355" s="99">
        <v>246</v>
      </c>
      <c r="I1355" s="99">
        <v>247</v>
      </c>
      <c r="J1355" s="99">
        <v>252</v>
      </c>
      <c r="K1355" s="99">
        <v>5</v>
      </c>
      <c r="L1355" s="99">
        <v>180</v>
      </c>
      <c r="M1355" s="99">
        <v>164</v>
      </c>
      <c r="N1355" s="99">
        <v>16</v>
      </c>
      <c r="O1355" s="110"/>
      <c r="P1355" s="110"/>
      <c r="Q1355" s="110"/>
    </row>
    <row r="1356" spans="1:17" s="117" customFormat="1" ht="17.5" customHeight="1">
      <c r="A1356" s="109" t="s">
        <v>7168</v>
      </c>
      <c r="B1356" s="109" t="s">
        <v>7169</v>
      </c>
      <c r="C1356" s="98">
        <v>2009</v>
      </c>
      <c r="D1356" s="99">
        <v>109</v>
      </c>
      <c r="E1356" s="99">
        <v>1861</v>
      </c>
      <c r="F1356" s="99">
        <v>779</v>
      </c>
      <c r="G1356" s="99">
        <v>1056</v>
      </c>
      <c r="H1356" s="99">
        <v>206</v>
      </c>
      <c r="I1356" s="99">
        <v>61</v>
      </c>
      <c r="J1356" s="99">
        <v>64</v>
      </c>
      <c r="K1356" s="99">
        <v>3</v>
      </c>
      <c r="L1356" s="99">
        <v>127</v>
      </c>
      <c r="M1356" s="99">
        <v>152</v>
      </c>
      <c r="N1356" s="99">
        <v>-25</v>
      </c>
      <c r="O1356" s="110"/>
      <c r="P1356" s="110"/>
      <c r="Q1356" s="110"/>
    </row>
    <row r="1357" spans="1:17" s="117" customFormat="1" ht="17.5" customHeight="1">
      <c r="A1357" s="109" t="s">
        <v>7168</v>
      </c>
      <c r="B1357" s="109" t="s">
        <v>7169</v>
      </c>
      <c r="C1357" s="98">
        <v>2010</v>
      </c>
      <c r="D1357" s="99">
        <v>109</v>
      </c>
      <c r="E1357" s="99">
        <v>2030</v>
      </c>
      <c r="F1357" s="99">
        <v>890</v>
      </c>
      <c r="G1357" s="99">
        <v>1174</v>
      </c>
      <c r="H1357" s="99">
        <v>207</v>
      </c>
      <c r="I1357" s="99">
        <v>78</v>
      </c>
      <c r="J1357" s="99">
        <v>79</v>
      </c>
      <c r="K1357" s="99" t="s">
        <v>6952</v>
      </c>
      <c r="L1357" s="99">
        <v>180</v>
      </c>
      <c r="M1357" s="99">
        <v>141</v>
      </c>
      <c r="N1357" s="99">
        <v>38</v>
      </c>
    </row>
    <row r="1358" spans="1:17" s="117" customFormat="1" ht="17.5" customHeight="1">
      <c r="A1358" s="109" t="s">
        <v>7168</v>
      </c>
      <c r="B1358" s="109" t="s">
        <v>7169</v>
      </c>
      <c r="C1358" s="98">
        <v>2011</v>
      </c>
      <c r="D1358" s="99">
        <v>100</v>
      </c>
      <c r="E1358" s="99">
        <v>2051</v>
      </c>
      <c r="F1358" s="99">
        <v>889</v>
      </c>
      <c r="G1358" s="99">
        <v>1208</v>
      </c>
      <c r="H1358" s="99">
        <v>252</v>
      </c>
      <c r="I1358" s="99">
        <v>77</v>
      </c>
      <c r="J1358" s="99">
        <v>78</v>
      </c>
      <c r="K1358" s="99">
        <v>1</v>
      </c>
      <c r="L1358" s="99">
        <v>210</v>
      </c>
      <c r="M1358" s="99">
        <v>159</v>
      </c>
      <c r="N1358" s="99">
        <v>52</v>
      </c>
    </row>
    <row r="1359" spans="1:17" s="117" customFormat="1" ht="17.5" customHeight="1">
      <c r="A1359" s="109" t="s">
        <v>7168</v>
      </c>
      <c r="B1359" s="109" t="s">
        <v>7169</v>
      </c>
      <c r="C1359" s="111">
        <v>2012</v>
      </c>
      <c r="D1359" s="112">
        <v>108</v>
      </c>
      <c r="E1359" s="112">
        <v>1925</v>
      </c>
      <c r="F1359" s="112">
        <v>877</v>
      </c>
      <c r="G1359" s="112">
        <v>1041</v>
      </c>
      <c r="H1359" s="112">
        <v>246</v>
      </c>
      <c r="I1359" s="112">
        <v>166</v>
      </c>
      <c r="J1359" s="112">
        <v>166</v>
      </c>
      <c r="K1359" s="112">
        <v>1</v>
      </c>
      <c r="L1359" s="112">
        <v>191</v>
      </c>
      <c r="M1359" s="112">
        <v>203</v>
      </c>
      <c r="N1359" s="112">
        <v>-13</v>
      </c>
    </row>
    <row r="1360" spans="1:17" s="117" customFormat="1" ht="17.5" customHeight="1">
      <c r="A1360" s="109" t="s">
        <v>7168</v>
      </c>
      <c r="B1360" s="109" t="s">
        <v>7169</v>
      </c>
      <c r="C1360" s="113">
        <v>2013</v>
      </c>
      <c r="D1360" s="112">
        <v>104</v>
      </c>
      <c r="E1360" s="112">
        <v>2050</v>
      </c>
      <c r="F1360" s="112">
        <v>793</v>
      </c>
      <c r="G1360" s="112">
        <v>1287</v>
      </c>
      <c r="H1360" s="112">
        <v>275</v>
      </c>
      <c r="I1360" s="112">
        <v>-30</v>
      </c>
      <c r="J1360" s="99" t="s">
        <v>6953</v>
      </c>
      <c r="K1360" s="99" t="s">
        <v>6953</v>
      </c>
      <c r="L1360" s="112">
        <v>212</v>
      </c>
      <c r="M1360" s="112">
        <v>173</v>
      </c>
      <c r="N1360" s="112">
        <v>39</v>
      </c>
    </row>
    <row r="1361" spans="1:17" s="117" customFormat="1" ht="17.5" customHeight="1">
      <c r="A1361" s="109" t="s">
        <v>7168</v>
      </c>
      <c r="B1361" s="109" t="s">
        <v>7169</v>
      </c>
      <c r="C1361" s="113">
        <v>2014</v>
      </c>
      <c r="D1361" s="99">
        <v>98</v>
      </c>
      <c r="E1361" s="99">
        <v>1947</v>
      </c>
      <c r="F1361" s="99">
        <v>808</v>
      </c>
      <c r="G1361" s="99">
        <v>1173</v>
      </c>
      <c r="H1361" s="99">
        <v>266</v>
      </c>
      <c r="I1361" s="99">
        <v>105</v>
      </c>
      <c r="J1361" s="99" t="s">
        <v>6953</v>
      </c>
      <c r="K1361" s="99" t="s">
        <v>6953</v>
      </c>
      <c r="L1361" s="99">
        <v>251</v>
      </c>
      <c r="M1361" s="99">
        <v>216</v>
      </c>
      <c r="N1361" s="99">
        <v>35</v>
      </c>
      <c r="O1361" s="110"/>
      <c r="P1361" s="110"/>
      <c r="Q1361" s="110"/>
    </row>
    <row r="1362" spans="1:17" s="117" customFormat="1" ht="17.5" customHeight="1">
      <c r="A1362" s="109" t="s">
        <v>7168</v>
      </c>
      <c r="B1362" s="109" t="s">
        <v>7169</v>
      </c>
      <c r="C1362" s="113">
        <v>2015</v>
      </c>
      <c r="D1362" s="112">
        <v>98</v>
      </c>
      <c r="E1362" s="112">
        <v>2053</v>
      </c>
      <c r="F1362" s="112">
        <v>792</v>
      </c>
      <c r="G1362" s="112">
        <v>1262</v>
      </c>
      <c r="H1362" s="112">
        <v>265</v>
      </c>
      <c r="I1362" s="112">
        <v>144</v>
      </c>
      <c r="J1362" s="112">
        <v>145</v>
      </c>
      <c r="K1362" s="112" t="s">
        <v>6952</v>
      </c>
      <c r="L1362" s="112">
        <v>300</v>
      </c>
      <c r="M1362" s="112">
        <v>300</v>
      </c>
      <c r="N1362" s="112">
        <v>1</v>
      </c>
      <c r="O1362" s="110"/>
      <c r="P1362" s="110"/>
      <c r="Q1362" s="110"/>
    </row>
    <row r="1363" spans="1:17" s="117" customFormat="1" ht="17.5" customHeight="1">
      <c r="A1363" s="109" t="s">
        <v>7168</v>
      </c>
      <c r="B1363" s="109" t="s">
        <v>7169</v>
      </c>
      <c r="C1363" s="113">
        <v>2016</v>
      </c>
      <c r="D1363" s="112">
        <v>105</v>
      </c>
      <c r="E1363" s="112">
        <v>2133</v>
      </c>
      <c r="F1363" s="112">
        <v>697</v>
      </c>
      <c r="G1363" s="112">
        <v>1458</v>
      </c>
      <c r="H1363" s="112">
        <v>263</v>
      </c>
      <c r="I1363" s="112">
        <v>165</v>
      </c>
      <c r="J1363" s="112">
        <v>165</v>
      </c>
      <c r="K1363" s="112" t="s">
        <v>6952</v>
      </c>
      <c r="L1363" s="112">
        <v>294</v>
      </c>
      <c r="M1363" s="112">
        <v>272</v>
      </c>
      <c r="N1363" s="112">
        <v>22</v>
      </c>
      <c r="O1363" s="100"/>
      <c r="P1363" s="100"/>
      <c r="Q1363" s="100"/>
    </row>
    <row r="1364" spans="1:17" s="117" customFormat="1" ht="17.5" customHeight="1">
      <c r="A1364" s="109" t="s">
        <v>7168</v>
      </c>
      <c r="B1364" s="109" t="s">
        <v>7169</v>
      </c>
      <c r="C1364" s="113">
        <v>2017</v>
      </c>
      <c r="D1364" s="112">
        <v>102</v>
      </c>
      <c r="E1364" s="112">
        <v>2159</v>
      </c>
      <c r="F1364" s="112">
        <v>803</v>
      </c>
      <c r="G1364" s="112">
        <v>1301</v>
      </c>
      <c r="H1364" s="112">
        <v>280</v>
      </c>
      <c r="I1364" s="112">
        <v>156</v>
      </c>
      <c r="J1364" s="112">
        <v>179</v>
      </c>
      <c r="K1364" s="112">
        <v>23</v>
      </c>
      <c r="L1364" s="112">
        <v>221</v>
      </c>
      <c r="M1364" s="112">
        <v>286</v>
      </c>
      <c r="N1364" s="112">
        <v>-65</v>
      </c>
      <c r="O1364" s="110"/>
      <c r="P1364" s="110"/>
      <c r="Q1364" s="110"/>
    </row>
    <row r="1365" spans="1:17" s="117" customFormat="1" ht="17.5" customHeight="1">
      <c r="A1365" s="109" t="s">
        <v>7168</v>
      </c>
      <c r="B1365" s="109" t="s">
        <v>7169</v>
      </c>
      <c r="C1365" s="113">
        <v>2018</v>
      </c>
      <c r="D1365" s="112">
        <v>96</v>
      </c>
      <c r="E1365" s="112">
        <v>2261</v>
      </c>
      <c r="F1365" s="112">
        <v>905</v>
      </c>
      <c r="G1365" s="112">
        <v>1292</v>
      </c>
      <c r="H1365" s="112">
        <v>297</v>
      </c>
      <c r="I1365" s="112">
        <v>144</v>
      </c>
      <c r="J1365" s="99" t="s">
        <v>6953</v>
      </c>
      <c r="K1365" s="99" t="s">
        <v>6953</v>
      </c>
      <c r="L1365" s="112">
        <v>159</v>
      </c>
      <c r="M1365" s="112">
        <v>236</v>
      </c>
      <c r="N1365" s="112">
        <v>-78</v>
      </c>
      <c r="O1365" s="100"/>
      <c r="P1365" s="100"/>
      <c r="Q1365" s="100"/>
    </row>
    <row r="1366" spans="1:17" s="117" customFormat="1" ht="17.5" customHeight="1">
      <c r="A1366" s="109" t="s">
        <v>7168</v>
      </c>
      <c r="B1366" s="109" t="s">
        <v>7169</v>
      </c>
      <c r="C1366" s="113">
        <v>2019</v>
      </c>
      <c r="D1366" s="112">
        <v>106</v>
      </c>
      <c r="E1366" s="112">
        <v>2272.0590480000001</v>
      </c>
      <c r="F1366" s="112">
        <v>992.08110499999998</v>
      </c>
      <c r="G1366" s="112">
        <v>1303.2531019999999</v>
      </c>
      <c r="H1366" s="112">
        <v>337.931828</v>
      </c>
      <c r="I1366" s="112">
        <v>184.001071</v>
      </c>
      <c r="J1366" s="112">
        <v>184.169028</v>
      </c>
      <c r="K1366" s="112" t="s">
        <v>6952</v>
      </c>
      <c r="L1366" s="112">
        <v>181.266189</v>
      </c>
      <c r="M1366" s="112">
        <v>167.753266</v>
      </c>
      <c r="N1366" s="112">
        <v>13.512924</v>
      </c>
      <c r="O1366" s="100"/>
      <c r="P1366" s="100"/>
      <c r="Q1366" s="100"/>
    </row>
    <row r="1367" spans="1:17" s="117" customFormat="1" ht="17.5" customHeight="1">
      <c r="A1367" s="114" t="s">
        <v>7168</v>
      </c>
      <c r="B1367" s="114" t="s">
        <v>7169</v>
      </c>
      <c r="C1367" s="113">
        <v>2020</v>
      </c>
      <c r="D1367" s="112">
        <v>100</v>
      </c>
      <c r="E1367" s="112">
        <v>2174.6908319999998</v>
      </c>
      <c r="F1367" s="112">
        <v>963.92262900000003</v>
      </c>
      <c r="G1367" s="112">
        <v>1227.927426</v>
      </c>
      <c r="H1367" s="112">
        <v>313.25923299999999</v>
      </c>
      <c r="I1367" s="112">
        <v>200.72586999999999</v>
      </c>
      <c r="J1367" s="112">
        <v>201.11426800000001</v>
      </c>
      <c r="K1367" s="112" t="s">
        <v>6952</v>
      </c>
      <c r="L1367" s="112">
        <v>157.24161799999999</v>
      </c>
      <c r="M1367" s="112">
        <v>157.748242</v>
      </c>
      <c r="N1367" s="112">
        <v>-0.50662499999999999</v>
      </c>
      <c r="O1367" s="110"/>
      <c r="P1367" s="110"/>
      <c r="Q1367" s="110"/>
    </row>
    <row r="1368" spans="1:17" s="117" customFormat="1" ht="17.5" customHeight="1">
      <c r="A1368" s="109" t="s">
        <v>7170</v>
      </c>
      <c r="B1368" s="109" t="s">
        <v>7171</v>
      </c>
      <c r="C1368" s="98">
        <v>2008</v>
      </c>
      <c r="D1368" s="99">
        <v>149</v>
      </c>
      <c r="E1368" s="99">
        <v>14581</v>
      </c>
      <c r="F1368" s="99">
        <v>1910</v>
      </c>
      <c r="G1368" s="99">
        <v>12516</v>
      </c>
      <c r="H1368" s="99">
        <v>539</v>
      </c>
      <c r="I1368" s="99">
        <v>280</v>
      </c>
      <c r="J1368" s="99">
        <v>318</v>
      </c>
      <c r="K1368" s="99">
        <v>38</v>
      </c>
      <c r="L1368" s="99">
        <v>750</v>
      </c>
      <c r="M1368" s="99">
        <v>895</v>
      </c>
      <c r="N1368" s="99">
        <v>-145</v>
      </c>
      <c r="O1368" s="110"/>
      <c r="P1368" s="110"/>
      <c r="Q1368" s="110"/>
    </row>
    <row r="1369" spans="1:17" s="117" customFormat="1" ht="17.5" customHeight="1">
      <c r="A1369" s="109" t="s">
        <v>7170</v>
      </c>
      <c r="B1369" s="109" t="s">
        <v>7171</v>
      </c>
      <c r="C1369" s="98">
        <v>2009</v>
      </c>
      <c r="D1369" s="99">
        <v>146</v>
      </c>
      <c r="E1369" s="99">
        <v>9076</v>
      </c>
      <c r="F1369" s="99">
        <v>1999</v>
      </c>
      <c r="G1369" s="99">
        <v>7015</v>
      </c>
      <c r="H1369" s="99">
        <v>606</v>
      </c>
      <c r="I1369" s="99">
        <v>147</v>
      </c>
      <c r="J1369" s="99">
        <v>150</v>
      </c>
      <c r="K1369" s="99">
        <v>4</v>
      </c>
      <c r="L1369" s="99">
        <v>684</v>
      </c>
      <c r="M1369" s="99">
        <v>736</v>
      </c>
      <c r="N1369" s="99">
        <v>-52</v>
      </c>
    </row>
    <row r="1370" spans="1:17" s="117" customFormat="1" ht="17.5" customHeight="1">
      <c r="A1370" s="109" t="s">
        <v>7170</v>
      </c>
      <c r="B1370" s="109" t="s">
        <v>7171</v>
      </c>
      <c r="C1370" s="98">
        <v>2010</v>
      </c>
      <c r="D1370" s="99">
        <v>132</v>
      </c>
      <c r="E1370" s="99">
        <v>9131</v>
      </c>
      <c r="F1370" s="99">
        <v>2026</v>
      </c>
      <c r="G1370" s="99">
        <v>7169</v>
      </c>
      <c r="H1370" s="99">
        <v>494</v>
      </c>
      <c r="I1370" s="99">
        <v>174</v>
      </c>
      <c r="J1370" s="99">
        <v>176</v>
      </c>
      <c r="K1370" s="99">
        <v>2</v>
      </c>
      <c r="L1370" s="99">
        <v>695</v>
      </c>
      <c r="M1370" s="99">
        <v>629</v>
      </c>
      <c r="N1370" s="99">
        <v>66</v>
      </c>
    </row>
    <row r="1371" spans="1:17" s="117" customFormat="1" ht="17.5" customHeight="1">
      <c r="A1371" s="109" t="s">
        <v>7170</v>
      </c>
      <c r="B1371" s="109" t="s">
        <v>7171</v>
      </c>
      <c r="C1371" s="98">
        <v>2011</v>
      </c>
      <c r="D1371" s="99">
        <v>115</v>
      </c>
      <c r="E1371" s="99">
        <v>10309</v>
      </c>
      <c r="F1371" s="99">
        <v>557</v>
      </c>
      <c r="G1371" s="99">
        <v>9748</v>
      </c>
      <c r="H1371" s="99">
        <v>537</v>
      </c>
      <c r="I1371" s="99">
        <v>187</v>
      </c>
      <c r="J1371" s="99">
        <v>266</v>
      </c>
      <c r="K1371" s="99">
        <v>79</v>
      </c>
      <c r="L1371" s="99">
        <v>756</v>
      </c>
      <c r="M1371" s="99">
        <v>757</v>
      </c>
      <c r="N1371" s="99" t="s">
        <v>6952</v>
      </c>
    </row>
    <row r="1372" spans="1:17" s="117" customFormat="1" ht="17.5" customHeight="1">
      <c r="A1372" s="109" t="s">
        <v>7170</v>
      </c>
      <c r="B1372" s="109" t="s">
        <v>7171</v>
      </c>
      <c r="C1372" s="111">
        <v>2012</v>
      </c>
      <c r="D1372" s="112">
        <v>130</v>
      </c>
      <c r="E1372" s="112">
        <v>4701</v>
      </c>
      <c r="F1372" s="112">
        <v>864</v>
      </c>
      <c r="G1372" s="112">
        <v>3880</v>
      </c>
      <c r="H1372" s="112">
        <v>567</v>
      </c>
      <c r="I1372" s="112">
        <v>233</v>
      </c>
      <c r="J1372" s="112">
        <v>285</v>
      </c>
      <c r="K1372" s="112">
        <v>52</v>
      </c>
      <c r="L1372" s="112">
        <v>503</v>
      </c>
      <c r="M1372" s="112">
        <v>455</v>
      </c>
      <c r="N1372" s="112">
        <v>48</v>
      </c>
    </row>
    <row r="1373" spans="1:17" s="117" customFormat="1" ht="17.5" customHeight="1">
      <c r="A1373" s="109" t="s">
        <v>7170</v>
      </c>
      <c r="B1373" s="109" t="s">
        <v>7171</v>
      </c>
      <c r="C1373" s="113">
        <v>2013</v>
      </c>
      <c r="D1373" s="112">
        <v>133</v>
      </c>
      <c r="E1373" s="112">
        <v>4854</v>
      </c>
      <c r="F1373" s="112">
        <v>865</v>
      </c>
      <c r="G1373" s="112">
        <v>4022</v>
      </c>
      <c r="H1373" s="112">
        <v>622</v>
      </c>
      <c r="I1373" s="112">
        <v>276</v>
      </c>
      <c r="J1373" s="112">
        <v>288</v>
      </c>
      <c r="K1373" s="112">
        <v>12</v>
      </c>
      <c r="L1373" s="112">
        <v>636</v>
      </c>
      <c r="M1373" s="112">
        <v>595</v>
      </c>
      <c r="N1373" s="112">
        <v>41</v>
      </c>
      <c r="O1373" s="110"/>
      <c r="P1373" s="110"/>
      <c r="Q1373" s="110"/>
    </row>
    <row r="1374" spans="1:17" s="117" customFormat="1" ht="17.5" customHeight="1">
      <c r="A1374" s="109" t="s">
        <v>7170</v>
      </c>
      <c r="B1374" s="109" t="s">
        <v>7171</v>
      </c>
      <c r="C1374" s="113">
        <v>2014</v>
      </c>
      <c r="D1374" s="99">
        <v>128</v>
      </c>
      <c r="E1374" s="99">
        <v>2908</v>
      </c>
      <c r="F1374" s="99">
        <v>540</v>
      </c>
      <c r="G1374" s="99">
        <v>2441</v>
      </c>
      <c r="H1374" s="99">
        <v>443</v>
      </c>
      <c r="I1374" s="99">
        <v>247</v>
      </c>
      <c r="J1374" s="99">
        <v>249</v>
      </c>
      <c r="K1374" s="99">
        <v>2</v>
      </c>
      <c r="L1374" s="99">
        <v>374</v>
      </c>
      <c r="M1374" s="99">
        <v>370</v>
      </c>
      <c r="N1374" s="99">
        <v>4</v>
      </c>
      <c r="O1374" s="110"/>
      <c r="P1374" s="110"/>
      <c r="Q1374" s="110"/>
    </row>
    <row r="1375" spans="1:17" s="117" customFormat="1" ht="17.5" customHeight="1">
      <c r="A1375" s="109" t="s">
        <v>7170</v>
      </c>
      <c r="B1375" s="109" t="s">
        <v>7171</v>
      </c>
      <c r="C1375" s="113">
        <v>2015</v>
      </c>
      <c r="D1375" s="112">
        <v>118</v>
      </c>
      <c r="E1375" s="112">
        <v>2976</v>
      </c>
      <c r="F1375" s="112">
        <v>703</v>
      </c>
      <c r="G1375" s="112">
        <v>2256</v>
      </c>
      <c r="H1375" s="112">
        <v>419</v>
      </c>
      <c r="I1375" s="112">
        <v>144</v>
      </c>
      <c r="J1375" s="112">
        <v>151</v>
      </c>
      <c r="K1375" s="112">
        <v>6</v>
      </c>
      <c r="L1375" s="112">
        <v>378</v>
      </c>
      <c r="M1375" s="112">
        <v>403</v>
      </c>
      <c r="N1375" s="112">
        <v>-25</v>
      </c>
      <c r="O1375" s="100"/>
      <c r="P1375" s="100"/>
      <c r="Q1375" s="100"/>
    </row>
    <row r="1376" spans="1:17" s="117" customFormat="1" ht="17.5" customHeight="1">
      <c r="A1376" s="109" t="s">
        <v>7170</v>
      </c>
      <c r="B1376" s="109" t="s">
        <v>7171</v>
      </c>
      <c r="C1376" s="113">
        <v>2016</v>
      </c>
      <c r="D1376" s="112">
        <v>118</v>
      </c>
      <c r="E1376" s="112">
        <v>3217</v>
      </c>
      <c r="F1376" s="112">
        <v>792</v>
      </c>
      <c r="G1376" s="112">
        <v>2461</v>
      </c>
      <c r="H1376" s="112">
        <v>437</v>
      </c>
      <c r="I1376" s="112">
        <v>241</v>
      </c>
      <c r="J1376" s="112">
        <v>245</v>
      </c>
      <c r="K1376" s="112">
        <v>4</v>
      </c>
      <c r="L1376" s="112">
        <v>400</v>
      </c>
      <c r="M1376" s="112">
        <v>369</v>
      </c>
      <c r="N1376" s="112">
        <v>31</v>
      </c>
      <c r="O1376" s="110"/>
      <c r="P1376" s="110"/>
      <c r="Q1376" s="110"/>
    </row>
    <row r="1377" spans="1:17" s="117" customFormat="1" ht="17.5" customHeight="1">
      <c r="A1377" s="109" t="s">
        <v>7170</v>
      </c>
      <c r="B1377" s="109" t="s">
        <v>7171</v>
      </c>
      <c r="C1377" s="113">
        <v>2017</v>
      </c>
      <c r="D1377" s="112">
        <v>129</v>
      </c>
      <c r="E1377" s="112">
        <v>3782</v>
      </c>
      <c r="F1377" s="112">
        <v>832</v>
      </c>
      <c r="G1377" s="112">
        <v>3015</v>
      </c>
      <c r="H1377" s="112">
        <v>481</v>
      </c>
      <c r="I1377" s="112">
        <v>220</v>
      </c>
      <c r="J1377" s="112">
        <v>220</v>
      </c>
      <c r="K1377" s="112" t="s">
        <v>6952</v>
      </c>
      <c r="L1377" s="112">
        <v>469</v>
      </c>
      <c r="M1377" s="112">
        <v>405</v>
      </c>
      <c r="N1377" s="112">
        <v>64</v>
      </c>
      <c r="O1377" s="100"/>
      <c r="P1377" s="100"/>
      <c r="Q1377" s="100"/>
    </row>
    <row r="1378" spans="1:17" s="117" customFormat="1" ht="17.5" customHeight="1">
      <c r="A1378" s="109" t="s">
        <v>7170</v>
      </c>
      <c r="B1378" s="109" t="s">
        <v>7171</v>
      </c>
      <c r="C1378" s="113">
        <v>2018</v>
      </c>
      <c r="D1378" s="112">
        <v>144</v>
      </c>
      <c r="E1378" s="112">
        <v>3777</v>
      </c>
      <c r="F1378" s="112">
        <v>905</v>
      </c>
      <c r="G1378" s="112">
        <v>2901</v>
      </c>
      <c r="H1378" s="112">
        <v>470</v>
      </c>
      <c r="I1378" s="112">
        <v>133</v>
      </c>
      <c r="J1378" s="112">
        <v>133</v>
      </c>
      <c r="K1378" s="112">
        <v>1</v>
      </c>
      <c r="L1378" s="112">
        <v>479</v>
      </c>
      <c r="M1378" s="112">
        <v>454</v>
      </c>
      <c r="N1378" s="112">
        <v>26</v>
      </c>
      <c r="O1378" s="100"/>
      <c r="P1378" s="100"/>
      <c r="Q1378" s="100"/>
    </row>
    <row r="1379" spans="1:17" s="117" customFormat="1" ht="17.5" customHeight="1">
      <c r="A1379" s="109" t="s">
        <v>7170</v>
      </c>
      <c r="B1379" s="109" t="s">
        <v>7171</v>
      </c>
      <c r="C1379" s="113">
        <v>2019</v>
      </c>
      <c r="D1379" s="112">
        <v>160</v>
      </c>
      <c r="E1379" s="112">
        <v>2669.2227670000002</v>
      </c>
      <c r="F1379" s="112">
        <v>757.24561600000004</v>
      </c>
      <c r="G1379" s="112">
        <v>1898.1722810000001</v>
      </c>
      <c r="H1379" s="112">
        <v>385.88947899999999</v>
      </c>
      <c r="I1379" s="112">
        <v>294.63359500000001</v>
      </c>
      <c r="J1379" s="112">
        <v>294.89657599999998</v>
      </c>
      <c r="K1379" s="112" t="s">
        <v>6952</v>
      </c>
      <c r="L1379" s="112">
        <v>340.23854899999998</v>
      </c>
      <c r="M1379" s="112">
        <v>357.40320000000003</v>
      </c>
      <c r="N1379" s="112">
        <v>-17.164650000000002</v>
      </c>
      <c r="O1379" s="110"/>
      <c r="P1379" s="110"/>
      <c r="Q1379" s="110"/>
    </row>
    <row r="1380" spans="1:17" s="117" customFormat="1" ht="17.5" customHeight="1">
      <c r="A1380" s="114" t="s">
        <v>7170</v>
      </c>
      <c r="B1380" s="114" t="s">
        <v>7171</v>
      </c>
      <c r="C1380" s="113">
        <v>2020</v>
      </c>
      <c r="D1380" s="112">
        <v>165</v>
      </c>
      <c r="E1380" s="112">
        <v>2287.1543150000002</v>
      </c>
      <c r="F1380" s="112">
        <v>498.17587800000001</v>
      </c>
      <c r="G1380" s="112">
        <v>1714.422223</v>
      </c>
      <c r="H1380" s="112">
        <v>385.75526200000002</v>
      </c>
      <c r="I1380" s="112">
        <v>173.23007000000001</v>
      </c>
      <c r="J1380" s="112">
        <v>173.28916000000001</v>
      </c>
      <c r="K1380" s="112" t="s">
        <v>6952</v>
      </c>
      <c r="L1380" s="112">
        <v>272.72703100000001</v>
      </c>
      <c r="M1380" s="112">
        <v>345.89170100000001</v>
      </c>
      <c r="N1380" s="112">
        <v>-73.164670000000001</v>
      </c>
      <c r="O1380" s="110"/>
      <c r="P1380" s="110"/>
      <c r="Q1380" s="110"/>
    </row>
    <row r="1381" spans="1:17" s="117" customFormat="1" ht="17.5" customHeight="1">
      <c r="A1381" s="109" t="s">
        <v>7172</v>
      </c>
      <c r="B1381" s="109" t="s">
        <v>7173</v>
      </c>
      <c r="C1381" s="98">
        <v>2008</v>
      </c>
      <c r="D1381" s="99">
        <v>71</v>
      </c>
      <c r="E1381" s="99">
        <v>2030</v>
      </c>
      <c r="F1381" s="99">
        <v>378</v>
      </c>
      <c r="G1381" s="99">
        <v>1788</v>
      </c>
      <c r="H1381" s="99">
        <v>126</v>
      </c>
      <c r="I1381" s="99">
        <v>44</v>
      </c>
      <c r="J1381" s="99">
        <v>55</v>
      </c>
      <c r="K1381" s="99">
        <v>11</v>
      </c>
      <c r="L1381" s="99">
        <v>324</v>
      </c>
      <c r="M1381" s="99">
        <v>187</v>
      </c>
      <c r="N1381" s="99">
        <v>137</v>
      </c>
    </row>
    <row r="1382" spans="1:17" s="117" customFormat="1" ht="17.5" customHeight="1">
      <c r="A1382" s="109" t="s">
        <v>7172</v>
      </c>
      <c r="B1382" s="109" t="s">
        <v>7173</v>
      </c>
      <c r="C1382" s="98">
        <v>2009</v>
      </c>
      <c r="D1382" s="99">
        <v>66</v>
      </c>
      <c r="E1382" s="99" t="s">
        <v>6953</v>
      </c>
      <c r="F1382" s="99">
        <v>150</v>
      </c>
      <c r="G1382" s="99" t="s">
        <v>6953</v>
      </c>
      <c r="H1382" s="99">
        <v>114</v>
      </c>
      <c r="I1382" s="99">
        <v>37</v>
      </c>
      <c r="J1382" s="99" t="s">
        <v>6953</v>
      </c>
      <c r="K1382" s="99" t="s">
        <v>6953</v>
      </c>
      <c r="L1382" s="99" t="s">
        <v>6953</v>
      </c>
      <c r="M1382" s="99" t="s">
        <v>6953</v>
      </c>
      <c r="N1382" s="99">
        <v>-134</v>
      </c>
    </row>
    <row r="1383" spans="1:17" s="117" customFormat="1" ht="17.5" customHeight="1">
      <c r="A1383" s="109" t="s">
        <v>7172</v>
      </c>
      <c r="B1383" s="109" t="s">
        <v>7173</v>
      </c>
      <c r="C1383" s="98">
        <v>2010</v>
      </c>
      <c r="D1383" s="99">
        <v>61</v>
      </c>
      <c r="E1383" s="99">
        <v>1557</v>
      </c>
      <c r="F1383" s="99">
        <v>374</v>
      </c>
      <c r="G1383" s="99">
        <v>1241</v>
      </c>
      <c r="H1383" s="99">
        <v>108</v>
      </c>
      <c r="I1383" s="99" t="s">
        <v>6953</v>
      </c>
      <c r="J1383" s="99" t="s">
        <v>6953</v>
      </c>
      <c r="K1383" s="99" t="s">
        <v>6953</v>
      </c>
      <c r="L1383" s="99">
        <v>207</v>
      </c>
      <c r="M1383" s="99" t="s">
        <v>6953</v>
      </c>
      <c r="N1383" s="99" t="s">
        <v>6953</v>
      </c>
    </row>
    <row r="1384" spans="1:17" s="117" customFormat="1" ht="17.5" customHeight="1">
      <c r="A1384" s="109" t="s">
        <v>7172</v>
      </c>
      <c r="B1384" s="109" t="s">
        <v>7173</v>
      </c>
      <c r="C1384" s="98">
        <v>2011</v>
      </c>
      <c r="D1384" s="99">
        <v>60</v>
      </c>
      <c r="E1384" s="99" t="s">
        <v>6953</v>
      </c>
      <c r="F1384" s="99" t="s">
        <v>6953</v>
      </c>
      <c r="G1384" s="99" t="s">
        <v>6953</v>
      </c>
      <c r="H1384" s="99">
        <v>108</v>
      </c>
      <c r="I1384" s="99">
        <v>30</v>
      </c>
      <c r="J1384" s="99" t="s">
        <v>6953</v>
      </c>
      <c r="K1384" s="99" t="s">
        <v>6953</v>
      </c>
      <c r="L1384" s="99" t="s">
        <v>6953</v>
      </c>
      <c r="M1384" s="99">
        <v>215</v>
      </c>
      <c r="N1384" s="99" t="s">
        <v>6953</v>
      </c>
    </row>
    <row r="1385" spans="1:17" s="117" customFormat="1" ht="17.5" customHeight="1">
      <c r="A1385" s="109" t="s">
        <v>7172</v>
      </c>
      <c r="B1385" s="109" t="s">
        <v>7173</v>
      </c>
      <c r="C1385" s="111">
        <v>2012</v>
      </c>
      <c r="D1385" s="112">
        <v>59</v>
      </c>
      <c r="E1385" s="112">
        <v>1768</v>
      </c>
      <c r="F1385" s="99" t="s">
        <v>6953</v>
      </c>
      <c r="G1385" s="99" t="s">
        <v>6953</v>
      </c>
      <c r="H1385" s="112">
        <v>112</v>
      </c>
      <c r="I1385" s="99" t="s">
        <v>6953</v>
      </c>
      <c r="J1385" s="99" t="s">
        <v>6953</v>
      </c>
      <c r="K1385" s="99" t="s">
        <v>6953</v>
      </c>
      <c r="L1385" s="112">
        <v>267</v>
      </c>
      <c r="M1385" s="112">
        <v>267</v>
      </c>
      <c r="N1385" s="112" t="s">
        <v>6952</v>
      </c>
      <c r="O1385" s="110"/>
      <c r="P1385" s="110"/>
      <c r="Q1385" s="110"/>
    </row>
    <row r="1386" spans="1:17" s="117" customFormat="1" ht="17.5" customHeight="1">
      <c r="A1386" s="109" t="s">
        <v>7172</v>
      </c>
      <c r="B1386" s="109" t="s">
        <v>7173</v>
      </c>
      <c r="C1386" s="113">
        <v>2013</v>
      </c>
      <c r="D1386" s="112">
        <v>59</v>
      </c>
      <c r="E1386" s="112">
        <v>1669</v>
      </c>
      <c r="F1386" s="112">
        <v>379</v>
      </c>
      <c r="G1386" s="112">
        <v>1257</v>
      </c>
      <c r="H1386" s="112">
        <v>104</v>
      </c>
      <c r="I1386" s="112">
        <v>79</v>
      </c>
      <c r="J1386" s="112">
        <v>80</v>
      </c>
      <c r="K1386" s="112">
        <v>1</v>
      </c>
      <c r="L1386" s="112">
        <v>208</v>
      </c>
      <c r="M1386" s="112">
        <v>241</v>
      </c>
      <c r="N1386" s="112">
        <v>-33</v>
      </c>
      <c r="O1386" s="110"/>
      <c r="P1386" s="110"/>
      <c r="Q1386" s="110"/>
    </row>
    <row r="1387" spans="1:17" s="117" customFormat="1" ht="17.5" customHeight="1">
      <c r="A1387" s="109" t="s">
        <v>7172</v>
      </c>
      <c r="B1387" s="109" t="s">
        <v>7173</v>
      </c>
      <c r="C1387" s="113">
        <v>2014</v>
      </c>
      <c r="D1387" s="99">
        <v>55</v>
      </c>
      <c r="E1387" s="99">
        <v>1713</v>
      </c>
      <c r="F1387" s="99">
        <v>309</v>
      </c>
      <c r="G1387" s="99">
        <v>1428</v>
      </c>
      <c r="H1387" s="99">
        <v>103</v>
      </c>
      <c r="I1387" s="99">
        <v>61</v>
      </c>
      <c r="J1387" s="99">
        <v>65</v>
      </c>
      <c r="K1387" s="99">
        <v>3</v>
      </c>
      <c r="L1387" s="99">
        <v>250</v>
      </c>
      <c r="M1387" s="99">
        <v>227</v>
      </c>
      <c r="N1387" s="99">
        <v>23</v>
      </c>
      <c r="O1387" s="100"/>
      <c r="P1387" s="100"/>
      <c r="Q1387" s="100"/>
    </row>
    <row r="1388" spans="1:17" s="117" customFormat="1" ht="17.5" customHeight="1">
      <c r="A1388" s="109" t="s">
        <v>7172</v>
      </c>
      <c r="B1388" s="109" t="s">
        <v>7173</v>
      </c>
      <c r="C1388" s="113">
        <v>2015</v>
      </c>
      <c r="D1388" s="112">
        <v>60</v>
      </c>
      <c r="E1388" s="112">
        <v>1544</v>
      </c>
      <c r="F1388" s="112">
        <v>160</v>
      </c>
      <c r="G1388" s="112">
        <v>1385</v>
      </c>
      <c r="H1388" s="112">
        <v>120</v>
      </c>
      <c r="I1388" s="112">
        <v>64</v>
      </c>
      <c r="J1388" s="99" t="s">
        <v>6953</v>
      </c>
      <c r="K1388" s="99" t="s">
        <v>6953</v>
      </c>
      <c r="L1388" s="112">
        <v>274</v>
      </c>
      <c r="M1388" s="112">
        <v>271</v>
      </c>
      <c r="N1388" s="112">
        <v>2</v>
      </c>
      <c r="O1388" s="110"/>
      <c r="P1388" s="110"/>
      <c r="Q1388" s="110"/>
    </row>
    <row r="1389" spans="1:17" s="117" customFormat="1" ht="17.5" customHeight="1">
      <c r="A1389" s="109" t="s">
        <v>7172</v>
      </c>
      <c r="B1389" s="109" t="s">
        <v>7173</v>
      </c>
      <c r="C1389" s="113">
        <v>2016</v>
      </c>
      <c r="D1389" s="112">
        <v>61</v>
      </c>
      <c r="E1389" s="112">
        <v>1362</v>
      </c>
      <c r="F1389" s="112">
        <v>22</v>
      </c>
      <c r="G1389" s="112">
        <v>1265</v>
      </c>
      <c r="H1389" s="112">
        <v>101</v>
      </c>
      <c r="I1389" s="112">
        <v>39</v>
      </c>
      <c r="J1389" s="112">
        <v>84</v>
      </c>
      <c r="K1389" s="112">
        <v>45</v>
      </c>
      <c r="L1389" s="112">
        <v>186</v>
      </c>
      <c r="M1389" s="112">
        <v>261</v>
      </c>
      <c r="N1389" s="112">
        <v>-75</v>
      </c>
      <c r="O1389" s="100"/>
      <c r="P1389" s="100"/>
      <c r="Q1389" s="100"/>
    </row>
    <row r="1390" spans="1:17" s="117" customFormat="1" ht="17.5" customHeight="1">
      <c r="A1390" s="109" t="s">
        <v>7172</v>
      </c>
      <c r="B1390" s="109" t="s">
        <v>7173</v>
      </c>
      <c r="C1390" s="113">
        <v>2017</v>
      </c>
      <c r="D1390" s="112">
        <v>64</v>
      </c>
      <c r="E1390" s="112">
        <v>1441</v>
      </c>
      <c r="F1390" s="112">
        <v>219</v>
      </c>
      <c r="G1390" s="112">
        <v>1249</v>
      </c>
      <c r="H1390" s="112">
        <v>103</v>
      </c>
      <c r="I1390" s="112">
        <v>49</v>
      </c>
      <c r="J1390" s="112">
        <v>57</v>
      </c>
      <c r="K1390" s="112">
        <v>8</v>
      </c>
      <c r="L1390" s="112">
        <v>201</v>
      </c>
      <c r="M1390" s="112">
        <v>172</v>
      </c>
      <c r="N1390" s="112">
        <v>29</v>
      </c>
      <c r="O1390" s="100"/>
      <c r="P1390" s="100"/>
      <c r="Q1390" s="100"/>
    </row>
    <row r="1391" spans="1:17" s="117" customFormat="1" ht="17.5" customHeight="1">
      <c r="A1391" s="109" t="s">
        <v>7172</v>
      </c>
      <c r="B1391" s="109" t="s">
        <v>7173</v>
      </c>
      <c r="C1391" s="113">
        <v>2018</v>
      </c>
      <c r="D1391" s="112">
        <v>60</v>
      </c>
      <c r="E1391" s="112">
        <v>1517</v>
      </c>
      <c r="F1391" s="112">
        <v>273</v>
      </c>
      <c r="G1391" s="112">
        <v>1284</v>
      </c>
      <c r="H1391" s="112">
        <v>122</v>
      </c>
      <c r="I1391" s="112">
        <v>90</v>
      </c>
      <c r="J1391" s="112">
        <v>91</v>
      </c>
      <c r="K1391" s="112">
        <v>1</v>
      </c>
      <c r="L1391" s="112">
        <v>244</v>
      </c>
      <c r="M1391" s="112">
        <v>202</v>
      </c>
      <c r="N1391" s="112">
        <v>42</v>
      </c>
      <c r="O1391" s="110"/>
      <c r="P1391" s="110"/>
      <c r="Q1391" s="110"/>
    </row>
    <row r="1392" spans="1:17" s="117" customFormat="1" ht="17.5" customHeight="1">
      <c r="A1392" s="109" t="s">
        <v>7172</v>
      </c>
      <c r="B1392" s="109" t="s">
        <v>7173</v>
      </c>
      <c r="C1392" s="113">
        <v>2019</v>
      </c>
      <c r="D1392" s="112">
        <v>65</v>
      </c>
      <c r="E1392" s="112">
        <v>1593.294742</v>
      </c>
      <c r="F1392" s="112">
        <v>373.84290299999998</v>
      </c>
      <c r="G1392" s="112">
        <v>1245.4456809999999</v>
      </c>
      <c r="H1392" s="112">
        <v>113.000544</v>
      </c>
      <c r="I1392" s="112">
        <v>99.797199000000006</v>
      </c>
      <c r="J1392" s="112">
        <v>105.838634</v>
      </c>
      <c r="K1392" s="112">
        <v>6.0414349999999999</v>
      </c>
      <c r="L1392" s="112">
        <v>285.62866200000002</v>
      </c>
      <c r="M1392" s="112">
        <v>256.65956799999998</v>
      </c>
      <c r="N1392" s="112">
        <v>28.969093999999998</v>
      </c>
      <c r="O1392" s="110"/>
      <c r="P1392" s="110"/>
      <c r="Q1392" s="110"/>
    </row>
    <row r="1393" spans="1:17" s="117" customFormat="1" ht="17.5" customHeight="1">
      <c r="A1393" s="114" t="s">
        <v>7172</v>
      </c>
      <c r="B1393" s="114" t="s">
        <v>7173</v>
      </c>
      <c r="C1393" s="113">
        <v>2020</v>
      </c>
      <c r="D1393" s="112">
        <v>70</v>
      </c>
      <c r="E1393" s="112">
        <v>1524.2581339999999</v>
      </c>
      <c r="F1393" s="112">
        <v>309.80787700000002</v>
      </c>
      <c r="G1393" s="112">
        <v>1155.2087349999999</v>
      </c>
      <c r="H1393" s="112">
        <v>130.118832</v>
      </c>
      <c r="I1393" s="112">
        <v>52.044431000000003</v>
      </c>
      <c r="J1393" s="112">
        <v>56.395546000000003</v>
      </c>
      <c r="K1393" s="112">
        <v>4.3511160000000002</v>
      </c>
      <c r="L1393" s="112">
        <v>218.95871500000001</v>
      </c>
      <c r="M1393" s="112">
        <v>276.04089599999998</v>
      </c>
      <c r="N1393" s="112">
        <v>-57.082180999999999</v>
      </c>
    </row>
    <row r="1394" spans="1:17" s="117" customFormat="1" ht="17.5" customHeight="1">
      <c r="A1394" s="109" t="s">
        <v>7174</v>
      </c>
      <c r="B1394" s="109" t="s">
        <v>7175</v>
      </c>
      <c r="C1394" s="98">
        <v>2008</v>
      </c>
      <c r="D1394" s="99">
        <v>479</v>
      </c>
      <c r="E1394" s="99">
        <v>4814</v>
      </c>
      <c r="F1394" s="99">
        <v>952</v>
      </c>
      <c r="G1394" s="99">
        <v>3860</v>
      </c>
      <c r="H1394" s="99">
        <v>587</v>
      </c>
      <c r="I1394" s="99">
        <v>75</v>
      </c>
      <c r="J1394" s="99">
        <v>108</v>
      </c>
      <c r="K1394" s="99">
        <v>32</v>
      </c>
      <c r="L1394" s="99">
        <v>583</v>
      </c>
      <c r="M1394" s="99">
        <v>591</v>
      </c>
      <c r="N1394" s="99">
        <v>-8</v>
      </c>
    </row>
    <row r="1395" spans="1:17" s="117" customFormat="1" ht="17.5" customHeight="1">
      <c r="A1395" s="109" t="s">
        <v>7174</v>
      </c>
      <c r="B1395" s="109" t="s">
        <v>7175</v>
      </c>
      <c r="C1395" s="98">
        <v>2009</v>
      </c>
      <c r="D1395" s="99">
        <v>433</v>
      </c>
      <c r="E1395" s="99">
        <v>3308</v>
      </c>
      <c r="F1395" s="99">
        <v>537</v>
      </c>
      <c r="G1395" s="99">
        <v>2698</v>
      </c>
      <c r="H1395" s="99">
        <v>478</v>
      </c>
      <c r="I1395" s="99">
        <v>55</v>
      </c>
      <c r="J1395" s="99">
        <v>62</v>
      </c>
      <c r="K1395" s="99">
        <v>6</v>
      </c>
      <c r="L1395" s="99">
        <v>441</v>
      </c>
      <c r="M1395" s="99">
        <v>509</v>
      </c>
      <c r="N1395" s="99">
        <v>-68</v>
      </c>
    </row>
    <row r="1396" spans="1:17" s="117" customFormat="1" ht="17.5" customHeight="1">
      <c r="A1396" s="109" t="s">
        <v>7174</v>
      </c>
      <c r="B1396" s="109" t="s">
        <v>7175</v>
      </c>
      <c r="C1396" s="98">
        <v>2010</v>
      </c>
      <c r="D1396" s="99">
        <v>397</v>
      </c>
      <c r="E1396" s="99">
        <v>4319</v>
      </c>
      <c r="F1396" s="99">
        <v>1116</v>
      </c>
      <c r="G1396" s="99">
        <v>3507</v>
      </c>
      <c r="H1396" s="99">
        <v>514</v>
      </c>
      <c r="I1396" s="99">
        <v>82</v>
      </c>
      <c r="J1396" s="99">
        <v>96</v>
      </c>
      <c r="K1396" s="99">
        <v>13</v>
      </c>
      <c r="L1396" s="99">
        <v>570</v>
      </c>
      <c r="M1396" s="99">
        <v>480</v>
      </c>
      <c r="N1396" s="99">
        <v>90</v>
      </c>
    </row>
    <row r="1397" spans="1:17" s="117" customFormat="1" ht="17.5" customHeight="1">
      <c r="A1397" s="109" t="s">
        <v>7174</v>
      </c>
      <c r="B1397" s="109" t="s">
        <v>7175</v>
      </c>
      <c r="C1397" s="98">
        <v>2011</v>
      </c>
      <c r="D1397" s="99">
        <v>372</v>
      </c>
      <c r="E1397" s="99">
        <v>4041</v>
      </c>
      <c r="F1397" s="99">
        <v>1002</v>
      </c>
      <c r="G1397" s="99">
        <v>3114</v>
      </c>
      <c r="H1397" s="99">
        <v>538</v>
      </c>
      <c r="I1397" s="99">
        <v>94</v>
      </c>
      <c r="J1397" s="99">
        <v>97</v>
      </c>
      <c r="K1397" s="99">
        <v>2</v>
      </c>
      <c r="L1397" s="99">
        <v>466</v>
      </c>
      <c r="M1397" s="99">
        <v>385</v>
      </c>
      <c r="N1397" s="99">
        <v>81</v>
      </c>
      <c r="O1397" s="110"/>
      <c r="P1397" s="110"/>
      <c r="Q1397" s="110"/>
    </row>
    <row r="1398" spans="1:17" s="117" customFormat="1" ht="17.5" customHeight="1">
      <c r="A1398" s="109" t="s">
        <v>7174</v>
      </c>
      <c r="B1398" s="109" t="s">
        <v>7175</v>
      </c>
      <c r="C1398" s="111">
        <v>2012</v>
      </c>
      <c r="D1398" s="112">
        <v>353</v>
      </c>
      <c r="E1398" s="112">
        <v>3452</v>
      </c>
      <c r="F1398" s="112">
        <v>752</v>
      </c>
      <c r="G1398" s="112">
        <v>2717</v>
      </c>
      <c r="H1398" s="112">
        <v>380</v>
      </c>
      <c r="I1398" s="112">
        <v>109</v>
      </c>
      <c r="J1398" s="112">
        <v>113</v>
      </c>
      <c r="K1398" s="112">
        <v>5</v>
      </c>
      <c r="L1398" s="112">
        <v>331</v>
      </c>
      <c r="M1398" s="112">
        <v>311</v>
      </c>
      <c r="N1398" s="112">
        <v>20</v>
      </c>
      <c r="O1398" s="110"/>
      <c r="P1398" s="110"/>
      <c r="Q1398" s="110"/>
    </row>
    <row r="1399" spans="1:17" s="117" customFormat="1" ht="17.5" customHeight="1">
      <c r="A1399" s="109" t="s">
        <v>7174</v>
      </c>
      <c r="B1399" s="109" t="s">
        <v>7175</v>
      </c>
      <c r="C1399" s="113">
        <v>2013</v>
      </c>
      <c r="D1399" s="112">
        <v>348</v>
      </c>
      <c r="E1399" s="112">
        <v>3229</v>
      </c>
      <c r="F1399" s="112">
        <v>775</v>
      </c>
      <c r="G1399" s="112">
        <v>2432</v>
      </c>
      <c r="H1399" s="112">
        <v>379</v>
      </c>
      <c r="I1399" s="112">
        <v>93</v>
      </c>
      <c r="J1399" s="112">
        <v>100</v>
      </c>
      <c r="K1399" s="112">
        <v>7</v>
      </c>
      <c r="L1399" s="112">
        <v>241</v>
      </c>
      <c r="M1399" s="112">
        <v>259</v>
      </c>
      <c r="N1399" s="112">
        <v>-18</v>
      </c>
      <c r="O1399" s="100"/>
      <c r="P1399" s="100"/>
      <c r="Q1399" s="100"/>
    </row>
    <row r="1400" spans="1:17" s="117" customFormat="1" ht="17.5" customHeight="1">
      <c r="A1400" s="109" t="s">
        <v>7174</v>
      </c>
      <c r="B1400" s="109" t="s">
        <v>7175</v>
      </c>
      <c r="C1400" s="113">
        <v>2014</v>
      </c>
      <c r="D1400" s="99">
        <v>366</v>
      </c>
      <c r="E1400" s="99">
        <v>3699</v>
      </c>
      <c r="F1400" s="99">
        <v>977</v>
      </c>
      <c r="G1400" s="99">
        <v>2715</v>
      </c>
      <c r="H1400" s="99">
        <v>378</v>
      </c>
      <c r="I1400" s="99">
        <v>166</v>
      </c>
      <c r="J1400" s="99">
        <v>170</v>
      </c>
      <c r="K1400" s="99">
        <v>4</v>
      </c>
      <c r="L1400" s="99">
        <v>375</v>
      </c>
      <c r="M1400" s="99">
        <v>392</v>
      </c>
      <c r="N1400" s="99">
        <v>-17</v>
      </c>
      <c r="O1400" s="110"/>
      <c r="P1400" s="110"/>
      <c r="Q1400" s="110"/>
    </row>
    <row r="1401" spans="1:17" s="117" customFormat="1" ht="17.5" customHeight="1">
      <c r="A1401" s="109" t="s">
        <v>7174</v>
      </c>
      <c r="B1401" s="109" t="s">
        <v>7175</v>
      </c>
      <c r="C1401" s="113">
        <v>2015</v>
      </c>
      <c r="D1401" s="112">
        <v>378</v>
      </c>
      <c r="E1401" s="112">
        <v>4132</v>
      </c>
      <c r="F1401" s="112">
        <v>877</v>
      </c>
      <c r="G1401" s="112">
        <v>3236</v>
      </c>
      <c r="H1401" s="112">
        <v>395</v>
      </c>
      <c r="I1401" s="112">
        <v>138</v>
      </c>
      <c r="J1401" s="112">
        <v>141</v>
      </c>
      <c r="K1401" s="112">
        <v>3</v>
      </c>
      <c r="L1401" s="112">
        <v>465</v>
      </c>
      <c r="M1401" s="112">
        <v>496</v>
      </c>
      <c r="N1401" s="112">
        <v>-32</v>
      </c>
      <c r="O1401" s="100"/>
      <c r="P1401" s="100"/>
      <c r="Q1401" s="100"/>
    </row>
    <row r="1402" spans="1:17" s="117" customFormat="1" ht="17.5" customHeight="1">
      <c r="A1402" s="109" t="s">
        <v>7174</v>
      </c>
      <c r="B1402" s="109" t="s">
        <v>7175</v>
      </c>
      <c r="C1402" s="113">
        <v>2016</v>
      </c>
      <c r="D1402" s="112">
        <v>377</v>
      </c>
      <c r="E1402" s="112">
        <v>4337</v>
      </c>
      <c r="F1402" s="112">
        <v>1004</v>
      </c>
      <c r="G1402" s="112">
        <v>3379</v>
      </c>
      <c r="H1402" s="112">
        <v>437</v>
      </c>
      <c r="I1402" s="112">
        <v>110</v>
      </c>
      <c r="J1402" s="112">
        <v>113</v>
      </c>
      <c r="K1402" s="112">
        <v>4</v>
      </c>
      <c r="L1402" s="112">
        <v>526</v>
      </c>
      <c r="M1402" s="112">
        <v>513</v>
      </c>
      <c r="N1402" s="112">
        <v>13</v>
      </c>
      <c r="O1402" s="100"/>
      <c r="P1402" s="100"/>
      <c r="Q1402" s="100"/>
    </row>
    <row r="1403" spans="1:17" s="117" customFormat="1" ht="17.5" customHeight="1">
      <c r="A1403" s="109" t="s">
        <v>7174</v>
      </c>
      <c r="B1403" s="109" t="s">
        <v>7175</v>
      </c>
      <c r="C1403" s="113">
        <v>2017</v>
      </c>
      <c r="D1403" s="112">
        <v>368</v>
      </c>
      <c r="E1403" s="112">
        <v>4945</v>
      </c>
      <c r="F1403" s="112">
        <v>1049</v>
      </c>
      <c r="G1403" s="112">
        <v>4008</v>
      </c>
      <c r="H1403" s="112">
        <v>424</v>
      </c>
      <c r="I1403" s="112">
        <v>98</v>
      </c>
      <c r="J1403" s="112">
        <v>101</v>
      </c>
      <c r="K1403" s="112">
        <v>3</v>
      </c>
      <c r="L1403" s="112">
        <v>604</v>
      </c>
      <c r="M1403" s="112">
        <v>508</v>
      </c>
      <c r="N1403" s="112">
        <v>96</v>
      </c>
      <c r="O1403" s="110"/>
      <c r="P1403" s="110"/>
      <c r="Q1403" s="110"/>
    </row>
    <row r="1404" spans="1:17" s="117" customFormat="1" ht="17.5" customHeight="1">
      <c r="A1404" s="109" t="s">
        <v>7174</v>
      </c>
      <c r="B1404" s="109" t="s">
        <v>7175</v>
      </c>
      <c r="C1404" s="113">
        <v>2018</v>
      </c>
      <c r="D1404" s="112">
        <v>370</v>
      </c>
      <c r="E1404" s="112">
        <v>5695</v>
      </c>
      <c r="F1404" s="112">
        <v>1488</v>
      </c>
      <c r="G1404" s="112">
        <v>4293</v>
      </c>
      <c r="H1404" s="112">
        <v>442</v>
      </c>
      <c r="I1404" s="112">
        <v>175</v>
      </c>
      <c r="J1404" s="112">
        <v>177</v>
      </c>
      <c r="K1404" s="112">
        <v>2</v>
      </c>
      <c r="L1404" s="112">
        <v>722</v>
      </c>
      <c r="M1404" s="112">
        <v>626</v>
      </c>
      <c r="N1404" s="112">
        <v>96</v>
      </c>
      <c r="O1404" s="110"/>
      <c r="P1404" s="110"/>
      <c r="Q1404" s="110"/>
    </row>
    <row r="1405" spans="1:17" s="117" customFormat="1" ht="17.5" customHeight="1">
      <c r="A1405" s="109" t="s">
        <v>7174</v>
      </c>
      <c r="B1405" s="109" t="s">
        <v>7175</v>
      </c>
      <c r="C1405" s="113">
        <v>2019</v>
      </c>
      <c r="D1405" s="112">
        <v>370</v>
      </c>
      <c r="E1405" s="112">
        <v>5097.236038</v>
      </c>
      <c r="F1405" s="112">
        <v>1336.8266080000001</v>
      </c>
      <c r="G1405" s="112">
        <v>3679.7422790000001</v>
      </c>
      <c r="H1405" s="112">
        <v>500.21897999999999</v>
      </c>
      <c r="I1405" s="112">
        <v>148.693577</v>
      </c>
      <c r="J1405" s="112">
        <v>171.45087799999999</v>
      </c>
      <c r="K1405" s="112">
        <v>22.757300999999998</v>
      </c>
      <c r="L1405" s="112">
        <v>564.82665099999997</v>
      </c>
      <c r="M1405" s="112">
        <v>678.88458000000003</v>
      </c>
      <c r="N1405" s="112">
        <v>-114.057929</v>
      </c>
    </row>
    <row r="1406" spans="1:17" s="117" customFormat="1" ht="17.5" customHeight="1">
      <c r="A1406" s="114" t="s">
        <v>7174</v>
      </c>
      <c r="B1406" s="114" t="s">
        <v>7175</v>
      </c>
      <c r="C1406" s="113">
        <v>2020</v>
      </c>
      <c r="D1406" s="112">
        <v>368</v>
      </c>
      <c r="E1406" s="112">
        <v>4680.7644220000002</v>
      </c>
      <c r="F1406" s="112">
        <v>1378.066975</v>
      </c>
      <c r="G1406" s="112">
        <v>3309.511853</v>
      </c>
      <c r="H1406" s="112">
        <v>505.60467799999998</v>
      </c>
      <c r="I1406" s="112">
        <v>46.564363999999998</v>
      </c>
      <c r="J1406" s="112">
        <v>80.369285000000005</v>
      </c>
      <c r="K1406" s="112">
        <v>33.804921</v>
      </c>
      <c r="L1406" s="112">
        <v>569.57985900000006</v>
      </c>
      <c r="M1406" s="112">
        <v>588.65383799999995</v>
      </c>
      <c r="N1406" s="112">
        <v>-19.073979999999999</v>
      </c>
    </row>
    <row r="1407" spans="1:17" s="117" customFormat="1" ht="17.5" customHeight="1">
      <c r="A1407" s="109" t="s">
        <v>7176</v>
      </c>
      <c r="B1407" s="109" t="s">
        <v>7177</v>
      </c>
      <c r="C1407" s="98">
        <v>2008</v>
      </c>
      <c r="D1407" s="99">
        <v>9</v>
      </c>
      <c r="E1407" s="99">
        <v>792</v>
      </c>
      <c r="F1407" s="99">
        <v>72</v>
      </c>
      <c r="G1407" s="99">
        <v>725</v>
      </c>
      <c r="H1407" s="99">
        <v>40</v>
      </c>
      <c r="I1407" s="99">
        <v>4</v>
      </c>
      <c r="J1407" s="99">
        <v>4</v>
      </c>
      <c r="K1407" s="99">
        <v>0</v>
      </c>
      <c r="L1407" s="99" t="s">
        <v>6953</v>
      </c>
      <c r="M1407" s="99" t="s">
        <v>6953</v>
      </c>
      <c r="N1407" s="99" t="s">
        <v>6953</v>
      </c>
    </row>
    <row r="1408" spans="1:17" s="117" customFormat="1" ht="17.5" customHeight="1">
      <c r="A1408" s="109" t="s">
        <v>7176</v>
      </c>
      <c r="B1408" s="109" t="s">
        <v>7177</v>
      </c>
      <c r="C1408" s="98">
        <v>2009</v>
      </c>
      <c r="D1408" s="99">
        <v>5</v>
      </c>
      <c r="E1408" s="99" t="s">
        <v>6953</v>
      </c>
      <c r="F1408" s="99">
        <v>49</v>
      </c>
      <c r="G1408" s="99" t="s">
        <v>6953</v>
      </c>
      <c r="H1408" s="99">
        <v>45</v>
      </c>
      <c r="I1408" s="99">
        <v>3</v>
      </c>
      <c r="J1408" s="99" t="s">
        <v>6953</v>
      </c>
      <c r="K1408" s="99" t="s">
        <v>6953</v>
      </c>
      <c r="L1408" s="99" t="s">
        <v>6953</v>
      </c>
      <c r="M1408" s="99" t="s">
        <v>6953</v>
      </c>
      <c r="N1408" s="99">
        <v>-5</v>
      </c>
    </row>
    <row r="1409" spans="1:17" s="117" customFormat="1" ht="17.5" customHeight="1">
      <c r="A1409" s="109" t="s">
        <v>7176</v>
      </c>
      <c r="B1409" s="109" t="s">
        <v>7177</v>
      </c>
      <c r="C1409" s="98">
        <v>2010</v>
      </c>
      <c r="D1409" s="99">
        <v>6</v>
      </c>
      <c r="E1409" s="99">
        <v>1748</v>
      </c>
      <c r="F1409" s="99">
        <v>186</v>
      </c>
      <c r="G1409" s="99">
        <v>1541</v>
      </c>
      <c r="H1409" s="99">
        <v>85</v>
      </c>
      <c r="I1409" s="99" t="s">
        <v>6953</v>
      </c>
      <c r="J1409" s="99" t="s">
        <v>6953</v>
      </c>
      <c r="K1409" s="99" t="s">
        <v>6953</v>
      </c>
      <c r="L1409" s="99">
        <v>94</v>
      </c>
      <c r="M1409" s="99" t="s">
        <v>6953</v>
      </c>
      <c r="N1409" s="99" t="s">
        <v>6953</v>
      </c>
      <c r="O1409" s="110"/>
      <c r="P1409" s="110"/>
      <c r="Q1409" s="110"/>
    </row>
    <row r="1410" spans="1:17" s="117" customFormat="1" ht="17.5" customHeight="1">
      <c r="A1410" s="109" t="s">
        <v>7176</v>
      </c>
      <c r="B1410" s="109" t="s">
        <v>7177</v>
      </c>
      <c r="C1410" s="98">
        <v>2011</v>
      </c>
      <c r="D1410" s="99">
        <v>4</v>
      </c>
      <c r="E1410" s="99" t="s">
        <v>6953</v>
      </c>
      <c r="F1410" s="99" t="s">
        <v>6953</v>
      </c>
      <c r="G1410" s="99" t="s">
        <v>6953</v>
      </c>
      <c r="H1410" s="99">
        <v>68</v>
      </c>
      <c r="I1410" s="99">
        <v>12</v>
      </c>
      <c r="J1410" s="99" t="s">
        <v>6953</v>
      </c>
      <c r="K1410" s="99" t="s">
        <v>6953</v>
      </c>
      <c r="L1410" s="99">
        <v>128</v>
      </c>
      <c r="M1410" s="99">
        <v>93</v>
      </c>
      <c r="N1410" s="99">
        <v>35</v>
      </c>
      <c r="O1410" s="110"/>
      <c r="P1410" s="110"/>
      <c r="Q1410" s="110"/>
    </row>
    <row r="1411" spans="1:17" s="117" customFormat="1" ht="17.5" customHeight="1">
      <c r="A1411" s="109" t="s">
        <v>7176</v>
      </c>
      <c r="B1411" s="109" t="s">
        <v>7177</v>
      </c>
      <c r="C1411" s="111">
        <v>2012</v>
      </c>
      <c r="D1411" s="99" t="s">
        <v>6953</v>
      </c>
      <c r="E1411" s="99" t="s">
        <v>6953</v>
      </c>
      <c r="F1411" s="99" t="s">
        <v>6953</v>
      </c>
      <c r="G1411" s="99" t="s">
        <v>6953</v>
      </c>
      <c r="H1411" s="99" t="s">
        <v>6953</v>
      </c>
      <c r="I1411" s="99" t="s">
        <v>6953</v>
      </c>
      <c r="J1411" s="99" t="s">
        <v>6953</v>
      </c>
      <c r="K1411" s="99" t="s">
        <v>6953</v>
      </c>
      <c r="L1411" s="99" t="s">
        <v>6953</v>
      </c>
      <c r="M1411" s="99" t="s">
        <v>6953</v>
      </c>
      <c r="N1411" s="99" t="s">
        <v>6953</v>
      </c>
      <c r="O1411" s="100"/>
      <c r="P1411" s="100"/>
      <c r="Q1411" s="100"/>
    </row>
    <row r="1412" spans="1:17" s="117" customFormat="1" ht="17.5" customHeight="1">
      <c r="A1412" s="109" t="s">
        <v>7176</v>
      </c>
      <c r="B1412" s="109" t="s">
        <v>7177</v>
      </c>
      <c r="C1412" s="113">
        <v>2013</v>
      </c>
      <c r="D1412" s="99" t="s">
        <v>6953</v>
      </c>
      <c r="E1412" s="99" t="s">
        <v>6953</v>
      </c>
      <c r="F1412" s="99" t="s">
        <v>6953</v>
      </c>
      <c r="G1412" s="99" t="s">
        <v>6953</v>
      </c>
      <c r="H1412" s="99" t="s">
        <v>6953</v>
      </c>
      <c r="I1412" s="99" t="s">
        <v>6953</v>
      </c>
      <c r="J1412" s="99" t="s">
        <v>6953</v>
      </c>
      <c r="K1412" s="99" t="s">
        <v>6953</v>
      </c>
      <c r="L1412" s="99" t="s">
        <v>6953</v>
      </c>
      <c r="M1412" s="99" t="s">
        <v>6953</v>
      </c>
      <c r="N1412" s="99" t="s">
        <v>6953</v>
      </c>
      <c r="O1412" s="110"/>
      <c r="P1412" s="110"/>
      <c r="Q1412" s="110"/>
    </row>
    <row r="1413" spans="1:17" s="117" customFormat="1" ht="17.5" customHeight="1">
      <c r="A1413" s="109" t="s">
        <v>7176</v>
      </c>
      <c r="B1413" s="109" t="s">
        <v>7177</v>
      </c>
      <c r="C1413" s="113">
        <v>2014</v>
      </c>
      <c r="D1413" s="99" t="s">
        <v>6953</v>
      </c>
      <c r="E1413" s="99" t="s">
        <v>6953</v>
      </c>
      <c r="F1413" s="99" t="s">
        <v>6953</v>
      </c>
      <c r="G1413" s="99" t="s">
        <v>6953</v>
      </c>
      <c r="H1413" s="99" t="s">
        <v>6953</v>
      </c>
      <c r="I1413" s="99" t="s">
        <v>6953</v>
      </c>
      <c r="J1413" s="99" t="s">
        <v>6953</v>
      </c>
      <c r="K1413" s="99" t="s">
        <v>6953</v>
      </c>
      <c r="L1413" s="99" t="s">
        <v>6953</v>
      </c>
      <c r="M1413" s="99" t="s">
        <v>6953</v>
      </c>
      <c r="N1413" s="99" t="s">
        <v>6953</v>
      </c>
      <c r="O1413" s="100"/>
      <c r="P1413" s="100"/>
      <c r="Q1413" s="100"/>
    </row>
    <row r="1414" spans="1:17" s="117" customFormat="1" ht="17.5" customHeight="1">
      <c r="A1414" s="109" t="s">
        <v>7176</v>
      </c>
      <c r="B1414" s="109" t="s">
        <v>7177</v>
      </c>
      <c r="C1414" s="113">
        <v>2015</v>
      </c>
      <c r="D1414" s="99" t="s">
        <v>6953</v>
      </c>
      <c r="E1414" s="99" t="s">
        <v>6953</v>
      </c>
      <c r="F1414" s="99" t="s">
        <v>6953</v>
      </c>
      <c r="G1414" s="99" t="s">
        <v>6953</v>
      </c>
      <c r="H1414" s="99" t="s">
        <v>6953</v>
      </c>
      <c r="I1414" s="99" t="s">
        <v>6953</v>
      </c>
      <c r="J1414" s="99" t="s">
        <v>6953</v>
      </c>
      <c r="K1414" s="99" t="s">
        <v>6953</v>
      </c>
      <c r="L1414" s="99" t="s">
        <v>6953</v>
      </c>
      <c r="M1414" s="99" t="s">
        <v>6953</v>
      </c>
      <c r="N1414" s="99" t="s">
        <v>6953</v>
      </c>
      <c r="O1414" s="100"/>
      <c r="P1414" s="100"/>
      <c r="Q1414" s="100"/>
    </row>
    <row r="1415" spans="1:17" s="117" customFormat="1" ht="17.5" customHeight="1">
      <c r="A1415" s="109" t="s">
        <v>7176</v>
      </c>
      <c r="B1415" s="109" t="s">
        <v>7177</v>
      </c>
      <c r="C1415" s="113">
        <v>2016</v>
      </c>
      <c r="D1415" s="99" t="s">
        <v>6953</v>
      </c>
      <c r="E1415" s="99" t="s">
        <v>6953</v>
      </c>
      <c r="F1415" s="99" t="s">
        <v>6953</v>
      </c>
      <c r="G1415" s="99" t="s">
        <v>6953</v>
      </c>
      <c r="H1415" s="99" t="s">
        <v>6953</v>
      </c>
      <c r="I1415" s="99" t="s">
        <v>6953</v>
      </c>
      <c r="J1415" s="99" t="s">
        <v>6953</v>
      </c>
      <c r="K1415" s="99" t="s">
        <v>6953</v>
      </c>
      <c r="L1415" s="99" t="s">
        <v>6953</v>
      </c>
      <c r="M1415" s="99" t="s">
        <v>6953</v>
      </c>
      <c r="N1415" s="99" t="s">
        <v>6953</v>
      </c>
      <c r="O1415" s="110"/>
      <c r="P1415" s="110"/>
      <c r="Q1415" s="110"/>
    </row>
    <row r="1416" spans="1:17" s="117" customFormat="1" ht="17.5" customHeight="1">
      <c r="A1416" s="109" t="s">
        <v>7176</v>
      </c>
      <c r="B1416" s="109" t="s">
        <v>7177</v>
      </c>
      <c r="C1416" s="113">
        <v>2017</v>
      </c>
      <c r="D1416" s="99" t="s">
        <v>6953</v>
      </c>
      <c r="E1416" s="99" t="s">
        <v>6953</v>
      </c>
      <c r="F1416" s="99" t="s">
        <v>6953</v>
      </c>
      <c r="G1416" s="99" t="s">
        <v>6953</v>
      </c>
      <c r="H1416" s="99" t="s">
        <v>6953</v>
      </c>
      <c r="I1416" s="99" t="s">
        <v>6953</v>
      </c>
      <c r="J1416" s="99" t="s">
        <v>6953</v>
      </c>
      <c r="K1416" s="99" t="s">
        <v>6953</v>
      </c>
      <c r="L1416" s="99" t="s">
        <v>6953</v>
      </c>
      <c r="M1416" s="99" t="s">
        <v>6953</v>
      </c>
      <c r="N1416" s="99" t="s">
        <v>6953</v>
      </c>
      <c r="O1416" s="110"/>
      <c r="P1416" s="110"/>
      <c r="Q1416" s="110"/>
    </row>
    <row r="1417" spans="1:17" s="117" customFormat="1" ht="17.5" customHeight="1">
      <c r="A1417" s="109" t="s">
        <v>7176</v>
      </c>
      <c r="B1417" s="109" t="s">
        <v>7177</v>
      </c>
      <c r="C1417" s="113">
        <v>2018</v>
      </c>
      <c r="D1417" s="112">
        <v>4</v>
      </c>
      <c r="E1417" s="112">
        <v>1305</v>
      </c>
      <c r="F1417" s="99" t="s">
        <v>6953</v>
      </c>
      <c r="G1417" s="99" t="s">
        <v>6953</v>
      </c>
      <c r="H1417" s="99" t="s">
        <v>6953</v>
      </c>
      <c r="I1417" s="99" t="s">
        <v>6953</v>
      </c>
      <c r="J1417" s="99" t="s">
        <v>6953</v>
      </c>
      <c r="K1417" s="99" t="s">
        <v>6953</v>
      </c>
      <c r="L1417" s="112">
        <v>162</v>
      </c>
      <c r="M1417" s="112">
        <v>174</v>
      </c>
      <c r="N1417" s="112">
        <v>-12</v>
      </c>
    </row>
    <row r="1418" spans="1:17" s="117" customFormat="1" ht="17.5" customHeight="1">
      <c r="A1418" s="109" t="s">
        <v>7176</v>
      </c>
      <c r="B1418" s="109" t="s">
        <v>7177</v>
      </c>
      <c r="C1418" s="113">
        <v>2019</v>
      </c>
      <c r="D1418" s="112">
        <v>4</v>
      </c>
      <c r="E1418" s="112">
        <v>1349.30537</v>
      </c>
      <c r="F1418" s="112">
        <v>175.73943299999999</v>
      </c>
      <c r="G1418" s="112">
        <v>1170.636546</v>
      </c>
      <c r="H1418" s="112">
        <v>134.946485</v>
      </c>
      <c r="I1418" s="112" t="s">
        <v>6953</v>
      </c>
      <c r="J1418" s="112" t="s">
        <v>6953</v>
      </c>
      <c r="K1418" s="112" t="s">
        <v>6953</v>
      </c>
      <c r="L1418" s="112">
        <v>93.982956999999999</v>
      </c>
      <c r="M1418" s="112">
        <v>96.797364000000002</v>
      </c>
      <c r="N1418" s="112">
        <v>-2.8144070000000001</v>
      </c>
    </row>
    <row r="1419" spans="1:17" s="117" customFormat="1" ht="17.5" customHeight="1">
      <c r="A1419" s="114" t="s">
        <v>7176</v>
      </c>
      <c r="B1419" s="114" t="s">
        <v>7177</v>
      </c>
      <c r="C1419" s="113">
        <v>2020</v>
      </c>
      <c r="D1419" s="112">
        <v>3</v>
      </c>
      <c r="E1419" s="112">
        <v>696.26258700000005</v>
      </c>
      <c r="F1419" s="112" t="s">
        <v>6953</v>
      </c>
      <c r="G1419" s="112" t="s">
        <v>6953</v>
      </c>
      <c r="H1419" s="112" t="s">
        <v>6953</v>
      </c>
      <c r="I1419" s="112" t="s">
        <v>6953</v>
      </c>
      <c r="J1419" s="112" t="s">
        <v>6953</v>
      </c>
      <c r="K1419" s="112" t="s">
        <v>6953</v>
      </c>
      <c r="L1419" s="112" t="s">
        <v>6953</v>
      </c>
      <c r="M1419" s="112" t="s">
        <v>6953</v>
      </c>
      <c r="N1419" s="112" t="s">
        <v>6953</v>
      </c>
    </row>
    <row r="1420" spans="1:17" s="117" customFormat="1" ht="31.75" customHeight="1">
      <c r="A1420" s="109" t="s">
        <v>7178</v>
      </c>
      <c r="B1420" s="109" t="s">
        <v>7179</v>
      </c>
      <c r="C1420" s="98">
        <v>2008</v>
      </c>
      <c r="D1420" s="99">
        <v>70</v>
      </c>
      <c r="E1420" s="99">
        <v>838</v>
      </c>
      <c r="F1420" s="99">
        <v>256</v>
      </c>
      <c r="G1420" s="99">
        <v>633</v>
      </c>
      <c r="H1420" s="99">
        <v>143</v>
      </c>
      <c r="I1420" s="99">
        <v>17</v>
      </c>
      <c r="J1420" s="99">
        <v>24</v>
      </c>
      <c r="K1420" s="99">
        <v>7</v>
      </c>
      <c r="L1420" s="99">
        <v>157</v>
      </c>
      <c r="M1420" s="99">
        <v>106</v>
      </c>
      <c r="N1420" s="99">
        <v>52</v>
      </c>
    </row>
    <row r="1421" spans="1:17" s="117" customFormat="1" ht="31.75" customHeight="1">
      <c r="A1421" s="109" t="s">
        <v>7178</v>
      </c>
      <c r="B1421" s="109" t="s">
        <v>7179</v>
      </c>
      <c r="C1421" s="98">
        <v>2009</v>
      </c>
      <c r="D1421" s="99">
        <v>68</v>
      </c>
      <c r="E1421" s="99">
        <v>987</v>
      </c>
      <c r="F1421" s="99">
        <v>200</v>
      </c>
      <c r="G1421" s="99">
        <v>746</v>
      </c>
      <c r="H1421" s="99">
        <v>132</v>
      </c>
      <c r="I1421" s="99">
        <v>50</v>
      </c>
      <c r="J1421" s="99">
        <v>87</v>
      </c>
      <c r="K1421" s="99">
        <v>37</v>
      </c>
      <c r="L1421" s="99">
        <v>155</v>
      </c>
      <c r="M1421" s="99">
        <v>196</v>
      </c>
      <c r="N1421" s="99">
        <v>-40</v>
      </c>
      <c r="O1421" s="110"/>
      <c r="P1421" s="110"/>
      <c r="Q1421" s="110"/>
    </row>
    <row r="1422" spans="1:17" s="117" customFormat="1" ht="31.75" customHeight="1">
      <c r="A1422" s="109" t="s">
        <v>7178</v>
      </c>
      <c r="B1422" s="109" t="s">
        <v>7179</v>
      </c>
      <c r="C1422" s="98">
        <v>2010</v>
      </c>
      <c r="D1422" s="99">
        <v>55</v>
      </c>
      <c r="E1422" s="99">
        <v>739</v>
      </c>
      <c r="F1422" s="99">
        <v>246</v>
      </c>
      <c r="G1422" s="99">
        <v>514</v>
      </c>
      <c r="H1422" s="99">
        <v>88</v>
      </c>
      <c r="I1422" s="99">
        <v>61</v>
      </c>
      <c r="J1422" s="99">
        <v>64</v>
      </c>
      <c r="K1422" s="99">
        <v>3</v>
      </c>
      <c r="L1422" s="99">
        <v>107</v>
      </c>
      <c r="M1422" s="99">
        <v>85</v>
      </c>
      <c r="N1422" s="99">
        <v>22</v>
      </c>
      <c r="O1422" s="110"/>
      <c r="P1422" s="110"/>
      <c r="Q1422" s="110"/>
    </row>
    <row r="1423" spans="1:17" s="117" customFormat="1" ht="31.75" customHeight="1">
      <c r="A1423" s="109" t="s">
        <v>7178</v>
      </c>
      <c r="B1423" s="109" t="s">
        <v>7179</v>
      </c>
      <c r="C1423" s="98">
        <v>2011</v>
      </c>
      <c r="D1423" s="99">
        <v>56</v>
      </c>
      <c r="E1423" s="99">
        <v>1031</v>
      </c>
      <c r="F1423" s="99">
        <v>289</v>
      </c>
      <c r="G1423" s="99">
        <v>753</v>
      </c>
      <c r="H1423" s="99">
        <v>103</v>
      </c>
      <c r="I1423" s="99">
        <v>33</v>
      </c>
      <c r="J1423" s="99">
        <v>34</v>
      </c>
      <c r="K1423" s="99">
        <v>1</v>
      </c>
      <c r="L1423" s="99">
        <v>143</v>
      </c>
      <c r="M1423" s="99">
        <v>130</v>
      </c>
      <c r="N1423" s="99">
        <v>13</v>
      </c>
      <c r="O1423" s="100"/>
      <c r="P1423" s="100"/>
      <c r="Q1423" s="100"/>
    </row>
    <row r="1424" spans="1:17" s="117" customFormat="1" ht="31.75" customHeight="1">
      <c r="A1424" s="109" t="s">
        <v>7178</v>
      </c>
      <c r="B1424" s="109" t="s">
        <v>7179</v>
      </c>
      <c r="C1424" s="111">
        <v>2012</v>
      </c>
      <c r="D1424" s="112">
        <v>58</v>
      </c>
      <c r="E1424" s="112">
        <v>1100</v>
      </c>
      <c r="F1424" s="112">
        <v>290</v>
      </c>
      <c r="G1424" s="112">
        <v>821</v>
      </c>
      <c r="H1424" s="112">
        <v>97</v>
      </c>
      <c r="I1424" s="112">
        <v>29</v>
      </c>
      <c r="J1424" s="112">
        <v>31</v>
      </c>
      <c r="K1424" s="112">
        <v>1</v>
      </c>
      <c r="L1424" s="112">
        <v>142</v>
      </c>
      <c r="M1424" s="112">
        <v>129</v>
      </c>
      <c r="N1424" s="112">
        <v>13</v>
      </c>
      <c r="O1424" s="110"/>
      <c r="P1424" s="110"/>
      <c r="Q1424" s="110"/>
    </row>
    <row r="1425" spans="1:17" s="117" customFormat="1" ht="31.75" customHeight="1">
      <c r="A1425" s="109" t="s">
        <v>7178</v>
      </c>
      <c r="B1425" s="109" t="s">
        <v>7179</v>
      </c>
      <c r="C1425" s="113">
        <v>2013</v>
      </c>
      <c r="D1425" s="112">
        <v>67</v>
      </c>
      <c r="E1425" s="112">
        <v>1223</v>
      </c>
      <c r="F1425" s="112">
        <v>307</v>
      </c>
      <c r="G1425" s="112">
        <v>905</v>
      </c>
      <c r="H1425" s="112">
        <v>128</v>
      </c>
      <c r="I1425" s="112">
        <v>44</v>
      </c>
      <c r="J1425" s="112">
        <v>45</v>
      </c>
      <c r="K1425" s="112">
        <v>1</v>
      </c>
      <c r="L1425" s="112">
        <v>145</v>
      </c>
      <c r="M1425" s="112">
        <v>154</v>
      </c>
      <c r="N1425" s="112">
        <v>-9</v>
      </c>
      <c r="O1425" s="100"/>
      <c r="P1425" s="100"/>
      <c r="Q1425" s="100"/>
    </row>
    <row r="1426" spans="1:17" s="117" customFormat="1" ht="31.75" customHeight="1">
      <c r="A1426" s="109" t="s">
        <v>7178</v>
      </c>
      <c r="B1426" s="109" t="s">
        <v>7179</v>
      </c>
      <c r="C1426" s="113">
        <v>2014</v>
      </c>
      <c r="D1426" s="99">
        <v>72</v>
      </c>
      <c r="E1426" s="99">
        <v>900</v>
      </c>
      <c r="F1426" s="99">
        <v>264</v>
      </c>
      <c r="G1426" s="99">
        <v>623</v>
      </c>
      <c r="H1426" s="99">
        <v>113</v>
      </c>
      <c r="I1426" s="99">
        <v>33</v>
      </c>
      <c r="J1426" s="99">
        <v>34</v>
      </c>
      <c r="K1426" s="99" t="s">
        <v>6952</v>
      </c>
      <c r="L1426" s="99">
        <v>97</v>
      </c>
      <c r="M1426" s="99">
        <v>109</v>
      </c>
      <c r="N1426" s="99">
        <v>-11</v>
      </c>
      <c r="O1426" s="100"/>
      <c r="P1426" s="100"/>
      <c r="Q1426" s="100"/>
    </row>
    <row r="1427" spans="1:17" s="117" customFormat="1" ht="31.75" customHeight="1">
      <c r="A1427" s="109" t="s">
        <v>7178</v>
      </c>
      <c r="B1427" s="109" t="s">
        <v>7179</v>
      </c>
      <c r="C1427" s="113">
        <v>2015</v>
      </c>
      <c r="D1427" s="112">
        <v>67</v>
      </c>
      <c r="E1427" s="112">
        <v>923</v>
      </c>
      <c r="F1427" s="112">
        <v>252</v>
      </c>
      <c r="G1427" s="112">
        <v>685</v>
      </c>
      <c r="H1427" s="112">
        <v>125</v>
      </c>
      <c r="I1427" s="112">
        <v>40</v>
      </c>
      <c r="J1427" s="112">
        <v>40</v>
      </c>
      <c r="K1427" s="112" t="s">
        <v>6952</v>
      </c>
      <c r="L1427" s="112">
        <v>139</v>
      </c>
      <c r="M1427" s="112">
        <v>130</v>
      </c>
      <c r="N1427" s="112">
        <v>9</v>
      </c>
      <c r="O1427" s="110"/>
      <c r="P1427" s="110"/>
      <c r="Q1427" s="110"/>
    </row>
    <row r="1428" spans="1:17" s="117" customFormat="1" ht="31.75" customHeight="1">
      <c r="A1428" s="109" t="s">
        <v>7178</v>
      </c>
      <c r="B1428" s="109" t="s">
        <v>7179</v>
      </c>
      <c r="C1428" s="113">
        <v>2016</v>
      </c>
      <c r="D1428" s="112">
        <v>76</v>
      </c>
      <c r="E1428" s="112">
        <v>875</v>
      </c>
      <c r="F1428" s="112">
        <v>303</v>
      </c>
      <c r="G1428" s="112">
        <v>601</v>
      </c>
      <c r="H1428" s="112">
        <v>98</v>
      </c>
      <c r="I1428" s="112">
        <v>68</v>
      </c>
      <c r="J1428" s="112">
        <v>70</v>
      </c>
      <c r="K1428" s="112">
        <v>2</v>
      </c>
      <c r="L1428" s="112">
        <v>119</v>
      </c>
      <c r="M1428" s="112">
        <v>115</v>
      </c>
      <c r="N1428" s="112">
        <v>4</v>
      </c>
      <c r="O1428" s="110"/>
      <c r="P1428" s="110"/>
      <c r="Q1428" s="110"/>
    </row>
    <row r="1429" spans="1:17" s="117" customFormat="1" ht="31.75" customHeight="1">
      <c r="A1429" s="109" t="s">
        <v>7178</v>
      </c>
      <c r="B1429" s="109" t="s">
        <v>7179</v>
      </c>
      <c r="C1429" s="113">
        <v>2017</v>
      </c>
      <c r="D1429" s="112">
        <v>79</v>
      </c>
      <c r="E1429" s="112">
        <v>991</v>
      </c>
      <c r="F1429" s="112">
        <v>401</v>
      </c>
      <c r="G1429" s="112">
        <v>604</v>
      </c>
      <c r="H1429" s="112">
        <v>152</v>
      </c>
      <c r="I1429" s="112">
        <v>66</v>
      </c>
      <c r="J1429" s="112">
        <v>66</v>
      </c>
      <c r="K1429" s="112" t="s">
        <v>6952</v>
      </c>
      <c r="L1429" s="112">
        <v>134</v>
      </c>
      <c r="M1429" s="112">
        <v>126</v>
      </c>
      <c r="N1429" s="112">
        <v>8</v>
      </c>
    </row>
    <row r="1430" spans="1:17" s="117" customFormat="1" ht="31.75" customHeight="1">
      <c r="A1430" s="109" t="s">
        <v>7178</v>
      </c>
      <c r="B1430" s="109" t="s">
        <v>7179</v>
      </c>
      <c r="C1430" s="113">
        <v>2018</v>
      </c>
      <c r="D1430" s="112">
        <v>71</v>
      </c>
      <c r="E1430" s="112">
        <v>929</v>
      </c>
      <c r="F1430" s="112">
        <v>365</v>
      </c>
      <c r="G1430" s="112">
        <v>590</v>
      </c>
      <c r="H1430" s="112">
        <v>134</v>
      </c>
      <c r="I1430" s="112">
        <v>48</v>
      </c>
      <c r="J1430" s="112">
        <v>49</v>
      </c>
      <c r="K1430" s="112">
        <v>1</v>
      </c>
      <c r="L1430" s="112">
        <v>145</v>
      </c>
      <c r="M1430" s="112">
        <v>134</v>
      </c>
      <c r="N1430" s="112">
        <v>11</v>
      </c>
    </row>
    <row r="1431" spans="1:17" s="117" customFormat="1" ht="31.75" customHeight="1">
      <c r="A1431" s="109" t="s">
        <v>7178</v>
      </c>
      <c r="B1431" s="109" t="s">
        <v>7179</v>
      </c>
      <c r="C1431" s="113">
        <v>2019</v>
      </c>
      <c r="D1431" s="112">
        <v>75</v>
      </c>
      <c r="E1431" s="112">
        <v>1050.239759</v>
      </c>
      <c r="F1431" s="112">
        <v>425.97929399999998</v>
      </c>
      <c r="G1431" s="112">
        <v>640.235906</v>
      </c>
      <c r="H1431" s="112">
        <v>134.27364299999999</v>
      </c>
      <c r="I1431" s="112">
        <v>53.175612000000001</v>
      </c>
      <c r="J1431" s="112">
        <v>54.679766000000001</v>
      </c>
      <c r="K1431" s="112">
        <v>1.5041530000000001</v>
      </c>
      <c r="L1431" s="112">
        <v>151.18965800000001</v>
      </c>
      <c r="M1431" s="112">
        <v>137.349448</v>
      </c>
      <c r="N1431" s="112">
        <v>13.840209</v>
      </c>
    </row>
    <row r="1432" spans="1:17" s="117" customFormat="1" ht="31.75" customHeight="1">
      <c r="A1432" s="114" t="s">
        <v>7178</v>
      </c>
      <c r="B1432" s="114" t="s">
        <v>7179</v>
      </c>
      <c r="C1432" s="113">
        <v>2020</v>
      </c>
      <c r="D1432" s="112">
        <v>82</v>
      </c>
      <c r="E1432" s="112">
        <v>1126.56312</v>
      </c>
      <c r="F1432" s="112">
        <v>494.45998400000002</v>
      </c>
      <c r="G1432" s="112">
        <v>643.669535</v>
      </c>
      <c r="H1432" s="112">
        <v>141.211457</v>
      </c>
      <c r="I1432" s="112">
        <v>50.879646999999999</v>
      </c>
      <c r="J1432" s="112">
        <v>52.147993999999997</v>
      </c>
      <c r="K1432" s="112">
        <v>1.268348</v>
      </c>
      <c r="L1432" s="112">
        <v>196.01720800000001</v>
      </c>
      <c r="M1432" s="112">
        <v>187.730108</v>
      </c>
      <c r="N1432" s="112">
        <v>8.2871000000000006</v>
      </c>
    </row>
    <row r="1433" spans="1:17" s="117" customFormat="1" ht="31.75" customHeight="1">
      <c r="A1433" s="109" t="s">
        <v>7180</v>
      </c>
      <c r="B1433" s="109" t="s">
        <v>7181</v>
      </c>
      <c r="C1433" s="98">
        <v>2008</v>
      </c>
      <c r="D1433" s="99">
        <v>463</v>
      </c>
      <c r="E1433" s="99">
        <v>3560</v>
      </c>
      <c r="F1433" s="99">
        <v>1064</v>
      </c>
      <c r="G1433" s="99">
        <v>2532</v>
      </c>
      <c r="H1433" s="99">
        <v>642</v>
      </c>
      <c r="I1433" s="99">
        <v>75</v>
      </c>
      <c r="J1433" s="99">
        <v>84</v>
      </c>
      <c r="K1433" s="99">
        <v>9</v>
      </c>
      <c r="L1433" s="99">
        <v>420</v>
      </c>
      <c r="M1433" s="99">
        <v>385</v>
      </c>
      <c r="N1433" s="99">
        <v>35</v>
      </c>
      <c r="O1433" s="110"/>
      <c r="P1433" s="110"/>
      <c r="Q1433" s="110"/>
    </row>
    <row r="1434" spans="1:17" s="117" customFormat="1" ht="31.75" customHeight="1">
      <c r="A1434" s="109" t="s">
        <v>7180</v>
      </c>
      <c r="B1434" s="109" t="s">
        <v>7181</v>
      </c>
      <c r="C1434" s="98">
        <v>2009</v>
      </c>
      <c r="D1434" s="99">
        <v>444</v>
      </c>
      <c r="E1434" s="99">
        <v>3306</v>
      </c>
      <c r="F1434" s="99">
        <v>1111</v>
      </c>
      <c r="G1434" s="99">
        <v>2168</v>
      </c>
      <c r="H1434" s="99">
        <v>584</v>
      </c>
      <c r="I1434" s="99">
        <v>-10</v>
      </c>
      <c r="J1434" s="99">
        <v>40</v>
      </c>
      <c r="K1434" s="99">
        <v>50</v>
      </c>
      <c r="L1434" s="99">
        <v>378</v>
      </c>
      <c r="M1434" s="99">
        <v>404</v>
      </c>
      <c r="N1434" s="99">
        <v>-26</v>
      </c>
      <c r="O1434" s="110"/>
      <c r="P1434" s="110"/>
      <c r="Q1434" s="110"/>
    </row>
    <row r="1435" spans="1:17" s="117" customFormat="1" ht="31.75" customHeight="1">
      <c r="A1435" s="109" t="s">
        <v>7180</v>
      </c>
      <c r="B1435" s="109" t="s">
        <v>7181</v>
      </c>
      <c r="C1435" s="98">
        <v>2010</v>
      </c>
      <c r="D1435" s="99">
        <v>425</v>
      </c>
      <c r="E1435" s="99">
        <v>3525</v>
      </c>
      <c r="F1435" s="99">
        <v>1154</v>
      </c>
      <c r="G1435" s="99">
        <v>2418</v>
      </c>
      <c r="H1435" s="99">
        <v>604</v>
      </c>
      <c r="I1435" s="99">
        <v>46</v>
      </c>
      <c r="J1435" s="99">
        <v>51</v>
      </c>
      <c r="K1435" s="99">
        <v>5</v>
      </c>
      <c r="L1435" s="99">
        <v>381</v>
      </c>
      <c r="M1435" s="99">
        <v>329</v>
      </c>
      <c r="N1435" s="99">
        <v>52</v>
      </c>
      <c r="O1435" s="100"/>
      <c r="P1435" s="100"/>
      <c r="Q1435" s="100"/>
    </row>
    <row r="1436" spans="1:17" s="117" customFormat="1" ht="31.75" customHeight="1">
      <c r="A1436" s="109" t="s">
        <v>7180</v>
      </c>
      <c r="B1436" s="109" t="s">
        <v>7181</v>
      </c>
      <c r="C1436" s="98">
        <v>2011</v>
      </c>
      <c r="D1436" s="99">
        <v>411</v>
      </c>
      <c r="E1436" s="99">
        <v>3436</v>
      </c>
      <c r="F1436" s="99">
        <v>934</v>
      </c>
      <c r="G1436" s="99">
        <v>2520</v>
      </c>
      <c r="H1436" s="99">
        <v>639</v>
      </c>
      <c r="I1436" s="99">
        <v>74</v>
      </c>
      <c r="J1436" s="99">
        <v>82</v>
      </c>
      <c r="K1436" s="99">
        <v>8</v>
      </c>
      <c r="L1436" s="99">
        <v>415</v>
      </c>
      <c r="M1436" s="99">
        <v>390</v>
      </c>
      <c r="N1436" s="99">
        <v>25</v>
      </c>
      <c r="O1436" s="110"/>
      <c r="P1436" s="110"/>
      <c r="Q1436" s="110"/>
    </row>
    <row r="1437" spans="1:17" s="117" customFormat="1" ht="31.75" customHeight="1">
      <c r="A1437" s="109" t="s">
        <v>7180</v>
      </c>
      <c r="B1437" s="109" t="s">
        <v>7181</v>
      </c>
      <c r="C1437" s="111">
        <v>2012</v>
      </c>
      <c r="D1437" s="112">
        <v>418</v>
      </c>
      <c r="E1437" s="112">
        <v>3428</v>
      </c>
      <c r="F1437" s="112">
        <v>958</v>
      </c>
      <c r="G1437" s="112">
        <v>2440</v>
      </c>
      <c r="H1437" s="112">
        <v>668</v>
      </c>
      <c r="I1437" s="112">
        <v>145</v>
      </c>
      <c r="J1437" s="112">
        <v>151</v>
      </c>
      <c r="K1437" s="112">
        <v>5</v>
      </c>
      <c r="L1437" s="112">
        <v>372</v>
      </c>
      <c r="M1437" s="112">
        <v>404</v>
      </c>
      <c r="N1437" s="112">
        <v>-32</v>
      </c>
      <c r="O1437" s="100"/>
      <c r="P1437" s="100"/>
      <c r="Q1437" s="100"/>
    </row>
    <row r="1438" spans="1:17" s="117" customFormat="1" ht="31.75" customHeight="1">
      <c r="A1438" s="109" t="s">
        <v>7180</v>
      </c>
      <c r="B1438" s="109" t="s">
        <v>7181</v>
      </c>
      <c r="C1438" s="113">
        <v>2013</v>
      </c>
      <c r="D1438" s="112">
        <v>415</v>
      </c>
      <c r="E1438" s="112">
        <v>3678</v>
      </c>
      <c r="F1438" s="112">
        <v>1105</v>
      </c>
      <c r="G1438" s="112">
        <v>2577</v>
      </c>
      <c r="H1438" s="112">
        <v>675</v>
      </c>
      <c r="I1438" s="112">
        <v>47</v>
      </c>
      <c r="J1438" s="112">
        <v>56</v>
      </c>
      <c r="K1438" s="112">
        <v>9</v>
      </c>
      <c r="L1438" s="112">
        <v>354</v>
      </c>
      <c r="M1438" s="112">
        <v>347</v>
      </c>
      <c r="N1438" s="112">
        <v>7</v>
      </c>
      <c r="O1438" s="100"/>
      <c r="P1438" s="100"/>
      <c r="Q1438" s="100"/>
    </row>
    <row r="1439" spans="1:17" s="117" customFormat="1" ht="31.75" customHeight="1">
      <c r="A1439" s="109" t="s">
        <v>7180</v>
      </c>
      <c r="B1439" s="109" t="s">
        <v>7181</v>
      </c>
      <c r="C1439" s="113">
        <v>2014</v>
      </c>
      <c r="D1439" s="99">
        <v>408</v>
      </c>
      <c r="E1439" s="99">
        <v>3632</v>
      </c>
      <c r="F1439" s="99">
        <v>946</v>
      </c>
      <c r="G1439" s="99">
        <v>2666</v>
      </c>
      <c r="H1439" s="99">
        <v>652</v>
      </c>
      <c r="I1439" s="99" t="s">
        <v>6953</v>
      </c>
      <c r="J1439" s="99">
        <v>134</v>
      </c>
      <c r="K1439" s="99" t="s">
        <v>6953</v>
      </c>
      <c r="L1439" s="99">
        <v>314</v>
      </c>
      <c r="M1439" s="99">
        <v>337</v>
      </c>
      <c r="N1439" s="99">
        <v>-23</v>
      </c>
      <c r="O1439" s="110"/>
      <c r="P1439" s="110"/>
      <c r="Q1439" s="110"/>
    </row>
    <row r="1440" spans="1:17" s="117" customFormat="1" ht="31.75" customHeight="1">
      <c r="A1440" s="109" t="s">
        <v>7180</v>
      </c>
      <c r="B1440" s="109" t="s">
        <v>7181</v>
      </c>
      <c r="C1440" s="113">
        <v>2015</v>
      </c>
      <c r="D1440" s="112">
        <v>426</v>
      </c>
      <c r="E1440" s="112">
        <v>3318</v>
      </c>
      <c r="F1440" s="112">
        <v>1394</v>
      </c>
      <c r="G1440" s="112">
        <v>1925</v>
      </c>
      <c r="H1440" s="112">
        <v>592</v>
      </c>
      <c r="I1440" s="112">
        <v>108</v>
      </c>
      <c r="J1440" s="99" t="s">
        <v>6953</v>
      </c>
      <c r="K1440" s="99" t="s">
        <v>6953</v>
      </c>
      <c r="L1440" s="112">
        <v>295</v>
      </c>
      <c r="M1440" s="112">
        <v>294</v>
      </c>
      <c r="N1440" s="112" t="s">
        <v>6952</v>
      </c>
      <c r="O1440" s="110"/>
      <c r="P1440" s="110"/>
      <c r="Q1440" s="110"/>
    </row>
    <row r="1441" spans="1:17" s="117" customFormat="1" ht="31.75" customHeight="1">
      <c r="A1441" s="109" t="s">
        <v>7180</v>
      </c>
      <c r="B1441" s="109" t="s">
        <v>7181</v>
      </c>
      <c r="C1441" s="113">
        <v>2016</v>
      </c>
      <c r="D1441" s="112">
        <v>412</v>
      </c>
      <c r="E1441" s="112">
        <v>3336</v>
      </c>
      <c r="F1441" s="112">
        <v>1242</v>
      </c>
      <c r="G1441" s="112">
        <v>2081</v>
      </c>
      <c r="H1441" s="112">
        <v>587</v>
      </c>
      <c r="I1441" s="112">
        <v>90</v>
      </c>
      <c r="J1441" s="112">
        <v>94</v>
      </c>
      <c r="K1441" s="112">
        <v>4</v>
      </c>
      <c r="L1441" s="112">
        <v>458</v>
      </c>
      <c r="M1441" s="112">
        <v>469</v>
      </c>
      <c r="N1441" s="112">
        <v>-11</v>
      </c>
    </row>
    <row r="1442" spans="1:17" s="117" customFormat="1" ht="31.75" customHeight="1">
      <c r="A1442" s="109" t="s">
        <v>7180</v>
      </c>
      <c r="B1442" s="109" t="s">
        <v>7181</v>
      </c>
      <c r="C1442" s="113">
        <v>2017</v>
      </c>
      <c r="D1442" s="112">
        <v>423</v>
      </c>
      <c r="E1442" s="112">
        <v>3293</v>
      </c>
      <c r="F1442" s="112">
        <v>1234</v>
      </c>
      <c r="G1442" s="112">
        <v>2095</v>
      </c>
      <c r="H1442" s="112">
        <v>544</v>
      </c>
      <c r="I1442" s="112">
        <v>276</v>
      </c>
      <c r="J1442" s="112">
        <v>283</v>
      </c>
      <c r="K1442" s="112">
        <v>6</v>
      </c>
      <c r="L1442" s="112">
        <v>366</v>
      </c>
      <c r="M1442" s="112">
        <v>328</v>
      </c>
      <c r="N1442" s="112">
        <v>38</v>
      </c>
    </row>
    <row r="1443" spans="1:17" s="117" customFormat="1" ht="31.75" customHeight="1">
      <c r="A1443" s="109" t="s">
        <v>7180</v>
      </c>
      <c r="B1443" s="109" t="s">
        <v>7181</v>
      </c>
      <c r="C1443" s="113">
        <v>2018</v>
      </c>
      <c r="D1443" s="112">
        <v>422</v>
      </c>
      <c r="E1443" s="112">
        <v>3620</v>
      </c>
      <c r="F1443" s="112">
        <v>1331</v>
      </c>
      <c r="G1443" s="112">
        <v>2319</v>
      </c>
      <c r="H1443" s="112">
        <v>607</v>
      </c>
      <c r="I1443" s="112">
        <v>80</v>
      </c>
      <c r="J1443" s="112">
        <v>82</v>
      </c>
      <c r="K1443" s="112">
        <v>2</v>
      </c>
      <c r="L1443" s="112">
        <v>401</v>
      </c>
      <c r="M1443" s="112">
        <v>373</v>
      </c>
      <c r="N1443" s="112">
        <v>29</v>
      </c>
    </row>
    <row r="1444" spans="1:17" s="117" customFormat="1" ht="31.75" customHeight="1">
      <c r="A1444" s="109" t="s">
        <v>7180</v>
      </c>
      <c r="B1444" s="109" t="s">
        <v>7181</v>
      </c>
      <c r="C1444" s="113">
        <v>2019</v>
      </c>
      <c r="D1444" s="112">
        <v>413</v>
      </c>
      <c r="E1444" s="112">
        <v>3589.8538060000001</v>
      </c>
      <c r="F1444" s="112">
        <v>1355.8362299999999</v>
      </c>
      <c r="G1444" s="112">
        <v>2236.8106079999998</v>
      </c>
      <c r="H1444" s="112">
        <v>604.76510399999995</v>
      </c>
      <c r="I1444" s="112">
        <v>79.520886000000004</v>
      </c>
      <c r="J1444" s="112">
        <v>83.475853999999998</v>
      </c>
      <c r="K1444" s="112">
        <v>3.9549690000000002</v>
      </c>
      <c r="L1444" s="112">
        <v>403.87635799999998</v>
      </c>
      <c r="M1444" s="112">
        <v>399.52349900000002</v>
      </c>
      <c r="N1444" s="112">
        <v>4.3528589999999996</v>
      </c>
    </row>
    <row r="1445" spans="1:17" s="117" customFormat="1" ht="31.75" customHeight="1">
      <c r="A1445" s="114" t="s">
        <v>7180</v>
      </c>
      <c r="B1445" s="114" t="s">
        <v>7181</v>
      </c>
      <c r="C1445" s="113">
        <v>2020</v>
      </c>
      <c r="D1445" s="112">
        <v>417</v>
      </c>
      <c r="E1445" s="112">
        <v>3692.7534639999999</v>
      </c>
      <c r="F1445" s="112">
        <v>1570.6904019999999</v>
      </c>
      <c r="G1445" s="112">
        <v>2122.2368889999998</v>
      </c>
      <c r="H1445" s="112">
        <v>640.59473500000001</v>
      </c>
      <c r="I1445" s="112">
        <v>84.782965000000004</v>
      </c>
      <c r="J1445" s="112">
        <v>85.712986999999998</v>
      </c>
      <c r="K1445" s="112">
        <v>0.93002200000000002</v>
      </c>
      <c r="L1445" s="112">
        <v>406.58705099999997</v>
      </c>
      <c r="M1445" s="112">
        <v>400.62798199999997</v>
      </c>
      <c r="N1445" s="112">
        <v>5.9590690000000004</v>
      </c>
      <c r="O1445" s="110"/>
      <c r="P1445" s="110"/>
      <c r="Q1445" s="110"/>
    </row>
    <row r="1446" spans="1:17" s="117" customFormat="1" ht="48" customHeight="1">
      <c r="A1446" s="109" t="s">
        <v>7182</v>
      </c>
      <c r="B1446" s="109" t="s">
        <v>7183</v>
      </c>
      <c r="C1446" s="98">
        <v>2008</v>
      </c>
      <c r="D1446" s="99">
        <v>677</v>
      </c>
      <c r="E1446" s="99">
        <v>4199</v>
      </c>
      <c r="F1446" s="99">
        <v>1409</v>
      </c>
      <c r="G1446" s="99">
        <v>2804</v>
      </c>
      <c r="H1446" s="99">
        <v>700</v>
      </c>
      <c r="I1446" s="99">
        <v>26</v>
      </c>
      <c r="J1446" s="99">
        <v>212</v>
      </c>
      <c r="K1446" s="99">
        <v>187</v>
      </c>
      <c r="L1446" s="99">
        <v>417</v>
      </c>
      <c r="M1446" s="99">
        <v>398</v>
      </c>
      <c r="N1446" s="99">
        <v>19</v>
      </c>
      <c r="O1446" s="110"/>
      <c r="P1446" s="110"/>
      <c r="Q1446" s="110"/>
    </row>
    <row r="1447" spans="1:17" s="117" customFormat="1" ht="48" customHeight="1">
      <c r="A1447" s="109" t="s">
        <v>7182</v>
      </c>
      <c r="B1447" s="109" t="s">
        <v>7183</v>
      </c>
      <c r="C1447" s="98">
        <v>2009</v>
      </c>
      <c r="D1447" s="99">
        <v>683</v>
      </c>
      <c r="E1447" s="99">
        <v>4252</v>
      </c>
      <c r="F1447" s="99">
        <v>1190</v>
      </c>
      <c r="G1447" s="99">
        <v>3036</v>
      </c>
      <c r="H1447" s="99">
        <v>728</v>
      </c>
      <c r="I1447" s="99">
        <v>94</v>
      </c>
      <c r="J1447" s="99">
        <v>122</v>
      </c>
      <c r="K1447" s="99">
        <v>29</v>
      </c>
      <c r="L1447" s="99">
        <v>422</v>
      </c>
      <c r="M1447" s="99">
        <v>442</v>
      </c>
      <c r="N1447" s="99">
        <v>-19</v>
      </c>
      <c r="O1447" s="100"/>
      <c r="P1447" s="100"/>
      <c r="Q1447" s="100"/>
    </row>
    <row r="1448" spans="1:17" s="117" customFormat="1" ht="48" customHeight="1">
      <c r="A1448" s="109" t="s">
        <v>7182</v>
      </c>
      <c r="B1448" s="109" t="s">
        <v>7183</v>
      </c>
      <c r="C1448" s="98">
        <v>2010</v>
      </c>
      <c r="D1448" s="99">
        <v>651</v>
      </c>
      <c r="E1448" s="99">
        <v>5424</v>
      </c>
      <c r="F1448" s="99">
        <v>1108</v>
      </c>
      <c r="G1448" s="99">
        <v>4336</v>
      </c>
      <c r="H1448" s="99">
        <v>902</v>
      </c>
      <c r="I1448" s="99">
        <v>165</v>
      </c>
      <c r="J1448" s="99">
        <v>175</v>
      </c>
      <c r="K1448" s="99">
        <v>10</v>
      </c>
      <c r="L1448" s="99">
        <v>331</v>
      </c>
      <c r="M1448" s="99">
        <v>307</v>
      </c>
      <c r="N1448" s="99">
        <v>25</v>
      </c>
      <c r="O1448" s="110"/>
      <c r="P1448" s="110"/>
      <c r="Q1448" s="110"/>
    </row>
    <row r="1449" spans="1:17" s="117" customFormat="1" ht="48" customHeight="1">
      <c r="A1449" s="109" t="s">
        <v>7182</v>
      </c>
      <c r="B1449" s="109" t="s">
        <v>7183</v>
      </c>
      <c r="C1449" s="98">
        <v>2011</v>
      </c>
      <c r="D1449" s="99">
        <v>652</v>
      </c>
      <c r="E1449" s="99">
        <v>5816</v>
      </c>
      <c r="F1449" s="99">
        <v>1374</v>
      </c>
      <c r="G1449" s="99">
        <v>4471</v>
      </c>
      <c r="H1449" s="99">
        <v>855</v>
      </c>
      <c r="I1449" s="99">
        <v>146</v>
      </c>
      <c r="J1449" s="99">
        <v>165</v>
      </c>
      <c r="K1449" s="99">
        <v>19</v>
      </c>
      <c r="L1449" s="99">
        <v>468</v>
      </c>
      <c r="M1449" s="99">
        <v>433</v>
      </c>
      <c r="N1449" s="99">
        <v>35</v>
      </c>
      <c r="O1449" s="100"/>
      <c r="P1449" s="100"/>
      <c r="Q1449" s="100"/>
    </row>
    <row r="1450" spans="1:17" s="117" customFormat="1" ht="48" customHeight="1">
      <c r="A1450" s="109" t="s">
        <v>7182</v>
      </c>
      <c r="B1450" s="109" t="s">
        <v>7183</v>
      </c>
      <c r="C1450" s="111">
        <v>2012</v>
      </c>
      <c r="D1450" s="112">
        <v>638</v>
      </c>
      <c r="E1450" s="112">
        <v>5954</v>
      </c>
      <c r="F1450" s="112">
        <v>1284</v>
      </c>
      <c r="G1450" s="112">
        <v>4662</v>
      </c>
      <c r="H1450" s="112">
        <v>917</v>
      </c>
      <c r="I1450" s="112">
        <v>160</v>
      </c>
      <c r="J1450" s="112">
        <v>165</v>
      </c>
      <c r="K1450" s="112">
        <v>5</v>
      </c>
      <c r="L1450" s="112">
        <v>404</v>
      </c>
      <c r="M1450" s="112">
        <v>409</v>
      </c>
      <c r="N1450" s="112">
        <v>-4</v>
      </c>
      <c r="O1450" s="100"/>
      <c r="P1450" s="100"/>
      <c r="Q1450" s="100"/>
    </row>
    <row r="1451" spans="1:17" s="117" customFormat="1" ht="48" customHeight="1">
      <c r="A1451" s="109" t="s">
        <v>7182</v>
      </c>
      <c r="B1451" s="109" t="s">
        <v>7183</v>
      </c>
      <c r="C1451" s="113">
        <v>2013</v>
      </c>
      <c r="D1451" s="112">
        <v>694</v>
      </c>
      <c r="E1451" s="112">
        <v>5808</v>
      </c>
      <c r="F1451" s="112">
        <v>1303</v>
      </c>
      <c r="G1451" s="112">
        <v>4523</v>
      </c>
      <c r="H1451" s="112">
        <v>855</v>
      </c>
      <c r="I1451" s="112">
        <v>156</v>
      </c>
      <c r="J1451" s="112">
        <v>182</v>
      </c>
      <c r="K1451" s="112">
        <v>27</v>
      </c>
      <c r="L1451" s="112">
        <v>453</v>
      </c>
      <c r="M1451" s="112">
        <v>431</v>
      </c>
      <c r="N1451" s="112">
        <v>22</v>
      </c>
      <c r="O1451" s="110"/>
      <c r="P1451" s="110"/>
      <c r="Q1451" s="110"/>
    </row>
    <row r="1452" spans="1:17" s="117" customFormat="1" ht="48" customHeight="1">
      <c r="A1452" s="109" t="s">
        <v>7182</v>
      </c>
      <c r="B1452" s="109" t="s">
        <v>7183</v>
      </c>
      <c r="C1452" s="113">
        <v>2014</v>
      </c>
      <c r="D1452" s="99">
        <v>758</v>
      </c>
      <c r="E1452" s="99">
        <v>6012</v>
      </c>
      <c r="F1452" s="99">
        <v>1536</v>
      </c>
      <c r="G1452" s="99">
        <v>4462</v>
      </c>
      <c r="H1452" s="99">
        <v>884</v>
      </c>
      <c r="I1452" s="99">
        <v>171</v>
      </c>
      <c r="J1452" s="99">
        <v>218</v>
      </c>
      <c r="K1452" s="99">
        <v>46</v>
      </c>
      <c r="L1452" s="99">
        <v>434</v>
      </c>
      <c r="M1452" s="99">
        <v>445</v>
      </c>
      <c r="N1452" s="99">
        <v>-11</v>
      </c>
      <c r="O1452" s="110"/>
      <c r="P1452" s="110"/>
      <c r="Q1452" s="110"/>
    </row>
    <row r="1453" spans="1:17" s="117" customFormat="1" ht="48" customHeight="1">
      <c r="A1453" s="109" t="s">
        <v>7182</v>
      </c>
      <c r="B1453" s="109" t="s">
        <v>7183</v>
      </c>
      <c r="C1453" s="113">
        <v>2015</v>
      </c>
      <c r="D1453" s="112">
        <v>841</v>
      </c>
      <c r="E1453" s="112">
        <v>5787</v>
      </c>
      <c r="F1453" s="112">
        <v>1544</v>
      </c>
      <c r="G1453" s="112">
        <v>4279</v>
      </c>
      <c r="H1453" s="112">
        <v>919</v>
      </c>
      <c r="I1453" s="112">
        <v>239</v>
      </c>
      <c r="J1453" s="112">
        <v>247</v>
      </c>
      <c r="K1453" s="112">
        <v>8</v>
      </c>
      <c r="L1453" s="112">
        <v>438</v>
      </c>
      <c r="M1453" s="112">
        <v>405</v>
      </c>
      <c r="N1453" s="112">
        <v>33</v>
      </c>
    </row>
    <row r="1454" spans="1:17" s="117" customFormat="1" ht="48" customHeight="1">
      <c r="A1454" s="109" t="s">
        <v>7182</v>
      </c>
      <c r="B1454" s="109" t="s">
        <v>7183</v>
      </c>
      <c r="C1454" s="113">
        <v>2016</v>
      </c>
      <c r="D1454" s="112">
        <v>932</v>
      </c>
      <c r="E1454" s="112">
        <v>5846</v>
      </c>
      <c r="F1454" s="112">
        <v>1552</v>
      </c>
      <c r="G1454" s="112">
        <v>4292</v>
      </c>
      <c r="H1454" s="112">
        <v>892</v>
      </c>
      <c r="I1454" s="112">
        <v>212</v>
      </c>
      <c r="J1454" s="112">
        <v>250</v>
      </c>
      <c r="K1454" s="112">
        <v>38</v>
      </c>
      <c r="L1454" s="112">
        <v>450</v>
      </c>
      <c r="M1454" s="112">
        <v>455</v>
      </c>
      <c r="N1454" s="112">
        <v>-5</v>
      </c>
    </row>
    <row r="1455" spans="1:17" s="117" customFormat="1" ht="48" customHeight="1">
      <c r="A1455" s="109" t="s">
        <v>7182</v>
      </c>
      <c r="B1455" s="109" t="s">
        <v>7183</v>
      </c>
      <c r="C1455" s="113">
        <v>2017</v>
      </c>
      <c r="D1455" s="112">
        <v>1025</v>
      </c>
      <c r="E1455" s="112">
        <v>6575</v>
      </c>
      <c r="F1455" s="112">
        <v>1688</v>
      </c>
      <c r="G1455" s="112">
        <v>4980</v>
      </c>
      <c r="H1455" s="112">
        <v>943</v>
      </c>
      <c r="I1455" s="112">
        <v>235</v>
      </c>
      <c r="J1455" s="112">
        <v>258</v>
      </c>
      <c r="K1455" s="112">
        <v>23</v>
      </c>
      <c r="L1455" s="112">
        <v>551</v>
      </c>
      <c r="M1455" s="112">
        <v>479</v>
      </c>
      <c r="N1455" s="112">
        <v>71</v>
      </c>
    </row>
    <row r="1456" spans="1:17" s="117" customFormat="1" ht="48" customHeight="1">
      <c r="A1456" s="109" t="s">
        <v>7182</v>
      </c>
      <c r="B1456" s="109" t="s">
        <v>7183</v>
      </c>
      <c r="C1456" s="113">
        <v>2018</v>
      </c>
      <c r="D1456" s="112">
        <v>1055</v>
      </c>
      <c r="E1456" s="112">
        <v>7043</v>
      </c>
      <c r="F1456" s="112">
        <v>1898</v>
      </c>
      <c r="G1456" s="112">
        <v>5227</v>
      </c>
      <c r="H1456" s="112">
        <v>1026</v>
      </c>
      <c r="I1456" s="112">
        <v>226</v>
      </c>
      <c r="J1456" s="112">
        <v>231</v>
      </c>
      <c r="K1456" s="112">
        <v>5</v>
      </c>
      <c r="L1456" s="112">
        <v>656</v>
      </c>
      <c r="M1456" s="112">
        <v>603</v>
      </c>
      <c r="N1456" s="112">
        <v>53</v>
      </c>
    </row>
    <row r="1457" spans="1:17" s="117" customFormat="1" ht="48" customHeight="1">
      <c r="A1457" s="109" t="s">
        <v>7182</v>
      </c>
      <c r="B1457" s="109" t="s">
        <v>7183</v>
      </c>
      <c r="C1457" s="113">
        <v>2019</v>
      </c>
      <c r="D1457" s="112">
        <v>1065</v>
      </c>
      <c r="E1457" s="112">
        <v>7172.7724909999997</v>
      </c>
      <c r="F1457" s="112">
        <v>2007.0125860000001</v>
      </c>
      <c r="G1457" s="112">
        <v>5247.9641949999996</v>
      </c>
      <c r="H1457" s="112">
        <v>1134.088313</v>
      </c>
      <c r="I1457" s="112">
        <v>199.187814</v>
      </c>
      <c r="J1457" s="112">
        <v>265.18889100000001</v>
      </c>
      <c r="K1457" s="112">
        <v>66.001076999999995</v>
      </c>
      <c r="L1457" s="112">
        <v>690.48638000000005</v>
      </c>
      <c r="M1457" s="112">
        <v>621.09648300000003</v>
      </c>
      <c r="N1457" s="112">
        <v>69.389897000000005</v>
      </c>
      <c r="O1457" s="110"/>
      <c r="P1457" s="110"/>
      <c r="Q1457" s="110"/>
    </row>
    <row r="1458" spans="1:17" s="117" customFormat="1" ht="48" customHeight="1">
      <c r="A1458" s="114" t="s">
        <v>7182</v>
      </c>
      <c r="B1458" s="114" t="s">
        <v>7183</v>
      </c>
      <c r="C1458" s="113">
        <v>2020</v>
      </c>
      <c r="D1458" s="112">
        <v>1230</v>
      </c>
      <c r="E1458" s="112">
        <v>7622.6720130000003</v>
      </c>
      <c r="F1458" s="112">
        <v>2475.8727260000001</v>
      </c>
      <c r="G1458" s="112">
        <v>5364.5059730000003</v>
      </c>
      <c r="H1458" s="112">
        <v>1144.1249600000001</v>
      </c>
      <c r="I1458" s="112">
        <v>274.897402</v>
      </c>
      <c r="J1458" s="112">
        <v>316.30346100000003</v>
      </c>
      <c r="K1458" s="112">
        <v>41.406058999999999</v>
      </c>
      <c r="L1458" s="112">
        <v>843.29882099999998</v>
      </c>
      <c r="M1458" s="112">
        <v>666.18933600000003</v>
      </c>
      <c r="N1458" s="112">
        <v>177.10948500000001</v>
      </c>
      <c r="O1458" s="110"/>
      <c r="P1458" s="110"/>
      <c r="Q1458" s="110"/>
    </row>
    <row r="1459" spans="1:17" s="117" customFormat="1" ht="31.75" customHeight="1">
      <c r="A1459" s="109" t="s">
        <v>7184</v>
      </c>
      <c r="B1459" s="109" t="s">
        <v>7185</v>
      </c>
      <c r="C1459" s="98">
        <v>2008</v>
      </c>
      <c r="D1459" s="99">
        <v>342</v>
      </c>
      <c r="E1459" s="99">
        <v>2343</v>
      </c>
      <c r="F1459" s="99">
        <v>762</v>
      </c>
      <c r="G1459" s="99">
        <v>1605</v>
      </c>
      <c r="H1459" s="99">
        <v>353</v>
      </c>
      <c r="I1459" s="99">
        <v>61</v>
      </c>
      <c r="J1459" s="99" t="s">
        <v>6953</v>
      </c>
      <c r="K1459" s="99" t="s">
        <v>6953</v>
      </c>
      <c r="L1459" s="99">
        <v>218</v>
      </c>
      <c r="M1459" s="99">
        <v>196</v>
      </c>
      <c r="N1459" s="99">
        <v>23</v>
      </c>
      <c r="O1459" s="100"/>
      <c r="P1459" s="100"/>
      <c r="Q1459" s="100"/>
    </row>
    <row r="1460" spans="1:17" s="117" customFormat="1" ht="31.75" customHeight="1">
      <c r="A1460" s="109" t="s">
        <v>7184</v>
      </c>
      <c r="B1460" s="109" t="s">
        <v>7185</v>
      </c>
      <c r="C1460" s="98">
        <v>2009</v>
      </c>
      <c r="D1460" s="99">
        <v>347</v>
      </c>
      <c r="E1460" s="99">
        <v>1877</v>
      </c>
      <c r="F1460" s="99">
        <v>487</v>
      </c>
      <c r="G1460" s="99">
        <v>1391</v>
      </c>
      <c r="H1460" s="99">
        <v>297</v>
      </c>
      <c r="I1460" s="99">
        <v>22</v>
      </c>
      <c r="J1460" s="99">
        <v>42</v>
      </c>
      <c r="K1460" s="99">
        <v>20</v>
      </c>
      <c r="L1460" s="99">
        <v>179</v>
      </c>
      <c r="M1460" s="99">
        <v>175</v>
      </c>
      <c r="N1460" s="99">
        <v>3</v>
      </c>
      <c r="O1460" s="110"/>
      <c r="P1460" s="110"/>
      <c r="Q1460" s="110"/>
    </row>
    <row r="1461" spans="1:17" s="117" customFormat="1" ht="31.75" customHeight="1">
      <c r="A1461" s="109" t="s">
        <v>7184</v>
      </c>
      <c r="B1461" s="109" t="s">
        <v>7185</v>
      </c>
      <c r="C1461" s="98">
        <v>2010</v>
      </c>
      <c r="D1461" s="99">
        <v>334</v>
      </c>
      <c r="E1461" s="99">
        <v>1452</v>
      </c>
      <c r="F1461" s="99">
        <v>340</v>
      </c>
      <c r="G1461" s="99">
        <v>1118</v>
      </c>
      <c r="H1461" s="99">
        <v>267</v>
      </c>
      <c r="I1461" s="99">
        <v>50</v>
      </c>
      <c r="J1461" s="99">
        <v>51</v>
      </c>
      <c r="K1461" s="99">
        <v>2</v>
      </c>
      <c r="L1461" s="99">
        <v>129</v>
      </c>
      <c r="M1461" s="99">
        <v>122</v>
      </c>
      <c r="N1461" s="99">
        <v>7</v>
      </c>
      <c r="O1461" s="100"/>
      <c r="P1461" s="100"/>
      <c r="Q1461" s="100"/>
    </row>
    <row r="1462" spans="1:17" s="117" customFormat="1" ht="31.75" customHeight="1">
      <c r="A1462" s="109" t="s">
        <v>7184</v>
      </c>
      <c r="B1462" s="109" t="s">
        <v>7185</v>
      </c>
      <c r="C1462" s="98">
        <v>2011</v>
      </c>
      <c r="D1462" s="99">
        <v>337</v>
      </c>
      <c r="E1462" s="99">
        <v>1397</v>
      </c>
      <c r="F1462" s="99">
        <v>457</v>
      </c>
      <c r="G1462" s="99">
        <v>952</v>
      </c>
      <c r="H1462" s="99">
        <v>261</v>
      </c>
      <c r="I1462" s="99">
        <v>28</v>
      </c>
      <c r="J1462" s="99">
        <v>33</v>
      </c>
      <c r="K1462" s="99">
        <v>4</v>
      </c>
      <c r="L1462" s="99">
        <v>155</v>
      </c>
      <c r="M1462" s="99">
        <v>141</v>
      </c>
      <c r="N1462" s="99">
        <v>14</v>
      </c>
      <c r="O1462" s="100"/>
      <c r="P1462" s="100"/>
      <c r="Q1462" s="100"/>
    </row>
    <row r="1463" spans="1:17" s="117" customFormat="1" ht="31.75" customHeight="1">
      <c r="A1463" s="109" t="s">
        <v>7184</v>
      </c>
      <c r="B1463" s="109" t="s">
        <v>7185</v>
      </c>
      <c r="C1463" s="111">
        <v>2012</v>
      </c>
      <c r="D1463" s="112">
        <v>333</v>
      </c>
      <c r="E1463" s="112">
        <v>1588</v>
      </c>
      <c r="F1463" s="112">
        <v>446</v>
      </c>
      <c r="G1463" s="112">
        <v>1123</v>
      </c>
      <c r="H1463" s="112">
        <v>242</v>
      </c>
      <c r="I1463" s="112">
        <v>34</v>
      </c>
      <c r="J1463" s="112">
        <v>37</v>
      </c>
      <c r="K1463" s="112">
        <v>3</v>
      </c>
      <c r="L1463" s="112">
        <v>136</v>
      </c>
      <c r="M1463" s="112">
        <v>155</v>
      </c>
      <c r="N1463" s="112">
        <v>-19</v>
      </c>
      <c r="O1463" s="110"/>
      <c r="P1463" s="110"/>
      <c r="Q1463" s="110"/>
    </row>
    <row r="1464" spans="1:17" s="117" customFormat="1" ht="31.75" customHeight="1">
      <c r="A1464" s="109" t="s">
        <v>7184</v>
      </c>
      <c r="B1464" s="109" t="s">
        <v>7185</v>
      </c>
      <c r="C1464" s="113">
        <v>2013</v>
      </c>
      <c r="D1464" s="112">
        <v>329</v>
      </c>
      <c r="E1464" s="112">
        <v>1483</v>
      </c>
      <c r="F1464" s="112">
        <v>366</v>
      </c>
      <c r="G1464" s="112">
        <v>1106</v>
      </c>
      <c r="H1464" s="112">
        <v>234</v>
      </c>
      <c r="I1464" s="112">
        <v>25</v>
      </c>
      <c r="J1464" s="112">
        <v>27</v>
      </c>
      <c r="K1464" s="112">
        <v>1</v>
      </c>
      <c r="L1464" s="112">
        <v>155</v>
      </c>
      <c r="M1464" s="112">
        <v>166</v>
      </c>
      <c r="N1464" s="112">
        <v>-10</v>
      </c>
      <c r="O1464" s="110"/>
      <c r="P1464" s="110"/>
      <c r="Q1464" s="110"/>
    </row>
    <row r="1465" spans="1:17" s="117" customFormat="1" ht="31.75" customHeight="1">
      <c r="A1465" s="109" t="s">
        <v>7184</v>
      </c>
      <c r="B1465" s="109" t="s">
        <v>7185</v>
      </c>
      <c r="C1465" s="113">
        <v>2014</v>
      </c>
      <c r="D1465" s="99">
        <v>330</v>
      </c>
      <c r="E1465" s="99">
        <v>1656</v>
      </c>
      <c r="F1465" s="99">
        <v>481</v>
      </c>
      <c r="G1465" s="99">
        <v>1159</v>
      </c>
      <c r="H1465" s="99">
        <v>304</v>
      </c>
      <c r="I1465" s="99">
        <v>34</v>
      </c>
      <c r="J1465" s="99">
        <v>41</v>
      </c>
      <c r="K1465" s="99">
        <v>7</v>
      </c>
      <c r="L1465" s="99">
        <v>165</v>
      </c>
      <c r="M1465" s="99">
        <v>182</v>
      </c>
      <c r="N1465" s="99">
        <v>-17</v>
      </c>
    </row>
    <row r="1466" spans="1:17" s="117" customFormat="1" ht="31.75" customHeight="1">
      <c r="A1466" s="109" t="s">
        <v>7184</v>
      </c>
      <c r="B1466" s="109" t="s">
        <v>7185</v>
      </c>
      <c r="C1466" s="113">
        <v>2015</v>
      </c>
      <c r="D1466" s="112">
        <v>346</v>
      </c>
      <c r="E1466" s="112">
        <v>3532</v>
      </c>
      <c r="F1466" s="112">
        <v>797</v>
      </c>
      <c r="G1466" s="112">
        <v>2761</v>
      </c>
      <c r="H1466" s="112">
        <v>496</v>
      </c>
      <c r="I1466" s="112">
        <v>113</v>
      </c>
      <c r="J1466" s="112">
        <v>118</v>
      </c>
      <c r="K1466" s="112">
        <v>6</v>
      </c>
      <c r="L1466" s="112">
        <v>162</v>
      </c>
      <c r="M1466" s="112">
        <v>140</v>
      </c>
      <c r="N1466" s="112">
        <v>22</v>
      </c>
    </row>
    <row r="1467" spans="1:17" s="117" customFormat="1" ht="31.75" customHeight="1">
      <c r="A1467" s="109" t="s">
        <v>7184</v>
      </c>
      <c r="B1467" s="109" t="s">
        <v>7185</v>
      </c>
      <c r="C1467" s="113">
        <v>2016</v>
      </c>
      <c r="D1467" s="112">
        <v>362</v>
      </c>
      <c r="E1467" s="112">
        <v>3441</v>
      </c>
      <c r="F1467" s="112">
        <v>739</v>
      </c>
      <c r="G1467" s="112">
        <v>2714</v>
      </c>
      <c r="H1467" s="112">
        <v>480</v>
      </c>
      <c r="I1467" s="112">
        <v>106</v>
      </c>
      <c r="J1467" s="99" t="s">
        <v>6953</v>
      </c>
      <c r="K1467" s="99" t="s">
        <v>6953</v>
      </c>
      <c r="L1467" s="112">
        <v>172</v>
      </c>
      <c r="M1467" s="112">
        <v>162</v>
      </c>
      <c r="N1467" s="112">
        <v>10</v>
      </c>
    </row>
    <row r="1468" spans="1:17" s="117" customFormat="1" ht="31.75" customHeight="1">
      <c r="A1468" s="109" t="s">
        <v>7184</v>
      </c>
      <c r="B1468" s="109" t="s">
        <v>7185</v>
      </c>
      <c r="C1468" s="113">
        <v>2017</v>
      </c>
      <c r="D1468" s="112">
        <v>390</v>
      </c>
      <c r="E1468" s="112">
        <v>3898</v>
      </c>
      <c r="F1468" s="112">
        <v>810</v>
      </c>
      <c r="G1468" s="112">
        <v>3109</v>
      </c>
      <c r="H1468" s="112">
        <v>517</v>
      </c>
      <c r="I1468" s="112">
        <v>92</v>
      </c>
      <c r="J1468" s="112">
        <v>105</v>
      </c>
      <c r="K1468" s="112">
        <v>13</v>
      </c>
      <c r="L1468" s="112">
        <v>207</v>
      </c>
      <c r="M1468" s="112">
        <v>188</v>
      </c>
      <c r="N1468" s="112">
        <v>19</v>
      </c>
    </row>
    <row r="1469" spans="1:17" s="117" customFormat="1" ht="31.75" customHeight="1">
      <c r="A1469" s="109" t="s">
        <v>7184</v>
      </c>
      <c r="B1469" s="109" t="s">
        <v>7185</v>
      </c>
      <c r="C1469" s="113">
        <v>2018</v>
      </c>
      <c r="D1469" s="112">
        <v>388</v>
      </c>
      <c r="E1469" s="112">
        <v>4253</v>
      </c>
      <c r="F1469" s="112">
        <v>985</v>
      </c>
      <c r="G1469" s="112">
        <v>3288</v>
      </c>
      <c r="H1469" s="112">
        <v>541</v>
      </c>
      <c r="I1469" s="112">
        <v>115</v>
      </c>
      <c r="J1469" s="112">
        <v>117</v>
      </c>
      <c r="K1469" s="112">
        <v>2</v>
      </c>
      <c r="L1469" s="112">
        <v>244</v>
      </c>
      <c r="M1469" s="112">
        <v>238</v>
      </c>
      <c r="N1469" s="112">
        <v>6</v>
      </c>
      <c r="O1469" s="110"/>
      <c r="P1469" s="110"/>
      <c r="Q1469" s="110"/>
    </row>
    <row r="1470" spans="1:17" s="117" customFormat="1" ht="31.75" customHeight="1">
      <c r="A1470" s="109" t="s">
        <v>7184</v>
      </c>
      <c r="B1470" s="109" t="s">
        <v>7185</v>
      </c>
      <c r="C1470" s="113">
        <v>2019</v>
      </c>
      <c r="D1470" s="112">
        <v>400</v>
      </c>
      <c r="E1470" s="112">
        <v>4306.280143</v>
      </c>
      <c r="F1470" s="112">
        <v>1188.2116820000001</v>
      </c>
      <c r="G1470" s="112">
        <v>3137.2643400000002</v>
      </c>
      <c r="H1470" s="112">
        <v>582.06721800000003</v>
      </c>
      <c r="I1470" s="112">
        <v>111.274382</v>
      </c>
      <c r="J1470" s="112">
        <v>170.511124</v>
      </c>
      <c r="K1470" s="112">
        <v>59.236742</v>
      </c>
      <c r="L1470" s="112">
        <v>220.07244800000001</v>
      </c>
      <c r="M1470" s="112">
        <v>212.3022</v>
      </c>
      <c r="N1470" s="112">
        <v>7.7702479999999996</v>
      </c>
      <c r="O1470" s="110"/>
      <c r="P1470" s="110"/>
      <c r="Q1470" s="110"/>
    </row>
    <row r="1471" spans="1:17" s="117" customFormat="1" ht="31.75" customHeight="1">
      <c r="A1471" s="114" t="s">
        <v>7184</v>
      </c>
      <c r="B1471" s="114" t="s">
        <v>7185</v>
      </c>
      <c r="C1471" s="113">
        <v>2020</v>
      </c>
      <c r="D1471" s="112">
        <v>463</v>
      </c>
      <c r="E1471" s="112">
        <v>4534.6008789999996</v>
      </c>
      <c r="F1471" s="112">
        <v>1469.930366</v>
      </c>
      <c r="G1471" s="112">
        <v>3165.1211309999999</v>
      </c>
      <c r="H1471" s="112">
        <v>658.60305200000005</v>
      </c>
      <c r="I1471" s="112">
        <v>220.16012900000001</v>
      </c>
      <c r="J1471" s="112">
        <v>236.03050200000001</v>
      </c>
      <c r="K1471" s="112">
        <v>15.870373000000001</v>
      </c>
      <c r="L1471" s="112">
        <v>398.75452200000001</v>
      </c>
      <c r="M1471" s="112">
        <v>298.95294799999999</v>
      </c>
      <c r="N1471" s="112">
        <v>99.801574000000002</v>
      </c>
      <c r="O1471" s="100"/>
      <c r="P1471" s="100"/>
      <c r="Q1471" s="100"/>
    </row>
    <row r="1472" spans="1:17" s="117" customFormat="1" ht="17.5" customHeight="1">
      <c r="A1472" s="109" t="s">
        <v>7186</v>
      </c>
      <c r="B1472" s="109" t="s">
        <v>7187</v>
      </c>
      <c r="C1472" s="98">
        <v>2008</v>
      </c>
      <c r="D1472" s="99">
        <v>335</v>
      </c>
      <c r="E1472" s="99">
        <v>1856</v>
      </c>
      <c r="F1472" s="99">
        <v>647</v>
      </c>
      <c r="G1472" s="99">
        <v>1200</v>
      </c>
      <c r="H1472" s="99">
        <v>347</v>
      </c>
      <c r="I1472" s="99">
        <v>-35</v>
      </c>
      <c r="J1472" s="99" t="s">
        <v>6953</v>
      </c>
      <c r="K1472" s="99" t="s">
        <v>6953</v>
      </c>
      <c r="L1472" s="99">
        <v>199</v>
      </c>
      <c r="M1472" s="99">
        <v>202</v>
      </c>
      <c r="N1472" s="99">
        <v>-3</v>
      </c>
      <c r="O1472" s="110"/>
      <c r="P1472" s="110"/>
      <c r="Q1472" s="110"/>
    </row>
    <row r="1473" spans="1:17" s="117" customFormat="1" ht="17.5" customHeight="1">
      <c r="A1473" s="109" t="s">
        <v>7186</v>
      </c>
      <c r="B1473" s="109" t="s">
        <v>7187</v>
      </c>
      <c r="C1473" s="98">
        <v>2009</v>
      </c>
      <c r="D1473" s="99">
        <v>336</v>
      </c>
      <c r="E1473" s="99">
        <v>2375</v>
      </c>
      <c r="F1473" s="99">
        <v>703</v>
      </c>
      <c r="G1473" s="99">
        <v>1645</v>
      </c>
      <c r="H1473" s="99">
        <v>431</v>
      </c>
      <c r="I1473" s="99">
        <v>72</v>
      </c>
      <c r="J1473" s="99">
        <v>81</v>
      </c>
      <c r="K1473" s="99">
        <v>9</v>
      </c>
      <c r="L1473" s="99">
        <v>244</v>
      </c>
      <c r="M1473" s="99">
        <v>266</v>
      </c>
      <c r="N1473" s="99">
        <v>-23</v>
      </c>
      <c r="O1473" s="100"/>
      <c r="P1473" s="100"/>
      <c r="Q1473" s="100"/>
    </row>
    <row r="1474" spans="1:17" s="117" customFormat="1" ht="17.5" customHeight="1">
      <c r="A1474" s="109" t="s">
        <v>7186</v>
      </c>
      <c r="B1474" s="109" t="s">
        <v>7187</v>
      </c>
      <c r="C1474" s="98">
        <v>2010</v>
      </c>
      <c r="D1474" s="99">
        <v>317</v>
      </c>
      <c r="E1474" s="99">
        <v>3973</v>
      </c>
      <c r="F1474" s="99">
        <v>769</v>
      </c>
      <c r="G1474" s="99">
        <v>3218</v>
      </c>
      <c r="H1474" s="99">
        <v>635</v>
      </c>
      <c r="I1474" s="99">
        <v>116</v>
      </c>
      <c r="J1474" s="99">
        <v>124</v>
      </c>
      <c r="K1474" s="99">
        <v>8</v>
      </c>
      <c r="L1474" s="99">
        <v>203</v>
      </c>
      <c r="M1474" s="99">
        <v>185</v>
      </c>
      <c r="N1474" s="99">
        <v>18</v>
      </c>
      <c r="O1474" s="100"/>
      <c r="P1474" s="100"/>
      <c r="Q1474" s="100"/>
    </row>
    <row r="1475" spans="1:17" s="117" customFormat="1" ht="17.5" customHeight="1">
      <c r="A1475" s="109" t="s">
        <v>7186</v>
      </c>
      <c r="B1475" s="109" t="s">
        <v>7187</v>
      </c>
      <c r="C1475" s="98">
        <v>2011</v>
      </c>
      <c r="D1475" s="99">
        <v>315</v>
      </c>
      <c r="E1475" s="99">
        <v>4419</v>
      </c>
      <c r="F1475" s="99">
        <v>917</v>
      </c>
      <c r="G1475" s="99">
        <v>3519</v>
      </c>
      <c r="H1475" s="99">
        <v>593</v>
      </c>
      <c r="I1475" s="99">
        <v>117</v>
      </c>
      <c r="J1475" s="99">
        <v>132</v>
      </c>
      <c r="K1475" s="99">
        <v>15</v>
      </c>
      <c r="L1475" s="99">
        <v>313</v>
      </c>
      <c r="M1475" s="99">
        <v>292</v>
      </c>
      <c r="N1475" s="99">
        <v>21</v>
      </c>
      <c r="O1475" s="110"/>
      <c r="P1475" s="110"/>
      <c r="Q1475" s="110"/>
    </row>
    <row r="1476" spans="1:17" s="117" customFormat="1" ht="17.5" customHeight="1">
      <c r="A1476" s="109" t="s">
        <v>7186</v>
      </c>
      <c r="B1476" s="109" t="s">
        <v>7187</v>
      </c>
      <c r="C1476" s="111">
        <v>2012</v>
      </c>
      <c r="D1476" s="112">
        <v>305</v>
      </c>
      <c r="E1476" s="112">
        <v>4365</v>
      </c>
      <c r="F1476" s="112">
        <v>838</v>
      </c>
      <c r="G1476" s="112">
        <v>3539</v>
      </c>
      <c r="H1476" s="112">
        <v>675</v>
      </c>
      <c r="I1476" s="112">
        <v>126</v>
      </c>
      <c r="J1476" s="112">
        <v>128</v>
      </c>
      <c r="K1476" s="112">
        <v>2</v>
      </c>
      <c r="L1476" s="112">
        <v>268</v>
      </c>
      <c r="M1476" s="112">
        <v>254</v>
      </c>
      <c r="N1476" s="112">
        <v>15</v>
      </c>
      <c r="O1476" s="110"/>
      <c r="P1476" s="110"/>
      <c r="Q1476" s="110"/>
    </row>
    <row r="1477" spans="1:17" s="117" customFormat="1" ht="17.5" customHeight="1">
      <c r="A1477" s="109" t="s">
        <v>7186</v>
      </c>
      <c r="B1477" s="109" t="s">
        <v>7187</v>
      </c>
      <c r="C1477" s="113">
        <v>2013</v>
      </c>
      <c r="D1477" s="112">
        <v>365</v>
      </c>
      <c r="E1477" s="112">
        <v>4325</v>
      </c>
      <c r="F1477" s="112">
        <v>937</v>
      </c>
      <c r="G1477" s="112">
        <v>3417</v>
      </c>
      <c r="H1477" s="112">
        <v>621</v>
      </c>
      <c r="I1477" s="112">
        <v>131</v>
      </c>
      <c r="J1477" s="112">
        <v>156</v>
      </c>
      <c r="K1477" s="112">
        <v>25</v>
      </c>
      <c r="L1477" s="112">
        <v>298</v>
      </c>
      <c r="M1477" s="112">
        <v>265</v>
      </c>
      <c r="N1477" s="112">
        <v>33</v>
      </c>
    </row>
    <row r="1478" spans="1:17" s="117" customFormat="1" ht="17.5" customHeight="1">
      <c r="A1478" s="109" t="s">
        <v>7186</v>
      </c>
      <c r="B1478" s="109" t="s">
        <v>7187</v>
      </c>
      <c r="C1478" s="113">
        <v>2014</v>
      </c>
      <c r="D1478" s="99">
        <v>428</v>
      </c>
      <c r="E1478" s="99">
        <v>4356</v>
      </c>
      <c r="F1478" s="99">
        <v>1054</v>
      </c>
      <c r="G1478" s="99">
        <v>3303</v>
      </c>
      <c r="H1478" s="99">
        <v>580</v>
      </c>
      <c r="I1478" s="99">
        <v>138</v>
      </c>
      <c r="J1478" s="99">
        <v>177</v>
      </c>
      <c r="K1478" s="99">
        <v>39</v>
      </c>
      <c r="L1478" s="99">
        <v>269</v>
      </c>
      <c r="M1478" s="99">
        <v>263</v>
      </c>
      <c r="N1478" s="99">
        <v>6</v>
      </c>
    </row>
    <row r="1479" spans="1:17" s="117" customFormat="1" ht="17.5" customHeight="1">
      <c r="A1479" s="109" t="s">
        <v>7186</v>
      </c>
      <c r="B1479" s="109" t="s">
        <v>7187</v>
      </c>
      <c r="C1479" s="113">
        <v>2015</v>
      </c>
      <c r="D1479" s="112">
        <v>495</v>
      </c>
      <c r="E1479" s="112">
        <v>2255</v>
      </c>
      <c r="F1479" s="112">
        <v>747</v>
      </c>
      <c r="G1479" s="112">
        <v>1518</v>
      </c>
      <c r="H1479" s="112">
        <v>423</v>
      </c>
      <c r="I1479" s="112">
        <v>126</v>
      </c>
      <c r="J1479" s="112">
        <v>128</v>
      </c>
      <c r="K1479" s="112">
        <v>2</v>
      </c>
      <c r="L1479" s="112">
        <v>276</v>
      </c>
      <c r="M1479" s="112">
        <v>265</v>
      </c>
      <c r="N1479" s="112">
        <v>11</v>
      </c>
    </row>
    <row r="1480" spans="1:17" s="117" customFormat="1" ht="17.5" customHeight="1">
      <c r="A1480" s="109" t="s">
        <v>7186</v>
      </c>
      <c r="B1480" s="109" t="s">
        <v>7187</v>
      </c>
      <c r="C1480" s="113">
        <v>2016</v>
      </c>
      <c r="D1480" s="112">
        <v>570</v>
      </c>
      <c r="E1480" s="112">
        <v>2404</v>
      </c>
      <c r="F1480" s="112">
        <v>813</v>
      </c>
      <c r="G1480" s="112">
        <v>1579</v>
      </c>
      <c r="H1480" s="112">
        <v>412</v>
      </c>
      <c r="I1480" s="112">
        <v>105</v>
      </c>
      <c r="J1480" s="99" t="s">
        <v>6953</v>
      </c>
      <c r="K1480" s="99" t="s">
        <v>6953</v>
      </c>
      <c r="L1480" s="112">
        <v>278</v>
      </c>
      <c r="M1480" s="112">
        <v>292</v>
      </c>
      <c r="N1480" s="112">
        <v>-15</v>
      </c>
    </row>
    <row r="1481" spans="1:17" s="117" customFormat="1" ht="17.5" customHeight="1">
      <c r="A1481" s="109" t="s">
        <v>7186</v>
      </c>
      <c r="B1481" s="109" t="s">
        <v>7187</v>
      </c>
      <c r="C1481" s="113">
        <v>2017</v>
      </c>
      <c r="D1481" s="112">
        <v>635</v>
      </c>
      <c r="E1481" s="112">
        <v>2676</v>
      </c>
      <c r="F1481" s="112">
        <v>878</v>
      </c>
      <c r="G1481" s="112">
        <v>1871</v>
      </c>
      <c r="H1481" s="112">
        <v>426</v>
      </c>
      <c r="I1481" s="112">
        <v>143</v>
      </c>
      <c r="J1481" s="112">
        <v>153</v>
      </c>
      <c r="K1481" s="112">
        <v>10</v>
      </c>
      <c r="L1481" s="112">
        <v>344</v>
      </c>
      <c r="M1481" s="112">
        <v>291</v>
      </c>
      <c r="N1481" s="112">
        <v>53</v>
      </c>
      <c r="O1481" s="110"/>
      <c r="P1481" s="110"/>
      <c r="Q1481" s="110"/>
    </row>
    <row r="1482" spans="1:17" s="117" customFormat="1" ht="17.5" customHeight="1">
      <c r="A1482" s="109" t="s">
        <v>7186</v>
      </c>
      <c r="B1482" s="109" t="s">
        <v>7187</v>
      </c>
      <c r="C1482" s="113">
        <v>2018</v>
      </c>
      <c r="D1482" s="112">
        <v>667</v>
      </c>
      <c r="E1482" s="112">
        <v>2789</v>
      </c>
      <c r="F1482" s="112">
        <v>913</v>
      </c>
      <c r="G1482" s="112">
        <v>1938</v>
      </c>
      <c r="H1482" s="112">
        <v>485</v>
      </c>
      <c r="I1482" s="112">
        <v>111</v>
      </c>
      <c r="J1482" s="112">
        <v>114</v>
      </c>
      <c r="K1482" s="112">
        <v>3</v>
      </c>
      <c r="L1482" s="112">
        <v>412</v>
      </c>
      <c r="M1482" s="112">
        <v>364</v>
      </c>
      <c r="N1482" s="112">
        <v>47</v>
      </c>
      <c r="O1482" s="110"/>
      <c r="P1482" s="110"/>
      <c r="Q1482" s="110"/>
    </row>
    <row r="1483" spans="1:17" s="117" customFormat="1" ht="17.5" customHeight="1">
      <c r="A1483" s="109" t="s">
        <v>7186</v>
      </c>
      <c r="B1483" s="109" t="s">
        <v>7187</v>
      </c>
      <c r="C1483" s="113">
        <v>2019</v>
      </c>
      <c r="D1483" s="112">
        <v>665</v>
      </c>
      <c r="E1483" s="112">
        <v>2866.4923490000001</v>
      </c>
      <c r="F1483" s="112">
        <v>818.80090399999995</v>
      </c>
      <c r="G1483" s="112">
        <v>2110.6998549999998</v>
      </c>
      <c r="H1483" s="112">
        <v>552.02109599999994</v>
      </c>
      <c r="I1483" s="112">
        <v>87.913432</v>
      </c>
      <c r="J1483" s="112">
        <v>94.677767000000003</v>
      </c>
      <c r="K1483" s="112">
        <v>6.764335</v>
      </c>
      <c r="L1483" s="112">
        <v>470.41393299999999</v>
      </c>
      <c r="M1483" s="112">
        <v>408.79428300000001</v>
      </c>
      <c r="N1483" s="112">
        <v>61.619649000000003</v>
      </c>
      <c r="O1483" s="100"/>
      <c r="P1483" s="100"/>
      <c r="Q1483" s="100"/>
    </row>
    <row r="1484" spans="1:17" s="117" customFormat="1" ht="17.5" customHeight="1">
      <c r="A1484" s="114" t="s">
        <v>7186</v>
      </c>
      <c r="B1484" s="114" t="s">
        <v>7187</v>
      </c>
      <c r="C1484" s="113">
        <v>2020</v>
      </c>
      <c r="D1484" s="112">
        <v>767</v>
      </c>
      <c r="E1484" s="112">
        <v>3088.0711339999998</v>
      </c>
      <c r="F1484" s="112">
        <v>1005.94236</v>
      </c>
      <c r="G1484" s="112">
        <v>2199.3848419999999</v>
      </c>
      <c r="H1484" s="112">
        <v>485.521908</v>
      </c>
      <c r="I1484" s="112">
        <v>54.737271999999997</v>
      </c>
      <c r="J1484" s="112">
        <v>80.272959</v>
      </c>
      <c r="K1484" s="112">
        <v>25.535685999999998</v>
      </c>
      <c r="L1484" s="112">
        <v>444.54429900000002</v>
      </c>
      <c r="M1484" s="112">
        <v>367.23638799999998</v>
      </c>
      <c r="N1484" s="112">
        <v>77.307911000000004</v>
      </c>
      <c r="O1484" s="110"/>
      <c r="P1484" s="110"/>
      <c r="Q1484" s="110"/>
    </row>
    <row r="1485" spans="1:17" s="117" customFormat="1" ht="17.5" customHeight="1">
      <c r="A1485" s="109" t="s">
        <v>7188</v>
      </c>
      <c r="B1485" s="109" t="s">
        <v>7189</v>
      </c>
      <c r="C1485" s="98">
        <v>2008</v>
      </c>
      <c r="D1485" s="99">
        <v>713</v>
      </c>
      <c r="E1485" s="99">
        <v>5579</v>
      </c>
      <c r="F1485" s="99">
        <v>2091</v>
      </c>
      <c r="G1485" s="99">
        <v>3609</v>
      </c>
      <c r="H1485" s="99">
        <v>954</v>
      </c>
      <c r="I1485" s="99">
        <v>156</v>
      </c>
      <c r="J1485" s="99" t="s">
        <v>6953</v>
      </c>
      <c r="K1485" s="99" t="s">
        <v>6953</v>
      </c>
      <c r="L1485" s="99">
        <v>785</v>
      </c>
      <c r="M1485" s="99">
        <v>664</v>
      </c>
      <c r="N1485" s="99">
        <v>122</v>
      </c>
      <c r="O1485" s="100"/>
      <c r="P1485" s="100"/>
      <c r="Q1485" s="100"/>
    </row>
    <row r="1486" spans="1:17" s="117" customFormat="1" ht="17.5" customHeight="1">
      <c r="A1486" s="109" t="s">
        <v>7188</v>
      </c>
      <c r="B1486" s="109" t="s">
        <v>7189</v>
      </c>
      <c r="C1486" s="98">
        <v>2009</v>
      </c>
      <c r="D1486" s="99">
        <v>655</v>
      </c>
      <c r="E1486" s="99">
        <v>5587</v>
      </c>
      <c r="F1486" s="99">
        <v>1751</v>
      </c>
      <c r="G1486" s="99">
        <v>3777</v>
      </c>
      <c r="H1486" s="99">
        <v>991</v>
      </c>
      <c r="I1486" s="99">
        <v>132</v>
      </c>
      <c r="J1486" s="99">
        <v>164</v>
      </c>
      <c r="K1486" s="99">
        <v>32</v>
      </c>
      <c r="L1486" s="99">
        <v>596</v>
      </c>
      <c r="M1486" s="99">
        <v>649</v>
      </c>
      <c r="N1486" s="99">
        <v>-53</v>
      </c>
      <c r="O1486" s="100"/>
      <c r="P1486" s="100"/>
      <c r="Q1486" s="100"/>
    </row>
    <row r="1487" spans="1:17" s="117" customFormat="1" ht="17.5" customHeight="1">
      <c r="A1487" s="109" t="s">
        <v>7188</v>
      </c>
      <c r="B1487" s="109" t="s">
        <v>7189</v>
      </c>
      <c r="C1487" s="98">
        <v>2010</v>
      </c>
      <c r="D1487" s="99">
        <v>640</v>
      </c>
      <c r="E1487" s="99">
        <v>6437</v>
      </c>
      <c r="F1487" s="99">
        <v>2041</v>
      </c>
      <c r="G1487" s="99">
        <v>4502</v>
      </c>
      <c r="H1487" s="99">
        <v>797</v>
      </c>
      <c r="I1487" s="99">
        <v>107</v>
      </c>
      <c r="J1487" s="99">
        <v>131</v>
      </c>
      <c r="K1487" s="99">
        <v>24</v>
      </c>
      <c r="L1487" s="99">
        <v>767</v>
      </c>
      <c r="M1487" s="99">
        <v>657</v>
      </c>
      <c r="N1487" s="99">
        <v>111</v>
      </c>
      <c r="O1487" s="110"/>
      <c r="P1487" s="110"/>
      <c r="Q1487" s="110"/>
    </row>
    <row r="1488" spans="1:17" s="117" customFormat="1" ht="17.5" customHeight="1">
      <c r="A1488" s="109" t="s">
        <v>7188</v>
      </c>
      <c r="B1488" s="109" t="s">
        <v>7189</v>
      </c>
      <c r="C1488" s="98">
        <v>2011</v>
      </c>
      <c r="D1488" s="99">
        <v>606</v>
      </c>
      <c r="E1488" s="99">
        <v>6135</v>
      </c>
      <c r="F1488" s="99">
        <v>1820</v>
      </c>
      <c r="G1488" s="99">
        <v>4268</v>
      </c>
      <c r="H1488" s="99">
        <v>851</v>
      </c>
      <c r="I1488" s="99">
        <v>149</v>
      </c>
      <c r="J1488" s="99">
        <v>158</v>
      </c>
      <c r="K1488" s="99">
        <v>9</v>
      </c>
      <c r="L1488" s="99">
        <v>754</v>
      </c>
      <c r="M1488" s="99">
        <v>799</v>
      </c>
      <c r="N1488" s="99">
        <v>-44</v>
      </c>
      <c r="O1488" s="110"/>
      <c r="P1488" s="110"/>
      <c r="Q1488" s="110"/>
    </row>
    <row r="1489" spans="1:17" s="117" customFormat="1" ht="17.5" customHeight="1">
      <c r="A1489" s="109" t="s">
        <v>7188</v>
      </c>
      <c r="B1489" s="109" t="s">
        <v>7189</v>
      </c>
      <c r="C1489" s="111">
        <v>2012</v>
      </c>
      <c r="D1489" s="112">
        <v>593</v>
      </c>
      <c r="E1489" s="112">
        <v>5956</v>
      </c>
      <c r="F1489" s="112">
        <v>1925</v>
      </c>
      <c r="G1489" s="112">
        <v>3993</v>
      </c>
      <c r="H1489" s="112">
        <v>850</v>
      </c>
      <c r="I1489" s="112">
        <v>146</v>
      </c>
      <c r="J1489" s="112">
        <v>153</v>
      </c>
      <c r="K1489" s="112">
        <v>7</v>
      </c>
      <c r="L1489" s="112">
        <v>726</v>
      </c>
      <c r="M1489" s="112">
        <v>762</v>
      </c>
      <c r="N1489" s="112">
        <v>-36</v>
      </c>
    </row>
    <row r="1490" spans="1:17" s="117" customFormat="1" ht="17.5" customHeight="1">
      <c r="A1490" s="109" t="s">
        <v>7188</v>
      </c>
      <c r="B1490" s="109" t="s">
        <v>7189</v>
      </c>
      <c r="C1490" s="113">
        <v>2013</v>
      </c>
      <c r="D1490" s="112">
        <v>619</v>
      </c>
      <c r="E1490" s="112">
        <v>6417</v>
      </c>
      <c r="F1490" s="112">
        <v>2302</v>
      </c>
      <c r="G1490" s="112">
        <v>4186</v>
      </c>
      <c r="H1490" s="112">
        <v>885</v>
      </c>
      <c r="I1490" s="112">
        <v>178</v>
      </c>
      <c r="J1490" s="112">
        <v>186</v>
      </c>
      <c r="K1490" s="112">
        <v>8</v>
      </c>
      <c r="L1490" s="112">
        <v>799</v>
      </c>
      <c r="M1490" s="112">
        <v>727</v>
      </c>
      <c r="N1490" s="112">
        <v>71</v>
      </c>
    </row>
    <row r="1491" spans="1:17" s="117" customFormat="1" ht="17.5" customHeight="1">
      <c r="A1491" s="109" t="s">
        <v>7188</v>
      </c>
      <c r="B1491" s="109" t="s">
        <v>7189</v>
      </c>
      <c r="C1491" s="113">
        <v>2014</v>
      </c>
      <c r="D1491" s="99">
        <v>625</v>
      </c>
      <c r="E1491" s="99">
        <v>5402</v>
      </c>
      <c r="F1491" s="99">
        <v>2121</v>
      </c>
      <c r="G1491" s="99">
        <v>3322</v>
      </c>
      <c r="H1491" s="99">
        <v>788</v>
      </c>
      <c r="I1491" s="99">
        <v>152</v>
      </c>
      <c r="J1491" s="99">
        <v>168</v>
      </c>
      <c r="K1491" s="99">
        <v>16</v>
      </c>
      <c r="L1491" s="99">
        <v>703</v>
      </c>
      <c r="M1491" s="99">
        <v>661</v>
      </c>
      <c r="N1491" s="99">
        <v>42</v>
      </c>
    </row>
    <row r="1492" spans="1:17" s="117" customFormat="1" ht="17.5" customHeight="1">
      <c r="A1492" s="109" t="s">
        <v>7188</v>
      </c>
      <c r="B1492" s="109" t="s">
        <v>7189</v>
      </c>
      <c r="C1492" s="113">
        <v>2015</v>
      </c>
      <c r="D1492" s="112">
        <v>637</v>
      </c>
      <c r="E1492" s="112">
        <v>5510</v>
      </c>
      <c r="F1492" s="112">
        <v>1996</v>
      </c>
      <c r="G1492" s="112">
        <v>3533</v>
      </c>
      <c r="H1492" s="112">
        <v>950</v>
      </c>
      <c r="I1492" s="112">
        <v>226</v>
      </c>
      <c r="J1492" s="112">
        <v>231</v>
      </c>
      <c r="K1492" s="112">
        <v>4</v>
      </c>
      <c r="L1492" s="112">
        <v>726</v>
      </c>
      <c r="M1492" s="112">
        <v>706</v>
      </c>
      <c r="N1492" s="112">
        <v>20</v>
      </c>
    </row>
    <row r="1493" spans="1:17" s="117" customFormat="1" ht="17.5" customHeight="1">
      <c r="A1493" s="109" t="s">
        <v>7188</v>
      </c>
      <c r="B1493" s="109" t="s">
        <v>7189</v>
      </c>
      <c r="C1493" s="113">
        <v>2016</v>
      </c>
      <c r="D1493" s="112">
        <v>662</v>
      </c>
      <c r="E1493" s="112">
        <v>6214</v>
      </c>
      <c r="F1493" s="112">
        <v>2106</v>
      </c>
      <c r="G1493" s="112">
        <v>4115</v>
      </c>
      <c r="H1493" s="112">
        <v>1095</v>
      </c>
      <c r="I1493" s="112">
        <v>161</v>
      </c>
      <c r="J1493" s="112">
        <v>182</v>
      </c>
      <c r="K1493" s="112">
        <v>21</v>
      </c>
      <c r="L1493" s="112">
        <v>808</v>
      </c>
      <c r="M1493" s="112">
        <v>796</v>
      </c>
      <c r="N1493" s="112">
        <v>11</v>
      </c>
      <c r="O1493" s="110"/>
      <c r="P1493" s="110"/>
      <c r="Q1493" s="110"/>
    </row>
    <row r="1494" spans="1:17" s="117" customFormat="1" ht="17.5" customHeight="1">
      <c r="A1494" s="109" t="s">
        <v>7188</v>
      </c>
      <c r="B1494" s="109" t="s">
        <v>7189</v>
      </c>
      <c r="C1494" s="113">
        <v>2017</v>
      </c>
      <c r="D1494" s="112">
        <v>624</v>
      </c>
      <c r="E1494" s="112">
        <v>6158</v>
      </c>
      <c r="F1494" s="112">
        <v>2148</v>
      </c>
      <c r="G1494" s="112">
        <v>4115</v>
      </c>
      <c r="H1494" s="112">
        <v>884</v>
      </c>
      <c r="I1494" s="112">
        <v>151</v>
      </c>
      <c r="J1494" s="112">
        <v>163</v>
      </c>
      <c r="K1494" s="112">
        <v>12</v>
      </c>
      <c r="L1494" s="112">
        <v>868</v>
      </c>
      <c r="M1494" s="112">
        <v>772</v>
      </c>
      <c r="N1494" s="112">
        <v>96</v>
      </c>
      <c r="O1494" s="110"/>
      <c r="P1494" s="110"/>
      <c r="Q1494" s="110"/>
    </row>
    <row r="1495" spans="1:17" s="117" customFormat="1" ht="17.5" customHeight="1">
      <c r="A1495" s="109" t="s">
        <v>7188</v>
      </c>
      <c r="B1495" s="109" t="s">
        <v>7189</v>
      </c>
      <c r="C1495" s="113">
        <v>2018</v>
      </c>
      <c r="D1495" s="112">
        <v>635</v>
      </c>
      <c r="E1495" s="112">
        <v>6347</v>
      </c>
      <c r="F1495" s="112">
        <v>2028</v>
      </c>
      <c r="G1495" s="112">
        <v>4432</v>
      </c>
      <c r="H1495" s="112">
        <v>927</v>
      </c>
      <c r="I1495" s="112">
        <v>219</v>
      </c>
      <c r="J1495" s="112">
        <v>229</v>
      </c>
      <c r="K1495" s="112">
        <v>9</v>
      </c>
      <c r="L1495" s="112">
        <v>955</v>
      </c>
      <c r="M1495" s="112">
        <v>853</v>
      </c>
      <c r="N1495" s="112">
        <v>103</v>
      </c>
      <c r="O1495" s="100"/>
      <c r="P1495" s="100"/>
      <c r="Q1495" s="100"/>
    </row>
    <row r="1496" spans="1:17" s="117" customFormat="1" ht="17.5" customHeight="1">
      <c r="A1496" s="109" t="s">
        <v>7188</v>
      </c>
      <c r="B1496" s="109" t="s">
        <v>7189</v>
      </c>
      <c r="C1496" s="113">
        <v>2019</v>
      </c>
      <c r="D1496" s="112">
        <v>629</v>
      </c>
      <c r="E1496" s="112">
        <v>6866.8776099999995</v>
      </c>
      <c r="F1496" s="112">
        <v>2210.6654950000002</v>
      </c>
      <c r="G1496" s="112">
        <v>4655.9684980000002</v>
      </c>
      <c r="H1496" s="112">
        <v>977.23410799999999</v>
      </c>
      <c r="I1496" s="112">
        <v>204.02315999999999</v>
      </c>
      <c r="J1496" s="112" t="s">
        <v>6953</v>
      </c>
      <c r="K1496" s="112" t="s">
        <v>6953</v>
      </c>
      <c r="L1496" s="112">
        <v>1120.6616200000001</v>
      </c>
      <c r="M1496" s="112">
        <v>1109.3052379999999</v>
      </c>
      <c r="N1496" s="112">
        <v>11.356382</v>
      </c>
      <c r="O1496" s="110"/>
      <c r="P1496" s="110"/>
      <c r="Q1496" s="110"/>
    </row>
    <row r="1497" spans="1:17" s="117" customFormat="1" ht="17.5" customHeight="1">
      <c r="A1497" s="114" t="s">
        <v>7188</v>
      </c>
      <c r="B1497" s="114" t="s">
        <v>7189</v>
      </c>
      <c r="C1497" s="113">
        <v>2020</v>
      </c>
      <c r="D1497" s="112">
        <v>644</v>
      </c>
      <c r="E1497" s="112">
        <v>6465.6176599999999</v>
      </c>
      <c r="F1497" s="112">
        <v>2165.4183320000002</v>
      </c>
      <c r="G1497" s="112">
        <v>4227.7264530000002</v>
      </c>
      <c r="H1497" s="112">
        <v>941.94817899999998</v>
      </c>
      <c r="I1497" s="112">
        <v>142.008321</v>
      </c>
      <c r="J1497" s="112" t="s">
        <v>6953</v>
      </c>
      <c r="K1497" s="112" t="s">
        <v>6953</v>
      </c>
      <c r="L1497" s="112">
        <v>922.49675100000002</v>
      </c>
      <c r="M1497" s="112">
        <v>993.04158199999995</v>
      </c>
      <c r="N1497" s="112">
        <v>-70.544830000000005</v>
      </c>
      <c r="O1497" s="100"/>
      <c r="P1497" s="100"/>
      <c r="Q1497" s="100"/>
    </row>
    <row r="1498" spans="1:17" s="117" customFormat="1" ht="17.5" customHeight="1">
      <c r="A1498" s="109" t="s">
        <v>7190</v>
      </c>
      <c r="B1498" s="109" t="s">
        <v>7191</v>
      </c>
      <c r="C1498" s="98">
        <v>2008</v>
      </c>
      <c r="D1498" s="99">
        <v>17</v>
      </c>
      <c r="E1498" s="99">
        <v>140</v>
      </c>
      <c r="F1498" s="99">
        <v>71</v>
      </c>
      <c r="G1498" s="99">
        <v>68</v>
      </c>
      <c r="H1498" s="99">
        <v>25</v>
      </c>
      <c r="I1498" s="99">
        <v>5</v>
      </c>
      <c r="J1498" s="99" t="s">
        <v>6953</v>
      </c>
      <c r="K1498" s="99" t="s">
        <v>6953</v>
      </c>
      <c r="L1498" s="99">
        <v>17</v>
      </c>
      <c r="M1498" s="99">
        <v>17</v>
      </c>
      <c r="N1498" s="99" t="s">
        <v>6952</v>
      </c>
      <c r="O1498" s="100"/>
      <c r="P1498" s="100"/>
      <c r="Q1498" s="100"/>
    </row>
    <row r="1499" spans="1:17" s="117" customFormat="1" ht="17.5" customHeight="1">
      <c r="A1499" s="109" t="s">
        <v>7190</v>
      </c>
      <c r="B1499" s="109" t="s">
        <v>7191</v>
      </c>
      <c r="C1499" s="98">
        <v>2009</v>
      </c>
      <c r="D1499" s="99">
        <v>20</v>
      </c>
      <c r="E1499" s="99">
        <v>205</v>
      </c>
      <c r="F1499" s="99">
        <v>104</v>
      </c>
      <c r="G1499" s="99">
        <v>101</v>
      </c>
      <c r="H1499" s="99">
        <v>39</v>
      </c>
      <c r="I1499" s="99">
        <v>13</v>
      </c>
      <c r="J1499" s="99">
        <v>15</v>
      </c>
      <c r="K1499" s="99">
        <v>2</v>
      </c>
      <c r="L1499" s="99">
        <v>17</v>
      </c>
      <c r="M1499" s="99">
        <v>18</v>
      </c>
      <c r="N1499" s="99" t="s">
        <v>6952</v>
      </c>
      <c r="O1499" s="110"/>
      <c r="P1499" s="110"/>
      <c r="Q1499" s="110"/>
    </row>
    <row r="1500" spans="1:17" s="117" customFormat="1" ht="17.5" customHeight="1">
      <c r="A1500" s="109" t="s">
        <v>7190</v>
      </c>
      <c r="B1500" s="109" t="s">
        <v>7191</v>
      </c>
      <c r="C1500" s="98">
        <v>2010</v>
      </c>
      <c r="D1500" s="99">
        <v>21</v>
      </c>
      <c r="E1500" s="99">
        <v>198</v>
      </c>
      <c r="F1500" s="99">
        <v>83</v>
      </c>
      <c r="G1500" s="99">
        <v>114</v>
      </c>
      <c r="H1500" s="99">
        <v>40</v>
      </c>
      <c r="I1500" s="99">
        <v>18</v>
      </c>
      <c r="J1500" s="99">
        <v>20</v>
      </c>
      <c r="K1500" s="99">
        <v>2</v>
      </c>
      <c r="L1500" s="99">
        <v>18</v>
      </c>
      <c r="M1500" s="99">
        <v>20</v>
      </c>
      <c r="N1500" s="99">
        <v>-2</v>
      </c>
      <c r="O1500" s="110"/>
      <c r="P1500" s="110"/>
      <c r="Q1500" s="110"/>
    </row>
    <row r="1501" spans="1:17" s="117" customFormat="1" ht="17.5" customHeight="1">
      <c r="A1501" s="109" t="s">
        <v>7190</v>
      </c>
      <c r="B1501" s="109" t="s">
        <v>7191</v>
      </c>
      <c r="C1501" s="98">
        <v>2011</v>
      </c>
      <c r="D1501" s="99">
        <v>17</v>
      </c>
      <c r="E1501" s="99">
        <v>122</v>
      </c>
      <c r="F1501" s="99">
        <v>53</v>
      </c>
      <c r="G1501" s="99">
        <v>71</v>
      </c>
      <c r="H1501" s="99">
        <v>46</v>
      </c>
      <c r="I1501" s="99">
        <v>14</v>
      </c>
      <c r="J1501" s="99">
        <v>15</v>
      </c>
      <c r="K1501" s="99">
        <v>1</v>
      </c>
      <c r="L1501" s="99">
        <v>17</v>
      </c>
      <c r="M1501" s="99">
        <v>15</v>
      </c>
      <c r="N1501" s="99">
        <v>2</v>
      </c>
    </row>
    <row r="1502" spans="1:17" s="117" customFormat="1" ht="17.5" customHeight="1">
      <c r="A1502" s="109" t="s">
        <v>7190</v>
      </c>
      <c r="B1502" s="109" t="s">
        <v>7191</v>
      </c>
      <c r="C1502" s="111">
        <v>2012</v>
      </c>
      <c r="D1502" s="112">
        <v>17</v>
      </c>
      <c r="E1502" s="112">
        <v>97</v>
      </c>
      <c r="F1502" s="112">
        <v>30</v>
      </c>
      <c r="G1502" s="112">
        <v>70</v>
      </c>
      <c r="H1502" s="112">
        <v>28</v>
      </c>
      <c r="I1502" s="112">
        <v>7</v>
      </c>
      <c r="J1502" s="112">
        <v>8</v>
      </c>
      <c r="K1502" s="112" t="s">
        <v>6952</v>
      </c>
      <c r="L1502" s="112">
        <v>21</v>
      </c>
      <c r="M1502" s="112">
        <v>19</v>
      </c>
      <c r="N1502" s="112">
        <v>3</v>
      </c>
    </row>
    <row r="1503" spans="1:17" s="117" customFormat="1" ht="17.5" customHeight="1">
      <c r="A1503" s="109" t="s">
        <v>7190</v>
      </c>
      <c r="B1503" s="109" t="s">
        <v>7191</v>
      </c>
      <c r="C1503" s="113">
        <v>2013</v>
      </c>
      <c r="D1503" s="112">
        <v>18</v>
      </c>
      <c r="E1503" s="112">
        <v>91</v>
      </c>
      <c r="F1503" s="112">
        <v>44</v>
      </c>
      <c r="G1503" s="112">
        <v>43</v>
      </c>
      <c r="H1503" s="112">
        <v>25</v>
      </c>
      <c r="I1503" s="112">
        <v>3</v>
      </c>
      <c r="J1503" s="99" t="s">
        <v>6953</v>
      </c>
      <c r="K1503" s="99" t="s">
        <v>6953</v>
      </c>
      <c r="L1503" s="112">
        <v>15</v>
      </c>
      <c r="M1503" s="112">
        <v>19</v>
      </c>
      <c r="N1503" s="112">
        <v>-3</v>
      </c>
    </row>
    <row r="1504" spans="1:17" s="117" customFormat="1" ht="17.5" customHeight="1">
      <c r="A1504" s="109" t="s">
        <v>7190</v>
      </c>
      <c r="B1504" s="109" t="s">
        <v>7191</v>
      </c>
      <c r="C1504" s="113">
        <v>2014</v>
      </c>
      <c r="D1504" s="99" t="s">
        <v>6953</v>
      </c>
      <c r="E1504" s="99" t="s">
        <v>6953</v>
      </c>
      <c r="F1504" s="99" t="s">
        <v>6953</v>
      </c>
      <c r="G1504" s="99" t="s">
        <v>6953</v>
      </c>
      <c r="H1504" s="99" t="s">
        <v>6953</v>
      </c>
      <c r="I1504" s="99" t="s">
        <v>6953</v>
      </c>
      <c r="J1504" s="99" t="s">
        <v>6953</v>
      </c>
      <c r="K1504" s="99" t="s">
        <v>6953</v>
      </c>
      <c r="L1504" s="99" t="s">
        <v>6953</v>
      </c>
      <c r="M1504" s="99" t="s">
        <v>6953</v>
      </c>
      <c r="N1504" s="99" t="s">
        <v>6953</v>
      </c>
    </row>
    <row r="1505" spans="1:17" s="117" customFormat="1" ht="17.5" customHeight="1">
      <c r="A1505" s="109" t="s">
        <v>7190</v>
      </c>
      <c r="B1505" s="109" t="s">
        <v>7191</v>
      </c>
      <c r="C1505" s="113">
        <v>2015</v>
      </c>
      <c r="D1505" s="112">
        <v>17</v>
      </c>
      <c r="E1505" s="112">
        <v>140</v>
      </c>
      <c r="F1505" s="112">
        <v>41</v>
      </c>
      <c r="G1505" s="112">
        <v>99</v>
      </c>
      <c r="H1505" s="112">
        <v>34</v>
      </c>
      <c r="I1505" s="112">
        <v>2</v>
      </c>
      <c r="J1505" s="112">
        <v>2</v>
      </c>
      <c r="K1505" s="112" t="s">
        <v>6952</v>
      </c>
      <c r="L1505" s="112">
        <v>11</v>
      </c>
      <c r="M1505" s="112">
        <v>12</v>
      </c>
      <c r="N1505" s="112" t="s">
        <v>6952</v>
      </c>
      <c r="O1505" s="110"/>
      <c r="P1505" s="110"/>
      <c r="Q1505" s="110"/>
    </row>
    <row r="1506" spans="1:17" s="117" customFormat="1" ht="17.5" customHeight="1">
      <c r="A1506" s="109" t="s">
        <v>7190</v>
      </c>
      <c r="B1506" s="109" t="s">
        <v>7191</v>
      </c>
      <c r="C1506" s="113">
        <v>2016</v>
      </c>
      <c r="D1506" s="112">
        <v>20</v>
      </c>
      <c r="E1506" s="112">
        <v>175</v>
      </c>
      <c r="F1506" s="112">
        <v>57</v>
      </c>
      <c r="G1506" s="112">
        <v>117</v>
      </c>
      <c r="H1506" s="112">
        <v>35</v>
      </c>
      <c r="I1506" s="112">
        <v>4</v>
      </c>
      <c r="J1506" s="112">
        <v>5</v>
      </c>
      <c r="K1506" s="112">
        <v>1</v>
      </c>
      <c r="L1506" s="112">
        <v>19</v>
      </c>
      <c r="M1506" s="112">
        <v>20</v>
      </c>
      <c r="N1506" s="112">
        <v>-1</v>
      </c>
      <c r="O1506" s="110"/>
      <c r="P1506" s="110"/>
      <c r="Q1506" s="110"/>
    </row>
    <row r="1507" spans="1:17" s="117" customFormat="1" ht="17.5" customHeight="1">
      <c r="A1507" s="109" t="s">
        <v>7190</v>
      </c>
      <c r="B1507" s="109" t="s">
        <v>7191</v>
      </c>
      <c r="C1507" s="113">
        <v>2017</v>
      </c>
      <c r="D1507" s="112">
        <v>14</v>
      </c>
      <c r="E1507" s="112">
        <v>159</v>
      </c>
      <c r="F1507" s="112">
        <v>62</v>
      </c>
      <c r="G1507" s="112">
        <v>102</v>
      </c>
      <c r="H1507" s="112">
        <v>41</v>
      </c>
      <c r="I1507" s="112" t="s">
        <v>6952</v>
      </c>
      <c r="J1507" s="99" t="s">
        <v>6953</v>
      </c>
      <c r="K1507" s="99" t="s">
        <v>6953</v>
      </c>
      <c r="L1507" s="112">
        <v>22</v>
      </c>
      <c r="M1507" s="112">
        <v>18</v>
      </c>
      <c r="N1507" s="112">
        <v>5</v>
      </c>
      <c r="O1507" s="100"/>
      <c r="P1507" s="100"/>
      <c r="Q1507" s="100"/>
    </row>
    <row r="1508" spans="1:17" s="117" customFormat="1" ht="17.5" customHeight="1">
      <c r="A1508" s="109" t="s">
        <v>7190</v>
      </c>
      <c r="B1508" s="109" t="s">
        <v>7191</v>
      </c>
      <c r="C1508" s="113">
        <v>2018</v>
      </c>
      <c r="D1508" s="112">
        <v>14</v>
      </c>
      <c r="E1508" s="112">
        <v>125</v>
      </c>
      <c r="F1508" s="112">
        <v>44</v>
      </c>
      <c r="G1508" s="112">
        <v>83</v>
      </c>
      <c r="H1508" s="112">
        <v>35</v>
      </c>
      <c r="I1508" s="99" t="s">
        <v>6953</v>
      </c>
      <c r="J1508" s="99" t="s">
        <v>6953</v>
      </c>
      <c r="K1508" s="112" t="s">
        <v>6952</v>
      </c>
      <c r="L1508" s="112">
        <v>25</v>
      </c>
      <c r="M1508" s="112">
        <v>23</v>
      </c>
      <c r="N1508" s="112">
        <v>2</v>
      </c>
      <c r="O1508" s="110"/>
      <c r="P1508" s="110"/>
      <c r="Q1508" s="110"/>
    </row>
    <row r="1509" spans="1:17" s="117" customFormat="1" ht="17.5" customHeight="1">
      <c r="A1509" s="109" t="s">
        <v>7190</v>
      </c>
      <c r="B1509" s="109" t="s">
        <v>7191</v>
      </c>
      <c r="C1509" s="113">
        <v>2019</v>
      </c>
      <c r="D1509" s="112">
        <v>12</v>
      </c>
      <c r="E1509" s="112">
        <v>103.888593</v>
      </c>
      <c r="F1509" s="112">
        <v>36.477919</v>
      </c>
      <c r="G1509" s="112">
        <v>80.839146999999997</v>
      </c>
      <c r="H1509" s="112">
        <v>36.886378999999998</v>
      </c>
      <c r="I1509" s="112" t="s">
        <v>6953</v>
      </c>
      <c r="J1509" s="112" t="s">
        <v>6953</v>
      </c>
      <c r="K1509" s="112" t="s">
        <v>6953</v>
      </c>
      <c r="L1509" s="112">
        <v>21.956834000000001</v>
      </c>
      <c r="M1509" s="112">
        <v>23.346322000000001</v>
      </c>
      <c r="N1509" s="112">
        <v>-1.3894880000000001</v>
      </c>
      <c r="O1509" s="100"/>
      <c r="P1509" s="100"/>
      <c r="Q1509" s="100"/>
    </row>
    <row r="1510" spans="1:17" s="117" customFormat="1" ht="17.5" customHeight="1">
      <c r="A1510" s="114" t="s">
        <v>7190</v>
      </c>
      <c r="B1510" s="114" t="s">
        <v>7191</v>
      </c>
      <c r="C1510" s="113">
        <v>2020</v>
      </c>
      <c r="D1510" s="112">
        <v>13</v>
      </c>
      <c r="E1510" s="112">
        <v>158.31253799999999</v>
      </c>
      <c r="F1510" s="112">
        <v>58.494373000000003</v>
      </c>
      <c r="G1510" s="112">
        <v>100.235839</v>
      </c>
      <c r="H1510" s="112">
        <v>40.249437</v>
      </c>
      <c r="I1510" s="112">
        <v>4.7866669999999996</v>
      </c>
      <c r="J1510" s="112" t="s">
        <v>6953</v>
      </c>
      <c r="K1510" s="112" t="s">
        <v>6953</v>
      </c>
      <c r="L1510" s="112">
        <v>14.659613</v>
      </c>
      <c r="M1510" s="112">
        <v>19.682984999999999</v>
      </c>
      <c r="N1510" s="112">
        <v>-5.0233730000000003</v>
      </c>
      <c r="O1510" s="100"/>
      <c r="P1510" s="100"/>
      <c r="Q1510" s="100"/>
    </row>
    <row r="1511" spans="1:17" s="117" customFormat="1" ht="17.5" customHeight="1">
      <c r="A1511" s="109" t="s">
        <v>7192</v>
      </c>
      <c r="B1511" s="109" t="s">
        <v>7193</v>
      </c>
      <c r="C1511" s="98">
        <v>2008</v>
      </c>
      <c r="D1511" s="99">
        <v>75</v>
      </c>
      <c r="E1511" s="99">
        <v>843</v>
      </c>
      <c r="F1511" s="99">
        <v>351</v>
      </c>
      <c r="G1511" s="99">
        <v>499</v>
      </c>
      <c r="H1511" s="99">
        <v>117</v>
      </c>
      <c r="I1511" s="99">
        <v>14</v>
      </c>
      <c r="J1511" s="99">
        <v>15</v>
      </c>
      <c r="K1511" s="99">
        <v>1</v>
      </c>
      <c r="L1511" s="99">
        <v>70</v>
      </c>
      <c r="M1511" s="99">
        <v>62</v>
      </c>
      <c r="N1511" s="99">
        <v>8</v>
      </c>
      <c r="O1511" s="110"/>
      <c r="P1511" s="110"/>
      <c r="Q1511" s="110"/>
    </row>
    <row r="1512" spans="1:17" s="117" customFormat="1" ht="17.5" customHeight="1">
      <c r="A1512" s="109" t="s">
        <v>7192</v>
      </c>
      <c r="B1512" s="109" t="s">
        <v>7193</v>
      </c>
      <c r="C1512" s="98">
        <v>2009</v>
      </c>
      <c r="D1512" s="99">
        <v>66</v>
      </c>
      <c r="E1512" s="99">
        <v>688</v>
      </c>
      <c r="F1512" s="99">
        <v>204</v>
      </c>
      <c r="G1512" s="99">
        <v>477</v>
      </c>
      <c r="H1512" s="99">
        <v>108</v>
      </c>
      <c r="I1512" s="99">
        <v>22</v>
      </c>
      <c r="J1512" s="99">
        <v>22</v>
      </c>
      <c r="K1512" s="99">
        <v>1</v>
      </c>
      <c r="L1512" s="99">
        <v>55</v>
      </c>
      <c r="M1512" s="99">
        <v>61</v>
      </c>
      <c r="N1512" s="99">
        <v>-6</v>
      </c>
      <c r="O1512" s="110"/>
      <c r="P1512" s="110"/>
      <c r="Q1512" s="110"/>
    </row>
    <row r="1513" spans="1:17" s="117" customFormat="1" ht="17.5" customHeight="1">
      <c r="A1513" s="109" t="s">
        <v>7192</v>
      </c>
      <c r="B1513" s="109" t="s">
        <v>7193</v>
      </c>
      <c r="C1513" s="98">
        <v>2010</v>
      </c>
      <c r="D1513" s="99">
        <v>68</v>
      </c>
      <c r="E1513" s="99">
        <v>670</v>
      </c>
      <c r="F1513" s="99">
        <v>207</v>
      </c>
      <c r="G1513" s="99">
        <v>468</v>
      </c>
      <c r="H1513" s="99">
        <v>107</v>
      </c>
      <c r="I1513" s="99">
        <v>10</v>
      </c>
      <c r="J1513" s="99">
        <v>14</v>
      </c>
      <c r="K1513" s="99">
        <v>4</v>
      </c>
      <c r="L1513" s="99">
        <v>55</v>
      </c>
      <c r="M1513" s="99">
        <v>49</v>
      </c>
      <c r="N1513" s="99">
        <v>6</v>
      </c>
    </row>
    <row r="1514" spans="1:17" s="117" customFormat="1" ht="17.5" customHeight="1">
      <c r="A1514" s="109" t="s">
        <v>7192</v>
      </c>
      <c r="B1514" s="109" t="s">
        <v>7193</v>
      </c>
      <c r="C1514" s="98">
        <v>2011</v>
      </c>
      <c r="D1514" s="99">
        <v>64</v>
      </c>
      <c r="E1514" s="99">
        <v>765</v>
      </c>
      <c r="F1514" s="99">
        <v>216</v>
      </c>
      <c r="G1514" s="99">
        <v>551</v>
      </c>
      <c r="H1514" s="99">
        <v>107</v>
      </c>
      <c r="I1514" s="99">
        <v>5</v>
      </c>
      <c r="J1514" s="99">
        <v>6</v>
      </c>
      <c r="K1514" s="99">
        <v>1</v>
      </c>
      <c r="L1514" s="99">
        <v>61</v>
      </c>
      <c r="M1514" s="99">
        <v>58</v>
      </c>
      <c r="N1514" s="99">
        <v>2</v>
      </c>
    </row>
    <row r="1515" spans="1:17" s="117" customFormat="1" ht="17.5" customHeight="1">
      <c r="A1515" s="109" t="s">
        <v>7192</v>
      </c>
      <c r="B1515" s="109" t="s">
        <v>7193</v>
      </c>
      <c r="C1515" s="111">
        <v>2012</v>
      </c>
      <c r="D1515" s="112">
        <v>63</v>
      </c>
      <c r="E1515" s="112">
        <v>690</v>
      </c>
      <c r="F1515" s="112">
        <v>187</v>
      </c>
      <c r="G1515" s="112">
        <v>499</v>
      </c>
      <c r="H1515" s="112">
        <v>99</v>
      </c>
      <c r="I1515" s="112">
        <v>6</v>
      </c>
      <c r="J1515" s="112">
        <v>6</v>
      </c>
      <c r="K1515" s="112">
        <v>1</v>
      </c>
      <c r="L1515" s="112">
        <v>61</v>
      </c>
      <c r="M1515" s="112">
        <v>65</v>
      </c>
      <c r="N1515" s="112">
        <v>-4</v>
      </c>
    </row>
    <row r="1516" spans="1:17" s="117" customFormat="1" ht="17.5" customHeight="1">
      <c r="A1516" s="109" t="s">
        <v>7192</v>
      </c>
      <c r="B1516" s="109" t="s">
        <v>7193</v>
      </c>
      <c r="C1516" s="113">
        <v>2013</v>
      </c>
      <c r="D1516" s="112">
        <v>70</v>
      </c>
      <c r="E1516" s="112">
        <v>703</v>
      </c>
      <c r="F1516" s="112">
        <v>191</v>
      </c>
      <c r="G1516" s="112">
        <v>512</v>
      </c>
      <c r="H1516" s="112">
        <v>103</v>
      </c>
      <c r="I1516" s="112">
        <v>9</v>
      </c>
      <c r="J1516" s="99" t="s">
        <v>6953</v>
      </c>
      <c r="K1516" s="99" t="s">
        <v>6953</v>
      </c>
      <c r="L1516" s="112">
        <v>58</v>
      </c>
      <c r="M1516" s="112">
        <v>58</v>
      </c>
      <c r="N1516" s="112">
        <v>1</v>
      </c>
    </row>
    <row r="1517" spans="1:17" s="117" customFormat="1" ht="17.5" customHeight="1">
      <c r="A1517" s="109" t="s">
        <v>7192</v>
      </c>
      <c r="B1517" s="109" t="s">
        <v>7193</v>
      </c>
      <c r="C1517" s="113">
        <v>2014</v>
      </c>
      <c r="D1517" s="99" t="s">
        <v>6953</v>
      </c>
      <c r="E1517" s="99" t="s">
        <v>6953</v>
      </c>
      <c r="F1517" s="99" t="s">
        <v>6953</v>
      </c>
      <c r="G1517" s="99" t="s">
        <v>6953</v>
      </c>
      <c r="H1517" s="99" t="s">
        <v>6953</v>
      </c>
      <c r="I1517" s="99" t="s">
        <v>6953</v>
      </c>
      <c r="J1517" s="99" t="s">
        <v>6953</v>
      </c>
      <c r="K1517" s="99" t="s">
        <v>6953</v>
      </c>
      <c r="L1517" s="99" t="s">
        <v>6953</v>
      </c>
      <c r="M1517" s="99" t="s">
        <v>6953</v>
      </c>
      <c r="N1517" s="99" t="s">
        <v>6953</v>
      </c>
      <c r="O1517" s="110"/>
      <c r="P1517" s="110"/>
      <c r="Q1517" s="110"/>
    </row>
    <row r="1518" spans="1:17" s="117" customFormat="1" ht="17.5" customHeight="1">
      <c r="A1518" s="109" t="s">
        <v>7192</v>
      </c>
      <c r="B1518" s="109" t="s">
        <v>7193</v>
      </c>
      <c r="C1518" s="113">
        <v>2015</v>
      </c>
      <c r="D1518" s="112">
        <v>73</v>
      </c>
      <c r="E1518" s="112">
        <v>781</v>
      </c>
      <c r="F1518" s="112">
        <v>305</v>
      </c>
      <c r="G1518" s="112">
        <v>482</v>
      </c>
      <c r="H1518" s="112">
        <v>111</v>
      </c>
      <c r="I1518" s="112">
        <v>17</v>
      </c>
      <c r="J1518" s="112">
        <v>17</v>
      </c>
      <c r="K1518" s="112" t="s">
        <v>6952</v>
      </c>
      <c r="L1518" s="112">
        <v>63</v>
      </c>
      <c r="M1518" s="112">
        <v>58</v>
      </c>
      <c r="N1518" s="112">
        <v>6</v>
      </c>
      <c r="O1518" s="110"/>
      <c r="P1518" s="110"/>
      <c r="Q1518" s="110"/>
    </row>
    <row r="1519" spans="1:17" s="117" customFormat="1" ht="17.5" customHeight="1">
      <c r="A1519" s="109" t="s">
        <v>7192</v>
      </c>
      <c r="B1519" s="109" t="s">
        <v>7193</v>
      </c>
      <c r="C1519" s="113">
        <v>2016</v>
      </c>
      <c r="D1519" s="112">
        <v>79</v>
      </c>
      <c r="E1519" s="112">
        <v>530</v>
      </c>
      <c r="F1519" s="112">
        <v>171</v>
      </c>
      <c r="G1519" s="112">
        <v>357</v>
      </c>
      <c r="H1519" s="112">
        <v>90</v>
      </c>
      <c r="I1519" s="112">
        <v>20</v>
      </c>
      <c r="J1519" s="112">
        <v>21</v>
      </c>
      <c r="K1519" s="112" t="s">
        <v>6952</v>
      </c>
      <c r="L1519" s="112">
        <v>52</v>
      </c>
      <c r="M1519" s="112">
        <v>53</v>
      </c>
      <c r="N1519" s="112">
        <v>-1</v>
      </c>
      <c r="O1519" s="100"/>
      <c r="P1519" s="100"/>
      <c r="Q1519" s="100"/>
    </row>
    <row r="1520" spans="1:17" s="117" customFormat="1" ht="17.5" customHeight="1">
      <c r="A1520" s="109" t="s">
        <v>7192</v>
      </c>
      <c r="B1520" s="109" t="s">
        <v>7193</v>
      </c>
      <c r="C1520" s="113">
        <v>2017</v>
      </c>
      <c r="D1520" s="112">
        <v>79</v>
      </c>
      <c r="E1520" s="112">
        <v>526</v>
      </c>
      <c r="F1520" s="112">
        <v>163</v>
      </c>
      <c r="G1520" s="112">
        <v>370</v>
      </c>
      <c r="H1520" s="112">
        <v>98</v>
      </c>
      <c r="I1520" s="112">
        <v>25</v>
      </c>
      <c r="J1520" s="112">
        <v>26</v>
      </c>
      <c r="K1520" s="112">
        <v>1</v>
      </c>
      <c r="L1520" s="112">
        <v>54</v>
      </c>
      <c r="M1520" s="112">
        <v>47</v>
      </c>
      <c r="N1520" s="112">
        <v>8</v>
      </c>
      <c r="O1520" s="110"/>
      <c r="P1520" s="110"/>
      <c r="Q1520" s="110"/>
    </row>
    <row r="1521" spans="1:17" s="117" customFormat="1" ht="17.5" customHeight="1">
      <c r="A1521" s="109" t="s">
        <v>7192</v>
      </c>
      <c r="B1521" s="109" t="s">
        <v>7193</v>
      </c>
      <c r="C1521" s="113">
        <v>2018</v>
      </c>
      <c r="D1521" s="112">
        <v>78</v>
      </c>
      <c r="E1521" s="112">
        <v>560</v>
      </c>
      <c r="F1521" s="112">
        <v>181</v>
      </c>
      <c r="G1521" s="112">
        <v>386</v>
      </c>
      <c r="H1521" s="112">
        <v>105</v>
      </c>
      <c r="I1521" s="112">
        <v>30</v>
      </c>
      <c r="J1521" s="112">
        <v>30</v>
      </c>
      <c r="K1521" s="112" t="s">
        <v>6952</v>
      </c>
      <c r="L1521" s="112">
        <v>59</v>
      </c>
      <c r="M1521" s="112">
        <v>53</v>
      </c>
      <c r="N1521" s="112">
        <v>7</v>
      </c>
      <c r="O1521" s="100"/>
      <c r="P1521" s="100"/>
      <c r="Q1521" s="100"/>
    </row>
    <row r="1522" spans="1:17" s="117" customFormat="1" ht="17.5" customHeight="1">
      <c r="A1522" s="109" t="s">
        <v>7192</v>
      </c>
      <c r="B1522" s="109" t="s">
        <v>7193</v>
      </c>
      <c r="C1522" s="113">
        <v>2019</v>
      </c>
      <c r="D1522" s="112">
        <v>73</v>
      </c>
      <c r="E1522" s="112">
        <v>674.82481399999995</v>
      </c>
      <c r="F1522" s="112">
        <v>213.618933</v>
      </c>
      <c r="G1522" s="112">
        <v>467.36370599999998</v>
      </c>
      <c r="H1522" s="112">
        <v>102.502993</v>
      </c>
      <c r="I1522" s="112">
        <v>18.577269999999999</v>
      </c>
      <c r="J1522" s="112">
        <v>22.471053999999999</v>
      </c>
      <c r="K1522" s="112">
        <v>3.8937840000000001</v>
      </c>
      <c r="L1522" s="112">
        <v>66.622524999999996</v>
      </c>
      <c r="M1522" s="112">
        <v>61.165562000000001</v>
      </c>
      <c r="N1522" s="112">
        <v>5.456963</v>
      </c>
      <c r="O1522" s="100"/>
      <c r="P1522" s="100"/>
      <c r="Q1522" s="100"/>
    </row>
    <row r="1523" spans="1:17" s="117" customFormat="1" ht="17.5" customHeight="1">
      <c r="A1523" s="114" t="s">
        <v>7192</v>
      </c>
      <c r="B1523" s="114" t="s">
        <v>7193</v>
      </c>
      <c r="C1523" s="113">
        <v>2020</v>
      </c>
      <c r="D1523" s="112">
        <v>81</v>
      </c>
      <c r="E1523" s="112">
        <v>608.57009200000005</v>
      </c>
      <c r="F1523" s="112">
        <v>180.22253599999999</v>
      </c>
      <c r="G1523" s="112">
        <v>426.06798900000001</v>
      </c>
      <c r="H1523" s="112">
        <v>103.049194</v>
      </c>
      <c r="I1523" s="112">
        <v>17.50986</v>
      </c>
      <c r="J1523" s="112">
        <v>17.800518</v>
      </c>
      <c r="K1523" s="112" t="s">
        <v>6952</v>
      </c>
      <c r="L1523" s="112">
        <v>67.101466000000002</v>
      </c>
      <c r="M1523" s="112">
        <v>69.304130000000001</v>
      </c>
      <c r="N1523" s="112">
        <v>-2.202664</v>
      </c>
      <c r="O1523" s="110"/>
      <c r="P1523" s="110"/>
      <c r="Q1523" s="110"/>
    </row>
    <row r="1524" spans="1:17" s="117" customFormat="1" ht="17.5" customHeight="1">
      <c r="A1524" s="109" t="s">
        <v>7194</v>
      </c>
      <c r="B1524" s="109" t="s">
        <v>7195</v>
      </c>
      <c r="C1524" s="98">
        <v>2008</v>
      </c>
      <c r="D1524" s="99">
        <v>58</v>
      </c>
      <c r="E1524" s="99">
        <v>707</v>
      </c>
      <c r="F1524" s="99">
        <v>216</v>
      </c>
      <c r="G1524" s="99">
        <v>495</v>
      </c>
      <c r="H1524" s="99">
        <v>109</v>
      </c>
      <c r="I1524" s="99">
        <v>8</v>
      </c>
      <c r="J1524" s="99">
        <v>9</v>
      </c>
      <c r="K1524" s="99">
        <v>1</v>
      </c>
      <c r="L1524" s="99">
        <v>151</v>
      </c>
      <c r="M1524" s="99">
        <v>145</v>
      </c>
      <c r="N1524" s="99">
        <v>6</v>
      </c>
      <c r="O1524" s="110"/>
      <c r="P1524" s="110"/>
      <c r="Q1524" s="110"/>
    </row>
    <row r="1525" spans="1:17" s="117" customFormat="1" ht="17.5" customHeight="1">
      <c r="A1525" s="109" t="s">
        <v>7194</v>
      </c>
      <c r="B1525" s="109" t="s">
        <v>7195</v>
      </c>
      <c r="C1525" s="98">
        <v>2009</v>
      </c>
      <c r="D1525" s="99">
        <v>56</v>
      </c>
      <c r="E1525" s="99">
        <v>696</v>
      </c>
      <c r="F1525" s="99">
        <v>239</v>
      </c>
      <c r="G1525" s="99">
        <v>453</v>
      </c>
      <c r="H1525" s="99">
        <v>99</v>
      </c>
      <c r="I1525" s="99">
        <v>14</v>
      </c>
      <c r="J1525" s="99">
        <v>15</v>
      </c>
      <c r="K1525" s="99">
        <v>1</v>
      </c>
      <c r="L1525" s="99">
        <v>84</v>
      </c>
      <c r="M1525" s="99">
        <v>86</v>
      </c>
      <c r="N1525" s="99">
        <v>-3</v>
      </c>
    </row>
    <row r="1526" spans="1:17" s="117" customFormat="1" ht="17.5" customHeight="1">
      <c r="A1526" s="109" t="s">
        <v>7194</v>
      </c>
      <c r="B1526" s="109" t="s">
        <v>7195</v>
      </c>
      <c r="C1526" s="98">
        <v>2010</v>
      </c>
      <c r="D1526" s="99">
        <v>50</v>
      </c>
      <c r="E1526" s="99">
        <v>716</v>
      </c>
      <c r="F1526" s="99">
        <v>154</v>
      </c>
      <c r="G1526" s="99">
        <v>577</v>
      </c>
      <c r="H1526" s="99">
        <v>104</v>
      </c>
      <c r="I1526" s="99">
        <v>11</v>
      </c>
      <c r="J1526" s="99">
        <v>12</v>
      </c>
      <c r="K1526" s="99">
        <v>1</v>
      </c>
      <c r="L1526" s="99">
        <v>107</v>
      </c>
      <c r="M1526" s="99">
        <v>90</v>
      </c>
      <c r="N1526" s="99">
        <v>17</v>
      </c>
    </row>
    <row r="1527" spans="1:17" s="117" customFormat="1" ht="17.5" customHeight="1">
      <c r="A1527" s="109" t="s">
        <v>7194</v>
      </c>
      <c r="B1527" s="109" t="s">
        <v>7195</v>
      </c>
      <c r="C1527" s="98">
        <v>2011</v>
      </c>
      <c r="D1527" s="99">
        <v>49</v>
      </c>
      <c r="E1527" s="99">
        <v>743</v>
      </c>
      <c r="F1527" s="99">
        <v>105</v>
      </c>
      <c r="G1527" s="99">
        <v>633</v>
      </c>
      <c r="H1527" s="99">
        <v>108</v>
      </c>
      <c r="I1527" s="99">
        <v>13</v>
      </c>
      <c r="J1527" s="99">
        <v>14</v>
      </c>
      <c r="K1527" s="99">
        <v>1</v>
      </c>
      <c r="L1527" s="99">
        <v>139</v>
      </c>
      <c r="M1527" s="99">
        <v>141</v>
      </c>
      <c r="N1527" s="99">
        <v>-2</v>
      </c>
    </row>
    <row r="1528" spans="1:17" s="117" customFormat="1" ht="17.5" customHeight="1">
      <c r="A1528" s="109" t="s">
        <v>7194</v>
      </c>
      <c r="B1528" s="109" t="s">
        <v>7195</v>
      </c>
      <c r="C1528" s="111">
        <v>2012</v>
      </c>
      <c r="D1528" s="112">
        <v>46</v>
      </c>
      <c r="E1528" s="112">
        <v>781</v>
      </c>
      <c r="F1528" s="112">
        <v>182</v>
      </c>
      <c r="G1528" s="112">
        <v>596</v>
      </c>
      <c r="H1528" s="112">
        <v>128</v>
      </c>
      <c r="I1528" s="112">
        <v>16</v>
      </c>
      <c r="J1528" s="112">
        <v>19</v>
      </c>
      <c r="K1528" s="112">
        <v>3</v>
      </c>
      <c r="L1528" s="112">
        <v>110</v>
      </c>
      <c r="M1528" s="112">
        <v>114</v>
      </c>
      <c r="N1528" s="112">
        <v>-3</v>
      </c>
    </row>
    <row r="1529" spans="1:17" s="117" customFormat="1" ht="17.5" customHeight="1">
      <c r="A1529" s="109" t="s">
        <v>7194</v>
      </c>
      <c r="B1529" s="109" t="s">
        <v>7195</v>
      </c>
      <c r="C1529" s="113">
        <v>2013</v>
      </c>
      <c r="D1529" s="112">
        <v>46</v>
      </c>
      <c r="E1529" s="112">
        <v>764</v>
      </c>
      <c r="F1529" s="112">
        <v>204</v>
      </c>
      <c r="G1529" s="112">
        <v>574</v>
      </c>
      <c r="H1529" s="112">
        <v>112</v>
      </c>
      <c r="I1529" s="112">
        <v>19</v>
      </c>
      <c r="J1529" s="112">
        <v>19</v>
      </c>
      <c r="K1529" s="112" t="s">
        <v>6952</v>
      </c>
      <c r="L1529" s="112">
        <v>179</v>
      </c>
      <c r="M1529" s="112">
        <v>165</v>
      </c>
      <c r="N1529" s="112">
        <v>14</v>
      </c>
      <c r="O1529" s="110"/>
      <c r="P1529" s="110"/>
      <c r="Q1529" s="110"/>
    </row>
    <row r="1530" spans="1:17" s="117" customFormat="1" ht="17.5" customHeight="1">
      <c r="A1530" s="109" t="s">
        <v>7194</v>
      </c>
      <c r="B1530" s="109" t="s">
        <v>7195</v>
      </c>
      <c r="C1530" s="113">
        <v>2014</v>
      </c>
      <c r="D1530" s="99">
        <v>52</v>
      </c>
      <c r="E1530" s="99">
        <v>709</v>
      </c>
      <c r="F1530" s="99">
        <v>214</v>
      </c>
      <c r="G1530" s="99">
        <v>507</v>
      </c>
      <c r="H1530" s="99">
        <v>109</v>
      </c>
      <c r="I1530" s="99">
        <v>11</v>
      </c>
      <c r="J1530" s="99">
        <v>12</v>
      </c>
      <c r="K1530" s="99">
        <v>1</v>
      </c>
      <c r="L1530" s="99">
        <v>125</v>
      </c>
      <c r="M1530" s="99">
        <v>110</v>
      </c>
      <c r="N1530" s="99">
        <v>15</v>
      </c>
      <c r="O1530" s="110"/>
      <c r="P1530" s="110"/>
      <c r="Q1530" s="110"/>
    </row>
    <row r="1531" spans="1:17" s="117" customFormat="1" ht="17.5" customHeight="1">
      <c r="A1531" s="109" t="s">
        <v>7194</v>
      </c>
      <c r="B1531" s="109" t="s">
        <v>7195</v>
      </c>
      <c r="C1531" s="113">
        <v>2015</v>
      </c>
      <c r="D1531" s="112">
        <v>55</v>
      </c>
      <c r="E1531" s="112">
        <v>792</v>
      </c>
      <c r="F1531" s="112">
        <v>231</v>
      </c>
      <c r="G1531" s="112">
        <v>565</v>
      </c>
      <c r="H1531" s="112">
        <v>119</v>
      </c>
      <c r="I1531" s="112">
        <v>7</v>
      </c>
      <c r="J1531" s="112">
        <v>9</v>
      </c>
      <c r="K1531" s="112">
        <v>2</v>
      </c>
      <c r="L1531" s="112">
        <v>164</v>
      </c>
      <c r="M1531" s="112">
        <v>159</v>
      </c>
      <c r="N1531" s="112">
        <v>6</v>
      </c>
      <c r="O1531" s="100"/>
      <c r="P1531" s="100"/>
      <c r="Q1531" s="100"/>
    </row>
    <row r="1532" spans="1:17" s="117" customFormat="1" ht="17.5" customHeight="1">
      <c r="A1532" s="109" t="s">
        <v>7194</v>
      </c>
      <c r="B1532" s="109" t="s">
        <v>7195</v>
      </c>
      <c r="C1532" s="113">
        <v>2016</v>
      </c>
      <c r="D1532" s="112">
        <v>55</v>
      </c>
      <c r="E1532" s="112">
        <v>774</v>
      </c>
      <c r="F1532" s="112">
        <v>242</v>
      </c>
      <c r="G1532" s="112">
        <v>540</v>
      </c>
      <c r="H1532" s="112">
        <v>134</v>
      </c>
      <c r="I1532" s="112">
        <v>22</v>
      </c>
      <c r="J1532" s="112">
        <v>24</v>
      </c>
      <c r="K1532" s="112">
        <v>1</v>
      </c>
      <c r="L1532" s="112">
        <v>111</v>
      </c>
      <c r="M1532" s="112">
        <v>100</v>
      </c>
      <c r="N1532" s="112">
        <v>11</v>
      </c>
      <c r="O1532" s="110"/>
      <c r="P1532" s="110"/>
      <c r="Q1532" s="110"/>
    </row>
    <row r="1533" spans="1:17" s="117" customFormat="1" ht="17.5" customHeight="1">
      <c r="A1533" s="109" t="s">
        <v>7194</v>
      </c>
      <c r="B1533" s="109" t="s">
        <v>7195</v>
      </c>
      <c r="C1533" s="113">
        <v>2017</v>
      </c>
      <c r="D1533" s="112">
        <v>52</v>
      </c>
      <c r="E1533" s="112">
        <v>878</v>
      </c>
      <c r="F1533" s="112">
        <v>313</v>
      </c>
      <c r="G1533" s="112">
        <v>588</v>
      </c>
      <c r="H1533" s="112">
        <v>143</v>
      </c>
      <c r="I1533" s="112">
        <v>22</v>
      </c>
      <c r="J1533" s="99" t="s">
        <v>6953</v>
      </c>
      <c r="K1533" s="99" t="s">
        <v>6953</v>
      </c>
      <c r="L1533" s="112">
        <v>136</v>
      </c>
      <c r="M1533" s="112">
        <v>112</v>
      </c>
      <c r="N1533" s="112">
        <v>24</v>
      </c>
      <c r="O1533" s="100"/>
      <c r="P1533" s="100"/>
      <c r="Q1533" s="100"/>
    </row>
    <row r="1534" spans="1:17" s="117" customFormat="1" ht="17.5" customHeight="1">
      <c r="A1534" s="109" t="s">
        <v>7194</v>
      </c>
      <c r="B1534" s="109" t="s">
        <v>7195</v>
      </c>
      <c r="C1534" s="113">
        <v>2018</v>
      </c>
      <c r="D1534" s="112">
        <v>66</v>
      </c>
      <c r="E1534" s="112">
        <v>940</v>
      </c>
      <c r="F1534" s="112">
        <v>290</v>
      </c>
      <c r="G1534" s="112">
        <v>652</v>
      </c>
      <c r="H1534" s="112">
        <v>141</v>
      </c>
      <c r="I1534" s="99" t="s">
        <v>6953</v>
      </c>
      <c r="J1534" s="99" t="s">
        <v>6953</v>
      </c>
      <c r="K1534" s="112">
        <v>6</v>
      </c>
      <c r="L1534" s="112">
        <v>152</v>
      </c>
      <c r="M1534" s="112">
        <v>147</v>
      </c>
      <c r="N1534" s="112">
        <v>6</v>
      </c>
      <c r="O1534" s="100"/>
      <c r="P1534" s="100"/>
      <c r="Q1534" s="100"/>
    </row>
    <row r="1535" spans="1:17" s="117" customFormat="1" ht="17.5" customHeight="1">
      <c r="A1535" s="109" t="s">
        <v>7194</v>
      </c>
      <c r="B1535" s="109" t="s">
        <v>7195</v>
      </c>
      <c r="C1535" s="113">
        <v>2019</v>
      </c>
      <c r="D1535" s="112">
        <v>75</v>
      </c>
      <c r="E1535" s="112">
        <v>970.530168</v>
      </c>
      <c r="F1535" s="112">
        <v>280.86106100000001</v>
      </c>
      <c r="G1535" s="112">
        <v>689.18530099999998</v>
      </c>
      <c r="H1535" s="112">
        <v>152.59847500000001</v>
      </c>
      <c r="I1535" s="112" t="s">
        <v>6953</v>
      </c>
      <c r="J1535" s="112" t="s">
        <v>6953</v>
      </c>
      <c r="K1535" s="112" t="s">
        <v>6953</v>
      </c>
      <c r="L1535" s="112">
        <v>179.22913500000001</v>
      </c>
      <c r="M1535" s="112">
        <v>176.91697500000001</v>
      </c>
      <c r="N1535" s="112">
        <v>2.31216</v>
      </c>
      <c r="O1535" s="110"/>
      <c r="P1535" s="110"/>
      <c r="Q1535" s="110"/>
    </row>
    <row r="1536" spans="1:17" s="117" customFormat="1" ht="17.5" customHeight="1">
      <c r="A1536" s="114" t="s">
        <v>7194</v>
      </c>
      <c r="B1536" s="114" t="s">
        <v>7195</v>
      </c>
      <c r="C1536" s="113">
        <v>2020</v>
      </c>
      <c r="D1536" s="112">
        <v>79</v>
      </c>
      <c r="E1536" s="112">
        <v>899.85409100000004</v>
      </c>
      <c r="F1536" s="112">
        <v>281.350503</v>
      </c>
      <c r="G1536" s="112">
        <v>615.80406900000003</v>
      </c>
      <c r="H1536" s="112">
        <v>160.04933</v>
      </c>
      <c r="I1536" s="112">
        <v>30.441244999999999</v>
      </c>
      <c r="J1536" s="112">
        <v>34.748989000000002</v>
      </c>
      <c r="K1536" s="112">
        <v>4.3077439999999996</v>
      </c>
      <c r="L1536" s="112">
        <v>156.10279299999999</v>
      </c>
      <c r="M1536" s="112">
        <v>157.30326199999999</v>
      </c>
      <c r="N1536" s="112">
        <v>-1.200469</v>
      </c>
      <c r="O1536" s="110"/>
      <c r="P1536" s="110"/>
      <c r="Q1536" s="110"/>
    </row>
    <row r="1537" spans="1:17" s="117" customFormat="1" ht="31.75" customHeight="1">
      <c r="A1537" s="109" t="s">
        <v>7196</v>
      </c>
      <c r="B1537" s="109" t="s">
        <v>7197</v>
      </c>
      <c r="C1537" s="98">
        <v>2008</v>
      </c>
      <c r="D1537" s="99">
        <v>563</v>
      </c>
      <c r="E1537" s="99">
        <v>3890</v>
      </c>
      <c r="F1537" s="99">
        <v>1454</v>
      </c>
      <c r="G1537" s="99">
        <v>2546</v>
      </c>
      <c r="H1537" s="99">
        <v>704</v>
      </c>
      <c r="I1537" s="99">
        <v>130</v>
      </c>
      <c r="J1537" s="99">
        <v>148</v>
      </c>
      <c r="K1537" s="99">
        <v>18</v>
      </c>
      <c r="L1537" s="99">
        <v>547</v>
      </c>
      <c r="M1537" s="99">
        <v>439</v>
      </c>
      <c r="N1537" s="99">
        <v>108</v>
      </c>
    </row>
    <row r="1538" spans="1:17" s="117" customFormat="1" ht="31.75" customHeight="1">
      <c r="A1538" s="109" t="s">
        <v>7196</v>
      </c>
      <c r="B1538" s="109" t="s">
        <v>7197</v>
      </c>
      <c r="C1538" s="98">
        <v>2009</v>
      </c>
      <c r="D1538" s="99">
        <v>513</v>
      </c>
      <c r="E1538" s="99">
        <v>3998</v>
      </c>
      <c r="F1538" s="99">
        <v>1204</v>
      </c>
      <c r="G1538" s="99">
        <v>2746</v>
      </c>
      <c r="H1538" s="99">
        <v>745</v>
      </c>
      <c r="I1538" s="99">
        <v>83</v>
      </c>
      <c r="J1538" s="99">
        <v>112</v>
      </c>
      <c r="K1538" s="99">
        <v>28</v>
      </c>
      <c r="L1538" s="99">
        <v>440</v>
      </c>
      <c r="M1538" s="99">
        <v>484</v>
      </c>
      <c r="N1538" s="99">
        <v>-44</v>
      </c>
    </row>
    <row r="1539" spans="1:17" s="117" customFormat="1" ht="31.75" customHeight="1">
      <c r="A1539" s="109" t="s">
        <v>7196</v>
      </c>
      <c r="B1539" s="109" t="s">
        <v>7197</v>
      </c>
      <c r="C1539" s="98">
        <v>2010</v>
      </c>
      <c r="D1539" s="99">
        <v>501</v>
      </c>
      <c r="E1539" s="99">
        <v>4853</v>
      </c>
      <c r="F1539" s="99">
        <v>1597</v>
      </c>
      <c r="G1539" s="99">
        <v>3343</v>
      </c>
      <c r="H1539" s="99">
        <v>545</v>
      </c>
      <c r="I1539" s="99">
        <v>69</v>
      </c>
      <c r="J1539" s="99">
        <v>85</v>
      </c>
      <c r="K1539" s="99">
        <v>17</v>
      </c>
      <c r="L1539" s="99">
        <v>587</v>
      </c>
      <c r="M1539" s="99">
        <v>498</v>
      </c>
      <c r="N1539" s="99">
        <v>89</v>
      </c>
    </row>
    <row r="1540" spans="1:17" s="117" customFormat="1" ht="31.75" customHeight="1">
      <c r="A1540" s="109" t="s">
        <v>7196</v>
      </c>
      <c r="B1540" s="109" t="s">
        <v>7197</v>
      </c>
      <c r="C1540" s="98">
        <v>2011</v>
      </c>
      <c r="D1540" s="99">
        <v>476</v>
      </c>
      <c r="E1540" s="99">
        <v>4505</v>
      </c>
      <c r="F1540" s="99">
        <v>1445</v>
      </c>
      <c r="G1540" s="99">
        <v>3013</v>
      </c>
      <c r="H1540" s="99">
        <v>589</v>
      </c>
      <c r="I1540" s="99">
        <v>117</v>
      </c>
      <c r="J1540" s="99">
        <v>123</v>
      </c>
      <c r="K1540" s="99">
        <v>7</v>
      </c>
      <c r="L1540" s="99">
        <v>537</v>
      </c>
      <c r="M1540" s="99">
        <v>584</v>
      </c>
      <c r="N1540" s="99">
        <v>-47</v>
      </c>
    </row>
    <row r="1541" spans="1:17" s="117" customFormat="1" ht="31.75" customHeight="1">
      <c r="A1541" s="109" t="s">
        <v>7196</v>
      </c>
      <c r="B1541" s="109" t="s">
        <v>7197</v>
      </c>
      <c r="C1541" s="111">
        <v>2012</v>
      </c>
      <c r="D1541" s="112">
        <v>467</v>
      </c>
      <c r="E1541" s="112">
        <v>4388</v>
      </c>
      <c r="F1541" s="112">
        <v>1526</v>
      </c>
      <c r="G1541" s="112">
        <v>2829</v>
      </c>
      <c r="H1541" s="112">
        <v>595</v>
      </c>
      <c r="I1541" s="112">
        <v>117</v>
      </c>
      <c r="J1541" s="112">
        <v>120</v>
      </c>
      <c r="K1541" s="112">
        <v>3</v>
      </c>
      <c r="L1541" s="112">
        <v>533</v>
      </c>
      <c r="M1541" s="112">
        <v>564</v>
      </c>
      <c r="N1541" s="112">
        <v>-31</v>
      </c>
      <c r="O1541" s="110"/>
      <c r="P1541" s="110"/>
      <c r="Q1541" s="110"/>
    </row>
    <row r="1542" spans="1:17" s="117" customFormat="1" ht="31.75" customHeight="1">
      <c r="A1542" s="109" t="s">
        <v>7196</v>
      </c>
      <c r="B1542" s="109" t="s">
        <v>7197</v>
      </c>
      <c r="C1542" s="113">
        <v>2013</v>
      </c>
      <c r="D1542" s="112">
        <v>485</v>
      </c>
      <c r="E1542" s="112">
        <v>4859</v>
      </c>
      <c r="F1542" s="112">
        <v>1863</v>
      </c>
      <c r="G1542" s="112">
        <v>3057</v>
      </c>
      <c r="H1542" s="112">
        <v>645</v>
      </c>
      <c r="I1542" s="112">
        <v>147</v>
      </c>
      <c r="J1542" s="112">
        <v>152</v>
      </c>
      <c r="K1542" s="112">
        <v>5</v>
      </c>
      <c r="L1542" s="112">
        <v>546</v>
      </c>
      <c r="M1542" s="112">
        <v>486</v>
      </c>
      <c r="N1542" s="112">
        <v>60</v>
      </c>
      <c r="O1542" s="110"/>
      <c r="P1542" s="110"/>
      <c r="Q1542" s="110"/>
    </row>
    <row r="1543" spans="1:17" s="117" customFormat="1" ht="31.75" customHeight="1">
      <c r="A1543" s="109" t="s">
        <v>7196</v>
      </c>
      <c r="B1543" s="109" t="s">
        <v>7197</v>
      </c>
      <c r="C1543" s="113">
        <v>2014</v>
      </c>
      <c r="D1543" s="99">
        <v>484</v>
      </c>
      <c r="E1543" s="99">
        <v>3852</v>
      </c>
      <c r="F1543" s="99">
        <v>1594</v>
      </c>
      <c r="G1543" s="99">
        <v>2295</v>
      </c>
      <c r="H1543" s="99">
        <v>547</v>
      </c>
      <c r="I1543" s="99">
        <v>114</v>
      </c>
      <c r="J1543" s="99">
        <v>130</v>
      </c>
      <c r="K1543" s="99">
        <v>15</v>
      </c>
      <c r="L1543" s="99">
        <v>502</v>
      </c>
      <c r="M1543" s="99">
        <v>467</v>
      </c>
      <c r="N1543" s="99">
        <v>35</v>
      </c>
      <c r="O1543" s="100"/>
      <c r="P1543" s="100"/>
      <c r="Q1543" s="100"/>
    </row>
    <row r="1544" spans="1:17" s="117" customFormat="1" ht="31.75" customHeight="1">
      <c r="A1544" s="109" t="s">
        <v>7196</v>
      </c>
      <c r="B1544" s="109" t="s">
        <v>7197</v>
      </c>
      <c r="C1544" s="113">
        <v>2015</v>
      </c>
      <c r="D1544" s="112">
        <v>492</v>
      </c>
      <c r="E1544" s="112">
        <v>3797</v>
      </c>
      <c r="F1544" s="112">
        <v>1419</v>
      </c>
      <c r="G1544" s="112">
        <v>2388</v>
      </c>
      <c r="H1544" s="112">
        <v>686</v>
      </c>
      <c r="I1544" s="112">
        <v>200</v>
      </c>
      <c r="J1544" s="112">
        <v>202</v>
      </c>
      <c r="K1544" s="112">
        <v>2</v>
      </c>
      <c r="L1544" s="112">
        <v>488</v>
      </c>
      <c r="M1544" s="112">
        <v>478</v>
      </c>
      <c r="N1544" s="112">
        <v>10</v>
      </c>
      <c r="O1544" s="110"/>
      <c r="P1544" s="110"/>
      <c r="Q1544" s="110"/>
    </row>
    <row r="1545" spans="1:17" s="117" customFormat="1" ht="31.75" customHeight="1">
      <c r="A1545" s="109" t="s">
        <v>7196</v>
      </c>
      <c r="B1545" s="109" t="s">
        <v>7197</v>
      </c>
      <c r="C1545" s="113">
        <v>2016</v>
      </c>
      <c r="D1545" s="112">
        <v>508</v>
      </c>
      <c r="E1545" s="112">
        <v>4735</v>
      </c>
      <c r="F1545" s="112">
        <v>1636</v>
      </c>
      <c r="G1545" s="112">
        <v>3100</v>
      </c>
      <c r="H1545" s="112">
        <v>836</v>
      </c>
      <c r="I1545" s="112">
        <v>114</v>
      </c>
      <c r="J1545" s="112">
        <v>133</v>
      </c>
      <c r="K1545" s="112">
        <v>19</v>
      </c>
      <c r="L1545" s="112">
        <v>626</v>
      </c>
      <c r="M1545" s="112">
        <v>624</v>
      </c>
      <c r="N1545" s="112">
        <v>2</v>
      </c>
      <c r="O1545" s="100"/>
      <c r="P1545" s="100"/>
      <c r="Q1545" s="100"/>
    </row>
    <row r="1546" spans="1:17" s="117" customFormat="1" ht="31.75" customHeight="1">
      <c r="A1546" s="109" t="s">
        <v>7196</v>
      </c>
      <c r="B1546" s="109" t="s">
        <v>7197</v>
      </c>
      <c r="C1546" s="113">
        <v>2017</v>
      </c>
      <c r="D1546" s="112">
        <v>479</v>
      </c>
      <c r="E1546" s="112">
        <v>4595</v>
      </c>
      <c r="F1546" s="112">
        <v>1610</v>
      </c>
      <c r="G1546" s="112">
        <v>3056</v>
      </c>
      <c r="H1546" s="112">
        <v>602</v>
      </c>
      <c r="I1546" s="112">
        <v>104</v>
      </c>
      <c r="J1546" s="112">
        <v>112</v>
      </c>
      <c r="K1546" s="112">
        <v>9</v>
      </c>
      <c r="L1546" s="112">
        <v>655</v>
      </c>
      <c r="M1546" s="112">
        <v>596</v>
      </c>
      <c r="N1546" s="112">
        <v>59</v>
      </c>
      <c r="O1546" s="100"/>
      <c r="P1546" s="100"/>
      <c r="Q1546" s="100"/>
    </row>
    <row r="1547" spans="1:17" s="117" customFormat="1" ht="31.75" customHeight="1">
      <c r="A1547" s="109" t="s">
        <v>7196</v>
      </c>
      <c r="B1547" s="109" t="s">
        <v>7197</v>
      </c>
      <c r="C1547" s="113">
        <v>2018</v>
      </c>
      <c r="D1547" s="112">
        <v>477</v>
      </c>
      <c r="E1547" s="112">
        <v>4722</v>
      </c>
      <c r="F1547" s="112">
        <v>1514</v>
      </c>
      <c r="G1547" s="112">
        <v>3310</v>
      </c>
      <c r="H1547" s="112">
        <v>646</v>
      </c>
      <c r="I1547" s="112">
        <v>159</v>
      </c>
      <c r="J1547" s="112">
        <v>161</v>
      </c>
      <c r="K1547" s="112">
        <v>3</v>
      </c>
      <c r="L1547" s="112">
        <v>719</v>
      </c>
      <c r="M1547" s="112">
        <v>631</v>
      </c>
      <c r="N1547" s="112">
        <v>88</v>
      </c>
      <c r="O1547" s="110"/>
      <c r="P1547" s="110"/>
      <c r="Q1547" s="110"/>
    </row>
    <row r="1548" spans="1:17" s="117" customFormat="1" ht="31.75" customHeight="1">
      <c r="A1548" s="109" t="s">
        <v>7196</v>
      </c>
      <c r="B1548" s="109" t="s">
        <v>7197</v>
      </c>
      <c r="C1548" s="113">
        <v>2019</v>
      </c>
      <c r="D1548" s="112">
        <v>469</v>
      </c>
      <c r="E1548" s="112">
        <v>5117.634035</v>
      </c>
      <c r="F1548" s="112">
        <v>1679.707582</v>
      </c>
      <c r="G1548" s="112">
        <v>3418.5803449999999</v>
      </c>
      <c r="H1548" s="112">
        <v>685.246262</v>
      </c>
      <c r="I1548" s="112">
        <v>156.123301</v>
      </c>
      <c r="J1548" s="112">
        <v>159.862109</v>
      </c>
      <c r="K1548" s="112">
        <v>3.7388080000000001</v>
      </c>
      <c r="L1548" s="112">
        <v>852.85312599999997</v>
      </c>
      <c r="M1548" s="112">
        <v>847.87637800000005</v>
      </c>
      <c r="N1548" s="112">
        <v>4.9767469999999996</v>
      </c>
      <c r="O1548" s="110"/>
      <c r="P1548" s="110"/>
      <c r="Q1548" s="110"/>
    </row>
    <row r="1549" spans="1:17" s="117" customFormat="1" ht="31.75" customHeight="1">
      <c r="A1549" s="114" t="s">
        <v>7196</v>
      </c>
      <c r="B1549" s="109" t="s">
        <v>7197</v>
      </c>
      <c r="C1549" s="113">
        <v>2020</v>
      </c>
      <c r="D1549" s="112">
        <v>471</v>
      </c>
      <c r="E1549" s="112">
        <v>4798.8809389999997</v>
      </c>
      <c r="F1549" s="112">
        <v>1645.3509200000001</v>
      </c>
      <c r="G1549" s="112">
        <v>3085.6185559999999</v>
      </c>
      <c r="H1549" s="112">
        <v>638.60021800000004</v>
      </c>
      <c r="I1549" s="112">
        <v>89.270548000000005</v>
      </c>
      <c r="J1549" s="112">
        <v>174.10051999999999</v>
      </c>
      <c r="K1549" s="112">
        <v>84.829971999999998</v>
      </c>
      <c r="L1549" s="112">
        <v>684.63288</v>
      </c>
      <c r="M1549" s="112">
        <v>746.75120400000003</v>
      </c>
      <c r="N1549" s="112">
        <v>-62.118324999999999</v>
      </c>
    </row>
    <row r="1550" spans="1:17" s="117" customFormat="1" ht="17.5" customHeight="1">
      <c r="A1550" s="109" t="s">
        <v>7198</v>
      </c>
      <c r="B1550" s="109" t="s">
        <v>7199</v>
      </c>
      <c r="C1550" s="98">
        <v>2008</v>
      </c>
      <c r="D1550" s="99">
        <v>17</v>
      </c>
      <c r="E1550" s="99">
        <v>497</v>
      </c>
      <c r="F1550" s="99">
        <v>237</v>
      </c>
      <c r="G1550" s="99">
        <v>278</v>
      </c>
      <c r="H1550" s="99">
        <v>70</v>
      </c>
      <c r="I1550" s="99">
        <v>50</v>
      </c>
      <c r="J1550" s="99" t="s">
        <v>6953</v>
      </c>
      <c r="K1550" s="99" t="s">
        <v>6953</v>
      </c>
      <c r="L1550" s="99">
        <v>53</v>
      </c>
      <c r="M1550" s="99">
        <v>39</v>
      </c>
      <c r="N1550" s="99">
        <v>14</v>
      </c>
    </row>
    <row r="1551" spans="1:17" s="117" customFormat="1" ht="17.5" customHeight="1">
      <c r="A1551" s="109" t="s">
        <v>7198</v>
      </c>
      <c r="B1551" s="109" t="s">
        <v>7199</v>
      </c>
      <c r="C1551" s="98">
        <v>2009</v>
      </c>
      <c r="D1551" s="99">
        <v>17</v>
      </c>
      <c r="E1551" s="99">
        <v>1020</v>
      </c>
      <c r="F1551" s="99">
        <v>227</v>
      </c>
      <c r="G1551" s="99">
        <v>736</v>
      </c>
      <c r="H1551" s="99">
        <v>117</v>
      </c>
      <c r="I1551" s="99">
        <v>41</v>
      </c>
      <c r="J1551" s="99">
        <v>42</v>
      </c>
      <c r="K1551" s="99">
        <v>1</v>
      </c>
      <c r="L1551" s="99">
        <v>84</v>
      </c>
      <c r="M1551" s="99">
        <v>140</v>
      </c>
      <c r="N1551" s="99">
        <v>-56</v>
      </c>
    </row>
    <row r="1552" spans="1:17" s="117" customFormat="1" ht="17.5" customHeight="1">
      <c r="A1552" s="109" t="s">
        <v>7198</v>
      </c>
      <c r="B1552" s="109" t="s">
        <v>7199</v>
      </c>
      <c r="C1552" s="98">
        <v>2010</v>
      </c>
      <c r="D1552" s="99">
        <v>14</v>
      </c>
      <c r="E1552" s="99">
        <v>506</v>
      </c>
      <c r="F1552" s="99">
        <v>208</v>
      </c>
      <c r="G1552" s="99">
        <v>293</v>
      </c>
      <c r="H1552" s="99">
        <v>70</v>
      </c>
      <c r="I1552" s="99">
        <v>28</v>
      </c>
      <c r="J1552" s="99">
        <v>29</v>
      </c>
      <c r="K1552" s="99">
        <v>1</v>
      </c>
      <c r="L1552" s="99">
        <v>59</v>
      </c>
      <c r="M1552" s="99">
        <v>63</v>
      </c>
      <c r="N1552" s="99">
        <v>-5</v>
      </c>
    </row>
    <row r="1553" spans="1:17" s="117" customFormat="1" ht="17.5" customHeight="1">
      <c r="A1553" s="109" t="s">
        <v>7198</v>
      </c>
      <c r="B1553" s="109" t="s">
        <v>7199</v>
      </c>
      <c r="C1553" s="98">
        <v>2011</v>
      </c>
      <c r="D1553" s="99">
        <v>16</v>
      </c>
      <c r="E1553" s="99">
        <v>299</v>
      </c>
      <c r="F1553" s="99">
        <v>56</v>
      </c>
      <c r="G1553" s="99">
        <v>250</v>
      </c>
      <c r="H1553" s="99">
        <v>51</v>
      </c>
      <c r="I1553" s="99">
        <v>12</v>
      </c>
      <c r="J1553" s="99" t="s">
        <v>6953</v>
      </c>
      <c r="K1553" s="99" t="s">
        <v>6953</v>
      </c>
      <c r="L1553" s="99">
        <v>33</v>
      </c>
      <c r="M1553" s="99">
        <v>26</v>
      </c>
      <c r="N1553" s="99">
        <v>7</v>
      </c>
      <c r="O1553" s="110"/>
      <c r="P1553" s="110"/>
      <c r="Q1553" s="110"/>
    </row>
    <row r="1554" spans="1:17" s="117" customFormat="1" ht="17.5" customHeight="1">
      <c r="A1554" s="109" t="s">
        <v>7198</v>
      </c>
      <c r="B1554" s="109" t="s">
        <v>7199</v>
      </c>
      <c r="C1554" s="111">
        <v>2012</v>
      </c>
      <c r="D1554" s="112">
        <v>16</v>
      </c>
      <c r="E1554" s="112">
        <v>479</v>
      </c>
      <c r="F1554" s="112">
        <v>145</v>
      </c>
      <c r="G1554" s="112">
        <v>353</v>
      </c>
      <c r="H1554" s="112">
        <v>77</v>
      </c>
      <c r="I1554" s="112">
        <v>14</v>
      </c>
      <c r="J1554" s="112">
        <v>16</v>
      </c>
      <c r="K1554" s="112">
        <v>2</v>
      </c>
      <c r="L1554" s="112">
        <v>123</v>
      </c>
      <c r="M1554" s="112">
        <v>103</v>
      </c>
      <c r="N1554" s="112">
        <v>20</v>
      </c>
      <c r="O1554" s="110"/>
      <c r="P1554" s="110"/>
      <c r="Q1554" s="110"/>
    </row>
    <row r="1555" spans="1:17" s="117" customFormat="1" ht="17.5" customHeight="1">
      <c r="A1555" s="109" t="s">
        <v>7198</v>
      </c>
      <c r="B1555" s="109" t="s">
        <v>7199</v>
      </c>
      <c r="C1555" s="113">
        <v>2013</v>
      </c>
      <c r="D1555" s="112">
        <v>14</v>
      </c>
      <c r="E1555" s="112">
        <v>256</v>
      </c>
      <c r="F1555" s="112">
        <v>-12</v>
      </c>
      <c r="G1555" s="112">
        <v>233</v>
      </c>
      <c r="H1555" s="112">
        <v>57</v>
      </c>
      <c r="I1555" s="112">
        <v>11</v>
      </c>
      <c r="J1555" s="112">
        <v>12</v>
      </c>
      <c r="K1555" s="112" t="s">
        <v>6952</v>
      </c>
      <c r="L1555" s="112">
        <v>54</v>
      </c>
      <c r="M1555" s="112">
        <v>88</v>
      </c>
      <c r="N1555" s="112">
        <v>-34</v>
      </c>
      <c r="O1555" s="100"/>
      <c r="P1555" s="100"/>
      <c r="Q1555" s="100"/>
    </row>
    <row r="1556" spans="1:17" s="117" customFormat="1" ht="17.5" customHeight="1">
      <c r="A1556" s="109" t="s">
        <v>7198</v>
      </c>
      <c r="B1556" s="109" t="s">
        <v>7199</v>
      </c>
      <c r="C1556" s="113">
        <v>2014</v>
      </c>
      <c r="D1556" s="99">
        <v>15</v>
      </c>
      <c r="E1556" s="99">
        <v>191</v>
      </c>
      <c r="F1556" s="99">
        <v>30</v>
      </c>
      <c r="G1556" s="99">
        <v>149</v>
      </c>
      <c r="H1556" s="99">
        <v>38</v>
      </c>
      <c r="I1556" s="99">
        <v>4</v>
      </c>
      <c r="J1556" s="99" t="s">
        <v>6953</v>
      </c>
      <c r="K1556" s="99" t="s">
        <v>6953</v>
      </c>
      <c r="L1556" s="99">
        <v>38</v>
      </c>
      <c r="M1556" s="99">
        <v>50</v>
      </c>
      <c r="N1556" s="99">
        <v>-12</v>
      </c>
      <c r="O1556" s="110"/>
      <c r="P1556" s="110"/>
      <c r="Q1556" s="110"/>
    </row>
    <row r="1557" spans="1:17" s="117" customFormat="1" ht="17.5" customHeight="1">
      <c r="A1557" s="109" t="s">
        <v>7198</v>
      </c>
      <c r="B1557" s="109" t="s">
        <v>7199</v>
      </c>
      <c r="C1557" s="113">
        <v>2015</v>
      </c>
      <c r="D1557" s="112">
        <v>11</v>
      </c>
      <c r="E1557" s="112">
        <v>80</v>
      </c>
      <c r="F1557" s="112">
        <v>25</v>
      </c>
      <c r="G1557" s="112">
        <v>55</v>
      </c>
      <c r="H1557" s="112">
        <v>15</v>
      </c>
      <c r="I1557" s="112">
        <v>1</v>
      </c>
      <c r="J1557" s="99" t="s">
        <v>6953</v>
      </c>
      <c r="K1557" s="99" t="s">
        <v>6953</v>
      </c>
      <c r="L1557" s="112">
        <v>8</v>
      </c>
      <c r="M1557" s="112">
        <v>8</v>
      </c>
      <c r="N1557" s="112" t="s">
        <v>6952</v>
      </c>
      <c r="O1557" s="100"/>
      <c r="P1557" s="100"/>
      <c r="Q1557" s="100"/>
    </row>
    <row r="1558" spans="1:17" s="117" customFormat="1" ht="17.5" customHeight="1">
      <c r="A1558" s="109" t="s">
        <v>7198</v>
      </c>
      <c r="B1558" s="109" t="s">
        <v>7199</v>
      </c>
      <c r="C1558" s="113">
        <v>2016</v>
      </c>
      <c r="D1558" s="112">
        <v>8</v>
      </c>
      <c r="E1558" s="112">
        <v>144</v>
      </c>
      <c r="F1558" s="112">
        <v>52</v>
      </c>
      <c r="G1558" s="112">
        <v>94</v>
      </c>
      <c r="H1558" s="112">
        <v>25</v>
      </c>
      <c r="I1558" s="112">
        <v>2</v>
      </c>
      <c r="J1558" s="112">
        <v>2</v>
      </c>
      <c r="K1558" s="112" t="s">
        <v>6952</v>
      </c>
      <c r="L1558" s="112">
        <v>26</v>
      </c>
      <c r="M1558" s="112">
        <v>23</v>
      </c>
      <c r="N1558" s="112">
        <v>3</v>
      </c>
      <c r="O1558" s="100"/>
      <c r="P1558" s="100"/>
      <c r="Q1558" s="100"/>
    </row>
    <row r="1559" spans="1:17" s="117" customFormat="1" ht="17.5" customHeight="1">
      <c r="A1559" s="109" t="s">
        <v>7198</v>
      </c>
      <c r="B1559" s="109" t="s">
        <v>7199</v>
      </c>
      <c r="C1559" s="113">
        <v>2017</v>
      </c>
      <c r="D1559" s="112">
        <v>8</v>
      </c>
      <c r="E1559" s="112">
        <v>149</v>
      </c>
      <c r="F1559" s="112">
        <v>49</v>
      </c>
      <c r="G1559" s="112">
        <v>105</v>
      </c>
      <c r="H1559" s="112">
        <v>28</v>
      </c>
      <c r="I1559" s="112">
        <v>7</v>
      </c>
      <c r="J1559" s="112">
        <v>7</v>
      </c>
      <c r="K1559" s="112" t="s">
        <v>6952</v>
      </c>
      <c r="L1559" s="112">
        <v>31</v>
      </c>
      <c r="M1559" s="112">
        <v>26</v>
      </c>
      <c r="N1559" s="112">
        <v>5</v>
      </c>
      <c r="O1559" s="110"/>
      <c r="P1559" s="110"/>
      <c r="Q1559" s="110"/>
    </row>
    <row r="1560" spans="1:17" s="117" customFormat="1" ht="17.5" customHeight="1">
      <c r="A1560" s="109" t="s">
        <v>7198</v>
      </c>
      <c r="B1560" s="109" t="s">
        <v>7199</v>
      </c>
      <c r="C1560" s="113">
        <v>2018</v>
      </c>
      <c r="D1560" s="112">
        <v>10</v>
      </c>
      <c r="E1560" s="112">
        <v>318</v>
      </c>
      <c r="F1560" s="112">
        <v>137</v>
      </c>
      <c r="G1560" s="112">
        <v>191</v>
      </c>
      <c r="H1560" s="112">
        <v>42</v>
      </c>
      <c r="I1560" s="112">
        <v>12</v>
      </c>
      <c r="J1560" s="112">
        <v>14</v>
      </c>
      <c r="K1560" s="112">
        <v>1</v>
      </c>
      <c r="L1560" s="112">
        <v>44</v>
      </c>
      <c r="M1560" s="112">
        <v>33</v>
      </c>
      <c r="N1560" s="112">
        <v>11</v>
      </c>
      <c r="O1560" s="110"/>
      <c r="P1560" s="110"/>
      <c r="Q1560" s="110"/>
    </row>
    <row r="1561" spans="1:17" s="117" customFormat="1" ht="17.5" customHeight="1">
      <c r="A1561" s="109" t="s">
        <v>7198</v>
      </c>
      <c r="B1561" s="109" t="s">
        <v>7199</v>
      </c>
      <c r="C1561" s="113">
        <v>2019</v>
      </c>
      <c r="D1561" s="112">
        <v>10</v>
      </c>
      <c r="E1561" s="112">
        <v>286.29871600000001</v>
      </c>
      <c r="F1561" s="112">
        <v>103.023377</v>
      </c>
      <c r="G1561" s="112">
        <v>166.27626699999999</v>
      </c>
      <c r="H1561" s="112">
        <v>37.015450000000001</v>
      </c>
      <c r="I1561" s="112">
        <v>7.286505</v>
      </c>
      <c r="J1561" s="112" t="s">
        <v>6953</v>
      </c>
      <c r="K1561" s="112" t="s">
        <v>6953</v>
      </c>
      <c r="L1561" s="112">
        <v>42.269316000000003</v>
      </c>
      <c r="M1561" s="112">
        <v>58.910429000000001</v>
      </c>
      <c r="N1561" s="112">
        <v>-16.641113000000001</v>
      </c>
    </row>
    <row r="1562" spans="1:17" s="117" customFormat="1" ht="17.5" customHeight="1">
      <c r="A1562" s="114" t="s">
        <v>7198</v>
      </c>
      <c r="B1562" s="114" t="s">
        <v>7199</v>
      </c>
      <c r="C1562" s="113">
        <v>2020</v>
      </c>
      <c r="D1562" s="112">
        <v>9</v>
      </c>
      <c r="E1562" s="112">
        <v>249.03433999999999</v>
      </c>
      <c r="F1562" s="112">
        <v>98.658501999999999</v>
      </c>
      <c r="G1562" s="112">
        <v>138.19295099999999</v>
      </c>
      <c r="H1562" s="112">
        <v>38.882890000000003</v>
      </c>
      <c r="I1562" s="112">
        <v>1.849243</v>
      </c>
      <c r="J1562" s="112" t="s">
        <v>6953</v>
      </c>
      <c r="K1562" s="112" t="s">
        <v>6953</v>
      </c>
      <c r="L1562" s="112">
        <v>33.694192999999999</v>
      </c>
      <c r="M1562" s="112">
        <v>45.833523</v>
      </c>
      <c r="N1562" s="112">
        <v>-12.139329999999999</v>
      </c>
    </row>
    <row r="1563" spans="1:17" s="117" customFormat="1" ht="31.75" customHeight="1">
      <c r="A1563" s="109" t="s">
        <v>7200</v>
      </c>
      <c r="B1563" s="109" t="s">
        <v>7201</v>
      </c>
      <c r="C1563" s="98">
        <v>2008</v>
      </c>
      <c r="D1563" s="99">
        <v>376</v>
      </c>
      <c r="E1563" s="99">
        <v>15402</v>
      </c>
      <c r="F1563" s="99">
        <v>7566</v>
      </c>
      <c r="G1563" s="99">
        <v>7834</v>
      </c>
      <c r="H1563" s="99">
        <v>2839</v>
      </c>
      <c r="I1563" s="99">
        <v>609</v>
      </c>
      <c r="J1563" s="99">
        <v>665</v>
      </c>
      <c r="K1563" s="99">
        <v>56</v>
      </c>
      <c r="L1563" s="99">
        <v>2019</v>
      </c>
      <c r="M1563" s="99">
        <v>2011</v>
      </c>
      <c r="N1563" s="99">
        <v>8</v>
      </c>
    </row>
    <row r="1564" spans="1:17" s="117" customFormat="1" ht="31.75" customHeight="1">
      <c r="A1564" s="109" t="s">
        <v>7200</v>
      </c>
      <c r="B1564" s="109" t="s">
        <v>7201</v>
      </c>
      <c r="C1564" s="98">
        <v>2009</v>
      </c>
      <c r="D1564" s="99">
        <v>465</v>
      </c>
      <c r="E1564" s="99">
        <v>16071</v>
      </c>
      <c r="F1564" s="99">
        <v>7824</v>
      </c>
      <c r="G1564" s="99">
        <v>8325</v>
      </c>
      <c r="H1564" s="99">
        <v>2692</v>
      </c>
      <c r="I1564" s="99">
        <v>550</v>
      </c>
      <c r="J1564" s="99">
        <v>617</v>
      </c>
      <c r="K1564" s="99">
        <v>67</v>
      </c>
      <c r="L1564" s="99">
        <v>1994</v>
      </c>
      <c r="M1564" s="99">
        <v>1919</v>
      </c>
      <c r="N1564" s="99">
        <v>75</v>
      </c>
    </row>
    <row r="1565" spans="1:17" s="117" customFormat="1" ht="31.75" customHeight="1">
      <c r="A1565" s="109" t="s">
        <v>7200</v>
      </c>
      <c r="B1565" s="109" t="s">
        <v>7201</v>
      </c>
      <c r="C1565" s="98">
        <v>2010</v>
      </c>
      <c r="D1565" s="99">
        <v>444</v>
      </c>
      <c r="E1565" s="99">
        <v>18716</v>
      </c>
      <c r="F1565" s="99">
        <v>9629</v>
      </c>
      <c r="G1565" s="99">
        <v>9163</v>
      </c>
      <c r="H1565" s="99">
        <v>2191</v>
      </c>
      <c r="I1565" s="99">
        <v>505</v>
      </c>
      <c r="J1565" s="99">
        <v>553</v>
      </c>
      <c r="K1565" s="99">
        <v>48</v>
      </c>
      <c r="L1565" s="99">
        <v>1937</v>
      </c>
      <c r="M1565" s="99">
        <v>1876</v>
      </c>
      <c r="N1565" s="99">
        <v>61</v>
      </c>
      <c r="O1565" s="110"/>
      <c r="P1565" s="110"/>
      <c r="Q1565" s="110"/>
    </row>
    <row r="1566" spans="1:17" s="117" customFormat="1" ht="31.75" customHeight="1">
      <c r="A1566" s="109" t="s">
        <v>7200</v>
      </c>
      <c r="B1566" s="109" t="s">
        <v>7201</v>
      </c>
      <c r="C1566" s="98">
        <v>2011</v>
      </c>
      <c r="D1566" s="99">
        <v>448</v>
      </c>
      <c r="E1566" s="99">
        <v>17248</v>
      </c>
      <c r="F1566" s="99">
        <v>7417</v>
      </c>
      <c r="G1566" s="99">
        <v>9863</v>
      </c>
      <c r="H1566" s="99">
        <v>1847</v>
      </c>
      <c r="I1566" s="99">
        <v>438</v>
      </c>
      <c r="J1566" s="99">
        <v>465</v>
      </c>
      <c r="K1566" s="99">
        <v>27</v>
      </c>
      <c r="L1566" s="99">
        <v>1893</v>
      </c>
      <c r="M1566" s="99">
        <v>1878</v>
      </c>
      <c r="N1566" s="99">
        <v>14</v>
      </c>
      <c r="O1566" s="110"/>
      <c r="P1566" s="110"/>
      <c r="Q1566" s="110"/>
    </row>
    <row r="1567" spans="1:17" s="117" customFormat="1" ht="31.75" customHeight="1">
      <c r="A1567" s="109" t="s">
        <v>7200</v>
      </c>
      <c r="B1567" s="109" t="s">
        <v>7201</v>
      </c>
      <c r="C1567" s="111">
        <v>2012</v>
      </c>
      <c r="D1567" s="112">
        <v>510</v>
      </c>
      <c r="E1567" s="112">
        <v>16027</v>
      </c>
      <c r="F1567" s="112">
        <v>6736</v>
      </c>
      <c r="G1567" s="112">
        <v>9402</v>
      </c>
      <c r="H1567" s="112">
        <v>2478</v>
      </c>
      <c r="I1567" s="112">
        <v>428</v>
      </c>
      <c r="J1567" s="112">
        <v>453</v>
      </c>
      <c r="K1567" s="112">
        <v>24</v>
      </c>
      <c r="L1567" s="112">
        <v>2075</v>
      </c>
      <c r="M1567" s="112">
        <v>1984</v>
      </c>
      <c r="N1567" s="112">
        <v>90</v>
      </c>
      <c r="O1567" s="100"/>
      <c r="P1567" s="100"/>
      <c r="Q1567" s="100"/>
    </row>
    <row r="1568" spans="1:17" s="117" customFormat="1" ht="31.75" customHeight="1">
      <c r="A1568" s="109" t="s">
        <v>7200</v>
      </c>
      <c r="B1568" s="109" t="s">
        <v>7201</v>
      </c>
      <c r="C1568" s="113">
        <v>2013</v>
      </c>
      <c r="D1568" s="112">
        <v>529</v>
      </c>
      <c r="E1568" s="112">
        <v>15021</v>
      </c>
      <c r="F1568" s="112">
        <v>6334</v>
      </c>
      <c r="G1568" s="112">
        <v>8548</v>
      </c>
      <c r="H1568" s="112">
        <v>2457</v>
      </c>
      <c r="I1568" s="112">
        <v>473</v>
      </c>
      <c r="J1568" s="112">
        <v>475</v>
      </c>
      <c r="K1568" s="112">
        <v>3</v>
      </c>
      <c r="L1568" s="112">
        <v>1934</v>
      </c>
      <c r="M1568" s="112">
        <v>2008</v>
      </c>
      <c r="N1568" s="112">
        <v>-75</v>
      </c>
      <c r="O1568" s="110"/>
      <c r="P1568" s="110"/>
      <c r="Q1568" s="110"/>
    </row>
    <row r="1569" spans="1:17" s="117" customFormat="1" ht="31.75" customHeight="1">
      <c r="A1569" s="109" t="s">
        <v>7200</v>
      </c>
      <c r="B1569" s="109" t="s">
        <v>7201</v>
      </c>
      <c r="C1569" s="113">
        <v>2014</v>
      </c>
      <c r="D1569" s="99">
        <v>535</v>
      </c>
      <c r="E1569" s="99">
        <v>13652</v>
      </c>
      <c r="F1569" s="99">
        <v>5663</v>
      </c>
      <c r="G1569" s="99">
        <v>8077</v>
      </c>
      <c r="H1569" s="99">
        <v>2417</v>
      </c>
      <c r="I1569" s="99">
        <v>441</v>
      </c>
      <c r="J1569" s="99">
        <v>455</v>
      </c>
      <c r="K1569" s="99">
        <v>14</v>
      </c>
      <c r="L1569" s="99">
        <v>2023</v>
      </c>
      <c r="M1569" s="99">
        <v>1917</v>
      </c>
      <c r="N1569" s="99">
        <v>106</v>
      </c>
      <c r="O1569" s="100"/>
      <c r="P1569" s="100"/>
      <c r="Q1569" s="100"/>
    </row>
    <row r="1570" spans="1:17" s="117" customFormat="1" ht="31.75" customHeight="1">
      <c r="A1570" s="109" t="s">
        <v>7200</v>
      </c>
      <c r="B1570" s="109" t="s">
        <v>7201</v>
      </c>
      <c r="C1570" s="113">
        <v>2015</v>
      </c>
      <c r="D1570" s="112">
        <v>573</v>
      </c>
      <c r="E1570" s="112">
        <v>13385</v>
      </c>
      <c r="F1570" s="112">
        <v>5345</v>
      </c>
      <c r="G1570" s="112">
        <v>8300</v>
      </c>
      <c r="H1570" s="112">
        <v>2043</v>
      </c>
      <c r="I1570" s="112">
        <v>1498</v>
      </c>
      <c r="J1570" s="112">
        <v>1538</v>
      </c>
      <c r="K1570" s="112">
        <v>40</v>
      </c>
      <c r="L1570" s="112">
        <v>2187</v>
      </c>
      <c r="M1570" s="112">
        <v>2104</v>
      </c>
      <c r="N1570" s="112">
        <v>83</v>
      </c>
      <c r="O1570" s="100"/>
      <c r="P1570" s="100"/>
      <c r="Q1570" s="100"/>
    </row>
    <row r="1571" spans="1:17" s="117" customFormat="1" ht="31.75" customHeight="1">
      <c r="A1571" s="109" t="s">
        <v>7200</v>
      </c>
      <c r="B1571" s="109" t="s">
        <v>7201</v>
      </c>
      <c r="C1571" s="113">
        <v>2016</v>
      </c>
      <c r="D1571" s="112">
        <v>610</v>
      </c>
      <c r="E1571" s="112">
        <v>18363</v>
      </c>
      <c r="F1571" s="112">
        <v>8843</v>
      </c>
      <c r="G1571" s="112">
        <v>10068</v>
      </c>
      <c r="H1571" s="112">
        <v>3384</v>
      </c>
      <c r="I1571" s="112">
        <v>774</v>
      </c>
      <c r="J1571" s="112">
        <v>848</v>
      </c>
      <c r="K1571" s="112">
        <v>74</v>
      </c>
      <c r="L1571" s="112">
        <v>2682</v>
      </c>
      <c r="M1571" s="112">
        <v>2187</v>
      </c>
      <c r="N1571" s="112">
        <v>495</v>
      </c>
      <c r="O1571" s="110"/>
      <c r="P1571" s="110"/>
      <c r="Q1571" s="110"/>
    </row>
    <row r="1572" spans="1:17" s="117" customFormat="1" ht="31.75" customHeight="1">
      <c r="A1572" s="109" t="s">
        <v>7200</v>
      </c>
      <c r="B1572" s="109" t="s">
        <v>7201</v>
      </c>
      <c r="C1572" s="113">
        <v>2017</v>
      </c>
      <c r="D1572" s="112">
        <v>636</v>
      </c>
      <c r="E1572" s="112">
        <v>18273</v>
      </c>
      <c r="F1572" s="112">
        <v>8569</v>
      </c>
      <c r="G1572" s="112">
        <v>9563</v>
      </c>
      <c r="H1572" s="112">
        <v>3659</v>
      </c>
      <c r="I1572" s="112">
        <v>1020</v>
      </c>
      <c r="J1572" s="112">
        <v>1246</v>
      </c>
      <c r="K1572" s="112">
        <v>226</v>
      </c>
      <c r="L1572" s="112">
        <v>2513</v>
      </c>
      <c r="M1572" s="112">
        <v>2729</v>
      </c>
      <c r="N1572" s="112">
        <v>-215</v>
      </c>
      <c r="O1572" s="110"/>
      <c r="P1572" s="110"/>
      <c r="Q1572" s="110"/>
    </row>
    <row r="1573" spans="1:17" s="117" customFormat="1" ht="31.75" customHeight="1">
      <c r="A1573" s="109" t="s">
        <v>7200</v>
      </c>
      <c r="B1573" s="109" t="s">
        <v>7201</v>
      </c>
      <c r="C1573" s="113">
        <v>2018</v>
      </c>
      <c r="D1573" s="112">
        <v>646</v>
      </c>
      <c r="E1573" s="112">
        <v>20483</v>
      </c>
      <c r="F1573" s="112">
        <v>7876</v>
      </c>
      <c r="G1573" s="112">
        <v>12448</v>
      </c>
      <c r="H1573" s="112">
        <v>3697</v>
      </c>
      <c r="I1573" s="112">
        <v>1023</v>
      </c>
      <c r="J1573" s="99" t="s">
        <v>6953</v>
      </c>
      <c r="K1573" s="99" t="s">
        <v>6953</v>
      </c>
      <c r="L1573" s="112">
        <v>2330</v>
      </c>
      <c r="M1573" s="112">
        <v>2560</v>
      </c>
      <c r="N1573" s="112">
        <v>-230</v>
      </c>
    </row>
    <row r="1574" spans="1:17" s="117" customFormat="1" ht="31.75" customHeight="1">
      <c r="A1574" s="109" t="s">
        <v>7200</v>
      </c>
      <c r="B1574" s="109" t="s">
        <v>7201</v>
      </c>
      <c r="C1574" s="113">
        <v>2019</v>
      </c>
      <c r="D1574" s="112">
        <v>666</v>
      </c>
      <c r="E1574" s="112">
        <v>21999.902016</v>
      </c>
      <c r="F1574" s="112">
        <v>8937.7352589999991</v>
      </c>
      <c r="G1574" s="112">
        <v>13294.272553999999</v>
      </c>
      <c r="H1574" s="112">
        <v>3563.7988270000001</v>
      </c>
      <c r="I1574" s="112">
        <v>760.842939</v>
      </c>
      <c r="J1574" s="112">
        <v>792.38319000000001</v>
      </c>
      <c r="K1574" s="112">
        <v>31.54025</v>
      </c>
      <c r="L1574" s="112">
        <v>2825.900783</v>
      </c>
      <c r="M1574" s="112">
        <v>2735.5654089999998</v>
      </c>
      <c r="N1574" s="112">
        <v>90.335374000000002</v>
      </c>
    </row>
    <row r="1575" spans="1:17" s="117" customFormat="1" ht="31.75" customHeight="1">
      <c r="A1575" s="114" t="s">
        <v>7200</v>
      </c>
      <c r="B1575" s="114" t="s">
        <v>7201</v>
      </c>
      <c r="C1575" s="113">
        <v>2020</v>
      </c>
      <c r="D1575" s="112">
        <v>693</v>
      </c>
      <c r="E1575" s="112">
        <v>23872.513298999998</v>
      </c>
      <c r="F1575" s="112">
        <v>9390.0215179999996</v>
      </c>
      <c r="G1575" s="112">
        <v>14542.443354000001</v>
      </c>
      <c r="H1575" s="112">
        <v>3873.5821080000001</v>
      </c>
      <c r="I1575" s="112">
        <v>493.97467699999999</v>
      </c>
      <c r="J1575" s="112">
        <v>760.19712300000003</v>
      </c>
      <c r="K1575" s="112">
        <v>266.22244599999999</v>
      </c>
      <c r="L1575" s="112">
        <v>2792.0403769999998</v>
      </c>
      <c r="M1575" s="112">
        <v>2755.81963</v>
      </c>
      <c r="N1575" s="112">
        <v>36.220747000000003</v>
      </c>
    </row>
    <row r="1576" spans="1:17" s="117" customFormat="1" ht="17.5" customHeight="1">
      <c r="A1576" s="109" t="s">
        <v>7202</v>
      </c>
      <c r="B1576" s="109" t="s">
        <v>7203</v>
      </c>
      <c r="C1576" s="98">
        <v>2008</v>
      </c>
      <c r="D1576" s="99">
        <v>115</v>
      </c>
      <c r="E1576" s="99">
        <v>718</v>
      </c>
      <c r="F1576" s="99">
        <v>257</v>
      </c>
      <c r="G1576" s="99">
        <v>474</v>
      </c>
      <c r="H1576" s="99">
        <v>141</v>
      </c>
      <c r="I1576" s="99">
        <v>48</v>
      </c>
      <c r="J1576" s="99">
        <v>50</v>
      </c>
      <c r="K1576" s="99">
        <v>1</v>
      </c>
      <c r="L1576" s="99">
        <v>115</v>
      </c>
      <c r="M1576" s="99">
        <v>102</v>
      </c>
      <c r="N1576" s="99">
        <v>13</v>
      </c>
    </row>
    <row r="1577" spans="1:17" s="117" customFormat="1" ht="17.5" customHeight="1">
      <c r="A1577" s="109" t="s">
        <v>7202</v>
      </c>
      <c r="B1577" s="109" t="s">
        <v>7203</v>
      </c>
      <c r="C1577" s="98">
        <v>2009</v>
      </c>
      <c r="D1577" s="99">
        <v>110</v>
      </c>
      <c r="E1577" s="99">
        <v>412</v>
      </c>
      <c r="F1577" s="99">
        <v>154</v>
      </c>
      <c r="G1577" s="99">
        <v>256</v>
      </c>
      <c r="H1577" s="99">
        <v>96</v>
      </c>
      <c r="I1577" s="99">
        <v>39</v>
      </c>
      <c r="J1577" s="99">
        <v>40</v>
      </c>
      <c r="K1577" s="99">
        <v>1</v>
      </c>
      <c r="L1577" s="99">
        <v>95</v>
      </c>
      <c r="M1577" s="99">
        <v>96</v>
      </c>
      <c r="N1577" s="99" t="s">
        <v>6952</v>
      </c>
      <c r="O1577" s="110"/>
      <c r="P1577" s="110"/>
      <c r="Q1577" s="110"/>
    </row>
    <row r="1578" spans="1:17" s="117" customFormat="1" ht="17.5" customHeight="1">
      <c r="A1578" s="109" t="s">
        <v>7202</v>
      </c>
      <c r="B1578" s="109" t="s">
        <v>7203</v>
      </c>
      <c r="C1578" s="98">
        <v>2010</v>
      </c>
      <c r="D1578" s="99">
        <v>123</v>
      </c>
      <c r="E1578" s="99" t="s">
        <v>6953</v>
      </c>
      <c r="F1578" s="99" t="s">
        <v>6953</v>
      </c>
      <c r="G1578" s="99">
        <v>2932</v>
      </c>
      <c r="H1578" s="99">
        <v>267</v>
      </c>
      <c r="I1578" s="99">
        <v>270</v>
      </c>
      <c r="J1578" s="99">
        <v>276</v>
      </c>
      <c r="K1578" s="99">
        <v>6</v>
      </c>
      <c r="L1578" s="99">
        <v>646</v>
      </c>
      <c r="M1578" s="99">
        <v>636</v>
      </c>
      <c r="N1578" s="99">
        <v>10</v>
      </c>
      <c r="O1578" s="110"/>
      <c r="P1578" s="110"/>
      <c r="Q1578" s="110"/>
    </row>
    <row r="1579" spans="1:17" s="117" customFormat="1" ht="17.5" customHeight="1">
      <c r="A1579" s="109" t="s">
        <v>7202</v>
      </c>
      <c r="B1579" s="109" t="s">
        <v>7203</v>
      </c>
      <c r="C1579" s="98">
        <v>2011</v>
      </c>
      <c r="D1579" s="99">
        <v>145</v>
      </c>
      <c r="E1579" s="99" t="s">
        <v>6953</v>
      </c>
      <c r="F1579" s="99" t="s">
        <v>6953</v>
      </c>
      <c r="G1579" s="99">
        <v>4923</v>
      </c>
      <c r="H1579" s="99">
        <v>261</v>
      </c>
      <c r="I1579" s="99">
        <v>122</v>
      </c>
      <c r="J1579" s="99">
        <v>126</v>
      </c>
      <c r="K1579" s="99">
        <v>3</v>
      </c>
      <c r="L1579" s="99">
        <v>732</v>
      </c>
      <c r="M1579" s="99">
        <v>632</v>
      </c>
      <c r="N1579" s="99">
        <v>101</v>
      </c>
      <c r="O1579" s="100"/>
      <c r="P1579" s="100"/>
      <c r="Q1579" s="100"/>
    </row>
    <row r="1580" spans="1:17" s="117" customFormat="1" ht="17.5" customHeight="1">
      <c r="A1580" s="109" t="s">
        <v>7202</v>
      </c>
      <c r="B1580" s="109" t="s">
        <v>7203</v>
      </c>
      <c r="C1580" s="111">
        <v>2012</v>
      </c>
      <c r="D1580" s="112">
        <v>179</v>
      </c>
      <c r="E1580" s="112">
        <v>6948</v>
      </c>
      <c r="F1580" s="112">
        <v>2429</v>
      </c>
      <c r="G1580" s="112">
        <v>4465</v>
      </c>
      <c r="H1580" s="112">
        <v>724</v>
      </c>
      <c r="I1580" s="112">
        <v>149</v>
      </c>
      <c r="J1580" s="112">
        <v>150</v>
      </c>
      <c r="K1580" s="112">
        <v>1</v>
      </c>
      <c r="L1580" s="112">
        <v>774</v>
      </c>
      <c r="M1580" s="112">
        <v>830</v>
      </c>
      <c r="N1580" s="112">
        <v>-56</v>
      </c>
      <c r="O1580" s="110"/>
      <c r="P1580" s="110"/>
      <c r="Q1580" s="110"/>
    </row>
    <row r="1581" spans="1:17" s="117" customFormat="1" ht="17.5" customHeight="1">
      <c r="A1581" s="109" t="s">
        <v>7202</v>
      </c>
      <c r="B1581" s="109" t="s">
        <v>7203</v>
      </c>
      <c r="C1581" s="113">
        <v>2013</v>
      </c>
      <c r="D1581" s="112">
        <v>178</v>
      </c>
      <c r="E1581" s="112">
        <v>1464</v>
      </c>
      <c r="F1581" s="112">
        <v>616</v>
      </c>
      <c r="G1581" s="112">
        <v>879</v>
      </c>
      <c r="H1581" s="112">
        <v>231</v>
      </c>
      <c r="I1581" s="112">
        <v>83</v>
      </c>
      <c r="J1581" s="112">
        <v>83</v>
      </c>
      <c r="K1581" s="112" t="s">
        <v>6952</v>
      </c>
      <c r="L1581" s="112">
        <v>260</v>
      </c>
      <c r="M1581" s="112">
        <v>230</v>
      </c>
      <c r="N1581" s="112">
        <v>31</v>
      </c>
      <c r="O1581" s="100"/>
      <c r="P1581" s="100"/>
      <c r="Q1581" s="100"/>
    </row>
    <row r="1582" spans="1:17" s="117" customFormat="1" ht="17.5" customHeight="1">
      <c r="A1582" s="109" t="s">
        <v>7202</v>
      </c>
      <c r="B1582" s="109" t="s">
        <v>7203</v>
      </c>
      <c r="C1582" s="113">
        <v>2014</v>
      </c>
      <c r="D1582" s="99">
        <v>180</v>
      </c>
      <c r="E1582" s="99">
        <v>1254</v>
      </c>
      <c r="F1582" s="99">
        <v>585</v>
      </c>
      <c r="G1582" s="99">
        <v>684</v>
      </c>
      <c r="H1582" s="99">
        <v>235</v>
      </c>
      <c r="I1582" s="99">
        <v>74</v>
      </c>
      <c r="J1582" s="99">
        <v>76</v>
      </c>
      <c r="K1582" s="99">
        <v>2</v>
      </c>
      <c r="L1582" s="99">
        <v>253</v>
      </c>
      <c r="M1582" s="99">
        <v>239</v>
      </c>
      <c r="N1582" s="99">
        <v>14</v>
      </c>
      <c r="O1582" s="100"/>
      <c r="P1582" s="100"/>
      <c r="Q1582" s="100"/>
    </row>
    <row r="1583" spans="1:17" s="117" customFormat="1" ht="17.5" customHeight="1">
      <c r="A1583" s="109" t="s">
        <v>7202</v>
      </c>
      <c r="B1583" s="109" t="s">
        <v>7203</v>
      </c>
      <c r="C1583" s="113">
        <v>2015</v>
      </c>
      <c r="D1583" s="112">
        <v>168</v>
      </c>
      <c r="E1583" s="112">
        <v>1213</v>
      </c>
      <c r="F1583" s="112">
        <v>482</v>
      </c>
      <c r="G1583" s="112">
        <v>764</v>
      </c>
      <c r="H1583" s="112">
        <v>258</v>
      </c>
      <c r="I1583" s="112">
        <v>96</v>
      </c>
      <c r="J1583" s="112">
        <v>97</v>
      </c>
      <c r="K1583" s="112">
        <v>1</v>
      </c>
      <c r="L1583" s="112">
        <v>292</v>
      </c>
      <c r="M1583" s="112">
        <v>262</v>
      </c>
      <c r="N1583" s="112">
        <v>30</v>
      </c>
      <c r="O1583" s="110"/>
      <c r="P1583" s="110"/>
      <c r="Q1583" s="110"/>
    </row>
    <row r="1584" spans="1:17" s="117" customFormat="1" ht="17.5" customHeight="1">
      <c r="A1584" s="109" t="s">
        <v>7202</v>
      </c>
      <c r="B1584" s="109" t="s">
        <v>7203</v>
      </c>
      <c r="C1584" s="113">
        <v>2016</v>
      </c>
      <c r="D1584" s="112">
        <v>183</v>
      </c>
      <c r="E1584" s="112">
        <v>1300</v>
      </c>
      <c r="F1584" s="112">
        <v>471</v>
      </c>
      <c r="G1584" s="112">
        <v>882</v>
      </c>
      <c r="H1584" s="112">
        <v>278</v>
      </c>
      <c r="I1584" s="112">
        <v>101</v>
      </c>
      <c r="J1584" s="112">
        <v>101</v>
      </c>
      <c r="K1584" s="112">
        <v>1</v>
      </c>
      <c r="L1584" s="112">
        <v>309</v>
      </c>
      <c r="M1584" s="112">
        <v>269</v>
      </c>
      <c r="N1584" s="112">
        <v>40</v>
      </c>
      <c r="O1584" s="110"/>
      <c r="P1584" s="110"/>
      <c r="Q1584" s="110"/>
    </row>
    <row r="1585" spans="1:17" s="117" customFormat="1" ht="17.5" customHeight="1">
      <c r="A1585" s="109" t="s">
        <v>7202</v>
      </c>
      <c r="B1585" s="109" t="s">
        <v>7203</v>
      </c>
      <c r="C1585" s="113">
        <v>2017</v>
      </c>
      <c r="D1585" s="112">
        <v>188</v>
      </c>
      <c r="E1585" s="112">
        <v>1555</v>
      </c>
      <c r="F1585" s="112">
        <v>501</v>
      </c>
      <c r="G1585" s="112">
        <v>1110</v>
      </c>
      <c r="H1585" s="112">
        <v>311</v>
      </c>
      <c r="I1585" s="112">
        <v>430</v>
      </c>
      <c r="J1585" s="99" t="s">
        <v>6953</v>
      </c>
      <c r="K1585" s="112" t="s">
        <v>6953</v>
      </c>
      <c r="L1585" s="112">
        <v>347</v>
      </c>
      <c r="M1585" s="112">
        <v>322</v>
      </c>
      <c r="N1585" s="112">
        <v>26</v>
      </c>
    </row>
    <row r="1586" spans="1:17" s="117" customFormat="1" ht="17.5" customHeight="1">
      <c r="A1586" s="109" t="s">
        <v>7202</v>
      </c>
      <c r="B1586" s="109" t="s">
        <v>7203</v>
      </c>
      <c r="C1586" s="113">
        <v>2018</v>
      </c>
      <c r="D1586" s="112">
        <v>194</v>
      </c>
      <c r="E1586" s="112">
        <v>1873</v>
      </c>
      <c r="F1586" s="112">
        <v>655</v>
      </c>
      <c r="G1586" s="112">
        <v>1252</v>
      </c>
      <c r="H1586" s="112">
        <v>374</v>
      </c>
      <c r="I1586" s="112">
        <v>317</v>
      </c>
      <c r="J1586" s="112">
        <v>319</v>
      </c>
      <c r="K1586" s="112">
        <v>1</v>
      </c>
      <c r="L1586" s="112">
        <v>380</v>
      </c>
      <c r="M1586" s="112">
        <v>360</v>
      </c>
      <c r="N1586" s="112">
        <v>20</v>
      </c>
    </row>
    <row r="1587" spans="1:17" s="117" customFormat="1" ht="17.5" customHeight="1">
      <c r="A1587" s="109" t="s">
        <v>7202</v>
      </c>
      <c r="B1587" s="109" t="s">
        <v>7203</v>
      </c>
      <c r="C1587" s="113">
        <v>2019</v>
      </c>
      <c r="D1587" s="112">
        <v>206</v>
      </c>
      <c r="E1587" s="112">
        <v>2001.0567699999999</v>
      </c>
      <c r="F1587" s="112">
        <v>652.54427899999996</v>
      </c>
      <c r="G1587" s="112">
        <v>1463.9691310000001</v>
      </c>
      <c r="H1587" s="112">
        <v>337.25704999999999</v>
      </c>
      <c r="I1587" s="112">
        <v>141.62828200000001</v>
      </c>
      <c r="J1587" s="112">
        <v>152.90462299999999</v>
      </c>
      <c r="K1587" s="112">
        <v>11.276342</v>
      </c>
      <c r="L1587" s="112">
        <v>474.98288200000002</v>
      </c>
      <c r="M1587" s="112">
        <v>380.16929499999998</v>
      </c>
      <c r="N1587" s="112">
        <v>94.813586999999998</v>
      </c>
    </row>
    <row r="1588" spans="1:17" s="117" customFormat="1" ht="17.5" customHeight="1">
      <c r="A1588" s="114" t="s">
        <v>7202</v>
      </c>
      <c r="B1588" s="114" t="s">
        <v>7203</v>
      </c>
      <c r="C1588" s="113">
        <v>2020</v>
      </c>
      <c r="D1588" s="112">
        <v>245</v>
      </c>
      <c r="E1588" s="112">
        <v>2358.9709630000002</v>
      </c>
      <c r="F1588" s="112">
        <v>796.48944700000004</v>
      </c>
      <c r="G1588" s="112">
        <v>1655.5892100000001</v>
      </c>
      <c r="H1588" s="112">
        <v>422.06512400000003</v>
      </c>
      <c r="I1588" s="112">
        <v>176.545377</v>
      </c>
      <c r="J1588" s="112">
        <v>177.98674</v>
      </c>
      <c r="K1588" s="112">
        <v>1.4413629999999999</v>
      </c>
      <c r="L1588" s="112">
        <v>524.90250700000001</v>
      </c>
      <c r="M1588" s="112">
        <v>464.964023</v>
      </c>
      <c r="N1588" s="112">
        <v>59.938484000000003</v>
      </c>
    </row>
    <row r="1589" spans="1:17" s="117" customFormat="1" ht="17.5" customHeight="1">
      <c r="A1589" s="109" t="s">
        <v>7204</v>
      </c>
      <c r="B1589" s="109" t="s">
        <v>7205</v>
      </c>
      <c r="C1589" s="98">
        <v>2008</v>
      </c>
      <c r="D1589" s="99">
        <v>261</v>
      </c>
      <c r="E1589" s="99">
        <v>14684</v>
      </c>
      <c r="F1589" s="99">
        <v>7309</v>
      </c>
      <c r="G1589" s="99">
        <v>7360</v>
      </c>
      <c r="H1589" s="99">
        <v>2698</v>
      </c>
      <c r="I1589" s="99">
        <v>561</v>
      </c>
      <c r="J1589" s="99">
        <v>616</v>
      </c>
      <c r="K1589" s="99">
        <v>55</v>
      </c>
      <c r="L1589" s="99">
        <v>1904</v>
      </c>
      <c r="M1589" s="99">
        <v>1910</v>
      </c>
      <c r="N1589" s="99">
        <v>-5</v>
      </c>
      <c r="O1589" s="110"/>
      <c r="P1589" s="110"/>
      <c r="Q1589" s="110"/>
    </row>
    <row r="1590" spans="1:17" s="117" customFormat="1" ht="17.5" customHeight="1">
      <c r="A1590" s="109" t="s">
        <v>7204</v>
      </c>
      <c r="B1590" s="109" t="s">
        <v>7205</v>
      </c>
      <c r="C1590" s="98">
        <v>2009</v>
      </c>
      <c r="D1590" s="99">
        <v>355</v>
      </c>
      <c r="E1590" s="99">
        <v>15659</v>
      </c>
      <c r="F1590" s="99">
        <v>7670</v>
      </c>
      <c r="G1590" s="99">
        <v>8068</v>
      </c>
      <c r="H1590" s="99">
        <v>2596</v>
      </c>
      <c r="I1590" s="99">
        <v>511</v>
      </c>
      <c r="J1590" s="99">
        <v>577</v>
      </c>
      <c r="K1590" s="99">
        <v>66</v>
      </c>
      <c r="L1590" s="99">
        <v>1899</v>
      </c>
      <c r="M1590" s="99">
        <v>1823</v>
      </c>
      <c r="N1590" s="99">
        <v>76</v>
      </c>
      <c r="O1590" s="110"/>
      <c r="P1590" s="110"/>
      <c r="Q1590" s="110"/>
    </row>
    <row r="1591" spans="1:17" s="117" customFormat="1" ht="17.5" customHeight="1">
      <c r="A1591" s="109" t="s">
        <v>7204</v>
      </c>
      <c r="B1591" s="109" t="s">
        <v>7205</v>
      </c>
      <c r="C1591" s="98">
        <v>2010</v>
      </c>
      <c r="D1591" s="99">
        <v>321</v>
      </c>
      <c r="E1591" s="99" t="s">
        <v>6953</v>
      </c>
      <c r="F1591" s="99" t="s">
        <v>6953</v>
      </c>
      <c r="G1591" s="99">
        <v>6231</v>
      </c>
      <c r="H1591" s="99">
        <v>1924</v>
      </c>
      <c r="I1591" s="99">
        <v>235</v>
      </c>
      <c r="J1591" s="99">
        <v>277</v>
      </c>
      <c r="K1591" s="99">
        <v>42</v>
      </c>
      <c r="L1591" s="99">
        <v>1292</v>
      </c>
      <c r="M1591" s="99">
        <v>1240</v>
      </c>
      <c r="N1591" s="99">
        <v>51</v>
      </c>
      <c r="O1591" s="100"/>
      <c r="P1591" s="100"/>
      <c r="Q1591" s="100"/>
    </row>
    <row r="1592" spans="1:17" s="117" customFormat="1" ht="17.5" customHeight="1">
      <c r="A1592" s="109" t="s">
        <v>7204</v>
      </c>
      <c r="B1592" s="109" t="s">
        <v>7205</v>
      </c>
      <c r="C1592" s="98">
        <v>2011</v>
      </c>
      <c r="D1592" s="99">
        <v>303</v>
      </c>
      <c r="E1592" s="99" t="s">
        <v>6953</v>
      </c>
      <c r="F1592" s="99" t="s">
        <v>6953</v>
      </c>
      <c r="G1592" s="99">
        <v>4939</v>
      </c>
      <c r="H1592" s="99">
        <v>1587</v>
      </c>
      <c r="I1592" s="99">
        <v>315</v>
      </c>
      <c r="J1592" s="99">
        <v>339</v>
      </c>
      <c r="K1592" s="99">
        <v>24</v>
      </c>
      <c r="L1592" s="99">
        <v>1160</v>
      </c>
      <c r="M1592" s="99">
        <v>1247</v>
      </c>
      <c r="N1592" s="99">
        <v>-86</v>
      </c>
      <c r="O1592" s="110"/>
      <c r="P1592" s="110"/>
      <c r="Q1592" s="110"/>
    </row>
    <row r="1593" spans="1:17" s="117" customFormat="1" ht="17.5" customHeight="1">
      <c r="A1593" s="109" t="s">
        <v>7204</v>
      </c>
      <c r="B1593" s="109" t="s">
        <v>7205</v>
      </c>
      <c r="C1593" s="111">
        <v>2012</v>
      </c>
      <c r="D1593" s="112">
        <v>331</v>
      </c>
      <c r="E1593" s="112">
        <v>9080</v>
      </c>
      <c r="F1593" s="112">
        <v>4307</v>
      </c>
      <c r="G1593" s="112">
        <v>4937</v>
      </c>
      <c r="H1593" s="112">
        <v>1754</v>
      </c>
      <c r="I1593" s="112">
        <v>279</v>
      </c>
      <c r="J1593" s="112">
        <v>302</v>
      </c>
      <c r="K1593" s="112">
        <v>23</v>
      </c>
      <c r="L1593" s="112">
        <v>1301</v>
      </c>
      <c r="M1593" s="112">
        <v>1155</v>
      </c>
      <c r="N1593" s="112">
        <v>146</v>
      </c>
      <c r="O1593" s="100"/>
      <c r="P1593" s="100"/>
      <c r="Q1593" s="100"/>
    </row>
    <row r="1594" spans="1:17" s="117" customFormat="1" ht="17.5" customHeight="1">
      <c r="A1594" s="109" t="s">
        <v>7204</v>
      </c>
      <c r="B1594" s="109" t="s">
        <v>7205</v>
      </c>
      <c r="C1594" s="113">
        <v>2013</v>
      </c>
      <c r="D1594" s="112">
        <v>351</v>
      </c>
      <c r="E1594" s="112">
        <v>13557</v>
      </c>
      <c r="F1594" s="112">
        <v>5718</v>
      </c>
      <c r="G1594" s="112">
        <v>7668</v>
      </c>
      <c r="H1594" s="112">
        <v>2226</v>
      </c>
      <c r="I1594" s="112">
        <v>390</v>
      </c>
      <c r="J1594" s="112">
        <v>392</v>
      </c>
      <c r="K1594" s="112">
        <v>2</v>
      </c>
      <c r="L1594" s="112">
        <v>1673</v>
      </c>
      <c r="M1594" s="112">
        <v>1779</v>
      </c>
      <c r="N1594" s="112">
        <v>-105</v>
      </c>
      <c r="O1594" s="100"/>
      <c r="P1594" s="100"/>
      <c r="Q1594" s="100"/>
    </row>
    <row r="1595" spans="1:17" s="117" customFormat="1" ht="17.5" customHeight="1">
      <c r="A1595" s="109" t="s">
        <v>7204</v>
      </c>
      <c r="B1595" s="109" t="s">
        <v>7205</v>
      </c>
      <c r="C1595" s="113">
        <v>2014</v>
      </c>
      <c r="D1595" s="99">
        <v>355</v>
      </c>
      <c r="E1595" s="99">
        <v>12398</v>
      </c>
      <c r="F1595" s="99">
        <v>5078</v>
      </c>
      <c r="G1595" s="99">
        <v>7393</v>
      </c>
      <c r="H1595" s="99">
        <v>2182</v>
      </c>
      <c r="I1595" s="99">
        <v>367</v>
      </c>
      <c r="J1595" s="99">
        <v>379</v>
      </c>
      <c r="K1595" s="99">
        <v>12</v>
      </c>
      <c r="L1595" s="99">
        <v>1770</v>
      </c>
      <c r="M1595" s="99">
        <v>1678</v>
      </c>
      <c r="N1595" s="99">
        <v>92</v>
      </c>
      <c r="O1595" s="110"/>
      <c r="P1595" s="110"/>
      <c r="Q1595" s="110"/>
    </row>
    <row r="1596" spans="1:17" s="117" customFormat="1" ht="17.5" customHeight="1">
      <c r="A1596" s="109" t="s">
        <v>7204</v>
      </c>
      <c r="B1596" s="109" t="s">
        <v>7205</v>
      </c>
      <c r="C1596" s="113">
        <v>2015</v>
      </c>
      <c r="D1596" s="112">
        <v>405</v>
      </c>
      <c r="E1596" s="112">
        <v>12171</v>
      </c>
      <c r="F1596" s="112">
        <v>4863</v>
      </c>
      <c r="G1596" s="112">
        <v>7536</v>
      </c>
      <c r="H1596" s="112">
        <v>1785</v>
      </c>
      <c r="I1596" s="112">
        <v>1402</v>
      </c>
      <c r="J1596" s="112">
        <v>1440</v>
      </c>
      <c r="K1596" s="112">
        <v>38</v>
      </c>
      <c r="L1596" s="112">
        <v>1896</v>
      </c>
      <c r="M1596" s="112">
        <v>1842</v>
      </c>
      <c r="N1596" s="112">
        <v>53</v>
      </c>
      <c r="O1596" s="110"/>
      <c r="P1596" s="110"/>
      <c r="Q1596" s="110"/>
    </row>
    <row r="1597" spans="1:17" s="117" customFormat="1" ht="17.5" customHeight="1">
      <c r="A1597" s="109" t="s">
        <v>7204</v>
      </c>
      <c r="B1597" s="109" t="s">
        <v>7205</v>
      </c>
      <c r="C1597" s="113">
        <v>2016</v>
      </c>
      <c r="D1597" s="112">
        <v>427</v>
      </c>
      <c r="E1597" s="112">
        <v>17063</v>
      </c>
      <c r="F1597" s="112">
        <v>8371</v>
      </c>
      <c r="G1597" s="112">
        <v>9186</v>
      </c>
      <c r="H1597" s="112">
        <v>3106</v>
      </c>
      <c r="I1597" s="112">
        <v>673</v>
      </c>
      <c r="J1597" s="112">
        <v>747</v>
      </c>
      <c r="K1597" s="112">
        <v>74</v>
      </c>
      <c r="L1597" s="112">
        <v>2373</v>
      </c>
      <c r="M1597" s="112">
        <v>1917</v>
      </c>
      <c r="N1597" s="112">
        <v>455</v>
      </c>
    </row>
    <row r="1598" spans="1:17" s="117" customFormat="1" ht="17.5" customHeight="1">
      <c r="A1598" s="109" t="s">
        <v>7204</v>
      </c>
      <c r="B1598" s="109" t="s">
        <v>7205</v>
      </c>
      <c r="C1598" s="113">
        <v>2017</v>
      </c>
      <c r="D1598" s="112">
        <v>448</v>
      </c>
      <c r="E1598" s="112">
        <v>16718</v>
      </c>
      <c r="F1598" s="112">
        <v>8068</v>
      </c>
      <c r="G1598" s="112">
        <v>8453</v>
      </c>
      <c r="H1598" s="112">
        <v>3348</v>
      </c>
      <c r="I1598" s="112">
        <v>590</v>
      </c>
      <c r="J1598" s="99" t="s">
        <v>6953</v>
      </c>
      <c r="K1598" s="99" t="s">
        <v>6953</v>
      </c>
      <c r="L1598" s="112">
        <v>2166</v>
      </c>
      <c r="M1598" s="112">
        <v>2407</v>
      </c>
      <c r="N1598" s="112">
        <v>-241</v>
      </c>
    </row>
    <row r="1599" spans="1:17" s="117" customFormat="1" ht="17.5" customHeight="1">
      <c r="A1599" s="109" t="s">
        <v>7204</v>
      </c>
      <c r="B1599" s="109" t="s">
        <v>7205</v>
      </c>
      <c r="C1599" s="113">
        <v>2018</v>
      </c>
      <c r="D1599" s="112">
        <v>452</v>
      </c>
      <c r="E1599" s="112">
        <v>18610</v>
      </c>
      <c r="F1599" s="112">
        <v>7221</v>
      </c>
      <c r="G1599" s="112">
        <v>11196</v>
      </c>
      <c r="H1599" s="112">
        <v>3323</v>
      </c>
      <c r="I1599" s="112">
        <v>706</v>
      </c>
      <c r="J1599" s="99" t="s">
        <v>6953</v>
      </c>
      <c r="K1599" s="99" t="s">
        <v>6953</v>
      </c>
      <c r="L1599" s="112">
        <v>1950</v>
      </c>
      <c r="M1599" s="112">
        <v>2200</v>
      </c>
      <c r="N1599" s="112">
        <v>-250</v>
      </c>
    </row>
    <row r="1600" spans="1:17" s="117" customFormat="1" ht="17.5" customHeight="1">
      <c r="A1600" s="109" t="s">
        <v>7204</v>
      </c>
      <c r="B1600" s="109" t="s">
        <v>7205</v>
      </c>
      <c r="C1600" s="113">
        <v>2019</v>
      </c>
      <c r="D1600" s="112">
        <v>460</v>
      </c>
      <c r="E1600" s="112">
        <v>19998.845246000001</v>
      </c>
      <c r="F1600" s="112">
        <v>8285.1909809999997</v>
      </c>
      <c r="G1600" s="112">
        <v>11830.303422999999</v>
      </c>
      <c r="H1600" s="112">
        <v>3226.541776</v>
      </c>
      <c r="I1600" s="112">
        <v>619.21465799999999</v>
      </c>
      <c r="J1600" s="112">
        <v>639.478566</v>
      </c>
      <c r="K1600" s="112">
        <v>20.263909000000002</v>
      </c>
      <c r="L1600" s="112">
        <v>2350.9179009999998</v>
      </c>
      <c r="M1600" s="112">
        <v>2355.3961140000001</v>
      </c>
      <c r="N1600" s="112">
        <v>-4.4782130000000002</v>
      </c>
    </row>
    <row r="1601" spans="1:17" s="117" customFormat="1" ht="17.5" customHeight="1">
      <c r="A1601" s="114" t="s">
        <v>7204</v>
      </c>
      <c r="B1601" s="114" t="s">
        <v>7205</v>
      </c>
      <c r="C1601" s="113">
        <v>2020</v>
      </c>
      <c r="D1601" s="112">
        <v>448</v>
      </c>
      <c r="E1601" s="112">
        <v>21513.542335999999</v>
      </c>
      <c r="F1601" s="112">
        <v>8593.5320709999996</v>
      </c>
      <c r="G1601" s="112">
        <v>12886.854144000001</v>
      </c>
      <c r="H1601" s="112">
        <v>3451.516983</v>
      </c>
      <c r="I1601" s="112">
        <v>317.42930000000001</v>
      </c>
      <c r="J1601" s="112">
        <v>582.21038299999998</v>
      </c>
      <c r="K1601" s="112">
        <v>264.78108300000002</v>
      </c>
      <c r="L1601" s="112">
        <v>2267.13787</v>
      </c>
      <c r="M1601" s="112">
        <v>2290.8556060000001</v>
      </c>
      <c r="N1601" s="112">
        <v>-23.717735999999999</v>
      </c>
      <c r="O1601" s="110"/>
      <c r="P1601" s="110"/>
      <c r="Q1601" s="110"/>
    </row>
    <row r="1602" spans="1:17" s="117" customFormat="1" ht="17.5" customHeight="1">
      <c r="A1602" s="109" t="s">
        <v>7206</v>
      </c>
      <c r="B1602" s="109" t="s">
        <v>7207</v>
      </c>
      <c r="C1602" s="98">
        <v>2008</v>
      </c>
      <c r="D1602" s="99">
        <v>6641</v>
      </c>
      <c r="E1602" s="99">
        <v>21872</v>
      </c>
      <c r="F1602" s="99">
        <v>8126</v>
      </c>
      <c r="G1602" s="99">
        <v>14421</v>
      </c>
      <c r="H1602" s="99">
        <v>4719</v>
      </c>
      <c r="I1602" s="99">
        <v>638</v>
      </c>
      <c r="J1602" s="99">
        <v>811</v>
      </c>
      <c r="K1602" s="99">
        <v>174</v>
      </c>
      <c r="L1602" s="99">
        <v>2021</v>
      </c>
      <c r="M1602" s="99">
        <v>1831</v>
      </c>
      <c r="N1602" s="99">
        <v>190</v>
      </c>
      <c r="O1602" s="110"/>
      <c r="P1602" s="110"/>
      <c r="Q1602" s="110"/>
    </row>
    <row r="1603" spans="1:17" s="117" customFormat="1" ht="17.5" customHeight="1">
      <c r="A1603" s="109" t="s">
        <v>7206</v>
      </c>
      <c r="B1603" s="109" t="s">
        <v>7207</v>
      </c>
      <c r="C1603" s="98">
        <v>2009</v>
      </c>
      <c r="D1603" s="99">
        <v>6264</v>
      </c>
      <c r="E1603" s="99">
        <v>20064</v>
      </c>
      <c r="F1603" s="99">
        <v>6845</v>
      </c>
      <c r="G1603" s="99">
        <v>13095</v>
      </c>
      <c r="H1603" s="99">
        <v>4365</v>
      </c>
      <c r="I1603" s="99">
        <v>423</v>
      </c>
      <c r="J1603" s="99">
        <v>537</v>
      </c>
      <c r="K1603" s="99">
        <v>113</v>
      </c>
      <c r="L1603" s="99">
        <v>1787</v>
      </c>
      <c r="M1603" s="99">
        <v>1916</v>
      </c>
      <c r="N1603" s="99">
        <v>-128</v>
      </c>
      <c r="O1603" s="100"/>
      <c r="P1603" s="100"/>
      <c r="Q1603" s="100"/>
    </row>
    <row r="1604" spans="1:17" s="117" customFormat="1" ht="17.5" customHeight="1">
      <c r="A1604" s="109" t="s">
        <v>7206</v>
      </c>
      <c r="B1604" s="109" t="s">
        <v>7207</v>
      </c>
      <c r="C1604" s="98">
        <v>2010</v>
      </c>
      <c r="D1604" s="99">
        <v>5994</v>
      </c>
      <c r="E1604" s="99">
        <v>19789</v>
      </c>
      <c r="F1604" s="99">
        <v>7118</v>
      </c>
      <c r="G1604" s="99">
        <v>12824</v>
      </c>
      <c r="H1604" s="99">
        <v>4046</v>
      </c>
      <c r="I1604" s="99">
        <v>458</v>
      </c>
      <c r="J1604" s="99">
        <v>518</v>
      </c>
      <c r="K1604" s="99">
        <v>61</v>
      </c>
      <c r="L1604" s="99">
        <v>1797</v>
      </c>
      <c r="M1604" s="99">
        <v>1665</v>
      </c>
      <c r="N1604" s="99">
        <v>132</v>
      </c>
      <c r="O1604" s="110"/>
      <c r="P1604" s="110"/>
      <c r="Q1604" s="110"/>
    </row>
    <row r="1605" spans="1:17" s="117" customFormat="1" ht="17.5" customHeight="1">
      <c r="A1605" s="109" t="s">
        <v>7206</v>
      </c>
      <c r="B1605" s="109" t="s">
        <v>7207</v>
      </c>
      <c r="C1605" s="98">
        <v>2011</v>
      </c>
      <c r="D1605" s="99">
        <v>5809</v>
      </c>
      <c r="E1605" s="99">
        <v>22182</v>
      </c>
      <c r="F1605" s="99">
        <v>7881</v>
      </c>
      <c r="G1605" s="99">
        <v>14478</v>
      </c>
      <c r="H1605" s="99">
        <v>4143</v>
      </c>
      <c r="I1605" s="99">
        <v>508</v>
      </c>
      <c r="J1605" s="99">
        <v>609</v>
      </c>
      <c r="K1605" s="99">
        <v>100</v>
      </c>
      <c r="L1605" s="99">
        <v>2004</v>
      </c>
      <c r="M1605" s="99">
        <v>1835</v>
      </c>
      <c r="N1605" s="99">
        <v>170</v>
      </c>
      <c r="O1605" s="100"/>
      <c r="P1605" s="100"/>
      <c r="Q1605" s="100"/>
    </row>
    <row r="1606" spans="1:17" s="117" customFormat="1" ht="17.5" customHeight="1">
      <c r="A1606" s="109" t="s">
        <v>7206</v>
      </c>
      <c r="B1606" s="109" t="s">
        <v>7207</v>
      </c>
      <c r="C1606" s="111">
        <v>2012</v>
      </c>
      <c r="D1606" s="112">
        <v>5696</v>
      </c>
      <c r="E1606" s="112">
        <v>21925</v>
      </c>
      <c r="F1606" s="112">
        <v>8048</v>
      </c>
      <c r="G1606" s="112">
        <v>13969</v>
      </c>
      <c r="H1606" s="112">
        <v>4222</v>
      </c>
      <c r="I1606" s="112">
        <v>610</v>
      </c>
      <c r="J1606" s="112">
        <v>725</v>
      </c>
      <c r="K1606" s="112">
        <v>115</v>
      </c>
      <c r="L1606" s="112">
        <v>1986</v>
      </c>
      <c r="M1606" s="112">
        <v>1900</v>
      </c>
      <c r="N1606" s="112">
        <v>85</v>
      </c>
      <c r="O1606" s="100"/>
      <c r="P1606" s="100"/>
      <c r="Q1606" s="100"/>
    </row>
    <row r="1607" spans="1:17" s="117" customFormat="1" ht="17.5" customHeight="1">
      <c r="A1607" s="109" t="s">
        <v>7206</v>
      </c>
      <c r="B1607" s="109" t="s">
        <v>7207</v>
      </c>
      <c r="C1607" s="113">
        <v>2013</v>
      </c>
      <c r="D1607" s="112">
        <v>5693</v>
      </c>
      <c r="E1607" s="112">
        <v>22658</v>
      </c>
      <c r="F1607" s="112">
        <v>8154</v>
      </c>
      <c r="G1607" s="112">
        <v>14502</v>
      </c>
      <c r="H1607" s="112">
        <v>4352</v>
      </c>
      <c r="I1607" s="112">
        <v>582</v>
      </c>
      <c r="J1607" s="112">
        <v>693</v>
      </c>
      <c r="K1607" s="112">
        <v>111</v>
      </c>
      <c r="L1607" s="112">
        <v>2014</v>
      </c>
      <c r="M1607" s="112">
        <v>2012</v>
      </c>
      <c r="N1607" s="112">
        <v>2</v>
      </c>
      <c r="O1607" s="110"/>
      <c r="P1607" s="110"/>
      <c r="Q1607" s="110"/>
    </row>
    <row r="1608" spans="1:17" s="117" customFormat="1" ht="17.5" customHeight="1">
      <c r="A1608" s="109" t="s">
        <v>7206</v>
      </c>
      <c r="B1608" s="109" t="s">
        <v>7207</v>
      </c>
      <c r="C1608" s="113">
        <v>2014</v>
      </c>
      <c r="D1608" s="99">
        <v>5717</v>
      </c>
      <c r="E1608" s="99">
        <v>24055</v>
      </c>
      <c r="F1608" s="99">
        <v>8231</v>
      </c>
      <c r="G1608" s="99">
        <v>15852</v>
      </c>
      <c r="H1608" s="99">
        <v>4589</v>
      </c>
      <c r="I1608" s="99">
        <v>648</v>
      </c>
      <c r="J1608" s="99">
        <v>780</v>
      </c>
      <c r="K1608" s="99">
        <v>132</v>
      </c>
      <c r="L1608" s="99">
        <v>2056</v>
      </c>
      <c r="M1608" s="99">
        <v>2020</v>
      </c>
      <c r="N1608" s="99">
        <v>35</v>
      </c>
      <c r="O1608" s="110"/>
      <c r="P1608" s="110"/>
      <c r="Q1608" s="110"/>
    </row>
    <row r="1609" spans="1:17" s="117" customFormat="1" ht="17.5" customHeight="1">
      <c r="A1609" s="109" t="s">
        <v>7206</v>
      </c>
      <c r="B1609" s="109" t="s">
        <v>7207</v>
      </c>
      <c r="C1609" s="113">
        <v>2015</v>
      </c>
      <c r="D1609" s="112">
        <v>5821</v>
      </c>
      <c r="E1609" s="112">
        <v>24337</v>
      </c>
      <c r="F1609" s="112">
        <v>9178</v>
      </c>
      <c r="G1609" s="112">
        <v>15102</v>
      </c>
      <c r="H1609" s="112">
        <v>4831</v>
      </c>
      <c r="I1609" s="112">
        <v>943</v>
      </c>
      <c r="J1609" s="112">
        <v>995</v>
      </c>
      <c r="K1609" s="112">
        <v>52</v>
      </c>
      <c r="L1609" s="112">
        <v>2060</v>
      </c>
      <c r="M1609" s="112">
        <v>2130</v>
      </c>
      <c r="N1609" s="112">
        <v>-71</v>
      </c>
    </row>
    <row r="1610" spans="1:17" s="117" customFormat="1" ht="17.5" customHeight="1">
      <c r="A1610" s="109" t="s">
        <v>7206</v>
      </c>
      <c r="B1610" s="109" t="s">
        <v>7207</v>
      </c>
      <c r="C1610" s="113">
        <v>2016</v>
      </c>
      <c r="D1610" s="112">
        <v>5816</v>
      </c>
      <c r="E1610" s="112">
        <v>23643</v>
      </c>
      <c r="F1610" s="112">
        <v>8868</v>
      </c>
      <c r="G1610" s="112">
        <v>14874</v>
      </c>
      <c r="H1610" s="112">
        <v>4709</v>
      </c>
      <c r="I1610" s="112">
        <v>980</v>
      </c>
      <c r="J1610" s="112">
        <v>1080</v>
      </c>
      <c r="K1610" s="112">
        <v>100</v>
      </c>
      <c r="L1610" s="112">
        <v>2162</v>
      </c>
      <c r="M1610" s="112">
        <v>2114</v>
      </c>
      <c r="N1610" s="112">
        <v>48</v>
      </c>
    </row>
    <row r="1611" spans="1:17" s="117" customFormat="1" ht="17.5" customHeight="1">
      <c r="A1611" s="109" t="s">
        <v>7206</v>
      </c>
      <c r="B1611" s="109" t="s">
        <v>7207</v>
      </c>
      <c r="C1611" s="113">
        <v>2017</v>
      </c>
      <c r="D1611" s="112">
        <v>5874</v>
      </c>
      <c r="E1611" s="112">
        <v>24270</v>
      </c>
      <c r="F1611" s="112">
        <v>8936</v>
      </c>
      <c r="G1611" s="112">
        <v>15635</v>
      </c>
      <c r="H1611" s="112">
        <v>4754</v>
      </c>
      <c r="I1611" s="112">
        <v>880</v>
      </c>
      <c r="J1611" s="112">
        <v>1014</v>
      </c>
      <c r="K1611" s="112">
        <v>134</v>
      </c>
      <c r="L1611" s="112">
        <v>2387</v>
      </c>
      <c r="M1611" s="112">
        <v>2167</v>
      </c>
      <c r="N1611" s="112">
        <v>220</v>
      </c>
    </row>
    <row r="1612" spans="1:17" s="117" customFormat="1" ht="17.5" customHeight="1">
      <c r="A1612" s="109" t="s">
        <v>7206</v>
      </c>
      <c r="B1612" s="109" t="s">
        <v>7207</v>
      </c>
      <c r="C1612" s="113">
        <v>2018</v>
      </c>
      <c r="D1612" s="112">
        <v>5693</v>
      </c>
      <c r="E1612" s="112">
        <v>24457</v>
      </c>
      <c r="F1612" s="112">
        <v>8476</v>
      </c>
      <c r="G1612" s="112">
        <v>16199</v>
      </c>
      <c r="H1612" s="112">
        <v>4934</v>
      </c>
      <c r="I1612" s="112">
        <v>1057</v>
      </c>
      <c r="J1612" s="99" t="s">
        <v>6953</v>
      </c>
      <c r="K1612" s="99" t="s">
        <v>6953</v>
      </c>
      <c r="L1612" s="112">
        <v>2486</v>
      </c>
      <c r="M1612" s="112">
        <v>2294</v>
      </c>
      <c r="N1612" s="112">
        <v>193</v>
      </c>
    </row>
    <row r="1613" spans="1:17" s="117" customFormat="1" ht="17.5" customHeight="1">
      <c r="A1613" s="109" t="s">
        <v>7206</v>
      </c>
      <c r="B1613" s="109" t="s">
        <v>7207</v>
      </c>
      <c r="C1613" s="113">
        <v>2019</v>
      </c>
      <c r="D1613" s="112">
        <v>5598</v>
      </c>
      <c r="E1613" s="112">
        <v>24047.145026999999</v>
      </c>
      <c r="F1613" s="112">
        <v>8226.1521520000006</v>
      </c>
      <c r="G1613" s="112">
        <v>15901.784927999999</v>
      </c>
      <c r="H1613" s="112">
        <v>5036.6794170000003</v>
      </c>
      <c r="I1613" s="112">
        <v>894.26505199999997</v>
      </c>
      <c r="J1613" s="112">
        <v>981.52424099999996</v>
      </c>
      <c r="K1613" s="112">
        <v>87.259187999999995</v>
      </c>
      <c r="L1613" s="112">
        <v>2544.018775</v>
      </c>
      <c r="M1613" s="112">
        <v>2511.7297229999999</v>
      </c>
      <c r="N1613" s="112">
        <v>32.289053000000003</v>
      </c>
      <c r="O1613" s="110"/>
      <c r="P1613" s="110"/>
      <c r="Q1613" s="110"/>
    </row>
    <row r="1614" spans="1:17" s="117" customFormat="1" ht="17.5" customHeight="1">
      <c r="A1614" s="114" t="s">
        <v>7206</v>
      </c>
      <c r="B1614" s="114" t="s">
        <v>7207</v>
      </c>
      <c r="C1614" s="113">
        <v>2020</v>
      </c>
      <c r="D1614" s="112">
        <v>5576</v>
      </c>
      <c r="E1614" s="112">
        <v>22229.358796</v>
      </c>
      <c r="F1614" s="112">
        <v>8249.982285</v>
      </c>
      <c r="G1614" s="112">
        <v>14044.336299000001</v>
      </c>
      <c r="H1614" s="112">
        <v>4818.7828049999998</v>
      </c>
      <c r="I1614" s="112">
        <v>773.61828300000002</v>
      </c>
      <c r="J1614" s="112">
        <v>880.61653200000001</v>
      </c>
      <c r="K1614" s="112">
        <v>106.998248</v>
      </c>
      <c r="L1614" s="112">
        <v>2446.6682759999999</v>
      </c>
      <c r="M1614" s="112">
        <v>2474.912108</v>
      </c>
      <c r="N1614" s="112">
        <v>-28.243832000000001</v>
      </c>
      <c r="O1614" s="110"/>
      <c r="P1614" s="110"/>
      <c r="Q1614" s="110"/>
    </row>
    <row r="1615" spans="1:17" s="117" customFormat="1" ht="17.5" customHeight="1">
      <c r="A1615" s="109" t="s">
        <v>7208</v>
      </c>
      <c r="B1615" s="109" t="s">
        <v>7209</v>
      </c>
      <c r="C1615" s="98">
        <v>2008</v>
      </c>
      <c r="D1615" s="99">
        <v>684</v>
      </c>
      <c r="E1615" s="99">
        <v>3807</v>
      </c>
      <c r="F1615" s="99">
        <v>1435</v>
      </c>
      <c r="G1615" s="99">
        <v>2468</v>
      </c>
      <c r="H1615" s="99">
        <v>818</v>
      </c>
      <c r="I1615" s="99">
        <v>81</v>
      </c>
      <c r="J1615" s="99">
        <v>93</v>
      </c>
      <c r="K1615" s="99">
        <v>12</v>
      </c>
      <c r="L1615" s="99">
        <v>419</v>
      </c>
      <c r="M1615" s="99">
        <v>320</v>
      </c>
      <c r="N1615" s="99">
        <v>99</v>
      </c>
      <c r="O1615" s="100"/>
      <c r="P1615" s="100"/>
      <c r="Q1615" s="100"/>
    </row>
    <row r="1616" spans="1:17" s="117" customFormat="1" ht="17.5" customHeight="1">
      <c r="A1616" s="109" t="s">
        <v>7208</v>
      </c>
      <c r="B1616" s="109" t="s">
        <v>7209</v>
      </c>
      <c r="C1616" s="98">
        <v>2009</v>
      </c>
      <c r="D1616" s="99">
        <v>650</v>
      </c>
      <c r="E1616" s="99">
        <v>3176</v>
      </c>
      <c r="F1616" s="99">
        <v>1013</v>
      </c>
      <c r="G1616" s="99">
        <v>2129</v>
      </c>
      <c r="H1616" s="99">
        <v>708</v>
      </c>
      <c r="I1616" s="99">
        <v>39</v>
      </c>
      <c r="J1616" s="99">
        <v>76</v>
      </c>
      <c r="K1616" s="99">
        <v>37</v>
      </c>
      <c r="L1616" s="99">
        <v>341</v>
      </c>
      <c r="M1616" s="99">
        <v>386</v>
      </c>
      <c r="N1616" s="99">
        <v>-45</v>
      </c>
      <c r="O1616" s="110"/>
      <c r="P1616" s="110"/>
      <c r="Q1616" s="110"/>
    </row>
    <row r="1617" spans="1:17" s="117" customFormat="1" ht="17.5" customHeight="1">
      <c r="A1617" s="109" t="s">
        <v>7208</v>
      </c>
      <c r="B1617" s="109" t="s">
        <v>7209</v>
      </c>
      <c r="C1617" s="98">
        <v>2010</v>
      </c>
      <c r="D1617" s="99">
        <v>611</v>
      </c>
      <c r="E1617" s="99">
        <v>3591</v>
      </c>
      <c r="F1617" s="99">
        <v>1123</v>
      </c>
      <c r="G1617" s="99">
        <v>2508</v>
      </c>
      <c r="H1617" s="99">
        <v>684</v>
      </c>
      <c r="I1617" s="99">
        <v>45</v>
      </c>
      <c r="J1617" s="99">
        <v>59</v>
      </c>
      <c r="K1617" s="99">
        <v>14</v>
      </c>
      <c r="L1617" s="99">
        <v>354</v>
      </c>
      <c r="M1617" s="99">
        <v>334</v>
      </c>
      <c r="N1617" s="99">
        <v>20</v>
      </c>
      <c r="O1617" s="100"/>
      <c r="P1617" s="100"/>
      <c r="Q1617" s="100"/>
    </row>
    <row r="1618" spans="1:17" s="117" customFormat="1" ht="17.5" customHeight="1">
      <c r="A1618" s="109" t="s">
        <v>7208</v>
      </c>
      <c r="B1618" s="109" t="s">
        <v>7209</v>
      </c>
      <c r="C1618" s="98">
        <v>2011</v>
      </c>
      <c r="D1618" s="99">
        <v>593</v>
      </c>
      <c r="E1618" s="99">
        <v>3788</v>
      </c>
      <c r="F1618" s="99">
        <v>1120</v>
      </c>
      <c r="G1618" s="99">
        <v>2736</v>
      </c>
      <c r="H1618" s="99">
        <v>710</v>
      </c>
      <c r="I1618" s="99">
        <v>58</v>
      </c>
      <c r="J1618" s="99">
        <v>69</v>
      </c>
      <c r="K1618" s="99">
        <v>11</v>
      </c>
      <c r="L1618" s="99">
        <v>413</v>
      </c>
      <c r="M1618" s="99">
        <v>338</v>
      </c>
      <c r="N1618" s="99">
        <v>75</v>
      </c>
      <c r="O1618" s="100"/>
      <c r="P1618" s="100"/>
      <c r="Q1618" s="100"/>
    </row>
    <row r="1619" spans="1:17" s="117" customFormat="1" ht="17.5" customHeight="1">
      <c r="A1619" s="109" t="s">
        <v>7208</v>
      </c>
      <c r="B1619" s="109" t="s">
        <v>7209</v>
      </c>
      <c r="C1619" s="111">
        <v>2012</v>
      </c>
      <c r="D1619" s="112">
        <v>577</v>
      </c>
      <c r="E1619" s="112">
        <v>3834</v>
      </c>
      <c r="F1619" s="112">
        <v>1139</v>
      </c>
      <c r="G1619" s="112">
        <v>2659</v>
      </c>
      <c r="H1619" s="112">
        <v>704</v>
      </c>
      <c r="I1619" s="112">
        <v>88</v>
      </c>
      <c r="J1619" s="112">
        <v>92</v>
      </c>
      <c r="K1619" s="112">
        <v>4</v>
      </c>
      <c r="L1619" s="112">
        <v>391</v>
      </c>
      <c r="M1619" s="112">
        <v>419</v>
      </c>
      <c r="N1619" s="112">
        <v>-28</v>
      </c>
      <c r="O1619" s="110"/>
      <c r="P1619" s="110"/>
      <c r="Q1619" s="110"/>
    </row>
    <row r="1620" spans="1:17" s="117" customFormat="1" ht="17.5" customHeight="1">
      <c r="A1620" s="109" t="s">
        <v>7208</v>
      </c>
      <c r="B1620" s="109" t="s">
        <v>7209</v>
      </c>
      <c r="C1620" s="113">
        <v>2013</v>
      </c>
      <c r="D1620" s="112">
        <v>564</v>
      </c>
      <c r="E1620" s="112">
        <v>4457</v>
      </c>
      <c r="F1620" s="112">
        <v>1396</v>
      </c>
      <c r="G1620" s="112">
        <v>3038</v>
      </c>
      <c r="H1620" s="112">
        <v>761</v>
      </c>
      <c r="I1620" s="112">
        <v>74</v>
      </c>
      <c r="J1620" s="112">
        <v>87</v>
      </c>
      <c r="K1620" s="112">
        <v>13</v>
      </c>
      <c r="L1620" s="112">
        <v>414</v>
      </c>
      <c r="M1620" s="112">
        <v>423</v>
      </c>
      <c r="N1620" s="112">
        <v>-9</v>
      </c>
      <c r="O1620" s="110"/>
      <c r="P1620" s="110"/>
      <c r="Q1620" s="110"/>
    </row>
    <row r="1621" spans="1:17" s="117" customFormat="1" ht="17.5" customHeight="1">
      <c r="A1621" s="109" t="s">
        <v>7208</v>
      </c>
      <c r="B1621" s="109" t="s">
        <v>7209</v>
      </c>
      <c r="C1621" s="113">
        <v>2014</v>
      </c>
      <c r="D1621" s="99">
        <v>564</v>
      </c>
      <c r="E1621" s="99">
        <v>4597</v>
      </c>
      <c r="F1621" s="99">
        <v>1590</v>
      </c>
      <c r="G1621" s="99">
        <v>2995</v>
      </c>
      <c r="H1621" s="99">
        <v>754</v>
      </c>
      <c r="I1621" s="99">
        <v>99</v>
      </c>
      <c r="J1621" s="99">
        <v>117</v>
      </c>
      <c r="K1621" s="99">
        <v>19</v>
      </c>
      <c r="L1621" s="99">
        <v>445</v>
      </c>
      <c r="M1621" s="99">
        <v>440</v>
      </c>
      <c r="N1621" s="99">
        <v>5</v>
      </c>
    </row>
    <row r="1622" spans="1:17" s="117" customFormat="1" ht="17.5" customHeight="1">
      <c r="A1622" s="109" t="s">
        <v>7208</v>
      </c>
      <c r="B1622" s="109" t="s">
        <v>7209</v>
      </c>
      <c r="C1622" s="113">
        <v>2015</v>
      </c>
      <c r="D1622" s="112">
        <v>597</v>
      </c>
      <c r="E1622" s="112">
        <v>4279</v>
      </c>
      <c r="F1622" s="112">
        <v>1719</v>
      </c>
      <c r="G1622" s="112">
        <v>2524</v>
      </c>
      <c r="H1622" s="112">
        <v>865</v>
      </c>
      <c r="I1622" s="112">
        <v>107</v>
      </c>
      <c r="J1622" s="112">
        <v>114</v>
      </c>
      <c r="K1622" s="112">
        <v>7</v>
      </c>
      <c r="L1622" s="112">
        <v>406</v>
      </c>
      <c r="M1622" s="112">
        <v>438</v>
      </c>
      <c r="N1622" s="112">
        <v>-33</v>
      </c>
    </row>
    <row r="1623" spans="1:17" s="117" customFormat="1" ht="17.5" customHeight="1">
      <c r="A1623" s="109" t="s">
        <v>7208</v>
      </c>
      <c r="B1623" s="109" t="s">
        <v>7209</v>
      </c>
      <c r="C1623" s="113">
        <v>2016</v>
      </c>
      <c r="D1623" s="112">
        <v>576</v>
      </c>
      <c r="E1623" s="112">
        <v>3369</v>
      </c>
      <c r="F1623" s="112">
        <v>1093</v>
      </c>
      <c r="G1623" s="112">
        <v>2253</v>
      </c>
      <c r="H1623" s="112">
        <v>718</v>
      </c>
      <c r="I1623" s="112">
        <v>84</v>
      </c>
      <c r="J1623" s="112">
        <v>108</v>
      </c>
      <c r="K1623" s="112">
        <v>24</v>
      </c>
      <c r="L1623" s="112">
        <v>355</v>
      </c>
      <c r="M1623" s="112">
        <v>382</v>
      </c>
      <c r="N1623" s="112">
        <v>-27</v>
      </c>
    </row>
    <row r="1624" spans="1:17" s="117" customFormat="1" ht="17.5" customHeight="1">
      <c r="A1624" s="109" t="s">
        <v>7208</v>
      </c>
      <c r="B1624" s="109" t="s">
        <v>7209</v>
      </c>
      <c r="C1624" s="113">
        <v>2017</v>
      </c>
      <c r="D1624" s="112">
        <v>566</v>
      </c>
      <c r="E1624" s="112">
        <v>3369</v>
      </c>
      <c r="F1624" s="112">
        <v>1103</v>
      </c>
      <c r="G1624" s="112">
        <v>2285</v>
      </c>
      <c r="H1624" s="112">
        <v>628</v>
      </c>
      <c r="I1624" s="112">
        <v>87</v>
      </c>
      <c r="J1624" s="112">
        <v>96</v>
      </c>
      <c r="K1624" s="112">
        <v>9</v>
      </c>
      <c r="L1624" s="112">
        <v>398</v>
      </c>
      <c r="M1624" s="112">
        <v>373</v>
      </c>
      <c r="N1624" s="112">
        <v>25</v>
      </c>
    </row>
    <row r="1625" spans="1:17" s="117" customFormat="1" ht="17.5" customHeight="1">
      <c r="A1625" s="109" t="s">
        <v>7208</v>
      </c>
      <c r="B1625" s="109" t="s">
        <v>7209</v>
      </c>
      <c r="C1625" s="113">
        <v>2018</v>
      </c>
      <c r="D1625" s="112">
        <v>566</v>
      </c>
      <c r="E1625" s="112">
        <v>3465</v>
      </c>
      <c r="F1625" s="112">
        <v>1067</v>
      </c>
      <c r="G1625" s="112">
        <v>2410</v>
      </c>
      <c r="H1625" s="112">
        <v>725</v>
      </c>
      <c r="I1625" s="112">
        <v>119</v>
      </c>
      <c r="J1625" s="99" t="s">
        <v>6953</v>
      </c>
      <c r="K1625" s="99" t="s">
        <v>6953</v>
      </c>
      <c r="L1625" s="112">
        <v>386</v>
      </c>
      <c r="M1625" s="112">
        <v>372</v>
      </c>
      <c r="N1625" s="112">
        <v>14</v>
      </c>
      <c r="O1625" s="110"/>
      <c r="P1625" s="110"/>
      <c r="Q1625" s="110"/>
    </row>
    <row r="1626" spans="1:17" s="117" customFormat="1" ht="17.5" customHeight="1">
      <c r="A1626" s="109" t="s">
        <v>7208</v>
      </c>
      <c r="B1626" s="109" t="s">
        <v>7209</v>
      </c>
      <c r="C1626" s="113">
        <v>2019</v>
      </c>
      <c r="D1626" s="112">
        <v>552</v>
      </c>
      <c r="E1626" s="112">
        <v>3381.6819169999999</v>
      </c>
      <c r="F1626" s="112">
        <v>1081.294418</v>
      </c>
      <c r="G1626" s="112">
        <v>2298.8796470000002</v>
      </c>
      <c r="H1626" s="112">
        <v>719.253556</v>
      </c>
      <c r="I1626" s="112">
        <v>115.098524</v>
      </c>
      <c r="J1626" s="112">
        <v>132.54483400000001</v>
      </c>
      <c r="K1626" s="112">
        <v>17.44631</v>
      </c>
      <c r="L1626" s="112">
        <v>377.994801</v>
      </c>
      <c r="M1626" s="112">
        <v>373.51445100000001</v>
      </c>
      <c r="N1626" s="112">
        <v>4.4803499999999996</v>
      </c>
      <c r="O1626" s="110"/>
      <c r="P1626" s="110"/>
      <c r="Q1626" s="110"/>
    </row>
    <row r="1627" spans="1:17" s="117" customFormat="1" ht="17.5" customHeight="1">
      <c r="A1627" s="114" t="s">
        <v>7208</v>
      </c>
      <c r="B1627" s="114" t="s">
        <v>7209</v>
      </c>
      <c r="C1627" s="113">
        <v>2020</v>
      </c>
      <c r="D1627" s="112">
        <v>544</v>
      </c>
      <c r="E1627" s="112">
        <v>2892.1438020000001</v>
      </c>
      <c r="F1627" s="112">
        <v>871.38014799999996</v>
      </c>
      <c r="G1627" s="112">
        <v>1954.9238210000001</v>
      </c>
      <c r="H1627" s="112">
        <v>738.08496000000002</v>
      </c>
      <c r="I1627" s="112">
        <v>34.979923999999997</v>
      </c>
      <c r="J1627" s="112">
        <v>70.885003999999995</v>
      </c>
      <c r="K1627" s="112">
        <v>35.905079999999998</v>
      </c>
      <c r="L1627" s="112">
        <v>289.511683</v>
      </c>
      <c r="M1627" s="112">
        <v>364.89489300000002</v>
      </c>
      <c r="N1627" s="112">
        <v>-75.383211000000003</v>
      </c>
      <c r="O1627" s="100"/>
      <c r="P1627" s="100"/>
      <c r="Q1627" s="100"/>
    </row>
    <row r="1628" spans="1:17" s="117" customFormat="1" ht="31.75" customHeight="1">
      <c r="A1628" s="109" t="s">
        <v>7210</v>
      </c>
      <c r="B1628" s="109" t="s">
        <v>7211</v>
      </c>
      <c r="C1628" s="98">
        <v>2008</v>
      </c>
      <c r="D1628" s="99">
        <v>98</v>
      </c>
      <c r="E1628" s="99">
        <v>1877</v>
      </c>
      <c r="F1628" s="99">
        <v>623</v>
      </c>
      <c r="G1628" s="99">
        <v>1337</v>
      </c>
      <c r="H1628" s="99">
        <v>294</v>
      </c>
      <c r="I1628" s="99">
        <v>23</v>
      </c>
      <c r="J1628" s="99">
        <v>26</v>
      </c>
      <c r="K1628" s="99">
        <v>3</v>
      </c>
      <c r="L1628" s="99">
        <v>237</v>
      </c>
      <c r="M1628" s="99">
        <v>150</v>
      </c>
      <c r="N1628" s="99">
        <v>87</v>
      </c>
      <c r="O1628" s="110"/>
      <c r="P1628" s="110"/>
      <c r="Q1628" s="110"/>
    </row>
    <row r="1629" spans="1:17" s="117" customFormat="1" ht="31.75" customHeight="1">
      <c r="A1629" s="109" t="s">
        <v>7210</v>
      </c>
      <c r="B1629" s="109" t="s">
        <v>7211</v>
      </c>
      <c r="C1629" s="98">
        <v>2009</v>
      </c>
      <c r="D1629" s="99">
        <v>78</v>
      </c>
      <c r="E1629" s="99">
        <v>1596</v>
      </c>
      <c r="F1629" s="99">
        <v>361</v>
      </c>
      <c r="G1629" s="99">
        <v>1179</v>
      </c>
      <c r="H1629" s="99">
        <v>272</v>
      </c>
      <c r="I1629" s="99">
        <v>14</v>
      </c>
      <c r="J1629" s="99">
        <v>22</v>
      </c>
      <c r="K1629" s="99">
        <v>9</v>
      </c>
      <c r="L1629" s="99">
        <v>179</v>
      </c>
      <c r="M1629" s="99">
        <v>233</v>
      </c>
      <c r="N1629" s="99">
        <v>-54</v>
      </c>
      <c r="O1629" s="100"/>
      <c r="P1629" s="100"/>
      <c r="Q1629" s="100"/>
    </row>
    <row r="1630" spans="1:17" s="117" customFormat="1" ht="31.75" customHeight="1">
      <c r="A1630" s="109" t="s">
        <v>7210</v>
      </c>
      <c r="B1630" s="109" t="s">
        <v>7211</v>
      </c>
      <c r="C1630" s="98">
        <v>2010</v>
      </c>
      <c r="D1630" s="99">
        <v>68</v>
      </c>
      <c r="E1630" s="99">
        <v>1751</v>
      </c>
      <c r="F1630" s="99">
        <v>397</v>
      </c>
      <c r="G1630" s="99">
        <v>1359</v>
      </c>
      <c r="H1630" s="99">
        <v>249</v>
      </c>
      <c r="I1630" s="99">
        <v>23</v>
      </c>
      <c r="J1630" s="99">
        <v>24</v>
      </c>
      <c r="K1630" s="99">
        <v>1</v>
      </c>
      <c r="L1630" s="99">
        <v>189</v>
      </c>
      <c r="M1630" s="99">
        <v>181</v>
      </c>
      <c r="N1630" s="99">
        <v>8</v>
      </c>
      <c r="O1630" s="100"/>
      <c r="P1630" s="100"/>
      <c r="Q1630" s="100"/>
    </row>
    <row r="1631" spans="1:17" s="117" customFormat="1" ht="31.75" customHeight="1">
      <c r="A1631" s="109" t="s">
        <v>7210</v>
      </c>
      <c r="B1631" s="109" t="s">
        <v>7211</v>
      </c>
      <c r="C1631" s="98">
        <v>2011</v>
      </c>
      <c r="D1631" s="99">
        <v>56</v>
      </c>
      <c r="E1631" s="99">
        <v>2166</v>
      </c>
      <c r="F1631" s="99">
        <v>473</v>
      </c>
      <c r="G1631" s="99">
        <v>1746</v>
      </c>
      <c r="H1631" s="99">
        <v>269</v>
      </c>
      <c r="I1631" s="99">
        <v>26</v>
      </c>
      <c r="J1631" s="99">
        <v>28</v>
      </c>
      <c r="K1631" s="99">
        <v>1</v>
      </c>
      <c r="L1631" s="99">
        <v>254</v>
      </c>
      <c r="M1631" s="99">
        <v>196</v>
      </c>
      <c r="N1631" s="99">
        <v>58</v>
      </c>
      <c r="O1631" s="110"/>
      <c r="P1631" s="110"/>
      <c r="Q1631" s="110"/>
    </row>
    <row r="1632" spans="1:17" s="117" customFormat="1" ht="31.75" customHeight="1">
      <c r="A1632" s="109" t="s">
        <v>7210</v>
      </c>
      <c r="B1632" s="109" t="s">
        <v>7211</v>
      </c>
      <c r="C1632" s="111">
        <v>2012</v>
      </c>
      <c r="D1632" s="112">
        <v>53</v>
      </c>
      <c r="E1632" s="112">
        <v>1970</v>
      </c>
      <c r="F1632" s="112">
        <v>377</v>
      </c>
      <c r="G1632" s="112">
        <v>1557</v>
      </c>
      <c r="H1632" s="112">
        <v>269</v>
      </c>
      <c r="I1632" s="112">
        <v>49</v>
      </c>
      <c r="J1632" s="112">
        <v>51</v>
      </c>
      <c r="K1632" s="112">
        <v>3</v>
      </c>
      <c r="L1632" s="112">
        <v>224</v>
      </c>
      <c r="M1632" s="112">
        <v>253</v>
      </c>
      <c r="N1632" s="112">
        <v>-30</v>
      </c>
      <c r="O1632" s="110"/>
      <c r="P1632" s="110"/>
      <c r="Q1632" s="110"/>
    </row>
    <row r="1633" spans="1:17" s="117" customFormat="1" ht="31.75" customHeight="1">
      <c r="A1633" s="109" t="s">
        <v>7210</v>
      </c>
      <c r="B1633" s="109" t="s">
        <v>7211</v>
      </c>
      <c r="C1633" s="113">
        <v>2013</v>
      </c>
      <c r="D1633" s="112">
        <v>47</v>
      </c>
      <c r="E1633" s="112">
        <v>1936</v>
      </c>
      <c r="F1633" s="112">
        <v>450</v>
      </c>
      <c r="G1633" s="112">
        <v>1474</v>
      </c>
      <c r="H1633" s="112">
        <v>277</v>
      </c>
      <c r="I1633" s="112">
        <v>38</v>
      </c>
      <c r="J1633" s="99" t="s">
        <v>6953</v>
      </c>
      <c r="K1633" s="99" t="s">
        <v>6953</v>
      </c>
      <c r="L1633" s="112">
        <v>215</v>
      </c>
      <c r="M1633" s="112">
        <v>220</v>
      </c>
      <c r="N1633" s="112">
        <v>-5</v>
      </c>
    </row>
    <row r="1634" spans="1:17" s="117" customFormat="1" ht="31.75" customHeight="1">
      <c r="A1634" s="109" t="s">
        <v>7210</v>
      </c>
      <c r="B1634" s="109" t="s">
        <v>7211</v>
      </c>
      <c r="C1634" s="113">
        <v>2014</v>
      </c>
      <c r="D1634" s="99">
        <v>43</v>
      </c>
      <c r="E1634" s="99">
        <v>1890</v>
      </c>
      <c r="F1634" s="99">
        <v>480</v>
      </c>
      <c r="G1634" s="99">
        <v>1404</v>
      </c>
      <c r="H1634" s="99">
        <v>276</v>
      </c>
      <c r="I1634" s="99">
        <v>52</v>
      </c>
      <c r="J1634" s="99">
        <v>55</v>
      </c>
      <c r="K1634" s="99">
        <v>3</v>
      </c>
      <c r="L1634" s="99">
        <v>223</v>
      </c>
      <c r="M1634" s="99">
        <v>223</v>
      </c>
      <c r="N1634" s="99" t="s">
        <v>6952</v>
      </c>
    </row>
    <row r="1635" spans="1:17" s="117" customFormat="1" ht="31.75" customHeight="1">
      <c r="A1635" s="109" t="s">
        <v>7210</v>
      </c>
      <c r="B1635" s="109" t="s">
        <v>7211</v>
      </c>
      <c r="C1635" s="113">
        <v>2015</v>
      </c>
      <c r="D1635" s="112">
        <v>53</v>
      </c>
      <c r="E1635" s="112">
        <v>1724</v>
      </c>
      <c r="F1635" s="112">
        <v>504</v>
      </c>
      <c r="G1635" s="112">
        <v>1200</v>
      </c>
      <c r="H1635" s="112">
        <v>330</v>
      </c>
      <c r="I1635" s="112">
        <v>54</v>
      </c>
      <c r="J1635" s="112">
        <v>56</v>
      </c>
      <c r="K1635" s="112">
        <v>2</v>
      </c>
      <c r="L1635" s="112">
        <v>203</v>
      </c>
      <c r="M1635" s="112">
        <v>218</v>
      </c>
      <c r="N1635" s="112">
        <v>-15</v>
      </c>
    </row>
    <row r="1636" spans="1:17" s="117" customFormat="1" ht="31.75" customHeight="1">
      <c r="A1636" s="109" t="s">
        <v>7210</v>
      </c>
      <c r="B1636" s="109" t="s">
        <v>7211</v>
      </c>
      <c r="C1636" s="113">
        <v>2016</v>
      </c>
      <c r="D1636" s="112">
        <v>48</v>
      </c>
      <c r="E1636" s="112">
        <v>1611</v>
      </c>
      <c r="F1636" s="112">
        <v>392</v>
      </c>
      <c r="G1636" s="112">
        <v>1188</v>
      </c>
      <c r="H1636" s="112">
        <v>289</v>
      </c>
      <c r="I1636" s="112">
        <v>50</v>
      </c>
      <c r="J1636" s="99" t="s">
        <v>6953</v>
      </c>
      <c r="K1636" s="99" t="s">
        <v>6953</v>
      </c>
      <c r="L1636" s="112">
        <v>178</v>
      </c>
      <c r="M1636" s="112">
        <v>204</v>
      </c>
      <c r="N1636" s="112">
        <v>-26</v>
      </c>
    </row>
    <row r="1637" spans="1:17" s="117" customFormat="1" ht="31.75" customHeight="1">
      <c r="A1637" s="109" t="s">
        <v>7210</v>
      </c>
      <c r="B1637" s="109" t="s">
        <v>7211</v>
      </c>
      <c r="C1637" s="113">
        <v>2017</v>
      </c>
      <c r="D1637" s="112">
        <v>42</v>
      </c>
      <c r="E1637" s="112">
        <v>1492</v>
      </c>
      <c r="F1637" s="112">
        <v>326</v>
      </c>
      <c r="G1637" s="112">
        <v>1176</v>
      </c>
      <c r="H1637" s="112">
        <v>178</v>
      </c>
      <c r="I1637" s="112">
        <v>27</v>
      </c>
      <c r="J1637" s="99" t="s">
        <v>6953</v>
      </c>
      <c r="K1637" s="99" t="s">
        <v>6953</v>
      </c>
      <c r="L1637" s="112">
        <v>190</v>
      </c>
      <c r="M1637" s="112">
        <v>173</v>
      </c>
      <c r="N1637" s="112">
        <v>17</v>
      </c>
      <c r="O1637" s="110"/>
      <c r="P1637" s="110"/>
      <c r="Q1637" s="110"/>
    </row>
    <row r="1638" spans="1:17" s="117" customFormat="1" ht="31.75" customHeight="1">
      <c r="A1638" s="109" t="s">
        <v>7210</v>
      </c>
      <c r="B1638" s="109" t="s">
        <v>7211</v>
      </c>
      <c r="C1638" s="113">
        <v>2018</v>
      </c>
      <c r="D1638" s="112">
        <v>41</v>
      </c>
      <c r="E1638" s="112">
        <v>1476</v>
      </c>
      <c r="F1638" s="112">
        <v>228</v>
      </c>
      <c r="G1638" s="112">
        <v>1228</v>
      </c>
      <c r="H1638" s="112">
        <v>245</v>
      </c>
      <c r="I1638" s="112">
        <v>37</v>
      </c>
      <c r="J1638" s="99" t="s">
        <v>6953</v>
      </c>
      <c r="K1638" s="99" t="s">
        <v>6953</v>
      </c>
      <c r="L1638" s="112">
        <v>170</v>
      </c>
      <c r="M1638" s="112">
        <v>182</v>
      </c>
      <c r="N1638" s="112">
        <v>-12</v>
      </c>
      <c r="O1638" s="110"/>
      <c r="P1638" s="110"/>
      <c r="Q1638" s="110"/>
    </row>
    <row r="1639" spans="1:17" s="117" customFormat="1" ht="31.75" customHeight="1">
      <c r="A1639" s="109" t="s">
        <v>7210</v>
      </c>
      <c r="B1639" s="109" t="s">
        <v>7211</v>
      </c>
      <c r="C1639" s="113">
        <v>2019</v>
      </c>
      <c r="D1639" s="112">
        <v>31</v>
      </c>
      <c r="E1639" s="112">
        <v>1361.3026090000001</v>
      </c>
      <c r="F1639" s="112">
        <v>264.71803</v>
      </c>
      <c r="G1639" s="112">
        <v>1091.055112</v>
      </c>
      <c r="H1639" s="112">
        <v>218.57128299999999</v>
      </c>
      <c r="I1639" s="112">
        <v>50.939722000000003</v>
      </c>
      <c r="J1639" s="112" t="s">
        <v>6953</v>
      </c>
      <c r="K1639" s="112" t="s">
        <v>6953</v>
      </c>
      <c r="L1639" s="112">
        <v>169.60833400000001</v>
      </c>
      <c r="M1639" s="112">
        <v>167.376938</v>
      </c>
      <c r="N1639" s="112">
        <v>2.2313960000000002</v>
      </c>
      <c r="O1639" s="100"/>
      <c r="P1639" s="100"/>
      <c r="Q1639" s="100"/>
    </row>
    <row r="1640" spans="1:17" s="117" customFormat="1" ht="31.75" customHeight="1">
      <c r="A1640" s="114" t="s">
        <v>7210</v>
      </c>
      <c r="B1640" s="109" t="s">
        <v>7211</v>
      </c>
      <c r="C1640" s="113">
        <v>2020</v>
      </c>
      <c r="D1640" s="112">
        <v>31</v>
      </c>
      <c r="E1640" s="112">
        <v>1133.541232</v>
      </c>
      <c r="F1640" s="112" t="s">
        <v>6953</v>
      </c>
      <c r="G1640" s="112" t="s">
        <v>6953</v>
      </c>
      <c r="H1640" s="112">
        <v>257.02416299999999</v>
      </c>
      <c r="I1640" s="112">
        <v>-6.9794790000000004</v>
      </c>
      <c r="J1640" s="112" t="s">
        <v>6953</v>
      </c>
      <c r="K1640" s="112" t="s">
        <v>6953</v>
      </c>
      <c r="L1640" s="112">
        <v>94.154927999999998</v>
      </c>
      <c r="M1640" s="112">
        <v>159.52281500000001</v>
      </c>
      <c r="N1640" s="112">
        <v>-65.367886999999996</v>
      </c>
      <c r="O1640" s="110"/>
      <c r="P1640" s="110"/>
      <c r="Q1640" s="110"/>
    </row>
    <row r="1641" spans="1:17" s="117" customFormat="1" ht="17.5" customHeight="1">
      <c r="A1641" s="109" t="s">
        <v>7212</v>
      </c>
      <c r="B1641" s="109" t="s">
        <v>7213</v>
      </c>
      <c r="C1641" s="98">
        <v>2008</v>
      </c>
      <c r="D1641" s="99">
        <v>586</v>
      </c>
      <c r="E1641" s="99">
        <v>1929</v>
      </c>
      <c r="F1641" s="99">
        <v>812</v>
      </c>
      <c r="G1641" s="99">
        <v>1131</v>
      </c>
      <c r="H1641" s="99">
        <v>524</v>
      </c>
      <c r="I1641" s="99">
        <v>58</v>
      </c>
      <c r="J1641" s="99">
        <v>68</v>
      </c>
      <c r="K1641" s="99">
        <v>9</v>
      </c>
      <c r="L1641" s="99">
        <v>181</v>
      </c>
      <c r="M1641" s="99">
        <v>170</v>
      </c>
      <c r="N1641" s="99">
        <v>12</v>
      </c>
      <c r="O1641" s="100"/>
      <c r="P1641" s="100"/>
      <c r="Q1641" s="100"/>
    </row>
    <row r="1642" spans="1:17" s="117" customFormat="1" ht="17.5" customHeight="1">
      <c r="A1642" s="109" t="s">
        <v>7212</v>
      </c>
      <c r="B1642" s="109" t="s">
        <v>7213</v>
      </c>
      <c r="C1642" s="98">
        <v>2009</v>
      </c>
      <c r="D1642" s="99">
        <v>572</v>
      </c>
      <c r="E1642" s="99">
        <v>1580</v>
      </c>
      <c r="F1642" s="99">
        <v>652</v>
      </c>
      <c r="G1642" s="99">
        <v>949</v>
      </c>
      <c r="H1642" s="99">
        <v>436</v>
      </c>
      <c r="I1642" s="99">
        <v>25</v>
      </c>
      <c r="J1642" s="99">
        <v>53</v>
      </c>
      <c r="K1642" s="99">
        <v>29</v>
      </c>
      <c r="L1642" s="99">
        <v>162</v>
      </c>
      <c r="M1642" s="99">
        <v>153</v>
      </c>
      <c r="N1642" s="99">
        <v>9</v>
      </c>
      <c r="O1642" s="100"/>
      <c r="P1642" s="100"/>
      <c r="Q1642" s="100"/>
    </row>
    <row r="1643" spans="1:17" s="117" customFormat="1" ht="17.5" customHeight="1">
      <c r="A1643" s="109" t="s">
        <v>7212</v>
      </c>
      <c r="B1643" s="109" t="s">
        <v>7213</v>
      </c>
      <c r="C1643" s="98">
        <v>2010</v>
      </c>
      <c r="D1643" s="99">
        <v>543</v>
      </c>
      <c r="E1643" s="99">
        <v>1840</v>
      </c>
      <c r="F1643" s="99">
        <v>726</v>
      </c>
      <c r="G1643" s="99">
        <v>1149</v>
      </c>
      <c r="H1643" s="99">
        <v>434</v>
      </c>
      <c r="I1643" s="99">
        <v>22</v>
      </c>
      <c r="J1643" s="99">
        <v>34</v>
      </c>
      <c r="K1643" s="99">
        <v>13</v>
      </c>
      <c r="L1643" s="99">
        <v>165</v>
      </c>
      <c r="M1643" s="99">
        <v>153</v>
      </c>
      <c r="N1643" s="99">
        <v>12</v>
      </c>
      <c r="O1643" s="110"/>
      <c r="P1643" s="110"/>
      <c r="Q1643" s="110"/>
    </row>
    <row r="1644" spans="1:17" s="117" customFormat="1" ht="17.5" customHeight="1">
      <c r="A1644" s="109" t="s">
        <v>7212</v>
      </c>
      <c r="B1644" s="109" t="s">
        <v>7213</v>
      </c>
      <c r="C1644" s="98">
        <v>2011</v>
      </c>
      <c r="D1644" s="99">
        <v>537</v>
      </c>
      <c r="E1644" s="99">
        <v>1622</v>
      </c>
      <c r="F1644" s="99">
        <v>648</v>
      </c>
      <c r="G1644" s="99">
        <v>991</v>
      </c>
      <c r="H1644" s="99">
        <v>441</v>
      </c>
      <c r="I1644" s="99">
        <v>31</v>
      </c>
      <c r="J1644" s="99">
        <v>41</v>
      </c>
      <c r="K1644" s="99">
        <v>10</v>
      </c>
      <c r="L1644" s="99">
        <v>159</v>
      </c>
      <c r="M1644" s="99">
        <v>142</v>
      </c>
      <c r="N1644" s="99">
        <v>17</v>
      </c>
      <c r="O1644" s="110"/>
      <c r="P1644" s="110"/>
      <c r="Q1644" s="110"/>
    </row>
    <row r="1645" spans="1:17" s="117" customFormat="1" ht="17.5" customHeight="1">
      <c r="A1645" s="109" t="s">
        <v>7212</v>
      </c>
      <c r="B1645" s="109" t="s">
        <v>7213</v>
      </c>
      <c r="C1645" s="111">
        <v>2012</v>
      </c>
      <c r="D1645" s="112">
        <v>524</v>
      </c>
      <c r="E1645" s="112">
        <v>1864</v>
      </c>
      <c r="F1645" s="112">
        <v>762</v>
      </c>
      <c r="G1645" s="112">
        <v>1102</v>
      </c>
      <c r="H1645" s="112">
        <v>435</v>
      </c>
      <c r="I1645" s="112">
        <v>39</v>
      </c>
      <c r="J1645" s="112">
        <v>40</v>
      </c>
      <c r="K1645" s="112">
        <v>1</v>
      </c>
      <c r="L1645" s="112">
        <v>167</v>
      </c>
      <c r="M1645" s="112">
        <v>166</v>
      </c>
      <c r="N1645" s="112">
        <v>2</v>
      </c>
    </row>
    <row r="1646" spans="1:17" s="117" customFormat="1" ht="17.5" customHeight="1">
      <c r="A1646" s="109" t="s">
        <v>7212</v>
      </c>
      <c r="B1646" s="109" t="s">
        <v>7213</v>
      </c>
      <c r="C1646" s="113">
        <v>2013</v>
      </c>
      <c r="D1646" s="112">
        <v>517</v>
      </c>
      <c r="E1646" s="112">
        <v>2521</v>
      </c>
      <c r="F1646" s="112">
        <v>946</v>
      </c>
      <c r="G1646" s="112">
        <v>1564</v>
      </c>
      <c r="H1646" s="112">
        <v>485</v>
      </c>
      <c r="I1646" s="112">
        <v>36</v>
      </c>
      <c r="J1646" s="99" t="s">
        <v>6953</v>
      </c>
      <c r="K1646" s="99" t="s">
        <v>6953</v>
      </c>
      <c r="L1646" s="112">
        <v>199</v>
      </c>
      <c r="M1646" s="112">
        <v>203</v>
      </c>
      <c r="N1646" s="112">
        <v>-4</v>
      </c>
    </row>
    <row r="1647" spans="1:17" s="117" customFormat="1" ht="17.5" customHeight="1">
      <c r="A1647" s="109" t="s">
        <v>7212</v>
      </c>
      <c r="B1647" s="109" t="s">
        <v>7213</v>
      </c>
      <c r="C1647" s="113">
        <v>2014</v>
      </c>
      <c r="D1647" s="99">
        <v>521</v>
      </c>
      <c r="E1647" s="99">
        <v>2707</v>
      </c>
      <c r="F1647" s="99">
        <v>1110</v>
      </c>
      <c r="G1647" s="99">
        <v>1591</v>
      </c>
      <c r="H1647" s="99">
        <v>478</v>
      </c>
      <c r="I1647" s="99">
        <v>47</v>
      </c>
      <c r="J1647" s="99">
        <v>63</v>
      </c>
      <c r="K1647" s="99">
        <v>16</v>
      </c>
      <c r="L1647" s="99">
        <v>222</v>
      </c>
      <c r="M1647" s="99">
        <v>217</v>
      </c>
      <c r="N1647" s="99">
        <v>5</v>
      </c>
    </row>
    <row r="1648" spans="1:17" s="117" customFormat="1" ht="17.5" customHeight="1">
      <c r="A1648" s="109" t="s">
        <v>7212</v>
      </c>
      <c r="B1648" s="109" t="s">
        <v>7213</v>
      </c>
      <c r="C1648" s="113">
        <v>2015</v>
      </c>
      <c r="D1648" s="112">
        <v>544</v>
      </c>
      <c r="E1648" s="112">
        <v>2555</v>
      </c>
      <c r="F1648" s="112">
        <v>1215</v>
      </c>
      <c r="G1648" s="112">
        <v>1324</v>
      </c>
      <c r="H1648" s="112">
        <v>535</v>
      </c>
      <c r="I1648" s="112">
        <v>53</v>
      </c>
      <c r="J1648" s="112">
        <v>58</v>
      </c>
      <c r="K1648" s="112">
        <v>5</v>
      </c>
      <c r="L1648" s="112">
        <v>202</v>
      </c>
      <c r="M1648" s="112">
        <v>220</v>
      </c>
      <c r="N1648" s="112">
        <v>-18</v>
      </c>
    </row>
    <row r="1649" spans="1:17" s="117" customFormat="1" ht="17.5" customHeight="1">
      <c r="A1649" s="109" t="s">
        <v>7212</v>
      </c>
      <c r="B1649" s="109" t="s">
        <v>7213</v>
      </c>
      <c r="C1649" s="113">
        <v>2016</v>
      </c>
      <c r="D1649" s="112">
        <v>528</v>
      </c>
      <c r="E1649" s="112">
        <v>1759</v>
      </c>
      <c r="F1649" s="112">
        <v>700</v>
      </c>
      <c r="G1649" s="112">
        <v>1065</v>
      </c>
      <c r="H1649" s="112">
        <v>429</v>
      </c>
      <c r="I1649" s="112">
        <v>34</v>
      </c>
      <c r="J1649" s="99" t="s">
        <v>6953</v>
      </c>
      <c r="K1649" s="99" t="s">
        <v>6953</v>
      </c>
      <c r="L1649" s="112">
        <v>177</v>
      </c>
      <c r="M1649" s="112">
        <v>178</v>
      </c>
      <c r="N1649" s="112">
        <v>-1</v>
      </c>
      <c r="O1649" s="110"/>
      <c r="P1649" s="110"/>
      <c r="Q1649" s="110"/>
    </row>
    <row r="1650" spans="1:17" s="117" customFormat="1" ht="17.5" customHeight="1">
      <c r="A1650" s="109" t="s">
        <v>7212</v>
      </c>
      <c r="B1650" s="109" t="s">
        <v>7213</v>
      </c>
      <c r="C1650" s="113">
        <v>2017</v>
      </c>
      <c r="D1650" s="112">
        <v>524</v>
      </c>
      <c r="E1650" s="112">
        <v>1877</v>
      </c>
      <c r="F1650" s="112">
        <v>777</v>
      </c>
      <c r="G1650" s="112">
        <v>1109</v>
      </c>
      <c r="H1650" s="112">
        <v>449</v>
      </c>
      <c r="I1650" s="112">
        <v>60</v>
      </c>
      <c r="J1650" s="99" t="s">
        <v>6953</v>
      </c>
      <c r="K1650" s="99" t="s">
        <v>6953</v>
      </c>
      <c r="L1650" s="112">
        <v>208</v>
      </c>
      <c r="M1650" s="112">
        <v>200</v>
      </c>
      <c r="N1650" s="112">
        <v>8</v>
      </c>
      <c r="O1650" s="110"/>
      <c r="P1650" s="110"/>
      <c r="Q1650" s="110"/>
    </row>
    <row r="1651" spans="1:17" s="117" customFormat="1" ht="17.5" customHeight="1">
      <c r="A1651" s="109" t="s">
        <v>7212</v>
      </c>
      <c r="B1651" s="109" t="s">
        <v>7213</v>
      </c>
      <c r="C1651" s="113">
        <v>2018</v>
      </c>
      <c r="D1651" s="112">
        <v>525</v>
      </c>
      <c r="E1651" s="112">
        <v>1989</v>
      </c>
      <c r="F1651" s="112">
        <v>839</v>
      </c>
      <c r="G1651" s="112">
        <v>1181</v>
      </c>
      <c r="H1651" s="112">
        <v>480</v>
      </c>
      <c r="I1651" s="112">
        <v>82</v>
      </c>
      <c r="J1651" s="99" t="s">
        <v>6953</v>
      </c>
      <c r="K1651" s="99" t="s">
        <v>6953</v>
      </c>
      <c r="L1651" s="112">
        <v>216</v>
      </c>
      <c r="M1651" s="112">
        <v>190</v>
      </c>
      <c r="N1651" s="112">
        <v>26</v>
      </c>
      <c r="O1651" s="100"/>
      <c r="P1651" s="100"/>
      <c r="Q1651" s="100"/>
    </row>
    <row r="1652" spans="1:17" s="117" customFormat="1" ht="17.5" customHeight="1">
      <c r="A1652" s="109" t="s">
        <v>7212</v>
      </c>
      <c r="B1652" s="109" t="s">
        <v>7213</v>
      </c>
      <c r="C1652" s="113">
        <v>2019</v>
      </c>
      <c r="D1652" s="112">
        <v>521</v>
      </c>
      <c r="E1652" s="112">
        <v>2020.379308</v>
      </c>
      <c r="F1652" s="112">
        <v>816.57638799999995</v>
      </c>
      <c r="G1652" s="112">
        <v>1207.8245360000001</v>
      </c>
      <c r="H1652" s="112">
        <v>500.68227300000001</v>
      </c>
      <c r="I1652" s="112">
        <v>64.158801999999994</v>
      </c>
      <c r="J1652" s="112" t="s">
        <v>6953</v>
      </c>
      <c r="K1652" s="112" t="s">
        <v>6953</v>
      </c>
      <c r="L1652" s="112">
        <v>208.38646700000001</v>
      </c>
      <c r="M1652" s="112">
        <v>206.13751400000001</v>
      </c>
      <c r="N1652" s="112">
        <v>2.2489530000000002</v>
      </c>
      <c r="O1652" s="110"/>
      <c r="P1652" s="110"/>
      <c r="Q1652" s="110"/>
    </row>
    <row r="1653" spans="1:17" s="117" customFormat="1" ht="17.5" customHeight="1">
      <c r="A1653" s="114" t="s">
        <v>7212</v>
      </c>
      <c r="B1653" s="114" t="s">
        <v>7213</v>
      </c>
      <c r="C1653" s="113">
        <v>2020</v>
      </c>
      <c r="D1653" s="112">
        <v>513</v>
      </c>
      <c r="E1653" s="112">
        <v>1758.60257</v>
      </c>
      <c r="F1653" s="112" t="s">
        <v>6953</v>
      </c>
      <c r="G1653" s="112" t="s">
        <v>6953</v>
      </c>
      <c r="H1653" s="112">
        <v>481.06079699999998</v>
      </c>
      <c r="I1653" s="112">
        <v>41.959403000000002</v>
      </c>
      <c r="J1653" s="112" t="s">
        <v>6953</v>
      </c>
      <c r="K1653" s="112" t="s">
        <v>6953</v>
      </c>
      <c r="L1653" s="112">
        <v>195.356754</v>
      </c>
      <c r="M1653" s="112">
        <v>205.37207900000001</v>
      </c>
      <c r="N1653" s="112">
        <v>-10.015324</v>
      </c>
      <c r="O1653" s="100"/>
      <c r="P1653" s="100"/>
      <c r="Q1653" s="100"/>
    </row>
    <row r="1654" spans="1:17" s="117" customFormat="1" ht="17.5" customHeight="1">
      <c r="A1654" s="109" t="s">
        <v>7214</v>
      </c>
      <c r="B1654" s="109" t="s">
        <v>7215</v>
      </c>
      <c r="C1654" s="98">
        <v>2008</v>
      </c>
      <c r="D1654" s="99">
        <v>5957</v>
      </c>
      <c r="E1654" s="99">
        <v>18065</v>
      </c>
      <c r="F1654" s="99">
        <v>6691</v>
      </c>
      <c r="G1654" s="99">
        <v>11953</v>
      </c>
      <c r="H1654" s="99">
        <v>3901</v>
      </c>
      <c r="I1654" s="99">
        <v>556</v>
      </c>
      <c r="J1654" s="99">
        <v>718</v>
      </c>
      <c r="K1654" s="99">
        <v>162</v>
      </c>
      <c r="L1654" s="99">
        <v>1603</v>
      </c>
      <c r="M1654" s="99">
        <v>1511</v>
      </c>
      <c r="N1654" s="99">
        <v>91</v>
      </c>
      <c r="O1654" s="100"/>
      <c r="P1654" s="100"/>
      <c r="Q1654" s="100"/>
    </row>
    <row r="1655" spans="1:17" s="117" customFormat="1" ht="17.5" customHeight="1">
      <c r="A1655" s="109" t="s">
        <v>7214</v>
      </c>
      <c r="B1655" s="109" t="s">
        <v>7215</v>
      </c>
      <c r="C1655" s="98">
        <v>2009</v>
      </c>
      <c r="D1655" s="99">
        <v>5614</v>
      </c>
      <c r="E1655" s="99">
        <v>16888</v>
      </c>
      <c r="F1655" s="99">
        <v>5832</v>
      </c>
      <c r="G1655" s="99">
        <v>10966</v>
      </c>
      <c r="H1655" s="99">
        <v>3657</v>
      </c>
      <c r="I1655" s="99">
        <v>385</v>
      </c>
      <c r="J1655" s="99">
        <v>461</v>
      </c>
      <c r="K1655" s="99">
        <v>76</v>
      </c>
      <c r="L1655" s="99">
        <v>1446</v>
      </c>
      <c r="M1655" s="99">
        <v>1530</v>
      </c>
      <c r="N1655" s="99">
        <v>-84</v>
      </c>
      <c r="O1655" s="110"/>
      <c r="P1655" s="110"/>
      <c r="Q1655" s="110"/>
    </row>
    <row r="1656" spans="1:17" s="117" customFormat="1" ht="17.5" customHeight="1">
      <c r="A1656" s="109" t="s">
        <v>7214</v>
      </c>
      <c r="B1656" s="109" t="s">
        <v>7215</v>
      </c>
      <c r="C1656" s="98">
        <v>2010</v>
      </c>
      <c r="D1656" s="99">
        <v>5383</v>
      </c>
      <c r="E1656" s="99">
        <v>16198</v>
      </c>
      <c r="F1656" s="99">
        <v>5995</v>
      </c>
      <c r="G1656" s="99">
        <v>10316</v>
      </c>
      <c r="H1656" s="99">
        <v>3362</v>
      </c>
      <c r="I1656" s="99">
        <v>413</v>
      </c>
      <c r="J1656" s="99">
        <v>460</v>
      </c>
      <c r="K1656" s="99">
        <v>47</v>
      </c>
      <c r="L1656" s="99">
        <v>1443</v>
      </c>
      <c r="M1656" s="99">
        <v>1331</v>
      </c>
      <c r="N1656" s="99">
        <v>112</v>
      </c>
      <c r="O1656" s="110"/>
      <c r="P1656" s="110"/>
      <c r="Q1656" s="110"/>
    </row>
    <row r="1657" spans="1:17" s="117" customFormat="1" ht="17.5" customHeight="1">
      <c r="A1657" s="109" t="s">
        <v>7214</v>
      </c>
      <c r="B1657" s="109" t="s">
        <v>7215</v>
      </c>
      <c r="C1657" s="98">
        <v>2011</v>
      </c>
      <c r="D1657" s="99">
        <v>5216</v>
      </c>
      <c r="E1657" s="99">
        <v>18394</v>
      </c>
      <c r="F1657" s="99">
        <v>6760</v>
      </c>
      <c r="G1657" s="99">
        <v>11742</v>
      </c>
      <c r="H1657" s="99">
        <v>3433</v>
      </c>
      <c r="I1657" s="99">
        <v>451</v>
      </c>
      <c r="J1657" s="99">
        <v>540</v>
      </c>
      <c r="K1657" s="99">
        <v>89</v>
      </c>
      <c r="L1657" s="99">
        <v>1592</v>
      </c>
      <c r="M1657" s="99">
        <v>1497</v>
      </c>
      <c r="N1657" s="99">
        <v>95</v>
      </c>
    </row>
    <row r="1658" spans="1:17" s="117" customFormat="1" ht="17.5" customHeight="1">
      <c r="A1658" s="109" t="s">
        <v>7214</v>
      </c>
      <c r="B1658" s="109" t="s">
        <v>7215</v>
      </c>
      <c r="C1658" s="111">
        <v>2012</v>
      </c>
      <c r="D1658" s="112">
        <v>5119</v>
      </c>
      <c r="E1658" s="112">
        <v>18091</v>
      </c>
      <c r="F1658" s="112">
        <v>6909</v>
      </c>
      <c r="G1658" s="112">
        <v>11310</v>
      </c>
      <c r="H1658" s="112">
        <v>3518</v>
      </c>
      <c r="I1658" s="112">
        <v>522</v>
      </c>
      <c r="J1658" s="112">
        <v>633</v>
      </c>
      <c r="K1658" s="112">
        <v>112</v>
      </c>
      <c r="L1658" s="112">
        <v>1595</v>
      </c>
      <c r="M1658" s="112">
        <v>1481</v>
      </c>
      <c r="N1658" s="112">
        <v>114</v>
      </c>
    </row>
    <row r="1659" spans="1:17" s="117" customFormat="1" ht="17.5" customHeight="1">
      <c r="A1659" s="109" t="s">
        <v>7214</v>
      </c>
      <c r="B1659" s="109" t="s">
        <v>7215</v>
      </c>
      <c r="C1659" s="113">
        <v>2013</v>
      </c>
      <c r="D1659" s="112">
        <v>5129</v>
      </c>
      <c r="E1659" s="112">
        <v>18202</v>
      </c>
      <c r="F1659" s="112">
        <v>6758</v>
      </c>
      <c r="G1659" s="112">
        <v>11464</v>
      </c>
      <c r="H1659" s="112">
        <v>3591</v>
      </c>
      <c r="I1659" s="112">
        <v>508</v>
      </c>
      <c r="J1659" s="112">
        <v>606</v>
      </c>
      <c r="K1659" s="112">
        <v>98</v>
      </c>
      <c r="L1659" s="112">
        <v>1599</v>
      </c>
      <c r="M1659" s="112">
        <v>1588</v>
      </c>
      <c r="N1659" s="112">
        <v>11</v>
      </c>
    </row>
    <row r="1660" spans="1:17" s="117" customFormat="1" ht="17.5" customHeight="1">
      <c r="A1660" s="109" t="s">
        <v>7214</v>
      </c>
      <c r="B1660" s="109" t="s">
        <v>7215</v>
      </c>
      <c r="C1660" s="113">
        <v>2014</v>
      </c>
      <c r="D1660" s="99">
        <v>5153</v>
      </c>
      <c r="E1660" s="99">
        <v>19458</v>
      </c>
      <c r="F1660" s="99">
        <v>6641</v>
      </c>
      <c r="G1660" s="99">
        <v>12857</v>
      </c>
      <c r="H1660" s="99">
        <v>3834</v>
      </c>
      <c r="I1660" s="99">
        <v>550</v>
      </c>
      <c r="J1660" s="99">
        <v>663</v>
      </c>
      <c r="K1660" s="99">
        <v>113</v>
      </c>
      <c r="L1660" s="99">
        <v>1611</v>
      </c>
      <c r="M1660" s="99">
        <v>1580</v>
      </c>
      <c r="N1660" s="99">
        <v>31</v>
      </c>
    </row>
    <row r="1661" spans="1:17" s="117" customFormat="1" ht="17.5" customHeight="1">
      <c r="A1661" s="109" t="s">
        <v>7214</v>
      </c>
      <c r="B1661" s="109" t="s">
        <v>7215</v>
      </c>
      <c r="C1661" s="113">
        <v>2015</v>
      </c>
      <c r="D1661" s="112">
        <v>5224</v>
      </c>
      <c r="E1661" s="112">
        <v>20058</v>
      </c>
      <c r="F1661" s="112">
        <v>7459</v>
      </c>
      <c r="G1661" s="112">
        <v>12578</v>
      </c>
      <c r="H1661" s="112">
        <v>3966</v>
      </c>
      <c r="I1661" s="112">
        <v>836</v>
      </c>
      <c r="J1661" s="112">
        <v>881</v>
      </c>
      <c r="K1661" s="112">
        <v>45</v>
      </c>
      <c r="L1661" s="112">
        <v>1654</v>
      </c>
      <c r="M1661" s="112">
        <v>1692</v>
      </c>
      <c r="N1661" s="112">
        <v>-38</v>
      </c>
      <c r="O1661" s="110"/>
      <c r="P1661" s="110"/>
      <c r="Q1661" s="110"/>
    </row>
    <row r="1662" spans="1:17" s="117" customFormat="1" ht="17.5" customHeight="1">
      <c r="A1662" s="109" t="s">
        <v>7214</v>
      </c>
      <c r="B1662" s="109" t="s">
        <v>7215</v>
      </c>
      <c r="C1662" s="113">
        <v>2016</v>
      </c>
      <c r="D1662" s="112">
        <v>5240</v>
      </c>
      <c r="E1662" s="112">
        <v>20273</v>
      </c>
      <c r="F1662" s="112">
        <v>7775</v>
      </c>
      <c r="G1662" s="112">
        <v>12621</v>
      </c>
      <c r="H1662" s="112">
        <v>3991</v>
      </c>
      <c r="I1662" s="112">
        <v>896</v>
      </c>
      <c r="J1662" s="112">
        <v>972</v>
      </c>
      <c r="K1662" s="112">
        <v>76</v>
      </c>
      <c r="L1662" s="112">
        <v>1807</v>
      </c>
      <c r="M1662" s="112">
        <v>1732</v>
      </c>
      <c r="N1662" s="112">
        <v>75</v>
      </c>
      <c r="O1662" s="110"/>
      <c r="P1662" s="110"/>
      <c r="Q1662" s="110"/>
    </row>
    <row r="1663" spans="1:17" s="117" customFormat="1" ht="17.5" customHeight="1">
      <c r="A1663" s="109" t="s">
        <v>7214</v>
      </c>
      <c r="B1663" s="109" t="s">
        <v>7215</v>
      </c>
      <c r="C1663" s="113">
        <v>2017</v>
      </c>
      <c r="D1663" s="112">
        <v>5308</v>
      </c>
      <c r="E1663" s="112">
        <v>20901</v>
      </c>
      <c r="F1663" s="112">
        <v>7833</v>
      </c>
      <c r="G1663" s="112">
        <v>13350</v>
      </c>
      <c r="H1663" s="112">
        <v>4126</v>
      </c>
      <c r="I1663" s="112">
        <v>794</v>
      </c>
      <c r="J1663" s="112">
        <v>918</v>
      </c>
      <c r="K1663" s="112">
        <v>124</v>
      </c>
      <c r="L1663" s="112">
        <v>1988</v>
      </c>
      <c r="M1663" s="112">
        <v>1794</v>
      </c>
      <c r="N1663" s="112">
        <v>194</v>
      </c>
      <c r="O1663" s="100"/>
      <c r="P1663" s="100"/>
      <c r="Q1663" s="100"/>
    </row>
    <row r="1664" spans="1:17" s="117" customFormat="1" ht="17.5" customHeight="1">
      <c r="A1664" s="109" t="s">
        <v>7214</v>
      </c>
      <c r="B1664" s="109" t="s">
        <v>7215</v>
      </c>
      <c r="C1664" s="113">
        <v>2018</v>
      </c>
      <c r="D1664" s="112">
        <v>5127</v>
      </c>
      <c r="E1664" s="112">
        <v>20991</v>
      </c>
      <c r="F1664" s="112">
        <v>7409</v>
      </c>
      <c r="G1664" s="112">
        <v>13789</v>
      </c>
      <c r="H1664" s="112">
        <v>4210</v>
      </c>
      <c r="I1664" s="112">
        <v>939</v>
      </c>
      <c r="J1664" s="112">
        <v>1029</v>
      </c>
      <c r="K1664" s="112">
        <v>91</v>
      </c>
      <c r="L1664" s="112">
        <v>2100</v>
      </c>
      <c r="M1664" s="112">
        <v>1922</v>
      </c>
      <c r="N1664" s="112">
        <v>179</v>
      </c>
      <c r="O1664" s="110"/>
      <c r="P1664" s="110"/>
      <c r="Q1664" s="110"/>
    </row>
    <row r="1665" spans="1:17" s="117" customFormat="1" ht="17.5" customHeight="1">
      <c r="A1665" s="109" t="s">
        <v>7214</v>
      </c>
      <c r="B1665" s="109" t="s">
        <v>7215</v>
      </c>
      <c r="C1665" s="113">
        <v>2019</v>
      </c>
      <c r="D1665" s="112">
        <v>5046</v>
      </c>
      <c r="E1665" s="112">
        <v>20665.463110000001</v>
      </c>
      <c r="F1665" s="112">
        <v>7144.8577340000002</v>
      </c>
      <c r="G1665" s="112">
        <v>13602.905280999999</v>
      </c>
      <c r="H1665" s="112">
        <v>4317.4258609999997</v>
      </c>
      <c r="I1665" s="112">
        <v>779.16652799999997</v>
      </c>
      <c r="J1665" s="112">
        <v>848.97940700000004</v>
      </c>
      <c r="K1665" s="112">
        <v>69.812877999999998</v>
      </c>
      <c r="L1665" s="112">
        <v>2166.0239740000002</v>
      </c>
      <c r="M1665" s="112">
        <v>2138.215271</v>
      </c>
      <c r="N1665" s="112">
        <v>27.808703000000001</v>
      </c>
      <c r="O1665" s="100"/>
      <c r="P1665" s="100"/>
      <c r="Q1665" s="100"/>
    </row>
    <row r="1666" spans="1:17" s="117" customFormat="1" ht="17.5" customHeight="1">
      <c r="A1666" s="114" t="s">
        <v>7214</v>
      </c>
      <c r="B1666" s="114" t="s">
        <v>7215</v>
      </c>
      <c r="C1666" s="113">
        <v>2020</v>
      </c>
      <c r="D1666" s="112">
        <v>5032</v>
      </c>
      <c r="E1666" s="112">
        <v>19337.214994000002</v>
      </c>
      <c r="F1666" s="112">
        <v>7378.6021369999999</v>
      </c>
      <c r="G1666" s="112">
        <v>12089.412478</v>
      </c>
      <c r="H1666" s="112">
        <v>4080.6978439999998</v>
      </c>
      <c r="I1666" s="112">
        <v>738.63835900000004</v>
      </c>
      <c r="J1666" s="112">
        <v>809.73152700000003</v>
      </c>
      <c r="K1666" s="112">
        <v>71.093168000000006</v>
      </c>
      <c r="L1666" s="112">
        <v>2157.156594</v>
      </c>
      <c r="M1666" s="112">
        <v>2110.0172149999999</v>
      </c>
      <c r="N1666" s="112">
        <v>47.139378999999998</v>
      </c>
      <c r="O1666" s="100"/>
      <c r="P1666" s="100"/>
      <c r="Q1666" s="100"/>
    </row>
    <row r="1667" spans="1:17" s="117" customFormat="1" ht="31.75" customHeight="1">
      <c r="A1667" s="109" t="s">
        <v>7216</v>
      </c>
      <c r="B1667" s="109" t="s">
        <v>7217</v>
      </c>
      <c r="C1667" s="98">
        <v>2008</v>
      </c>
      <c r="D1667" s="99">
        <v>561</v>
      </c>
      <c r="E1667" s="99">
        <v>5078</v>
      </c>
      <c r="F1667" s="99">
        <v>1611</v>
      </c>
      <c r="G1667" s="99">
        <v>3521</v>
      </c>
      <c r="H1667" s="99">
        <v>953</v>
      </c>
      <c r="I1667" s="99">
        <v>157</v>
      </c>
      <c r="J1667" s="99">
        <v>188</v>
      </c>
      <c r="K1667" s="99">
        <v>31</v>
      </c>
      <c r="L1667" s="99">
        <v>534</v>
      </c>
      <c r="M1667" s="99">
        <v>491</v>
      </c>
      <c r="N1667" s="99">
        <v>44</v>
      </c>
      <c r="O1667" s="110"/>
      <c r="P1667" s="110"/>
      <c r="Q1667" s="110"/>
    </row>
    <row r="1668" spans="1:17" s="117" customFormat="1" ht="31.75" customHeight="1">
      <c r="A1668" s="109" t="s">
        <v>7216</v>
      </c>
      <c r="B1668" s="109" t="s">
        <v>7217</v>
      </c>
      <c r="C1668" s="98">
        <v>2009</v>
      </c>
      <c r="D1668" s="99">
        <v>549</v>
      </c>
      <c r="E1668" s="99">
        <v>4315</v>
      </c>
      <c r="F1668" s="99">
        <v>1279</v>
      </c>
      <c r="G1668" s="99">
        <v>2987</v>
      </c>
      <c r="H1668" s="99">
        <v>905</v>
      </c>
      <c r="I1668" s="99">
        <v>98</v>
      </c>
      <c r="J1668" s="99">
        <v>118</v>
      </c>
      <c r="K1668" s="99">
        <v>20</v>
      </c>
      <c r="L1668" s="99">
        <v>458</v>
      </c>
      <c r="M1668" s="99">
        <v>505</v>
      </c>
      <c r="N1668" s="99">
        <v>-48</v>
      </c>
      <c r="O1668" s="110"/>
      <c r="P1668" s="110"/>
      <c r="Q1668" s="110"/>
    </row>
    <row r="1669" spans="1:17" s="117" customFormat="1" ht="31.75" customHeight="1">
      <c r="A1669" s="109" t="s">
        <v>7216</v>
      </c>
      <c r="B1669" s="109" t="s">
        <v>7217</v>
      </c>
      <c r="C1669" s="98">
        <v>2010</v>
      </c>
      <c r="D1669" s="99">
        <v>525</v>
      </c>
      <c r="E1669" s="99">
        <v>4329</v>
      </c>
      <c r="F1669" s="99">
        <v>1443</v>
      </c>
      <c r="G1669" s="99">
        <v>2920</v>
      </c>
      <c r="H1669" s="99">
        <v>881</v>
      </c>
      <c r="I1669" s="99">
        <v>135</v>
      </c>
      <c r="J1669" s="99">
        <v>142</v>
      </c>
      <c r="K1669" s="99">
        <v>7</v>
      </c>
      <c r="L1669" s="99">
        <v>496</v>
      </c>
      <c r="M1669" s="99">
        <v>462</v>
      </c>
      <c r="N1669" s="99">
        <v>34</v>
      </c>
    </row>
    <row r="1670" spans="1:17" s="117" customFormat="1" ht="31.75" customHeight="1">
      <c r="A1670" s="109" t="s">
        <v>7216</v>
      </c>
      <c r="B1670" s="109" t="s">
        <v>7217</v>
      </c>
      <c r="C1670" s="98">
        <v>2011</v>
      </c>
      <c r="D1670" s="99">
        <v>506</v>
      </c>
      <c r="E1670" s="99">
        <v>4800</v>
      </c>
      <c r="F1670" s="99">
        <v>1718</v>
      </c>
      <c r="G1670" s="99">
        <v>3109</v>
      </c>
      <c r="H1670" s="99">
        <v>816</v>
      </c>
      <c r="I1670" s="99">
        <v>165</v>
      </c>
      <c r="J1670" s="99">
        <v>174</v>
      </c>
      <c r="K1670" s="99">
        <v>9</v>
      </c>
      <c r="L1670" s="99">
        <v>549</v>
      </c>
      <c r="M1670" s="99">
        <v>519</v>
      </c>
      <c r="N1670" s="99">
        <v>30</v>
      </c>
    </row>
    <row r="1671" spans="1:17" s="117" customFormat="1" ht="31.75" customHeight="1">
      <c r="A1671" s="109" t="s">
        <v>7216</v>
      </c>
      <c r="B1671" s="109" t="s">
        <v>7217</v>
      </c>
      <c r="C1671" s="111">
        <v>2012</v>
      </c>
      <c r="D1671" s="112">
        <v>496</v>
      </c>
      <c r="E1671" s="112">
        <v>4589</v>
      </c>
      <c r="F1671" s="112">
        <v>1596</v>
      </c>
      <c r="G1671" s="112">
        <v>3007</v>
      </c>
      <c r="H1671" s="112">
        <v>821</v>
      </c>
      <c r="I1671" s="112">
        <v>117</v>
      </c>
      <c r="J1671" s="112">
        <v>162</v>
      </c>
      <c r="K1671" s="112">
        <v>45</v>
      </c>
      <c r="L1671" s="112">
        <v>524</v>
      </c>
      <c r="M1671" s="112">
        <v>514</v>
      </c>
      <c r="N1671" s="112">
        <v>10</v>
      </c>
    </row>
    <row r="1672" spans="1:17" s="117" customFormat="1" ht="31.75" customHeight="1">
      <c r="A1672" s="109" t="s">
        <v>7216</v>
      </c>
      <c r="B1672" s="109" t="s">
        <v>7217</v>
      </c>
      <c r="C1672" s="113">
        <v>2013</v>
      </c>
      <c r="D1672" s="112">
        <v>486</v>
      </c>
      <c r="E1672" s="112">
        <v>4508</v>
      </c>
      <c r="F1672" s="112">
        <v>1594</v>
      </c>
      <c r="G1672" s="112">
        <v>2942</v>
      </c>
      <c r="H1672" s="112">
        <v>807</v>
      </c>
      <c r="I1672" s="112">
        <v>148</v>
      </c>
      <c r="J1672" s="112">
        <v>174</v>
      </c>
      <c r="K1672" s="112">
        <v>26</v>
      </c>
      <c r="L1672" s="112">
        <v>442</v>
      </c>
      <c r="M1672" s="112">
        <v>423</v>
      </c>
      <c r="N1672" s="112">
        <v>19</v>
      </c>
    </row>
    <row r="1673" spans="1:17" s="117" customFormat="1" ht="31.75" customHeight="1">
      <c r="A1673" s="109" t="s">
        <v>7216</v>
      </c>
      <c r="B1673" s="109" t="s">
        <v>7217</v>
      </c>
      <c r="C1673" s="113">
        <v>2014</v>
      </c>
      <c r="D1673" s="99">
        <v>480</v>
      </c>
      <c r="E1673" s="99">
        <v>4979</v>
      </c>
      <c r="F1673" s="99">
        <v>1643</v>
      </c>
      <c r="G1673" s="99">
        <v>3347</v>
      </c>
      <c r="H1673" s="99">
        <v>823</v>
      </c>
      <c r="I1673" s="99">
        <v>193</v>
      </c>
      <c r="J1673" s="99">
        <v>216</v>
      </c>
      <c r="K1673" s="99">
        <v>23</v>
      </c>
      <c r="L1673" s="99">
        <v>444</v>
      </c>
      <c r="M1673" s="99">
        <v>444</v>
      </c>
      <c r="N1673" s="99" t="s">
        <v>6952</v>
      </c>
      <c r="O1673" s="110"/>
      <c r="P1673" s="110"/>
      <c r="Q1673" s="110"/>
    </row>
    <row r="1674" spans="1:17" s="117" customFormat="1" ht="31.75" customHeight="1">
      <c r="A1674" s="109" t="s">
        <v>7216</v>
      </c>
      <c r="B1674" s="109" t="s">
        <v>7217</v>
      </c>
      <c r="C1674" s="113">
        <v>2015</v>
      </c>
      <c r="D1674" s="112">
        <v>489</v>
      </c>
      <c r="E1674" s="112">
        <v>4766</v>
      </c>
      <c r="F1674" s="112">
        <v>1644</v>
      </c>
      <c r="G1674" s="112">
        <v>3119</v>
      </c>
      <c r="H1674" s="112">
        <v>869</v>
      </c>
      <c r="I1674" s="112">
        <v>217</v>
      </c>
      <c r="J1674" s="112">
        <v>226</v>
      </c>
      <c r="K1674" s="112">
        <v>9</v>
      </c>
      <c r="L1674" s="112">
        <v>490</v>
      </c>
      <c r="M1674" s="112">
        <v>507</v>
      </c>
      <c r="N1674" s="112">
        <v>-17</v>
      </c>
      <c r="O1674" s="110"/>
      <c r="P1674" s="110"/>
      <c r="Q1674" s="110"/>
    </row>
    <row r="1675" spans="1:17" s="117" customFormat="1" ht="31.75" customHeight="1">
      <c r="A1675" s="109" t="s">
        <v>7216</v>
      </c>
      <c r="B1675" s="109" t="s">
        <v>7217</v>
      </c>
      <c r="C1675" s="113">
        <v>2016</v>
      </c>
      <c r="D1675" s="112">
        <v>468</v>
      </c>
      <c r="E1675" s="112">
        <v>4598</v>
      </c>
      <c r="F1675" s="112">
        <v>1645</v>
      </c>
      <c r="G1675" s="112">
        <v>2967</v>
      </c>
      <c r="H1675" s="112">
        <v>835</v>
      </c>
      <c r="I1675" s="112">
        <v>165</v>
      </c>
      <c r="J1675" s="112">
        <v>194</v>
      </c>
      <c r="K1675" s="112">
        <v>29</v>
      </c>
      <c r="L1675" s="112">
        <v>462</v>
      </c>
      <c r="M1675" s="112">
        <v>468</v>
      </c>
      <c r="N1675" s="112">
        <v>-5</v>
      </c>
      <c r="O1675" s="100"/>
      <c r="P1675" s="100"/>
      <c r="Q1675" s="100"/>
    </row>
    <row r="1676" spans="1:17" s="117" customFormat="1" ht="31.75" customHeight="1">
      <c r="A1676" s="109" t="s">
        <v>7216</v>
      </c>
      <c r="B1676" s="109" t="s">
        <v>7217</v>
      </c>
      <c r="C1676" s="113">
        <v>2017</v>
      </c>
      <c r="D1676" s="112">
        <v>464</v>
      </c>
      <c r="E1676" s="112">
        <v>4923</v>
      </c>
      <c r="F1676" s="112">
        <v>1740</v>
      </c>
      <c r="G1676" s="112">
        <v>3286</v>
      </c>
      <c r="H1676" s="112">
        <v>847</v>
      </c>
      <c r="I1676" s="112">
        <v>187</v>
      </c>
      <c r="J1676" s="112">
        <v>198</v>
      </c>
      <c r="K1676" s="112">
        <v>12</v>
      </c>
      <c r="L1676" s="112">
        <v>557</v>
      </c>
      <c r="M1676" s="112">
        <v>506</v>
      </c>
      <c r="N1676" s="112">
        <v>51</v>
      </c>
      <c r="O1676" s="110"/>
      <c r="P1676" s="110"/>
      <c r="Q1676" s="110"/>
    </row>
    <row r="1677" spans="1:17" s="117" customFormat="1" ht="31.75" customHeight="1">
      <c r="A1677" s="109" t="s">
        <v>7216</v>
      </c>
      <c r="B1677" s="109" t="s">
        <v>7217</v>
      </c>
      <c r="C1677" s="113">
        <v>2018</v>
      </c>
      <c r="D1677" s="112">
        <v>462</v>
      </c>
      <c r="E1677" s="112">
        <v>5165</v>
      </c>
      <c r="F1677" s="112">
        <v>1765</v>
      </c>
      <c r="G1677" s="112">
        <v>3477</v>
      </c>
      <c r="H1677" s="112">
        <v>904</v>
      </c>
      <c r="I1677" s="112">
        <v>270</v>
      </c>
      <c r="J1677" s="112">
        <v>282</v>
      </c>
      <c r="K1677" s="112">
        <v>12</v>
      </c>
      <c r="L1677" s="112">
        <v>624</v>
      </c>
      <c r="M1677" s="112">
        <v>558</v>
      </c>
      <c r="N1677" s="112">
        <v>66</v>
      </c>
      <c r="O1677" s="100"/>
      <c r="P1677" s="100"/>
      <c r="Q1677" s="100"/>
    </row>
    <row r="1678" spans="1:17" s="117" customFormat="1" ht="31.75" customHeight="1">
      <c r="A1678" s="109" t="s">
        <v>7216</v>
      </c>
      <c r="B1678" s="109" t="s">
        <v>7217</v>
      </c>
      <c r="C1678" s="113">
        <v>2019</v>
      </c>
      <c r="D1678" s="112">
        <v>454</v>
      </c>
      <c r="E1678" s="112">
        <v>4945.030299</v>
      </c>
      <c r="F1678" s="112">
        <v>1656.357753</v>
      </c>
      <c r="G1678" s="112">
        <v>3335.728388</v>
      </c>
      <c r="H1678" s="112">
        <v>945.05279900000005</v>
      </c>
      <c r="I1678" s="112">
        <v>218.39259699999999</v>
      </c>
      <c r="J1678" s="112">
        <v>241.029257</v>
      </c>
      <c r="K1678" s="112">
        <v>22.636659999999999</v>
      </c>
      <c r="L1678" s="112">
        <v>643.46435699999995</v>
      </c>
      <c r="M1678" s="112">
        <v>643.98559799999998</v>
      </c>
      <c r="N1678" s="112">
        <v>-0.52124099999999995</v>
      </c>
      <c r="O1678" s="100"/>
      <c r="P1678" s="100"/>
      <c r="Q1678" s="100"/>
    </row>
    <row r="1679" spans="1:17" s="117" customFormat="1" ht="31.75" customHeight="1">
      <c r="A1679" s="114" t="s">
        <v>7216</v>
      </c>
      <c r="B1679" s="114" t="s">
        <v>7217</v>
      </c>
      <c r="C1679" s="113">
        <v>2020</v>
      </c>
      <c r="D1679" s="112">
        <v>460</v>
      </c>
      <c r="E1679" s="112">
        <v>4699.7234920000001</v>
      </c>
      <c r="F1679" s="112">
        <v>1607.5056099999999</v>
      </c>
      <c r="G1679" s="112">
        <v>3125.5601780000002</v>
      </c>
      <c r="H1679" s="112">
        <v>898.21411999999998</v>
      </c>
      <c r="I1679" s="112">
        <v>171.653175</v>
      </c>
      <c r="J1679" s="112">
        <v>180.832393</v>
      </c>
      <c r="K1679" s="112">
        <v>9.1792180000000005</v>
      </c>
      <c r="L1679" s="112">
        <v>616.25397499999997</v>
      </c>
      <c r="M1679" s="112">
        <v>611.80673200000001</v>
      </c>
      <c r="N1679" s="112">
        <v>4.4472430000000003</v>
      </c>
      <c r="O1679" s="110"/>
      <c r="P1679" s="110"/>
      <c r="Q1679" s="110"/>
    </row>
    <row r="1680" spans="1:17" s="117" customFormat="1" ht="17.5" customHeight="1">
      <c r="A1680" s="109" t="s">
        <v>7218</v>
      </c>
      <c r="B1680" s="109" t="s">
        <v>7219</v>
      </c>
      <c r="C1680" s="98">
        <v>2008</v>
      </c>
      <c r="D1680" s="99">
        <v>455</v>
      </c>
      <c r="E1680" s="99">
        <v>3359</v>
      </c>
      <c r="F1680" s="99">
        <v>1456</v>
      </c>
      <c r="G1680" s="99">
        <v>2381</v>
      </c>
      <c r="H1680" s="99">
        <v>592</v>
      </c>
      <c r="I1680" s="99">
        <v>142</v>
      </c>
      <c r="J1680" s="99">
        <v>185</v>
      </c>
      <c r="K1680" s="99">
        <v>43</v>
      </c>
      <c r="L1680" s="99">
        <v>266</v>
      </c>
      <c r="M1680" s="99">
        <v>263</v>
      </c>
      <c r="N1680" s="99">
        <v>3</v>
      </c>
      <c r="O1680" s="110"/>
      <c r="P1680" s="110"/>
      <c r="Q1680" s="110"/>
    </row>
    <row r="1681" spans="1:17" s="117" customFormat="1" ht="17.5" customHeight="1">
      <c r="A1681" s="109" t="s">
        <v>7218</v>
      </c>
      <c r="B1681" s="109" t="s">
        <v>7219</v>
      </c>
      <c r="C1681" s="98">
        <v>2009</v>
      </c>
      <c r="D1681" s="99">
        <v>448</v>
      </c>
      <c r="E1681" s="99">
        <v>3495</v>
      </c>
      <c r="F1681" s="99">
        <v>1137</v>
      </c>
      <c r="G1681" s="99">
        <v>2361</v>
      </c>
      <c r="H1681" s="99">
        <v>608</v>
      </c>
      <c r="I1681" s="99">
        <v>131</v>
      </c>
      <c r="J1681" s="99">
        <v>152</v>
      </c>
      <c r="K1681" s="99">
        <v>20</v>
      </c>
      <c r="L1681" s="99">
        <v>332</v>
      </c>
      <c r="M1681" s="99">
        <v>323</v>
      </c>
      <c r="N1681" s="99">
        <v>9</v>
      </c>
    </row>
    <row r="1682" spans="1:17" s="117" customFormat="1" ht="17.5" customHeight="1">
      <c r="A1682" s="109" t="s">
        <v>7218</v>
      </c>
      <c r="B1682" s="109" t="s">
        <v>7219</v>
      </c>
      <c r="C1682" s="98">
        <v>2010</v>
      </c>
      <c r="D1682" s="99">
        <v>440</v>
      </c>
      <c r="E1682" s="99">
        <v>3041</v>
      </c>
      <c r="F1682" s="99">
        <v>962</v>
      </c>
      <c r="G1682" s="99">
        <v>2113</v>
      </c>
      <c r="H1682" s="99">
        <v>583</v>
      </c>
      <c r="I1682" s="99">
        <v>115</v>
      </c>
      <c r="J1682" s="99">
        <v>120</v>
      </c>
      <c r="K1682" s="99">
        <v>5</v>
      </c>
      <c r="L1682" s="99">
        <v>261</v>
      </c>
      <c r="M1682" s="99">
        <v>229</v>
      </c>
      <c r="N1682" s="99">
        <v>31</v>
      </c>
    </row>
    <row r="1683" spans="1:17" s="117" customFormat="1" ht="17.5" customHeight="1">
      <c r="A1683" s="109" t="s">
        <v>7218</v>
      </c>
      <c r="B1683" s="109" t="s">
        <v>7219</v>
      </c>
      <c r="C1683" s="98">
        <v>2011</v>
      </c>
      <c r="D1683" s="99">
        <v>443</v>
      </c>
      <c r="E1683" s="99">
        <v>3919</v>
      </c>
      <c r="F1683" s="99">
        <v>1250</v>
      </c>
      <c r="G1683" s="99">
        <v>2672</v>
      </c>
      <c r="H1683" s="99">
        <v>624</v>
      </c>
      <c r="I1683" s="99">
        <v>80</v>
      </c>
      <c r="J1683" s="99">
        <v>89</v>
      </c>
      <c r="K1683" s="99">
        <v>9</v>
      </c>
      <c r="L1683" s="99">
        <v>282</v>
      </c>
      <c r="M1683" s="99">
        <v>278</v>
      </c>
      <c r="N1683" s="99">
        <v>4</v>
      </c>
    </row>
    <row r="1684" spans="1:17" s="117" customFormat="1" ht="17.5" customHeight="1">
      <c r="A1684" s="109" t="s">
        <v>7218</v>
      </c>
      <c r="B1684" s="109" t="s">
        <v>7219</v>
      </c>
      <c r="C1684" s="111">
        <v>2012</v>
      </c>
      <c r="D1684" s="112">
        <v>446</v>
      </c>
      <c r="E1684" s="112">
        <v>3802</v>
      </c>
      <c r="F1684" s="112">
        <v>1364</v>
      </c>
      <c r="G1684" s="112">
        <v>2437</v>
      </c>
      <c r="H1684" s="112">
        <v>676</v>
      </c>
      <c r="I1684" s="112">
        <v>139</v>
      </c>
      <c r="J1684" s="112">
        <v>157</v>
      </c>
      <c r="K1684" s="112">
        <v>18</v>
      </c>
      <c r="L1684" s="112">
        <v>293</v>
      </c>
      <c r="M1684" s="112">
        <v>293</v>
      </c>
      <c r="N1684" s="112">
        <v>1</v>
      </c>
    </row>
    <row r="1685" spans="1:17" s="117" customFormat="1" ht="17.5" customHeight="1">
      <c r="A1685" s="109" t="s">
        <v>7218</v>
      </c>
      <c r="B1685" s="109" t="s">
        <v>7219</v>
      </c>
      <c r="C1685" s="113">
        <v>2013</v>
      </c>
      <c r="D1685" s="112">
        <v>466</v>
      </c>
      <c r="E1685" s="112">
        <v>4047</v>
      </c>
      <c r="F1685" s="112">
        <v>1402</v>
      </c>
      <c r="G1685" s="112">
        <v>2640</v>
      </c>
      <c r="H1685" s="112">
        <v>707</v>
      </c>
      <c r="I1685" s="112">
        <v>149</v>
      </c>
      <c r="J1685" s="112">
        <v>164</v>
      </c>
      <c r="K1685" s="112">
        <v>15</v>
      </c>
      <c r="L1685" s="112">
        <v>351</v>
      </c>
      <c r="M1685" s="112">
        <v>353</v>
      </c>
      <c r="N1685" s="112">
        <v>-3</v>
      </c>
      <c r="O1685" s="110"/>
      <c r="P1685" s="110"/>
      <c r="Q1685" s="110"/>
    </row>
    <row r="1686" spans="1:17" s="117" customFormat="1" ht="17.5" customHeight="1">
      <c r="A1686" s="109" t="s">
        <v>7218</v>
      </c>
      <c r="B1686" s="109" t="s">
        <v>7219</v>
      </c>
      <c r="C1686" s="113">
        <v>2014</v>
      </c>
      <c r="D1686" s="99">
        <v>463</v>
      </c>
      <c r="E1686" s="99">
        <v>4000</v>
      </c>
      <c r="F1686" s="99">
        <v>1065</v>
      </c>
      <c r="G1686" s="99">
        <v>2927</v>
      </c>
      <c r="H1686" s="99">
        <v>699</v>
      </c>
      <c r="I1686" s="99">
        <v>79</v>
      </c>
      <c r="J1686" s="99">
        <v>121</v>
      </c>
      <c r="K1686" s="99">
        <v>42</v>
      </c>
      <c r="L1686" s="99">
        <v>342</v>
      </c>
      <c r="M1686" s="99">
        <v>349</v>
      </c>
      <c r="N1686" s="99">
        <v>-7</v>
      </c>
      <c r="O1686" s="110"/>
      <c r="P1686" s="110"/>
      <c r="Q1686" s="110"/>
    </row>
    <row r="1687" spans="1:17" s="117" customFormat="1" ht="17.5" customHeight="1">
      <c r="A1687" s="109" t="s">
        <v>7218</v>
      </c>
      <c r="B1687" s="109" t="s">
        <v>7219</v>
      </c>
      <c r="C1687" s="113">
        <v>2015</v>
      </c>
      <c r="D1687" s="112">
        <v>470</v>
      </c>
      <c r="E1687" s="112">
        <v>4089</v>
      </c>
      <c r="F1687" s="112">
        <v>1140</v>
      </c>
      <c r="G1687" s="112">
        <v>2923</v>
      </c>
      <c r="H1687" s="112">
        <v>689</v>
      </c>
      <c r="I1687" s="112">
        <v>130</v>
      </c>
      <c r="J1687" s="112">
        <v>141</v>
      </c>
      <c r="K1687" s="112">
        <v>11</v>
      </c>
      <c r="L1687" s="112">
        <v>327</v>
      </c>
      <c r="M1687" s="112">
        <v>352</v>
      </c>
      <c r="N1687" s="112">
        <v>-25</v>
      </c>
      <c r="O1687" s="100"/>
      <c r="P1687" s="100"/>
      <c r="Q1687" s="100"/>
    </row>
    <row r="1688" spans="1:17" s="117" customFormat="1" ht="17.5" customHeight="1">
      <c r="A1688" s="109" t="s">
        <v>7218</v>
      </c>
      <c r="B1688" s="109" t="s">
        <v>7219</v>
      </c>
      <c r="C1688" s="113">
        <v>2016</v>
      </c>
      <c r="D1688" s="112">
        <v>479</v>
      </c>
      <c r="E1688" s="112">
        <v>4209</v>
      </c>
      <c r="F1688" s="112">
        <v>1496</v>
      </c>
      <c r="G1688" s="112">
        <v>2756</v>
      </c>
      <c r="H1688" s="112">
        <v>718</v>
      </c>
      <c r="I1688" s="112">
        <v>193</v>
      </c>
      <c r="J1688" s="112">
        <v>210</v>
      </c>
      <c r="K1688" s="112">
        <v>18</v>
      </c>
      <c r="L1688" s="112">
        <v>365</v>
      </c>
      <c r="M1688" s="112">
        <v>324</v>
      </c>
      <c r="N1688" s="112">
        <v>40</v>
      </c>
      <c r="O1688" s="110"/>
      <c r="P1688" s="110"/>
      <c r="Q1688" s="110"/>
    </row>
    <row r="1689" spans="1:17" s="117" customFormat="1" ht="17.5" customHeight="1">
      <c r="A1689" s="109" t="s">
        <v>7218</v>
      </c>
      <c r="B1689" s="109" t="s">
        <v>7219</v>
      </c>
      <c r="C1689" s="113">
        <v>2017</v>
      </c>
      <c r="D1689" s="112">
        <v>629</v>
      </c>
      <c r="E1689" s="112">
        <v>4430</v>
      </c>
      <c r="F1689" s="112">
        <v>1393</v>
      </c>
      <c r="G1689" s="112">
        <v>3066</v>
      </c>
      <c r="H1689" s="112">
        <v>759</v>
      </c>
      <c r="I1689" s="112">
        <v>216</v>
      </c>
      <c r="J1689" s="112">
        <v>235</v>
      </c>
      <c r="K1689" s="112">
        <v>19</v>
      </c>
      <c r="L1689" s="112">
        <v>406</v>
      </c>
      <c r="M1689" s="112">
        <v>385</v>
      </c>
      <c r="N1689" s="112">
        <v>21</v>
      </c>
      <c r="O1689" s="100"/>
      <c r="P1689" s="100"/>
      <c r="Q1689" s="100"/>
    </row>
    <row r="1690" spans="1:17" s="117" customFormat="1" ht="17.5" customHeight="1">
      <c r="A1690" s="109" t="s">
        <v>7218</v>
      </c>
      <c r="B1690" s="109" t="s">
        <v>7219</v>
      </c>
      <c r="C1690" s="113">
        <v>2018</v>
      </c>
      <c r="D1690" s="112">
        <v>472</v>
      </c>
      <c r="E1690" s="112">
        <v>4300</v>
      </c>
      <c r="F1690" s="112">
        <v>1215</v>
      </c>
      <c r="G1690" s="112">
        <v>3150</v>
      </c>
      <c r="H1690" s="112">
        <v>758</v>
      </c>
      <c r="I1690" s="112">
        <v>201</v>
      </c>
      <c r="J1690" s="112">
        <v>213</v>
      </c>
      <c r="K1690" s="112">
        <v>12</v>
      </c>
      <c r="L1690" s="112">
        <v>409</v>
      </c>
      <c r="M1690" s="112">
        <v>354</v>
      </c>
      <c r="N1690" s="112">
        <v>55</v>
      </c>
      <c r="O1690" s="100"/>
      <c r="P1690" s="100"/>
      <c r="Q1690" s="100"/>
    </row>
    <row r="1691" spans="1:17" s="117" customFormat="1" ht="17.5" customHeight="1">
      <c r="A1691" s="109" t="s">
        <v>7218</v>
      </c>
      <c r="B1691" s="109" t="s">
        <v>7219</v>
      </c>
      <c r="C1691" s="113">
        <v>2019</v>
      </c>
      <c r="D1691" s="112">
        <v>472</v>
      </c>
      <c r="E1691" s="112">
        <v>4343.6288489999997</v>
      </c>
      <c r="F1691" s="112">
        <v>1191.9509640000001</v>
      </c>
      <c r="G1691" s="112">
        <v>3137.6151799999998</v>
      </c>
      <c r="H1691" s="112">
        <v>781.50544000000002</v>
      </c>
      <c r="I1691" s="112">
        <v>191.576573</v>
      </c>
      <c r="J1691" s="112">
        <v>217.12092100000001</v>
      </c>
      <c r="K1691" s="112">
        <v>25.544347999999999</v>
      </c>
      <c r="L1691" s="112">
        <v>423.28356700000001</v>
      </c>
      <c r="M1691" s="112">
        <v>433.50239199999999</v>
      </c>
      <c r="N1691" s="112">
        <v>-10.218825000000001</v>
      </c>
      <c r="O1691" s="110"/>
      <c r="P1691" s="110"/>
      <c r="Q1691" s="110"/>
    </row>
    <row r="1692" spans="1:17" s="117" customFormat="1" ht="17.5" customHeight="1">
      <c r="A1692" s="114" t="s">
        <v>7218</v>
      </c>
      <c r="B1692" s="114" t="s">
        <v>7219</v>
      </c>
      <c r="C1692" s="113">
        <v>2020</v>
      </c>
      <c r="D1692" s="112">
        <v>465</v>
      </c>
      <c r="E1692" s="112">
        <v>3946.952456</v>
      </c>
      <c r="F1692" s="112">
        <v>1279.8972699999999</v>
      </c>
      <c r="G1692" s="112">
        <v>2691.8940619999998</v>
      </c>
      <c r="H1692" s="112">
        <v>765.658322</v>
      </c>
      <c r="I1692" s="112">
        <v>159.17979399999999</v>
      </c>
      <c r="J1692" s="112">
        <v>173.05945500000001</v>
      </c>
      <c r="K1692" s="112">
        <v>13.879659999999999</v>
      </c>
      <c r="L1692" s="112">
        <v>386.53031199999998</v>
      </c>
      <c r="M1692" s="112">
        <v>393.72211499999997</v>
      </c>
      <c r="N1692" s="112">
        <v>-7.1918030000000002</v>
      </c>
      <c r="O1692" s="110"/>
      <c r="P1692" s="110"/>
      <c r="Q1692" s="110"/>
    </row>
    <row r="1693" spans="1:17" s="117" customFormat="1" ht="17.5" customHeight="1">
      <c r="A1693" s="109" t="s">
        <v>7220</v>
      </c>
      <c r="B1693" s="109" t="s">
        <v>7221</v>
      </c>
      <c r="C1693" s="98">
        <v>2008</v>
      </c>
      <c r="D1693" s="99">
        <v>2111</v>
      </c>
      <c r="E1693" s="99">
        <v>4998</v>
      </c>
      <c r="F1693" s="99">
        <v>2060</v>
      </c>
      <c r="G1693" s="99">
        <v>2968</v>
      </c>
      <c r="H1693" s="99">
        <v>1213</v>
      </c>
      <c r="I1693" s="99">
        <v>129</v>
      </c>
      <c r="J1693" s="99">
        <v>181</v>
      </c>
      <c r="K1693" s="99">
        <v>52</v>
      </c>
      <c r="L1693" s="99">
        <v>334</v>
      </c>
      <c r="M1693" s="99">
        <v>307</v>
      </c>
      <c r="N1693" s="99">
        <v>27</v>
      </c>
    </row>
    <row r="1694" spans="1:17" s="117" customFormat="1" ht="17.5" customHeight="1">
      <c r="A1694" s="109" t="s">
        <v>7220</v>
      </c>
      <c r="B1694" s="109" t="s">
        <v>7221</v>
      </c>
      <c r="C1694" s="98">
        <v>2009</v>
      </c>
      <c r="D1694" s="99">
        <v>1915</v>
      </c>
      <c r="E1694" s="99">
        <v>4704</v>
      </c>
      <c r="F1694" s="99">
        <v>1615</v>
      </c>
      <c r="G1694" s="99">
        <v>3065</v>
      </c>
      <c r="H1694" s="99">
        <v>1101</v>
      </c>
      <c r="I1694" s="99">
        <v>81</v>
      </c>
      <c r="J1694" s="99">
        <v>99</v>
      </c>
      <c r="K1694" s="99">
        <v>18</v>
      </c>
      <c r="L1694" s="99">
        <v>290</v>
      </c>
      <c r="M1694" s="99">
        <v>314</v>
      </c>
      <c r="N1694" s="99">
        <v>-23</v>
      </c>
    </row>
    <row r="1695" spans="1:17" s="117" customFormat="1" ht="17.5" customHeight="1">
      <c r="A1695" s="109" t="s">
        <v>7220</v>
      </c>
      <c r="B1695" s="109" t="s">
        <v>7221</v>
      </c>
      <c r="C1695" s="98">
        <v>2010</v>
      </c>
      <c r="D1695" s="99">
        <v>1777</v>
      </c>
      <c r="E1695" s="99">
        <v>4564</v>
      </c>
      <c r="F1695" s="99">
        <v>1753</v>
      </c>
      <c r="G1695" s="99">
        <v>2840</v>
      </c>
      <c r="H1695" s="99">
        <v>941</v>
      </c>
      <c r="I1695" s="99">
        <v>63</v>
      </c>
      <c r="J1695" s="99">
        <v>84</v>
      </c>
      <c r="K1695" s="99">
        <v>21</v>
      </c>
      <c r="L1695" s="99">
        <v>310</v>
      </c>
      <c r="M1695" s="99">
        <v>282</v>
      </c>
      <c r="N1695" s="99">
        <v>29</v>
      </c>
    </row>
    <row r="1696" spans="1:17" s="117" customFormat="1" ht="17.5" customHeight="1">
      <c r="A1696" s="109" t="s">
        <v>7220</v>
      </c>
      <c r="B1696" s="109" t="s">
        <v>7221</v>
      </c>
      <c r="C1696" s="98">
        <v>2011</v>
      </c>
      <c r="D1696" s="99">
        <v>1688</v>
      </c>
      <c r="E1696" s="99">
        <v>4916</v>
      </c>
      <c r="F1696" s="99">
        <v>1843</v>
      </c>
      <c r="G1696" s="99">
        <v>3112</v>
      </c>
      <c r="H1696" s="99">
        <v>975</v>
      </c>
      <c r="I1696" s="99">
        <v>70</v>
      </c>
      <c r="J1696" s="99">
        <v>116</v>
      </c>
      <c r="K1696" s="99">
        <v>46</v>
      </c>
      <c r="L1696" s="99">
        <v>325</v>
      </c>
      <c r="M1696" s="99">
        <v>301</v>
      </c>
      <c r="N1696" s="99">
        <v>24</v>
      </c>
    </row>
    <row r="1697" spans="1:17" s="117" customFormat="1" ht="17.5" customHeight="1">
      <c r="A1697" s="109" t="s">
        <v>7220</v>
      </c>
      <c r="B1697" s="109" t="s">
        <v>7221</v>
      </c>
      <c r="C1697" s="111">
        <v>2012</v>
      </c>
      <c r="D1697" s="112">
        <v>1622</v>
      </c>
      <c r="E1697" s="112">
        <v>4728</v>
      </c>
      <c r="F1697" s="112">
        <v>1684</v>
      </c>
      <c r="G1697" s="112">
        <v>3065</v>
      </c>
      <c r="H1697" s="112">
        <v>985</v>
      </c>
      <c r="I1697" s="112">
        <v>105</v>
      </c>
      <c r="J1697" s="112">
        <v>117</v>
      </c>
      <c r="K1697" s="112">
        <v>12</v>
      </c>
      <c r="L1697" s="112">
        <v>340</v>
      </c>
      <c r="M1697" s="112">
        <v>320</v>
      </c>
      <c r="N1697" s="112">
        <v>20</v>
      </c>
      <c r="O1697" s="110"/>
      <c r="P1697" s="110"/>
      <c r="Q1697" s="110"/>
    </row>
    <row r="1698" spans="1:17" s="117" customFormat="1" ht="17.5" customHeight="1">
      <c r="A1698" s="109" t="s">
        <v>7220</v>
      </c>
      <c r="B1698" s="109" t="s">
        <v>7221</v>
      </c>
      <c r="C1698" s="113">
        <v>2013</v>
      </c>
      <c r="D1698" s="112">
        <v>1615</v>
      </c>
      <c r="E1698" s="112">
        <v>4649</v>
      </c>
      <c r="F1698" s="112">
        <v>1804</v>
      </c>
      <c r="G1698" s="112">
        <v>2858</v>
      </c>
      <c r="H1698" s="112">
        <v>1005</v>
      </c>
      <c r="I1698" s="112">
        <v>90</v>
      </c>
      <c r="J1698" s="112">
        <v>102</v>
      </c>
      <c r="K1698" s="112">
        <v>13</v>
      </c>
      <c r="L1698" s="112">
        <v>369</v>
      </c>
      <c r="M1698" s="112">
        <v>356</v>
      </c>
      <c r="N1698" s="112">
        <v>13</v>
      </c>
      <c r="O1698" s="110"/>
      <c r="P1698" s="110"/>
      <c r="Q1698" s="110"/>
    </row>
    <row r="1699" spans="1:17" s="117" customFormat="1" ht="17.5" customHeight="1">
      <c r="A1699" s="109" t="s">
        <v>7220</v>
      </c>
      <c r="B1699" s="109" t="s">
        <v>7221</v>
      </c>
      <c r="C1699" s="113">
        <v>2014</v>
      </c>
      <c r="D1699" s="99">
        <v>1648</v>
      </c>
      <c r="E1699" s="99">
        <v>4836</v>
      </c>
      <c r="F1699" s="99">
        <v>1849</v>
      </c>
      <c r="G1699" s="99">
        <v>3025</v>
      </c>
      <c r="H1699" s="99">
        <v>1022</v>
      </c>
      <c r="I1699" s="99">
        <v>127</v>
      </c>
      <c r="J1699" s="99">
        <v>141</v>
      </c>
      <c r="K1699" s="99">
        <v>15</v>
      </c>
      <c r="L1699" s="99">
        <v>399</v>
      </c>
      <c r="M1699" s="99">
        <v>364</v>
      </c>
      <c r="N1699" s="99">
        <v>35</v>
      </c>
      <c r="O1699" s="100"/>
      <c r="P1699" s="100"/>
      <c r="Q1699" s="100"/>
    </row>
    <row r="1700" spans="1:17" s="117" customFormat="1" ht="17.5" customHeight="1">
      <c r="A1700" s="109" t="s">
        <v>7220</v>
      </c>
      <c r="B1700" s="109" t="s">
        <v>7221</v>
      </c>
      <c r="C1700" s="113">
        <v>2015</v>
      </c>
      <c r="D1700" s="112">
        <v>1683</v>
      </c>
      <c r="E1700" s="112">
        <v>5404</v>
      </c>
      <c r="F1700" s="112">
        <v>2127</v>
      </c>
      <c r="G1700" s="112">
        <v>3294</v>
      </c>
      <c r="H1700" s="112">
        <v>1104</v>
      </c>
      <c r="I1700" s="112">
        <v>222</v>
      </c>
      <c r="J1700" s="112">
        <v>227</v>
      </c>
      <c r="K1700" s="112">
        <v>6</v>
      </c>
      <c r="L1700" s="112">
        <v>412</v>
      </c>
      <c r="M1700" s="112">
        <v>400</v>
      </c>
      <c r="N1700" s="112">
        <v>11</v>
      </c>
      <c r="O1700" s="110"/>
      <c r="P1700" s="110"/>
      <c r="Q1700" s="110"/>
    </row>
    <row r="1701" spans="1:17" s="117" customFormat="1" ht="17.5" customHeight="1">
      <c r="A1701" s="109" t="s">
        <v>7220</v>
      </c>
      <c r="B1701" s="109" t="s">
        <v>7221</v>
      </c>
      <c r="C1701" s="113">
        <v>2016</v>
      </c>
      <c r="D1701" s="112">
        <v>1701</v>
      </c>
      <c r="E1701" s="112">
        <v>5603</v>
      </c>
      <c r="F1701" s="112">
        <v>2207</v>
      </c>
      <c r="G1701" s="112">
        <v>3430</v>
      </c>
      <c r="H1701" s="112">
        <v>1113</v>
      </c>
      <c r="I1701" s="112">
        <v>223</v>
      </c>
      <c r="J1701" s="112">
        <v>235</v>
      </c>
      <c r="K1701" s="112">
        <v>12</v>
      </c>
      <c r="L1701" s="112">
        <v>435</v>
      </c>
      <c r="M1701" s="112">
        <v>409</v>
      </c>
      <c r="N1701" s="112">
        <v>27</v>
      </c>
      <c r="O1701" s="100"/>
      <c r="P1701" s="100"/>
      <c r="Q1701" s="100"/>
    </row>
    <row r="1702" spans="1:17" s="117" customFormat="1" ht="17.5" customHeight="1">
      <c r="A1702" s="109" t="s">
        <v>7220</v>
      </c>
      <c r="B1702" s="109" t="s">
        <v>7221</v>
      </c>
      <c r="C1702" s="113">
        <v>2017</v>
      </c>
      <c r="D1702" s="112">
        <v>1696</v>
      </c>
      <c r="E1702" s="112">
        <v>5779</v>
      </c>
      <c r="F1702" s="112">
        <v>2214</v>
      </c>
      <c r="G1702" s="112">
        <v>3635</v>
      </c>
      <c r="H1702" s="112">
        <v>1182</v>
      </c>
      <c r="I1702" s="112">
        <v>146</v>
      </c>
      <c r="J1702" s="112">
        <v>183</v>
      </c>
      <c r="K1702" s="112">
        <v>38</v>
      </c>
      <c r="L1702" s="112">
        <v>478</v>
      </c>
      <c r="M1702" s="112">
        <v>414</v>
      </c>
      <c r="N1702" s="112">
        <v>64</v>
      </c>
      <c r="O1702" s="100"/>
      <c r="P1702" s="100"/>
      <c r="Q1702" s="100"/>
    </row>
    <row r="1703" spans="1:17" s="117" customFormat="1" ht="17.5" customHeight="1">
      <c r="A1703" s="109" t="s">
        <v>7220</v>
      </c>
      <c r="B1703" s="109" t="s">
        <v>7221</v>
      </c>
      <c r="C1703" s="113">
        <v>2018</v>
      </c>
      <c r="D1703" s="112">
        <v>1724</v>
      </c>
      <c r="E1703" s="112">
        <v>5962</v>
      </c>
      <c r="F1703" s="112">
        <v>2205</v>
      </c>
      <c r="G1703" s="112">
        <v>3790</v>
      </c>
      <c r="H1703" s="112">
        <v>1248</v>
      </c>
      <c r="I1703" s="112">
        <v>154</v>
      </c>
      <c r="J1703" s="112">
        <v>203</v>
      </c>
      <c r="K1703" s="112">
        <v>49</v>
      </c>
      <c r="L1703" s="112">
        <v>531</v>
      </c>
      <c r="M1703" s="112">
        <v>505</v>
      </c>
      <c r="N1703" s="112">
        <v>26</v>
      </c>
      <c r="O1703" s="110"/>
      <c r="P1703" s="110"/>
      <c r="Q1703" s="110"/>
    </row>
    <row r="1704" spans="1:17" s="117" customFormat="1" ht="17.5" customHeight="1">
      <c r="A1704" s="109" t="s">
        <v>7220</v>
      </c>
      <c r="B1704" s="109" t="s">
        <v>7221</v>
      </c>
      <c r="C1704" s="113">
        <v>2019</v>
      </c>
      <c r="D1704" s="112">
        <v>1685</v>
      </c>
      <c r="E1704" s="112">
        <v>5970.841848</v>
      </c>
      <c r="F1704" s="112">
        <v>2172.4881500000001</v>
      </c>
      <c r="G1704" s="112">
        <v>3826.8264469999999</v>
      </c>
      <c r="H1704" s="112">
        <v>1277.2412509999999</v>
      </c>
      <c r="I1704" s="112">
        <v>145.230198</v>
      </c>
      <c r="J1704" s="112">
        <v>156.76792499999999</v>
      </c>
      <c r="K1704" s="112">
        <v>11.537725999999999</v>
      </c>
      <c r="L1704" s="112">
        <v>586.83538999999996</v>
      </c>
      <c r="M1704" s="112">
        <v>561.03061300000002</v>
      </c>
      <c r="N1704" s="112">
        <v>25.804777000000001</v>
      </c>
      <c r="O1704" s="110"/>
      <c r="P1704" s="110"/>
      <c r="Q1704" s="110"/>
    </row>
    <row r="1705" spans="1:17" s="117" customFormat="1" ht="17.5" customHeight="1">
      <c r="A1705" s="114" t="s">
        <v>7220</v>
      </c>
      <c r="B1705" s="114" t="s">
        <v>7221</v>
      </c>
      <c r="C1705" s="113">
        <v>2020</v>
      </c>
      <c r="D1705" s="112">
        <v>1656</v>
      </c>
      <c r="E1705" s="112">
        <v>5444.098148</v>
      </c>
      <c r="F1705" s="112">
        <v>2276.987185</v>
      </c>
      <c r="G1705" s="112">
        <v>3225.2397190000002</v>
      </c>
      <c r="H1705" s="112">
        <v>1094.028771</v>
      </c>
      <c r="I1705" s="112">
        <v>172.37903399999999</v>
      </c>
      <c r="J1705" s="112">
        <v>182.09488200000001</v>
      </c>
      <c r="K1705" s="112">
        <v>9.7158479999999994</v>
      </c>
      <c r="L1705" s="112">
        <v>571.18029300000001</v>
      </c>
      <c r="M1705" s="112">
        <v>529.53521699999999</v>
      </c>
      <c r="N1705" s="112">
        <v>41.645076000000003</v>
      </c>
    </row>
    <row r="1706" spans="1:17" s="117" customFormat="1" ht="17.5" customHeight="1">
      <c r="A1706" s="109" t="s">
        <v>7222</v>
      </c>
      <c r="B1706" s="109" t="s">
        <v>7223</v>
      </c>
      <c r="C1706" s="98">
        <v>2008</v>
      </c>
      <c r="D1706" s="99">
        <v>2830</v>
      </c>
      <c r="E1706" s="99">
        <v>4630</v>
      </c>
      <c r="F1706" s="99">
        <v>1564</v>
      </c>
      <c r="G1706" s="99">
        <v>3083</v>
      </c>
      <c r="H1706" s="99">
        <v>1143</v>
      </c>
      <c r="I1706" s="99">
        <v>128</v>
      </c>
      <c r="J1706" s="99">
        <v>164</v>
      </c>
      <c r="K1706" s="99">
        <v>36</v>
      </c>
      <c r="L1706" s="99">
        <v>468</v>
      </c>
      <c r="M1706" s="99">
        <v>451</v>
      </c>
      <c r="N1706" s="99">
        <v>17</v>
      </c>
    </row>
    <row r="1707" spans="1:17" s="117" customFormat="1" ht="17.5" customHeight="1">
      <c r="A1707" s="109" t="s">
        <v>7222</v>
      </c>
      <c r="B1707" s="109" t="s">
        <v>7223</v>
      </c>
      <c r="C1707" s="98">
        <v>2009</v>
      </c>
      <c r="D1707" s="99">
        <v>2702</v>
      </c>
      <c r="E1707" s="99">
        <v>4375</v>
      </c>
      <c r="F1707" s="99">
        <v>1801</v>
      </c>
      <c r="G1707" s="99">
        <v>2553</v>
      </c>
      <c r="H1707" s="99">
        <v>1043</v>
      </c>
      <c r="I1707" s="99">
        <v>74</v>
      </c>
      <c r="J1707" s="99">
        <v>92</v>
      </c>
      <c r="K1707" s="99">
        <v>18</v>
      </c>
      <c r="L1707" s="99">
        <v>366</v>
      </c>
      <c r="M1707" s="99">
        <v>387</v>
      </c>
      <c r="N1707" s="99">
        <v>-22</v>
      </c>
    </row>
    <row r="1708" spans="1:17" s="117" customFormat="1" ht="17.5" customHeight="1">
      <c r="A1708" s="109" t="s">
        <v>7222</v>
      </c>
      <c r="B1708" s="109" t="s">
        <v>7223</v>
      </c>
      <c r="C1708" s="98">
        <v>2010</v>
      </c>
      <c r="D1708" s="99">
        <v>2641</v>
      </c>
      <c r="E1708" s="99">
        <v>4264</v>
      </c>
      <c r="F1708" s="99">
        <v>1836</v>
      </c>
      <c r="G1708" s="99">
        <v>2443</v>
      </c>
      <c r="H1708" s="99">
        <v>958</v>
      </c>
      <c r="I1708" s="99">
        <v>100</v>
      </c>
      <c r="J1708" s="99">
        <v>114</v>
      </c>
      <c r="K1708" s="99">
        <v>13</v>
      </c>
      <c r="L1708" s="99">
        <v>376</v>
      </c>
      <c r="M1708" s="99">
        <v>358</v>
      </c>
      <c r="N1708" s="99">
        <v>18</v>
      </c>
    </row>
    <row r="1709" spans="1:17" s="117" customFormat="1" ht="17.5" customHeight="1">
      <c r="A1709" s="109" t="s">
        <v>7222</v>
      </c>
      <c r="B1709" s="109" t="s">
        <v>7223</v>
      </c>
      <c r="C1709" s="98">
        <v>2011</v>
      </c>
      <c r="D1709" s="99">
        <v>2579</v>
      </c>
      <c r="E1709" s="99">
        <v>4759</v>
      </c>
      <c r="F1709" s="99">
        <v>1949</v>
      </c>
      <c r="G1709" s="99">
        <v>2848</v>
      </c>
      <c r="H1709" s="99">
        <v>1018</v>
      </c>
      <c r="I1709" s="99">
        <v>135</v>
      </c>
      <c r="J1709" s="99">
        <v>160</v>
      </c>
      <c r="K1709" s="99">
        <v>25</v>
      </c>
      <c r="L1709" s="99">
        <v>436</v>
      </c>
      <c r="M1709" s="99">
        <v>400</v>
      </c>
      <c r="N1709" s="99">
        <v>37</v>
      </c>
      <c r="O1709" s="110"/>
      <c r="P1709" s="110"/>
      <c r="Q1709" s="110"/>
    </row>
    <row r="1710" spans="1:17" s="117" customFormat="1" ht="17.5" customHeight="1">
      <c r="A1710" s="109" t="s">
        <v>7222</v>
      </c>
      <c r="B1710" s="109" t="s">
        <v>7223</v>
      </c>
      <c r="C1710" s="111">
        <v>2012</v>
      </c>
      <c r="D1710" s="112">
        <v>2555</v>
      </c>
      <c r="E1710" s="112">
        <v>4971</v>
      </c>
      <c r="F1710" s="112">
        <v>2266</v>
      </c>
      <c r="G1710" s="112">
        <v>2801</v>
      </c>
      <c r="H1710" s="112">
        <v>1036</v>
      </c>
      <c r="I1710" s="112">
        <v>161</v>
      </c>
      <c r="J1710" s="112">
        <v>197</v>
      </c>
      <c r="K1710" s="112">
        <v>37</v>
      </c>
      <c r="L1710" s="112">
        <v>436</v>
      </c>
      <c r="M1710" s="112">
        <v>354</v>
      </c>
      <c r="N1710" s="112">
        <v>82</v>
      </c>
      <c r="O1710" s="110"/>
      <c r="P1710" s="110"/>
      <c r="Q1710" s="110"/>
    </row>
    <row r="1711" spans="1:17" s="117" customFormat="1" ht="17.5" customHeight="1">
      <c r="A1711" s="109" t="s">
        <v>7222</v>
      </c>
      <c r="B1711" s="109" t="s">
        <v>7223</v>
      </c>
      <c r="C1711" s="113">
        <v>2013</v>
      </c>
      <c r="D1711" s="112">
        <v>2562</v>
      </c>
      <c r="E1711" s="112">
        <v>4998</v>
      </c>
      <c r="F1711" s="112">
        <v>1958</v>
      </c>
      <c r="G1711" s="112">
        <v>3025</v>
      </c>
      <c r="H1711" s="112">
        <v>1072</v>
      </c>
      <c r="I1711" s="112">
        <v>122</v>
      </c>
      <c r="J1711" s="112">
        <v>165</v>
      </c>
      <c r="K1711" s="112">
        <v>44</v>
      </c>
      <c r="L1711" s="112">
        <v>437</v>
      </c>
      <c r="M1711" s="112">
        <v>456</v>
      </c>
      <c r="N1711" s="112">
        <v>-19</v>
      </c>
      <c r="O1711" s="100"/>
      <c r="P1711" s="100"/>
      <c r="Q1711" s="100"/>
    </row>
    <row r="1712" spans="1:17" s="117" customFormat="1" ht="17.5" customHeight="1">
      <c r="A1712" s="109" t="s">
        <v>7222</v>
      </c>
      <c r="B1712" s="109" t="s">
        <v>7223</v>
      </c>
      <c r="C1712" s="113">
        <v>2014</v>
      </c>
      <c r="D1712" s="99">
        <v>2562</v>
      </c>
      <c r="E1712" s="99">
        <v>5643</v>
      </c>
      <c r="F1712" s="99">
        <v>2084</v>
      </c>
      <c r="G1712" s="99">
        <v>3558</v>
      </c>
      <c r="H1712" s="99">
        <v>1291</v>
      </c>
      <c r="I1712" s="99">
        <v>151</v>
      </c>
      <c r="J1712" s="99">
        <v>184</v>
      </c>
      <c r="K1712" s="99">
        <v>33</v>
      </c>
      <c r="L1712" s="99">
        <v>426</v>
      </c>
      <c r="M1712" s="99">
        <v>423</v>
      </c>
      <c r="N1712" s="99">
        <v>3</v>
      </c>
      <c r="O1712" s="110"/>
      <c r="P1712" s="110"/>
      <c r="Q1712" s="110"/>
    </row>
    <row r="1713" spans="1:17" s="117" customFormat="1" ht="17.5" customHeight="1">
      <c r="A1713" s="109" t="s">
        <v>7222</v>
      </c>
      <c r="B1713" s="109" t="s">
        <v>7223</v>
      </c>
      <c r="C1713" s="113">
        <v>2015</v>
      </c>
      <c r="D1713" s="112">
        <v>2582</v>
      </c>
      <c r="E1713" s="112">
        <v>5798</v>
      </c>
      <c r="F1713" s="112">
        <v>2548</v>
      </c>
      <c r="G1713" s="112">
        <v>3243</v>
      </c>
      <c r="H1713" s="112">
        <v>1304</v>
      </c>
      <c r="I1713" s="112">
        <v>268</v>
      </c>
      <c r="J1713" s="112">
        <v>287</v>
      </c>
      <c r="K1713" s="112">
        <v>19</v>
      </c>
      <c r="L1713" s="112">
        <v>425</v>
      </c>
      <c r="M1713" s="112">
        <v>432</v>
      </c>
      <c r="N1713" s="112">
        <v>-8</v>
      </c>
      <c r="O1713" s="100"/>
      <c r="P1713" s="100"/>
      <c r="Q1713" s="100"/>
    </row>
    <row r="1714" spans="1:17" s="117" customFormat="1" ht="17.5" customHeight="1">
      <c r="A1714" s="109" t="s">
        <v>7222</v>
      </c>
      <c r="B1714" s="109" t="s">
        <v>7223</v>
      </c>
      <c r="C1714" s="113">
        <v>2016</v>
      </c>
      <c r="D1714" s="112">
        <v>2592</v>
      </c>
      <c r="E1714" s="112">
        <v>5863</v>
      </c>
      <c r="F1714" s="112">
        <v>2426</v>
      </c>
      <c r="G1714" s="112">
        <v>3467</v>
      </c>
      <c r="H1714" s="112">
        <v>1326</v>
      </c>
      <c r="I1714" s="112">
        <v>316</v>
      </c>
      <c r="J1714" s="112">
        <v>332</v>
      </c>
      <c r="K1714" s="112">
        <v>16</v>
      </c>
      <c r="L1714" s="112">
        <v>544</v>
      </c>
      <c r="M1714" s="112">
        <v>531</v>
      </c>
      <c r="N1714" s="112">
        <v>13</v>
      </c>
      <c r="O1714" s="100"/>
      <c r="P1714" s="100"/>
      <c r="Q1714" s="100"/>
    </row>
    <row r="1715" spans="1:17" s="117" customFormat="1" ht="17.5" customHeight="1">
      <c r="A1715" s="109" t="s">
        <v>7222</v>
      </c>
      <c r="B1715" s="109" t="s">
        <v>7223</v>
      </c>
      <c r="C1715" s="113">
        <v>2017</v>
      </c>
      <c r="D1715" s="112">
        <v>2519</v>
      </c>
      <c r="E1715" s="112">
        <v>5769</v>
      </c>
      <c r="F1715" s="112">
        <v>2486</v>
      </c>
      <c r="G1715" s="112">
        <v>3362</v>
      </c>
      <c r="H1715" s="112">
        <v>1338</v>
      </c>
      <c r="I1715" s="112">
        <v>245</v>
      </c>
      <c r="J1715" s="112">
        <v>301</v>
      </c>
      <c r="K1715" s="112">
        <v>56</v>
      </c>
      <c r="L1715" s="112">
        <v>548</v>
      </c>
      <c r="M1715" s="112">
        <v>490</v>
      </c>
      <c r="N1715" s="112">
        <v>58</v>
      </c>
      <c r="O1715" s="110"/>
      <c r="P1715" s="110"/>
      <c r="Q1715" s="110"/>
    </row>
    <row r="1716" spans="1:17" s="117" customFormat="1" ht="17.5" customHeight="1">
      <c r="A1716" s="109" t="s">
        <v>7222</v>
      </c>
      <c r="B1716" s="109" t="s">
        <v>7223</v>
      </c>
      <c r="C1716" s="113">
        <v>2018</v>
      </c>
      <c r="D1716" s="112">
        <v>2469</v>
      </c>
      <c r="E1716" s="112">
        <v>5565</v>
      </c>
      <c r="F1716" s="112">
        <v>2223</v>
      </c>
      <c r="G1716" s="112">
        <v>3372</v>
      </c>
      <c r="H1716" s="112">
        <v>1300</v>
      </c>
      <c r="I1716" s="112">
        <v>313</v>
      </c>
      <c r="J1716" s="112">
        <v>331</v>
      </c>
      <c r="K1716" s="112">
        <v>18</v>
      </c>
      <c r="L1716" s="112">
        <v>536</v>
      </c>
      <c r="M1716" s="112">
        <v>505</v>
      </c>
      <c r="N1716" s="112">
        <v>32</v>
      </c>
      <c r="O1716" s="110"/>
      <c r="P1716" s="110"/>
      <c r="Q1716" s="110"/>
    </row>
    <row r="1717" spans="1:17" s="118" customFormat="1" ht="17.5" customHeight="1">
      <c r="A1717" s="109" t="s">
        <v>7222</v>
      </c>
      <c r="B1717" s="109" t="s">
        <v>7223</v>
      </c>
      <c r="C1717" s="113">
        <v>2019</v>
      </c>
      <c r="D1717" s="112">
        <v>2435</v>
      </c>
      <c r="E1717" s="112">
        <v>5405.9621139999999</v>
      </c>
      <c r="F1717" s="112">
        <v>2124.0608670000001</v>
      </c>
      <c r="G1717" s="112">
        <v>3302.7352660000001</v>
      </c>
      <c r="H1717" s="112">
        <v>1313.6263710000001</v>
      </c>
      <c r="I1717" s="112">
        <v>223.967161</v>
      </c>
      <c r="J1717" s="112">
        <v>234.06130400000001</v>
      </c>
      <c r="K1717" s="112">
        <v>10.094144</v>
      </c>
      <c r="L1717" s="112">
        <v>512.44065999999998</v>
      </c>
      <c r="M1717" s="112">
        <v>499.69666799999999</v>
      </c>
      <c r="N1717" s="112">
        <v>12.743992</v>
      </c>
    </row>
    <row r="1718" spans="1:17" s="117" customFormat="1" ht="17.5" customHeight="1">
      <c r="A1718" s="114" t="s">
        <v>7222</v>
      </c>
      <c r="B1718" s="114" t="s">
        <v>7223</v>
      </c>
      <c r="C1718" s="113">
        <v>2020</v>
      </c>
      <c r="D1718" s="112">
        <v>2451</v>
      </c>
      <c r="E1718" s="112">
        <v>5246.4408979999998</v>
      </c>
      <c r="F1718" s="112">
        <v>2214.2120719999998</v>
      </c>
      <c r="G1718" s="112">
        <v>3046.7185199999999</v>
      </c>
      <c r="H1718" s="112">
        <v>1322.796632</v>
      </c>
      <c r="I1718" s="112">
        <v>235.426356</v>
      </c>
      <c r="J1718" s="112">
        <v>273.74479700000001</v>
      </c>
      <c r="K1718" s="112">
        <v>38.318441999999997</v>
      </c>
      <c r="L1718" s="112">
        <v>583.19201399999997</v>
      </c>
      <c r="M1718" s="112">
        <v>574.95315100000005</v>
      </c>
      <c r="N1718" s="112">
        <v>8.2388630000000003</v>
      </c>
    </row>
    <row r="1719" spans="1:17" s="117" customFormat="1" ht="17.5" customHeight="1">
      <c r="A1719" s="109" t="s">
        <v>7224</v>
      </c>
      <c r="B1719" s="109" t="s">
        <v>7225</v>
      </c>
      <c r="C1719" s="98">
        <v>2008</v>
      </c>
      <c r="D1719" s="99">
        <v>4404</v>
      </c>
      <c r="E1719" s="99">
        <v>14333</v>
      </c>
      <c r="F1719" s="99">
        <v>4547</v>
      </c>
      <c r="G1719" s="99">
        <v>9690</v>
      </c>
      <c r="H1719" s="99">
        <v>3189</v>
      </c>
      <c r="I1719" s="99">
        <v>725</v>
      </c>
      <c r="J1719" s="99">
        <v>888</v>
      </c>
      <c r="K1719" s="99">
        <v>162</v>
      </c>
      <c r="L1719" s="99">
        <v>1572</v>
      </c>
      <c r="M1719" s="99">
        <v>1606</v>
      </c>
      <c r="N1719" s="99">
        <v>-34</v>
      </c>
    </row>
    <row r="1720" spans="1:17" s="117" customFormat="1" ht="17.5" customHeight="1">
      <c r="A1720" s="109" t="s">
        <v>7224</v>
      </c>
      <c r="B1720" s="109" t="s">
        <v>7225</v>
      </c>
      <c r="C1720" s="98">
        <v>2009</v>
      </c>
      <c r="D1720" s="99">
        <v>4150</v>
      </c>
      <c r="E1720" s="99">
        <v>13241</v>
      </c>
      <c r="F1720" s="99">
        <v>3693</v>
      </c>
      <c r="G1720" s="99">
        <v>9196</v>
      </c>
      <c r="H1720" s="99">
        <v>2871</v>
      </c>
      <c r="I1720" s="99">
        <v>324</v>
      </c>
      <c r="J1720" s="99">
        <v>459</v>
      </c>
      <c r="K1720" s="99">
        <v>135</v>
      </c>
      <c r="L1720" s="99">
        <v>1460</v>
      </c>
      <c r="M1720" s="99">
        <v>1719</v>
      </c>
      <c r="N1720" s="99">
        <v>-258</v>
      </c>
    </row>
    <row r="1721" spans="1:17" s="117" customFormat="1" ht="17.5" customHeight="1">
      <c r="A1721" s="109" t="s">
        <v>7224</v>
      </c>
      <c r="B1721" s="109" t="s">
        <v>7225</v>
      </c>
      <c r="C1721" s="98">
        <v>2010</v>
      </c>
      <c r="D1721" s="99">
        <v>3958</v>
      </c>
      <c r="E1721" s="99">
        <v>14164</v>
      </c>
      <c r="F1721" s="99">
        <v>4502</v>
      </c>
      <c r="G1721" s="99">
        <v>9568</v>
      </c>
      <c r="H1721" s="99">
        <v>2789</v>
      </c>
      <c r="I1721" s="99">
        <v>292</v>
      </c>
      <c r="J1721" s="99">
        <v>392</v>
      </c>
      <c r="K1721" s="99">
        <v>100</v>
      </c>
      <c r="L1721" s="99">
        <v>1661</v>
      </c>
      <c r="M1721" s="99">
        <v>1615</v>
      </c>
      <c r="N1721" s="99">
        <v>46</v>
      </c>
      <c r="O1721" s="110"/>
      <c r="P1721" s="110"/>
      <c r="Q1721" s="110"/>
    </row>
    <row r="1722" spans="1:17" s="117" customFormat="1" ht="17.5" customHeight="1">
      <c r="A1722" s="109" t="s">
        <v>7224</v>
      </c>
      <c r="B1722" s="109" t="s">
        <v>7225</v>
      </c>
      <c r="C1722" s="98">
        <v>2011</v>
      </c>
      <c r="D1722" s="99">
        <v>3799</v>
      </c>
      <c r="E1722" s="99">
        <v>14248</v>
      </c>
      <c r="F1722" s="99">
        <v>3987</v>
      </c>
      <c r="G1722" s="99">
        <v>10187</v>
      </c>
      <c r="H1722" s="99">
        <v>2732</v>
      </c>
      <c r="I1722" s="99">
        <v>347</v>
      </c>
      <c r="J1722" s="99">
        <v>423</v>
      </c>
      <c r="K1722" s="99">
        <v>76</v>
      </c>
      <c r="L1722" s="99">
        <v>1504</v>
      </c>
      <c r="M1722" s="99">
        <v>1431</v>
      </c>
      <c r="N1722" s="99">
        <v>73</v>
      </c>
      <c r="O1722" s="110"/>
      <c r="P1722" s="110"/>
      <c r="Q1722" s="110"/>
    </row>
    <row r="1723" spans="1:17" s="117" customFormat="1" ht="17.5" customHeight="1">
      <c r="A1723" s="109" t="s">
        <v>7224</v>
      </c>
      <c r="B1723" s="109" t="s">
        <v>7225</v>
      </c>
      <c r="C1723" s="111">
        <v>2012</v>
      </c>
      <c r="D1723" s="112">
        <v>3625</v>
      </c>
      <c r="E1723" s="112">
        <v>12462</v>
      </c>
      <c r="F1723" s="112">
        <v>3735</v>
      </c>
      <c r="G1723" s="112">
        <v>8680</v>
      </c>
      <c r="H1723" s="112">
        <v>2527</v>
      </c>
      <c r="I1723" s="112">
        <v>353</v>
      </c>
      <c r="J1723" s="112">
        <v>522</v>
      </c>
      <c r="K1723" s="112">
        <v>168</v>
      </c>
      <c r="L1723" s="112">
        <v>1380</v>
      </c>
      <c r="M1723" s="112">
        <v>1339</v>
      </c>
      <c r="N1723" s="112">
        <v>41</v>
      </c>
      <c r="O1723" s="100"/>
      <c r="P1723" s="100"/>
      <c r="Q1723" s="100"/>
    </row>
    <row r="1724" spans="1:17" s="117" customFormat="1" ht="17.5" customHeight="1">
      <c r="A1724" s="109" t="s">
        <v>7224</v>
      </c>
      <c r="B1724" s="109" t="s">
        <v>7225</v>
      </c>
      <c r="C1724" s="113">
        <v>2013</v>
      </c>
      <c r="D1724" s="112">
        <v>3625</v>
      </c>
      <c r="E1724" s="112">
        <v>12756</v>
      </c>
      <c r="F1724" s="112">
        <v>3831</v>
      </c>
      <c r="G1724" s="112">
        <v>8827</v>
      </c>
      <c r="H1724" s="112">
        <v>2541</v>
      </c>
      <c r="I1724" s="112">
        <v>456</v>
      </c>
      <c r="J1724" s="112">
        <v>581</v>
      </c>
      <c r="K1724" s="112">
        <v>125</v>
      </c>
      <c r="L1724" s="112">
        <v>1293</v>
      </c>
      <c r="M1724" s="112">
        <v>1319</v>
      </c>
      <c r="N1724" s="112">
        <v>-25</v>
      </c>
      <c r="O1724" s="110"/>
      <c r="P1724" s="110"/>
      <c r="Q1724" s="110"/>
    </row>
    <row r="1725" spans="1:17" s="117" customFormat="1" ht="17.5" customHeight="1">
      <c r="A1725" s="109" t="s">
        <v>7224</v>
      </c>
      <c r="B1725" s="109" t="s">
        <v>7225</v>
      </c>
      <c r="C1725" s="113">
        <v>2014</v>
      </c>
      <c r="D1725" s="99">
        <v>3585</v>
      </c>
      <c r="E1725" s="99">
        <v>14642</v>
      </c>
      <c r="F1725" s="99">
        <v>4755</v>
      </c>
      <c r="G1725" s="99">
        <v>9919</v>
      </c>
      <c r="H1725" s="99">
        <v>2531</v>
      </c>
      <c r="I1725" s="99">
        <v>494</v>
      </c>
      <c r="J1725" s="99">
        <v>567</v>
      </c>
      <c r="K1725" s="99">
        <v>73</v>
      </c>
      <c r="L1725" s="99">
        <v>1389</v>
      </c>
      <c r="M1725" s="99">
        <v>1337</v>
      </c>
      <c r="N1725" s="99">
        <v>52</v>
      </c>
      <c r="O1725" s="100"/>
      <c r="P1725" s="100"/>
      <c r="Q1725" s="100"/>
    </row>
    <row r="1726" spans="1:17" s="117" customFormat="1" ht="17.5" customHeight="1">
      <c r="A1726" s="109" t="s">
        <v>7224</v>
      </c>
      <c r="B1726" s="109" t="s">
        <v>7225</v>
      </c>
      <c r="C1726" s="113">
        <v>2015</v>
      </c>
      <c r="D1726" s="112">
        <v>3640</v>
      </c>
      <c r="E1726" s="112">
        <v>15560</v>
      </c>
      <c r="F1726" s="112">
        <v>5329</v>
      </c>
      <c r="G1726" s="112">
        <v>10211</v>
      </c>
      <c r="H1726" s="112">
        <v>2697</v>
      </c>
      <c r="I1726" s="112">
        <v>724</v>
      </c>
      <c r="J1726" s="112">
        <v>848</v>
      </c>
      <c r="K1726" s="112">
        <v>124</v>
      </c>
      <c r="L1726" s="112">
        <v>1466</v>
      </c>
      <c r="M1726" s="112">
        <v>1472</v>
      </c>
      <c r="N1726" s="112">
        <v>-6</v>
      </c>
      <c r="O1726" s="100"/>
      <c r="P1726" s="100"/>
      <c r="Q1726" s="100"/>
    </row>
    <row r="1727" spans="1:17" s="117" customFormat="1" ht="17.5" customHeight="1">
      <c r="A1727" s="109" t="s">
        <v>7224</v>
      </c>
      <c r="B1727" s="109" t="s">
        <v>7225</v>
      </c>
      <c r="C1727" s="113">
        <v>2016</v>
      </c>
      <c r="D1727" s="112">
        <v>3697</v>
      </c>
      <c r="E1727" s="112">
        <v>15824</v>
      </c>
      <c r="F1727" s="112">
        <v>5753</v>
      </c>
      <c r="G1727" s="112">
        <v>10071</v>
      </c>
      <c r="H1727" s="112">
        <v>2824</v>
      </c>
      <c r="I1727" s="112">
        <v>595</v>
      </c>
      <c r="J1727" s="112">
        <v>692</v>
      </c>
      <c r="K1727" s="112">
        <v>97</v>
      </c>
      <c r="L1727" s="112">
        <v>1473</v>
      </c>
      <c r="M1727" s="112">
        <v>1455</v>
      </c>
      <c r="N1727" s="112">
        <v>18</v>
      </c>
      <c r="O1727" s="110"/>
      <c r="P1727" s="110"/>
      <c r="Q1727" s="110"/>
    </row>
    <row r="1728" spans="1:17" s="117" customFormat="1" ht="17.5" customHeight="1">
      <c r="A1728" s="109" t="s">
        <v>7224</v>
      </c>
      <c r="B1728" s="109" t="s">
        <v>7225</v>
      </c>
      <c r="C1728" s="113">
        <v>2017</v>
      </c>
      <c r="D1728" s="112">
        <v>3744</v>
      </c>
      <c r="E1728" s="112">
        <v>16356</v>
      </c>
      <c r="F1728" s="112">
        <v>5961</v>
      </c>
      <c r="G1728" s="112">
        <v>10392</v>
      </c>
      <c r="H1728" s="112">
        <v>2961</v>
      </c>
      <c r="I1728" s="112">
        <v>681</v>
      </c>
      <c r="J1728" s="112">
        <v>746</v>
      </c>
      <c r="K1728" s="112">
        <v>66</v>
      </c>
      <c r="L1728" s="112">
        <v>1496</v>
      </c>
      <c r="M1728" s="112">
        <v>1430</v>
      </c>
      <c r="N1728" s="112">
        <v>66</v>
      </c>
      <c r="O1728" s="110"/>
      <c r="P1728" s="110"/>
      <c r="Q1728" s="110"/>
    </row>
    <row r="1729" spans="1:17" s="117" customFormat="1" ht="17.5" customHeight="1">
      <c r="A1729" s="109" t="s">
        <v>7224</v>
      </c>
      <c r="B1729" s="109" t="s">
        <v>7225</v>
      </c>
      <c r="C1729" s="113">
        <v>2018</v>
      </c>
      <c r="D1729" s="112">
        <v>3726</v>
      </c>
      <c r="E1729" s="112">
        <v>17043</v>
      </c>
      <c r="F1729" s="112">
        <v>6334</v>
      </c>
      <c r="G1729" s="112">
        <v>10759</v>
      </c>
      <c r="H1729" s="112">
        <v>3004</v>
      </c>
      <c r="I1729" s="112">
        <v>650</v>
      </c>
      <c r="J1729" s="112">
        <v>739</v>
      </c>
      <c r="K1729" s="112">
        <v>89</v>
      </c>
      <c r="L1729" s="112">
        <v>1562</v>
      </c>
      <c r="M1729" s="112">
        <v>1475</v>
      </c>
      <c r="N1729" s="112">
        <v>87</v>
      </c>
    </row>
    <row r="1730" spans="1:17" s="117" customFormat="1" ht="17.5" customHeight="1">
      <c r="A1730" s="109" t="s">
        <v>7224</v>
      </c>
      <c r="B1730" s="109" t="s">
        <v>7225</v>
      </c>
      <c r="C1730" s="113">
        <v>2019</v>
      </c>
      <c r="D1730" s="112">
        <v>3725</v>
      </c>
      <c r="E1730" s="112">
        <v>17394.268635</v>
      </c>
      <c r="F1730" s="112">
        <v>6371.7533739999999</v>
      </c>
      <c r="G1730" s="112">
        <v>11129.632323</v>
      </c>
      <c r="H1730" s="112">
        <v>3126.1816429999999</v>
      </c>
      <c r="I1730" s="112">
        <v>733.98465099999999</v>
      </c>
      <c r="J1730" s="112">
        <v>815.977037</v>
      </c>
      <c r="K1730" s="112">
        <v>81.992385999999996</v>
      </c>
      <c r="L1730" s="112">
        <v>1687.879635</v>
      </c>
      <c r="M1730" s="112">
        <v>1590.3650110000001</v>
      </c>
      <c r="N1730" s="112">
        <v>97.514623999999998</v>
      </c>
    </row>
    <row r="1731" spans="1:17" s="117" customFormat="1" ht="17.5" customHeight="1">
      <c r="A1731" s="114" t="s">
        <v>7224</v>
      </c>
      <c r="B1731" s="114" t="s">
        <v>7225</v>
      </c>
      <c r="C1731" s="113">
        <v>2020</v>
      </c>
      <c r="D1731" s="112">
        <v>3807</v>
      </c>
      <c r="E1731" s="112">
        <v>15220.239126</v>
      </c>
      <c r="F1731" s="112">
        <v>5598.8930270000001</v>
      </c>
      <c r="G1731" s="112">
        <v>9475.5735270000005</v>
      </c>
      <c r="H1731" s="112">
        <v>2939.4687739999999</v>
      </c>
      <c r="I1731" s="112">
        <v>580.19125499999996</v>
      </c>
      <c r="J1731" s="112">
        <v>652.32946100000004</v>
      </c>
      <c r="K1731" s="112">
        <v>72.138205999999997</v>
      </c>
      <c r="L1731" s="112">
        <v>1440.2867920000001</v>
      </c>
      <c r="M1731" s="112">
        <v>1638.939883</v>
      </c>
      <c r="N1731" s="112">
        <v>-198.65309099999999</v>
      </c>
    </row>
    <row r="1732" spans="1:17" s="117" customFormat="1" ht="17.5" customHeight="1">
      <c r="A1732" s="109" t="s">
        <v>7226</v>
      </c>
      <c r="B1732" s="109" t="s">
        <v>7227</v>
      </c>
      <c r="C1732" s="98">
        <v>2008</v>
      </c>
      <c r="D1732" s="99">
        <v>1073</v>
      </c>
      <c r="E1732" s="99">
        <v>3358</v>
      </c>
      <c r="F1732" s="99">
        <v>1160</v>
      </c>
      <c r="G1732" s="99">
        <v>2208</v>
      </c>
      <c r="H1732" s="99">
        <v>729</v>
      </c>
      <c r="I1732" s="99">
        <v>156</v>
      </c>
      <c r="J1732" s="99">
        <v>174</v>
      </c>
      <c r="K1732" s="99">
        <v>19</v>
      </c>
      <c r="L1732" s="99">
        <v>317</v>
      </c>
      <c r="M1732" s="99">
        <v>300</v>
      </c>
      <c r="N1732" s="99">
        <v>17</v>
      </c>
    </row>
    <row r="1733" spans="1:17" s="117" customFormat="1" ht="17.5" customHeight="1">
      <c r="A1733" s="109" t="s">
        <v>7226</v>
      </c>
      <c r="B1733" s="109" t="s">
        <v>7227</v>
      </c>
      <c r="C1733" s="98">
        <v>2009</v>
      </c>
      <c r="D1733" s="99">
        <v>967</v>
      </c>
      <c r="E1733" s="99">
        <v>3047</v>
      </c>
      <c r="F1733" s="99">
        <v>941</v>
      </c>
      <c r="G1733" s="99">
        <v>2058</v>
      </c>
      <c r="H1733" s="99">
        <v>679</v>
      </c>
      <c r="I1733" s="99">
        <v>48</v>
      </c>
      <c r="J1733" s="99">
        <v>81</v>
      </c>
      <c r="K1733" s="99">
        <v>34</v>
      </c>
      <c r="L1733" s="99">
        <v>353</v>
      </c>
      <c r="M1733" s="99">
        <v>397</v>
      </c>
      <c r="N1733" s="99">
        <v>-44</v>
      </c>
      <c r="O1733" s="110"/>
      <c r="P1733" s="110"/>
      <c r="Q1733" s="110"/>
    </row>
    <row r="1734" spans="1:17" s="117" customFormat="1" ht="17.5" customHeight="1">
      <c r="A1734" s="109" t="s">
        <v>7226</v>
      </c>
      <c r="B1734" s="109" t="s">
        <v>7227</v>
      </c>
      <c r="C1734" s="98">
        <v>2010</v>
      </c>
      <c r="D1734" s="99">
        <v>896</v>
      </c>
      <c r="E1734" s="99">
        <v>3207</v>
      </c>
      <c r="F1734" s="99">
        <v>1150</v>
      </c>
      <c r="G1734" s="99">
        <v>2099</v>
      </c>
      <c r="H1734" s="99">
        <v>622</v>
      </c>
      <c r="I1734" s="99">
        <v>78</v>
      </c>
      <c r="J1734" s="99">
        <v>86</v>
      </c>
      <c r="K1734" s="99">
        <v>8</v>
      </c>
      <c r="L1734" s="99">
        <v>447</v>
      </c>
      <c r="M1734" s="99">
        <v>403</v>
      </c>
      <c r="N1734" s="99">
        <v>45</v>
      </c>
      <c r="O1734" s="110"/>
      <c r="P1734" s="110"/>
      <c r="Q1734" s="110"/>
    </row>
    <row r="1735" spans="1:17" s="117" customFormat="1" ht="17.5" customHeight="1">
      <c r="A1735" s="109" t="s">
        <v>7226</v>
      </c>
      <c r="B1735" s="109" t="s">
        <v>7227</v>
      </c>
      <c r="C1735" s="98">
        <v>2011</v>
      </c>
      <c r="D1735" s="99">
        <v>846</v>
      </c>
      <c r="E1735" s="99">
        <v>3373</v>
      </c>
      <c r="F1735" s="99">
        <v>1114</v>
      </c>
      <c r="G1735" s="99">
        <v>2282</v>
      </c>
      <c r="H1735" s="99">
        <v>655</v>
      </c>
      <c r="I1735" s="99">
        <v>96</v>
      </c>
      <c r="J1735" s="99">
        <v>118</v>
      </c>
      <c r="K1735" s="99">
        <v>21</v>
      </c>
      <c r="L1735" s="99">
        <v>389</v>
      </c>
      <c r="M1735" s="99">
        <v>360</v>
      </c>
      <c r="N1735" s="99">
        <v>29</v>
      </c>
      <c r="O1735" s="100"/>
      <c r="P1735" s="100"/>
      <c r="Q1735" s="100"/>
    </row>
    <row r="1736" spans="1:17" s="117" customFormat="1" ht="17.5" customHeight="1">
      <c r="A1736" s="109" t="s">
        <v>7226</v>
      </c>
      <c r="B1736" s="109" t="s">
        <v>7227</v>
      </c>
      <c r="C1736" s="111">
        <v>2012</v>
      </c>
      <c r="D1736" s="112">
        <v>785</v>
      </c>
      <c r="E1736" s="112">
        <v>3354</v>
      </c>
      <c r="F1736" s="112">
        <v>1062</v>
      </c>
      <c r="G1736" s="112">
        <v>2314</v>
      </c>
      <c r="H1736" s="112">
        <v>621</v>
      </c>
      <c r="I1736" s="112">
        <v>160</v>
      </c>
      <c r="J1736" s="112">
        <v>163</v>
      </c>
      <c r="K1736" s="112">
        <v>3</v>
      </c>
      <c r="L1736" s="112">
        <v>373</v>
      </c>
      <c r="M1736" s="112">
        <v>351</v>
      </c>
      <c r="N1736" s="112">
        <v>22</v>
      </c>
      <c r="O1736" s="110"/>
      <c r="P1736" s="110"/>
      <c r="Q1736" s="110"/>
    </row>
    <row r="1737" spans="1:17" s="117" customFormat="1" ht="17.5" customHeight="1">
      <c r="A1737" s="109" t="s">
        <v>7226</v>
      </c>
      <c r="B1737" s="109" t="s">
        <v>7227</v>
      </c>
      <c r="C1737" s="113">
        <v>2013</v>
      </c>
      <c r="D1737" s="112">
        <v>795</v>
      </c>
      <c r="E1737" s="112">
        <v>3332</v>
      </c>
      <c r="F1737" s="112">
        <v>973</v>
      </c>
      <c r="G1737" s="112">
        <v>2372</v>
      </c>
      <c r="H1737" s="112">
        <v>669</v>
      </c>
      <c r="I1737" s="112">
        <v>186</v>
      </c>
      <c r="J1737" s="112">
        <v>198</v>
      </c>
      <c r="K1737" s="112">
        <v>12</v>
      </c>
      <c r="L1737" s="112">
        <v>360</v>
      </c>
      <c r="M1737" s="112">
        <v>345</v>
      </c>
      <c r="N1737" s="112">
        <v>14</v>
      </c>
      <c r="O1737" s="100"/>
      <c r="P1737" s="100"/>
      <c r="Q1737" s="100"/>
    </row>
    <row r="1738" spans="1:17" s="117" customFormat="1" ht="17.5" customHeight="1">
      <c r="A1738" s="109" t="s">
        <v>7226</v>
      </c>
      <c r="B1738" s="109" t="s">
        <v>7227</v>
      </c>
      <c r="C1738" s="113">
        <v>2014</v>
      </c>
      <c r="D1738" s="99">
        <v>778</v>
      </c>
      <c r="E1738" s="99">
        <v>3292</v>
      </c>
      <c r="F1738" s="99">
        <v>868</v>
      </c>
      <c r="G1738" s="99">
        <v>2419</v>
      </c>
      <c r="H1738" s="99">
        <v>678</v>
      </c>
      <c r="I1738" s="99">
        <v>160</v>
      </c>
      <c r="J1738" s="99">
        <v>164</v>
      </c>
      <c r="K1738" s="99">
        <v>4</v>
      </c>
      <c r="L1738" s="99">
        <v>376</v>
      </c>
      <c r="M1738" s="99">
        <v>381</v>
      </c>
      <c r="N1738" s="99">
        <v>-5</v>
      </c>
      <c r="O1738" s="100"/>
      <c r="P1738" s="100"/>
      <c r="Q1738" s="100"/>
    </row>
    <row r="1739" spans="1:17" s="117" customFormat="1" ht="17.5" customHeight="1">
      <c r="A1739" s="109" t="s">
        <v>7226</v>
      </c>
      <c r="B1739" s="109" t="s">
        <v>7227</v>
      </c>
      <c r="C1739" s="113">
        <v>2015</v>
      </c>
      <c r="D1739" s="112">
        <v>778</v>
      </c>
      <c r="E1739" s="112">
        <v>3406</v>
      </c>
      <c r="F1739" s="112">
        <v>1080</v>
      </c>
      <c r="G1739" s="112">
        <v>2287</v>
      </c>
      <c r="H1739" s="112">
        <v>694</v>
      </c>
      <c r="I1739" s="112">
        <v>161</v>
      </c>
      <c r="J1739" s="112">
        <v>167</v>
      </c>
      <c r="K1739" s="112">
        <v>6</v>
      </c>
      <c r="L1739" s="112">
        <v>420</v>
      </c>
      <c r="M1739" s="112">
        <v>462</v>
      </c>
      <c r="N1739" s="112">
        <v>-42</v>
      </c>
      <c r="O1739" s="110"/>
      <c r="P1739" s="110"/>
      <c r="Q1739" s="110"/>
    </row>
    <row r="1740" spans="1:17" s="117" customFormat="1" ht="17.5" customHeight="1">
      <c r="A1740" s="109" t="s">
        <v>7226</v>
      </c>
      <c r="B1740" s="109" t="s">
        <v>7227</v>
      </c>
      <c r="C1740" s="113">
        <v>2016</v>
      </c>
      <c r="D1740" s="112">
        <v>768</v>
      </c>
      <c r="E1740" s="112">
        <v>3391</v>
      </c>
      <c r="F1740" s="112">
        <v>1166</v>
      </c>
      <c r="G1740" s="112">
        <v>2234</v>
      </c>
      <c r="H1740" s="112">
        <v>691</v>
      </c>
      <c r="I1740" s="112">
        <v>145</v>
      </c>
      <c r="J1740" s="112">
        <v>169</v>
      </c>
      <c r="K1740" s="112">
        <v>24</v>
      </c>
      <c r="L1740" s="112">
        <v>382</v>
      </c>
      <c r="M1740" s="112">
        <v>378</v>
      </c>
      <c r="N1740" s="112">
        <v>4</v>
      </c>
      <c r="O1740" s="110"/>
      <c r="P1740" s="110"/>
      <c r="Q1740" s="110"/>
    </row>
    <row r="1741" spans="1:17" s="117" customFormat="1" ht="17.5" customHeight="1">
      <c r="A1741" s="109" t="s">
        <v>7226</v>
      </c>
      <c r="B1741" s="109" t="s">
        <v>7227</v>
      </c>
      <c r="C1741" s="113">
        <v>2017</v>
      </c>
      <c r="D1741" s="112">
        <v>767</v>
      </c>
      <c r="E1741" s="112">
        <v>3586</v>
      </c>
      <c r="F1741" s="112">
        <v>1274</v>
      </c>
      <c r="G1741" s="112">
        <v>2331</v>
      </c>
      <c r="H1741" s="112">
        <v>741</v>
      </c>
      <c r="I1741" s="112">
        <v>133</v>
      </c>
      <c r="J1741" s="112">
        <v>138</v>
      </c>
      <c r="K1741" s="112">
        <v>5</v>
      </c>
      <c r="L1741" s="112">
        <v>394</v>
      </c>
      <c r="M1741" s="112">
        <v>379</v>
      </c>
      <c r="N1741" s="112">
        <v>15</v>
      </c>
    </row>
    <row r="1742" spans="1:17" s="117" customFormat="1" ht="17.5" customHeight="1">
      <c r="A1742" s="109" t="s">
        <v>7226</v>
      </c>
      <c r="B1742" s="109" t="s">
        <v>7227</v>
      </c>
      <c r="C1742" s="113">
        <v>2018</v>
      </c>
      <c r="D1742" s="112">
        <v>741</v>
      </c>
      <c r="E1742" s="112">
        <v>3675</v>
      </c>
      <c r="F1742" s="112">
        <v>1272</v>
      </c>
      <c r="G1742" s="112">
        <v>2411</v>
      </c>
      <c r="H1742" s="112">
        <v>715</v>
      </c>
      <c r="I1742" s="112">
        <v>145</v>
      </c>
      <c r="J1742" s="112">
        <v>151</v>
      </c>
      <c r="K1742" s="112">
        <v>6</v>
      </c>
      <c r="L1742" s="112">
        <v>389</v>
      </c>
      <c r="M1742" s="112">
        <v>380</v>
      </c>
      <c r="N1742" s="112">
        <v>9</v>
      </c>
    </row>
    <row r="1743" spans="1:17" s="117" customFormat="1" ht="17.5" customHeight="1">
      <c r="A1743" s="109" t="s">
        <v>7226</v>
      </c>
      <c r="B1743" s="109" t="s">
        <v>7227</v>
      </c>
      <c r="C1743" s="113">
        <v>2019</v>
      </c>
      <c r="D1743" s="112">
        <v>733</v>
      </c>
      <c r="E1743" s="112">
        <v>3957.5614310000001</v>
      </c>
      <c r="F1743" s="112">
        <v>1321.6047309999999</v>
      </c>
      <c r="G1743" s="112">
        <v>2660.3530099999998</v>
      </c>
      <c r="H1743" s="112">
        <v>797.04687000000001</v>
      </c>
      <c r="I1743" s="112">
        <v>189.59971300000001</v>
      </c>
      <c r="J1743" s="112" t="s">
        <v>6953</v>
      </c>
      <c r="K1743" s="112" t="s">
        <v>6953</v>
      </c>
      <c r="L1743" s="112">
        <v>418.23060800000002</v>
      </c>
      <c r="M1743" s="112">
        <v>405.18525699999998</v>
      </c>
      <c r="N1743" s="112">
        <v>13.045351</v>
      </c>
    </row>
    <row r="1744" spans="1:17" s="117" customFormat="1" ht="17.5" customHeight="1">
      <c r="A1744" s="114" t="s">
        <v>7226</v>
      </c>
      <c r="B1744" s="114" t="s">
        <v>7227</v>
      </c>
      <c r="C1744" s="113">
        <v>2020</v>
      </c>
      <c r="D1744" s="112">
        <v>741</v>
      </c>
      <c r="E1744" s="112">
        <v>3497.8713189999999</v>
      </c>
      <c r="F1744" s="112">
        <v>1226.9212789999999</v>
      </c>
      <c r="G1744" s="112">
        <v>2238.104351</v>
      </c>
      <c r="H1744" s="112">
        <v>744.62977799999999</v>
      </c>
      <c r="I1744" s="112">
        <v>171.747759</v>
      </c>
      <c r="J1744" s="112">
        <v>202.980118</v>
      </c>
      <c r="K1744" s="112">
        <v>31.232358999999999</v>
      </c>
      <c r="L1744" s="112">
        <v>365.21002099999998</v>
      </c>
      <c r="M1744" s="112">
        <v>404.11924599999998</v>
      </c>
      <c r="N1744" s="112">
        <v>-38.909224999999999</v>
      </c>
    </row>
    <row r="1745" spans="1:17" s="117" customFormat="1" ht="17.5" customHeight="1">
      <c r="A1745" s="109" t="s">
        <v>7228</v>
      </c>
      <c r="B1745" s="109" t="s">
        <v>7229</v>
      </c>
      <c r="C1745" s="98">
        <v>2008</v>
      </c>
      <c r="D1745" s="99">
        <v>4</v>
      </c>
      <c r="E1745" s="99">
        <v>357</v>
      </c>
      <c r="F1745" s="99">
        <v>116</v>
      </c>
      <c r="G1745" s="99">
        <v>238</v>
      </c>
      <c r="H1745" s="99">
        <v>61</v>
      </c>
      <c r="I1745" s="99" t="s">
        <v>6953</v>
      </c>
      <c r="J1745" s="99" t="s">
        <v>6953</v>
      </c>
      <c r="K1745" s="99" t="s">
        <v>6953</v>
      </c>
      <c r="L1745" s="99">
        <v>54</v>
      </c>
      <c r="M1745" s="99">
        <v>53</v>
      </c>
      <c r="N1745" s="99">
        <v>2</v>
      </c>
      <c r="O1745" s="110"/>
      <c r="P1745" s="110"/>
      <c r="Q1745" s="110"/>
    </row>
    <row r="1746" spans="1:17" s="117" customFormat="1" ht="17.5" customHeight="1">
      <c r="A1746" s="109" t="s">
        <v>7228</v>
      </c>
      <c r="B1746" s="109" t="s">
        <v>7229</v>
      </c>
      <c r="C1746" s="98">
        <v>2009</v>
      </c>
      <c r="D1746" s="99">
        <v>6</v>
      </c>
      <c r="E1746" s="99">
        <v>269</v>
      </c>
      <c r="F1746" s="99">
        <v>45</v>
      </c>
      <c r="G1746" s="99">
        <v>214</v>
      </c>
      <c r="H1746" s="99">
        <v>67</v>
      </c>
      <c r="I1746" s="99" t="s">
        <v>6953</v>
      </c>
      <c r="J1746" s="99" t="s">
        <v>6953</v>
      </c>
      <c r="K1746" s="99" t="s">
        <v>6953</v>
      </c>
      <c r="L1746" s="99">
        <v>47</v>
      </c>
      <c r="M1746" s="99">
        <v>55</v>
      </c>
      <c r="N1746" s="99">
        <v>-8</v>
      </c>
      <c r="O1746" s="110"/>
      <c r="P1746" s="110"/>
      <c r="Q1746" s="110"/>
    </row>
    <row r="1747" spans="1:17" s="117" customFormat="1" ht="17.5" customHeight="1">
      <c r="A1747" s="109" t="s">
        <v>7228</v>
      </c>
      <c r="B1747" s="109" t="s">
        <v>7229</v>
      </c>
      <c r="C1747" s="98">
        <v>2010</v>
      </c>
      <c r="D1747" s="99">
        <v>5</v>
      </c>
      <c r="E1747" s="99">
        <v>323</v>
      </c>
      <c r="F1747" s="99">
        <v>111</v>
      </c>
      <c r="G1747" s="99">
        <v>218</v>
      </c>
      <c r="H1747" s="99">
        <v>57</v>
      </c>
      <c r="I1747" s="99" t="s">
        <v>6953</v>
      </c>
      <c r="J1747" s="99" t="s">
        <v>6953</v>
      </c>
      <c r="K1747" s="99">
        <v>0</v>
      </c>
      <c r="L1747" s="99">
        <v>54</v>
      </c>
      <c r="M1747" s="99">
        <v>47</v>
      </c>
      <c r="N1747" s="99">
        <v>7</v>
      </c>
      <c r="O1747" s="100"/>
      <c r="P1747" s="100"/>
      <c r="Q1747" s="100"/>
    </row>
    <row r="1748" spans="1:17" s="117" customFormat="1" ht="17.5" customHeight="1">
      <c r="A1748" s="109" t="s">
        <v>7228</v>
      </c>
      <c r="B1748" s="109" t="s">
        <v>7229</v>
      </c>
      <c r="C1748" s="98">
        <v>2011</v>
      </c>
      <c r="D1748" s="99">
        <v>5</v>
      </c>
      <c r="E1748" s="99" t="s">
        <v>6953</v>
      </c>
      <c r="F1748" s="99" t="s">
        <v>6953</v>
      </c>
      <c r="G1748" s="99">
        <v>220</v>
      </c>
      <c r="H1748" s="99" t="s">
        <v>6953</v>
      </c>
      <c r="I1748" s="99" t="s">
        <v>6953</v>
      </c>
      <c r="J1748" s="99" t="s">
        <v>6953</v>
      </c>
      <c r="K1748" s="99" t="s">
        <v>6953</v>
      </c>
      <c r="L1748" s="99" t="s">
        <v>6953</v>
      </c>
      <c r="M1748" s="99" t="s">
        <v>6953</v>
      </c>
      <c r="N1748" s="99" t="s">
        <v>6953</v>
      </c>
      <c r="O1748" s="110"/>
      <c r="P1748" s="110"/>
      <c r="Q1748" s="110"/>
    </row>
    <row r="1749" spans="1:17" s="117" customFormat="1" ht="17.5" customHeight="1">
      <c r="A1749" s="109" t="s">
        <v>7228</v>
      </c>
      <c r="B1749" s="109" t="s">
        <v>7229</v>
      </c>
      <c r="C1749" s="111">
        <v>2012</v>
      </c>
      <c r="D1749" s="112">
        <v>9</v>
      </c>
      <c r="E1749" s="112">
        <v>296</v>
      </c>
      <c r="F1749" s="112">
        <v>121</v>
      </c>
      <c r="G1749" s="112">
        <v>207</v>
      </c>
      <c r="H1749" s="112">
        <v>37</v>
      </c>
      <c r="I1749" s="99" t="s">
        <v>6953</v>
      </c>
      <c r="J1749" s="99" t="s">
        <v>6953</v>
      </c>
      <c r="K1749" s="112" t="s">
        <v>6952</v>
      </c>
      <c r="L1749" s="112">
        <v>68</v>
      </c>
      <c r="M1749" s="112">
        <v>36</v>
      </c>
      <c r="N1749" s="112">
        <v>33</v>
      </c>
      <c r="O1749" s="100"/>
      <c r="P1749" s="100"/>
      <c r="Q1749" s="100"/>
    </row>
    <row r="1750" spans="1:17" s="117" customFormat="1" ht="17.5" customHeight="1">
      <c r="A1750" s="109" t="s">
        <v>7228</v>
      </c>
      <c r="B1750" s="109" t="s">
        <v>7229</v>
      </c>
      <c r="C1750" s="113">
        <v>2013</v>
      </c>
      <c r="D1750" s="112">
        <v>5</v>
      </c>
      <c r="E1750" s="112">
        <v>237</v>
      </c>
      <c r="F1750" s="112">
        <v>23</v>
      </c>
      <c r="G1750" s="112">
        <v>194</v>
      </c>
      <c r="H1750" s="112">
        <v>68</v>
      </c>
      <c r="I1750" s="99" t="s">
        <v>6953</v>
      </c>
      <c r="J1750" s="112">
        <v>3</v>
      </c>
      <c r="K1750" s="99" t="s">
        <v>6953</v>
      </c>
      <c r="L1750" s="99" t="s">
        <v>6953</v>
      </c>
      <c r="M1750" s="99" t="s">
        <v>6953</v>
      </c>
      <c r="N1750" s="112">
        <v>-19</v>
      </c>
      <c r="O1750" s="100"/>
      <c r="P1750" s="100"/>
      <c r="Q1750" s="100"/>
    </row>
    <row r="1751" spans="1:17" s="117" customFormat="1" ht="17.5" customHeight="1">
      <c r="A1751" s="109" t="s">
        <v>7228</v>
      </c>
      <c r="B1751" s="109" t="s">
        <v>7229</v>
      </c>
      <c r="C1751" s="113">
        <v>2014</v>
      </c>
      <c r="D1751" s="99">
        <v>6</v>
      </c>
      <c r="E1751" s="99">
        <v>236</v>
      </c>
      <c r="F1751" s="99">
        <v>94</v>
      </c>
      <c r="G1751" s="99">
        <v>113</v>
      </c>
      <c r="H1751" s="99">
        <v>50</v>
      </c>
      <c r="I1751" s="99">
        <v>21</v>
      </c>
      <c r="J1751" s="99">
        <v>21</v>
      </c>
      <c r="K1751" s="99" t="s">
        <v>6952</v>
      </c>
      <c r="L1751" s="99" t="s">
        <v>6952</v>
      </c>
      <c r="M1751" s="99" t="s">
        <v>6953</v>
      </c>
      <c r="N1751" s="99" t="s">
        <v>6953</v>
      </c>
      <c r="O1751" s="110"/>
      <c r="P1751" s="110"/>
      <c r="Q1751" s="110"/>
    </row>
    <row r="1752" spans="1:17" s="117" customFormat="1" ht="17.5" customHeight="1">
      <c r="A1752" s="109" t="s">
        <v>7228</v>
      </c>
      <c r="B1752" s="109" t="s">
        <v>7229</v>
      </c>
      <c r="C1752" s="113">
        <v>2015</v>
      </c>
      <c r="D1752" s="112">
        <v>5</v>
      </c>
      <c r="E1752" s="112">
        <v>202</v>
      </c>
      <c r="F1752" s="112">
        <v>47</v>
      </c>
      <c r="G1752" s="112">
        <v>155</v>
      </c>
      <c r="H1752" s="112">
        <v>49</v>
      </c>
      <c r="I1752" s="112">
        <v>3</v>
      </c>
      <c r="J1752" s="112">
        <v>3</v>
      </c>
      <c r="K1752" s="112" t="s">
        <v>6952</v>
      </c>
      <c r="L1752" s="112">
        <v>44</v>
      </c>
      <c r="M1752" s="112">
        <v>44</v>
      </c>
      <c r="N1752" s="112" t="s">
        <v>6952</v>
      </c>
      <c r="O1752" s="110"/>
      <c r="P1752" s="110"/>
      <c r="Q1752" s="110"/>
    </row>
    <row r="1753" spans="1:17" s="117" customFormat="1" ht="17.5" customHeight="1">
      <c r="A1753" s="109" t="s">
        <v>7228</v>
      </c>
      <c r="B1753" s="109" t="s">
        <v>7229</v>
      </c>
      <c r="C1753" s="113">
        <v>2016</v>
      </c>
      <c r="D1753" s="112">
        <v>3</v>
      </c>
      <c r="E1753" s="112">
        <v>211</v>
      </c>
      <c r="F1753" s="112">
        <v>52</v>
      </c>
      <c r="G1753" s="112">
        <v>156</v>
      </c>
      <c r="H1753" s="112">
        <v>48</v>
      </c>
      <c r="I1753" s="99" t="s">
        <v>6953</v>
      </c>
      <c r="J1753" s="99" t="s">
        <v>6953</v>
      </c>
      <c r="K1753" s="99" t="s">
        <v>6953</v>
      </c>
      <c r="L1753" s="99" t="s">
        <v>6953</v>
      </c>
      <c r="M1753" s="99" t="s">
        <v>6953</v>
      </c>
      <c r="N1753" s="99" t="s">
        <v>6953</v>
      </c>
    </row>
    <row r="1754" spans="1:17" s="117" customFormat="1" ht="17.5" customHeight="1">
      <c r="A1754" s="109" t="s">
        <v>7228</v>
      </c>
      <c r="B1754" s="109" t="s">
        <v>7229</v>
      </c>
      <c r="C1754" s="113">
        <v>2017</v>
      </c>
      <c r="D1754" s="112">
        <v>7</v>
      </c>
      <c r="E1754" s="112">
        <v>224</v>
      </c>
      <c r="F1754" s="112">
        <v>89</v>
      </c>
      <c r="G1754" s="112">
        <v>135</v>
      </c>
      <c r="H1754" s="112">
        <v>51</v>
      </c>
      <c r="I1754" s="99" t="s">
        <v>6953</v>
      </c>
      <c r="J1754" s="99" t="s">
        <v>6953</v>
      </c>
      <c r="K1754" s="112" t="s">
        <v>6952</v>
      </c>
      <c r="L1754" s="99" t="s">
        <v>6953</v>
      </c>
      <c r="M1754" s="99" t="s">
        <v>6953</v>
      </c>
      <c r="N1754" s="99" t="s">
        <v>6953</v>
      </c>
    </row>
    <row r="1755" spans="1:17" s="117" customFormat="1" ht="17.5" customHeight="1">
      <c r="A1755" s="109" t="s">
        <v>7228</v>
      </c>
      <c r="B1755" s="109" t="s">
        <v>7229</v>
      </c>
      <c r="C1755" s="113">
        <v>2018</v>
      </c>
      <c r="D1755" s="112">
        <v>5</v>
      </c>
      <c r="E1755" s="112">
        <v>231</v>
      </c>
      <c r="F1755" s="112">
        <v>112</v>
      </c>
      <c r="G1755" s="112">
        <v>124</v>
      </c>
      <c r="H1755" s="112">
        <v>43</v>
      </c>
      <c r="I1755" s="99" t="s">
        <v>6953</v>
      </c>
      <c r="J1755" s="99" t="s">
        <v>6953</v>
      </c>
      <c r="K1755" s="99" t="s">
        <v>6953</v>
      </c>
      <c r="L1755" s="99" t="s">
        <v>6953</v>
      </c>
      <c r="M1755" s="99" t="s">
        <v>6953</v>
      </c>
      <c r="N1755" s="99" t="s">
        <v>6953</v>
      </c>
    </row>
    <row r="1756" spans="1:17" s="117" customFormat="1" ht="17.5" customHeight="1">
      <c r="A1756" s="109" t="s">
        <v>7228</v>
      </c>
      <c r="B1756" s="109" t="s">
        <v>7229</v>
      </c>
      <c r="C1756" s="113">
        <v>2019</v>
      </c>
      <c r="D1756" s="112">
        <v>4</v>
      </c>
      <c r="E1756" s="112">
        <v>209.53456299999999</v>
      </c>
      <c r="F1756" s="112">
        <v>106.94886</v>
      </c>
      <c r="G1756" s="112">
        <v>76.110033000000001</v>
      </c>
      <c r="H1756" s="112">
        <v>40.061551000000001</v>
      </c>
      <c r="I1756" s="112" t="s">
        <v>6953</v>
      </c>
      <c r="J1756" s="112" t="s">
        <v>6953</v>
      </c>
      <c r="K1756" s="112" t="s">
        <v>6952</v>
      </c>
      <c r="L1756" s="112" t="s">
        <v>6953</v>
      </c>
      <c r="M1756" s="112" t="s">
        <v>6953</v>
      </c>
      <c r="N1756" s="112" t="s">
        <v>6953</v>
      </c>
    </row>
    <row r="1757" spans="1:17" s="117" customFormat="1" ht="17.5" customHeight="1">
      <c r="A1757" s="114" t="s">
        <v>7228</v>
      </c>
      <c r="B1757" s="114" t="s">
        <v>7229</v>
      </c>
      <c r="C1757" s="113">
        <v>2020</v>
      </c>
      <c r="D1757" s="112">
        <v>3</v>
      </c>
      <c r="E1757" s="112">
        <v>193.427852</v>
      </c>
      <c r="F1757" s="112">
        <v>122.771055</v>
      </c>
      <c r="G1757" s="112">
        <v>72.363415000000003</v>
      </c>
      <c r="H1757" s="112">
        <v>38.719292000000003</v>
      </c>
      <c r="I1757" s="112" t="s">
        <v>6953</v>
      </c>
      <c r="J1757" s="112" t="s">
        <v>6953</v>
      </c>
      <c r="K1757" s="112" t="s">
        <v>6952</v>
      </c>
      <c r="L1757" s="112" t="s">
        <v>6953</v>
      </c>
      <c r="M1757" s="112" t="s">
        <v>6953</v>
      </c>
      <c r="N1757" s="112" t="s">
        <v>6953</v>
      </c>
      <c r="O1757" s="110"/>
      <c r="P1757" s="110"/>
      <c r="Q1757" s="110"/>
    </row>
    <row r="1758" spans="1:17" s="117" customFormat="1" ht="17.5" customHeight="1">
      <c r="A1758" s="109" t="s">
        <v>7230</v>
      </c>
      <c r="B1758" s="109" t="s">
        <v>7231</v>
      </c>
      <c r="C1758" s="98">
        <v>2008</v>
      </c>
      <c r="D1758" s="99">
        <v>559</v>
      </c>
      <c r="E1758" s="99">
        <v>1594</v>
      </c>
      <c r="F1758" s="99">
        <v>479</v>
      </c>
      <c r="G1758" s="99">
        <v>1113</v>
      </c>
      <c r="H1758" s="99">
        <v>326</v>
      </c>
      <c r="I1758" s="99" t="s">
        <v>6953</v>
      </c>
      <c r="J1758" s="99" t="s">
        <v>6953</v>
      </c>
      <c r="K1758" s="99" t="s">
        <v>6953</v>
      </c>
      <c r="L1758" s="99">
        <v>64</v>
      </c>
      <c r="M1758" s="99">
        <v>66</v>
      </c>
      <c r="N1758" s="99">
        <v>-2</v>
      </c>
      <c r="O1758" s="110"/>
      <c r="P1758" s="110"/>
      <c r="Q1758" s="110"/>
    </row>
    <row r="1759" spans="1:17" s="117" customFormat="1" ht="17.5" customHeight="1">
      <c r="A1759" s="109" t="s">
        <v>7230</v>
      </c>
      <c r="B1759" s="109" t="s">
        <v>7231</v>
      </c>
      <c r="C1759" s="98">
        <v>2009</v>
      </c>
      <c r="D1759" s="99">
        <v>502</v>
      </c>
      <c r="E1759" s="99">
        <v>1297</v>
      </c>
      <c r="F1759" s="99">
        <v>319</v>
      </c>
      <c r="G1759" s="99">
        <v>979</v>
      </c>
      <c r="H1759" s="99">
        <v>303</v>
      </c>
      <c r="I1759" s="99" t="s">
        <v>6953</v>
      </c>
      <c r="J1759" s="99" t="s">
        <v>6953</v>
      </c>
      <c r="K1759" s="99" t="s">
        <v>6953</v>
      </c>
      <c r="L1759" s="99">
        <v>55</v>
      </c>
      <c r="M1759" s="99">
        <v>54</v>
      </c>
      <c r="N1759" s="99">
        <v>1</v>
      </c>
      <c r="O1759" s="100"/>
      <c r="P1759" s="100"/>
      <c r="Q1759" s="100"/>
    </row>
    <row r="1760" spans="1:17" s="117" customFormat="1" ht="17.5" customHeight="1">
      <c r="A1760" s="109" t="s">
        <v>7230</v>
      </c>
      <c r="B1760" s="109" t="s">
        <v>7231</v>
      </c>
      <c r="C1760" s="98">
        <v>2010</v>
      </c>
      <c r="D1760" s="99">
        <v>477</v>
      </c>
      <c r="E1760" s="99">
        <v>1432</v>
      </c>
      <c r="F1760" s="99">
        <v>396</v>
      </c>
      <c r="G1760" s="99">
        <v>1049</v>
      </c>
      <c r="H1760" s="99">
        <v>270</v>
      </c>
      <c r="I1760" s="99" t="s">
        <v>6953</v>
      </c>
      <c r="J1760" s="99" t="s">
        <v>6953</v>
      </c>
      <c r="K1760" s="99">
        <v>1</v>
      </c>
      <c r="L1760" s="99">
        <v>115</v>
      </c>
      <c r="M1760" s="99">
        <v>102</v>
      </c>
      <c r="N1760" s="99">
        <v>13</v>
      </c>
      <c r="O1760" s="110"/>
      <c r="P1760" s="110"/>
      <c r="Q1760" s="110"/>
    </row>
    <row r="1761" spans="1:17" s="117" customFormat="1" ht="17.5" customHeight="1">
      <c r="A1761" s="109" t="s">
        <v>7230</v>
      </c>
      <c r="B1761" s="109" t="s">
        <v>7231</v>
      </c>
      <c r="C1761" s="98">
        <v>2011</v>
      </c>
      <c r="D1761" s="99">
        <v>439</v>
      </c>
      <c r="E1761" s="99" t="s">
        <v>6953</v>
      </c>
      <c r="F1761" s="99" t="s">
        <v>6953</v>
      </c>
      <c r="G1761" s="99">
        <v>1089</v>
      </c>
      <c r="H1761" s="99" t="s">
        <v>6953</v>
      </c>
      <c r="I1761" s="99" t="s">
        <v>6953</v>
      </c>
      <c r="J1761" s="99" t="s">
        <v>6953</v>
      </c>
      <c r="K1761" s="99" t="s">
        <v>6953</v>
      </c>
      <c r="L1761" s="99" t="s">
        <v>6953</v>
      </c>
      <c r="M1761" s="99" t="s">
        <v>6953</v>
      </c>
      <c r="N1761" s="99" t="s">
        <v>6953</v>
      </c>
      <c r="O1761" s="100"/>
      <c r="P1761" s="100"/>
      <c r="Q1761" s="100"/>
    </row>
    <row r="1762" spans="1:17" s="117" customFormat="1" ht="17.5" customHeight="1">
      <c r="A1762" s="109" t="s">
        <v>7230</v>
      </c>
      <c r="B1762" s="109" t="s">
        <v>7231</v>
      </c>
      <c r="C1762" s="111">
        <v>2012</v>
      </c>
      <c r="D1762" s="112">
        <v>425</v>
      </c>
      <c r="E1762" s="112">
        <v>1518</v>
      </c>
      <c r="F1762" s="112">
        <v>400</v>
      </c>
      <c r="G1762" s="112">
        <v>1124</v>
      </c>
      <c r="H1762" s="112">
        <v>235</v>
      </c>
      <c r="I1762" s="99" t="s">
        <v>6953</v>
      </c>
      <c r="J1762" s="99" t="s">
        <v>6953</v>
      </c>
      <c r="K1762" s="112">
        <v>2</v>
      </c>
      <c r="L1762" s="112">
        <v>67</v>
      </c>
      <c r="M1762" s="112">
        <v>62</v>
      </c>
      <c r="N1762" s="112">
        <v>5</v>
      </c>
      <c r="O1762" s="100"/>
      <c r="P1762" s="100"/>
      <c r="Q1762" s="100"/>
    </row>
    <row r="1763" spans="1:17" s="117" customFormat="1" ht="17.5" customHeight="1">
      <c r="A1763" s="109" t="s">
        <v>7230</v>
      </c>
      <c r="B1763" s="109" t="s">
        <v>7231</v>
      </c>
      <c r="C1763" s="113">
        <v>2013</v>
      </c>
      <c r="D1763" s="112">
        <v>438</v>
      </c>
      <c r="E1763" s="112">
        <v>1623</v>
      </c>
      <c r="F1763" s="112">
        <v>426</v>
      </c>
      <c r="G1763" s="112">
        <v>1209</v>
      </c>
      <c r="H1763" s="112">
        <v>239</v>
      </c>
      <c r="I1763" s="112">
        <v>48</v>
      </c>
      <c r="J1763" s="112">
        <v>51</v>
      </c>
      <c r="K1763" s="112">
        <v>3</v>
      </c>
      <c r="L1763" s="112">
        <v>63</v>
      </c>
      <c r="M1763" s="112">
        <v>50</v>
      </c>
      <c r="N1763" s="112">
        <v>12</v>
      </c>
      <c r="O1763" s="110"/>
      <c r="P1763" s="110"/>
      <c r="Q1763" s="110"/>
    </row>
    <row r="1764" spans="1:17" s="117" customFormat="1" ht="17.5" customHeight="1">
      <c r="A1764" s="109" t="s">
        <v>7230</v>
      </c>
      <c r="B1764" s="109" t="s">
        <v>7231</v>
      </c>
      <c r="C1764" s="113">
        <v>2014</v>
      </c>
      <c r="D1764" s="99">
        <v>435</v>
      </c>
      <c r="E1764" s="99">
        <v>1539</v>
      </c>
      <c r="F1764" s="99">
        <v>327</v>
      </c>
      <c r="G1764" s="99">
        <v>1209</v>
      </c>
      <c r="H1764" s="99">
        <v>283</v>
      </c>
      <c r="I1764" s="99">
        <v>36</v>
      </c>
      <c r="J1764" s="99" t="s">
        <v>6953</v>
      </c>
      <c r="K1764" s="99" t="s">
        <v>6953</v>
      </c>
      <c r="L1764" s="99">
        <v>88</v>
      </c>
      <c r="M1764" s="99" t="s">
        <v>6953</v>
      </c>
      <c r="N1764" s="99" t="s">
        <v>6953</v>
      </c>
      <c r="O1764" s="110"/>
      <c r="P1764" s="110"/>
      <c r="Q1764" s="110"/>
    </row>
    <row r="1765" spans="1:17" s="117" customFormat="1" ht="17.5" customHeight="1">
      <c r="A1765" s="109" t="s">
        <v>7230</v>
      </c>
      <c r="B1765" s="109" t="s">
        <v>7231</v>
      </c>
      <c r="C1765" s="113">
        <v>2015</v>
      </c>
      <c r="D1765" s="112">
        <v>437</v>
      </c>
      <c r="E1765" s="112">
        <v>1633</v>
      </c>
      <c r="F1765" s="112">
        <v>474</v>
      </c>
      <c r="G1765" s="112">
        <v>1161</v>
      </c>
      <c r="H1765" s="112">
        <v>282</v>
      </c>
      <c r="I1765" s="112">
        <v>45</v>
      </c>
      <c r="J1765" s="99" t="s">
        <v>6953</v>
      </c>
      <c r="K1765" s="99" t="s">
        <v>6953</v>
      </c>
      <c r="L1765" s="112">
        <v>118</v>
      </c>
      <c r="M1765" s="112">
        <v>115</v>
      </c>
      <c r="N1765" s="112">
        <v>3</v>
      </c>
    </row>
    <row r="1766" spans="1:17" s="117" customFormat="1" ht="17.5" customHeight="1">
      <c r="A1766" s="109" t="s">
        <v>7230</v>
      </c>
      <c r="B1766" s="109" t="s">
        <v>7231</v>
      </c>
      <c r="C1766" s="113">
        <v>2016</v>
      </c>
      <c r="D1766" s="112">
        <v>443</v>
      </c>
      <c r="E1766" s="112">
        <v>1643</v>
      </c>
      <c r="F1766" s="112">
        <v>486</v>
      </c>
      <c r="G1766" s="112">
        <v>1162</v>
      </c>
      <c r="H1766" s="112">
        <v>294</v>
      </c>
      <c r="I1766" s="112">
        <v>33</v>
      </c>
      <c r="J1766" s="112">
        <v>54</v>
      </c>
      <c r="K1766" s="112">
        <v>21</v>
      </c>
      <c r="L1766" s="99" t="s">
        <v>6953</v>
      </c>
      <c r="M1766" s="99" t="s">
        <v>6953</v>
      </c>
      <c r="N1766" s="99" t="s">
        <v>6953</v>
      </c>
    </row>
    <row r="1767" spans="1:17" s="117" customFormat="1" ht="17.5" customHeight="1">
      <c r="A1767" s="109" t="s">
        <v>7230</v>
      </c>
      <c r="B1767" s="109" t="s">
        <v>7231</v>
      </c>
      <c r="C1767" s="113">
        <v>2017</v>
      </c>
      <c r="D1767" s="112">
        <v>441</v>
      </c>
      <c r="E1767" s="112">
        <v>1749</v>
      </c>
      <c r="F1767" s="112">
        <v>518</v>
      </c>
      <c r="G1767" s="112">
        <v>1229</v>
      </c>
      <c r="H1767" s="112">
        <v>332</v>
      </c>
      <c r="I1767" s="112">
        <v>38</v>
      </c>
      <c r="J1767" s="112">
        <v>42</v>
      </c>
      <c r="K1767" s="112">
        <v>5</v>
      </c>
      <c r="L1767" s="112">
        <v>92</v>
      </c>
      <c r="M1767" s="112">
        <v>94</v>
      </c>
      <c r="N1767" s="112">
        <v>-1</v>
      </c>
    </row>
    <row r="1768" spans="1:17" s="117" customFormat="1" ht="17.5" customHeight="1">
      <c r="A1768" s="109" t="s">
        <v>7230</v>
      </c>
      <c r="B1768" s="109" t="s">
        <v>7231</v>
      </c>
      <c r="C1768" s="113">
        <v>2018</v>
      </c>
      <c r="D1768" s="112">
        <v>426</v>
      </c>
      <c r="E1768" s="112">
        <v>1760</v>
      </c>
      <c r="F1768" s="112">
        <v>458</v>
      </c>
      <c r="G1768" s="112">
        <v>1307</v>
      </c>
      <c r="H1768" s="112">
        <v>299</v>
      </c>
      <c r="I1768" s="112">
        <v>44</v>
      </c>
      <c r="J1768" s="112">
        <v>46</v>
      </c>
      <c r="K1768" s="112">
        <v>2</v>
      </c>
      <c r="L1768" s="112">
        <v>98</v>
      </c>
      <c r="M1768" s="112">
        <v>92</v>
      </c>
      <c r="N1768" s="112">
        <v>6</v>
      </c>
    </row>
    <row r="1769" spans="1:17" s="117" customFormat="1" ht="17.5" customHeight="1">
      <c r="A1769" s="109" t="s">
        <v>7230</v>
      </c>
      <c r="B1769" s="109" t="s">
        <v>7231</v>
      </c>
      <c r="C1769" s="113">
        <v>2019</v>
      </c>
      <c r="D1769" s="112">
        <v>427</v>
      </c>
      <c r="E1769" s="112">
        <v>1627.998848</v>
      </c>
      <c r="F1769" s="112">
        <v>350.01846</v>
      </c>
      <c r="G1769" s="112">
        <v>1286.9291700000001</v>
      </c>
      <c r="H1769" s="112">
        <v>318.562972</v>
      </c>
      <c r="I1769" s="112">
        <v>47.760993999999997</v>
      </c>
      <c r="J1769" s="112">
        <v>56.501924000000002</v>
      </c>
      <c r="K1769" s="112">
        <v>8.7409300000000005</v>
      </c>
      <c r="L1769" s="112">
        <v>100.834568</v>
      </c>
      <c r="M1769" s="112">
        <v>99.064925000000002</v>
      </c>
      <c r="N1769" s="112">
        <v>1.7696430000000001</v>
      </c>
      <c r="O1769" s="110"/>
      <c r="P1769" s="110"/>
      <c r="Q1769" s="110"/>
    </row>
    <row r="1770" spans="1:17" s="117" customFormat="1" ht="17.5" customHeight="1">
      <c r="A1770" s="109" t="s">
        <v>7230</v>
      </c>
      <c r="B1770" s="114" t="s">
        <v>7231</v>
      </c>
      <c r="C1770" s="113">
        <v>2020</v>
      </c>
      <c r="D1770" s="112">
        <v>421</v>
      </c>
      <c r="E1770" s="112">
        <v>1381.3017809999999</v>
      </c>
      <c r="F1770" s="112">
        <v>330.84550100000001</v>
      </c>
      <c r="G1770" s="112">
        <v>1053.6517719999999</v>
      </c>
      <c r="H1770" s="112">
        <v>291.82763</v>
      </c>
      <c r="I1770" s="112">
        <v>28.857361000000001</v>
      </c>
      <c r="J1770" s="112">
        <v>56.261270000000003</v>
      </c>
      <c r="K1770" s="112">
        <v>27.403908999999999</v>
      </c>
      <c r="L1770" s="112">
        <v>81.377233000000004</v>
      </c>
      <c r="M1770" s="112">
        <v>80.626317</v>
      </c>
      <c r="N1770" s="112">
        <v>0.75091699999999995</v>
      </c>
      <c r="O1770" s="110"/>
      <c r="P1770" s="110"/>
      <c r="Q1770" s="110"/>
    </row>
    <row r="1771" spans="1:17" s="117" customFormat="1" ht="17.5" customHeight="1">
      <c r="A1771" s="109" t="s">
        <v>7232</v>
      </c>
      <c r="B1771" s="109" t="s">
        <v>7233</v>
      </c>
      <c r="C1771" s="98">
        <v>2008</v>
      </c>
      <c r="D1771" s="99">
        <v>57</v>
      </c>
      <c r="E1771" s="99">
        <v>567</v>
      </c>
      <c r="F1771" s="99">
        <v>214</v>
      </c>
      <c r="G1771" s="99">
        <v>358</v>
      </c>
      <c r="H1771" s="99">
        <v>144</v>
      </c>
      <c r="I1771" s="99">
        <v>62</v>
      </c>
      <c r="J1771" s="99">
        <v>67</v>
      </c>
      <c r="K1771" s="99">
        <v>6</v>
      </c>
      <c r="L1771" s="99">
        <v>116</v>
      </c>
      <c r="M1771" s="99">
        <v>108</v>
      </c>
      <c r="N1771" s="99">
        <v>8</v>
      </c>
      <c r="O1771" s="100"/>
      <c r="P1771" s="100"/>
      <c r="Q1771" s="100"/>
    </row>
    <row r="1772" spans="1:17" s="117" customFormat="1" ht="17.5" customHeight="1">
      <c r="A1772" s="109" t="s">
        <v>7232</v>
      </c>
      <c r="B1772" s="109" t="s">
        <v>7233</v>
      </c>
      <c r="C1772" s="98">
        <v>2009</v>
      </c>
      <c r="D1772" s="99">
        <v>60</v>
      </c>
      <c r="E1772" s="99">
        <v>759</v>
      </c>
      <c r="F1772" s="99">
        <v>319</v>
      </c>
      <c r="G1772" s="99">
        <v>414</v>
      </c>
      <c r="H1772" s="99">
        <v>178</v>
      </c>
      <c r="I1772" s="99">
        <v>24</v>
      </c>
      <c r="J1772" s="99">
        <v>41</v>
      </c>
      <c r="K1772" s="99">
        <v>17</v>
      </c>
      <c r="L1772" s="99">
        <v>175</v>
      </c>
      <c r="M1772" s="99">
        <v>198</v>
      </c>
      <c r="N1772" s="99">
        <v>-24</v>
      </c>
      <c r="O1772" s="110"/>
      <c r="P1772" s="110"/>
      <c r="Q1772" s="110"/>
    </row>
    <row r="1773" spans="1:17" s="117" customFormat="1" ht="17.5" customHeight="1">
      <c r="A1773" s="109" t="s">
        <v>7232</v>
      </c>
      <c r="B1773" s="109" t="s">
        <v>7233</v>
      </c>
      <c r="C1773" s="98">
        <v>2010</v>
      </c>
      <c r="D1773" s="99">
        <v>58</v>
      </c>
      <c r="E1773" s="99">
        <v>753</v>
      </c>
      <c r="F1773" s="99">
        <v>340</v>
      </c>
      <c r="G1773" s="99">
        <v>422</v>
      </c>
      <c r="H1773" s="99">
        <v>164</v>
      </c>
      <c r="I1773" s="99">
        <v>28</v>
      </c>
      <c r="J1773" s="99">
        <v>31</v>
      </c>
      <c r="K1773" s="99">
        <v>3</v>
      </c>
      <c r="L1773" s="99">
        <v>186</v>
      </c>
      <c r="M1773" s="99">
        <v>175</v>
      </c>
      <c r="N1773" s="99">
        <v>11</v>
      </c>
      <c r="O1773" s="100"/>
      <c r="P1773" s="100"/>
      <c r="Q1773" s="100"/>
    </row>
    <row r="1774" spans="1:17" s="117" customFormat="1" ht="17.5" customHeight="1">
      <c r="A1774" s="109" t="s">
        <v>7232</v>
      </c>
      <c r="B1774" s="109" t="s">
        <v>7233</v>
      </c>
      <c r="C1774" s="98">
        <v>2011</v>
      </c>
      <c r="D1774" s="99">
        <v>48</v>
      </c>
      <c r="E1774" s="99">
        <v>709</v>
      </c>
      <c r="F1774" s="99">
        <v>321</v>
      </c>
      <c r="G1774" s="99">
        <v>399</v>
      </c>
      <c r="H1774" s="99">
        <v>164</v>
      </c>
      <c r="I1774" s="99">
        <v>33</v>
      </c>
      <c r="J1774" s="99" t="s">
        <v>6953</v>
      </c>
      <c r="K1774" s="99" t="s">
        <v>6953</v>
      </c>
      <c r="L1774" s="99">
        <v>117</v>
      </c>
      <c r="M1774" s="99">
        <v>106</v>
      </c>
      <c r="N1774" s="99">
        <v>12</v>
      </c>
      <c r="O1774" s="100"/>
      <c r="P1774" s="100"/>
      <c r="Q1774" s="100"/>
    </row>
    <row r="1775" spans="1:17" s="117" customFormat="1" ht="17.5" customHeight="1">
      <c r="A1775" s="109" t="s">
        <v>7232</v>
      </c>
      <c r="B1775" s="109" t="s">
        <v>7233</v>
      </c>
      <c r="C1775" s="111">
        <v>2012</v>
      </c>
      <c r="D1775" s="112">
        <v>41</v>
      </c>
      <c r="E1775" s="112">
        <v>844</v>
      </c>
      <c r="F1775" s="112">
        <v>309</v>
      </c>
      <c r="G1775" s="112">
        <v>523</v>
      </c>
      <c r="H1775" s="112">
        <v>206</v>
      </c>
      <c r="I1775" s="112">
        <v>54</v>
      </c>
      <c r="J1775" s="112">
        <v>55</v>
      </c>
      <c r="K1775" s="112">
        <v>1</v>
      </c>
      <c r="L1775" s="112">
        <v>173</v>
      </c>
      <c r="M1775" s="112">
        <v>184</v>
      </c>
      <c r="N1775" s="112">
        <v>-11</v>
      </c>
      <c r="O1775" s="110"/>
      <c r="P1775" s="110"/>
      <c r="Q1775" s="110"/>
    </row>
    <row r="1776" spans="1:17" s="117" customFormat="1" ht="17.5" customHeight="1">
      <c r="A1776" s="109" t="s">
        <v>7232</v>
      </c>
      <c r="B1776" s="109" t="s">
        <v>7233</v>
      </c>
      <c r="C1776" s="113">
        <v>2013</v>
      </c>
      <c r="D1776" s="112">
        <v>40</v>
      </c>
      <c r="E1776" s="112">
        <v>870</v>
      </c>
      <c r="F1776" s="112">
        <v>328</v>
      </c>
      <c r="G1776" s="112">
        <v>558</v>
      </c>
      <c r="H1776" s="112">
        <v>215</v>
      </c>
      <c r="I1776" s="112">
        <v>97</v>
      </c>
      <c r="J1776" s="112">
        <v>99</v>
      </c>
      <c r="K1776" s="112">
        <v>2</v>
      </c>
      <c r="L1776" s="112">
        <v>193</v>
      </c>
      <c r="M1776" s="112">
        <v>174</v>
      </c>
      <c r="N1776" s="112">
        <v>18</v>
      </c>
      <c r="O1776" s="110"/>
      <c r="P1776" s="110"/>
      <c r="Q1776" s="110"/>
    </row>
    <row r="1777" spans="1:17" s="117" customFormat="1" ht="17.5" customHeight="1">
      <c r="A1777" s="109" t="s">
        <v>7232</v>
      </c>
      <c r="B1777" s="109" t="s">
        <v>7233</v>
      </c>
      <c r="C1777" s="113">
        <v>2014</v>
      </c>
      <c r="D1777" s="99">
        <v>35</v>
      </c>
      <c r="E1777" s="99">
        <v>891</v>
      </c>
      <c r="F1777" s="99">
        <v>233</v>
      </c>
      <c r="G1777" s="99">
        <v>678</v>
      </c>
      <c r="H1777" s="99">
        <v>197</v>
      </c>
      <c r="I1777" s="99">
        <v>68</v>
      </c>
      <c r="J1777" s="99" t="s">
        <v>6953</v>
      </c>
      <c r="K1777" s="99" t="s">
        <v>6953</v>
      </c>
      <c r="L1777" s="99">
        <v>213</v>
      </c>
      <c r="M1777" s="99">
        <v>193</v>
      </c>
      <c r="N1777" s="99">
        <v>21</v>
      </c>
    </row>
    <row r="1778" spans="1:17" s="117" customFormat="1" ht="17.5" customHeight="1">
      <c r="A1778" s="109" t="s">
        <v>7232</v>
      </c>
      <c r="B1778" s="109" t="s">
        <v>7233</v>
      </c>
      <c r="C1778" s="113">
        <v>2015</v>
      </c>
      <c r="D1778" s="112">
        <v>43</v>
      </c>
      <c r="E1778" s="112">
        <v>894</v>
      </c>
      <c r="F1778" s="112">
        <v>316</v>
      </c>
      <c r="G1778" s="112">
        <v>535</v>
      </c>
      <c r="H1778" s="112">
        <v>203</v>
      </c>
      <c r="I1778" s="112">
        <v>85</v>
      </c>
      <c r="J1778" s="99" t="s">
        <v>6953</v>
      </c>
      <c r="K1778" s="99" t="s">
        <v>6953</v>
      </c>
      <c r="L1778" s="112">
        <v>171</v>
      </c>
      <c r="M1778" s="112">
        <v>214</v>
      </c>
      <c r="N1778" s="112">
        <v>-43</v>
      </c>
    </row>
    <row r="1779" spans="1:17" s="117" customFormat="1" ht="17.5" customHeight="1">
      <c r="A1779" s="109" t="s">
        <v>7232</v>
      </c>
      <c r="B1779" s="109" t="s">
        <v>7233</v>
      </c>
      <c r="C1779" s="113">
        <v>2016</v>
      </c>
      <c r="D1779" s="112">
        <v>47</v>
      </c>
      <c r="E1779" s="112">
        <v>910</v>
      </c>
      <c r="F1779" s="112">
        <v>382</v>
      </c>
      <c r="G1779" s="112">
        <v>533</v>
      </c>
      <c r="H1779" s="112">
        <v>203</v>
      </c>
      <c r="I1779" s="112">
        <v>69</v>
      </c>
      <c r="J1779" s="112">
        <v>69</v>
      </c>
      <c r="K1779" s="112">
        <v>1</v>
      </c>
      <c r="L1779" s="112">
        <v>170</v>
      </c>
      <c r="M1779" s="112">
        <v>171</v>
      </c>
      <c r="N1779" s="112">
        <v>-1</v>
      </c>
    </row>
    <row r="1780" spans="1:17" s="117" customFormat="1" ht="17.5" customHeight="1">
      <c r="A1780" s="109" t="s">
        <v>7232</v>
      </c>
      <c r="B1780" s="109" t="s">
        <v>7233</v>
      </c>
      <c r="C1780" s="113">
        <v>2017</v>
      </c>
      <c r="D1780" s="112">
        <v>47</v>
      </c>
      <c r="E1780" s="112">
        <v>936</v>
      </c>
      <c r="F1780" s="112">
        <v>402</v>
      </c>
      <c r="G1780" s="112">
        <v>547</v>
      </c>
      <c r="H1780" s="112">
        <v>208</v>
      </c>
      <c r="I1780" s="112">
        <v>67</v>
      </c>
      <c r="J1780" s="112">
        <v>67</v>
      </c>
      <c r="K1780" s="112" t="s">
        <v>6952</v>
      </c>
      <c r="L1780" s="112">
        <v>176</v>
      </c>
      <c r="M1780" s="112">
        <v>169</v>
      </c>
      <c r="N1780" s="112">
        <v>7</v>
      </c>
    </row>
    <row r="1781" spans="1:17" s="117" customFormat="1" ht="17.5" customHeight="1">
      <c r="A1781" s="109" t="s">
        <v>7232</v>
      </c>
      <c r="B1781" s="109" t="s">
        <v>7233</v>
      </c>
      <c r="C1781" s="113">
        <v>2018</v>
      </c>
      <c r="D1781" s="112">
        <v>45</v>
      </c>
      <c r="E1781" s="112">
        <v>1004</v>
      </c>
      <c r="F1781" s="112">
        <v>428</v>
      </c>
      <c r="G1781" s="112">
        <v>563</v>
      </c>
      <c r="H1781" s="112">
        <v>222</v>
      </c>
      <c r="I1781" s="112">
        <v>67</v>
      </c>
      <c r="J1781" s="99" t="s">
        <v>6953</v>
      </c>
      <c r="K1781" s="99" t="s">
        <v>6953</v>
      </c>
      <c r="L1781" s="112">
        <v>165</v>
      </c>
      <c r="M1781" s="112">
        <v>178</v>
      </c>
      <c r="N1781" s="112">
        <v>-13</v>
      </c>
      <c r="O1781" s="110"/>
      <c r="P1781" s="110"/>
      <c r="Q1781" s="110"/>
    </row>
    <row r="1782" spans="1:17" s="117" customFormat="1" ht="17.5" customHeight="1">
      <c r="A1782" s="109" t="s">
        <v>7232</v>
      </c>
      <c r="B1782" s="109" t="s">
        <v>7233</v>
      </c>
      <c r="C1782" s="113">
        <v>2019</v>
      </c>
      <c r="D1782" s="112">
        <v>44</v>
      </c>
      <c r="E1782" s="112">
        <v>1122.753629</v>
      </c>
      <c r="F1782" s="112">
        <v>507.516321</v>
      </c>
      <c r="G1782" s="112">
        <v>645.17920700000002</v>
      </c>
      <c r="H1782" s="112">
        <v>245.588572</v>
      </c>
      <c r="I1782" s="112" t="s">
        <v>6953</v>
      </c>
      <c r="J1782" s="112" t="s">
        <v>6953</v>
      </c>
      <c r="K1782" s="112" t="s">
        <v>6953</v>
      </c>
      <c r="L1782" s="112" t="s">
        <v>6953</v>
      </c>
      <c r="M1782" s="112" t="s">
        <v>6953</v>
      </c>
      <c r="N1782" s="112" t="s">
        <v>6953</v>
      </c>
      <c r="O1782" s="110"/>
      <c r="P1782" s="110"/>
      <c r="Q1782" s="110"/>
    </row>
    <row r="1783" spans="1:17" s="117" customFormat="1" ht="17.5" customHeight="1">
      <c r="A1783" s="114" t="s">
        <v>7232</v>
      </c>
      <c r="B1783" s="114" t="s">
        <v>7233</v>
      </c>
      <c r="C1783" s="113">
        <v>2020</v>
      </c>
      <c r="D1783" s="112">
        <v>47</v>
      </c>
      <c r="E1783" s="112">
        <v>1041.2396510000001</v>
      </c>
      <c r="F1783" s="112">
        <v>455.71301299999999</v>
      </c>
      <c r="G1783" s="112">
        <v>569.57705999999996</v>
      </c>
      <c r="H1783" s="112">
        <v>238.16703699999999</v>
      </c>
      <c r="I1783" s="112" t="s">
        <v>6953</v>
      </c>
      <c r="J1783" s="112" t="s">
        <v>6953</v>
      </c>
      <c r="K1783" s="112" t="s">
        <v>6953</v>
      </c>
      <c r="L1783" s="112" t="s">
        <v>6953</v>
      </c>
      <c r="M1783" s="112" t="s">
        <v>6953</v>
      </c>
      <c r="N1783" s="112" t="s">
        <v>6953</v>
      </c>
      <c r="O1783" s="100"/>
      <c r="P1783" s="100"/>
      <c r="Q1783" s="100"/>
    </row>
    <row r="1784" spans="1:17" s="117" customFormat="1" ht="17.5" customHeight="1">
      <c r="A1784" s="109" t="s">
        <v>7234</v>
      </c>
      <c r="B1784" s="109" t="s">
        <v>7235</v>
      </c>
      <c r="C1784" s="98">
        <v>2008</v>
      </c>
      <c r="D1784" s="99">
        <v>56</v>
      </c>
      <c r="E1784" s="99">
        <v>589</v>
      </c>
      <c r="F1784" s="99">
        <v>258</v>
      </c>
      <c r="G1784" s="99">
        <v>338</v>
      </c>
      <c r="H1784" s="99">
        <v>124</v>
      </c>
      <c r="I1784" s="99">
        <v>32</v>
      </c>
      <c r="J1784" s="99">
        <v>33</v>
      </c>
      <c r="K1784" s="99">
        <v>1</v>
      </c>
      <c r="L1784" s="99">
        <v>63</v>
      </c>
      <c r="M1784" s="99">
        <v>56</v>
      </c>
      <c r="N1784" s="99">
        <v>7</v>
      </c>
      <c r="O1784" s="110"/>
      <c r="P1784" s="110"/>
      <c r="Q1784" s="110"/>
    </row>
    <row r="1785" spans="1:17" s="117" customFormat="1" ht="17.5" customHeight="1">
      <c r="A1785" s="109" t="s">
        <v>7234</v>
      </c>
      <c r="B1785" s="109" t="s">
        <v>7235</v>
      </c>
      <c r="C1785" s="98">
        <v>2009</v>
      </c>
      <c r="D1785" s="99">
        <v>56</v>
      </c>
      <c r="E1785" s="99">
        <v>486</v>
      </c>
      <c r="F1785" s="99">
        <v>165</v>
      </c>
      <c r="G1785" s="99">
        <v>309</v>
      </c>
      <c r="H1785" s="99">
        <v>79</v>
      </c>
      <c r="I1785" s="99">
        <v>12</v>
      </c>
      <c r="J1785" s="99">
        <v>18</v>
      </c>
      <c r="K1785" s="99">
        <v>6</v>
      </c>
      <c r="L1785" s="99">
        <v>50</v>
      </c>
      <c r="M1785" s="99">
        <v>63</v>
      </c>
      <c r="N1785" s="99">
        <v>-13</v>
      </c>
      <c r="O1785" s="100"/>
      <c r="P1785" s="100"/>
      <c r="Q1785" s="100"/>
    </row>
    <row r="1786" spans="1:17" s="117" customFormat="1" ht="17.5" customHeight="1">
      <c r="A1786" s="109" t="s">
        <v>7234</v>
      </c>
      <c r="B1786" s="109" t="s">
        <v>7235</v>
      </c>
      <c r="C1786" s="98">
        <v>2010</v>
      </c>
      <c r="D1786" s="99">
        <v>52</v>
      </c>
      <c r="E1786" s="99">
        <v>500</v>
      </c>
      <c r="F1786" s="99">
        <v>209</v>
      </c>
      <c r="G1786" s="99">
        <v>301</v>
      </c>
      <c r="H1786" s="99">
        <v>79</v>
      </c>
      <c r="I1786" s="99">
        <v>11</v>
      </c>
      <c r="J1786" s="99">
        <v>14</v>
      </c>
      <c r="K1786" s="99">
        <v>3</v>
      </c>
      <c r="L1786" s="99">
        <v>53</v>
      </c>
      <c r="M1786" s="99">
        <v>42</v>
      </c>
      <c r="N1786" s="99">
        <v>11</v>
      </c>
      <c r="O1786" s="100"/>
      <c r="P1786" s="100"/>
      <c r="Q1786" s="100"/>
    </row>
    <row r="1787" spans="1:17" s="117" customFormat="1" ht="17.5" customHeight="1">
      <c r="A1787" s="109" t="s">
        <v>7234</v>
      </c>
      <c r="B1787" s="109" t="s">
        <v>7235</v>
      </c>
      <c r="C1787" s="98">
        <v>2011</v>
      </c>
      <c r="D1787" s="99">
        <v>51</v>
      </c>
      <c r="E1787" s="99">
        <v>557</v>
      </c>
      <c r="F1787" s="99">
        <v>184</v>
      </c>
      <c r="G1787" s="99">
        <v>375</v>
      </c>
      <c r="H1787" s="99">
        <v>88</v>
      </c>
      <c r="I1787" s="99">
        <v>19</v>
      </c>
      <c r="J1787" s="99">
        <v>21</v>
      </c>
      <c r="K1787" s="99">
        <v>2</v>
      </c>
      <c r="L1787" s="99">
        <v>49</v>
      </c>
      <c r="M1787" s="99">
        <v>47</v>
      </c>
      <c r="N1787" s="99">
        <v>2</v>
      </c>
      <c r="O1787" s="110"/>
      <c r="P1787" s="110"/>
      <c r="Q1787" s="110"/>
    </row>
    <row r="1788" spans="1:17" s="117" customFormat="1" ht="17.5" customHeight="1">
      <c r="A1788" s="109" t="s">
        <v>7234</v>
      </c>
      <c r="B1788" s="109" t="s">
        <v>7235</v>
      </c>
      <c r="C1788" s="111">
        <v>2012</v>
      </c>
      <c r="D1788" s="112">
        <v>44</v>
      </c>
      <c r="E1788" s="112">
        <v>514</v>
      </c>
      <c r="F1788" s="112">
        <v>154</v>
      </c>
      <c r="G1788" s="112">
        <v>361</v>
      </c>
      <c r="H1788" s="112">
        <v>103</v>
      </c>
      <c r="I1788" s="112">
        <v>23</v>
      </c>
      <c r="J1788" s="112">
        <v>23</v>
      </c>
      <c r="K1788" s="112" t="s">
        <v>6952</v>
      </c>
      <c r="L1788" s="112">
        <v>50</v>
      </c>
      <c r="M1788" s="112">
        <v>49</v>
      </c>
      <c r="N1788" s="112">
        <v>1</v>
      </c>
      <c r="O1788" s="110"/>
      <c r="P1788" s="110"/>
      <c r="Q1788" s="110"/>
    </row>
    <row r="1789" spans="1:17" s="117" customFormat="1" ht="17.5" customHeight="1">
      <c r="A1789" s="109" t="s">
        <v>7234</v>
      </c>
      <c r="B1789" s="109" t="s">
        <v>7235</v>
      </c>
      <c r="C1789" s="113">
        <v>2013</v>
      </c>
      <c r="D1789" s="112">
        <v>49</v>
      </c>
      <c r="E1789" s="112">
        <v>416</v>
      </c>
      <c r="F1789" s="112">
        <v>94</v>
      </c>
      <c r="G1789" s="112">
        <v>323</v>
      </c>
      <c r="H1789" s="112">
        <v>102</v>
      </c>
      <c r="I1789" s="99" t="s">
        <v>6953</v>
      </c>
      <c r="J1789" s="112">
        <v>37</v>
      </c>
      <c r="K1789" s="99" t="s">
        <v>6953</v>
      </c>
      <c r="L1789" s="99" t="s">
        <v>6953</v>
      </c>
      <c r="M1789" s="99" t="s">
        <v>6953</v>
      </c>
      <c r="N1789" s="112" t="s">
        <v>6952</v>
      </c>
    </row>
    <row r="1790" spans="1:17" s="117" customFormat="1" ht="17.5" customHeight="1">
      <c r="A1790" s="109" t="s">
        <v>7234</v>
      </c>
      <c r="B1790" s="109" t="s">
        <v>7235</v>
      </c>
      <c r="C1790" s="113">
        <v>2014</v>
      </c>
      <c r="D1790" s="99">
        <v>48</v>
      </c>
      <c r="E1790" s="99">
        <v>448</v>
      </c>
      <c r="F1790" s="99">
        <v>122</v>
      </c>
      <c r="G1790" s="99">
        <v>330</v>
      </c>
      <c r="H1790" s="99">
        <v>101</v>
      </c>
      <c r="I1790" s="99">
        <v>30</v>
      </c>
      <c r="J1790" s="99">
        <v>30</v>
      </c>
      <c r="K1790" s="99" t="s">
        <v>6952</v>
      </c>
      <c r="L1790" s="99">
        <v>54</v>
      </c>
      <c r="M1790" s="99">
        <v>50</v>
      </c>
      <c r="N1790" s="99">
        <v>5</v>
      </c>
    </row>
    <row r="1791" spans="1:17" s="117" customFormat="1" ht="17.5" customHeight="1">
      <c r="A1791" s="109" t="s">
        <v>7234</v>
      </c>
      <c r="B1791" s="109" t="s">
        <v>7235</v>
      </c>
      <c r="C1791" s="113">
        <v>2015</v>
      </c>
      <c r="D1791" s="112">
        <v>46</v>
      </c>
      <c r="E1791" s="112">
        <v>489</v>
      </c>
      <c r="F1791" s="112">
        <v>161</v>
      </c>
      <c r="G1791" s="112">
        <v>330</v>
      </c>
      <c r="H1791" s="112">
        <v>105</v>
      </c>
      <c r="I1791" s="112">
        <v>22</v>
      </c>
      <c r="J1791" s="112">
        <v>24</v>
      </c>
      <c r="K1791" s="112">
        <v>2</v>
      </c>
      <c r="L1791" s="112">
        <v>63</v>
      </c>
      <c r="M1791" s="112">
        <v>61</v>
      </c>
      <c r="N1791" s="112">
        <v>2</v>
      </c>
    </row>
    <row r="1792" spans="1:17" s="117" customFormat="1" ht="17.5" customHeight="1">
      <c r="A1792" s="109" t="s">
        <v>7234</v>
      </c>
      <c r="B1792" s="109" t="s">
        <v>7235</v>
      </c>
      <c r="C1792" s="113">
        <v>2016</v>
      </c>
      <c r="D1792" s="112">
        <v>43</v>
      </c>
      <c r="E1792" s="112">
        <v>407</v>
      </c>
      <c r="F1792" s="112">
        <v>149</v>
      </c>
      <c r="G1792" s="112">
        <v>258</v>
      </c>
      <c r="H1792" s="112">
        <v>91</v>
      </c>
      <c r="I1792" s="99" t="s">
        <v>6953</v>
      </c>
      <c r="J1792" s="99" t="s">
        <v>6953</v>
      </c>
      <c r="K1792" s="99" t="s">
        <v>6953</v>
      </c>
      <c r="L1792" s="112">
        <v>53</v>
      </c>
      <c r="M1792" s="112">
        <v>51</v>
      </c>
      <c r="N1792" s="112">
        <v>2</v>
      </c>
    </row>
    <row r="1793" spans="1:17" s="117" customFormat="1" ht="17.5" customHeight="1">
      <c r="A1793" s="109" t="s">
        <v>7234</v>
      </c>
      <c r="B1793" s="109" t="s">
        <v>7235</v>
      </c>
      <c r="C1793" s="113">
        <v>2017</v>
      </c>
      <c r="D1793" s="112">
        <v>42</v>
      </c>
      <c r="E1793" s="112">
        <v>475</v>
      </c>
      <c r="F1793" s="112">
        <v>161</v>
      </c>
      <c r="G1793" s="112">
        <v>315</v>
      </c>
      <c r="H1793" s="112">
        <v>89</v>
      </c>
      <c r="I1793" s="99" t="s">
        <v>6953</v>
      </c>
      <c r="J1793" s="99" t="s">
        <v>6953</v>
      </c>
      <c r="K1793" s="112" t="s">
        <v>6952</v>
      </c>
      <c r="L1793" s="99" t="s">
        <v>6953</v>
      </c>
      <c r="M1793" s="99" t="s">
        <v>6953</v>
      </c>
      <c r="N1793" s="99" t="s">
        <v>6953</v>
      </c>
      <c r="O1793" s="110"/>
      <c r="P1793" s="110"/>
      <c r="Q1793" s="110"/>
    </row>
    <row r="1794" spans="1:17" s="117" customFormat="1" ht="17.5" customHeight="1">
      <c r="A1794" s="109" t="s">
        <v>7234</v>
      </c>
      <c r="B1794" s="109" t="s">
        <v>7235</v>
      </c>
      <c r="C1794" s="113">
        <v>2018</v>
      </c>
      <c r="D1794" s="112">
        <v>38</v>
      </c>
      <c r="E1794" s="112">
        <v>450</v>
      </c>
      <c r="F1794" s="112">
        <v>159</v>
      </c>
      <c r="G1794" s="112">
        <v>300</v>
      </c>
      <c r="H1794" s="112">
        <v>93</v>
      </c>
      <c r="I1794" s="99" t="s">
        <v>6953</v>
      </c>
      <c r="J1794" s="99" t="s">
        <v>6953</v>
      </c>
      <c r="K1794" s="99" t="s">
        <v>6953</v>
      </c>
      <c r="L1794" s="99" t="s">
        <v>6953</v>
      </c>
      <c r="M1794" s="99" t="s">
        <v>6953</v>
      </c>
      <c r="N1794" s="99" t="s">
        <v>6953</v>
      </c>
      <c r="O1794" s="110"/>
      <c r="P1794" s="110"/>
      <c r="Q1794" s="110"/>
    </row>
    <row r="1795" spans="1:17" s="117" customFormat="1" ht="17.5" customHeight="1">
      <c r="A1795" s="109" t="s">
        <v>7234</v>
      </c>
      <c r="B1795" s="109" t="s">
        <v>7235</v>
      </c>
      <c r="C1795" s="113">
        <v>2019</v>
      </c>
      <c r="D1795" s="112">
        <v>38</v>
      </c>
      <c r="E1795" s="112">
        <v>751.45422199999996</v>
      </c>
      <c r="F1795" s="112">
        <v>234.70591899999999</v>
      </c>
      <c r="G1795" s="112">
        <v>522.11870899999997</v>
      </c>
      <c r="H1795" s="112">
        <v>133.407118</v>
      </c>
      <c r="I1795" s="112">
        <v>29.066811000000001</v>
      </c>
      <c r="J1795" s="112">
        <v>29.161854000000002</v>
      </c>
      <c r="K1795" s="112" t="s">
        <v>6952</v>
      </c>
      <c r="L1795" s="112">
        <v>83.876925</v>
      </c>
      <c r="M1795" s="112">
        <v>82.429283999999996</v>
      </c>
      <c r="N1795" s="112">
        <v>1.447641</v>
      </c>
      <c r="O1795" s="100"/>
      <c r="P1795" s="100"/>
      <c r="Q1795" s="100"/>
    </row>
    <row r="1796" spans="1:17" s="117" customFormat="1" ht="17.5" customHeight="1">
      <c r="A1796" s="114" t="s">
        <v>7234</v>
      </c>
      <c r="B1796" s="114" t="s">
        <v>7235</v>
      </c>
      <c r="C1796" s="113">
        <v>2020</v>
      </c>
      <c r="D1796" s="112">
        <v>40</v>
      </c>
      <c r="E1796" s="112">
        <v>588.40972799999997</v>
      </c>
      <c r="F1796" s="112">
        <v>163.56053700000001</v>
      </c>
      <c r="G1796" s="112">
        <v>404.07710100000003</v>
      </c>
      <c r="H1796" s="112">
        <v>123.802775</v>
      </c>
      <c r="I1796" s="112">
        <v>25.136585</v>
      </c>
      <c r="J1796" s="112" t="s">
        <v>6953</v>
      </c>
      <c r="K1796" s="112" t="s">
        <v>6953</v>
      </c>
      <c r="L1796" s="112">
        <v>67.481725999999995</v>
      </c>
      <c r="M1796" s="112">
        <v>88.570961999999994</v>
      </c>
      <c r="N1796" s="112">
        <v>-21.089236</v>
      </c>
      <c r="O1796" s="110"/>
      <c r="P1796" s="110"/>
      <c r="Q1796" s="110"/>
    </row>
    <row r="1797" spans="1:17" s="117" customFormat="1" ht="31.75" customHeight="1">
      <c r="A1797" s="109" t="s">
        <v>7236</v>
      </c>
      <c r="B1797" s="109" t="s">
        <v>7237</v>
      </c>
      <c r="C1797" s="98">
        <v>2008</v>
      </c>
      <c r="D1797" s="99">
        <v>397</v>
      </c>
      <c r="E1797" s="99">
        <v>252</v>
      </c>
      <c r="F1797" s="99">
        <v>93</v>
      </c>
      <c r="G1797" s="99">
        <v>161</v>
      </c>
      <c r="H1797" s="99">
        <v>74</v>
      </c>
      <c r="I1797" s="99">
        <v>4</v>
      </c>
      <c r="J1797" s="99">
        <v>6</v>
      </c>
      <c r="K1797" s="99">
        <v>2</v>
      </c>
      <c r="L1797" s="99">
        <v>20</v>
      </c>
      <c r="M1797" s="99">
        <v>18</v>
      </c>
      <c r="N1797" s="99">
        <v>2</v>
      </c>
      <c r="O1797" s="100"/>
      <c r="P1797" s="100"/>
      <c r="Q1797" s="100"/>
    </row>
    <row r="1798" spans="1:17" s="117" customFormat="1" ht="31.75" customHeight="1">
      <c r="A1798" s="109" t="s">
        <v>7236</v>
      </c>
      <c r="B1798" s="109" t="s">
        <v>7237</v>
      </c>
      <c r="C1798" s="98">
        <v>2009</v>
      </c>
      <c r="D1798" s="99">
        <v>343</v>
      </c>
      <c r="E1798" s="99">
        <v>236</v>
      </c>
      <c r="F1798" s="99">
        <v>93</v>
      </c>
      <c r="G1798" s="99">
        <v>143</v>
      </c>
      <c r="H1798" s="99">
        <v>52</v>
      </c>
      <c r="I1798" s="99">
        <v>-2</v>
      </c>
      <c r="J1798" s="99">
        <v>5</v>
      </c>
      <c r="K1798" s="99">
        <v>7</v>
      </c>
      <c r="L1798" s="99">
        <v>26</v>
      </c>
      <c r="M1798" s="99">
        <v>26</v>
      </c>
      <c r="N1798" s="99" t="s">
        <v>6952</v>
      </c>
      <c r="O1798" s="100"/>
      <c r="P1798" s="100"/>
      <c r="Q1798" s="100"/>
    </row>
    <row r="1799" spans="1:17" s="117" customFormat="1" ht="31.75" customHeight="1">
      <c r="A1799" s="109" t="s">
        <v>7236</v>
      </c>
      <c r="B1799" s="109" t="s">
        <v>7237</v>
      </c>
      <c r="C1799" s="98">
        <v>2010</v>
      </c>
      <c r="D1799" s="99">
        <v>304</v>
      </c>
      <c r="E1799" s="99">
        <v>199</v>
      </c>
      <c r="F1799" s="99">
        <v>94</v>
      </c>
      <c r="G1799" s="99">
        <v>109</v>
      </c>
      <c r="H1799" s="99">
        <v>52</v>
      </c>
      <c r="I1799" s="99">
        <v>3</v>
      </c>
      <c r="J1799" s="99">
        <v>4</v>
      </c>
      <c r="K1799" s="99">
        <v>2</v>
      </c>
      <c r="L1799" s="99">
        <v>39</v>
      </c>
      <c r="M1799" s="99">
        <v>36</v>
      </c>
      <c r="N1799" s="99">
        <v>3</v>
      </c>
      <c r="O1799" s="110"/>
      <c r="P1799" s="110"/>
      <c r="Q1799" s="110"/>
    </row>
    <row r="1800" spans="1:17" s="117" customFormat="1" ht="31.75" customHeight="1">
      <c r="A1800" s="109" t="s">
        <v>7236</v>
      </c>
      <c r="B1800" s="109" t="s">
        <v>7237</v>
      </c>
      <c r="C1800" s="98">
        <v>2011</v>
      </c>
      <c r="D1800" s="99">
        <v>303</v>
      </c>
      <c r="E1800" s="99">
        <v>304</v>
      </c>
      <c r="F1800" s="99">
        <v>115</v>
      </c>
      <c r="G1800" s="99">
        <v>200</v>
      </c>
      <c r="H1800" s="99">
        <v>54</v>
      </c>
      <c r="I1800" s="99">
        <v>18</v>
      </c>
      <c r="J1800" s="99">
        <v>19</v>
      </c>
      <c r="K1800" s="99" t="s">
        <v>6952</v>
      </c>
      <c r="L1800" s="99">
        <v>88</v>
      </c>
      <c r="M1800" s="99">
        <v>78</v>
      </c>
      <c r="N1800" s="99">
        <v>10</v>
      </c>
      <c r="O1800" s="110"/>
      <c r="P1800" s="110"/>
      <c r="Q1800" s="110"/>
    </row>
    <row r="1801" spans="1:17" s="117" customFormat="1" ht="31.75" customHeight="1">
      <c r="A1801" s="109" t="s">
        <v>7236</v>
      </c>
      <c r="B1801" s="109" t="s">
        <v>7237</v>
      </c>
      <c r="C1801" s="111">
        <v>2012</v>
      </c>
      <c r="D1801" s="112">
        <v>266</v>
      </c>
      <c r="E1801" s="112">
        <v>183</v>
      </c>
      <c r="F1801" s="112">
        <v>78</v>
      </c>
      <c r="G1801" s="112">
        <v>99</v>
      </c>
      <c r="H1801" s="112">
        <v>41</v>
      </c>
      <c r="I1801" s="112">
        <v>4</v>
      </c>
      <c r="J1801" s="112">
        <v>4</v>
      </c>
      <c r="K1801" s="99" t="s">
        <v>6952</v>
      </c>
      <c r="L1801" s="112">
        <v>15</v>
      </c>
      <c r="M1801" s="112">
        <v>21</v>
      </c>
      <c r="N1801" s="112">
        <v>-6</v>
      </c>
    </row>
    <row r="1802" spans="1:17" s="117" customFormat="1" ht="31.75" customHeight="1">
      <c r="A1802" s="109" t="s">
        <v>7236</v>
      </c>
      <c r="B1802" s="109" t="s">
        <v>7237</v>
      </c>
      <c r="C1802" s="113">
        <v>2013</v>
      </c>
      <c r="D1802" s="112">
        <v>263</v>
      </c>
      <c r="E1802" s="112">
        <v>186</v>
      </c>
      <c r="F1802" s="112">
        <v>102</v>
      </c>
      <c r="G1802" s="112">
        <v>87</v>
      </c>
      <c r="H1802" s="112">
        <v>45</v>
      </c>
      <c r="I1802" s="112">
        <v>8</v>
      </c>
      <c r="J1802" s="112">
        <v>8</v>
      </c>
      <c r="K1802" s="99" t="s">
        <v>6952</v>
      </c>
      <c r="L1802" s="112">
        <v>22</v>
      </c>
      <c r="M1802" s="112">
        <v>19</v>
      </c>
      <c r="N1802" s="112">
        <v>3</v>
      </c>
    </row>
    <row r="1803" spans="1:17" s="117" customFormat="1" ht="31.75" customHeight="1">
      <c r="A1803" s="109" t="s">
        <v>7236</v>
      </c>
      <c r="B1803" s="109" t="s">
        <v>7237</v>
      </c>
      <c r="C1803" s="113">
        <v>2014</v>
      </c>
      <c r="D1803" s="99">
        <v>254</v>
      </c>
      <c r="E1803" s="99">
        <v>178</v>
      </c>
      <c r="F1803" s="99">
        <v>91</v>
      </c>
      <c r="G1803" s="99">
        <v>88</v>
      </c>
      <c r="H1803" s="99">
        <v>46</v>
      </c>
      <c r="I1803" s="99">
        <v>6</v>
      </c>
      <c r="J1803" s="99">
        <v>6</v>
      </c>
      <c r="K1803" s="99" t="s">
        <v>6952</v>
      </c>
      <c r="L1803" s="99">
        <v>20</v>
      </c>
      <c r="M1803" s="99">
        <v>19</v>
      </c>
      <c r="N1803" s="99">
        <v>1</v>
      </c>
    </row>
    <row r="1804" spans="1:17" s="117" customFormat="1" ht="31.75" customHeight="1">
      <c r="A1804" s="109" t="s">
        <v>7236</v>
      </c>
      <c r="B1804" s="109" t="s">
        <v>7237</v>
      </c>
      <c r="C1804" s="113">
        <v>2015</v>
      </c>
      <c r="D1804" s="112">
        <v>247</v>
      </c>
      <c r="E1804" s="112">
        <v>188</v>
      </c>
      <c r="F1804" s="112">
        <v>82</v>
      </c>
      <c r="G1804" s="112">
        <v>105</v>
      </c>
      <c r="H1804" s="112">
        <v>57</v>
      </c>
      <c r="I1804" s="112">
        <v>6</v>
      </c>
      <c r="J1804" s="112">
        <v>7</v>
      </c>
      <c r="K1804" s="112">
        <v>1</v>
      </c>
      <c r="L1804" s="112">
        <v>24</v>
      </c>
      <c r="M1804" s="112">
        <v>28</v>
      </c>
      <c r="N1804" s="112">
        <v>-5</v>
      </c>
    </row>
    <row r="1805" spans="1:17" s="117" customFormat="1" ht="31.75" customHeight="1">
      <c r="A1805" s="109" t="s">
        <v>7236</v>
      </c>
      <c r="B1805" s="109" t="s">
        <v>7237</v>
      </c>
      <c r="C1805" s="113">
        <v>2016</v>
      </c>
      <c r="D1805" s="112">
        <v>232</v>
      </c>
      <c r="E1805" s="112">
        <v>221</v>
      </c>
      <c r="F1805" s="112">
        <v>97</v>
      </c>
      <c r="G1805" s="112">
        <v>126</v>
      </c>
      <c r="H1805" s="112">
        <v>55</v>
      </c>
      <c r="I1805" s="112">
        <v>14</v>
      </c>
      <c r="J1805" s="112">
        <v>15</v>
      </c>
      <c r="K1805" s="112">
        <v>1</v>
      </c>
      <c r="L1805" s="112">
        <v>23</v>
      </c>
      <c r="M1805" s="112">
        <v>19</v>
      </c>
      <c r="N1805" s="112">
        <v>4</v>
      </c>
      <c r="O1805" s="110"/>
      <c r="P1805" s="110"/>
      <c r="Q1805" s="110"/>
    </row>
    <row r="1806" spans="1:17" s="117" customFormat="1" ht="31.75" customHeight="1">
      <c r="A1806" s="109" t="s">
        <v>7236</v>
      </c>
      <c r="B1806" s="109" t="s">
        <v>7237</v>
      </c>
      <c r="C1806" s="113">
        <v>2017</v>
      </c>
      <c r="D1806" s="112">
        <v>230</v>
      </c>
      <c r="E1806" s="112">
        <v>201</v>
      </c>
      <c r="F1806" s="112">
        <v>105</v>
      </c>
      <c r="G1806" s="112">
        <v>104</v>
      </c>
      <c r="H1806" s="112">
        <v>60</v>
      </c>
      <c r="I1806" s="112">
        <v>8</v>
      </c>
      <c r="J1806" s="112">
        <v>8</v>
      </c>
      <c r="K1806" s="112" t="s">
        <v>6952</v>
      </c>
      <c r="L1806" s="112">
        <v>30</v>
      </c>
      <c r="M1806" s="112">
        <v>23</v>
      </c>
      <c r="N1806" s="112">
        <v>7</v>
      </c>
      <c r="O1806" s="110"/>
      <c r="P1806" s="110"/>
      <c r="Q1806" s="110"/>
    </row>
    <row r="1807" spans="1:17" s="117" customFormat="1" ht="31.75" customHeight="1">
      <c r="A1807" s="109" t="s">
        <v>7236</v>
      </c>
      <c r="B1807" s="109" t="s">
        <v>7237</v>
      </c>
      <c r="C1807" s="113">
        <v>2018</v>
      </c>
      <c r="D1807" s="112">
        <v>227</v>
      </c>
      <c r="E1807" s="112">
        <v>231</v>
      </c>
      <c r="F1807" s="112">
        <v>116</v>
      </c>
      <c r="G1807" s="112">
        <v>117</v>
      </c>
      <c r="H1807" s="112">
        <v>59</v>
      </c>
      <c r="I1807" s="112">
        <v>14</v>
      </c>
      <c r="J1807" s="112">
        <v>15</v>
      </c>
      <c r="K1807" s="112">
        <v>2</v>
      </c>
      <c r="L1807" s="112">
        <v>22</v>
      </c>
      <c r="M1807" s="112">
        <v>20</v>
      </c>
      <c r="N1807" s="112">
        <v>2</v>
      </c>
      <c r="O1807" s="100"/>
      <c r="P1807" s="100"/>
      <c r="Q1807" s="100"/>
    </row>
    <row r="1808" spans="1:17" s="117" customFormat="1" ht="31.75" customHeight="1">
      <c r="A1808" s="109" t="s">
        <v>7236</v>
      </c>
      <c r="B1808" s="109" t="s">
        <v>7237</v>
      </c>
      <c r="C1808" s="113">
        <v>2019</v>
      </c>
      <c r="D1808" s="112">
        <v>220</v>
      </c>
      <c r="E1808" s="112">
        <v>245.82016899999999</v>
      </c>
      <c r="F1808" s="112">
        <v>122.415171</v>
      </c>
      <c r="G1808" s="112">
        <v>130.01589000000001</v>
      </c>
      <c r="H1808" s="112">
        <v>59.426658000000003</v>
      </c>
      <c r="I1808" s="112">
        <v>9.9691299999999998</v>
      </c>
      <c r="J1808" s="112">
        <v>11.517647</v>
      </c>
      <c r="K1808" s="112">
        <v>1.5485169999999999</v>
      </c>
      <c r="L1808" s="112">
        <v>27.094360999999999</v>
      </c>
      <c r="M1808" s="112">
        <v>21.088759</v>
      </c>
      <c r="N1808" s="112">
        <v>6.0056019999999997</v>
      </c>
      <c r="O1808" s="110"/>
      <c r="P1808" s="110"/>
      <c r="Q1808" s="110"/>
    </row>
    <row r="1809" spans="1:17" s="117" customFormat="1" ht="31.75" customHeight="1">
      <c r="A1809" s="114" t="s">
        <v>7236</v>
      </c>
      <c r="B1809" s="114" t="s">
        <v>7237</v>
      </c>
      <c r="C1809" s="113">
        <v>2020</v>
      </c>
      <c r="D1809" s="112">
        <v>230</v>
      </c>
      <c r="E1809" s="112">
        <v>293.49230799999998</v>
      </c>
      <c r="F1809" s="112">
        <v>154.031173</v>
      </c>
      <c r="G1809" s="112">
        <v>138.43500299999999</v>
      </c>
      <c r="H1809" s="112">
        <v>52.113044000000002</v>
      </c>
      <c r="I1809" s="112">
        <v>9.9297260000000005</v>
      </c>
      <c r="J1809" s="112">
        <v>10.190595999999999</v>
      </c>
      <c r="K1809" s="112" t="s">
        <v>6952</v>
      </c>
      <c r="L1809" s="112">
        <v>33.601934999999997</v>
      </c>
      <c r="M1809" s="112">
        <v>34.459999000000003</v>
      </c>
      <c r="N1809" s="112">
        <v>-0.85806400000000005</v>
      </c>
      <c r="O1809" s="100"/>
      <c r="P1809" s="100"/>
      <c r="Q1809" s="100"/>
    </row>
    <row r="1810" spans="1:17" s="117" customFormat="1" ht="17.5" customHeight="1">
      <c r="A1810" s="109" t="s">
        <v>7238</v>
      </c>
      <c r="B1810" s="109" t="s">
        <v>7239</v>
      </c>
      <c r="C1810" s="98">
        <v>2008</v>
      </c>
      <c r="D1810" s="99">
        <v>124</v>
      </c>
      <c r="E1810" s="99">
        <v>415</v>
      </c>
      <c r="F1810" s="99">
        <v>145</v>
      </c>
      <c r="G1810" s="99">
        <v>284</v>
      </c>
      <c r="H1810" s="99">
        <v>118</v>
      </c>
      <c r="I1810" s="99">
        <v>-2</v>
      </c>
      <c r="J1810" s="99">
        <v>11</v>
      </c>
      <c r="K1810" s="99">
        <v>14</v>
      </c>
      <c r="L1810" s="99">
        <v>61</v>
      </c>
      <c r="M1810" s="99">
        <v>48</v>
      </c>
      <c r="N1810" s="99">
        <v>14</v>
      </c>
      <c r="O1810" s="100"/>
      <c r="P1810" s="100"/>
      <c r="Q1810" s="100"/>
    </row>
    <row r="1811" spans="1:17" s="117" customFormat="1" ht="17.5" customHeight="1">
      <c r="A1811" s="109" t="s">
        <v>7238</v>
      </c>
      <c r="B1811" s="109" t="s">
        <v>7239</v>
      </c>
      <c r="C1811" s="98">
        <v>2009</v>
      </c>
      <c r="D1811" s="99">
        <v>114</v>
      </c>
      <c r="E1811" s="99">
        <v>352</v>
      </c>
      <c r="F1811" s="99">
        <v>110</v>
      </c>
      <c r="G1811" s="99">
        <v>226</v>
      </c>
      <c r="H1811" s="99">
        <v>106</v>
      </c>
      <c r="I1811" s="99">
        <v>33</v>
      </c>
      <c r="J1811" s="99">
        <v>37</v>
      </c>
      <c r="K1811" s="99">
        <v>4</v>
      </c>
      <c r="L1811" s="99">
        <v>39</v>
      </c>
      <c r="M1811" s="99">
        <v>55</v>
      </c>
      <c r="N1811" s="99">
        <v>-16</v>
      </c>
      <c r="O1811" s="110"/>
      <c r="P1811" s="110"/>
      <c r="Q1811" s="110"/>
    </row>
    <row r="1812" spans="1:17" s="117" customFormat="1" ht="17.5" customHeight="1">
      <c r="A1812" s="109" t="s">
        <v>7238</v>
      </c>
      <c r="B1812" s="109" t="s">
        <v>7239</v>
      </c>
      <c r="C1812" s="98">
        <v>2010</v>
      </c>
      <c r="D1812" s="99">
        <v>107</v>
      </c>
      <c r="E1812" s="99">
        <v>409</v>
      </c>
      <c r="F1812" s="99">
        <v>120</v>
      </c>
      <c r="G1812" s="99">
        <v>298</v>
      </c>
      <c r="H1812" s="99">
        <v>93</v>
      </c>
      <c r="I1812" s="99">
        <v>3</v>
      </c>
      <c r="J1812" s="99">
        <v>6</v>
      </c>
      <c r="K1812" s="99">
        <v>3</v>
      </c>
      <c r="L1812" s="99">
        <v>69</v>
      </c>
      <c r="M1812" s="99">
        <v>60</v>
      </c>
      <c r="N1812" s="99">
        <v>9</v>
      </c>
      <c r="O1812" s="110"/>
      <c r="P1812" s="110"/>
      <c r="Q1812" s="110"/>
    </row>
    <row r="1813" spans="1:17" s="117" customFormat="1" ht="17.5" customHeight="1">
      <c r="A1813" s="109" t="s">
        <v>7238</v>
      </c>
      <c r="B1813" s="109" t="s">
        <v>7239</v>
      </c>
      <c r="C1813" s="98">
        <v>2011</v>
      </c>
      <c r="D1813" s="99">
        <v>98</v>
      </c>
      <c r="E1813" s="99">
        <v>462</v>
      </c>
      <c r="F1813" s="99">
        <v>138</v>
      </c>
      <c r="G1813" s="99">
        <v>346</v>
      </c>
      <c r="H1813" s="99">
        <v>88</v>
      </c>
      <c r="I1813" s="99">
        <v>6</v>
      </c>
      <c r="J1813" s="99">
        <v>7</v>
      </c>
      <c r="K1813" s="99">
        <v>1</v>
      </c>
      <c r="L1813" s="99">
        <v>76</v>
      </c>
      <c r="M1813" s="99">
        <v>54</v>
      </c>
      <c r="N1813" s="99">
        <v>23</v>
      </c>
    </row>
    <row r="1814" spans="1:17" s="117" customFormat="1" ht="17.5" customHeight="1">
      <c r="A1814" s="109" t="s">
        <v>7238</v>
      </c>
      <c r="B1814" s="109" t="s">
        <v>7239</v>
      </c>
      <c r="C1814" s="111">
        <v>2012</v>
      </c>
      <c r="D1814" s="112">
        <v>94</v>
      </c>
      <c r="E1814" s="112">
        <v>459</v>
      </c>
      <c r="F1814" s="112">
        <v>127</v>
      </c>
      <c r="G1814" s="112">
        <v>324</v>
      </c>
      <c r="H1814" s="112">
        <v>90</v>
      </c>
      <c r="I1814" s="99" t="s">
        <v>6953</v>
      </c>
      <c r="J1814" s="99" t="s">
        <v>6953</v>
      </c>
      <c r="K1814" s="112">
        <v>4</v>
      </c>
      <c r="L1814" s="112">
        <v>62</v>
      </c>
      <c r="M1814" s="112">
        <v>70</v>
      </c>
      <c r="N1814" s="112">
        <v>-8</v>
      </c>
    </row>
    <row r="1815" spans="1:17" s="117" customFormat="1" ht="17.5" customHeight="1">
      <c r="A1815" s="109" t="s">
        <v>7238</v>
      </c>
      <c r="B1815" s="109" t="s">
        <v>7239</v>
      </c>
      <c r="C1815" s="113">
        <v>2013</v>
      </c>
      <c r="D1815" s="112">
        <v>101</v>
      </c>
      <c r="E1815" s="112">
        <v>439</v>
      </c>
      <c r="F1815" s="112">
        <v>127</v>
      </c>
      <c r="G1815" s="112">
        <v>308</v>
      </c>
      <c r="H1815" s="112">
        <v>98</v>
      </c>
      <c r="I1815" s="112">
        <v>8</v>
      </c>
      <c r="J1815" s="112">
        <v>9</v>
      </c>
      <c r="K1815" s="112">
        <v>1</v>
      </c>
      <c r="L1815" s="112">
        <v>52</v>
      </c>
      <c r="M1815" s="112">
        <v>55</v>
      </c>
      <c r="N1815" s="112">
        <v>-3</v>
      </c>
    </row>
    <row r="1816" spans="1:17" s="117" customFormat="1" ht="17.5" customHeight="1">
      <c r="A1816" s="109" t="s">
        <v>7238</v>
      </c>
      <c r="B1816" s="109" t="s">
        <v>7239</v>
      </c>
      <c r="C1816" s="113">
        <v>2014</v>
      </c>
      <c r="D1816" s="99">
        <v>100</v>
      </c>
      <c r="E1816" s="99">
        <v>428</v>
      </c>
      <c r="F1816" s="99">
        <v>137</v>
      </c>
      <c r="G1816" s="99">
        <v>304</v>
      </c>
      <c r="H1816" s="99">
        <v>79</v>
      </c>
      <c r="I1816" s="99" t="s">
        <v>6953</v>
      </c>
      <c r="J1816" s="99">
        <v>9</v>
      </c>
      <c r="K1816" s="99" t="s">
        <v>6953</v>
      </c>
      <c r="L1816" s="99">
        <v>50</v>
      </c>
      <c r="M1816" s="99">
        <v>50</v>
      </c>
      <c r="N1816" s="99" t="s">
        <v>6952</v>
      </c>
    </row>
    <row r="1817" spans="1:17" s="117" customFormat="1" ht="17.5" customHeight="1">
      <c r="A1817" s="109" t="s">
        <v>7238</v>
      </c>
      <c r="B1817" s="109" t="s">
        <v>7239</v>
      </c>
      <c r="C1817" s="113">
        <v>2015</v>
      </c>
      <c r="D1817" s="112">
        <v>97</v>
      </c>
      <c r="E1817" s="112">
        <v>399</v>
      </c>
      <c r="F1817" s="112">
        <v>118</v>
      </c>
      <c r="G1817" s="112">
        <v>273</v>
      </c>
      <c r="H1817" s="112">
        <v>74</v>
      </c>
      <c r="I1817" s="112">
        <v>6</v>
      </c>
      <c r="J1817" s="112">
        <v>6</v>
      </c>
      <c r="K1817" s="112" t="s">
        <v>6952</v>
      </c>
      <c r="L1817" s="112">
        <v>43</v>
      </c>
      <c r="M1817" s="112">
        <v>51</v>
      </c>
      <c r="N1817" s="112">
        <v>-8</v>
      </c>
      <c r="O1817" s="110"/>
      <c r="P1817" s="110"/>
      <c r="Q1817" s="110"/>
    </row>
    <row r="1818" spans="1:17" s="117" customFormat="1" ht="17.5" customHeight="1">
      <c r="A1818" s="109" t="s">
        <v>7238</v>
      </c>
      <c r="B1818" s="109" t="s">
        <v>7239</v>
      </c>
      <c r="C1818" s="113">
        <v>2016</v>
      </c>
      <c r="D1818" s="112">
        <v>102</v>
      </c>
      <c r="E1818" s="112">
        <v>371</v>
      </c>
      <c r="F1818" s="112">
        <v>124</v>
      </c>
      <c r="G1818" s="112">
        <v>247</v>
      </c>
      <c r="H1818" s="112">
        <v>75</v>
      </c>
      <c r="I1818" s="112">
        <v>9</v>
      </c>
      <c r="J1818" s="112">
        <v>10</v>
      </c>
      <c r="K1818" s="112" t="s">
        <v>6952</v>
      </c>
      <c r="L1818" s="112">
        <v>41</v>
      </c>
      <c r="M1818" s="112">
        <v>44</v>
      </c>
      <c r="N1818" s="112">
        <v>-3</v>
      </c>
      <c r="O1818" s="110"/>
      <c r="P1818" s="110"/>
      <c r="Q1818" s="110"/>
    </row>
    <row r="1819" spans="1:17" s="117" customFormat="1" ht="17.5" customHeight="1">
      <c r="A1819" s="109" t="s">
        <v>7238</v>
      </c>
      <c r="B1819" s="109" t="s">
        <v>7239</v>
      </c>
      <c r="C1819" s="113">
        <v>2017</v>
      </c>
      <c r="D1819" s="112">
        <v>96</v>
      </c>
      <c r="E1819" s="112">
        <v>435</v>
      </c>
      <c r="F1819" s="112">
        <v>122</v>
      </c>
      <c r="G1819" s="112">
        <v>317</v>
      </c>
      <c r="H1819" s="112">
        <v>79</v>
      </c>
      <c r="I1819" s="112">
        <v>9</v>
      </c>
      <c r="J1819" s="112">
        <v>10</v>
      </c>
      <c r="K1819" s="112">
        <v>1</v>
      </c>
      <c r="L1819" s="112">
        <v>48</v>
      </c>
      <c r="M1819" s="112">
        <v>44</v>
      </c>
      <c r="N1819" s="112">
        <v>4</v>
      </c>
      <c r="O1819" s="100"/>
      <c r="P1819" s="100"/>
      <c r="Q1819" s="100"/>
    </row>
    <row r="1820" spans="1:17" s="117" customFormat="1" ht="17.5" customHeight="1">
      <c r="A1820" s="109" t="s">
        <v>7238</v>
      </c>
      <c r="B1820" s="109" t="s">
        <v>7239</v>
      </c>
      <c r="C1820" s="113">
        <v>2018</v>
      </c>
      <c r="D1820" s="112">
        <v>93</v>
      </c>
      <c r="E1820" s="112">
        <v>455</v>
      </c>
      <c r="F1820" s="112">
        <v>121</v>
      </c>
      <c r="G1820" s="112">
        <v>340</v>
      </c>
      <c r="H1820" s="112">
        <v>104</v>
      </c>
      <c r="I1820" s="112">
        <v>11</v>
      </c>
      <c r="J1820" s="112">
        <v>11</v>
      </c>
      <c r="K1820" s="112" t="s">
        <v>6952</v>
      </c>
      <c r="L1820" s="112">
        <v>55</v>
      </c>
      <c r="M1820" s="112">
        <v>49</v>
      </c>
      <c r="N1820" s="112">
        <v>6</v>
      </c>
      <c r="O1820" s="110"/>
      <c r="P1820" s="110"/>
      <c r="Q1820" s="110"/>
    </row>
    <row r="1821" spans="1:17" s="117" customFormat="1" ht="17.5" customHeight="1">
      <c r="A1821" s="109" t="s">
        <v>7238</v>
      </c>
      <c r="B1821" s="109" t="s">
        <v>7239</v>
      </c>
      <c r="C1821" s="113">
        <v>2019</v>
      </c>
      <c r="D1821" s="112">
        <v>92</v>
      </c>
      <c r="E1821" s="112">
        <v>452.33113600000001</v>
      </c>
      <c r="F1821" s="112">
        <v>170.01641100000001</v>
      </c>
      <c r="G1821" s="112">
        <v>279.20086600000002</v>
      </c>
      <c r="H1821" s="112">
        <v>76.071856999999994</v>
      </c>
      <c r="I1821" s="112">
        <v>12.033747</v>
      </c>
      <c r="J1821" s="112" t="s">
        <v>6953</v>
      </c>
      <c r="K1821" s="112" t="s">
        <v>6953</v>
      </c>
      <c r="L1821" s="112">
        <v>48.253889999999998</v>
      </c>
      <c r="M1821" s="112">
        <v>51.092379999999999</v>
      </c>
      <c r="N1821" s="112">
        <v>-2.8384900000000002</v>
      </c>
      <c r="O1821" s="100"/>
      <c r="P1821" s="100"/>
      <c r="Q1821" s="100"/>
    </row>
    <row r="1822" spans="1:17" s="117" customFormat="1" ht="17.5" customHeight="1">
      <c r="A1822" s="114" t="s">
        <v>7238</v>
      </c>
      <c r="B1822" s="114" t="s">
        <v>7239</v>
      </c>
      <c r="C1822" s="113">
        <v>2020</v>
      </c>
      <c r="D1822" s="112">
        <v>93</v>
      </c>
      <c r="E1822" s="112">
        <v>374.29681699999998</v>
      </c>
      <c r="F1822" s="112">
        <v>143.14699300000001</v>
      </c>
      <c r="G1822" s="112">
        <v>229.20292000000001</v>
      </c>
      <c r="H1822" s="112">
        <v>75.834434000000002</v>
      </c>
      <c r="I1822" s="112">
        <v>14.722868999999999</v>
      </c>
      <c r="J1822" s="112">
        <v>16.827055000000001</v>
      </c>
      <c r="K1822" s="112">
        <v>2.1041859999999999</v>
      </c>
      <c r="L1822" s="112">
        <v>58.819215999999997</v>
      </c>
      <c r="M1822" s="112">
        <v>61.007697</v>
      </c>
      <c r="N1822" s="112">
        <v>-2.1884809999999999</v>
      </c>
      <c r="O1822" s="100"/>
      <c r="P1822" s="100"/>
      <c r="Q1822" s="100"/>
    </row>
    <row r="1823" spans="1:17" ht="17.5" customHeight="1">
      <c r="A1823" s="109" t="s">
        <v>7240</v>
      </c>
      <c r="B1823" s="109" t="s">
        <v>7241</v>
      </c>
      <c r="C1823" s="98">
        <v>2008</v>
      </c>
      <c r="D1823" s="99">
        <v>314</v>
      </c>
      <c r="E1823" s="99">
        <v>901</v>
      </c>
      <c r="F1823" s="99">
        <v>354</v>
      </c>
      <c r="G1823" s="99">
        <v>581</v>
      </c>
      <c r="H1823" s="99">
        <v>306</v>
      </c>
      <c r="I1823" s="99">
        <v>85</v>
      </c>
      <c r="J1823" s="99">
        <v>89</v>
      </c>
      <c r="K1823" s="99">
        <v>4</v>
      </c>
      <c r="L1823" s="99">
        <v>261</v>
      </c>
      <c r="M1823" s="99">
        <v>228</v>
      </c>
      <c r="N1823" s="99">
        <v>33</v>
      </c>
      <c r="O1823" s="110"/>
      <c r="P1823" s="110"/>
      <c r="Q1823" s="110"/>
    </row>
    <row r="1824" spans="1:17" s="119" customFormat="1" ht="17.5" customHeight="1">
      <c r="A1824" s="109" t="s">
        <v>7240</v>
      </c>
      <c r="B1824" s="109" t="s">
        <v>7241</v>
      </c>
      <c r="C1824" s="98">
        <v>2009</v>
      </c>
      <c r="D1824" s="99">
        <v>280</v>
      </c>
      <c r="E1824" s="99">
        <v>701</v>
      </c>
      <c r="F1824" s="99">
        <v>207</v>
      </c>
      <c r="G1824" s="99">
        <v>423</v>
      </c>
      <c r="H1824" s="99">
        <v>228</v>
      </c>
      <c r="I1824" s="99">
        <v>38</v>
      </c>
      <c r="J1824" s="99">
        <v>46</v>
      </c>
      <c r="K1824" s="99">
        <v>8</v>
      </c>
      <c r="L1824" s="99">
        <v>192</v>
      </c>
      <c r="M1824" s="99">
        <v>264</v>
      </c>
      <c r="N1824" s="99">
        <v>-72</v>
      </c>
      <c r="O1824" s="110"/>
      <c r="P1824" s="110"/>
      <c r="Q1824" s="110"/>
    </row>
    <row r="1825" spans="1:17" s="119" customFormat="1" ht="17.5" customHeight="1">
      <c r="A1825" s="109" t="s">
        <v>7240</v>
      </c>
      <c r="B1825" s="109" t="s">
        <v>7241</v>
      </c>
      <c r="C1825" s="98">
        <v>2010</v>
      </c>
      <c r="D1825" s="99">
        <v>241</v>
      </c>
      <c r="E1825" s="99">
        <v>784</v>
      </c>
      <c r="F1825" s="99">
        <v>308</v>
      </c>
      <c r="G1825" s="99">
        <v>476</v>
      </c>
      <c r="H1825" s="99">
        <v>223</v>
      </c>
      <c r="I1825" s="99">
        <v>10</v>
      </c>
      <c r="J1825" s="99">
        <v>20</v>
      </c>
      <c r="K1825" s="99">
        <v>10</v>
      </c>
      <c r="L1825" s="99">
        <v>198</v>
      </c>
      <c r="M1825" s="99">
        <v>199</v>
      </c>
      <c r="N1825" s="99" t="s">
        <v>6952</v>
      </c>
      <c r="O1825" s="117"/>
      <c r="P1825" s="117"/>
      <c r="Q1825" s="117"/>
    </row>
    <row r="1826" spans="1:17" s="119" customFormat="1" ht="17.5" customHeight="1">
      <c r="A1826" s="109" t="s">
        <v>7240</v>
      </c>
      <c r="B1826" s="109" t="s">
        <v>7241</v>
      </c>
      <c r="C1826" s="98">
        <v>2011</v>
      </c>
      <c r="D1826" s="99">
        <v>224</v>
      </c>
      <c r="E1826" s="99">
        <v>583</v>
      </c>
      <c r="F1826" s="99">
        <v>223</v>
      </c>
      <c r="G1826" s="99">
        <v>364</v>
      </c>
      <c r="H1826" s="99">
        <v>168</v>
      </c>
      <c r="I1826" s="99">
        <v>17</v>
      </c>
      <c r="J1826" s="99">
        <v>23</v>
      </c>
      <c r="K1826" s="99">
        <v>7</v>
      </c>
      <c r="L1826" s="99">
        <v>134</v>
      </c>
      <c r="M1826" s="99">
        <v>130</v>
      </c>
      <c r="N1826" s="99">
        <v>4</v>
      </c>
      <c r="O1826" s="117"/>
      <c r="P1826" s="117"/>
      <c r="Q1826" s="117"/>
    </row>
    <row r="1827" spans="1:17" s="119" customFormat="1" ht="17.5" customHeight="1">
      <c r="A1827" s="109" t="s">
        <v>7240</v>
      </c>
      <c r="B1827" s="109" t="s">
        <v>7241</v>
      </c>
      <c r="C1827" s="111">
        <v>2012</v>
      </c>
      <c r="D1827" s="112">
        <v>208</v>
      </c>
      <c r="E1827" s="112">
        <v>585</v>
      </c>
      <c r="F1827" s="112">
        <v>232</v>
      </c>
      <c r="G1827" s="112">
        <v>362</v>
      </c>
      <c r="H1827" s="112">
        <v>160</v>
      </c>
      <c r="I1827" s="99" t="s">
        <v>6953</v>
      </c>
      <c r="J1827" s="99" t="s">
        <v>6953</v>
      </c>
      <c r="K1827" s="112">
        <v>40</v>
      </c>
      <c r="L1827" s="112">
        <v>151</v>
      </c>
      <c r="M1827" s="112">
        <v>142</v>
      </c>
      <c r="N1827" s="112">
        <v>9</v>
      </c>
      <c r="O1827" s="117"/>
      <c r="P1827" s="117"/>
      <c r="Q1827" s="117"/>
    </row>
    <row r="1828" spans="1:17" s="119" customFormat="1" ht="17.5" customHeight="1">
      <c r="A1828" s="109" t="s">
        <v>7240</v>
      </c>
      <c r="B1828" s="109" t="s">
        <v>7241</v>
      </c>
      <c r="C1828" s="113">
        <v>2013</v>
      </c>
      <c r="D1828" s="112">
        <v>204</v>
      </c>
      <c r="E1828" s="112">
        <v>694</v>
      </c>
      <c r="F1828" s="112">
        <v>251</v>
      </c>
      <c r="G1828" s="112">
        <v>433</v>
      </c>
      <c r="H1828" s="112">
        <v>164</v>
      </c>
      <c r="I1828" s="112">
        <v>16</v>
      </c>
      <c r="J1828" s="112">
        <v>26</v>
      </c>
      <c r="K1828" s="112">
        <v>10</v>
      </c>
      <c r="L1828" s="112">
        <v>130</v>
      </c>
      <c r="M1828" s="112">
        <v>140</v>
      </c>
      <c r="N1828" s="112">
        <v>-10</v>
      </c>
      <c r="O1828" s="117"/>
      <c r="P1828" s="117"/>
      <c r="Q1828" s="117"/>
    </row>
    <row r="1829" spans="1:17" s="119" customFormat="1" ht="17.5" customHeight="1">
      <c r="A1829" s="109" t="s">
        <v>7240</v>
      </c>
      <c r="B1829" s="109" t="s">
        <v>7241</v>
      </c>
      <c r="C1829" s="113">
        <v>2014</v>
      </c>
      <c r="D1829" s="99">
        <v>194</v>
      </c>
      <c r="E1829" s="99">
        <v>710</v>
      </c>
      <c r="F1829" s="99">
        <v>272</v>
      </c>
      <c r="G1829" s="99">
        <v>443</v>
      </c>
      <c r="H1829" s="99">
        <v>154</v>
      </c>
      <c r="I1829" s="99">
        <v>24</v>
      </c>
      <c r="J1829" s="99">
        <v>25</v>
      </c>
      <c r="K1829" s="99">
        <v>2</v>
      </c>
      <c r="L1829" s="99">
        <v>120</v>
      </c>
      <c r="M1829" s="99">
        <v>116</v>
      </c>
      <c r="N1829" s="99">
        <v>4</v>
      </c>
      <c r="O1829" s="110"/>
      <c r="P1829" s="110"/>
      <c r="Q1829" s="110"/>
    </row>
    <row r="1830" spans="1:17" s="119" customFormat="1" ht="17.5" customHeight="1">
      <c r="A1830" s="109" t="s">
        <v>7240</v>
      </c>
      <c r="B1830" s="109" t="s">
        <v>7241</v>
      </c>
      <c r="C1830" s="113">
        <v>2015</v>
      </c>
      <c r="D1830" s="112">
        <v>191</v>
      </c>
      <c r="E1830" s="112">
        <v>1025</v>
      </c>
      <c r="F1830" s="112">
        <v>517</v>
      </c>
      <c r="G1830" s="112">
        <v>539</v>
      </c>
      <c r="H1830" s="112">
        <v>233</v>
      </c>
      <c r="I1830" s="112">
        <v>65</v>
      </c>
      <c r="J1830" s="112">
        <v>66</v>
      </c>
      <c r="K1830" s="112">
        <v>1</v>
      </c>
      <c r="L1830" s="112">
        <v>183</v>
      </c>
      <c r="M1830" s="112">
        <v>151</v>
      </c>
      <c r="N1830" s="112">
        <v>31</v>
      </c>
      <c r="O1830" s="110"/>
      <c r="P1830" s="110"/>
      <c r="Q1830" s="110"/>
    </row>
    <row r="1831" spans="1:17" s="119" customFormat="1" ht="17.5" customHeight="1">
      <c r="A1831" s="109" t="s">
        <v>7240</v>
      </c>
      <c r="B1831" s="109" t="s">
        <v>7241</v>
      </c>
      <c r="C1831" s="113">
        <v>2016</v>
      </c>
      <c r="D1831" s="112">
        <v>188</v>
      </c>
      <c r="E1831" s="112">
        <v>1029</v>
      </c>
      <c r="F1831" s="112">
        <v>510</v>
      </c>
      <c r="G1831" s="112">
        <v>528</v>
      </c>
      <c r="H1831" s="112">
        <v>236</v>
      </c>
      <c r="I1831" s="112">
        <v>49</v>
      </c>
      <c r="J1831" s="112">
        <v>51</v>
      </c>
      <c r="K1831" s="112">
        <v>2</v>
      </c>
      <c r="L1831" s="112">
        <v>180</v>
      </c>
      <c r="M1831" s="112">
        <v>177</v>
      </c>
      <c r="N1831" s="112">
        <v>3</v>
      </c>
      <c r="O1831" s="100"/>
      <c r="P1831" s="100"/>
      <c r="Q1831" s="100"/>
    </row>
    <row r="1832" spans="1:17" s="119" customFormat="1" ht="17.5" customHeight="1">
      <c r="A1832" s="109" t="s">
        <v>7240</v>
      </c>
      <c r="B1832" s="109" t="s">
        <v>7241</v>
      </c>
      <c r="C1832" s="113">
        <v>2017</v>
      </c>
      <c r="D1832" s="112">
        <v>180</v>
      </c>
      <c r="E1832" s="112">
        <v>1138</v>
      </c>
      <c r="F1832" s="112">
        <v>595</v>
      </c>
      <c r="G1832" s="112">
        <v>536</v>
      </c>
      <c r="H1832" s="112">
        <v>248</v>
      </c>
      <c r="I1832" s="112">
        <v>28</v>
      </c>
      <c r="J1832" s="112">
        <v>30</v>
      </c>
      <c r="K1832" s="112">
        <v>2</v>
      </c>
      <c r="L1832" s="112">
        <v>170</v>
      </c>
      <c r="M1832" s="112">
        <v>178</v>
      </c>
      <c r="N1832" s="112">
        <v>-9</v>
      </c>
      <c r="O1832" s="110"/>
      <c r="P1832" s="110"/>
      <c r="Q1832" s="110"/>
    </row>
    <row r="1833" spans="1:17" s="119" customFormat="1" ht="17.5" customHeight="1">
      <c r="A1833" s="109" t="s">
        <v>7240</v>
      </c>
      <c r="B1833" s="109" t="s">
        <v>7241</v>
      </c>
      <c r="C1833" s="113">
        <v>2018</v>
      </c>
      <c r="D1833" s="112">
        <v>168</v>
      </c>
      <c r="E1833" s="112">
        <v>1246</v>
      </c>
      <c r="F1833" s="112">
        <v>657</v>
      </c>
      <c r="G1833" s="112">
        <v>601</v>
      </c>
      <c r="H1833" s="112">
        <v>255</v>
      </c>
      <c r="I1833" s="112">
        <v>49</v>
      </c>
      <c r="J1833" s="99" t="s">
        <v>6953</v>
      </c>
      <c r="K1833" s="99" t="s">
        <v>6953</v>
      </c>
      <c r="L1833" s="112">
        <v>173</v>
      </c>
      <c r="M1833" s="112">
        <v>162</v>
      </c>
      <c r="N1833" s="112">
        <v>11</v>
      </c>
      <c r="O1833" s="100"/>
      <c r="P1833" s="100"/>
      <c r="Q1833" s="100"/>
    </row>
    <row r="1834" spans="1:17" s="119" customFormat="1" ht="17.5" customHeight="1">
      <c r="A1834" s="109" t="s">
        <v>7240</v>
      </c>
      <c r="B1834" s="109" t="s">
        <v>7241</v>
      </c>
      <c r="C1834" s="113">
        <v>2019</v>
      </c>
      <c r="D1834" s="112">
        <v>168</v>
      </c>
      <c r="E1834" s="112">
        <v>1243.681288</v>
      </c>
      <c r="F1834" s="112">
        <v>671.99807899999996</v>
      </c>
      <c r="G1834" s="112">
        <v>598.98152700000003</v>
      </c>
      <c r="H1834" s="112">
        <v>260.44381800000002</v>
      </c>
      <c r="I1834" s="112">
        <v>63.004795000000001</v>
      </c>
      <c r="J1834" s="112">
        <v>66.070426999999995</v>
      </c>
      <c r="K1834" s="112">
        <v>3.0656319999999999</v>
      </c>
      <c r="L1834" s="112">
        <v>192.04156499999999</v>
      </c>
      <c r="M1834" s="112">
        <v>164.937602</v>
      </c>
      <c r="N1834" s="112">
        <v>27.103963</v>
      </c>
      <c r="O1834" s="100"/>
      <c r="P1834" s="100"/>
      <c r="Q1834" s="100"/>
    </row>
    <row r="1835" spans="1:17" s="119" customFormat="1" ht="17.5" customHeight="1">
      <c r="A1835" s="114" t="s">
        <v>7240</v>
      </c>
      <c r="B1835" s="114" t="s">
        <v>7241</v>
      </c>
      <c r="C1835" s="113">
        <v>2020</v>
      </c>
      <c r="D1835" s="112">
        <v>181</v>
      </c>
      <c r="E1835" s="112">
        <v>943.80639099999996</v>
      </c>
      <c r="F1835" s="112">
        <v>419.04676599999999</v>
      </c>
      <c r="G1835" s="112">
        <v>483.02804800000001</v>
      </c>
      <c r="H1835" s="112">
        <v>262.13004899999999</v>
      </c>
      <c r="I1835" s="112">
        <v>60.330413</v>
      </c>
      <c r="J1835" s="112">
        <v>61.963096999999998</v>
      </c>
      <c r="K1835" s="112">
        <v>1.632684</v>
      </c>
      <c r="L1835" s="112">
        <v>140.55856199999999</v>
      </c>
      <c r="M1835" s="112">
        <v>182.88079099999999</v>
      </c>
      <c r="N1835" s="112">
        <v>-42.322229</v>
      </c>
      <c r="O1835" s="110"/>
      <c r="P1835" s="110"/>
      <c r="Q1835" s="110"/>
    </row>
    <row r="1836" spans="1:17" s="119" customFormat="1" ht="17.5" customHeight="1">
      <c r="A1836" s="109" t="s">
        <v>7242</v>
      </c>
      <c r="B1836" s="109" t="s">
        <v>7243</v>
      </c>
      <c r="C1836" s="98">
        <v>2008</v>
      </c>
      <c r="D1836" s="99">
        <v>145</v>
      </c>
      <c r="E1836" s="99">
        <v>195</v>
      </c>
      <c r="F1836" s="99">
        <v>56</v>
      </c>
      <c r="G1836" s="99">
        <v>140</v>
      </c>
      <c r="H1836" s="99">
        <v>46</v>
      </c>
      <c r="I1836" s="99" t="s">
        <v>6953</v>
      </c>
      <c r="J1836" s="99">
        <v>25</v>
      </c>
      <c r="K1836" s="99" t="s">
        <v>6953</v>
      </c>
      <c r="L1836" s="99">
        <v>37</v>
      </c>
      <c r="M1836" s="99">
        <v>36</v>
      </c>
      <c r="N1836" s="99">
        <v>1</v>
      </c>
      <c r="O1836" s="110"/>
      <c r="P1836" s="110"/>
      <c r="Q1836" s="110"/>
    </row>
    <row r="1837" spans="1:17" s="119" customFormat="1" ht="17.5" customHeight="1">
      <c r="A1837" s="109" t="s">
        <v>7242</v>
      </c>
      <c r="B1837" s="109" t="s">
        <v>7243</v>
      </c>
      <c r="C1837" s="98">
        <v>2009</v>
      </c>
      <c r="D1837" s="99">
        <v>120</v>
      </c>
      <c r="E1837" s="99">
        <v>103</v>
      </c>
      <c r="F1837" s="99">
        <v>16</v>
      </c>
      <c r="G1837" s="99">
        <v>82</v>
      </c>
      <c r="H1837" s="99">
        <v>25</v>
      </c>
      <c r="I1837" s="99" t="s">
        <v>6953</v>
      </c>
      <c r="J1837" s="99" t="s">
        <v>6953</v>
      </c>
      <c r="K1837" s="99" t="s">
        <v>6952</v>
      </c>
      <c r="L1837" s="99">
        <v>19</v>
      </c>
      <c r="M1837" s="99">
        <v>24</v>
      </c>
      <c r="N1837" s="99">
        <v>-5</v>
      </c>
      <c r="O1837" s="117"/>
      <c r="P1837" s="117"/>
      <c r="Q1837" s="117"/>
    </row>
    <row r="1838" spans="1:17" s="119" customFormat="1" ht="17.5" customHeight="1">
      <c r="A1838" s="109" t="s">
        <v>7242</v>
      </c>
      <c r="B1838" s="109" t="s">
        <v>7243</v>
      </c>
      <c r="C1838" s="98">
        <v>2010</v>
      </c>
      <c r="D1838" s="99">
        <v>105</v>
      </c>
      <c r="E1838" s="99">
        <v>225</v>
      </c>
      <c r="F1838" s="99">
        <v>88</v>
      </c>
      <c r="G1838" s="99">
        <v>144</v>
      </c>
      <c r="H1838" s="99">
        <v>54</v>
      </c>
      <c r="I1838" s="99">
        <v>9</v>
      </c>
      <c r="J1838" s="99">
        <v>10</v>
      </c>
      <c r="K1838" s="99" t="s">
        <v>6952</v>
      </c>
      <c r="L1838" s="99">
        <v>40</v>
      </c>
      <c r="M1838" s="99">
        <v>34</v>
      </c>
      <c r="N1838" s="99">
        <v>6</v>
      </c>
      <c r="O1838" s="117"/>
      <c r="P1838" s="117"/>
      <c r="Q1838" s="117"/>
    </row>
    <row r="1839" spans="1:17" s="119" customFormat="1" ht="17.5" customHeight="1">
      <c r="A1839" s="109" t="s">
        <v>7242</v>
      </c>
      <c r="B1839" s="109" t="s">
        <v>7243</v>
      </c>
      <c r="C1839" s="98">
        <v>2011</v>
      </c>
      <c r="D1839" s="99">
        <v>93</v>
      </c>
      <c r="E1839" s="99">
        <v>206</v>
      </c>
      <c r="F1839" s="99">
        <v>75</v>
      </c>
      <c r="G1839" s="99">
        <v>128</v>
      </c>
      <c r="H1839" s="99">
        <v>50</v>
      </c>
      <c r="I1839" s="99">
        <v>8</v>
      </c>
      <c r="J1839" s="99" t="s">
        <v>6953</v>
      </c>
      <c r="K1839" s="99" t="s">
        <v>6953</v>
      </c>
      <c r="L1839" s="99">
        <v>33</v>
      </c>
      <c r="M1839" s="99">
        <v>35</v>
      </c>
      <c r="N1839" s="99">
        <v>-2</v>
      </c>
      <c r="O1839" s="117"/>
      <c r="P1839" s="117"/>
      <c r="Q1839" s="117"/>
    </row>
    <row r="1840" spans="1:17" s="119" customFormat="1" ht="17.5" customHeight="1">
      <c r="A1840" s="109" t="s">
        <v>7242</v>
      </c>
      <c r="B1840" s="109" t="s">
        <v>7243</v>
      </c>
      <c r="C1840" s="111">
        <v>2012</v>
      </c>
      <c r="D1840" s="112">
        <v>77</v>
      </c>
      <c r="E1840" s="112">
        <v>189</v>
      </c>
      <c r="F1840" s="112">
        <v>73</v>
      </c>
      <c r="G1840" s="112">
        <v>124</v>
      </c>
      <c r="H1840" s="112">
        <v>44</v>
      </c>
      <c r="I1840" s="112">
        <v>4</v>
      </c>
      <c r="J1840" s="112">
        <v>4</v>
      </c>
      <c r="K1840" s="112" t="s">
        <v>6952</v>
      </c>
      <c r="L1840" s="112">
        <v>39</v>
      </c>
      <c r="M1840" s="112">
        <v>32</v>
      </c>
      <c r="N1840" s="112">
        <v>7</v>
      </c>
      <c r="O1840" s="117"/>
      <c r="P1840" s="117"/>
      <c r="Q1840" s="117"/>
    </row>
    <row r="1841" spans="1:17" s="119" customFormat="1" ht="17.5" customHeight="1">
      <c r="A1841" s="109" t="s">
        <v>7242</v>
      </c>
      <c r="B1841" s="109" t="s">
        <v>7243</v>
      </c>
      <c r="C1841" s="113">
        <v>2013</v>
      </c>
      <c r="D1841" s="112">
        <v>80</v>
      </c>
      <c r="E1841" s="112">
        <v>241</v>
      </c>
      <c r="F1841" s="112">
        <v>70</v>
      </c>
      <c r="G1841" s="112">
        <v>173</v>
      </c>
      <c r="H1841" s="112">
        <v>54</v>
      </c>
      <c r="I1841" s="112">
        <v>5</v>
      </c>
      <c r="J1841" s="112">
        <v>5</v>
      </c>
      <c r="K1841" s="112" t="s">
        <v>6952</v>
      </c>
      <c r="L1841" s="112">
        <v>37</v>
      </c>
      <c r="M1841" s="112">
        <v>35</v>
      </c>
      <c r="N1841" s="112">
        <v>2</v>
      </c>
      <c r="O1841" s="110"/>
      <c r="P1841" s="110"/>
      <c r="Q1841" s="110"/>
    </row>
    <row r="1842" spans="1:17" s="119" customFormat="1" ht="17.5" customHeight="1">
      <c r="A1842" s="109" t="s">
        <v>7242</v>
      </c>
      <c r="B1842" s="109" t="s">
        <v>7243</v>
      </c>
      <c r="C1842" s="113">
        <v>2014</v>
      </c>
      <c r="D1842" s="99">
        <v>70</v>
      </c>
      <c r="E1842" s="99">
        <v>109</v>
      </c>
      <c r="F1842" s="99">
        <v>30</v>
      </c>
      <c r="G1842" s="99">
        <v>81</v>
      </c>
      <c r="H1842" s="99">
        <v>20</v>
      </c>
      <c r="I1842" s="99">
        <v>4</v>
      </c>
      <c r="J1842" s="99">
        <v>4</v>
      </c>
      <c r="K1842" s="112" t="s">
        <v>6952</v>
      </c>
      <c r="L1842" s="99">
        <v>21</v>
      </c>
      <c r="M1842" s="99">
        <v>19</v>
      </c>
      <c r="N1842" s="99">
        <v>3</v>
      </c>
      <c r="O1842" s="110"/>
      <c r="P1842" s="110"/>
      <c r="Q1842" s="110"/>
    </row>
    <row r="1843" spans="1:17" s="119" customFormat="1" ht="17.5" customHeight="1">
      <c r="A1843" s="109" t="s">
        <v>7242</v>
      </c>
      <c r="B1843" s="109" t="s">
        <v>7243</v>
      </c>
      <c r="C1843" s="113">
        <v>2015</v>
      </c>
      <c r="D1843" s="112">
        <v>66</v>
      </c>
      <c r="E1843" s="112">
        <v>100</v>
      </c>
      <c r="F1843" s="112">
        <v>27</v>
      </c>
      <c r="G1843" s="112">
        <v>69</v>
      </c>
      <c r="H1843" s="112">
        <v>22</v>
      </c>
      <c r="I1843" s="112">
        <v>2</v>
      </c>
      <c r="J1843" s="112">
        <v>2</v>
      </c>
      <c r="K1843" s="112" t="s">
        <v>6952</v>
      </c>
      <c r="L1843" s="112">
        <v>22</v>
      </c>
      <c r="M1843" s="112">
        <v>27</v>
      </c>
      <c r="N1843" s="112">
        <v>-4</v>
      </c>
      <c r="O1843" s="100"/>
      <c r="P1843" s="100"/>
      <c r="Q1843" s="100"/>
    </row>
    <row r="1844" spans="1:17" s="119" customFormat="1" ht="17.5" customHeight="1">
      <c r="A1844" s="109" t="s">
        <v>7242</v>
      </c>
      <c r="B1844" s="109" t="s">
        <v>7243</v>
      </c>
      <c r="C1844" s="113">
        <v>2016</v>
      </c>
      <c r="D1844" s="112">
        <v>60</v>
      </c>
      <c r="E1844" s="112">
        <v>86</v>
      </c>
      <c r="F1844" s="112">
        <v>31</v>
      </c>
      <c r="G1844" s="112">
        <v>58</v>
      </c>
      <c r="H1844" s="112">
        <v>21</v>
      </c>
      <c r="I1844" s="112">
        <v>3</v>
      </c>
      <c r="J1844" s="112">
        <v>3</v>
      </c>
      <c r="K1844" s="112" t="s">
        <v>6952</v>
      </c>
      <c r="L1844" s="112">
        <v>22</v>
      </c>
      <c r="M1844" s="112">
        <v>18</v>
      </c>
      <c r="N1844" s="112">
        <v>3</v>
      </c>
      <c r="O1844" s="110"/>
      <c r="P1844" s="110"/>
      <c r="Q1844" s="110"/>
    </row>
    <row r="1845" spans="1:17" s="119" customFormat="1" ht="17.5" customHeight="1">
      <c r="A1845" s="109" t="s">
        <v>7242</v>
      </c>
      <c r="B1845" s="109" t="s">
        <v>7243</v>
      </c>
      <c r="C1845" s="113">
        <v>2017</v>
      </c>
      <c r="D1845" s="112">
        <v>57</v>
      </c>
      <c r="E1845" s="112">
        <v>87</v>
      </c>
      <c r="F1845" s="112">
        <v>28</v>
      </c>
      <c r="G1845" s="112">
        <v>59</v>
      </c>
      <c r="H1845" s="112">
        <v>22</v>
      </c>
      <c r="I1845" s="112">
        <v>3</v>
      </c>
      <c r="J1845" s="112">
        <v>3</v>
      </c>
      <c r="K1845" s="112" t="s">
        <v>6952</v>
      </c>
      <c r="L1845" s="112">
        <v>22</v>
      </c>
      <c r="M1845" s="112">
        <v>23</v>
      </c>
      <c r="N1845" s="112">
        <v>-1</v>
      </c>
      <c r="O1845" s="100"/>
      <c r="P1845" s="100"/>
      <c r="Q1845" s="100"/>
    </row>
    <row r="1846" spans="1:17" s="119" customFormat="1" ht="17.5" customHeight="1">
      <c r="A1846" s="109" t="s">
        <v>7242</v>
      </c>
      <c r="B1846" s="109" t="s">
        <v>7243</v>
      </c>
      <c r="C1846" s="113">
        <v>2018</v>
      </c>
      <c r="D1846" s="112">
        <v>56</v>
      </c>
      <c r="E1846" s="112">
        <v>92</v>
      </c>
      <c r="F1846" s="112">
        <v>28</v>
      </c>
      <c r="G1846" s="112">
        <v>62</v>
      </c>
      <c r="H1846" s="112">
        <v>22</v>
      </c>
      <c r="I1846" s="99" t="s">
        <v>6953</v>
      </c>
      <c r="J1846" s="99" t="s">
        <v>6953</v>
      </c>
      <c r="K1846" s="112" t="s">
        <v>6952</v>
      </c>
      <c r="L1846" s="112">
        <v>20</v>
      </c>
      <c r="M1846" s="112">
        <v>21</v>
      </c>
      <c r="N1846" s="112">
        <v>-2</v>
      </c>
      <c r="O1846" s="100"/>
      <c r="P1846" s="100"/>
      <c r="Q1846" s="100"/>
    </row>
    <row r="1847" spans="1:17" s="119" customFormat="1" ht="17.5" customHeight="1">
      <c r="A1847" s="109" t="s">
        <v>7242</v>
      </c>
      <c r="B1847" s="109" t="s">
        <v>7243</v>
      </c>
      <c r="C1847" s="113">
        <v>2019</v>
      </c>
      <c r="D1847" s="112">
        <v>51</v>
      </c>
      <c r="E1847" s="112">
        <v>43.440263000000002</v>
      </c>
      <c r="F1847" s="112">
        <v>14.847379</v>
      </c>
      <c r="G1847" s="112">
        <v>28.880472999999999</v>
      </c>
      <c r="H1847" s="112">
        <v>9.4695129999999992</v>
      </c>
      <c r="I1847" s="112">
        <v>0.53584500000000002</v>
      </c>
      <c r="J1847" s="112">
        <v>0.55301199999999995</v>
      </c>
      <c r="K1847" s="112" t="s">
        <v>6952</v>
      </c>
      <c r="L1847" s="112">
        <v>8.7917880000000004</v>
      </c>
      <c r="M1847" s="112">
        <v>8.4668480000000006</v>
      </c>
      <c r="N1847" s="112" t="s">
        <v>6952</v>
      </c>
      <c r="O1847" s="110"/>
      <c r="P1847" s="110"/>
      <c r="Q1847" s="110"/>
    </row>
    <row r="1848" spans="1:17" s="119" customFormat="1" ht="17.5" customHeight="1">
      <c r="A1848" s="114" t="s">
        <v>7242</v>
      </c>
      <c r="B1848" s="114" t="s">
        <v>7243</v>
      </c>
      <c r="C1848" s="113">
        <v>2020</v>
      </c>
      <c r="D1848" s="112">
        <v>53</v>
      </c>
      <c r="E1848" s="112" t="s">
        <v>6953</v>
      </c>
      <c r="F1848" s="112">
        <v>9.9651499999999995</v>
      </c>
      <c r="G1848" s="112" t="s">
        <v>6953</v>
      </c>
      <c r="H1848" s="112">
        <v>7.2663979999999997</v>
      </c>
      <c r="I1848" s="112" t="s">
        <v>6953</v>
      </c>
      <c r="J1848" s="112" t="s">
        <v>6953</v>
      </c>
      <c r="K1848" s="112" t="s">
        <v>6952</v>
      </c>
      <c r="L1848" s="112" t="s">
        <v>6953</v>
      </c>
      <c r="M1848" s="112" t="s">
        <v>6953</v>
      </c>
      <c r="N1848" s="112">
        <v>-0.85824</v>
      </c>
      <c r="O1848" s="110"/>
      <c r="P1848" s="110"/>
      <c r="Q1848" s="110"/>
    </row>
    <row r="1849" spans="1:17" s="119" customFormat="1" ht="31.75" customHeight="1">
      <c r="A1849" s="109" t="s">
        <v>7244</v>
      </c>
      <c r="B1849" s="109" t="s">
        <v>7245</v>
      </c>
      <c r="C1849" s="98">
        <v>2008</v>
      </c>
      <c r="D1849" s="99">
        <v>169</v>
      </c>
      <c r="E1849" s="99">
        <v>706</v>
      </c>
      <c r="F1849" s="99">
        <v>298</v>
      </c>
      <c r="G1849" s="99">
        <v>440</v>
      </c>
      <c r="H1849" s="99">
        <v>260</v>
      </c>
      <c r="I1849" s="99" t="s">
        <v>6953</v>
      </c>
      <c r="J1849" s="99">
        <v>64</v>
      </c>
      <c r="K1849" s="99" t="s">
        <v>6953</v>
      </c>
      <c r="L1849" s="99">
        <v>224</v>
      </c>
      <c r="M1849" s="99">
        <v>192</v>
      </c>
      <c r="N1849" s="99">
        <v>32</v>
      </c>
      <c r="O1849" s="117"/>
      <c r="P1849" s="117"/>
      <c r="Q1849" s="117"/>
    </row>
    <row r="1850" spans="1:17" s="119" customFormat="1" ht="31.75" customHeight="1">
      <c r="A1850" s="109" t="s">
        <v>7244</v>
      </c>
      <c r="B1850" s="109" t="s">
        <v>7245</v>
      </c>
      <c r="C1850" s="98">
        <v>2009</v>
      </c>
      <c r="D1850" s="99">
        <v>160</v>
      </c>
      <c r="E1850" s="99">
        <v>598</v>
      </c>
      <c r="F1850" s="99">
        <v>192</v>
      </c>
      <c r="G1850" s="99">
        <v>340</v>
      </c>
      <c r="H1850" s="99">
        <v>203</v>
      </c>
      <c r="I1850" s="99" t="s">
        <v>6953</v>
      </c>
      <c r="J1850" s="99" t="s">
        <v>6953</v>
      </c>
      <c r="K1850" s="99">
        <v>7</v>
      </c>
      <c r="L1850" s="99">
        <v>173</v>
      </c>
      <c r="M1850" s="99">
        <v>240</v>
      </c>
      <c r="N1850" s="99">
        <v>-67</v>
      </c>
      <c r="O1850" s="117"/>
      <c r="P1850" s="117"/>
      <c r="Q1850" s="117"/>
    </row>
    <row r="1851" spans="1:17" s="119" customFormat="1" ht="31.75" customHeight="1">
      <c r="A1851" s="109" t="s">
        <v>7244</v>
      </c>
      <c r="B1851" s="109" t="s">
        <v>7245</v>
      </c>
      <c r="C1851" s="98">
        <v>2010</v>
      </c>
      <c r="D1851" s="99">
        <v>136</v>
      </c>
      <c r="E1851" s="99">
        <v>559</v>
      </c>
      <c r="F1851" s="99">
        <v>220</v>
      </c>
      <c r="G1851" s="99">
        <v>332</v>
      </c>
      <c r="H1851" s="99">
        <v>169</v>
      </c>
      <c r="I1851" s="99">
        <v>1</v>
      </c>
      <c r="J1851" s="99">
        <v>11</v>
      </c>
      <c r="K1851" s="99">
        <v>10</v>
      </c>
      <c r="L1851" s="99">
        <v>158</v>
      </c>
      <c r="M1851" s="99">
        <v>165</v>
      </c>
      <c r="N1851" s="99">
        <v>-7</v>
      </c>
      <c r="O1851" s="117"/>
      <c r="P1851" s="117"/>
      <c r="Q1851" s="117"/>
    </row>
    <row r="1852" spans="1:17" s="119" customFormat="1" ht="31.75" customHeight="1">
      <c r="A1852" s="109" t="s">
        <v>7244</v>
      </c>
      <c r="B1852" s="109" t="s">
        <v>7245</v>
      </c>
      <c r="C1852" s="98">
        <v>2011</v>
      </c>
      <c r="D1852" s="99">
        <v>131</v>
      </c>
      <c r="E1852" s="99">
        <v>377</v>
      </c>
      <c r="F1852" s="99">
        <v>148</v>
      </c>
      <c r="G1852" s="99">
        <v>236</v>
      </c>
      <c r="H1852" s="99">
        <v>118</v>
      </c>
      <c r="I1852" s="99">
        <v>9</v>
      </c>
      <c r="J1852" s="99" t="s">
        <v>6953</v>
      </c>
      <c r="K1852" s="99" t="s">
        <v>6953</v>
      </c>
      <c r="L1852" s="99">
        <v>101</v>
      </c>
      <c r="M1852" s="99">
        <v>95</v>
      </c>
      <c r="N1852" s="99">
        <v>6</v>
      </c>
      <c r="O1852" s="117"/>
      <c r="P1852" s="117"/>
      <c r="Q1852" s="117"/>
    </row>
    <row r="1853" spans="1:17" s="119" customFormat="1" ht="31.75" customHeight="1">
      <c r="A1853" s="109" t="s">
        <v>7244</v>
      </c>
      <c r="B1853" s="109" t="s">
        <v>7245</v>
      </c>
      <c r="C1853" s="111">
        <v>2012</v>
      </c>
      <c r="D1853" s="112">
        <v>131</v>
      </c>
      <c r="E1853" s="112">
        <v>396</v>
      </c>
      <c r="F1853" s="112">
        <v>160</v>
      </c>
      <c r="G1853" s="112">
        <v>238</v>
      </c>
      <c r="H1853" s="112">
        <v>115</v>
      </c>
      <c r="I1853" s="99" t="s">
        <v>6953</v>
      </c>
      <c r="J1853" s="99" t="s">
        <v>6953</v>
      </c>
      <c r="K1853" s="112">
        <v>40</v>
      </c>
      <c r="L1853" s="112">
        <v>111</v>
      </c>
      <c r="M1853" s="112">
        <v>110</v>
      </c>
      <c r="N1853" s="112">
        <v>1</v>
      </c>
      <c r="O1853" s="110"/>
      <c r="P1853" s="110"/>
      <c r="Q1853" s="110"/>
    </row>
    <row r="1854" spans="1:17" s="119" customFormat="1" ht="31.75" customHeight="1">
      <c r="A1854" s="109" t="s">
        <v>7244</v>
      </c>
      <c r="B1854" s="109" t="s">
        <v>7245</v>
      </c>
      <c r="C1854" s="113">
        <v>2013</v>
      </c>
      <c r="D1854" s="112">
        <v>124</v>
      </c>
      <c r="E1854" s="112">
        <v>453</v>
      </c>
      <c r="F1854" s="112">
        <v>181</v>
      </c>
      <c r="G1854" s="112">
        <v>260</v>
      </c>
      <c r="H1854" s="112">
        <v>110</v>
      </c>
      <c r="I1854" s="112">
        <v>10</v>
      </c>
      <c r="J1854" s="112">
        <v>21</v>
      </c>
      <c r="K1854" s="112">
        <v>10</v>
      </c>
      <c r="L1854" s="112">
        <v>93</v>
      </c>
      <c r="M1854" s="112">
        <v>105</v>
      </c>
      <c r="N1854" s="112">
        <v>-12</v>
      </c>
      <c r="O1854" s="110"/>
      <c r="P1854" s="110"/>
      <c r="Q1854" s="110"/>
    </row>
    <row r="1855" spans="1:17" s="119" customFormat="1" ht="31.75" customHeight="1">
      <c r="A1855" s="109" t="s">
        <v>7244</v>
      </c>
      <c r="B1855" s="109" t="s">
        <v>7245</v>
      </c>
      <c r="C1855" s="113">
        <v>2014</v>
      </c>
      <c r="D1855" s="99">
        <v>124</v>
      </c>
      <c r="E1855" s="99">
        <v>601</v>
      </c>
      <c r="F1855" s="99">
        <v>242</v>
      </c>
      <c r="G1855" s="99">
        <v>362</v>
      </c>
      <c r="H1855" s="99">
        <v>134</v>
      </c>
      <c r="I1855" s="99">
        <v>20</v>
      </c>
      <c r="J1855" s="99">
        <v>22</v>
      </c>
      <c r="K1855" s="99">
        <v>2</v>
      </c>
      <c r="L1855" s="99">
        <v>99</v>
      </c>
      <c r="M1855" s="99">
        <v>97</v>
      </c>
      <c r="N1855" s="99">
        <v>1</v>
      </c>
      <c r="O1855" s="100"/>
      <c r="P1855" s="100"/>
      <c r="Q1855" s="100"/>
    </row>
    <row r="1856" spans="1:17" s="119" customFormat="1" ht="31.75" customHeight="1">
      <c r="A1856" s="109" t="s">
        <v>7244</v>
      </c>
      <c r="B1856" s="109" t="s">
        <v>7245</v>
      </c>
      <c r="C1856" s="113">
        <v>2015</v>
      </c>
      <c r="D1856" s="112">
        <v>125</v>
      </c>
      <c r="E1856" s="112">
        <v>925</v>
      </c>
      <c r="F1856" s="112">
        <v>490</v>
      </c>
      <c r="G1856" s="112">
        <v>471</v>
      </c>
      <c r="H1856" s="112">
        <v>211</v>
      </c>
      <c r="I1856" s="112">
        <v>63</v>
      </c>
      <c r="J1856" s="112">
        <v>64</v>
      </c>
      <c r="K1856" s="112">
        <v>1</v>
      </c>
      <c r="L1856" s="112">
        <v>160</v>
      </c>
      <c r="M1856" s="112">
        <v>125</v>
      </c>
      <c r="N1856" s="112">
        <v>35</v>
      </c>
      <c r="O1856" s="110"/>
      <c r="P1856" s="110"/>
      <c r="Q1856" s="110"/>
    </row>
    <row r="1857" spans="1:17" s="119" customFormat="1" ht="31.75" customHeight="1">
      <c r="A1857" s="109" t="s">
        <v>7244</v>
      </c>
      <c r="B1857" s="109" t="s">
        <v>7245</v>
      </c>
      <c r="C1857" s="113">
        <v>2016</v>
      </c>
      <c r="D1857" s="112">
        <v>128</v>
      </c>
      <c r="E1857" s="112">
        <v>943</v>
      </c>
      <c r="F1857" s="112">
        <v>479</v>
      </c>
      <c r="G1857" s="112">
        <v>470</v>
      </c>
      <c r="H1857" s="112">
        <v>214</v>
      </c>
      <c r="I1857" s="112">
        <v>46</v>
      </c>
      <c r="J1857" s="112">
        <v>48</v>
      </c>
      <c r="K1857" s="112">
        <v>2</v>
      </c>
      <c r="L1857" s="112">
        <v>158</v>
      </c>
      <c r="M1857" s="112">
        <v>158</v>
      </c>
      <c r="N1857" s="112" t="s">
        <v>6952</v>
      </c>
      <c r="O1857" s="100"/>
      <c r="P1857" s="100"/>
      <c r="Q1857" s="100"/>
    </row>
    <row r="1858" spans="1:17" s="119" customFormat="1" ht="31.75" customHeight="1">
      <c r="A1858" s="109" t="s">
        <v>7244</v>
      </c>
      <c r="B1858" s="109" t="s">
        <v>7245</v>
      </c>
      <c r="C1858" s="113">
        <v>2017</v>
      </c>
      <c r="D1858" s="112">
        <v>123</v>
      </c>
      <c r="E1858" s="112">
        <v>1051</v>
      </c>
      <c r="F1858" s="112">
        <v>567</v>
      </c>
      <c r="G1858" s="112">
        <v>477</v>
      </c>
      <c r="H1858" s="112">
        <v>226</v>
      </c>
      <c r="I1858" s="112">
        <v>25</v>
      </c>
      <c r="J1858" s="112">
        <v>27</v>
      </c>
      <c r="K1858" s="112">
        <v>2</v>
      </c>
      <c r="L1858" s="112">
        <v>147</v>
      </c>
      <c r="M1858" s="112">
        <v>155</v>
      </c>
      <c r="N1858" s="112">
        <v>-8</v>
      </c>
      <c r="O1858" s="100"/>
      <c r="P1858" s="100"/>
      <c r="Q1858" s="100"/>
    </row>
    <row r="1859" spans="1:17" s="119" customFormat="1" ht="31.75" customHeight="1">
      <c r="A1859" s="109" t="s">
        <v>7244</v>
      </c>
      <c r="B1859" s="109" t="s">
        <v>7245</v>
      </c>
      <c r="C1859" s="113">
        <v>2018</v>
      </c>
      <c r="D1859" s="112">
        <v>112</v>
      </c>
      <c r="E1859" s="112">
        <v>1154</v>
      </c>
      <c r="F1859" s="112">
        <v>629</v>
      </c>
      <c r="G1859" s="112">
        <v>538</v>
      </c>
      <c r="H1859" s="112">
        <v>233</v>
      </c>
      <c r="I1859" s="99" t="s">
        <v>6953</v>
      </c>
      <c r="J1859" s="99" t="s">
        <v>6953</v>
      </c>
      <c r="K1859" s="112" t="s">
        <v>6953</v>
      </c>
      <c r="L1859" s="112">
        <v>153</v>
      </c>
      <c r="M1859" s="112">
        <v>140</v>
      </c>
      <c r="N1859" s="112">
        <v>13</v>
      </c>
      <c r="O1859" s="110"/>
      <c r="P1859" s="110"/>
      <c r="Q1859" s="110"/>
    </row>
    <row r="1860" spans="1:17" s="119" customFormat="1" ht="31.75" customHeight="1">
      <c r="A1860" s="109" t="s">
        <v>7244</v>
      </c>
      <c r="B1860" s="109" t="s">
        <v>7245</v>
      </c>
      <c r="C1860" s="113">
        <v>2019</v>
      </c>
      <c r="D1860" s="112">
        <v>117</v>
      </c>
      <c r="E1860" s="112">
        <v>1200.241025</v>
      </c>
      <c r="F1860" s="112">
        <v>657.15070000000003</v>
      </c>
      <c r="G1860" s="112">
        <v>570.10105399999998</v>
      </c>
      <c r="H1860" s="112">
        <v>250.97430499999999</v>
      </c>
      <c r="I1860" s="112">
        <v>62.46895</v>
      </c>
      <c r="J1860" s="112">
        <v>65.517415</v>
      </c>
      <c r="K1860" s="112">
        <v>3.0484650000000002</v>
      </c>
      <c r="L1860" s="112">
        <v>183.249776</v>
      </c>
      <c r="M1860" s="112">
        <v>156.470754</v>
      </c>
      <c r="N1860" s="112">
        <v>26.779022000000001</v>
      </c>
      <c r="O1860" s="110"/>
      <c r="P1860" s="110"/>
      <c r="Q1860" s="110"/>
    </row>
    <row r="1861" spans="1:17" s="119" customFormat="1" ht="31.75" customHeight="1">
      <c r="A1861" s="114" t="s">
        <v>7244</v>
      </c>
      <c r="B1861" s="114" t="s">
        <v>7245</v>
      </c>
      <c r="C1861" s="113">
        <v>2020</v>
      </c>
      <c r="D1861" s="112">
        <v>128</v>
      </c>
      <c r="E1861" s="112" t="s">
        <v>6953</v>
      </c>
      <c r="F1861" s="112">
        <v>409.081616</v>
      </c>
      <c r="G1861" s="112" t="s">
        <v>6953</v>
      </c>
      <c r="H1861" s="112">
        <v>254.863652</v>
      </c>
      <c r="I1861" s="112" t="s">
        <v>6953</v>
      </c>
      <c r="J1861" s="112" t="s">
        <v>6953</v>
      </c>
      <c r="K1861" s="112">
        <v>1.361008</v>
      </c>
      <c r="L1861" s="112" t="s">
        <v>6953</v>
      </c>
      <c r="M1861" s="112" t="s">
        <v>6953</v>
      </c>
      <c r="N1861" s="112">
        <v>-41.463988999999998</v>
      </c>
      <c r="O1861" s="117"/>
      <c r="P1861" s="117"/>
      <c r="Q1861" s="117"/>
    </row>
    <row r="1862" spans="1:17" s="119" customFormat="1" ht="31.75" customHeight="1">
      <c r="A1862" s="109" t="s">
        <v>7246</v>
      </c>
      <c r="B1862" s="109" t="s">
        <v>7247</v>
      </c>
      <c r="C1862" s="111">
        <v>2008</v>
      </c>
      <c r="D1862" s="116">
        <v>380</v>
      </c>
      <c r="E1862" s="116">
        <v>824</v>
      </c>
      <c r="F1862" s="116">
        <v>327</v>
      </c>
      <c r="G1862" s="116">
        <v>476</v>
      </c>
      <c r="H1862" s="116">
        <v>231</v>
      </c>
      <c r="I1862" s="116">
        <v>16</v>
      </c>
      <c r="J1862" s="116">
        <v>21</v>
      </c>
      <c r="K1862" s="116">
        <v>5</v>
      </c>
      <c r="L1862" s="116">
        <v>93</v>
      </c>
      <c r="M1862" s="116">
        <v>114</v>
      </c>
      <c r="N1862" s="116">
        <v>-21</v>
      </c>
      <c r="O1862" s="117"/>
      <c r="P1862" s="117"/>
      <c r="Q1862" s="117"/>
    </row>
    <row r="1863" spans="1:17" s="119" customFormat="1" ht="31.75" customHeight="1">
      <c r="A1863" s="109" t="s">
        <v>7246</v>
      </c>
      <c r="B1863" s="109" t="s">
        <v>7247</v>
      </c>
      <c r="C1863" s="98">
        <v>2009</v>
      </c>
      <c r="D1863" s="99">
        <v>355</v>
      </c>
      <c r="E1863" s="99">
        <v>714</v>
      </c>
      <c r="F1863" s="99">
        <v>249</v>
      </c>
      <c r="G1863" s="99">
        <v>436</v>
      </c>
      <c r="H1863" s="99">
        <v>199</v>
      </c>
      <c r="I1863" s="99">
        <v>21</v>
      </c>
      <c r="J1863" s="99">
        <v>21</v>
      </c>
      <c r="K1863" s="99" t="s">
        <v>6952</v>
      </c>
      <c r="L1863" s="99">
        <v>103</v>
      </c>
      <c r="M1863" s="99">
        <v>131</v>
      </c>
      <c r="N1863" s="99">
        <v>-29</v>
      </c>
      <c r="O1863" s="117"/>
      <c r="P1863" s="117"/>
      <c r="Q1863" s="117"/>
    </row>
    <row r="1864" spans="1:17" s="119" customFormat="1" ht="31.75" customHeight="1">
      <c r="A1864" s="109" t="s">
        <v>7246</v>
      </c>
      <c r="B1864" s="109" t="s">
        <v>7247</v>
      </c>
      <c r="C1864" s="98">
        <v>2010</v>
      </c>
      <c r="D1864" s="99">
        <v>332</v>
      </c>
      <c r="E1864" s="99">
        <v>747</v>
      </c>
      <c r="F1864" s="99">
        <v>243</v>
      </c>
      <c r="G1864" s="99">
        <v>496</v>
      </c>
      <c r="H1864" s="99">
        <v>208</v>
      </c>
      <c r="I1864" s="99">
        <v>11</v>
      </c>
      <c r="J1864" s="99">
        <v>13</v>
      </c>
      <c r="K1864" s="99">
        <v>2</v>
      </c>
      <c r="L1864" s="99">
        <v>93</v>
      </c>
      <c r="M1864" s="99">
        <v>101</v>
      </c>
      <c r="N1864" s="99">
        <v>-8</v>
      </c>
      <c r="O1864" s="117"/>
      <c r="P1864" s="117"/>
      <c r="Q1864" s="117"/>
    </row>
    <row r="1865" spans="1:17" s="119" customFormat="1" ht="31.75" customHeight="1">
      <c r="A1865" s="109" t="s">
        <v>7246</v>
      </c>
      <c r="B1865" s="109" t="s">
        <v>7247</v>
      </c>
      <c r="C1865" s="98">
        <v>2011</v>
      </c>
      <c r="D1865" s="99">
        <v>310</v>
      </c>
      <c r="E1865" s="99">
        <v>782</v>
      </c>
      <c r="F1865" s="99">
        <v>262</v>
      </c>
      <c r="G1865" s="99">
        <v>523</v>
      </c>
      <c r="H1865" s="99">
        <v>206</v>
      </c>
      <c r="I1865" s="99">
        <v>7</v>
      </c>
      <c r="J1865" s="99">
        <v>15</v>
      </c>
      <c r="K1865" s="99">
        <v>8</v>
      </c>
      <c r="L1865" s="99">
        <v>99</v>
      </c>
      <c r="M1865" s="99">
        <v>96</v>
      </c>
      <c r="N1865" s="99">
        <v>3</v>
      </c>
      <c r="O1865" s="110"/>
      <c r="P1865" s="110"/>
      <c r="Q1865" s="110"/>
    </row>
    <row r="1866" spans="1:17" s="119" customFormat="1" ht="31.75" customHeight="1">
      <c r="A1866" s="109" t="s">
        <v>7246</v>
      </c>
      <c r="B1866" s="109" t="s">
        <v>7247</v>
      </c>
      <c r="C1866" s="111">
        <v>2012</v>
      </c>
      <c r="D1866" s="112">
        <v>290</v>
      </c>
      <c r="E1866" s="112">
        <v>694</v>
      </c>
      <c r="F1866" s="112">
        <v>213</v>
      </c>
      <c r="G1866" s="112">
        <v>484</v>
      </c>
      <c r="H1866" s="112">
        <v>198</v>
      </c>
      <c r="I1866" s="112">
        <v>15</v>
      </c>
      <c r="J1866" s="112">
        <v>16</v>
      </c>
      <c r="K1866" s="112">
        <v>1</v>
      </c>
      <c r="L1866" s="112">
        <v>90</v>
      </c>
      <c r="M1866" s="112">
        <v>86</v>
      </c>
      <c r="N1866" s="112">
        <v>3</v>
      </c>
      <c r="O1866" s="110"/>
      <c r="P1866" s="110"/>
      <c r="Q1866" s="110"/>
    </row>
    <row r="1867" spans="1:17" s="119" customFormat="1" ht="31.75" customHeight="1">
      <c r="A1867" s="109" t="s">
        <v>7246</v>
      </c>
      <c r="B1867" s="109" t="s">
        <v>7247</v>
      </c>
      <c r="C1867" s="113">
        <v>2013</v>
      </c>
      <c r="D1867" s="112">
        <v>281</v>
      </c>
      <c r="E1867" s="112">
        <v>728</v>
      </c>
      <c r="F1867" s="112">
        <v>233</v>
      </c>
      <c r="G1867" s="112">
        <v>492</v>
      </c>
      <c r="H1867" s="112">
        <v>205</v>
      </c>
      <c r="I1867" s="112">
        <v>11</v>
      </c>
      <c r="J1867" s="112">
        <v>14</v>
      </c>
      <c r="K1867" s="112">
        <v>3</v>
      </c>
      <c r="L1867" s="112">
        <v>114</v>
      </c>
      <c r="M1867" s="112">
        <v>117</v>
      </c>
      <c r="N1867" s="112">
        <v>-2</v>
      </c>
      <c r="O1867" s="100"/>
      <c r="P1867" s="100"/>
      <c r="Q1867" s="100"/>
    </row>
    <row r="1868" spans="1:17" s="119" customFormat="1" ht="31.75" customHeight="1">
      <c r="A1868" s="109" t="s">
        <v>7246</v>
      </c>
      <c r="B1868" s="109" t="s">
        <v>7247</v>
      </c>
      <c r="C1868" s="113">
        <v>2014</v>
      </c>
      <c r="D1868" s="99">
        <v>282</v>
      </c>
      <c r="E1868" s="99">
        <v>760</v>
      </c>
      <c r="F1868" s="99">
        <v>230</v>
      </c>
      <c r="G1868" s="99">
        <v>536</v>
      </c>
      <c r="H1868" s="99">
        <v>215</v>
      </c>
      <c r="I1868" s="99" t="s">
        <v>6953</v>
      </c>
      <c r="J1868" s="99">
        <v>13</v>
      </c>
      <c r="K1868" s="99" t="s">
        <v>6953</v>
      </c>
      <c r="L1868" s="99">
        <v>96</v>
      </c>
      <c r="M1868" s="99">
        <v>92</v>
      </c>
      <c r="N1868" s="99">
        <v>3</v>
      </c>
      <c r="O1868" s="110"/>
      <c r="P1868" s="110"/>
      <c r="Q1868" s="110"/>
    </row>
    <row r="1869" spans="1:17" s="119" customFormat="1" ht="31.75" customHeight="1">
      <c r="A1869" s="109" t="s">
        <v>7246</v>
      </c>
      <c r="B1869" s="109" t="s">
        <v>7247</v>
      </c>
      <c r="C1869" s="113">
        <v>2015</v>
      </c>
      <c r="D1869" s="112">
        <v>272</v>
      </c>
      <c r="E1869" s="112">
        <v>803</v>
      </c>
      <c r="F1869" s="112">
        <v>216</v>
      </c>
      <c r="G1869" s="112">
        <v>588</v>
      </c>
      <c r="H1869" s="112">
        <v>232</v>
      </c>
      <c r="I1869" s="112">
        <v>46</v>
      </c>
      <c r="J1869" s="112">
        <v>47</v>
      </c>
      <c r="K1869" s="112" t="s">
        <v>6952</v>
      </c>
      <c r="L1869" s="112">
        <v>101</v>
      </c>
      <c r="M1869" s="112">
        <v>99</v>
      </c>
      <c r="N1869" s="112">
        <v>2</v>
      </c>
      <c r="O1869" s="100"/>
      <c r="P1869" s="100"/>
      <c r="Q1869" s="100"/>
    </row>
    <row r="1870" spans="1:17" s="119" customFormat="1" ht="31.75" customHeight="1">
      <c r="A1870" s="109" t="s">
        <v>7246</v>
      </c>
      <c r="B1870" s="109" t="s">
        <v>7247</v>
      </c>
      <c r="C1870" s="113">
        <v>2016</v>
      </c>
      <c r="D1870" s="112">
        <v>282</v>
      </c>
      <c r="E1870" s="112">
        <v>715</v>
      </c>
      <c r="F1870" s="112">
        <v>346</v>
      </c>
      <c r="G1870" s="112">
        <v>366</v>
      </c>
      <c r="H1870" s="112">
        <v>223</v>
      </c>
      <c r="I1870" s="112">
        <v>13</v>
      </c>
      <c r="J1870" s="112">
        <v>14</v>
      </c>
      <c r="K1870" s="112">
        <v>1</v>
      </c>
      <c r="L1870" s="112">
        <v>87</v>
      </c>
      <c r="M1870" s="112">
        <v>88</v>
      </c>
      <c r="N1870" s="112">
        <v>-2</v>
      </c>
      <c r="O1870" s="100"/>
      <c r="P1870" s="100"/>
      <c r="Q1870" s="100"/>
    </row>
    <row r="1871" spans="1:17" s="119" customFormat="1" ht="31.75" customHeight="1">
      <c r="A1871" s="109" t="s">
        <v>7246</v>
      </c>
      <c r="B1871" s="109" t="s">
        <v>7247</v>
      </c>
      <c r="C1871" s="113">
        <v>2017</v>
      </c>
      <c r="D1871" s="112">
        <v>290</v>
      </c>
      <c r="E1871" s="112">
        <v>802</v>
      </c>
      <c r="F1871" s="112">
        <v>373</v>
      </c>
      <c r="G1871" s="112">
        <v>431</v>
      </c>
      <c r="H1871" s="112">
        <v>238</v>
      </c>
      <c r="I1871" s="112">
        <v>12</v>
      </c>
      <c r="J1871" s="112">
        <v>18</v>
      </c>
      <c r="K1871" s="112">
        <v>6</v>
      </c>
      <c r="L1871" s="112">
        <v>92</v>
      </c>
      <c r="M1871" s="112">
        <v>87</v>
      </c>
      <c r="N1871" s="112">
        <v>5</v>
      </c>
      <c r="O1871" s="110"/>
      <c r="P1871" s="110"/>
      <c r="Q1871" s="110"/>
    </row>
    <row r="1872" spans="1:17" s="119" customFormat="1" ht="31.75" customHeight="1">
      <c r="A1872" s="109" t="s">
        <v>7246</v>
      </c>
      <c r="B1872" s="109" t="s">
        <v>7247</v>
      </c>
      <c r="C1872" s="113">
        <v>2018</v>
      </c>
      <c r="D1872" s="112">
        <v>291</v>
      </c>
      <c r="E1872" s="112">
        <v>813</v>
      </c>
      <c r="F1872" s="112">
        <v>389</v>
      </c>
      <c r="G1872" s="112">
        <v>421</v>
      </c>
      <c r="H1872" s="112">
        <v>249</v>
      </c>
      <c r="I1872" s="112">
        <v>49</v>
      </c>
      <c r="J1872" s="99" t="s">
        <v>6953</v>
      </c>
      <c r="K1872" s="99" t="s">
        <v>6953</v>
      </c>
      <c r="L1872" s="112">
        <v>92</v>
      </c>
      <c r="M1872" s="112">
        <v>95</v>
      </c>
      <c r="N1872" s="112">
        <v>-2</v>
      </c>
      <c r="O1872" s="110"/>
      <c r="P1872" s="110"/>
      <c r="Q1872" s="110"/>
    </row>
    <row r="1873" spans="1:17" s="119" customFormat="1" ht="31.75" customHeight="1">
      <c r="A1873" s="109" t="s">
        <v>7246</v>
      </c>
      <c r="B1873" s="109" t="s">
        <v>7247</v>
      </c>
      <c r="C1873" s="113">
        <v>2019</v>
      </c>
      <c r="D1873" s="112">
        <v>295</v>
      </c>
      <c r="E1873" s="112">
        <v>798.76964599999997</v>
      </c>
      <c r="F1873" s="112">
        <v>383.49690399999997</v>
      </c>
      <c r="G1873" s="112">
        <v>425.29893900000002</v>
      </c>
      <c r="H1873" s="112">
        <v>247.08924200000001</v>
      </c>
      <c r="I1873" s="112">
        <v>33.373744000000002</v>
      </c>
      <c r="J1873" s="112">
        <v>36.193590999999998</v>
      </c>
      <c r="K1873" s="112">
        <v>2.8198470000000002</v>
      </c>
      <c r="L1873" s="112">
        <v>104.775839</v>
      </c>
      <c r="M1873" s="112">
        <v>93.225397000000001</v>
      </c>
      <c r="N1873" s="112">
        <v>11.550442</v>
      </c>
      <c r="O1873" s="117"/>
      <c r="P1873" s="117"/>
      <c r="Q1873" s="117"/>
    </row>
    <row r="1874" spans="1:17" s="119" customFormat="1" ht="31.75" customHeight="1">
      <c r="A1874" s="114" t="s">
        <v>7246</v>
      </c>
      <c r="B1874" s="114" t="s">
        <v>7247</v>
      </c>
      <c r="C1874" s="113">
        <v>2020</v>
      </c>
      <c r="D1874" s="112">
        <v>293</v>
      </c>
      <c r="E1874" s="112">
        <v>590.23776199999998</v>
      </c>
      <c r="F1874" s="112">
        <v>250.777188</v>
      </c>
      <c r="G1874" s="112">
        <v>329.02771100000001</v>
      </c>
      <c r="H1874" s="112">
        <v>210.95086900000001</v>
      </c>
      <c r="I1874" s="112">
        <v>6.5463389999999997</v>
      </c>
      <c r="J1874" s="112">
        <v>9.0030730000000005</v>
      </c>
      <c r="K1874" s="112">
        <v>2.456734</v>
      </c>
      <c r="L1874" s="112">
        <v>89.655351999999993</v>
      </c>
      <c r="M1874" s="112">
        <v>99.635199</v>
      </c>
      <c r="N1874" s="112">
        <v>-9.9798469999999995</v>
      </c>
      <c r="O1874" s="117"/>
      <c r="P1874" s="117"/>
      <c r="Q1874" s="117"/>
    </row>
    <row r="1875" spans="1:17" s="119" customFormat="1" ht="31.75" customHeight="1">
      <c r="A1875" s="109" t="s">
        <v>7248</v>
      </c>
      <c r="B1875" s="109" t="s">
        <v>7249</v>
      </c>
      <c r="C1875" s="98">
        <v>2008</v>
      </c>
      <c r="D1875" s="99">
        <v>243</v>
      </c>
      <c r="E1875" s="99">
        <v>357</v>
      </c>
      <c r="F1875" s="99">
        <v>142</v>
      </c>
      <c r="G1875" s="99">
        <v>195</v>
      </c>
      <c r="H1875" s="99">
        <v>130</v>
      </c>
      <c r="I1875" s="99">
        <v>9</v>
      </c>
      <c r="J1875" s="99">
        <v>9</v>
      </c>
      <c r="K1875" s="99" t="s">
        <v>6952</v>
      </c>
      <c r="L1875" s="99">
        <v>64</v>
      </c>
      <c r="M1875" s="99">
        <v>86</v>
      </c>
      <c r="N1875" s="99">
        <v>-22</v>
      </c>
      <c r="O1875" s="117"/>
      <c r="P1875" s="117"/>
      <c r="Q1875" s="117"/>
    </row>
    <row r="1876" spans="1:17" s="119" customFormat="1" ht="31.75" customHeight="1">
      <c r="A1876" s="109" t="s">
        <v>7248</v>
      </c>
      <c r="B1876" s="109" t="s">
        <v>7249</v>
      </c>
      <c r="C1876" s="98">
        <v>2009</v>
      </c>
      <c r="D1876" s="99">
        <v>223</v>
      </c>
      <c r="E1876" s="99">
        <v>362</v>
      </c>
      <c r="F1876" s="99">
        <v>125</v>
      </c>
      <c r="G1876" s="99">
        <v>213</v>
      </c>
      <c r="H1876" s="99">
        <v>117</v>
      </c>
      <c r="I1876" s="99">
        <v>9</v>
      </c>
      <c r="J1876" s="99">
        <v>9</v>
      </c>
      <c r="K1876" s="99" t="s">
        <v>6952</v>
      </c>
      <c r="L1876" s="99">
        <v>76</v>
      </c>
      <c r="M1876" s="99">
        <v>100</v>
      </c>
      <c r="N1876" s="99">
        <v>-24</v>
      </c>
      <c r="O1876" s="117"/>
      <c r="P1876" s="117"/>
      <c r="Q1876" s="117"/>
    </row>
    <row r="1877" spans="1:17" s="119" customFormat="1" ht="31.75" customHeight="1">
      <c r="A1877" s="109" t="s">
        <v>7248</v>
      </c>
      <c r="B1877" s="109" t="s">
        <v>7249</v>
      </c>
      <c r="C1877" s="98">
        <v>2010</v>
      </c>
      <c r="D1877" s="99">
        <v>211</v>
      </c>
      <c r="E1877" s="99">
        <v>370</v>
      </c>
      <c r="F1877" s="99">
        <v>133</v>
      </c>
      <c r="G1877" s="99">
        <v>230</v>
      </c>
      <c r="H1877" s="99">
        <v>120</v>
      </c>
      <c r="I1877" s="99">
        <v>7</v>
      </c>
      <c r="J1877" s="99">
        <v>7</v>
      </c>
      <c r="K1877" s="99" t="s">
        <v>6952</v>
      </c>
      <c r="L1877" s="99">
        <v>71</v>
      </c>
      <c r="M1877" s="99">
        <v>79</v>
      </c>
      <c r="N1877" s="99">
        <v>-8</v>
      </c>
      <c r="O1877" s="110"/>
      <c r="P1877" s="110"/>
      <c r="Q1877" s="110"/>
    </row>
    <row r="1878" spans="1:17" s="119" customFormat="1" ht="31.75" customHeight="1">
      <c r="A1878" s="109" t="s">
        <v>7248</v>
      </c>
      <c r="B1878" s="109" t="s">
        <v>7249</v>
      </c>
      <c r="C1878" s="98">
        <v>2011</v>
      </c>
      <c r="D1878" s="99">
        <v>197</v>
      </c>
      <c r="E1878" s="99">
        <v>428</v>
      </c>
      <c r="F1878" s="99">
        <v>171</v>
      </c>
      <c r="G1878" s="99">
        <v>261</v>
      </c>
      <c r="H1878" s="99">
        <v>135</v>
      </c>
      <c r="I1878" s="99">
        <v>7</v>
      </c>
      <c r="J1878" s="99">
        <v>7</v>
      </c>
      <c r="K1878" s="99" t="s">
        <v>6952</v>
      </c>
      <c r="L1878" s="99">
        <v>75</v>
      </c>
      <c r="M1878" s="99">
        <v>71</v>
      </c>
      <c r="N1878" s="99">
        <v>4</v>
      </c>
      <c r="O1878" s="110"/>
      <c r="P1878" s="110"/>
      <c r="Q1878" s="110"/>
    </row>
    <row r="1879" spans="1:17" s="119" customFormat="1" ht="31.75" customHeight="1">
      <c r="A1879" s="109" t="s">
        <v>7248</v>
      </c>
      <c r="B1879" s="109" t="s">
        <v>7249</v>
      </c>
      <c r="C1879" s="111">
        <v>2012</v>
      </c>
      <c r="D1879" s="112">
        <v>187</v>
      </c>
      <c r="E1879" s="112">
        <v>413</v>
      </c>
      <c r="F1879" s="112">
        <v>167</v>
      </c>
      <c r="G1879" s="112">
        <v>248</v>
      </c>
      <c r="H1879" s="112">
        <v>132</v>
      </c>
      <c r="I1879" s="112">
        <v>6</v>
      </c>
      <c r="J1879" s="112">
        <v>7</v>
      </c>
      <c r="K1879" s="99" t="s">
        <v>6952</v>
      </c>
      <c r="L1879" s="112">
        <v>76</v>
      </c>
      <c r="M1879" s="112">
        <v>74</v>
      </c>
      <c r="N1879" s="112">
        <v>2</v>
      </c>
      <c r="O1879" s="100"/>
      <c r="P1879" s="100"/>
      <c r="Q1879" s="100"/>
    </row>
    <row r="1880" spans="1:17" s="119" customFormat="1" ht="31.75" customHeight="1">
      <c r="A1880" s="109" t="s">
        <v>7248</v>
      </c>
      <c r="B1880" s="109" t="s">
        <v>7249</v>
      </c>
      <c r="C1880" s="113">
        <v>2013</v>
      </c>
      <c r="D1880" s="112">
        <v>193</v>
      </c>
      <c r="E1880" s="112">
        <v>434</v>
      </c>
      <c r="F1880" s="112">
        <v>182</v>
      </c>
      <c r="G1880" s="112">
        <v>249</v>
      </c>
      <c r="H1880" s="112">
        <v>132</v>
      </c>
      <c r="I1880" s="99" t="s">
        <v>6953</v>
      </c>
      <c r="J1880" s="112">
        <v>10</v>
      </c>
      <c r="K1880" s="99" t="s">
        <v>6953</v>
      </c>
      <c r="L1880" s="112">
        <v>101</v>
      </c>
      <c r="M1880" s="112">
        <v>103</v>
      </c>
      <c r="N1880" s="112">
        <v>-2</v>
      </c>
      <c r="O1880" s="110"/>
      <c r="P1880" s="110"/>
      <c r="Q1880" s="110"/>
    </row>
    <row r="1881" spans="1:17" s="119" customFormat="1" ht="31.75" customHeight="1">
      <c r="A1881" s="109" t="s">
        <v>7248</v>
      </c>
      <c r="B1881" s="109" t="s">
        <v>7249</v>
      </c>
      <c r="C1881" s="113">
        <v>2014</v>
      </c>
      <c r="D1881" s="99">
        <v>202</v>
      </c>
      <c r="E1881" s="99">
        <v>471</v>
      </c>
      <c r="F1881" s="99">
        <v>205</v>
      </c>
      <c r="G1881" s="99">
        <v>272</v>
      </c>
      <c r="H1881" s="99">
        <v>141</v>
      </c>
      <c r="I1881" s="99" t="s">
        <v>6953</v>
      </c>
      <c r="J1881" s="99">
        <v>11</v>
      </c>
      <c r="K1881" s="99" t="s">
        <v>6953</v>
      </c>
      <c r="L1881" s="99">
        <v>77</v>
      </c>
      <c r="M1881" s="99">
        <v>76</v>
      </c>
      <c r="N1881" s="99">
        <v>1</v>
      </c>
      <c r="O1881" s="100"/>
      <c r="P1881" s="100"/>
      <c r="Q1881" s="100"/>
    </row>
    <row r="1882" spans="1:17" s="119" customFormat="1" ht="31.75" customHeight="1">
      <c r="A1882" s="109" t="s">
        <v>7248</v>
      </c>
      <c r="B1882" s="109" t="s">
        <v>7249</v>
      </c>
      <c r="C1882" s="113">
        <v>2015</v>
      </c>
      <c r="D1882" s="112">
        <v>197</v>
      </c>
      <c r="E1882" s="112">
        <v>473</v>
      </c>
      <c r="F1882" s="112">
        <v>194</v>
      </c>
      <c r="G1882" s="112">
        <v>279</v>
      </c>
      <c r="H1882" s="112">
        <v>148</v>
      </c>
      <c r="I1882" s="112">
        <v>37</v>
      </c>
      <c r="J1882" s="99" t="s">
        <v>6953</v>
      </c>
      <c r="K1882" s="99" t="s">
        <v>6953</v>
      </c>
      <c r="L1882" s="112">
        <v>79</v>
      </c>
      <c r="M1882" s="112">
        <v>77</v>
      </c>
      <c r="N1882" s="112">
        <v>2</v>
      </c>
      <c r="O1882" s="100"/>
      <c r="P1882" s="100"/>
      <c r="Q1882" s="100"/>
    </row>
    <row r="1883" spans="1:17" s="119" customFormat="1" ht="31.75" customHeight="1">
      <c r="A1883" s="109" t="s">
        <v>7248</v>
      </c>
      <c r="B1883" s="109" t="s">
        <v>7249</v>
      </c>
      <c r="C1883" s="113">
        <v>2016</v>
      </c>
      <c r="D1883" s="112">
        <v>209</v>
      </c>
      <c r="E1883" s="112">
        <v>448</v>
      </c>
      <c r="F1883" s="112">
        <v>196</v>
      </c>
      <c r="G1883" s="112">
        <v>250</v>
      </c>
      <c r="H1883" s="112">
        <v>146</v>
      </c>
      <c r="I1883" s="112">
        <v>6</v>
      </c>
      <c r="J1883" s="112">
        <v>7</v>
      </c>
      <c r="K1883" s="112">
        <v>1</v>
      </c>
      <c r="L1883" s="112">
        <v>67</v>
      </c>
      <c r="M1883" s="112">
        <v>70</v>
      </c>
      <c r="N1883" s="112">
        <v>-3</v>
      </c>
      <c r="O1883" s="110"/>
      <c r="P1883" s="110"/>
      <c r="Q1883" s="110"/>
    </row>
    <row r="1884" spans="1:17" s="119" customFormat="1" ht="31.75" customHeight="1">
      <c r="A1884" s="109" t="s">
        <v>7248</v>
      </c>
      <c r="B1884" s="109" t="s">
        <v>7249</v>
      </c>
      <c r="C1884" s="113">
        <v>2017</v>
      </c>
      <c r="D1884" s="112">
        <v>222</v>
      </c>
      <c r="E1884" s="112">
        <v>464</v>
      </c>
      <c r="F1884" s="112">
        <v>191</v>
      </c>
      <c r="G1884" s="112">
        <v>275</v>
      </c>
      <c r="H1884" s="112">
        <v>151</v>
      </c>
      <c r="I1884" s="112">
        <v>2</v>
      </c>
      <c r="J1884" s="112">
        <v>8</v>
      </c>
      <c r="K1884" s="112">
        <v>6</v>
      </c>
      <c r="L1884" s="112">
        <v>67</v>
      </c>
      <c r="M1884" s="112">
        <v>64</v>
      </c>
      <c r="N1884" s="112">
        <v>3</v>
      </c>
      <c r="O1884" s="110"/>
      <c r="P1884" s="110"/>
      <c r="Q1884" s="110"/>
    </row>
    <row r="1885" spans="1:17" s="119" customFormat="1" ht="31.75" customHeight="1">
      <c r="A1885" s="109" t="s">
        <v>7248</v>
      </c>
      <c r="B1885" s="109" t="s">
        <v>7249</v>
      </c>
      <c r="C1885" s="113">
        <v>2018</v>
      </c>
      <c r="D1885" s="112">
        <v>214</v>
      </c>
      <c r="E1885" s="112">
        <v>466</v>
      </c>
      <c r="F1885" s="112">
        <v>197</v>
      </c>
      <c r="G1885" s="112">
        <v>264</v>
      </c>
      <c r="H1885" s="112">
        <v>153</v>
      </c>
      <c r="I1885" s="112">
        <v>44</v>
      </c>
      <c r="J1885" s="112">
        <v>44</v>
      </c>
      <c r="K1885" s="112" t="s">
        <v>6952</v>
      </c>
      <c r="L1885" s="112">
        <v>65</v>
      </c>
      <c r="M1885" s="112">
        <v>70</v>
      </c>
      <c r="N1885" s="112">
        <v>-5</v>
      </c>
      <c r="O1885" s="117"/>
      <c r="P1885" s="117"/>
      <c r="Q1885" s="117"/>
    </row>
    <row r="1886" spans="1:17" s="119" customFormat="1" ht="31.75" customHeight="1">
      <c r="A1886" s="109" t="s">
        <v>7248</v>
      </c>
      <c r="B1886" s="109" t="s">
        <v>7249</v>
      </c>
      <c r="C1886" s="113">
        <v>2019</v>
      </c>
      <c r="D1886" s="112">
        <v>221</v>
      </c>
      <c r="E1886" s="112">
        <v>428.97968800000001</v>
      </c>
      <c r="F1886" s="112">
        <v>194.948025</v>
      </c>
      <c r="G1886" s="112">
        <v>243.04794699999999</v>
      </c>
      <c r="H1886" s="112">
        <v>150.65445800000001</v>
      </c>
      <c r="I1886" s="112">
        <v>27.587992</v>
      </c>
      <c r="J1886" s="112">
        <v>30.354510000000001</v>
      </c>
      <c r="K1886" s="112">
        <v>2.7665169999999999</v>
      </c>
      <c r="L1886" s="112">
        <v>68.396084000000002</v>
      </c>
      <c r="M1886" s="112">
        <v>58.571488000000002</v>
      </c>
      <c r="N1886" s="112">
        <v>9.8245959999999997</v>
      </c>
      <c r="O1886" s="117"/>
      <c r="P1886" s="117"/>
      <c r="Q1886" s="117"/>
    </row>
    <row r="1887" spans="1:17" s="119" customFormat="1" ht="31.75" customHeight="1">
      <c r="A1887" s="114" t="s">
        <v>7248</v>
      </c>
      <c r="B1887" s="114" t="s">
        <v>7249</v>
      </c>
      <c r="C1887" s="113">
        <v>2020</v>
      </c>
      <c r="D1887" s="112">
        <v>218</v>
      </c>
      <c r="E1887" s="112">
        <v>312.54640499999999</v>
      </c>
      <c r="F1887" s="112">
        <v>110.08461800000001</v>
      </c>
      <c r="G1887" s="112">
        <v>197.61461499999999</v>
      </c>
      <c r="H1887" s="112">
        <v>130.18382800000001</v>
      </c>
      <c r="I1887" s="112">
        <v>5.2413970000000001</v>
      </c>
      <c r="J1887" s="112">
        <v>5.2750750000000002</v>
      </c>
      <c r="K1887" s="112" t="s">
        <v>6952</v>
      </c>
      <c r="L1887" s="112">
        <v>62.620891</v>
      </c>
      <c r="M1887" s="112">
        <v>67.622482000000005</v>
      </c>
      <c r="N1887" s="112">
        <v>-5.0015910000000003</v>
      </c>
      <c r="O1887" s="117"/>
      <c r="P1887" s="117"/>
      <c r="Q1887" s="117"/>
    </row>
    <row r="1888" spans="1:17" s="119" customFormat="1" ht="31.75" customHeight="1">
      <c r="A1888" s="109" t="s">
        <v>7250</v>
      </c>
      <c r="B1888" s="109" t="s">
        <v>7251</v>
      </c>
      <c r="C1888" s="98">
        <v>2008</v>
      </c>
      <c r="D1888" s="99">
        <v>10</v>
      </c>
      <c r="E1888" s="99">
        <v>390</v>
      </c>
      <c r="F1888" s="99">
        <v>155</v>
      </c>
      <c r="G1888" s="99">
        <v>236</v>
      </c>
      <c r="H1888" s="99">
        <v>76</v>
      </c>
      <c r="I1888" s="99">
        <v>6</v>
      </c>
      <c r="J1888" s="99" t="s">
        <v>6953</v>
      </c>
      <c r="K1888" s="99" t="s">
        <v>6953</v>
      </c>
      <c r="L1888" s="99">
        <v>21</v>
      </c>
      <c r="M1888" s="99">
        <v>21</v>
      </c>
      <c r="N1888" s="99" t="s">
        <v>6952</v>
      </c>
      <c r="O1888" s="117"/>
      <c r="P1888" s="117"/>
      <c r="Q1888" s="117"/>
    </row>
    <row r="1889" spans="1:17" s="119" customFormat="1" ht="31.75" customHeight="1">
      <c r="A1889" s="109" t="s">
        <v>7250</v>
      </c>
      <c r="B1889" s="109" t="s">
        <v>7251</v>
      </c>
      <c r="C1889" s="98">
        <v>2009</v>
      </c>
      <c r="D1889" s="99">
        <v>8</v>
      </c>
      <c r="E1889" s="99">
        <v>268</v>
      </c>
      <c r="F1889" s="99">
        <v>87</v>
      </c>
      <c r="G1889" s="99">
        <v>176</v>
      </c>
      <c r="H1889" s="99">
        <v>57</v>
      </c>
      <c r="I1889" s="99" t="s">
        <v>6953</v>
      </c>
      <c r="J1889" s="99" t="s">
        <v>6953</v>
      </c>
      <c r="K1889" s="99" t="s">
        <v>6953</v>
      </c>
      <c r="L1889" s="99">
        <v>15</v>
      </c>
      <c r="M1889" s="99">
        <v>20</v>
      </c>
      <c r="N1889" s="99">
        <v>-5</v>
      </c>
      <c r="O1889" s="110"/>
      <c r="P1889" s="110"/>
      <c r="Q1889" s="110"/>
    </row>
    <row r="1890" spans="1:17" s="119" customFormat="1" ht="31.75" customHeight="1">
      <c r="A1890" s="109" t="s">
        <v>7250</v>
      </c>
      <c r="B1890" s="109" t="s">
        <v>7251</v>
      </c>
      <c r="C1890" s="98">
        <v>2010</v>
      </c>
      <c r="D1890" s="99" t="s">
        <v>6953</v>
      </c>
      <c r="E1890" s="99" t="s">
        <v>6953</v>
      </c>
      <c r="F1890" s="99" t="s">
        <v>6953</v>
      </c>
      <c r="G1890" s="99" t="s">
        <v>6953</v>
      </c>
      <c r="H1890" s="99" t="s">
        <v>6953</v>
      </c>
      <c r="I1890" s="99" t="s">
        <v>6953</v>
      </c>
      <c r="J1890" s="99" t="s">
        <v>6953</v>
      </c>
      <c r="K1890" s="99" t="s">
        <v>6953</v>
      </c>
      <c r="L1890" s="99" t="s">
        <v>6953</v>
      </c>
      <c r="M1890" s="99" t="s">
        <v>6953</v>
      </c>
      <c r="N1890" s="99" t="s">
        <v>6953</v>
      </c>
      <c r="O1890" s="110"/>
      <c r="P1890" s="110"/>
      <c r="Q1890" s="110"/>
    </row>
    <row r="1891" spans="1:17" s="119" customFormat="1" ht="31.75" customHeight="1">
      <c r="A1891" s="109" t="s">
        <v>7250</v>
      </c>
      <c r="B1891" s="109" t="s">
        <v>7251</v>
      </c>
      <c r="C1891" s="98">
        <v>2011</v>
      </c>
      <c r="D1891" s="99" t="s">
        <v>6953</v>
      </c>
      <c r="E1891" s="99" t="s">
        <v>6953</v>
      </c>
      <c r="F1891" s="99" t="s">
        <v>6953</v>
      </c>
      <c r="G1891" s="99" t="s">
        <v>6953</v>
      </c>
      <c r="H1891" s="99" t="s">
        <v>6953</v>
      </c>
      <c r="I1891" s="99" t="s">
        <v>6953</v>
      </c>
      <c r="J1891" s="99" t="s">
        <v>6953</v>
      </c>
      <c r="K1891" s="99" t="s">
        <v>6953</v>
      </c>
      <c r="L1891" s="99" t="s">
        <v>6953</v>
      </c>
      <c r="M1891" s="99" t="s">
        <v>6953</v>
      </c>
      <c r="N1891" s="99" t="s">
        <v>6953</v>
      </c>
      <c r="O1891" s="100"/>
      <c r="P1891" s="100"/>
      <c r="Q1891" s="100"/>
    </row>
    <row r="1892" spans="1:17" s="119" customFormat="1" ht="31.75" customHeight="1">
      <c r="A1892" s="109" t="s">
        <v>7250</v>
      </c>
      <c r="B1892" s="109" t="s">
        <v>7251</v>
      </c>
      <c r="C1892" s="111">
        <v>2012</v>
      </c>
      <c r="D1892" s="112">
        <v>8</v>
      </c>
      <c r="E1892" s="99" t="s">
        <v>6953</v>
      </c>
      <c r="F1892" s="99" t="s">
        <v>6953</v>
      </c>
      <c r="G1892" s="99" t="s">
        <v>6953</v>
      </c>
      <c r="H1892" s="99" t="s">
        <v>6953</v>
      </c>
      <c r="I1892" s="99" t="s">
        <v>6953</v>
      </c>
      <c r="J1892" s="99" t="s">
        <v>6953</v>
      </c>
      <c r="K1892" s="99" t="s">
        <v>6953</v>
      </c>
      <c r="L1892" s="112">
        <v>3</v>
      </c>
      <c r="M1892" s="112">
        <v>2</v>
      </c>
      <c r="N1892" s="112">
        <v>1</v>
      </c>
      <c r="O1892" s="110"/>
      <c r="P1892" s="110"/>
      <c r="Q1892" s="110"/>
    </row>
    <row r="1893" spans="1:17" s="119" customFormat="1" ht="31.75" customHeight="1">
      <c r="A1893" s="109" t="s">
        <v>7250</v>
      </c>
      <c r="B1893" s="109" t="s">
        <v>7251</v>
      </c>
      <c r="C1893" s="113">
        <v>2013</v>
      </c>
      <c r="D1893" s="112">
        <v>8</v>
      </c>
      <c r="E1893" s="99" t="s">
        <v>6953</v>
      </c>
      <c r="F1893" s="99" t="s">
        <v>6953</v>
      </c>
      <c r="G1893" s="99" t="s">
        <v>6953</v>
      </c>
      <c r="H1893" s="112">
        <v>44</v>
      </c>
      <c r="I1893" s="99" t="s">
        <v>6953</v>
      </c>
      <c r="J1893" s="112">
        <v>2</v>
      </c>
      <c r="K1893" s="99" t="s">
        <v>6953</v>
      </c>
      <c r="L1893" s="112">
        <v>1</v>
      </c>
      <c r="M1893" s="112">
        <v>1</v>
      </c>
      <c r="N1893" s="112" t="s">
        <v>6952</v>
      </c>
      <c r="O1893" s="100"/>
      <c r="P1893" s="100"/>
      <c r="Q1893" s="100"/>
    </row>
    <row r="1894" spans="1:17" s="119" customFormat="1" ht="31.75" customHeight="1">
      <c r="A1894" s="109" t="s">
        <v>7250</v>
      </c>
      <c r="B1894" s="109" t="s">
        <v>7251</v>
      </c>
      <c r="C1894" s="113">
        <v>2014</v>
      </c>
      <c r="D1894" s="99">
        <v>7</v>
      </c>
      <c r="E1894" s="99" t="s">
        <v>6953</v>
      </c>
      <c r="F1894" s="99" t="s">
        <v>6953</v>
      </c>
      <c r="G1894" s="99" t="s">
        <v>6953</v>
      </c>
      <c r="H1894" s="99" t="s">
        <v>6953</v>
      </c>
      <c r="I1894" s="99" t="s">
        <v>6953</v>
      </c>
      <c r="J1894" s="99" t="s">
        <v>6953</v>
      </c>
      <c r="K1894" s="99" t="s">
        <v>6952</v>
      </c>
      <c r="L1894" s="99">
        <v>3</v>
      </c>
      <c r="M1894" s="99">
        <v>4</v>
      </c>
      <c r="N1894" s="99" t="s">
        <v>6952</v>
      </c>
      <c r="O1894" s="100"/>
      <c r="P1894" s="100"/>
      <c r="Q1894" s="100"/>
    </row>
    <row r="1895" spans="1:17" s="119" customFormat="1" ht="31.75" customHeight="1">
      <c r="A1895" s="109" t="s">
        <v>7250</v>
      </c>
      <c r="B1895" s="109" t="s">
        <v>7251</v>
      </c>
      <c r="C1895" s="113">
        <v>2015</v>
      </c>
      <c r="D1895" s="112">
        <v>8</v>
      </c>
      <c r="E1895" s="99" t="s">
        <v>6953</v>
      </c>
      <c r="F1895" s="99" t="s">
        <v>6953</v>
      </c>
      <c r="G1895" s="99" t="s">
        <v>6953</v>
      </c>
      <c r="H1895" s="112">
        <v>42</v>
      </c>
      <c r="I1895" s="112">
        <v>4</v>
      </c>
      <c r="J1895" s="99" t="s">
        <v>6953</v>
      </c>
      <c r="K1895" s="99" t="s">
        <v>6953</v>
      </c>
      <c r="L1895" s="112">
        <v>5</v>
      </c>
      <c r="M1895" s="112">
        <v>5</v>
      </c>
      <c r="N1895" s="112" t="s">
        <v>6952</v>
      </c>
      <c r="O1895" s="110"/>
      <c r="P1895" s="110"/>
      <c r="Q1895" s="110"/>
    </row>
    <row r="1896" spans="1:17" s="119" customFormat="1" ht="31.75" customHeight="1">
      <c r="A1896" s="109" t="s">
        <v>7250</v>
      </c>
      <c r="B1896" s="109" t="s">
        <v>7251</v>
      </c>
      <c r="C1896" s="113">
        <v>2016</v>
      </c>
      <c r="D1896" s="112">
        <v>11</v>
      </c>
      <c r="E1896" s="112">
        <v>162</v>
      </c>
      <c r="F1896" s="112">
        <v>96</v>
      </c>
      <c r="G1896" s="112">
        <v>66</v>
      </c>
      <c r="H1896" s="112">
        <v>43</v>
      </c>
      <c r="I1896" s="99" t="s">
        <v>6953</v>
      </c>
      <c r="J1896" s="99" t="s">
        <v>6953</v>
      </c>
      <c r="K1896" s="99" t="s">
        <v>6953</v>
      </c>
      <c r="L1896" s="112">
        <v>5</v>
      </c>
      <c r="M1896" s="112">
        <v>5</v>
      </c>
      <c r="N1896" s="112" t="s">
        <v>6952</v>
      </c>
      <c r="O1896" s="110"/>
      <c r="P1896" s="110"/>
      <c r="Q1896" s="110"/>
    </row>
    <row r="1897" spans="1:17" s="119" customFormat="1" ht="31.75" customHeight="1">
      <c r="A1897" s="109" t="s">
        <v>7250</v>
      </c>
      <c r="B1897" s="109" t="s">
        <v>7251</v>
      </c>
      <c r="C1897" s="113">
        <v>2017</v>
      </c>
      <c r="D1897" s="112">
        <v>10</v>
      </c>
      <c r="E1897" s="99" t="s">
        <v>6953</v>
      </c>
      <c r="F1897" s="99" t="s">
        <v>6953</v>
      </c>
      <c r="G1897" s="112">
        <v>90</v>
      </c>
      <c r="H1897" s="99" t="s">
        <v>6953</v>
      </c>
      <c r="I1897" s="99" t="s">
        <v>6953</v>
      </c>
      <c r="J1897" s="99" t="s">
        <v>6953</v>
      </c>
      <c r="K1897" s="112" t="s">
        <v>6952</v>
      </c>
      <c r="L1897" s="112">
        <v>7</v>
      </c>
      <c r="M1897" s="112">
        <v>6</v>
      </c>
      <c r="N1897" s="112" t="s">
        <v>6952</v>
      </c>
      <c r="O1897" s="117"/>
      <c r="P1897" s="117"/>
      <c r="Q1897" s="117"/>
    </row>
    <row r="1898" spans="1:17" s="119" customFormat="1" ht="31.75" customHeight="1">
      <c r="A1898" s="109" t="s">
        <v>7250</v>
      </c>
      <c r="B1898" s="109" t="s">
        <v>7251</v>
      </c>
      <c r="C1898" s="113">
        <v>2018</v>
      </c>
      <c r="D1898" s="112">
        <v>13</v>
      </c>
      <c r="E1898" s="112">
        <v>216</v>
      </c>
      <c r="F1898" s="112">
        <v>124</v>
      </c>
      <c r="G1898" s="112">
        <v>93</v>
      </c>
      <c r="H1898" s="99" t="s">
        <v>6953</v>
      </c>
      <c r="I1898" s="112">
        <v>1</v>
      </c>
      <c r="J1898" s="99" t="s">
        <v>6953</v>
      </c>
      <c r="K1898" s="99" t="s">
        <v>6953</v>
      </c>
      <c r="L1898" s="112">
        <v>6</v>
      </c>
      <c r="M1898" s="112">
        <v>5</v>
      </c>
      <c r="N1898" s="112">
        <v>1</v>
      </c>
      <c r="O1898" s="117"/>
      <c r="P1898" s="117"/>
      <c r="Q1898" s="117"/>
    </row>
    <row r="1899" spans="1:17" s="119" customFormat="1" ht="31.75" customHeight="1">
      <c r="A1899" s="109" t="s">
        <v>7250</v>
      </c>
      <c r="B1899" s="109" t="s">
        <v>7251</v>
      </c>
      <c r="C1899" s="113">
        <v>2019</v>
      </c>
      <c r="D1899" s="112">
        <v>13</v>
      </c>
      <c r="E1899" s="112">
        <v>222.65436099999999</v>
      </c>
      <c r="F1899" s="112" t="s">
        <v>6953</v>
      </c>
      <c r="G1899" s="112" t="s">
        <v>6953</v>
      </c>
      <c r="H1899" s="112" t="s">
        <v>6953</v>
      </c>
      <c r="I1899" s="112">
        <v>3.490936</v>
      </c>
      <c r="J1899" s="112">
        <v>3.4968870000000001</v>
      </c>
      <c r="K1899" s="112" t="s">
        <v>6952</v>
      </c>
      <c r="L1899" s="112">
        <v>10.098651</v>
      </c>
      <c r="M1899" s="112">
        <v>9.1718720000000005</v>
      </c>
      <c r="N1899" s="112">
        <v>0.92677900000000002</v>
      </c>
      <c r="O1899" s="117"/>
      <c r="P1899" s="117"/>
      <c r="Q1899" s="117"/>
    </row>
    <row r="1900" spans="1:17" s="119" customFormat="1" ht="31.75" customHeight="1">
      <c r="A1900" s="114" t="s">
        <v>7250</v>
      </c>
      <c r="B1900" s="114" t="s">
        <v>7251</v>
      </c>
      <c r="C1900" s="113">
        <v>2020</v>
      </c>
      <c r="D1900" s="112">
        <v>11</v>
      </c>
      <c r="E1900" s="112">
        <v>170.41583199999999</v>
      </c>
      <c r="F1900" s="112" t="s">
        <v>6953</v>
      </c>
      <c r="G1900" s="112" t="s">
        <v>6953</v>
      </c>
      <c r="H1900" s="112">
        <v>39.380792</v>
      </c>
      <c r="I1900" s="112" t="s">
        <v>6953</v>
      </c>
      <c r="J1900" s="112" t="s">
        <v>6953</v>
      </c>
      <c r="K1900" s="112" t="s">
        <v>6953</v>
      </c>
      <c r="L1900" s="112">
        <v>9.5450230000000005</v>
      </c>
      <c r="M1900" s="112">
        <v>9.3500490000000003</v>
      </c>
      <c r="N1900" s="112" t="s">
        <v>6952</v>
      </c>
      <c r="O1900" s="117"/>
      <c r="P1900" s="117"/>
      <c r="Q1900" s="117"/>
    </row>
    <row r="1901" spans="1:17" s="119" customFormat="1" ht="31.75" customHeight="1">
      <c r="A1901" s="109" t="s">
        <v>7252</v>
      </c>
      <c r="B1901" s="109" t="s">
        <v>7253</v>
      </c>
      <c r="C1901" s="98">
        <v>2008</v>
      </c>
      <c r="D1901" s="99">
        <v>6</v>
      </c>
      <c r="E1901" s="99">
        <v>32</v>
      </c>
      <c r="F1901" s="99">
        <v>12</v>
      </c>
      <c r="G1901" s="99">
        <v>19</v>
      </c>
      <c r="H1901" s="99">
        <v>8</v>
      </c>
      <c r="I1901" s="99">
        <v>1</v>
      </c>
      <c r="J1901" s="99">
        <v>1</v>
      </c>
      <c r="K1901" s="99" t="s">
        <v>6952</v>
      </c>
      <c r="L1901" s="99">
        <v>3</v>
      </c>
      <c r="M1901" s="99">
        <v>3</v>
      </c>
      <c r="N1901" s="99" t="s">
        <v>6952</v>
      </c>
      <c r="O1901" s="110"/>
      <c r="P1901" s="110"/>
      <c r="Q1901" s="110"/>
    </row>
    <row r="1902" spans="1:17" s="119" customFormat="1" ht="31.75" customHeight="1">
      <c r="A1902" s="109" t="s">
        <v>7252</v>
      </c>
      <c r="B1902" s="109" t="s">
        <v>7253</v>
      </c>
      <c r="C1902" s="98">
        <v>2009</v>
      </c>
      <c r="D1902" s="99">
        <v>6</v>
      </c>
      <c r="E1902" s="99">
        <v>31</v>
      </c>
      <c r="F1902" s="99">
        <v>13</v>
      </c>
      <c r="G1902" s="99">
        <v>18</v>
      </c>
      <c r="H1902" s="99">
        <v>8</v>
      </c>
      <c r="I1902" s="99" t="s">
        <v>6953</v>
      </c>
      <c r="J1902" s="99" t="s">
        <v>6953</v>
      </c>
      <c r="K1902" s="99" t="s">
        <v>6953</v>
      </c>
      <c r="L1902" s="99">
        <v>4</v>
      </c>
      <c r="M1902" s="99">
        <v>4</v>
      </c>
      <c r="N1902" s="99" t="s">
        <v>6952</v>
      </c>
      <c r="O1902" s="110"/>
      <c r="P1902" s="110"/>
      <c r="Q1902" s="110"/>
    </row>
    <row r="1903" spans="1:17" s="119" customFormat="1" ht="31.75" customHeight="1">
      <c r="A1903" s="109" t="s">
        <v>7252</v>
      </c>
      <c r="B1903" s="109" t="s">
        <v>7253</v>
      </c>
      <c r="C1903" s="98">
        <v>2010</v>
      </c>
      <c r="D1903" s="99" t="s">
        <v>6953</v>
      </c>
      <c r="E1903" s="99" t="s">
        <v>6953</v>
      </c>
      <c r="F1903" s="99" t="s">
        <v>6953</v>
      </c>
      <c r="G1903" s="99" t="s">
        <v>6953</v>
      </c>
      <c r="H1903" s="99" t="s">
        <v>6953</v>
      </c>
      <c r="I1903" s="99" t="s">
        <v>6953</v>
      </c>
      <c r="J1903" s="99" t="s">
        <v>6953</v>
      </c>
      <c r="K1903" s="99" t="s">
        <v>6953</v>
      </c>
      <c r="L1903" s="99" t="s">
        <v>6953</v>
      </c>
      <c r="M1903" s="99" t="s">
        <v>6953</v>
      </c>
      <c r="N1903" s="99" t="s">
        <v>6953</v>
      </c>
      <c r="O1903" s="100"/>
      <c r="P1903" s="100"/>
      <c r="Q1903" s="100"/>
    </row>
    <row r="1904" spans="1:17" s="119" customFormat="1" ht="31.75" customHeight="1">
      <c r="A1904" s="109" t="s">
        <v>7252</v>
      </c>
      <c r="B1904" s="109" t="s">
        <v>7253</v>
      </c>
      <c r="C1904" s="98">
        <v>2011</v>
      </c>
      <c r="D1904" s="99" t="s">
        <v>6953</v>
      </c>
      <c r="E1904" s="99" t="s">
        <v>6953</v>
      </c>
      <c r="F1904" s="99" t="s">
        <v>6953</v>
      </c>
      <c r="G1904" s="99" t="s">
        <v>6953</v>
      </c>
      <c r="H1904" s="99" t="s">
        <v>6953</v>
      </c>
      <c r="I1904" s="99" t="s">
        <v>6953</v>
      </c>
      <c r="J1904" s="99" t="s">
        <v>6953</v>
      </c>
      <c r="K1904" s="99" t="s">
        <v>6953</v>
      </c>
      <c r="L1904" s="99" t="s">
        <v>6953</v>
      </c>
      <c r="M1904" s="99" t="s">
        <v>6953</v>
      </c>
      <c r="N1904" s="99" t="s">
        <v>6953</v>
      </c>
      <c r="O1904" s="110"/>
      <c r="P1904" s="110"/>
      <c r="Q1904" s="110"/>
    </row>
    <row r="1905" spans="1:17" s="119" customFormat="1" ht="31.75" customHeight="1">
      <c r="A1905" s="109" t="s">
        <v>7252</v>
      </c>
      <c r="B1905" s="109" t="s">
        <v>7253</v>
      </c>
      <c r="C1905" s="111">
        <v>2012</v>
      </c>
      <c r="D1905" s="112">
        <v>5</v>
      </c>
      <c r="E1905" s="112">
        <v>14</v>
      </c>
      <c r="F1905" s="112">
        <v>5</v>
      </c>
      <c r="G1905" s="112">
        <v>10</v>
      </c>
      <c r="H1905" s="112">
        <v>5</v>
      </c>
      <c r="I1905" s="112" t="s">
        <v>6952</v>
      </c>
      <c r="J1905" s="112" t="s">
        <v>6952</v>
      </c>
      <c r="K1905" s="112" t="s">
        <v>6952</v>
      </c>
      <c r="L1905" s="112">
        <v>2</v>
      </c>
      <c r="M1905" s="112">
        <v>2</v>
      </c>
      <c r="N1905" s="112" t="s">
        <v>6952</v>
      </c>
      <c r="O1905" s="100"/>
      <c r="P1905" s="100"/>
      <c r="Q1905" s="100"/>
    </row>
    <row r="1906" spans="1:17" s="119" customFormat="1" ht="31.75" customHeight="1">
      <c r="A1906" s="109" t="s">
        <v>7252</v>
      </c>
      <c r="B1906" s="109" t="s">
        <v>7253</v>
      </c>
      <c r="C1906" s="113">
        <v>2013</v>
      </c>
      <c r="D1906" s="112">
        <v>11</v>
      </c>
      <c r="E1906" s="112">
        <v>24</v>
      </c>
      <c r="F1906" s="112">
        <v>13</v>
      </c>
      <c r="G1906" s="112">
        <v>12</v>
      </c>
      <c r="H1906" s="112">
        <v>8</v>
      </c>
      <c r="I1906" s="112">
        <v>1</v>
      </c>
      <c r="J1906" s="112">
        <v>1</v>
      </c>
      <c r="K1906" s="112" t="s">
        <v>6952</v>
      </c>
      <c r="L1906" s="112">
        <v>5</v>
      </c>
      <c r="M1906" s="112">
        <v>4</v>
      </c>
      <c r="N1906" s="112">
        <v>1</v>
      </c>
      <c r="O1906" s="100"/>
      <c r="P1906" s="100"/>
      <c r="Q1906" s="100"/>
    </row>
    <row r="1907" spans="1:17" s="119" customFormat="1" ht="31.75" customHeight="1">
      <c r="A1907" s="109" t="s">
        <v>7252</v>
      </c>
      <c r="B1907" s="109" t="s">
        <v>7253</v>
      </c>
      <c r="C1907" s="113">
        <v>2014</v>
      </c>
      <c r="D1907" s="99">
        <v>9</v>
      </c>
      <c r="E1907" s="99">
        <v>22</v>
      </c>
      <c r="F1907" s="99">
        <v>11</v>
      </c>
      <c r="G1907" s="99">
        <v>10</v>
      </c>
      <c r="H1907" s="99">
        <v>9</v>
      </c>
      <c r="I1907" s="99" t="s">
        <v>6952</v>
      </c>
      <c r="J1907" s="99" t="s">
        <v>6952</v>
      </c>
      <c r="K1907" s="99" t="s">
        <v>6952</v>
      </c>
      <c r="L1907" s="99">
        <v>4</v>
      </c>
      <c r="M1907" s="99">
        <v>5</v>
      </c>
      <c r="N1907" s="99">
        <v>-1</v>
      </c>
      <c r="O1907" s="110"/>
      <c r="P1907" s="110"/>
      <c r="Q1907" s="110"/>
    </row>
    <row r="1908" spans="1:17" s="119" customFormat="1" ht="31.75" customHeight="1">
      <c r="A1908" s="109" t="s">
        <v>7252</v>
      </c>
      <c r="B1908" s="109" t="s">
        <v>7253</v>
      </c>
      <c r="C1908" s="113">
        <v>2015</v>
      </c>
      <c r="D1908" s="112">
        <v>7</v>
      </c>
      <c r="E1908" s="112">
        <v>23</v>
      </c>
      <c r="F1908" s="112">
        <v>11</v>
      </c>
      <c r="G1908" s="112">
        <v>12</v>
      </c>
      <c r="H1908" s="112">
        <v>9</v>
      </c>
      <c r="I1908" s="99" t="s">
        <v>6952</v>
      </c>
      <c r="J1908" s="99" t="s">
        <v>6952</v>
      </c>
      <c r="K1908" s="99" t="s">
        <v>6952</v>
      </c>
      <c r="L1908" s="112">
        <v>3</v>
      </c>
      <c r="M1908" s="112">
        <v>3</v>
      </c>
      <c r="N1908" s="112" t="s">
        <v>6952</v>
      </c>
      <c r="O1908" s="110"/>
      <c r="P1908" s="110"/>
      <c r="Q1908" s="110"/>
    </row>
    <row r="1909" spans="1:17" s="119" customFormat="1" ht="31.75" customHeight="1">
      <c r="A1909" s="109" t="s">
        <v>7252</v>
      </c>
      <c r="B1909" s="109" t="s">
        <v>7253</v>
      </c>
      <c r="C1909" s="113">
        <v>2016</v>
      </c>
      <c r="D1909" s="112">
        <v>9</v>
      </c>
      <c r="E1909" s="112">
        <v>21</v>
      </c>
      <c r="F1909" s="112">
        <v>12</v>
      </c>
      <c r="G1909" s="112">
        <v>9</v>
      </c>
      <c r="H1909" s="112">
        <v>8</v>
      </c>
      <c r="I1909" s="112" t="s">
        <v>6953</v>
      </c>
      <c r="J1909" s="99" t="s">
        <v>6953</v>
      </c>
      <c r="K1909" s="99" t="s">
        <v>6953</v>
      </c>
      <c r="L1909" s="112">
        <v>4</v>
      </c>
      <c r="M1909" s="112">
        <v>3</v>
      </c>
      <c r="N1909" s="112">
        <v>1</v>
      </c>
      <c r="O1909" s="117"/>
      <c r="P1909" s="117"/>
      <c r="Q1909" s="117"/>
    </row>
    <row r="1910" spans="1:17" s="119" customFormat="1" ht="31.75" customHeight="1">
      <c r="A1910" s="109" t="s">
        <v>7252</v>
      </c>
      <c r="B1910" s="109" t="s">
        <v>7253</v>
      </c>
      <c r="C1910" s="113">
        <v>2017</v>
      </c>
      <c r="D1910" s="112">
        <v>8</v>
      </c>
      <c r="E1910" s="99" t="s">
        <v>6953</v>
      </c>
      <c r="F1910" s="99" t="s">
        <v>6953</v>
      </c>
      <c r="G1910" s="112">
        <v>9</v>
      </c>
      <c r="H1910" s="99" t="s">
        <v>6953</v>
      </c>
      <c r="I1910" s="112" t="s">
        <v>6953</v>
      </c>
      <c r="J1910" s="99" t="s">
        <v>6953</v>
      </c>
      <c r="K1910" s="112" t="s">
        <v>6952</v>
      </c>
      <c r="L1910" s="112">
        <v>4</v>
      </c>
      <c r="M1910" s="112">
        <v>4</v>
      </c>
      <c r="N1910" s="112" t="s">
        <v>6952</v>
      </c>
      <c r="O1910" s="117"/>
      <c r="P1910" s="117"/>
      <c r="Q1910" s="117"/>
    </row>
    <row r="1911" spans="1:17" s="119" customFormat="1" ht="31.75" customHeight="1">
      <c r="A1911" s="109" t="s">
        <v>7252</v>
      </c>
      <c r="B1911" s="109" t="s">
        <v>7253</v>
      </c>
      <c r="C1911" s="113">
        <v>2018</v>
      </c>
      <c r="D1911" s="112">
        <v>8</v>
      </c>
      <c r="E1911" s="112">
        <v>17</v>
      </c>
      <c r="F1911" s="112">
        <v>10</v>
      </c>
      <c r="G1911" s="112">
        <v>7</v>
      </c>
      <c r="H1911" s="99" t="s">
        <v>6953</v>
      </c>
      <c r="I1911" s="112" t="s">
        <v>6952</v>
      </c>
      <c r="J1911" s="112" t="s">
        <v>6952</v>
      </c>
      <c r="K1911" s="112" t="s">
        <v>6952</v>
      </c>
      <c r="L1911" s="112">
        <v>3</v>
      </c>
      <c r="M1911" s="112">
        <v>4</v>
      </c>
      <c r="N1911" s="112" t="s">
        <v>6952</v>
      </c>
      <c r="O1911" s="117"/>
      <c r="P1911" s="117"/>
      <c r="Q1911" s="117"/>
    </row>
    <row r="1912" spans="1:17" s="119" customFormat="1" ht="31.75" customHeight="1">
      <c r="A1912" s="109" t="s">
        <v>7252</v>
      </c>
      <c r="B1912" s="109" t="s">
        <v>7253</v>
      </c>
      <c r="C1912" s="113">
        <v>2019</v>
      </c>
      <c r="D1912" s="112">
        <v>11</v>
      </c>
      <c r="E1912" s="112">
        <v>14.289038</v>
      </c>
      <c r="F1912" s="112" t="s">
        <v>6953</v>
      </c>
      <c r="G1912" s="112" t="s">
        <v>6953</v>
      </c>
      <c r="H1912" s="112" t="s">
        <v>6953</v>
      </c>
      <c r="I1912" s="112" t="s">
        <v>6952</v>
      </c>
      <c r="J1912" s="112" t="s">
        <v>6952</v>
      </c>
      <c r="K1912" s="112" t="s">
        <v>6952</v>
      </c>
      <c r="L1912" s="112">
        <v>2.9777119999999999</v>
      </c>
      <c r="M1912" s="112">
        <v>3.0740500000000002</v>
      </c>
      <c r="N1912" s="112" t="s">
        <v>6952</v>
      </c>
      <c r="O1912" s="117"/>
      <c r="P1912" s="117"/>
      <c r="Q1912" s="117"/>
    </row>
    <row r="1913" spans="1:17" s="119" customFormat="1" ht="31.75" customHeight="1">
      <c r="A1913" s="114" t="s">
        <v>7252</v>
      </c>
      <c r="B1913" s="114" t="s">
        <v>7253</v>
      </c>
      <c r="C1913" s="113">
        <v>2020</v>
      </c>
      <c r="D1913" s="112">
        <v>11</v>
      </c>
      <c r="E1913" s="112">
        <v>15.969372</v>
      </c>
      <c r="F1913" s="112" t="s">
        <v>6953</v>
      </c>
      <c r="G1913" s="112" t="s">
        <v>6953</v>
      </c>
      <c r="H1913" s="112">
        <v>6.2331260000000004</v>
      </c>
      <c r="I1913" s="112" t="s">
        <v>6953</v>
      </c>
      <c r="J1913" s="112" t="s">
        <v>6953</v>
      </c>
      <c r="K1913" s="112" t="s">
        <v>6953</v>
      </c>
      <c r="L1913" s="112">
        <v>3.5538249999999998</v>
      </c>
      <c r="M1913" s="112">
        <v>3.3138030000000001</v>
      </c>
      <c r="N1913" s="112" t="s">
        <v>6952</v>
      </c>
      <c r="O1913" s="110"/>
      <c r="P1913" s="110"/>
      <c r="Q1913" s="110"/>
    </row>
    <row r="1914" spans="1:17" s="119" customFormat="1" ht="17.5" customHeight="1">
      <c r="A1914" s="109" t="s">
        <v>7254</v>
      </c>
      <c r="B1914" s="109" t="s">
        <v>7255</v>
      </c>
      <c r="C1914" s="98">
        <v>2008</v>
      </c>
      <c r="D1914" s="99" t="s">
        <v>6953</v>
      </c>
      <c r="E1914" s="99" t="s">
        <v>6953</v>
      </c>
      <c r="F1914" s="99" t="s">
        <v>6953</v>
      </c>
      <c r="G1914" s="99" t="s">
        <v>6953</v>
      </c>
      <c r="H1914" s="99" t="s">
        <v>6953</v>
      </c>
      <c r="I1914" s="99" t="s">
        <v>6953</v>
      </c>
      <c r="J1914" s="99" t="s">
        <v>6953</v>
      </c>
      <c r="K1914" s="99" t="s">
        <v>6953</v>
      </c>
      <c r="L1914" s="99" t="s">
        <v>6953</v>
      </c>
      <c r="M1914" s="99" t="s">
        <v>6953</v>
      </c>
      <c r="N1914" s="99" t="s">
        <v>6953</v>
      </c>
      <c r="O1914" s="110"/>
      <c r="P1914" s="110"/>
      <c r="Q1914" s="110"/>
    </row>
    <row r="1915" spans="1:17" s="119" customFormat="1" ht="17.5" customHeight="1">
      <c r="A1915" s="109" t="s">
        <v>7254</v>
      </c>
      <c r="B1915" s="109" t="s">
        <v>7255</v>
      </c>
      <c r="C1915" s="98">
        <v>2009</v>
      </c>
      <c r="D1915" s="99">
        <v>7</v>
      </c>
      <c r="E1915" s="99">
        <v>28</v>
      </c>
      <c r="F1915" s="99">
        <v>10</v>
      </c>
      <c r="G1915" s="99">
        <v>17</v>
      </c>
      <c r="H1915" s="99">
        <v>11</v>
      </c>
      <c r="I1915" s="99" t="s">
        <v>6952</v>
      </c>
      <c r="J1915" s="99" t="s">
        <v>6952</v>
      </c>
      <c r="K1915" s="99" t="s">
        <v>6952</v>
      </c>
      <c r="L1915" s="99">
        <v>5</v>
      </c>
      <c r="M1915" s="99">
        <v>5</v>
      </c>
      <c r="N1915" s="99" t="s">
        <v>6952</v>
      </c>
      <c r="O1915" s="100"/>
      <c r="P1915" s="100"/>
      <c r="Q1915" s="100"/>
    </row>
    <row r="1916" spans="1:17" s="119" customFormat="1" ht="17.5" customHeight="1">
      <c r="A1916" s="109" t="s">
        <v>7254</v>
      </c>
      <c r="B1916" s="109" t="s">
        <v>7255</v>
      </c>
      <c r="C1916" s="98">
        <v>2010</v>
      </c>
      <c r="D1916" s="99">
        <v>7</v>
      </c>
      <c r="E1916" s="99">
        <v>40</v>
      </c>
      <c r="F1916" s="99">
        <v>17</v>
      </c>
      <c r="G1916" s="99">
        <v>23</v>
      </c>
      <c r="H1916" s="99">
        <v>14</v>
      </c>
      <c r="I1916" s="99">
        <v>1</v>
      </c>
      <c r="J1916" s="99">
        <v>1</v>
      </c>
      <c r="K1916" s="99" t="s">
        <v>6952</v>
      </c>
      <c r="L1916" s="99">
        <v>6</v>
      </c>
      <c r="M1916" s="99">
        <v>5</v>
      </c>
      <c r="N1916" s="99">
        <v>1</v>
      </c>
      <c r="O1916" s="110"/>
      <c r="P1916" s="110"/>
      <c r="Q1916" s="110"/>
    </row>
    <row r="1917" spans="1:17" s="119" customFormat="1" ht="17.5" customHeight="1">
      <c r="A1917" s="109" t="s">
        <v>7254</v>
      </c>
      <c r="B1917" s="109" t="s">
        <v>7255</v>
      </c>
      <c r="C1917" s="98">
        <v>2011</v>
      </c>
      <c r="D1917" s="99">
        <v>9</v>
      </c>
      <c r="E1917" s="99">
        <v>32</v>
      </c>
      <c r="F1917" s="99">
        <v>17</v>
      </c>
      <c r="G1917" s="99">
        <v>15</v>
      </c>
      <c r="H1917" s="99">
        <v>11</v>
      </c>
      <c r="I1917" s="99">
        <v>-1</v>
      </c>
      <c r="J1917" s="99">
        <v>1</v>
      </c>
      <c r="K1917" s="99">
        <v>2</v>
      </c>
      <c r="L1917" s="99">
        <v>4</v>
      </c>
      <c r="M1917" s="99">
        <v>3</v>
      </c>
      <c r="N1917" s="99" t="s">
        <v>6952</v>
      </c>
      <c r="O1917" s="100"/>
      <c r="P1917" s="100"/>
      <c r="Q1917" s="100"/>
    </row>
    <row r="1918" spans="1:17" s="119" customFormat="1" ht="17.5" customHeight="1">
      <c r="A1918" s="109" t="s">
        <v>7254</v>
      </c>
      <c r="B1918" s="109" t="s">
        <v>7255</v>
      </c>
      <c r="C1918" s="111">
        <v>2012</v>
      </c>
      <c r="D1918" s="112">
        <v>5</v>
      </c>
      <c r="E1918" s="99" t="s">
        <v>6953</v>
      </c>
      <c r="F1918" s="99" t="s">
        <v>6953</v>
      </c>
      <c r="G1918" s="99" t="s">
        <v>6953</v>
      </c>
      <c r="H1918" s="99" t="s">
        <v>6953</v>
      </c>
      <c r="I1918" s="99" t="s">
        <v>6953</v>
      </c>
      <c r="J1918" s="99" t="s">
        <v>6953</v>
      </c>
      <c r="K1918" s="99" t="s">
        <v>6953</v>
      </c>
      <c r="L1918" s="112">
        <v>4</v>
      </c>
      <c r="M1918" s="112">
        <v>3</v>
      </c>
      <c r="N1918" s="112" t="s">
        <v>6952</v>
      </c>
      <c r="O1918" s="100"/>
      <c r="P1918" s="100"/>
      <c r="Q1918" s="100"/>
    </row>
    <row r="1919" spans="1:17" s="119" customFormat="1" ht="17.5" customHeight="1">
      <c r="A1919" s="109" t="s">
        <v>7254</v>
      </c>
      <c r="B1919" s="109" t="s">
        <v>7255</v>
      </c>
      <c r="C1919" s="113">
        <v>2013</v>
      </c>
      <c r="D1919" s="112">
        <v>6</v>
      </c>
      <c r="E1919" s="99" t="s">
        <v>6953</v>
      </c>
      <c r="F1919" s="99" t="s">
        <v>6953</v>
      </c>
      <c r="G1919" s="99" t="s">
        <v>6953</v>
      </c>
      <c r="H1919" s="112">
        <v>8</v>
      </c>
      <c r="I1919" s="112" t="s">
        <v>6952</v>
      </c>
      <c r="J1919" s="112">
        <v>1</v>
      </c>
      <c r="K1919" s="112" t="s">
        <v>6952</v>
      </c>
      <c r="L1919" s="112">
        <v>4</v>
      </c>
      <c r="M1919" s="112">
        <v>4</v>
      </c>
      <c r="N1919" s="112" t="s">
        <v>6952</v>
      </c>
      <c r="O1919" s="110"/>
      <c r="P1919" s="110"/>
      <c r="Q1919" s="110"/>
    </row>
    <row r="1920" spans="1:17" s="119" customFormat="1" ht="17.5" customHeight="1">
      <c r="A1920" s="109" t="s">
        <v>7254</v>
      </c>
      <c r="B1920" s="109" t="s">
        <v>7255</v>
      </c>
      <c r="C1920" s="113">
        <v>2014</v>
      </c>
      <c r="D1920" s="99">
        <v>7</v>
      </c>
      <c r="E1920" s="99" t="s">
        <v>6953</v>
      </c>
      <c r="F1920" s="99" t="s">
        <v>6953</v>
      </c>
      <c r="G1920" s="99" t="s">
        <v>6953</v>
      </c>
      <c r="H1920" s="99" t="s">
        <v>6953</v>
      </c>
      <c r="I1920" s="99" t="s">
        <v>6953</v>
      </c>
      <c r="J1920" s="99" t="s">
        <v>6953</v>
      </c>
      <c r="K1920" s="99" t="s">
        <v>6952</v>
      </c>
      <c r="L1920" s="99">
        <v>8</v>
      </c>
      <c r="M1920" s="99">
        <v>6</v>
      </c>
      <c r="N1920" s="99">
        <v>2</v>
      </c>
      <c r="O1920" s="110"/>
      <c r="P1920" s="110"/>
      <c r="Q1920" s="110"/>
    </row>
    <row r="1921" spans="1:17" s="119" customFormat="1" ht="17.5" customHeight="1">
      <c r="A1921" s="109" t="s">
        <v>7254</v>
      </c>
      <c r="B1921" s="109" t="s">
        <v>7255</v>
      </c>
      <c r="C1921" s="113">
        <v>2015</v>
      </c>
      <c r="D1921" s="112">
        <v>8</v>
      </c>
      <c r="E1921" s="99" t="s">
        <v>6953</v>
      </c>
      <c r="F1921" s="99" t="s">
        <v>6953</v>
      </c>
      <c r="G1921" s="99" t="s">
        <v>6953</v>
      </c>
      <c r="H1921" s="112">
        <v>21</v>
      </c>
      <c r="I1921" s="112">
        <v>3</v>
      </c>
      <c r="J1921" s="112">
        <v>3</v>
      </c>
      <c r="K1921" s="112" t="s">
        <v>6952</v>
      </c>
      <c r="L1921" s="112">
        <v>10</v>
      </c>
      <c r="M1921" s="112">
        <v>10</v>
      </c>
      <c r="N1921" s="112" t="s">
        <v>6952</v>
      </c>
      <c r="O1921" s="117"/>
      <c r="P1921" s="117"/>
      <c r="Q1921" s="117"/>
    </row>
    <row r="1922" spans="1:17" s="119" customFormat="1" ht="17.5" customHeight="1">
      <c r="A1922" s="109" t="s">
        <v>7254</v>
      </c>
      <c r="B1922" s="109" t="s">
        <v>7255</v>
      </c>
      <c r="C1922" s="113">
        <v>2016</v>
      </c>
      <c r="D1922" s="112">
        <v>7</v>
      </c>
      <c r="E1922" s="112">
        <v>44</v>
      </c>
      <c r="F1922" s="112">
        <v>20</v>
      </c>
      <c r="G1922" s="112">
        <v>24</v>
      </c>
      <c r="H1922" s="112">
        <v>13</v>
      </c>
      <c r="I1922" s="112">
        <v>1</v>
      </c>
      <c r="J1922" s="112">
        <v>1</v>
      </c>
      <c r="K1922" s="112" t="s">
        <v>6952</v>
      </c>
      <c r="L1922" s="112">
        <v>7</v>
      </c>
      <c r="M1922" s="112">
        <v>7</v>
      </c>
      <c r="N1922" s="112" t="s">
        <v>6952</v>
      </c>
      <c r="O1922" s="117"/>
      <c r="P1922" s="117"/>
      <c r="Q1922" s="117"/>
    </row>
    <row r="1923" spans="1:17" s="119" customFormat="1" ht="17.5" customHeight="1">
      <c r="A1923" s="109" t="s">
        <v>7254</v>
      </c>
      <c r="B1923" s="109" t="s">
        <v>7255</v>
      </c>
      <c r="C1923" s="113">
        <v>2017</v>
      </c>
      <c r="D1923" s="112">
        <v>6</v>
      </c>
      <c r="E1923" s="112">
        <v>53</v>
      </c>
      <c r="F1923" s="112">
        <v>26</v>
      </c>
      <c r="G1923" s="112">
        <v>28</v>
      </c>
      <c r="H1923" s="112">
        <v>15</v>
      </c>
      <c r="I1923" s="99" t="s">
        <v>6953</v>
      </c>
      <c r="J1923" s="99" t="s">
        <v>6953</v>
      </c>
      <c r="K1923" s="112" t="s">
        <v>6952</v>
      </c>
      <c r="L1923" s="112">
        <v>8</v>
      </c>
      <c r="M1923" s="112">
        <v>7</v>
      </c>
      <c r="N1923" s="112">
        <v>1</v>
      </c>
      <c r="O1923" s="117"/>
      <c r="P1923" s="117"/>
      <c r="Q1923" s="117"/>
    </row>
    <row r="1924" spans="1:17" s="119" customFormat="1" ht="17.5" customHeight="1">
      <c r="A1924" s="109" t="s">
        <v>7254</v>
      </c>
      <c r="B1924" s="109" t="s">
        <v>7255</v>
      </c>
      <c r="C1924" s="113">
        <v>2018</v>
      </c>
      <c r="D1924" s="112">
        <v>7</v>
      </c>
      <c r="E1924" s="112">
        <v>62</v>
      </c>
      <c r="F1924" s="112">
        <v>31</v>
      </c>
      <c r="G1924" s="112">
        <v>33</v>
      </c>
      <c r="H1924" s="112">
        <v>19</v>
      </c>
      <c r="I1924" s="112">
        <v>2</v>
      </c>
      <c r="J1924" s="112">
        <v>2</v>
      </c>
      <c r="K1924" s="112" t="s">
        <v>6952</v>
      </c>
      <c r="L1924" s="112">
        <v>11</v>
      </c>
      <c r="M1924" s="112">
        <v>9</v>
      </c>
      <c r="N1924" s="112">
        <v>2</v>
      </c>
      <c r="O1924" s="117"/>
      <c r="P1924" s="117"/>
      <c r="Q1924" s="117"/>
    </row>
    <row r="1925" spans="1:17" s="119" customFormat="1" ht="17.5" customHeight="1">
      <c r="A1925" s="109" t="s">
        <v>7254</v>
      </c>
      <c r="B1925" s="109" t="s">
        <v>7255</v>
      </c>
      <c r="C1925" s="113">
        <v>2019</v>
      </c>
      <c r="D1925" s="112">
        <v>7</v>
      </c>
      <c r="E1925" s="112">
        <v>97.416182000000006</v>
      </c>
      <c r="F1925" s="112">
        <v>41.554653999999999</v>
      </c>
      <c r="G1925" s="112">
        <v>56.510530000000003</v>
      </c>
      <c r="H1925" s="112">
        <v>28.983946</v>
      </c>
      <c r="I1925" s="112">
        <v>1.1223559999999999</v>
      </c>
      <c r="J1925" s="112">
        <v>1.133569</v>
      </c>
      <c r="K1925" s="112" t="s">
        <v>6952</v>
      </c>
      <c r="L1925" s="112">
        <v>19.599917999999999</v>
      </c>
      <c r="M1925" s="112">
        <v>18.648326999999998</v>
      </c>
      <c r="N1925" s="112">
        <v>0.95159099999999996</v>
      </c>
      <c r="O1925" s="110"/>
      <c r="P1925" s="110"/>
      <c r="Q1925" s="110"/>
    </row>
    <row r="1926" spans="1:17" s="119" customFormat="1" ht="17.5" customHeight="1">
      <c r="A1926" s="114" t="s">
        <v>7254</v>
      </c>
      <c r="B1926" s="114" t="s">
        <v>7255</v>
      </c>
      <c r="C1926" s="113">
        <v>2020</v>
      </c>
      <c r="D1926" s="112">
        <v>7</v>
      </c>
      <c r="E1926" s="112">
        <v>57.450865</v>
      </c>
      <c r="F1926" s="112">
        <v>23.97175</v>
      </c>
      <c r="G1926" s="112">
        <v>29.075765000000001</v>
      </c>
      <c r="H1926" s="112">
        <v>20.635446000000002</v>
      </c>
      <c r="I1926" s="112" t="s">
        <v>6953</v>
      </c>
      <c r="J1926" s="112" t="s">
        <v>6953</v>
      </c>
      <c r="K1926" s="112" t="s">
        <v>6953</v>
      </c>
      <c r="L1926" s="112">
        <v>8.3910029999999995</v>
      </c>
      <c r="M1926" s="112">
        <v>12.681036000000001</v>
      </c>
      <c r="N1926" s="112">
        <v>-4.2900340000000003</v>
      </c>
      <c r="O1926" s="110"/>
      <c r="P1926" s="110"/>
      <c r="Q1926" s="110"/>
    </row>
    <row r="1927" spans="1:17" s="119" customFormat="1" ht="17.5" customHeight="1">
      <c r="A1927" s="109" t="s">
        <v>7256</v>
      </c>
      <c r="B1927" s="109" t="s">
        <v>7257</v>
      </c>
      <c r="C1927" s="98">
        <v>2008</v>
      </c>
      <c r="D1927" s="99" t="s">
        <v>6953</v>
      </c>
      <c r="E1927" s="99" t="s">
        <v>6953</v>
      </c>
      <c r="F1927" s="99" t="s">
        <v>6953</v>
      </c>
      <c r="G1927" s="99" t="s">
        <v>6953</v>
      </c>
      <c r="H1927" s="99" t="s">
        <v>6953</v>
      </c>
      <c r="I1927" s="99" t="s">
        <v>6953</v>
      </c>
      <c r="J1927" s="99" t="s">
        <v>6953</v>
      </c>
      <c r="K1927" s="99" t="s">
        <v>6953</v>
      </c>
      <c r="L1927" s="99" t="s">
        <v>6953</v>
      </c>
      <c r="M1927" s="99" t="s">
        <v>6953</v>
      </c>
      <c r="N1927" s="99" t="s">
        <v>6953</v>
      </c>
      <c r="O1927" s="100"/>
      <c r="P1927" s="100"/>
      <c r="Q1927" s="100"/>
    </row>
    <row r="1928" spans="1:17" s="119" customFormat="1" ht="17.5" customHeight="1">
      <c r="A1928" s="109" t="s">
        <v>7256</v>
      </c>
      <c r="B1928" s="109" t="s">
        <v>7257</v>
      </c>
      <c r="C1928" s="98">
        <v>2009</v>
      </c>
      <c r="D1928" s="99">
        <v>111</v>
      </c>
      <c r="E1928" s="99">
        <v>26</v>
      </c>
      <c r="F1928" s="99">
        <v>13</v>
      </c>
      <c r="G1928" s="99">
        <v>12</v>
      </c>
      <c r="H1928" s="99">
        <v>6</v>
      </c>
      <c r="I1928" s="99">
        <v>7</v>
      </c>
      <c r="J1928" s="99">
        <v>7</v>
      </c>
      <c r="K1928" s="99">
        <v>0</v>
      </c>
      <c r="L1928" s="99">
        <v>3</v>
      </c>
      <c r="M1928" s="99">
        <v>3</v>
      </c>
      <c r="N1928" s="99" t="s">
        <v>6952</v>
      </c>
      <c r="O1928" s="110"/>
      <c r="P1928" s="110"/>
      <c r="Q1928" s="110"/>
    </row>
    <row r="1929" spans="1:17" s="119" customFormat="1" ht="17.5" customHeight="1">
      <c r="A1929" s="109" t="s">
        <v>7256</v>
      </c>
      <c r="B1929" s="109" t="s">
        <v>7257</v>
      </c>
      <c r="C1929" s="98">
        <v>2010</v>
      </c>
      <c r="D1929" s="99">
        <v>99</v>
      </c>
      <c r="E1929" s="99">
        <v>40</v>
      </c>
      <c r="F1929" s="99">
        <v>10</v>
      </c>
      <c r="G1929" s="99">
        <v>29</v>
      </c>
      <c r="H1929" s="99">
        <v>10</v>
      </c>
      <c r="I1929" s="99" t="s">
        <v>6953</v>
      </c>
      <c r="J1929" s="99" t="s">
        <v>6953</v>
      </c>
      <c r="K1929" s="99">
        <v>0</v>
      </c>
      <c r="L1929" s="99" t="s">
        <v>6953</v>
      </c>
      <c r="M1929" s="99">
        <v>2</v>
      </c>
      <c r="N1929" s="99" t="s">
        <v>6952</v>
      </c>
      <c r="O1929" s="100"/>
      <c r="P1929" s="100"/>
      <c r="Q1929" s="100"/>
    </row>
    <row r="1930" spans="1:17" s="119" customFormat="1" ht="17.5" customHeight="1">
      <c r="A1930" s="109" t="s">
        <v>7256</v>
      </c>
      <c r="B1930" s="109" t="s">
        <v>7257</v>
      </c>
      <c r="C1930" s="98">
        <v>2011</v>
      </c>
      <c r="D1930" s="99">
        <v>93</v>
      </c>
      <c r="E1930" s="99">
        <v>35</v>
      </c>
      <c r="F1930" s="99">
        <v>18</v>
      </c>
      <c r="G1930" s="99">
        <v>17</v>
      </c>
      <c r="H1930" s="99">
        <v>9</v>
      </c>
      <c r="I1930" s="99">
        <v>1</v>
      </c>
      <c r="J1930" s="99">
        <v>1</v>
      </c>
      <c r="K1930" s="99" t="s">
        <v>6952</v>
      </c>
      <c r="L1930" s="99">
        <v>2</v>
      </c>
      <c r="M1930" s="99">
        <v>2</v>
      </c>
      <c r="N1930" s="99" t="s">
        <v>6952</v>
      </c>
      <c r="O1930" s="100"/>
      <c r="P1930" s="100"/>
      <c r="Q1930" s="100"/>
    </row>
    <row r="1931" spans="1:17" s="119" customFormat="1" ht="17.5" customHeight="1">
      <c r="A1931" s="109" t="s">
        <v>7256</v>
      </c>
      <c r="B1931" s="109" t="s">
        <v>7257</v>
      </c>
      <c r="C1931" s="111">
        <v>2012</v>
      </c>
      <c r="D1931" s="112">
        <v>85</v>
      </c>
      <c r="E1931" s="112">
        <v>64</v>
      </c>
      <c r="F1931" s="112">
        <v>33</v>
      </c>
      <c r="G1931" s="112">
        <v>31</v>
      </c>
      <c r="H1931" s="112">
        <v>14</v>
      </c>
      <c r="I1931" s="112">
        <v>5</v>
      </c>
      <c r="J1931" s="112">
        <v>5</v>
      </c>
      <c r="K1931" s="99" t="s">
        <v>6952</v>
      </c>
      <c r="L1931" s="112">
        <v>5</v>
      </c>
      <c r="M1931" s="112">
        <v>5</v>
      </c>
      <c r="N1931" s="99" t="s">
        <v>6952</v>
      </c>
      <c r="O1931" s="110"/>
      <c r="P1931" s="110"/>
      <c r="Q1931" s="110"/>
    </row>
    <row r="1932" spans="1:17" s="119" customFormat="1" ht="17.5" customHeight="1">
      <c r="A1932" s="109" t="s">
        <v>7256</v>
      </c>
      <c r="B1932" s="109" t="s">
        <v>7257</v>
      </c>
      <c r="C1932" s="113">
        <v>2013</v>
      </c>
      <c r="D1932" s="112">
        <v>63</v>
      </c>
      <c r="E1932" s="112">
        <v>54</v>
      </c>
      <c r="F1932" s="112">
        <v>34</v>
      </c>
      <c r="G1932" s="112">
        <v>20</v>
      </c>
      <c r="H1932" s="112">
        <v>13</v>
      </c>
      <c r="I1932" s="112">
        <v>2</v>
      </c>
      <c r="J1932" s="112">
        <v>2</v>
      </c>
      <c r="K1932" s="99" t="s">
        <v>6952</v>
      </c>
      <c r="L1932" s="112">
        <v>3</v>
      </c>
      <c r="M1932" s="112">
        <v>4</v>
      </c>
      <c r="N1932" s="99" t="s">
        <v>6952</v>
      </c>
      <c r="O1932" s="110"/>
      <c r="P1932" s="110"/>
      <c r="Q1932" s="110"/>
    </row>
    <row r="1933" spans="1:17" s="119" customFormat="1" ht="17.5" customHeight="1">
      <c r="A1933" s="109" t="s">
        <v>7256</v>
      </c>
      <c r="B1933" s="109" t="s">
        <v>7257</v>
      </c>
      <c r="C1933" s="113">
        <v>2014</v>
      </c>
      <c r="D1933" s="99">
        <v>57</v>
      </c>
      <c r="E1933" s="99">
        <v>38</v>
      </c>
      <c r="F1933" s="99">
        <v>20</v>
      </c>
      <c r="G1933" s="99">
        <v>17</v>
      </c>
      <c r="H1933" s="99">
        <v>15</v>
      </c>
      <c r="I1933" s="99" t="s">
        <v>6952</v>
      </c>
      <c r="J1933" s="99" t="s">
        <v>6952</v>
      </c>
      <c r="K1933" s="99" t="s">
        <v>6952</v>
      </c>
      <c r="L1933" s="99">
        <v>3</v>
      </c>
      <c r="M1933" s="99">
        <v>2</v>
      </c>
      <c r="N1933" s="99">
        <v>1</v>
      </c>
      <c r="O1933" s="117"/>
      <c r="P1933" s="117"/>
      <c r="Q1933" s="117"/>
    </row>
    <row r="1934" spans="1:17" s="119" customFormat="1" ht="17.5" customHeight="1">
      <c r="A1934" s="109" t="s">
        <v>7256</v>
      </c>
      <c r="B1934" s="109" t="s">
        <v>7257</v>
      </c>
      <c r="C1934" s="113">
        <v>2015</v>
      </c>
      <c r="D1934" s="112">
        <v>52</v>
      </c>
      <c r="E1934" s="112">
        <v>51</v>
      </c>
      <c r="F1934" s="112">
        <v>27</v>
      </c>
      <c r="G1934" s="112">
        <v>24</v>
      </c>
      <c r="H1934" s="112">
        <v>12</v>
      </c>
      <c r="I1934" s="112">
        <v>3</v>
      </c>
      <c r="J1934" s="112">
        <v>3</v>
      </c>
      <c r="K1934" s="99" t="s">
        <v>6952</v>
      </c>
      <c r="L1934" s="112">
        <v>4</v>
      </c>
      <c r="M1934" s="112">
        <v>4</v>
      </c>
      <c r="N1934" s="112" t="s">
        <v>6952</v>
      </c>
      <c r="O1934" s="117"/>
      <c r="P1934" s="117"/>
      <c r="Q1934" s="117"/>
    </row>
    <row r="1935" spans="1:17" s="119" customFormat="1" ht="17.5" customHeight="1">
      <c r="A1935" s="109" t="s">
        <v>7256</v>
      </c>
      <c r="B1935" s="109" t="s">
        <v>7257</v>
      </c>
      <c r="C1935" s="113">
        <v>2016</v>
      </c>
      <c r="D1935" s="112">
        <v>46</v>
      </c>
      <c r="E1935" s="112">
        <v>39</v>
      </c>
      <c r="F1935" s="112">
        <v>22</v>
      </c>
      <c r="G1935" s="112">
        <v>17</v>
      </c>
      <c r="H1935" s="112">
        <v>13</v>
      </c>
      <c r="I1935" s="112">
        <v>2</v>
      </c>
      <c r="J1935" s="112">
        <v>2</v>
      </c>
      <c r="K1935" s="99" t="s">
        <v>6952</v>
      </c>
      <c r="L1935" s="112">
        <v>4</v>
      </c>
      <c r="M1935" s="112">
        <v>3</v>
      </c>
      <c r="N1935" s="112" t="s">
        <v>6952</v>
      </c>
      <c r="O1935" s="117"/>
      <c r="P1935" s="117"/>
      <c r="Q1935" s="117"/>
    </row>
    <row r="1936" spans="1:17" s="119" customFormat="1" ht="17.5" customHeight="1">
      <c r="A1936" s="109" t="s">
        <v>7256</v>
      </c>
      <c r="B1936" s="109" t="s">
        <v>7257</v>
      </c>
      <c r="C1936" s="113">
        <v>2017</v>
      </c>
      <c r="D1936" s="112">
        <v>44</v>
      </c>
      <c r="E1936" s="112">
        <v>58</v>
      </c>
      <c r="F1936" s="112">
        <v>29</v>
      </c>
      <c r="G1936" s="112">
        <v>30</v>
      </c>
      <c r="H1936" s="112">
        <v>18</v>
      </c>
      <c r="I1936" s="112">
        <v>4</v>
      </c>
      <c r="J1936" s="112">
        <v>5</v>
      </c>
      <c r="K1936" s="99" t="s">
        <v>6952</v>
      </c>
      <c r="L1936" s="112">
        <v>7</v>
      </c>
      <c r="M1936" s="112">
        <v>6</v>
      </c>
      <c r="N1936" s="112">
        <v>1</v>
      </c>
      <c r="O1936" s="117"/>
      <c r="P1936" s="117"/>
      <c r="Q1936" s="117"/>
    </row>
    <row r="1937" spans="1:17" s="119" customFormat="1" ht="17.5" customHeight="1">
      <c r="A1937" s="109" t="s">
        <v>7256</v>
      </c>
      <c r="B1937" s="109" t="s">
        <v>7257</v>
      </c>
      <c r="C1937" s="113">
        <v>2018</v>
      </c>
      <c r="D1937" s="112">
        <v>49</v>
      </c>
      <c r="E1937" s="112">
        <v>52</v>
      </c>
      <c r="F1937" s="112">
        <v>27</v>
      </c>
      <c r="G1937" s="112">
        <v>24</v>
      </c>
      <c r="H1937" s="112">
        <v>17</v>
      </c>
      <c r="I1937" s="112">
        <v>1</v>
      </c>
      <c r="J1937" s="112">
        <v>1</v>
      </c>
      <c r="K1937" s="99" t="s">
        <v>6952</v>
      </c>
      <c r="L1937" s="112">
        <v>6</v>
      </c>
      <c r="M1937" s="112">
        <v>7</v>
      </c>
      <c r="N1937" s="112">
        <v>-1</v>
      </c>
      <c r="O1937" s="110"/>
      <c r="P1937" s="110"/>
      <c r="Q1937" s="110"/>
    </row>
    <row r="1938" spans="1:17" s="119" customFormat="1" ht="17.5" customHeight="1">
      <c r="A1938" s="109" t="s">
        <v>7256</v>
      </c>
      <c r="B1938" s="109" t="s">
        <v>7257</v>
      </c>
      <c r="C1938" s="113">
        <v>2019</v>
      </c>
      <c r="D1938" s="112">
        <v>43</v>
      </c>
      <c r="E1938" s="112">
        <v>35.430377999999997</v>
      </c>
      <c r="F1938" s="112">
        <v>16.537282999999999</v>
      </c>
      <c r="G1938" s="112">
        <v>18.675540999999999</v>
      </c>
      <c r="H1938" s="112">
        <v>12.120557</v>
      </c>
      <c r="I1938" s="112">
        <v>1.0968230000000001</v>
      </c>
      <c r="J1938" s="112">
        <v>1.1186579999999999</v>
      </c>
      <c r="K1938" s="112" t="s">
        <v>6952</v>
      </c>
      <c r="L1938" s="112">
        <v>3.7034739999999999</v>
      </c>
      <c r="M1938" s="112">
        <v>3.7596599999999998</v>
      </c>
      <c r="N1938" s="112" t="s">
        <v>6952</v>
      </c>
      <c r="O1938" s="110"/>
      <c r="P1938" s="110"/>
      <c r="Q1938" s="110"/>
    </row>
    <row r="1939" spans="1:17" s="119" customFormat="1" ht="17.5" customHeight="1">
      <c r="A1939" s="114" t="s">
        <v>7256</v>
      </c>
      <c r="B1939" s="114" t="s">
        <v>7257</v>
      </c>
      <c r="C1939" s="113">
        <v>2020</v>
      </c>
      <c r="D1939" s="112">
        <v>46</v>
      </c>
      <c r="E1939" s="112">
        <v>33.855286999999997</v>
      </c>
      <c r="F1939" s="112">
        <v>8.6518309999999996</v>
      </c>
      <c r="G1939" s="112">
        <v>23.693235000000001</v>
      </c>
      <c r="H1939" s="112">
        <v>14.517676</v>
      </c>
      <c r="I1939" s="112">
        <v>1.105348</v>
      </c>
      <c r="J1939" s="112">
        <v>1.1516010000000001</v>
      </c>
      <c r="K1939" s="112" t="s">
        <v>6952</v>
      </c>
      <c r="L1939" s="112">
        <v>5.5446099999999996</v>
      </c>
      <c r="M1939" s="112">
        <v>6.6678290000000002</v>
      </c>
      <c r="N1939" s="112">
        <v>-1.123218</v>
      </c>
      <c r="O1939" s="100"/>
      <c r="P1939" s="100"/>
      <c r="Q1939" s="100"/>
    </row>
    <row r="1940" spans="1:17" s="119" customFormat="1" ht="17.5" customHeight="1">
      <c r="A1940" s="109" t="s">
        <v>7258</v>
      </c>
      <c r="B1940" s="109" t="s">
        <v>7259</v>
      </c>
      <c r="C1940" s="98">
        <v>2008</v>
      </c>
      <c r="D1940" s="99">
        <v>21</v>
      </c>
      <c r="E1940" s="99">
        <v>712</v>
      </c>
      <c r="F1940" s="99">
        <v>293</v>
      </c>
      <c r="G1940" s="99">
        <v>422</v>
      </c>
      <c r="H1940" s="99">
        <v>178</v>
      </c>
      <c r="I1940" s="99">
        <v>134</v>
      </c>
      <c r="J1940" s="99">
        <v>136</v>
      </c>
      <c r="K1940" s="99">
        <v>2</v>
      </c>
      <c r="L1940" s="99">
        <v>55</v>
      </c>
      <c r="M1940" s="99">
        <v>66</v>
      </c>
      <c r="N1940" s="99">
        <v>-11</v>
      </c>
      <c r="O1940" s="110"/>
      <c r="P1940" s="110"/>
      <c r="Q1940" s="110"/>
    </row>
    <row r="1941" spans="1:17" s="119" customFormat="1" ht="17.5" customHeight="1">
      <c r="A1941" s="109" t="s">
        <v>7258</v>
      </c>
      <c r="B1941" s="109" t="s">
        <v>7259</v>
      </c>
      <c r="C1941" s="98">
        <v>2009</v>
      </c>
      <c r="D1941" s="99">
        <v>24</v>
      </c>
      <c r="E1941" s="99">
        <v>741</v>
      </c>
      <c r="F1941" s="99">
        <v>273</v>
      </c>
      <c r="G1941" s="99">
        <v>491</v>
      </c>
      <c r="H1941" s="99">
        <v>129</v>
      </c>
      <c r="I1941" s="99">
        <v>29</v>
      </c>
      <c r="J1941" s="99">
        <v>31</v>
      </c>
      <c r="K1941" s="99">
        <v>2</v>
      </c>
      <c r="L1941" s="99">
        <v>89</v>
      </c>
      <c r="M1941" s="99">
        <v>90</v>
      </c>
      <c r="N1941" s="99">
        <v>-2</v>
      </c>
      <c r="O1941" s="100"/>
      <c r="P1941" s="100"/>
      <c r="Q1941" s="100"/>
    </row>
    <row r="1942" spans="1:17" s="119" customFormat="1" ht="17.5" customHeight="1">
      <c r="A1942" s="109" t="s">
        <v>7258</v>
      </c>
      <c r="B1942" s="109" t="s">
        <v>7259</v>
      </c>
      <c r="C1942" s="98">
        <v>2010</v>
      </c>
      <c r="D1942" s="99">
        <v>20</v>
      </c>
      <c r="E1942" s="99">
        <v>841</v>
      </c>
      <c r="F1942" s="99">
        <v>302</v>
      </c>
      <c r="G1942" s="99">
        <v>535</v>
      </c>
      <c r="H1942" s="99">
        <v>110</v>
      </c>
      <c r="I1942" s="99">
        <v>33</v>
      </c>
      <c r="J1942" s="99">
        <v>34</v>
      </c>
      <c r="K1942" s="99">
        <v>1</v>
      </c>
      <c r="L1942" s="99">
        <v>71</v>
      </c>
      <c r="M1942" s="99">
        <v>76</v>
      </c>
      <c r="N1942" s="99">
        <v>-4</v>
      </c>
      <c r="O1942" s="100"/>
      <c r="P1942" s="100"/>
      <c r="Q1942" s="100"/>
    </row>
    <row r="1943" spans="1:17" s="119" customFormat="1" ht="17.5" customHeight="1">
      <c r="A1943" s="109" t="s">
        <v>7258</v>
      </c>
      <c r="B1943" s="109" t="s">
        <v>7259</v>
      </c>
      <c r="C1943" s="98">
        <v>2011</v>
      </c>
      <c r="D1943" s="99">
        <v>16</v>
      </c>
      <c r="E1943" s="99">
        <v>670</v>
      </c>
      <c r="F1943" s="99">
        <v>225</v>
      </c>
      <c r="G1943" s="99">
        <v>448</v>
      </c>
      <c r="H1943" s="99">
        <v>95</v>
      </c>
      <c r="I1943" s="99">
        <v>30</v>
      </c>
      <c r="J1943" s="99">
        <v>32</v>
      </c>
      <c r="K1943" s="99">
        <v>2</v>
      </c>
      <c r="L1943" s="99">
        <v>75</v>
      </c>
      <c r="M1943" s="99">
        <v>72</v>
      </c>
      <c r="N1943" s="99">
        <v>3</v>
      </c>
      <c r="O1943" s="110"/>
      <c r="P1943" s="110"/>
      <c r="Q1943" s="110"/>
    </row>
    <row r="1944" spans="1:17" s="119" customFormat="1" ht="17.5" customHeight="1">
      <c r="A1944" s="109" t="s">
        <v>7258</v>
      </c>
      <c r="B1944" s="109" t="s">
        <v>7259</v>
      </c>
      <c r="C1944" s="111">
        <v>2012</v>
      </c>
      <c r="D1944" s="112">
        <v>15</v>
      </c>
      <c r="E1944" s="112">
        <v>551</v>
      </c>
      <c r="F1944" s="112">
        <v>197</v>
      </c>
      <c r="G1944" s="112">
        <v>365</v>
      </c>
      <c r="H1944" s="112">
        <v>84</v>
      </c>
      <c r="I1944" s="112">
        <v>31</v>
      </c>
      <c r="J1944" s="112">
        <v>40</v>
      </c>
      <c r="K1944" s="112">
        <v>9</v>
      </c>
      <c r="L1944" s="112">
        <v>55</v>
      </c>
      <c r="M1944" s="112">
        <v>45</v>
      </c>
      <c r="N1944" s="112">
        <v>10</v>
      </c>
      <c r="O1944" s="110"/>
      <c r="P1944" s="110"/>
      <c r="Q1944" s="110"/>
    </row>
    <row r="1945" spans="1:17" s="119" customFormat="1" ht="17.5" customHeight="1">
      <c r="A1945" s="109" t="s">
        <v>7258</v>
      </c>
      <c r="B1945" s="109" t="s">
        <v>7259</v>
      </c>
      <c r="C1945" s="113">
        <v>2013</v>
      </c>
      <c r="D1945" s="112">
        <v>14</v>
      </c>
      <c r="E1945" s="112">
        <v>511</v>
      </c>
      <c r="F1945" s="112">
        <v>99</v>
      </c>
      <c r="G1945" s="112">
        <v>382</v>
      </c>
      <c r="H1945" s="112">
        <v>70</v>
      </c>
      <c r="I1945" s="112">
        <v>67</v>
      </c>
      <c r="J1945" s="112">
        <v>70</v>
      </c>
      <c r="K1945" s="112">
        <v>3</v>
      </c>
      <c r="L1945" s="112">
        <v>21</v>
      </c>
      <c r="M1945" s="112">
        <v>51</v>
      </c>
      <c r="N1945" s="112">
        <v>-30</v>
      </c>
      <c r="O1945" s="117"/>
      <c r="P1945" s="117"/>
      <c r="Q1945" s="117"/>
    </row>
    <row r="1946" spans="1:17" s="119" customFormat="1" ht="17.5" customHeight="1">
      <c r="A1946" s="109" t="s">
        <v>7258</v>
      </c>
      <c r="B1946" s="109" t="s">
        <v>7259</v>
      </c>
      <c r="C1946" s="113">
        <v>2014</v>
      </c>
      <c r="D1946" s="99">
        <v>14</v>
      </c>
      <c r="E1946" s="99">
        <v>2529</v>
      </c>
      <c r="F1946" s="99" t="s">
        <v>6953</v>
      </c>
      <c r="G1946" s="99" t="s">
        <v>6953</v>
      </c>
      <c r="H1946" s="99">
        <v>166</v>
      </c>
      <c r="I1946" s="99">
        <v>33</v>
      </c>
      <c r="J1946" s="99" t="s">
        <v>6953</v>
      </c>
      <c r="K1946" s="99" t="s">
        <v>6953</v>
      </c>
      <c r="L1946" s="99">
        <v>115</v>
      </c>
      <c r="M1946" s="99">
        <v>96</v>
      </c>
      <c r="N1946" s="99">
        <v>19</v>
      </c>
      <c r="O1946" s="117"/>
      <c r="P1946" s="117"/>
      <c r="Q1946" s="117"/>
    </row>
    <row r="1947" spans="1:17" s="119" customFormat="1" ht="17.5" customHeight="1">
      <c r="A1947" s="109" t="s">
        <v>7258</v>
      </c>
      <c r="B1947" s="109" t="s">
        <v>7259</v>
      </c>
      <c r="C1947" s="113">
        <v>2015</v>
      </c>
      <c r="D1947" s="112">
        <v>25</v>
      </c>
      <c r="E1947" s="112">
        <v>342</v>
      </c>
      <c r="F1947" s="112">
        <v>116</v>
      </c>
      <c r="G1947" s="112">
        <v>227</v>
      </c>
      <c r="H1947" s="112">
        <v>47</v>
      </c>
      <c r="I1947" s="112">
        <v>18</v>
      </c>
      <c r="J1947" s="112">
        <v>18</v>
      </c>
      <c r="K1947" s="112" t="s">
        <v>6952</v>
      </c>
      <c r="L1947" s="112">
        <v>28</v>
      </c>
      <c r="M1947" s="112">
        <v>28</v>
      </c>
      <c r="N1947" s="112" t="s">
        <v>6952</v>
      </c>
      <c r="O1947" s="117"/>
      <c r="P1947" s="117"/>
      <c r="Q1947" s="117"/>
    </row>
    <row r="1948" spans="1:17" s="119" customFormat="1" ht="17.5" customHeight="1">
      <c r="A1948" s="109" t="s">
        <v>7258</v>
      </c>
      <c r="B1948" s="109" t="s">
        <v>7259</v>
      </c>
      <c r="C1948" s="113">
        <v>2016</v>
      </c>
      <c r="D1948" s="112">
        <v>26</v>
      </c>
      <c r="E1948" s="112">
        <v>611</v>
      </c>
      <c r="F1948" s="112">
        <v>180</v>
      </c>
      <c r="G1948" s="112">
        <v>432</v>
      </c>
      <c r="H1948" s="112">
        <v>78</v>
      </c>
      <c r="I1948" s="112">
        <v>30</v>
      </c>
      <c r="J1948" s="112">
        <v>31</v>
      </c>
      <c r="K1948" s="112" t="s">
        <v>6952</v>
      </c>
      <c r="L1948" s="112">
        <v>58</v>
      </c>
      <c r="M1948" s="112">
        <v>61</v>
      </c>
      <c r="N1948" s="112">
        <v>-3</v>
      </c>
      <c r="O1948" s="117"/>
      <c r="P1948" s="117"/>
      <c r="Q1948" s="117"/>
    </row>
    <row r="1949" spans="1:17" s="119" customFormat="1" ht="17.5" customHeight="1">
      <c r="A1949" s="109" t="s">
        <v>7258</v>
      </c>
      <c r="B1949" s="109" t="s">
        <v>7259</v>
      </c>
      <c r="C1949" s="113">
        <v>2017</v>
      </c>
      <c r="D1949" s="112">
        <v>25</v>
      </c>
      <c r="E1949" s="112">
        <v>835</v>
      </c>
      <c r="F1949" s="112">
        <v>250</v>
      </c>
      <c r="G1949" s="112">
        <v>589</v>
      </c>
      <c r="H1949" s="112">
        <v>117</v>
      </c>
      <c r="I1949" s="112">
        <v>54</v>
      </c>
      <c r="J1949" s="99" t="s">
        <v>6953</v>
      </c>
      <c r="K1949" s="99" t="s">
        <v>6953</v>
      </c>
      <c r="L1949" s="112">
        <v>73</v>
      </c>
      <c r="M1949" s="112">
        <v>71</v>
      </c>
      <c r="N1949" s="112">
        <v>2</v>
      </c>
      <c r="O1949" s="110"/>
      <c r="P1949" s="110"/>
      <c r="Q1949" s="110"/>
    </row>
    <row r="1950" spans="1:17" s="119" customFormat="1" ht="17.5" customHeight="1">
      <c r="A1950" s="109" t="s">
        <v>7258</v>
      </c>
      <c r="B1950" s="109" t="s">
        <v>7259</v>
      </c>
      <c r="C1950" s="113">
        <v>2018</v>
      </c>
      <c r="D1950" s="112">
        <v>27</v>
      </c>
      <c r="E1950" s="112">
        <v>860</v>
      </c>
      <c r="F1950" s="112">
        <v>274</v>
      </c>
      <c r="G1950" s="112">
        <v>583</v>
      </c>
      <c r="H1950" s="112">
        <v>116</v>
      </c>
      <c r="I1950" s="112">
        <v>57</v>
      </c>
      <c r="J1950" s="112">
        <v>58</v>
      </c>
      <c r="K1950" s="112">
        <v>1</v>
      </c>
      <c r="L1950" s="112">
        <v>81</v>
      </c>
      <c r="M1950" s="112">
        <v>77</v>
      </c>
      <c r="N1950" s="112">
        <v>4</v>
      </c>
      <c r="O1950" s="110"/>
      <c r="P1950" s="110"/>
      <c r="Q1950" s="110"/>
    </row>
    <row r="1951" spans="1:17" s="119" customFormat="1" ht="17.5" customHeight="1">
      <c r="A1951" s="109" t="s">
        <v>7258</v>
      </c>
      <c r="B1951" s="109" t="s">
        <v>7259</v>
      </c>
      <c r="C1951" s="113">
        <v>2019</v>
      </c>
      <c r="D1951" s="112">
        <v>14</v>
      </c>
      <c r="E1951" s="112">
        <v>748.64203499999996</v>
      </c>
      <c r="F1951" s="112">
        <v>216.25203099999999</v>
      </c>
      <c r="G1951" s="112">
        <v>539.31872199999998</v>
      </c>
      <c r="H1951" s="112">
        <v>101.344115</v>
      </c>
      <c r="I1951" s="112">
        <v>36.776217000000003</v>
      </c>
      <c r="J1951" s="112">
        <v>44.675013999999997</v>
      </c>
      <c r="K1951" s="112">
        <v>7.8987970000000001</v>
      </c>
      <c r="L1951" s="112">
        <v>80.270684000000003</v>
      </c>
      <c r="M1951" s="112">
        <v>79.188063</v>
      </c>
      <c r="N1951" s="112">
        <v>1.0826199999999999</v>
      </c>
      <c r="O1951" s="100"/>
      <c r="P1951" s="100"/>
      <c r="Q1951" s="100"/>
    </row>
    <row r="1952" spans="1:17" s="119" customFormat="1" ht="17.5" customHeight="1">
      <c r="A1952" s="114" t="s">
        <v>7258</v>
      </c>
      <c r="B1952" s="114" t="s">
        <v>7259</v>
      </c>
      <c r="C1952" s="113">
        <v>2020</v>
      </c>
      <c r="D1952" s="112">
        <v>16</v>
      </c>
      <c r="E1952" s="112">
        <v>460.87534299999999</v>
      </c>
      <c r="F1952" s="112">
        <v>205.97395</v>
      </c>
      <c r="G1952" s="112">
        <v>257.31456900000001</v>
      </c>
      <c r="H1952" s="112">
        <v>66.474934000000005</v>
      </c>
      <c r="I1952" s="112">
        <v>25.547302999999999</v>
      </c>
      <c r="J1952" s="112">
        <v>26.069651</v>
      </c>
      <c r="K1952" s="112">
        <v>0.52234800000000003</v>
      </c>
      <c r="L1952" s="112">
        <v>46.953296999999999</v>
      </c>
      <c r="M1952" s="112">
        <v>44.820929999999997</v>
      </c>
      <c r="N1952" s="112">
        <v>2.1323669999999999</v>
      </c>
      <c r="O1952" s="110"/>
      <c r="P1952" s="110"/>
      <c r="Q1952" s="110"/>
    </row>
    <row r="1953" spans="1:17" s="119" customFormat="1" ht="17.5" customHeight="1">
      <c r="A1953" s="109" t="s">
        <v>7260</v>
      </c>
      <c r="B1953" s="109" t="s">
        <v>7261</v>
      </c>
      <c r="C1953" s="98">
        <v>2008</v>
      </c>
      <c r="D1953" s="99">
        <v>15</v>
      </c>
      <c r="E1953" s="99">
        <v>623</v>
      </c>
      <c r="F1953" s="99">
        <v>267</v>
      </c>
      <c r="G1953" s="99">
        <v>358</v>
      </c>
      <c r="H1953" s="99">
        <v>163</v>
      </c>
      <c r="I1953" s="99" t="s">
        <v>6953</v>
      </c>
      <c r="J1953" s="99" t="s">
        <v>6953</v>
      </c>
      <c r="K1953" s="99" t="s">
        <v>6953</v>
      </c>
      <c r="L1953" s="99">
        <v>50</v>
      </c>
      <c r="M1953" s="99">
        <v>62</v>
      </c>
      <c r="N1953" s="99">
        <v>-12</v>
      </c>
      <c r="O1953" s="100"/>
      <c r="P1953" s="100"/>
      <c r="Q1953" s="100"/>
    </row>
    <row r="1954" spans="1:17" s="119" customFormat="1" ht="17.5" customHeight="1">
      <c r="A1954" s="109" t="s">
        <v>7260</v>
      </c>
      <c r="B1954" s="109" t="s">
        <v>7261</v>
      </c>
      <c r="C1954" s="98">
        <v>2009</v>
      </c>
      <c r="D1954" s="99">
        <v>19</v>
      </c>
      <c r="E1954" s="99">
        <v>665</v>
      </c>
      <c r="F1954" s="99">
        <v>249</v>
      </c>
      <c r="G1954" s="99">
        <v>439</v>
      </c>
      <c r="H1954" s="99">
        <v>115</v>
      </c>
      <c r="I1954" s="99">
        <v>24</v>
      </c>
      <c r="J1954" s="99">
        <v>26</v>
      </c>
      <c r="K1954" s="99">
        <v>2</v>
      </c>
      <c r="L1954" s="99">
        <v>84</v>
      </c>
      <c r="M1954" s="99">
        <v>86</v>
      </c>
      <c r="N1954" s="99">
        <v>-1</v>
      </c>
      <c r="O1954" s="100"/>
      <c r="P1954" s="100"/>
      <c r="Q1954" s="100"/>
    </row>
    <row r="1955" spans="1:17" s="119" customFormat="1" ht="17.5" customHeight="1">
      <c r="A1955" s="109" t="s">
        <v>7260</v>
      </c>
      <c r="B1955" s="109" t="s">
        <v>7261</v>
      </c>
      <c r="C1955" s="98">
        <v>2010</v>
      </c>
      <c r="D1955" s="99">
        <v>13</v>
      </c>
      <c r="E1955" s="99">
        <v>753</v>
      </c>
      <c r="F1955" s="99">
        <v>279</v>
      </c>
      <c r="G1955" s="99">
        <v>469</v>
      </c>
      <c r="H1955" s="99">
        <v>95</v>
      </c>
      <c r="I1955" s="99">
        <v>30</v>
      </c>
      <c r="J1955" s="99" t="s">
        <v>6953</v>
      </c>
      <c r="K1955" s="99" t="s">
        <v>6953</v>
      </c>
      <c r="L1955" s="99">
        <v>66</v>
      </c>
      <c r="M1955" s="99">
        <v>71</v>
      </c>
      <c r="N1955" s="99">
        <v>-5</v>
      </c>
      <c r="O1955" s="110"/>
      <c r="P1955" s="110"/>
      <c r="Q1955" s="110"/>
    </row>
    <row r="1956" spans="1:17" s="119" customFormat="1" ht="17.5" customHeight="1">
      <c r="A1956" s="109" t="s">
        <v>7260</v>
      </c>
      <c r="B1956" s="109" t="s">
        <v>7261</v>
      </c>
      <c r="C1956" s="98">
        <v>2011</v>
      </c>
      <c r="D1956" s="99" t="s">
        <v>6953</v>
      </c>
      <c r="E1956" s="99" t="s">
        <v>6953</v>
      </c>
      <c r="F1956" s="99" t="s">
        <v>6953</v>
      </c>
      <c r="G1956" s="99" t="s">
        <v>6953</v>
      </c>
      <c r="H1956" s="99" t="s">
        <v>6953</v>
      </c>
      <c r="I1956" s="99" t="s">
        <v>6953</v>
      </c>
      <c r="J1956" s="99" t="s">
        <v>6953</v>
      </c>
      <c r="K1956" s="99" t="s">
        <v>6953</v>
      </c>
      <c r="L1956" s="99" t="s">
        <v>6953</v>
      </c>
      <c r="M1956" s="99" t="s">
        <v>6953</v>
      </c>
      <c r="N1956" s="99" t="s">
        <v>6953</v>
      </c>
      <c r="O1956" s="110"/>
      <c r="P1956" s="110"/>
      <c r="Q1956" s="110"/>
    </row>
    <row r="1957" spans="1:17" s="119" customFormat="1" ht="17.5" customHeight="1">
      <c r="A1957" s="109" t="s">
        <v>7260</v>
      </c>
      <c r="B1957" s="109" t="s">
        <v>7261</v>
      </c>
      <c r="C1957" s="111">
        <v>2012</v>
      </c>
      <c r="D1957" s="112">
        <v>7</v>
      </c>
      <c r="E1957" s="112">
        <v>419</v>
      </c>
      <c r="F1957" s="112">
        <v>169</v>
      </c>
      <c r="G1957" s="112">
        <v>261</v>
      </c>
      <c r="H1957" s="112">
        <v>67</v>
      </c>
      <c r="I1957" s="112">
        <v>22</v>
      </c>
      <c r="J1957" s="99" t="s">
        <v>6953</v>
      </c>
      <c r="K1957" s="99" t="s">
        <v>6953</v>
      </c>
      <c r="L1957" s="99" t="s">
        <v>6953</v>
      </c>
      <c r="M1957" s="99" t="s">
        <v>6953</v>
      </c>
      <c r="N1957" s="99" t="s">
        <v>6953</v>
      </c>
      <c r="O1957" s="117"/>
      <c r="P1957" s="117"/>
      <c r="Q1957" s="117"/>
    </row>
    <row r="1958" spans="1:17" s="119" customFormat="1" ht="17.5" customHeight="1">
      <c r="A1958" s="109" t="s">
        <v>7260</v>
      </c>
      <c r="B1958" s="109" t="s">
        <v>7261</v>
      </c>
      <c r="C1958" s="113">
        <v>2013</v>
      </c>
      <c r="D1958" s="112">
        <v>6</v>
      </c>
      <c r="E1958" s="112">
        <v>394</v>
      </c>
      <c r="F1958" s="99" t="s">
        <v>6953</v>
      </c>
      <c r="G1958" s="99" t="s">
        <v>6953</v>
      </c>
      <c r="H1958" s="112">
        <v>52</v>
      </c>
      <c r="I1958" s="99" t="s">
        <v>6953</v>
      </c>
      <c r="J1958" s="99" t="s">
        <v>6953</v>
      </c>
      <c r="K1958" s="99" t="s">
        <v>6953</v>
      </c>
      <c r="L1958" s="112">
        <v>16</v>
      </c>
      <c r="M1958" s="99" t="s">
        <v>6953</v>
      </c>
      <c r="N1958" s="99" t="s">
        <v>6953</v>
      </c>
      <c r="O1958" s="117"/>
      <c r="P1958" s="117"/>
      <c r="Q1958" s="117"/>
    </row>
    <row r="1959" spans="1:17" s="119" customFormat="1" ht="17.5" customHeight="1">
      <c r="A1959" s="109" t="s">
        <v>7260</v>
      </c>
      <c r="B1959" s="109" t="s">
        <v>7261</v>
      </c>
      <c r="C1959" s="113">
        <v>2014</v>
      </c>
      <c r="D1959" s="99" t="s">
        <v>6953</v>
      </c>
      <c r="E1959" s="99" t="s">
        <v>6953</v>
      </c>
      <c r="F1959" s="99" t="s">
        <v>6953</v>
      </c>
      <c r="G1959" s="99" t="s">
        <v>6953</v>
      </c>
      <c r="H1959" s="99" t="s">
        <v>6953</v>
      </c>
      <c r="I1959" s="99" t="s">
        <v>6953</v>
      </c>
      <c r="J1959" s="99" t="s">
        <v>6953</v>
      </c>
      <c r="K1959" s="99" t="s">
        <v>6953</v>
      </c>
      <c r="L1959" s="99" t="s">
        <v>6953</v>
      </c>
      <c r="M1959" s="99" t="s">
        <v>6953</v>
      </c>
      <c r="N1959" s="99" t="s">
        <v>6953</v>
      </c>
      <c r="O1959" s="117"/>
      <c r="P1959" s="117"/>
      <c r="Q1959" s="117"/>
    </row>
    <row r="1960" spans="1:17" s="119" customFormat="1" ht="17.5" customHeight="1">
      <c r="A1960" s="109" t="s">
        <v>7260</v>
      </c>
      <c r="B1960" s="109" t="s">
        <v>7261</v>
      </c>
      <c r="C1960" s="113">
        <v>2015</v>
      </c>
      <c r="D1960" s="99" t="s">
        <v>6953</v>
      </c>
      <c r="E1960" s="99" t="s">
        <v>6953</v>
      </c>
      <c r="F1960" s="99" t="s">
        <v>6953</v>
      </c>
      <c r="G1960" s="99" t="s">
        <v>6953</v>
      </c>
      <c r="H1960" s="99" t="s">
        <v>6953</v>
      </c>
      <c r="I1960" s="99" t="s">
        <v>6953</v>
      </c>
      <c r="J1960" s="99" t="s">
        <v>6953</v>
      </c>
      <c r="K1960" s="99" t="s">
        <v>6953</v>
      </c>
      <c r="L1960" s="99" t="s">
        <v>6953</v>
      </c>
      <c r="M1960" s="99" t="s">
        <v>6953</v>
      </c>
      <c r="N1960" s="99" t="s">
        <v>6953</v>
      </c>
      <c r="O1960" s="117"/>
      <c r="P1960" s="117"/>
      <c r="Q1960" s="117"/>
    </row>
    <row r="1961" spans="1:17" s="119" customFormat="1" ht="17.5" customHeight="1">
      <c r="A1961" s="109" t="s">
        <v>7260</v>
      </c>
      <c r="B1961" s="109" t="s">
        <v>7261</v>
      </c>
      <c r="C1961" s="113">
        <v>2016</v>
      </c>
      <c r="D1961" s="112">
        <v>10</v>
      </c>
      <c r="E1961" s="112">
        <v>401</v>
      </c>
      <c r="F1961" s="99" t="s">
        <v>6953</v>
      </c>
      <c r="G1961" s="99" t="s">
        <v>6953</v>
      </c>
      <c r="H1961" s="112">
        <v>47</v>
      </c>
      <c r="I1961" s="112">
        <v>22</v>
      </c>
      <c r="J1961" s="99" t="s">
        <v>6953</v>
      </c>
      <c r="K1961" s="99" t="s">
        <v>6953</v>
      </c>
      <c r="L1961" s="99" t="s">
        <v>6953</v>
      </c>
      <c r="M1961" s="99" t="s">
        <v>6953</v>
      </c>
      <c r="N1961" s="99" t="s">
        <v>6953</v>
      </c>
      <c r="O1961" s="110"/>
      <c r="P1961" s="110"/>
      <c r="Q1961" s="110"/>
    </row>
    <row r="1962" spans="1:17" s="119" customFormat="1" ht="17.5" customHeight="1">
      <c r="A1962" s="109" t="s">
        <v>7260</v>
      </c>
      <c r="B1962" s="109" t="s">
        <v>7261</v>
      </c>
      <c r="C1962" s="113">
        <v>2017</v>
      </c>
      <c r="D1962" s="112">
        <v>8</v>
      </c>
      <c r="E1962" s="112">
        <v>623</v>
      </c>
      <c r="F1962" s="112">
        <v>151</v>
      </c>
      <c r="G1962" s="112">
        <v>473</v>
      </c>
      <c r="H1962" s="112">
        <v>83</v>
      </c>
      <c r="I1962" s="112">
        <v>42</v>
      </c>
      <c r="J1962" s="99" t="s">
        <v>6953</v>
      </c>
      <c r="K1962" s="99" t="s">
        <v>6953</v>
      </c>
      <c r="L1962" s="112">
        <v>57</v>
      </c>
      <c r="M1962" s="112">
        <v>56</v>
      </c>
      <c r="N1962" s="112" t="s">
        <v>6952</v>
      </c>
      <c r="O1962" s="110"/>
      <c r="P1962" s="110"/>
      <c r="Q1962" s="110"/>
    </row>
    <row r="1963" spans="1:17" s="119" customFormat="1" ht="17.5" customHeight="1">
      <c r="A1963" s="109" t="s">
        <v>7260</v>
      </c>
      <c r="B1963" s="109" t="s">
        <v>7261</v>
      </c>
      <c r="C1963" s="113">
        <v>2018</v>
      </c>
      <c r="D1963" s="112">
        <v>8</v>
      </c>
      <c r="E1963" s="112">
        <v>634</v>
      </c>
      <c r="F1963" s="112">
        <v>168</v>
      </c>
      <c r="G1963" s="112">
        <v>462</v>
      </c>
      <c r="H1963" s="112">
        <v>80</v>
      </c>
      <c r="I1963" s="112">
        <v>46</v>
      </c>
      <c r="J1963" s="112">
        <v>46</v>
      </c>
      <c r="K1963" s="112" t="s">
        <v>6952</v>
      </c>
      <c r="L1963" s="112">
        <v>63</v>
      </c>
      <c r="M1963" s="112">
        <v>60</v>
      </c>
      <c r="N1963" s="112">
        <v>4</v>
      </c>
      <c r="O1963" s="100"/>
      <c r="P1963" s="100"/>
      <c r="Q1963" s="100"/>
    </row>
    <row r="1964" spans="1:17" s="119" customFormat="1" ht="17.5" customHeight="1">
      <c r="A1964" s="109" t="s">
        <v>7260</v>
      </c>
      <c r="B1964" s="109" t="s">
        <v>7261</v>
      </c>
      <c r="C1964" s="113">
        <v>2019</v>
      </c>
      <c r="D1964" s="112">
        <v>5</v>
      </c>
      <c r="E1964" s="112">
        <v>528.73829699999999</v>
      </c>
      <c r="F1964" s="112">
        <v>107.757441</v>
      </c>
      <c r="G1964" s="112">
        <v>419.09780699999999</v>
      </c>
      <c r="H1964" s="112">
        <v>69.768620999999996</v>
      </c>
      <c r="I1964" s="112" t="s">
        <v>6953</v>
      </c>
      <c r="J1964" s="112" t="s">
        <v>6953</v>
      </c>
      <c r="K1964" s="112">
        <v>1.600122</v>
      </c>
      <c r="L1964" s="112">
        <v>59.608029999999999</v>
      </c>
      <c r="M1964" s="112">
        <v>61.491078999999999</v>
      </c>
      <c r="N1964" s="112">
        <v>-1.883049</v>
      </c>
      <c r="O1964" s="110"/>
      <c r="P1964" s="110"/>
      <c r="Q1964" s="110"/>
    </row>
    <row r="1965" spans="1:17" s="119" customFormat="1" ht="17.5" customHeight="1">
      <c r="A1965" s="114" t="s">
        <v>7260</v>
      </c>
      <c r="B1965" s="114" t="s">
        <v>7261</v>
      </c>
      <c r="C1965" s="113">
        <v>2020</v>
      </c>
      <c r="D1965" s="112">
        <v>6</v>
      </c>
      <c r="E1965" s="112">
        <v>234.086298</v>
      </c>
      <c r="F1965" s="112">
        <v>117.688213</v>
      </c>
      <c r="G1965" s="112">
        <v>117.142376</v>
      </c>
      <c r="H1965" s="112">
        <v>29.473631999999998</v>
      </c>
      <c r="I1965" s="112">
        <v>12.406979</v>
      </c>
      <c r="J1965" s="112">
        <v>12.483546</v>
      </c>
      <c r="K1965" s="112" t="s">
        <v>6952</v>
      </c>
      <c r="L1965" s="112">
        <v>24.097065000000001</v>
      </c>
      <c r="M1965" s="112">
        <v>23.371791000000002</v>
      </c>
      <c r="N1965" s="112">
        <v>0.72527399999999997</v>
      </c>
      <c r="O1965" s="100"/>
      <c r="P1965" s="100"/>
      <c r="Q1965" s="100"/>
    </row>
    <row r="1966" spans="1:17" s="119" customFormat="1" ht="17.5" customHeight="1">
      <c r="A1966" s="109" t="s">
        <v>7262</v>
      </c>
      <c r="B1966" s="109" t="s">
        <v>7263</v>
      </c>
      <c r="C1966" s="98">
        <v>2008</v>
      </c>
      <c r="D1966" s="99">
        <v>6</v>
      </c>
      <c r="E1966" s="99">
        <v>89</v>
      </c>
      <c r="F1966" s="99">
        <v>25</v>
      </c>
      <c r="G1966" s="99">
        <v>64</v>
      </c>
      <c r="H1966" s="99">
        <v>14</v>
      </c>
      <c r="I1966" s="99" t="s">
        <v>6953</v>
      </c>
      <c r="J1966" s="99" t="s">
        <v>6953</v>
      </c>
      <c r="K1966" s="99" t="s">
        <v>6953</v>
      </c>
      <c r="L1966" s="99">
        <v>5</v>
      </c>
      <c r="M1966" s="99">
        <v>4</v>
      </c>
      <c r="N1966" s="99">
        <v>1</v>
      </c>
      <c r="O1966" s="100"/>
      <c r="P1966" s="100"/>
      <c r="Q1966" s="100"/>
    </row>
    <row r="1967" spans="1:17" s="119" customFormat="1" ht="17.5" customHeight="1">
      <c r="A1967" s="109" t="s">
        <v>7262</v>
      </c>
      <c r="B1967" s="109" t="s">
        <v>7263</v>
      </c>
      <c r="C1967" s="98">
        <v>2009</v>
      </c>
      <c r="D1967" s="99">
        <v>5</v>
      </c>
      <c r="E1967" s="99">
        <v>76</v>
      </c>
      <c r="F1967" s="99">
        <v>23</v>
      </c>
      <c r="G1967" s="99">
        <v>52</v>
      </c>
      <c r="H1967" s="99">
        <v>14</v>
      </c>
      <c r="I1967" s="99">
        <v>5</v>
      </c>
      <c r="J1967" s="99">
        <v>5</v>
      </c>
      <c r="K1967" s="99" t="s">
        <v>6952</v>
      </c>
      <c r="L1967" s="99">
        <v>4</v>
      </c>
      <c r="M1967" s="99">
        <v>4</v>
      </c>
      <c r="N1967" s="99" t="s">
        <v>6952</v>
      </c>
      <c r="O1967" s="110"/>
      <c r="P1967" s="110"/>
      <c r="Q1967" s="110"/>
    </row>
    <row r="1968" spans="1:17" s="119" customFormat="1" ht="17.5" customHeight="1">
      <c r="A1968" s="109" t="s">
        <v>7262</v>
      </c>
      <c r="B1968" s="109" t="s">
        <v>7263</v>
      </c>
      <c r="C1968" s="98">
        <v>2010</v>
      </c>
      <c r="D1968" s="99">
        <v>7</v>
      </c>
      <c r="E1968" s="99">
        <v>88</v>
      </c>
      <c r="F1968" s="99">
        <v>22</v>
      </c>
      <c r="G1968" s="99">
        <v>66</v>
      </c>
      <c r="H1968" s="99">
        <v>15</v>
      </c>
      <c r="I1968" s="99">
        <v>3</v>
      </c>
      <c r="J1968" s="99" t="s">
        <v>6953</v>
      </c>
      <c r="K1968" s="99" t="s">
        <v>6953</v>
      </c>
      <c r="L1968" s="99">
        <v>6</v>
      </c>
      <c r="M1968" s="99">
        <v>5</v>
      </c>
      <c r="N1968" s="99">
        <v>1</v>
      </c>
      <c r="O1968" s="110"/>
      <c r="P1968" s="110"/>
      <c r="Q1968" s="110"/>
    </row>
    <row r="1969" spans="1:17" s="119" customFormat="1" ht="17.5" customHeight="1">
      <c r="A1969" s="109" t="s">
        <v>7262</v>
      </c>
      <c r="B1969" s="109" t="s">
        <v>7263</v>
      </c>
      <c r="C1969" s="98">
        <v>2011</v>
      </c>
      <c r="D1969" s="99" t="s">
        <v>6953</v>
      </c>
      <c r="E1969" s="99" t="s">
        <v>6953</v>
      </c>
      <c r="F1969" s="99" t="s">
        <v>6953</v>
      </c>
      <c r="G1969" s="99" t="s">
        <v>6953</v>
      </c>
      <c r="H1969" s="99" t="s">
        <v>6953</v>
      </c>
      <c r="I1969" s="99" t="s">
        <v>6953</v>
      </c>
      <c r="J1969" s="99" t="s">
        <v>6953</v>
      </c>
      <c r="K1969" s="99" t="s">
        <v>6953</v>
      </c>
      <c r="L1969" s="99" t="s">
        <v>6953</v>
      </c>
      <c r="M1969" s="99" t="s">
        <v>6953</v>
      </c>
      <c r="N1969" s="99" t="s">
        <v>6953</v>
      </c>
      <c r="O1969" s="117"/>
      <c r="P1969" s="117"/>
      <c r="Q1969" s="117"/>
    </row>
    <row r="1970" spans="1:17" s="119" customFormat="1" ht="17.5" customHeight="1">
      <c r="A1970" s="109" t="s">
        <v>7262</v>
      </c>
      <c r="B1970" s="109" t="s">
        <v>7263</v>
      </c>
      <c r="C1970" s="111">
        <v>2012</v>
      </c>
      <c r="D1970" s="112">
        <v>8</v>
      </c>
      <c r="E1970" s="112">
        <v>132</v>
      </c>
      <c r="F1970" s="112">
        <v>28</v>
      </c>
      <c r="G1970" s="112">
        <v>104</v>
      </c>
      <c r="H1970" s="112">
        <v>18</v>
      </c>
      <c r="I1970" s="112">
        <v>9</v>
      </c>
      <c r="J1970" s="99" t="s">
        <v>6953</v>
      </c>
      <c r="K1970" s="99" t="s">
        <v>6953</v>
      </c>
      <c r="L1970" s="99" t="s">
        <v>6953</v>
      </c>
      <c r="M1970" s="99" t="s">
        <v>6953</v>
      </c>
      <c r="N1970" s="99" t="s">
        <v>6953</v>
      </c>
      <c r="O1970" s="117"/>
      <c r="P1970" s="117"/>
      <c r="Q1970" s="117"/>
    </row>
    <row r="1971" spans="1:17" s="119" customFormat="1" ht="17.5" customHeight="1">
      <c r="A1971" s="109" t="s">
        <v>7262</v>
      </c>
      <c r="B1971" s="109" t="s">
        <v>7263</v>
      </c>
      <c r="C1971" s="113">
        <v>2013</v>
      </c>
      <c r="D1971" s="112">
        <v>8</v>
      </c>
      <c r="E1971" s="112">
        <v>117</v>
      </c>
      <c r="F1971" s="99" t="s">
        <v>6953</v>
      </c>
      <c r="G1971" s="99" t="s">
        <v>6953</v>
      </c>
      <c r="H1971" s="112">
        <v>18</v>
      </c>
      <c r="I1971" s="99" t="s">
        <v>6953</v>
      </c>
      <c r="J1971" s="99" t="s">
        <v>6953</v>
      </c>
      <c r="K1971" s="99" t="s">
        <v>6953</v>
      </c>
      <c r="L1971" s="112">
        <v>4</v>
      </c>
      <c r="M1971" s="99" t="s">
        <v>6953</v>
      </c>
      <c r="N1971" s="99" t="s">
        <v>6953</v>
      </c>
      <c r="O1971" s="117"/>
      <c r="P1971" s="117"/>
      <c r="Q1971" s="117"/>
    </row>
    <row r="1972" spans="1:17" s="119" customFormat="1" ht="17.5" customHeight="1">
      <c r="A1972" s="109" t="s">
        <v>7262</v>
      </c>
      <c r="B1972" s="109" t="s">
        <v>7263</v>
      </c>
      <c r="C1972" s="113">
        <v>2014</v>
      </c>
      <c r="D1972" s="99" t="s">
        <v>6953</v>
      </c>
      <c r="E1972" s="99" t="s">
        <v>6953</v>
      </c>
      <c r="F1972" s="99" t="s">
        <v>6953</v>
      </c>
      <c r="G1972" s="99" t="s">
        <v>6953</v>
      </c>
      <c r="H1972" s="99" t="s">
        <v>6953</v>
      </c>
      <c r="I1972" s="99" t="s">
        <v>6953</v>
      </c>
      <c r="J1972" s="99" t="s">
        <v>6953</v>
      </c>
      <c r="K1972" s="99" t="s">
        <v>6953</v>
      </c>
      <c r="L1972" s="99" t="s">
        <v>6953</v>
      </c>
      <c r="M1972" s="99" t="s">
        <v>6953</v>
      </c>
      <c r="N1972" s="99" t="s">
        <v>6953</v>
      </c>
      <c r="O1972" s="117"/>
      <c r="P1972" s="117"/>
      <c r="Q1972" s="117"/>
    </row>
    <row r="1973" spans="1:17" s="119" customFormat="1" ht="17.5" customHeight="1">
      <c r="A1973" s="109" t="s">
        <v>7262</v>
      </c>
      <c r="B1973" s="109" t="s">
        <v>7263</v>
      </c>
      <c r="C1973" s="113">
        <v>2015</v>
      </c>
      <c r="D1973" s="99" t="s">
        <v>6953</v>
      </c>
      <c r="E1973" s="99" t="s">
        <v>6953</v>
      </c>
      <c r="F1973" s="99" t="s">
        <v>6953</v>
      </c>
      <c r="G1973" s="99" t="s">
        <v>6953</v>
      </c>
      <c r="H1973" s="99" t="s">
        <v>6953</v>
      </c>
      <c r="I1973" s="99" t="s">
        <v>6953</v>
      </c>
      <c r="J1973" s="99" t="s">
        <v>6953</v>
      </c>
      <c r="K1973" s="99" t="s">
        <v>6953</v>
      </c>
      <c r="L1973" s="99" t="s">
        <v>6953</v>
      </c>
      <c r="M1973" s="99" t="s">
        <v>6953</v>
      </c>
      <c r="N1973" s="99" t="s">
        <v>6953</v>
      </c>
      <c r="O1973" s="110"/>
      <c r="P1973" s="110"/>
      <c r="Q1973" s="110"/>
    </row>
    <row r="1974" spans="1:17" s="119" customFormat="1" ht="17.5" customHeight="1">
      <c r="A1974" s="109" t="s">
        <v>7262</v>
      </c>
      <c r="B1974" s="109" t="s">
        <v>7263</v>
      </c>
      <c r="C1974" s="113">
        <v>2016</v>
      </c>
      <c r="D1974" s="112">
        <v>16</v>
      </c>
      <c r="E1974" s="112">
        <v>210</v>
      </c>
      <c r="F1974" s="99" t="s">
        <v>6953</v>
      </c>
      <c r="G1974" s="99" t="s">
        <v>6953</v>
      </c>
      <c r="H1974" s="112">
        <v>31</v>
      </c>
      <c r="I1974" s="112">
        <v>9</v>
      </c>
      <c r="J1974" s="99" t="s">
        <v>6953</v>
      </c>
      <c r="K1974" s="99" t="s">
        <v>6953</v>
      </c>
      <c r="L1974" s="99" t="s">
        <v>6953</v>
      </c>
      <c r="M1974" s="99" t="s">
        <v>6953</v>
      </c>
      <c r="N1974" s="99" t="s">
        <v>6953</v>
      </c>
      <c r="O1974" s="110"/>
      <c r="P1974" s="110"/>
      <c r="Q1974" s="110"/>
    </row>
    <row r="1975" spans="1:17" s="119" customFormat="1" ht="17.5" customHeight="1">
      <c r="A1975" s="109" t="s">
        <v>7262</v>
      </c>
      <c r="B1975" s="109" t="s">
        <v>7263</v>
      </c>
      <c r="C1975" s="113">
        <v>2017</v>
      </c>
      <c r="D1975" s="112">
        <v>17</v>
      </c>
      <c r="E1975" s="112">
        <v>212</v>
      </c>
      <c r="F1975" s="112">
        <v>99</v>
      </c>
      <c r="G1975" s="112">
        <v>117</v>
      </c>
      <c r="H1975" s="112">
        <v>33</v>
      </c>
      <c r="I1975" s="112">
        <v>12</v>
      </c>
      <c r="J1975" s="99" t="s">
        <v>6953</v>
      </c>
      <c r="K1975" s="99" t="s">
        <v>6953</v>
      </c>
      <c r="L1975" s="112">
        <v>16</v>
      </c>
      <c r="M1975" s="112">
        <v>15</v>
      </c>
      <c r="N1975" s="112">
        <v>1</v>
      </c>
      <c r="O1975" s="100"/>
      <c r="P1975" s="100"/>
      <c r="Q1975" s="100"/>
    </row>
    <row r="1976" spans="1:17" s="119" customFormat="1" ht="17.5" customHeight="1">
      <c r="A1976" s="109" t="s">
        <v>7262</v>
      </c>
      <c r="B1976" s="109" t="s">
        <v>7263</v>
      </c>
      <c r="C1976" s="113">
        <v>2018</v>
      </c>
      <c r="D1976" s="112">
        <v>19</v>
      </c>
      <c r="E1976" s="112">
        <v>226</v>
      </c>
      <c r="F1976" s="112">
        <v>106</v>
      </c>
      <c r="G1976" s="112">
        <v>121</v>
      </c>
      <c r="H1976" s="112">
        <v>36</v>
      </c>
      <c r="I1976" s="112">
        <v>11</v>
      </c>
      <c r="J1976" s="112">
        <v>12</v>
      </c>
      <c r="K1976" s="112" t="s">
        <v>6952</v>
      </c>
      <c r="L1976" s="112">
        <v>18</v>
      </c>
      <c r="M1976" s="112">
        <v>17</v>
      </c>
      <c r="N1976" s="112" t="s">
        <v>6952</v>
      </c>
      <c r="O1976" s="110"/>
      <c r="P1976" s="110"/>
      <c r="Q1976" s="110"/>
    </row>
    <row r="1977" spans="1:17" s="119" customFormat="1" ht="17.5" customHeight="1">
      <c r="A1977" s="109" t="s">
        <v>7262</v>
      </c>
      <c r="B1977" s="109" t="s">
        <v>7263</v>
      </c>
      <c r="C1977" s="113">
        <v>2019</v>
      </c>
      <c r="D1977" s="112">
        <v>9</v>
      </c>
      <c r="E1977" s="112">
        <v>219.903738</v>
      </c>
      <c r="F1977" s="112">
        <v>108.49459</v>
      </c>
      <c r="G1977" s="112">
        <v>120.220916</v>
      </c>
      <c r="H1977" s="112">
        <v>31.575493999999999</v>
      </c>
      <c r="I1977" s="112" t="s">
        <v>6953</v>
      </c>
      <c r="J1977" s="112" t="s">
        <v>6953</v>
      </c>
      <c r="K1977" s="112">
        <v>6.2986750000000002</v>
      </c>
      <c r="L1977" s="112">
        <v>20.662654</v>
      </c>
      <c r="M1977" s="112">
        <v>17.696985000000002</v>
      </c>
      <c r="N1977" s="112">
        <v>2.9656699999999998</v>
      </c>
      <c r="O1977" s="100"/>
      <c r="P1977" s="100"/>
      <c r="Q1977" s="100"/>
    </row>
    <row r="1978" spans="1:17" s="119" customFormat="1" ht="17.5" customHeight="1">
      <c r="A1978" s="114" t="s">
        <v>7262</v>
      </c>
      <c r="B1978" s="114" t="s">
        <v>7263</v>
      </c>
      <c r="C1978" s="113">
        <v>2020</v>
      </c>
      <c r="D1978" s="112">
        <v>10</v>
      </c>
      <c r="E1978" s="112">
        <v>226.78904499999999</v>
      </c>
      <c r="F1978" s="112">
        <v>88.285736999999997</v>
      </c>
      <c r="G1978" s="112">
        <v>140.172192</v>
      </c>
      <c r="H1978" s="112">
        <v>37.001302000000003</v>
      </c>
      <c r="I1978" s="112">
        <v>13.140324</v>
      </c>
      <c r="J1978" s="112">
        <v>13.586105</v>
      </c>
      <c r="K1978" s="112" t="s">
        <v>6952</v>
      </c>
      <c r="L1978" s="112">
        <v>22.856231999999999</v>
      </c>
      <c r="M1978" s="112">
        <v>21.449138000000001</v>
      </c>
      <c r="N1978" s="112">
        <v>1.4070940000000001</v>
      </c>
      <c r="O1978" s="100"/>
      <c r="P1978" s="100"/>
      <c r="Q1978" s="100"/>
    </row>
    <row r="1979" spans="1:17" s="119" customFormat="1" ht="31.75" customHeight="1">
      <c r="A1979" s="109" t="s">
        <v>7264</v>
      </c>
      <c r="B1979" s="109" t="s">
        <v>7265</v>
      </c>
      <c r="C1979" s="98">
        <v>2008</v>
      </c>
      <c r="D1979" s="99">
        <v>1079</v>
      </c>
      <c r="E1979" s="99">
        <v>6389</v>
      </c>
      <c r="F1979" s="99">
        <v>1637</v>
      </c>
      <c r="G1979" s="99">
        <v>4605</v>
      </c>
      <c r="H1979" s="99">
        <v>1186</v>
      </c>
      <c r="I1979" s="99">
        <v>211</v>
      </c>
      <c r="J1979" s="99">
        <v>314</v>
      </c>
      <c r="K1979" s="99">
        <v>103</v>
      </c>
      <c r="L1979" s="99">
        <v>624</v>
      </c>
      <c r="M1979" s="99">
        <v>699</v>
      </c>
      <c r="N1979" s="99">
        <v>-76</v>
      </c>
      <c r="O1979" s="110"/>
      <c r="P1979" s="110"/>
      <c r="Q1979" s="110"/>
    </row>
    <row r="1980" spans="1:17" s="119" customFormat="1" ht="31.75" customHeight="1">
      <c r="A1980" s="109" t="s">
        <v>7264</v>
      </c>
      <c r="B1980" s="109" t="s">
        <v>7265</v>
      </c>
      <c r="C1980" s="98">
        <v>2009</v>
      </c>
      <c r="D1980" s="99">
        <v>1014</v>
      </c>
      <c r="E1980" s="99">
        <v>5865</v>
      </c>
      <c r="F1980" s="99">
        <v>1269</v>
      </c>
      <c r="G1980" s="99">
        <v>4411</v>
      </c>
      <c r="H1980" s="99">
        <v>1126</v>
      </c>
      <c r="I1980" s="99">
        <v>114</v>
      </c>
      <c r="J1980" s="99">
        <v>189</v>
      </c>
      <c r="K1980" s="99">
        <v>75</v>
      </c>
      <c r="L1980" s="99">
        <v>475</v>
      </c>
      <c r="M1980" s="99">
        <v>543</v>
      </c>
      <c r="N1980" s="99">
        <v>-68</v>
      </c>
      <c r="O1980" s="110"/>
      <c r="P1980" s="110"/>
      <c r="Q1980" s="110"/>
    </row>
    <row r="1981" spans="1:17" s="119" customFormat="1" ht="31.75" customHeight="1">
      <c r="A1981" s="109" t="s">
        <v>7264</v>
      </c>
      <c r="B1981" s="109" t="s">
        <v>7265</v>
      </c>
      <c r="C1981" s="98">
        <v>2010</v>
      </c>
      <c r="D1981" s="99">
        <v>949</v>
      </c>
      <c r="E1981" s="99">
        <v>6337</v>
      </c>
      <c r="F1981" s="99">
        <v>1679</v>
      </c>
      <c r="G1981" s="99">
        <v>4520</v>
      </c>
      <c r="H1981" s="99">
        <v>1146</v>
      </c>
      <c r="I1981" s="99">
        <v>135</v>
      </c>
      <c r="J1981" s="99">
        <v>194</v>
      </c>
      <c r="K1981" s="99">
        <v>59</v>
      </c>
      <c r="L1981" s="99">
        <v>570</v>
      </c>
      <c r="M1981" s="99">
        <v>572</v>
      </c>
      <c r="N1981" s="99">
        <v>-2</v>
      </c>
      <c r="O1981" s="117"/>
      <c r="P1981" s="117"/>
      <c r="Q1981" s="117"/>
    </row>
    <row r="1982" spans="1:17" s="119" customFormat="1" ht="31.75" customHeight="1">
      <c r="A1982" s="109" t="s">
        <v>7264</v>
      </c>
      <c r="B1982" s="109" t="s">
        <v>7265</v>
      </c>
      <c r="C1982" s="98">
        <v>2011</v>
      </c>
      <c r="D1982" s="99">
        <v>902</v>
      </c>
      <c r="E1982" s="99">
        <v>6331</v>
      </c>
      <c r="F1982" s="99">
        <v>1478</v>
      </c>
      <c r="G1982" s="99">
        <v>4719</v>
      </c>
      <c r="H1982" s="99">
        <v>1121</v>
      </c>
      <c r="I1982" s="99">
        <v>118</v>
      </c>
      <c r="J1982" s="99">
        <v>149</v>
      </c>
      <c r="K1982" s="99">
        <v>32</v>
      </c>
      <c r="L1982" s="99">
        <v>505</v>
      </c>
      <c r="M1982" s="99">
        <v>503</v>
      </c>
      <c r="N1982" s="99">
        <v>2</v>
      </c>
      <c r="O1982" s="117"/>
      <c r="P1982" s="117"/>
      <c r="Q1982" s="117"/>
    </row>
    <row r="1983" spans="1:17" s="119" customFormat="1" ht="31.75" customHeight="1">
      <c r="A1983" s="109" t="s">
        <v>7264</v>
      </c>
      <c r="B1983" s="109" t="s">
        <v>7265</v>
      </c>
      <c r="C1983" s="111">
        <v>2012</v>
      </c>
      <c r="D1983" s="112">
        <v>867</v>
      </c>
      <c r="E1983" s="112">
        <v>4875</v>
      </c>
      <c r="F1983" s="112">
        <v>1288</v>
      </c>
      <c r="G1983" s="112">
        <v>3505</v>
      </c>
      <c r="H1983" s="112">
        <v>943</v>
      </c>
      <c r="I1983" s="112">
        <v>77</v>
      </c>
      <c r="J1983" s="112">
        <v>170</v>
      </c>
      <c r="K1983" s="112">
        <v>94</v>
      </c>
      <c r="L1983" s="112">
        <v>418</v>
      </c>
      <c r="M1983" s="112">
        <v>414</v>
      </c>
      <c r="N1983" s="112">
        <v>5</v>
      </c>
      <c r="O1983" s="117"/>
      <c r="P1983" s="117"/>
      <c r="Q1983" s="117"/>
    </row>
    <row r="1984" spans="1:17" s="119" customFormat="1" ht="31.75" customHeight="1">
      <c r="A1984" s="109" t="s">
        <v>7264</v>
      </c>
      <c r="B1984" s="109" t="s">
        <v>7265</v>
      </c>
      <c r="C1984" s="113">
        <v>2013</v>
      </c>
      <c r="D1984" s="112">
        <v>876</v>
      </c>
      <c r="E1984" s="112">
        <v>5086</v>
      </c>
      <c r="F1984" s="112">
        <v>1486</v>
      </c>
      <c r="G1984" s="112">
        <v>3513</v>
      </c>
      <c r="H1984" s="112">
        <v>907</v>
      </c>
      <c r="I1984" s="112">
        <v>82</v>
      </c>
      <c r="J1984" s="112">
        <v>169</v>
      </c>
      <c r="K1984" s="112">
        <v>88</v>
      </c>
      <c r="L1984" s="112">
        <v>402</v>
      </c>
      <c r="M1984" s="112">
        <v>419</v>
      </c>
      <c r="N1984" s="112">
        <v>-17</v>
      </c>
      <c r="O1984" s="117"/>
      <c r="P1984" s="117"/>
      <c r="Q1984" s="117"/>
    </row>
    <row r="1985" spans="1:17" s="119" customFormat="1" ht="31.75" customHeight="1">
      <c r="A1985" s="109" t="s">
        <v>7264</v>
      </c>
      <c r="B1985" s="109" t="s">
        <v>7265</v>
      </c>
      <c r="C1985" s="113">
        <v>2014</v>
      </c>
      <c r="D1985" s="99">
        <v>888</v>
      </c>
      <c r="E1985" s="99">
        <v>4838</v>
      </c>
      <c r="F1985" s="99" t="s">
        <v>6953</v>
      </c>
      <c r="G1985" s="99" t="s">
        <v>6953</v>
      </c>
      <c r="H1985" s="99">
        <v>789</v>
      </c>
      <c r="I1985" s="99">
        <v>197</v>
      </c>
      <c r="J1985" s="99">
        <v>235</v>
      </c>
      <c r="K1985" s="99">
        <v>38</v>
      </c>
      <c r="L1985" s="99">
        <v>408</v>
      </c>
      <c r="M1985" s="99">
        <v>402</v>
      </c>
      <c r="N1985" s="99">
        <v>6</v>
      </c>
      <c r="O1985" s="110"/>
      <c r="P1985" s="110"/>
      <c r="Q1985" s="110"/>
    </row>
    <row r="1986" spans="1:17" s="119" customFormat="1" ht="31.75" customHeight="1">
      <c r="A1986" s="109" t="s">
        <v>7264</v>
      </c>
      <c r="B1986" s="109" t="s">
        <v>7265</v>
      </c>
      <c r="C1986" s="113">
        <v>2015</v>
      </c>
      <c r="D1986" s="112">
        <v>918</v>
      </c>
      <c r="E1986" s="112">
        <v>7484</v>
      </c>
      <c r="F1986" s="112">
        <v>2471</v>
      </c>
      <c r="G1986" s="112">
        <v>4984</v>
      </c>
      <c r="H1986" s="112">
        <v>1021</v>
      </c>
      <c r="I1986" s="112">
        <v>329</v>
      </c>
      <c r="J1986" s="112">
        <v>432</v>
      </c>
      <c r="K1986" s="112">
        <v>103</v>
      </c>
      <c r="L1986" s="112">
        <v>492</v>
      </c>
      <c r="M1986" s="112">
        <v>491</v>
      </c>
      <c r="N1986" s="112">
        <v>1</v>
      </c>
      <c r="O1986" s="110"/>
      <c r="P1986" s="110"/>
      <c r="Q1986" s="110"/>
    </row>
    <row r="1987" spans="1:17" s="119" customFormat="1" ht="31.75" customHeight="1">
      <c r="A1987" s="109" t="s">
        <v>7264</v>
      </c>
      <c r="B1987" s="109" t="s">
        <v>7265</v>
      </c>
      <c r="C1987" s="113">
        <v>2016</v>
      </c>
      <c r="D1987" s="112">
        <v>939</v>
      </c>
      <c r="E1987" s="112">
        <v>7504</v>
      </c>
      <c r="F1987" s="112">
        <v>2593</v>
      </c>
      <c r="G1987" s="112">
        <v>4911</v>
      </c>
      <c r="H1987" s="112">
        <v>1111</v>
      </c>
      <c r="I1987" s="112">
        <v>251</v>
      </c>
      <c r="J1987" s="112">
        <v>303</v>
      </c>
      <c r="K1987" s="112">
        <v>52</v>
      </c>
      <c r="L1987" s="112">
        <v>490</v>
      </c>
      <c r="M1987" s="112">
        <v>453</v>
      </c>
      <c r="N1987" s="112">
        <v>37</v>
      </c>
      <c r="O1987" s="100"/>
      <c r="P1987" s="100"/>
      <c r="Q1987" s="100"/>
    </row>
    <row r="1988" spans="1:17" s="119" customFormat="1" ht="31.75" customHeight="1">
      <c r="A1988" s="109" t="s">
        <v>7264</v>
      </c>
      <c r="B1988" s="109" t="s">
        <v>7265</v>
      </c>
      <c r="C1988" s="113">
        <v>2017</v>
      </c>
      <c r="D1988" s="112">
        <v>968</v>
      </c>
      <c r="E1988" s="112">
        <v>7277</v>
      </c>
      <c r="F1988" s="112">
        <v>2462</v>
      </c>
      <c r="G1988" s="112">
        <v>4758</v>
      </c>
      <c r="H1988" s="112">
        <v>1101</v>
      </c>
      <c r="I1988" s="112">
        <v>297</v>
      </c>
      <c r="J1988" s="112">
        <v>341</v>
      </c>
      <c r="K1988" s="112">
        <v>45</v>
      </c>
      <c r="L1988" s="112">
        <v>493</v>
      </c>
      <c r="M1988" s="112">
        <v>451</v>
      </c>
      <c r="N1988" s="112">
        <v>42</v>
      </c>
      <c r="O1988" s="110"/>
      <c r="P1988" s="110"/>
      <c r="Q1988" s="110"/>
    </row>
    <row r="1989" spans="1:17" s="119" customFormat="1" ht="31.75" customHeight="1">
      <c r="A1989" s="109" t="s">
        <v>7264</v>
      </c>
      <c r="B1989" s="109" t="s">
        <v>7265</v>
      </c>
      <c r="C1989" s="113">
        <v>2018</v>
      </c>
      <c r="D1989" s="112">
        <v>993</v>
      </c>
      <c r="E1989" s="112">
        <v>7769</v>
      </c>
      <c r="F1989" s="112">
        <v>2781</v>
      </c>
      <c r="G1989" s="112">
        <v>4996</v>
      </c>
      <c r="H1989" s="112">
        <v>1136</v>
      </c>
      <c r="I1989" s="112">
        <v>247</v>
      </c>
      <c r="J1989" s="112">
        <v>298</v>
      </c>
      <c r="K1989" s="112">
        <v>51</v>
      </c>
      <c r="L1989" s="112">
        <v>545</v>
      </c>
      <c r="M1989" s="112">
        <v>506</v>
      </c>
      <c r="N1989" s="112">
        <v>38</v>
      </c>
      <c r="O1989" s="100"/>
      <c r="P1989" s="100"/>
      <c r="Q1989" s="100"/>
    </row>
    <row r="1990" spans="1:17" s="119" customFormat="1" ht="31.75" customHeight="1">
      <c r="A1990" s="109" t="s">
        <v>7264</v>
      </c>
      <c r="B1990" s="109" t="s">
        <v>7265</v>
      </c>
      <c r="C1990" s="113">
        <v>2019</v>
      </c>
      <c r="D1990" s="112">
        <v>1018</v>
      </c>
      <c r="E1990" s="112">
        <v>8077.8909050000002</v>
      </c>
      <c r="F1990" s="112">
        <v>2772.924246</v>
      </c>
      <c r="G1990" s="112">
        <v>5318.6395759999996</v>
      </c>
      <c r="H1990" s="112">
        <v>1223.4107959999999</v>
      </c>
      <c r="I1990" s="112">
        <v>280.05411900000001</v>
      </c>
      <c r="J1990" s="112">
        <v>321.55730199999999</v>
      </c>
      <c r="K1990" s="112">
        <v>41.503183</v>
      </c>
      <c r="L1990" s="112">
        <v>596.90039300000001</v>
      </c>
      <c r="M1990" s="112">
        <v>576.33904299999995</v>
      </c>
      <c r="N1990" s="112">
        <v>20.561350000000001</v>
      </c>
      <c r="O1990" s="100"/>
      <c r="P1990" s="100"/>
      <c r="Q1990" s="100"/>
    </row>
    <row r="1991" spans="1:17" s="119" customFormat="1" ht="31.75" customHeight="1">
      <c r="A1991" s="114" t="s">
        <v>7264</v>
      </c>
      <c r="B1991" s="114" t="s">
        <v>7265</v>
      </c>
      <c r="C1991" s="113">
        <v>2020</v>
      </c>
      <c r="D1991" s="112">
        <v>1029</v>
      </c>
      <c r="E1991" s="112">
        <v>7513.8213759999999</v>
      </c>
      <c r="F1991" s="112">
        <v>2672.3376199999998</v>
      </c>
      <c r="G1991" s="112">
        <v>4825.5271300000004</v>
      </c>
      <c r="H1991" s="112">
        <v>1152.996234</v>
      </c>
      <c r="I1991" s="112">
        <v>199.56231099999999</v>
      </c>
      <c r="J1991" s="112">
        <v>230.121532</v>
      </c>
      <c r="K1991" s="112">
        <v>30.559221000000001</v>
      </c>
      <c r="L1991" s="112">
        <v>522.04314899999997</v>
      </c>
      <c r="M1991" s="112">
        <v>582.96620700000005</v>
      </c>
      <c r="N1991" s="112">
        <v>-60.923057999999997</v>
      </c>
      <c r="O1991" s="110"/>
      <c r="P1991" s="110"/>
      <c r="Q1991" s="110"/>
    </row>
    <row r="1992" spans="1:17" s="119" customFormat="1" ht="31.75" customHeight="1">
      <c r="A1992" s="109" t="s">
        <v>7266</v>
      </c>
      <c r="B1992" s="109" t="s">
        <v>7267</v>
      </c>
      <c r="C1992" s="98">
        <v>2008</v>
      </c>
      <c r="D1992" s="99">
        <v>629</v>
      </c>
      <c r="E1992" s="99">
        <v>2787</v>
      </c>
      <c r="F1992" s="99">
        <v>961</v>
      </c>
      <c r="G1992" s="99">
        <v>1738</v>
      </c>
      <c r="H1992" s="99">
        <v>655</v>
      </c>
      <c r="I1992" s="99">
        <v>77</v>
      </c>
      <c r="J1992" s="99">
        <v>160</v>
      </c>
      <c r="K1992" s="99">
        <v>83</v>
      </c>
      <c r="L1992" s="99">
        <v>495</v>
      </c>
      <c r="M1992" s="99">
        <v>579</v>
      </c>
      <c r="N1992" s="99">
        <v>-84</v>
      </c>
      <c r="O1992" s="110"/>
      <c r="P1992" s="110"/>
      <c r="Q1992" s="110"/>
    </row>
    <row r="1993" spans="1:17" s="119" customFormat="1" ht="31.75" customHeight="1">
      <c r="A1993" s="109" t="s">
        <v>7266</v>
      </c>
      <c r="B1993" s="109" t="s">
        <v>7267</v>
      </c>
      <c r="C1993" s="98">
        <v>2009</v>
      </c>
      <c r="D1993" s="99">
        <v>578</v>
      </c>
      <c r="E1993" s="99">
        <v>2972</v>
      </c>
      <c r="F1993" s="99">
        <v>783</v>
      </c>
      <c r="G1993" s="99">
        <v>2070</v>
      </c>
      <c r="H1993" s="99">
        <v>598</v>
      </c>
      <c r="I1993" s="99">
        <v>32</v>
      </c>
      <c r="J1993" s="99">
        <v>83</v>
      </c>
      <c r="K1993" s="99">
        <v>52</v>
      </c>
      <c r="L1993" s="99">
        <v>351</v>
      </c>
      <c r="M1993" s="99">
        <v>412</v>
      </c>
      <c r="N1993" s="99">
        <v>-61</v>
      </c>
      <c r="O1993" s="117"/>
      <c r="P1993" s="117"/>
      <c r="Q1993" s="117"/>
    </row>
    <row r="1994" spans="1:17" s="119" customFormat="1" ht="31.75" customHeight="1">
      <c r="A1994" s="109" t="s">
        <v>7266</v>
      </c>
      <c r="B1994" s="109" t="s">
        <v>7267</v>
      </c>
      <c r="C1994" s="98">
        <v>2010</v>
      </c>
      <c r="D1994" s="99">
        <v>550</v>
      </c>
      <c r="E1994" s="99">
        <v>3441</v>
      </c>
      <c r="F1994" s="99">
        <v>1055</v>
      </c>
      <c r="G1994" s="99">
        <v>2347</v>
      </c>
      <c r="H1994" s="99">
        <v>661</v>
      </c>
      <c r="I1994" s="99">
        <v>69</v>
      </c>
      <c r="J1994" s="99">
        <v>98</v>
      </c>
      <c r="K1994" s="99">
        <v>29</v>
      </c>
      <c r="L1994" s="99">
        <v>397</v>
      </c>
      <c r="M1994" s="99">
        <v>391</v>
      </c>
      <c r="N1994" s="99">
        <v>6</v>
      </c>
      <c r="O1994" s="117"/>
      <c r="P1994" s="117"/>
      <c r="Q1994" s="117"/>
    </row>
    <row r="1995" spans="1:17" s="119" customFormat="1" ht="31.75" customHeight="1">
      <c r="A1995" s="109" t="s">
        <v>7266</v>
      </c>
      <c r="B1995" s="109" t="s">
        <v>7267</v>
      </c>
      <c r="C1995" s="98">
        <v>2011</v>
      </c>
      <c r="D1995" s="99">
        <v>507</v>
      </c>
      <c r="E1995" s="99">
        <v>3340</v>
      </c>
      <c r="F1995" s="99">
        <v>915</v>
      </c>
      <c r="G1995" s="99">
        <v>2380</v>
      </c>
      <c r="H1995" s="99">
        <v>663</v>
      </c>
      <c r="I1995" s="99">
        <v>40</v>
      </c>
      <c r="J1995" s="99">
        <v>61</v>
      </c>
      <c r="K1995" s="99">
        <v>21</v>
      </c>
      <c r="L1995" s="99">
        <v>341</v>
      </c>
      <c r="M1995" s="99">
        <v>337</v>
      </c>
      <c r="N1995" s="99">
        <v>4</v>
      </c>
      <c r="O1995" s="117"/>
      <c r="P1995" s="117"/>
      <c r="Q1995" s="117"/>
    </row>
    <row r="1996" spans="1:17" s="119" customFormat="1" ht="31.75" customHeight="1">
      <c r="A1996" s="109" t="s">
        <v>7266</v>
      </c>
      <c r="B1996" s="109" t="s">
        <v>7267</v>
      </c>
      <c r="C1996" s="111">
        <v>2012</v>
      </c>
      <c r="D1996" s="112">
        <v>496</v>
      </c>
      <c r="E1996" s="112">
        <v>1900</v>
      </c>
      <c r="F1996" s="112">
        <v>725</v>
      </c>
      <c r="G1996" s="112">
        <v>1169</v>
      </c>
      <c r="H1996" s="112">
        <v>445</v>
      </c>
      <c r="I1996" s="99" t="s">
        <v>6953</v>
      </c>
      <c r="J1996" s="112">
        <v>74</v>
      </c>
      <c r="K1996" s="99" t="s">
        <v>6953</v>
      </c>
      <c r="L1996" s="112">
        <v>237</v>
      </c>
      <c r="M1996" s="112">
        <v>241</v>
      </c>
      <c r="N1996" s="112">
        <v>-4</v>
      </c>
      <c r="O1996" s="117"/>
      <c r="P1996" s="117"/>
      <c r="Q1996" s="117"/>
    </row>
    <row r="1997" spans="1:17" s="119" customFormat="1" ht="31.75" customHeight="1">
      <c r="A1997" s="109" t="s">
        <v>7266</v>
      </c>
      <c r="B1997" s="109" t="s">
        <v>7267</v>
      </c>
      <c r="C1997" s="113">
        <v>2013</v>
      </c>
      <c r="D1997" s="112">
        <v>501</v>
      </c>
      <c r="E1997" s="112">
        <v>1974</v>
      </c>
      <c r="F1997" s="112">
        <v>663</v>
      </c>
      <c r="G1997" s="112">
        <v>1286</v>
      </c>
      <c r="H1997" s="112">
        <v>406</v>
      </c>
      <c r="I1997" s="112">
        <v>32</v>
      </c>
      <c r="J1997" s="112">
        <v>58</v>
      </c>
      <c r="K1997" s="112">
        <v>26</v>
      </c>
      <c r="L1997" s="112">
        <v>213</v>
      </c>
      <c r="M1997" s="112">
        <v>234</v>
      </c>
      <c r="N1997" s="112">
        <v>-21</v>
      </c>
      <c r="O1997" s="110"/>
      <c r="P1997" s="110"/>
      <c r="Q1997" s="110"/>
    </row>
    <row r="1998" spans="1:17" s="119" customFormat="1" ht="31.75" customHeight="1">
      <c r="A1998" s="109" t="s">
        <v>7266</v>
      </c>
      <c r="B1998" s="109" t="s">
        <v>7267</v>
      </c>
      <c r="C1998" s="113">
        <v>2014</v>
      </c>
      <c r="D1998" s="99">
        <v>521</v>
      </c>
      <c r="E1998" s="99">
        <v>2289</v>
      </c>
      <c r="F1998" s="99">
        <v>764</v>
      </c>
      <c r="G1998" s="99">
        <v>1544</v>
      </c>
      <c r="H1998" s="99">
        <v>430</v>
      </c>
      <c r="I1998" s="99">
        <v>58</v>
      </c>
      <c r="J1998" s="99">
        <v>67</v>
      </c>
      <c r="K1998" s="99">
        <v>9</v>
      </c>
      <c r="L1998" s="99">
        <v>258</v>
      </c>
      <c r="M1998" s="99">
        <v>247</v>
      </c>
      <c r="N1998" s="99">
        <v>11</v>
      </c>
      <c r="O1998" s="110"/>
      <c r="P1998" s="110"/>
      <c r="Q1998" s="110"/>
    </row>
    <row r="1999" spans="1:17" s="119" customFormat="1" ht="31.75" customHeight="1">
      <c r="A1999" s="109" t="s">
        <v>7266</v>
      </c>
      <c r="B1999" s="109" t="s">
        <v>7267</v>
      </c>
      <c r="C1999" s="113">
        <v>2015</v>
      </c>
      <c r="D1999" s="112">
        <v>547</v>
      </c>
      <c r="E1999" s="112">
        <v>2559</v>
      </c>
      <c r="F1999" s="112">
        <v>956</v>
      </c>
      <c r="G1999" s="112">
        <v>1595</v>
      </c>
      <c r="H1999" s="112">
        <v>502</v>
      </c>
      <c r="I1999" s="112">
        <v>190</v>
      </c>
      <c r="J1999" s="112">
        <v>201</v>
      </c>
      <c r="K1999" s="112">
        <v>11</v>
      </c>
      <c r="L1999" s="112">
        <v>267</v>
      </c>
      <c r="M1999" s="112">
        <v>270</v>
      </c>
      <c r="N1999" s="112">
        <v>-3</v>
      </c>
      <c r="O1999" s="100"/>
      <c r="P1999" s="100"/>
      <c r="Q1999" s="100"/>
    </row>
    <row r="2000" spans="1:17" s="119" customFormat="1" ht="31.75" customHeight="1">
      <c r="A2000" s="109" t="s">
        <v>7266</v>
      </c>
      <c r="B2000" s="109" t="s">
        <v>7267</v>
      </c>
      <c r="C2000" s="113">
        <v>2016</v>
      </c>
      <c r="D2000" s="112">
        <v>546</v>
      </c>
      <c r="E2000" s="112">
        <v>2782</v>
      </c>
      <c r="F2000" s="112">
        <v>1110</v>
      </c>
      <c r="G2000" s="112">
        <v>1683</v>
      </c>
      <c r="H2000" s="112">
        <v>542</v>
      </c>
      <c r="I2000" s="112">
        <v>101</v>
      </c>
      <c r="J2000" s="112">
        <v>115</v>
      </c>
      <c r="K2000" s="112">
        <v>14</v>
      </c>
      <c r="L2000" s="112">
        <v>270</v>
      </c>
      <c r="M2000" s="112">
        <v>254</v>
      </c>
      <c r="N2000" s="112">
        <v>16</v>
      </c>
      <c r="O2000" s="110"/>
      <c r="P2000" s="110"/>
      <c r="Q2000" s="110"/>
    </row>
    <row r="2001" spans="1:17" s="119" customFormat="1" ht="31.75" customHeight="1">
      <c r="A2001" s="109" t="s">
        <v>7266</v>
      </c>
      <c r="B2001" s="109" t="s">
        <v>7267</v>
      </c>
      <c r="C2001" s="113">
        <v>2017</v>
      </c>
      <c r="D2001" s="112">
        <v>561</v>
      </c>
      <c r="E2001" s="112">
        <v>2776</v>
      </c>
      <c r="F2001" s="112">
        <v>1122</v>
      </c>
      <c r="G2001" s="112">
        <v>1694</v>
      </c>
      <c r="H2001" s="112">
        <v>563</v>
      </c>
      <c r="I2001" s="112">
        <v>148</v>
      </c>
      <c r="J2001" s="112">
        <v>160</v>
      </c>
      <c r="K2001" s="112">
        <v>11</v>
      </c>
      <c r="L2001" s="112">
        <v>289</v>
      </c>
      <c r="M2001" s="112">
        <v>259</v>
      </c>
      <c r="N2001" s="112">
        <v>30</v>
      </c>
      <c r="O2001" s="100"/>
      <c r="P2001" s="100"/>
      <c r="Q2001" s="100"/>
    </row>
    <row r="2002" spans="1:17" s="119" customFormat="1" ht="31.75" customHeight="1">
      <c r="A2002" s="109" t="s">
        <v>7266</v>
      </c>
      <c r="B2002" s="109" t="s">
        <v>7267</v>
      </c>
      <c r="C2002" s="113">
        <v>2018</v>
      </c>
      <c r="D2002" s="112">
        <v>572</v>
      </c>
      <c r="E2002" s="112">
        <v>3078</v>
      </c>
      <c r="F2002" s="112">
        <v>1313</v>
      </c>
      <c r="G2002" s="112">
        <v>1799</v>
      </c>
      <c r="H2002" s="112">
        <v>594</v>
      </c>
      <c r="I2002" s="112">
        <v>171</v>
      </c>
      <c r="J2002" s="112">
        <v>179</v>
      </c>
      <c r="K2002" s="112">
        <v>8</v>
      </c>
      <c r="L2002" s="112">
        <v>327</v>
      </c>
      <c r="M2002" s="112">
        <v>299</v>
      </c>
      <c r="N2002" s="112">
        <v>28</v>
      </c>
      <c r="O2002" s="100"/>
      <c r="P2002" s="100"/>
      <c r="Q2002" s="100"/>
    </row>
    <row r="2003" spans="1:17" s="119" customFormat="1" ht="31.75" customHeight="1">
      <c r="A2003" s="109" t="s">
        <v>7266</v>
      </c>
      <c r="B2003" s="109" t="s">
        <v>7267</v>
      </c>
      <c r="C2003" s="113">
        <v>2019</v>
      </c>
      <c r="D2003" s="112">
        <v>574</v>
      </c>
      <c r="E2003" s="112">
        <v>3182.3666210000001</v>
      </c>
      <c r="F2003" s="112">
        <v>1336.0832869999999</v>
      </c>
      <c r="G2003" s="112">
        <v>1872.0583329999999</v>
      </c>
      <c r="H2003" s="112">
        <v>637.46477600000003</v>
      </c>
      <c r="I2003" s="112">
        <v>125.165426</v>
      </c>
      <c r="J2003" s="112">
        <v>137.80471299999999</v>
      </c>
      <c r="K2003" s="112">
        <v>12.639286999999999</v>
      </c>
      <c r="L2003" s="112">
        <v>354.023732</v>
      </c>
      <c r="M2003" s="112">
        <v>333.83889900000003</v>
      </c>
      <c r="N2003" s="112">
        <v>20.184833000000001</v>
      </c>
      <c r="O2003" s="110"/>
      <c r="P2003" s="110"/>
      <c r="Q2003" s="110"/>
    </row>
    <row r="2004" spans="1:17" s="119" customFormat="1" ht="31.75" customHeight="1">
      <c r="A2004" s="114" t="s">
        <v>7266</v>
      </c>
      <c r="B2004" s="114" t="s">
        <v>7267</v>
      </c>
      <c r="C2004" s="113">
        <v>2020</v>
      </c>
      <c r="D2004" s="112">
        <v>578</v>
      </c>
      <c r="E2004" s="112">
        <v>2945.8941129999998</v>
      </c>
      <c r="F2004" s="112">
        <v>1321.360263</v>
      </c>
      <c r="G2004" s="112">
        <v>1617.084832</v>
      </c>
      <c r="H2004" s="112">
        <v>586.22873400000003</v>
      </c>
      <c r="I2004" s="112">
        <v>108.206558</v>
      </c>
      <c r="J2004" s="112">
        <v>132.95803000000001</v>
      </c>
      <c r="K2004" s="112">
        <v>24.751472</v>
      </c>
      <c r="L2004" s="112">
        <v>313.53355499999998</v>
      </c>
      <c r="M2004" s="112">
        <v>350.85770300000001</v>
      </c>
      <c r="N2004" s="112">
        <v>-37.324148000000001</v>
      </c>
      <c r="O2004" s="110"/>
      <c r="P2004" s="110"/>
      <c r="Q2004" s="110"/>
    </row>
    <row r="2005" spans="1:17" s="119" customFormat="1" ht="31.75" customHeight="1">
      <c r="A2005" s="109" t="s">
        <v>7268</v>
      </c>
      <c r="B2005" s="109" t="s">
        <v>7269</v>
      </c>
      <c r="C2005" s="98">
        <v>2008</v>
      </c>
      <c r="D2005" s="99">
        <v>34</v>
      </c>
      <c r="E2005" s="99">
        <v>692</v>
      </c>
      <c r="F2005" s="99">
        <v>181</v>
      </c>
      <c r="G2005" s="99">
        <v>518</v>
      </c>
      <c r="H2005" s="99">
        <v>99</v>
      </c>
      <c r="I2005" s="99">
        <v>41</v>
      </c>
      <c r="J2005" s="99" t="s">
        <v>6953</v>
      </c>
      <c r="K2005" s="99" t="s">
        <v>6953</v>
      </c>
      <c r="L2005" s="99">
        <v>40</v>
      </c>
      <c r="M2005" s="99">
        <v>34</v>
      </c>
      <c r="N2005" s="99">
        <v>7</v>
      </c>
      <c r="O2005" s="117"/>
      <c r="P2005" s="117"/>
      <c r="Q2005" s="117"/>
    </row>
    <row r="2006" spans="1:17" s="119" customFormat="1" ht="31.75" customHeight="1">
      <c r="A2006" s="109" t="s">
        <v>7268</v>
      </c>
      <c r="B2006" s="109" t="s">
        <v>7269</v>
      </c>
      <c r="C2006" s="98">
        <v>2009</v>
      </c>
      <c r="D2006" s="99">
        <v>35</v>
      </c>
      <c r="E2006" s="99">
        <v>558</v>
      </c>
      <c r="F2006" s="99">
        <v>129</v>
      </c>
      <c r="G2006" s="99">
        <v>422</v>
      </c>
      <c r="H2006" s="99">
        <v>94</v>
      </c>
      <c r="I2006" s="99" t="s">
        <v>6953</v>
      </c>
      <c r="J2006" s="99">
        <v>11</v>
      </c>
      <c r="K2006" s="99" t="s">
        <v>6953</v>
      </c>
      <c r="L2006" s="99">
        <v>30</v>
      </c>
      <c r="M2006" s="99">
        <v>38</v>
      </c>
      <c r="N2006" s="99">
        <v>-7</v>
      </c>
      <c r="O2006" s="117"/>
      <c r="P2006" s="117"/>
      <c r="Q2006" s="117"/>
    </row>
    <row r="2007" spans="1:17" s="119" customFormat="1" ht="31.75" customHeight="1">
      <c r="A2007" s="109" t="s">
        <v>7268</v>
      </c>
      <c r="B2007" s="109" t="s">
        <v>7269</v>
      </c>
      <c r="C2007" s="98">
        <v>2010</v>
      </c>
      <c r="D2007" s="99" t="s">
        <v>6953</v>
      </c>
      <c r="E2007" s="99" t="s">
        <v>6953</v>
      </c>
      <c r="F2007" s="99" t="s">
        <v>6953</v>
      </c>
      <c r="G2007" s="99" t="s">
        <v>6953</v>
      </c>
      <c r="H2007" s="99" t="s">
        <v>6953</v>
      </c>
      <c r="I2007" s="99" t="s">
        <v>6953</v>
      </c>
      <c r="J2007" s="99" t="s">
        <v>6953</v>
      </c>
      <c r="K2007" s="99" t="s">
        <v>6953</v>
      </c>
      <c r="L2007" s="99" t="s">
        <v>6953</v>
      </c>
      <c r="M2007" s="99" t="s">
        <v>6953</v>
      </c>
      <c r="N2007" s="99" t="s">
        <v>6953</v>
      </c>
      <c r="O2007" s="117"/>
      <c r="P2007" s="117"/>
      <c r="Q2007" s="117"/>
    </row>
    <row r="2008" spans="1:17" s="119" customFormat="1" ht="31.75" customHeight="1">
      <c r="A2008" s="109" t="s">
        <v>7268</v>
      </c>
      <c r="B2008" s="109" t="s">
        <v>7269</v>
      </c>
      <c r="C2008" s="98">
        <v>2011</v>
      </c>
      <c r="D2008" s="99">
        <v>37</v>
      </c>
      <c r="E2008" s="99">
        <v>653</v>
      </c>
      <c r="F2008" s="99">
        <v>271</v>
      </c>
      <c r="G2008" s="99">
        <v>389</v>
      </c>
      <c r="H2008" s="99">
        <v>83</v>
      </c>
      <c r="I2008" s="99">
        <v>16</v>
      </c>
      <c r="J2008" s="99">
        <v>17</v>
      </c>
      <c r="K2008" s="99">
        <v>1</v>
      </c>
      <c r="L2008" s="99">
        <v>39</v>
      </c>
      <c r="M2008" s="99">
        <v>33</v>
      </c>
      <c r="N2008" s="99">
        <v>7</v>
      </c>
      <c r="O2008" s="117"/>
      <c r="P2008" s="117"/>
      <c r="Q2008" s="117"/>
    </row>
    <row r="2009" spans="1:17" s="119" customFormat="1" ht="31.75" customHeight="1">
      <c r="A2009" s="109" t="s">
        <v>7268</v>
      </c>
      <c r="B2009" s="109" t="s">
        <v>7269</v>
      </c>
      <c r="C2009" s="111">
        <v>2012</v>
      </c>
      <c r="D2009" s="112">
        <v>38</v>
      </c>
      <c r="E2009" s="112">
        <v>625</v>
      </c>
      <c r="F2009" s="112">
        <v>235</v>
      </c>
      <c r="G2009" s="112">
        <v>396</v>
      </c>
      <c r="H2009" s="112">
        <v>89</v>
      </c>
      <c r="I2009" s="112" t="s">
        <v>6952</v>
      </c>
      <c r="J2009" s="99" t="s">
        <v>6953</v>
      </c>
      <c r="K2009" s="99" t="s">
        <v>6953</v>
      </c>
      <c r="L2009" s="112">
        <v>46</v>
      </c>
      <c r="M2009" s="112">
        <v>39</v>
      </c>
      <c r="N2009" s="112">
        <v>7</v>
      </c>
      <c r="O2009" s="110"/>
      <c r="P2009" s="110"/>
      <c r="Q2009" s="110"/>
    </row>
    <row r="2010" spans="1:17" s="119" customFormat="1" ht="31.75" customHeight="1">
      <c r="A2010" s="109" t="s">
        <v>7268</v>
      </c>
      <c r="B2010" s="109" t="s">
        <v>7269</v>
      </c>
      <c r="C2010" s="113">
        <v>2013</v>
      </c>
      <c r="D2010" s="112">
        <v>40</v>
      </c>
      <c r="E2010" s="112">
        <v>637</v>
      </c>
      <c r="F2010" s="112">
        <v>221</v>
      </c>
      <c r="G2010" s="112">
        <v>427</v>
      </c>
      <c r="H2010" s="112">
        <v>91</v>
      </c>
      <c r="I2010" s="112">
        <v>19</v>
      </c>
      <c r="J2010" s="99" t="s">
        <v>6953</v>
      </c>
      <c r="K2010" s="99" t="s">
        <v>6953</v>
      </c>
      <c r="L2010" s="112">
        <v>56</v>
      </c>
      <c r="M2010" s="112">
        <v>46</v>
      </c>
      <c r="N2010" s="112">
        <v>10</v>
      </c>
      <c r="O2010" s="110"/>
      <c r="P2010" s="110"/>
      <c r="Q2010" s="110"/>
    </row>
    <row r="2011" spans="1:17" s="119" customFormat="1" ht="31.75" customHeight="1">
      <c r="A2011" s="109" t="s">
        <v>7268</v>
      </c>
      <c r="B2011" s="109" t="s">
        <v>7269</v>
      </c>
      <c r="C2011" s="113">
        <v>2014</v>
      </c>
      <c r="D2011" s="99">
        <v>37</v>
      </c>
      <c r="E2011" s="99">
        <v>713</v>
      </c>
      <c r="F2011" s="99">
        <v>284</v>
      </c>
      <c r="G2011" s="99">
        <v>427</v>
      </c>
      <c r="H2011" s="99">
        <v>92</v>
      </c>
      <c r="I2011" s="99" t="s">
        <v>6953</v>
      </c>
      <c r="J2011" s="99" t="s">
        <v>6953</v>
      </c>
      <c r="K2011" s="99" t="s">
        <v>6953</v>
      </c>
      <c r="L2011" s="99">
        <v>52</v>
      </c>
      <c r="M2011" s="99">
        <v>55</v>
      </c>
      <c r="N2011" s="99">
        <v>-3</v>
      </c>
      <c r="O2011" s="100"/>
      <c r="P2011" s="100"/>
      <c r="Q2011" s="100"/>
    </row>
    <row r="2012" spans="1:17" s="119" customFormat="1" ht="31.75" customHeight="1">
      <c r="A2012" s="109" t="s">
        <v>7268</v>
      </c>
      <c r="B2012" s="109" t="s">
        <v>7269</v>
      </c>
      <c r="C2012" s="113">
        <v>2015</v>
      </c>
      <c r="D2012" s="112">
        <v>36</v>
      </c>
      <c r="E2012" s="112">
        <v>791</v>
      </c>
      <c r="F2012" s="112">
        <v>344</v>
      </c>
      <c r="G2012" s="112">
        <v>450</v>
      </c>
      <c r="H2012" s="112">
        <v>103</v>
      </c>
      <c r="I2012" s="99" t="s">
        <v>6953</v>
      </c>
      <c r="J2012" s="99" t="s">
        <v>6953</v>
      </c>
      <c r="K2012" s="99" t="s">
        <v>6953</v>
      </c>
      <c r="L2012" s="112">
        <v>54</v>
      </c>
      <c r="M2012" s="112">
        <v>52</v>
      </c>
      <c r="N2012" s="112">
        <v>2</v>
      </c>
      <c r="O2012" s="110"/>
      <c r="P2012" s="110"/>
      <c r="Q2012" s="110"/>
    </row>
    <row r="2013" spans="1:17" s="119" customFormat="1" ht="31.75" customHeight="1">
      <c r="A2013" s="109" t="s">
        <v>7268</v>
      </c>
      <c r="B2013" s="109" t="s">
        <v>7269</v>
      </c>
      <c r="C2013" s="113">
        <v>2016</v>
      </c>
      <c r="D2013" s="112">
        <v>39</v>
      </c>
      <c r="E2013" s="112">
        <v>930</v>
      </c>
      <c r="F2013" s="112">
        <v>400</v>
      </c>
      <c r="G2013" s="112">
        <v>525</v>
      </c>
      <c r="H2013" s="112">
        <v>118</v>
      </c>
      <c r="I2013" s="112">
        <v>33</v>
      </c>
      <c r="J2013" s="112">
        <v>33</v>
      </c>
      <c r="K2013" s="112" t="s">
        <v>6952</v>
      </c>
      <c r="L2013" s="112">
        <v>51</v>
      </c>
      <c r="M2013" s="112">
        <v>56</v>
      </c>
      <c r="N2013" s="112">
        <v>-5</v>
      </c>
      <c r="O2013" s="100"/>
      <c r="P2013" s="100"/>
      <c r="Q2013" s="100"/>
    </row>
    <row r="2014" spans="1:17" s="119" customFormat="1" ht="31.75" customHeight="1">
      <c r="A2014" s="109" t="s">
        <v>7268</v>
      </c>
      <c r="B2014" s="109" t="s">
        <v>7269</v>
      </c>
      <c r="C2014" s="113">
        <v>2017</v>
      </c>
      <c r="D2014" s="112">
        <v>40</v>
      </c>
      <c r="E2014" s="112">
        <v>969</v>
      </c>
      <c r="F2014" s="112">
        <v>408</v>
      </c>
      <c r="G2014" s="112">
        <v>563</v>
      </c>
      <c r="H2014" s="112">
        <v>127</v>
      </c>
      <c r="I2014" s="99" t="s">
        <v>6953</v>
      </c>
      <c r="J2014" s="99" t="s">
        <v>6953</v>
      </c>
      <c r="K2014" s="99" t="s">
        <v>6953</v>
      </c>
      <c r="L2014" s="112">
        <v>50</v>
      </c>
      <c r="M2014" s="112">
        <v>49</v>
      </c>
      <c r="N2014" s="112">
        <v>1</v>
      </c>
      <c r="O2014" s="100"/>
      <c r="P2014" s="100"/>
      <c r="Q2014" s="100"/>
    </row>
    <row r="2015" spans="1:17" s="119" customFormat="1" ht="31.75" customHeight="1">
      <c r="A2015" s="109" t="s">
        <v>7268</v>
      </c>
      <c r="B2015" s="109" t="s">
        <v>7269</v>
      </c>
      <c r="C2015" s="113">
        <v>2018</v>
      </c>
      <c r="D2015" s="112">
        <v>37</v>
      </c>
      <c r="E2015" s="112">
        <v>1046</v>
      </c>
      <c r="F2015" s="112">
        <v>434</v>
      </c>
      <c r="G2015" s="112">
        <v>620</v>
      </c>
      <c r="H2015" s="112">
        <v>128</v>
      </c>
      <c r="I2015" s="99" t="s">
        <v>6953</v>
      </c>
      <c r="J2015" s="99" t="s">
        <v>6953</v>
      </c>
      <c r="K2015" s="112" t="s">
        <v>6952</v>
      </c>
      <c r="L2015" s="112">
        <v>56</v>
      </c>
      <c r="M2015" s="112">
        <v>51</v>
      </c>
      <c r="N2015" s="112">
        <v>6</v>
      </c>
      <c r="O2015" s="110"/>
      <c r="P2015" s="110"/>
      <c r="Q2015" s="110"/>
    </row>
    <row r="2016" spans="1:17" s="119" customFormat="1" ht="31.75" customHeight="1">
      <c r="A2016" s="109" t="s">
        <v>7268</v>
      </c>
      <c r="B2016" s="109" t="s">
        <v>7269</v>
      </c>
      <c r="C2016" s="113">
        <v>2019</v>
      </c>
      <c r="D2016" s="112">
        <v>36</v>
      </c>
      <c r="E2016" s="112">
        <v>1109.8547799999999</v>
      </c>
      <c r="F2016" s="112">
        <v>440.94421799999998</v>
      </c>
      <c r="G2016" s="112">
        <v>673.55577000000005</v>
      </c>
      <c r="H2016" s="112">
        <v>137.599673</v>
      </c>
      <c r="I2016" s="112" t="s">
        <v>6953</v>
      </c>
      <c r="J2016" s="112" t="s">
        <v>6953</v>
      </c>
      <c r="K2016" s="112" t="s">
        <v>6952</v>
      </c>
      <c r="L2016" s="112">
        <v>58.266393999999998</v>
      </c>
      <c r="M2016" s="112">
        <v>53.735199999999999</v>
      </c>
      <c r="N2016" s="112">
        <v>4.531193</v>
      </c>
      <c r="O2016" s="110"/>
      <c r="P2016" s="110"/>
      <c r="Q2016" s="110"/>
    </row>
    <row r="2017" spans="1:17" s="119" customFormat="1" ht="31.75" customHeight="1">
      <c r="A2017" s="114" t="s">
        <v>7268</v>
      </c>
      <c r="B2017" s="114" t="s">
        <v>7269</v>
      </c>
      <c r="C2017" s="113">
        <v>2020</v>
      </c>
      <c r="D2017" s="112">
        <v>34</v>
      </c>
      <c r="E2017" s="112">
        <v>933.65206000000001</v>
      </c>
      <c r="F2017" s="112">
        <v>417.277038</v>
      </c>
      <c r="G2017" s="112">
        <v>517.08265800000004</v>
      </c>
      <c r="H2017" s="112">
        <v>113.04146900000001</v>
      </c>
      <c r="I2017" s="112">
        <v>18.954104000000001</v>
      </c>
      <c r="J2017" s="112" t="s">
        <v>6953</v>
      </c>
      <c r="K2017" s="112" t="s">
        <v>6953</v>
      </c>
      <c r="L2017" s="112">
        <v>54.108204000000001</v>
      </c>
      <c r="M2017" s="112">
        <v>57.979816</v>
      </c>
      <c r="N2017" s="112">
        <v>-3.8716119999999998</v>
      </c>
      <c r="O2017" s="117"/>
      <c r="P2017" s="117"/>
      <c r="Q2017" s="117"/>
    </row>
    <row r="2018" spans="1:17" s="119" customFormat="1" ht="17.5" customHeight="1">
      <c r="A2018" s="109" t="s">
        <v>7270</v>
      </c>
      <c r="B2018" s="109" t="s">
        <v>7271</v>
      </c>
      <c r="C2018" s="98">
        <v>2008</v>
      </c>
      <c r="D2018" s="99">
        <v>216</v>
      </c>
      <c r="E2018" s="99">
        <v>2735</v>
      </c>
      <c r="F2018" s="99">
        <v>429</v>
      </c>
      <c r="G2018" s="99">
        <v>2238</v>
      </c>
      <c r="H2018" s="99">
        <v>387</v>
      </c>
      <c r="I2018" s="99">
        <v>89</v>
      </c>
      <c r="J2018" s="99">
        <v>107</v>
      </c>
      <c r="K2018" s="99">
        <v>18</v>
      </c>
      <c r="L2018" s="99">
        <v>73</v>
      </c>
      <c r="M2018" s="99">
        <v>72</v>
      </c>
      <c r="N2018" s="99">
        <v>1</v>
      </c>
      <c r="O2018" s="117"/>
      <c r="P2018" s="117"/>
      <c r="Q2018" s="117"/>
    </row>
    <row r="2019" spans="1:17" s="119" customFormat="1" ht="17.5" customHeight="1">
      <c r="A2019" s="109" t="s">
        <v>7270</v>
      </c>
      <c r="B2019" s="109" t="s">
        <v>7271</v>
      </c>
      <c r="C2019" s="98">
        <v>2009</v>
      </c>
      <c r="D2019" s="99">
        <v>214</v>
      </c>
      <c r="E2019" s="99">
        <v>2159</v>
      </c>
      <c r="F2019" s="99">
        <v>273</v>
      </c>
      <c r="G2019" s="99">
        <v>1825</v>
      </c>
      <c r="H2019" s="99">
        <v>391</v>
      </c>
      <c r="I2019" s="99">
        <v>71</v>
      </c>
      <c r="J2019" s="99">
        <v>91</v>
      </c>
      <c r="K2019" s="99">
        <v>21</v>
      </c>
      <c r="L2019" s="99">
        <v>75</v>
      </c>
      <c r="M2019" s="99" t="s">
        <v>6953</v>
      </c>
      <c r="N2019" s="99" t="s">
        <v>6953</v>
      </c>
      <c r="O2019" s="117"/>
      <c r="P2019" s="117"/>
      <c r="Q2019" s="117"/>
    </row>
    <row r="2020" spans="1:17" s="119" customFormat="1" ht="17.5" customHeight="1">
      <c r="A2020" s="109" t="s">
        <v>7270</v>
      </c>
      <c r="B2020" s="109" t="s">
        <v>7271</v>
      </c>
      <c r="C2020" s="98">
        <v>2010</v>
      </c>
      <c r="D2020" s="99">
        <v>200</v>
      </c>
      <c r="E2020" s="99">
        <v>2165</v>
      </c>
      <c r="F2020" s="99">
        <v>348</v>
      </c>
      <c r="G2020" s="99">
        <v>1717</v>
      </c>
      <c r="H2020" s="99">
        <v>363</v>
      </c>
      <c r="I2020" s="99">
        <v>64</v>
      </c>
      <c r="J2020" s="99">
        <v>83</v>
      </c>
      <c r="K2020" s="99">
        <v>19</v>
      </c>
      <c r="L2020" s="99">
        <v>128</v>
      </c>
      <c r="M2020" s="99">
        <v>136</v>
      </c>
      <c r="N2020" s="99">
        <v>-9</v>
      </c>
      <c r="O2020" s="117"/>
      <c r="P2020" s="117"/>
      <c r="Q2020" s="117"/>
    </row>
    <row r="2021" spans="1:17" s="119" customFormat="1" ht="17.5" customHeight="1">
      <c r="A2021" s="109" t="s">
        <v>7270</v>
      </c>
      <c r="B2021" s="109" t="s">
        <v>7271</v>
      </c>
      <c r="C2021" s="98">
        <v>2011</v>
      </c>
      <c r="D2021" s="99" t="s">
        <v>6953</v>
      </c>
      <c r="E2021" s="99" t="s">
        <v>6953</v>
      </c>
      <c r="F2021" s="99" t="s">
        <v>6953</v>
      </c>
      <c r="G2021" s="99" t="s">
        <v>6953</v>
      </c>
      <c r="H2021" s="99" t="s">
        <v>6953</v>
      </c>
      <c r="I2021" s="99" t="s">
        <v>6953</v>
      </c>
      <c r="J2021" s="99" t="s">
        <v>6953</v>
      </c>
      <c r="K2021" s="99" t="s">
        <v>6953</v>
      </c>
      <c r="L2021" s="99" t="s">
        <v>6953</v>
      </c>
      <c r="M2021" s="99" t="s">
        <v>6953</v>
      </c>
      <c r="N2021" s="99" t="s">
        <v>6953</v>
      </c>
      <c r="O2021" s="110"/>
      <c r="P2021" s="110"/>
      <c r="Q2021" s="110"/>
    </row>
    <row r="2022" spans="1:17" s="119" customFormat="1" ht="17.5" customHeight="1">
      <c r="A2022" s="109" t="s">
        <v>7270</v>
      </c>
      <c r="B2022" s="109" t="s">
        <v>7271</v>
      </c>
      <c r="C2022" s="111">
        <v>2012</v>
      </c>
      <c r="D2022" s="112">
        <v>192</v>
      </c>
      <c r="E2022" s="112">
        <v>2201</v>
      </c>
      <c r="F2022" s="112">
        <v>279</v>
      </c>
      <c r="G2022" s="112">
        <v>1840</v>
      </c>
      <c r="H2022" s="112">
        <v>374</v>
      </c>
      <c r="I2022" s="99" t="s">
        <v>6953</v>
      </c>
      <c r="J2022" s="112">
        <v>80</v>
      </c>
      <c r="K2022" s="99" t="s">
        <v>6953</v>
      </c>
      <c r="L2022" s="112">
        <v>127</v>
      </c>
      <c r="M2022" s="112">
        <v>126</v>
      </c>
      <c r="N2022" s="112">
        <v>1</v>
      </c>
      <c r="O2022" s="110"/>
      <c r="P2022" s="110"/>
      <c r="Q2022" s="110"/>
    </row>
    <row r="2023" spans="1:17" s="119" customFormat="1" ht="17.5" customHeight="1">
      <c r="A2023" s="109" t="s">
        <v>7270</v>
      </c>
      <c r="B2023" s="109" t="s">
        <v>7271</v>
      </c>
      <c r="C2023" s="113">
        <v>2013</v>
      </c>
      <c r="D2023" s="99" t="s">
        <v>6953</v>
      </c>
      <c r="E2023" s="99" t="s">
        <v>6953</v>
      </c>
      <c r="F2023" s="99" t="s">
        <v>6953</v>
      </c>
      <c r="G2023" s="99" t="s">
        <v>6953</v>
      </c>
      <c r="H2023" s="99" t="s">
        <v>6953</v>
      </c>
      <c r="I2023" s="99" t="s">
        <v>6953</v>
      </c>
      <c r="J2023" s="99" t="s">
        <v>6953</v>
      </c>
      <c r="K2023" s="99" t="s">
        <v>6953</v>
      </c>
      <c r="L2023" s="99" t="s">
        <v>6953</v>
      </c>
      <c r="M2023" s="99" t="s">
        <v>6953</v>
      </c>
      <c r="N2023" s="99" t="s">
        <v>6953</v>
      </c>
      <c r="O2023" s="100"/>
      <c r="P2023" s="100"/>
      <c r="Q2023" s="100"/>
    </row>
    <row r="2024" spans="1:17" s="119" customFormat="1" ht="17.5" customHeight="1">
      <c r="A2024" s="109" t="s">
        <v>7270</v>
      </c>
      <c r="B2024" s="109" t="s">
        <v>7271</v>
      </c>
      <c r="C2024" s="113">
        <v>2014</v>
      </c>
      <c r="D2024" s="99">
        <v>207</v>
      </c>
      <c r="E2024" s="99">
        <v>1506</v>
      </c>
      <c r="F2024" s="99">
        <v>109</v>
      </c>
      <c r="G2024" s="99">
        <v>1351</v>
      </c>
      <c r="H2024" s="99">
        <v>190</v>
      </c>
      <c r="I2024" s="99">
        <v>79</v>
      </c>
      <c r="J2024" s="99" t="s">
        <v>6953</v>
      </c>
      <c r="K2024" s="99" t="s">
        <v>6953</v>
      </c>
      <c r="L2024" s="99" t="s">
        <v>6953</v>
      </c>
      <c r="M2024" s="99" t="s">
        <v>6953</v>
      </c>
      <c r="N2024" s="99" t="s">
        <v>6953</v>
      </c>
      <c r="O2024" s="110"/>
      <c r="P2024" s="110"/>
      <c r="Q2024" s="110"/>
    </row>
    <row r="2025" spans="1:17" s="119" customFormat="1" ht="17.5" customHeight="1">
      <c r="A2025" s="109" t="s">
        <v>7270</v>
      </c>
      <c r="B2025" s="109" t="s">
        <v>7271</v>
      </c>
      <c r="C2025" s="113">
        <v>2015</v>
      </c>
      <c r="D2025" s="112">
        <v>213</v>
      </c>
      <c r="E2025" s="112">
        <v>3834</v>
      </c>
      <c r="F2025" s="112">
        <v>1064</v>
      </c>
      <c r="G2025" s="112">
        <v>2745</v>
      </c>
      <c r="H2025" s="112">
        <v>358</v>
      </c>
      <c r="I2025" s="112">
        <v>107</v>
      </c>
      <c r="J2025" s="112">
        <v>197</v>
      </c>
      <c r="K2025" s="112">
        <v>90</v>
      </c>
      <c r="L2025" s="112">
        <v>159</v>
      </c>
      <c r="M2025" s="112">
        <v>158</v>
      </c>
      <c r="N2025" s="112">
        <v>1</v>
      </c>
      <c r="O2025" s="100"/>
      <c r="P2025" s="100"/>
      <c r="Q2025" s="100"/>
    </row>
    <row r="2026" spans="1:17" s="119" customFormat="1" ht="17.5" customHeight="1">
      <c r="A2026" s="109" t="s">
        <v>7270</v>
      </c>
      <c r="B2026" s="109" t="s">
        <v>7271</v>
      </c>
      <c r="C2026" s="113">
        <v>2016</v>
      </c>
      <c r="D2026" s="112">
        <v>241</v>
      </c>
      <c r="E2026" s="112">
        <v>3539</v>
      </c>
      <c r="F2026" s="112">
        <v>982</v>
      </c>
      <c r="G2026" s="112">
        <v>2549</v>
      </c>
      <c r="H2026" s="112">
        <v>391</v>
      </c>
      <c r="I2026" s="112">
        <v>101</v>
      </c>
      <c r="J2026" s="112">
        <v>138</v>
      </c>
      <c r="K2026" s="112">
        <v>37</v>
      </c>
      <c r="L2026" s="112">
        <v>155</v>
      </c>
      <c r="M2026" s="112">
        <v>130</v>
      </c>
      <c r="N2026" s="112">
        <v>25</v>
      </c>
      <c r="O2026" s="100"/>
      <c r="P2026" s="100"/>
      <c r="Q2026" s="100"/>
    </row>
    <row r="2027" spans="1:17" s="119" customFormat="1" ht="17.5" customHeight="1">
      <c r="A2027" s="109" t="s">
        <v>7270</v>
      </c>
      <c r="B2027" s="109" t="s">
        <v>7271</v>
      </c>
      <c r="C2027" s="113">
        <v>2017</v>
      </c>
      <c r="D2027" s="112">
        <v>249</v>
      </c>
      <c r="E2027" s="112">
        <v>3198</v>
      </c>
      <c r="F2027" s="112">
        <v>802</v>
      </c>
      <c r="G2027" s="112">
        <v>2295</v>
      </c>
      <c r="H2027" s="112">
        <v>350</v>
      </c>
      <c r="I2027" s="112">
        <v>92</v>
      </c>
      <c r="J2027" s="112">
        <v>123</v>
      </c>
      <c r="K2027" s="112">
        <v>31</v>
      </c>
      <c r="L2027" s="112">
        <v>135</v>
      </c>
      <c r="M2027" s="112">
        <v>127</v>
      </c>
      <c r="N2027" s="112">
        <v>8</v>
      </c>
      <c r="O2027" s="110"/>
      <c r="P2027" s="110"/>
      <c r="Q2027" s="110"/>
    </row>
    <row r="2028" spans="1:17" s="119" customFormat="1" ht="17.5" customHeight="1">
      <c r="A2028" s="109" t="s">
        <v>7270</v>
      </c>
      <c r="B2028" s="109" t="s">
        <v>7271</v>
      </c>
      <c r="C2028" s="113">
        <v>2018</v>
      </c>
      <c r="D2028" s="112">
        <v>264</v>
      </c>
      <c r="E2028" s="112">
        <v>3322</v>
      </c>
      <c r="F2028" s="112">
        <v>914</v>
      </c>
      <c r="G2028" s="112">
        <v>2377</v>
      </c>
      <c r="H2028" s="112">
        <v>350</v>
      </c>
      <c r="I2028" s="112">
        <v>58</v>
      </c>
      <c r="J2028" s="112">
        <v>87</v>
      </c>
      <c r="K2028" s="112">
        <v>29</v>
      </c>
      <c r="L2028" s="112">
        <v>144</v>
      </c>
      <c r="M2028" s="112">
        <v>136</v>
      </c>
      <c r="N2028" s="112">
        <v>8</v>
      </c>
      <c r="O2028" s="110"/>
      <c r="P2028" s="110"/>
      <c r="Q2028" s="110"/>
    </row>
    <row r="2029" spans="1:17" s="119" customFormat="1" ht="17.5" customHeight="1">
      <c r="A2029" s="109" t="s">
        <v>7270</v>
      </c>
      <c r="B2029" s="109" t="s">
        <v>7271</v>
      </c>
      <c r="C2029" s="113">
        <v>2019</v>
      </c>
      <c r="D2029" s="112">
        <v>284</v>
      </c>
      <c r="E2029" s="112">
        <v>3475.427522</v>
      </c>
      <c r="F2029" s="112">
        <v>872.87288999999998</v>
      </c>
      <c r="G2029" s="112">
        <v>2563.21956</v>
      </c>
      <c r="H2029" s="112">
        <v>387.11532199999999</v>
      </c>
      <c r="I2029" s="112">
        <v>77.724857999999998</v>
      </c>
      <c r="J2029" s="112">
        <v>105.951948</v>
      </c>
      <c r="K2029" s="112">
        <v>28.22709</v>
      </c>
      <c r="L2029" s="112">
        <v>160.948387</v>
      </c>
      <c r="M2029" s="112">
        <v>165.25732600000001</v>
      </c>
      <c r="N2029" s="112">
        <v>-4.3089389999999996</v>
      </c>
      <c r="O2029" s="117"/>
      <c r="P2029" s="117"/>
      <c r="Q2029" s="117"/>
    </row>
    <row r="2030" spans="1:17" s="119" customFormat="1" ht="17.5" customHeight="1">
      <c r="A2030" s="114" t="s">
        <v>7270</v>
      </c>
      <c r="B2030" s="114" t="s">
        <v>7271</v>
      </c>
      <c r="C2030" s="113">
        <v>2020</v>
      </c>
      <c r="D2030" s="112">
        <v>293</v>
      </c>
      <c r="E2030" s="112">
        <v>3370.5396740000001</v>
      </c>
      <c r="F2030" s="112">
        <v>818.85972500000003</v>
      </c>
      <c r="G2030" s="112">
        <v>2542.6852720000002</v>
      </c>
      <c r="H2030" s="112">
        <v>409.11414500000001</v>
      </c>
      <c r="I2030" s="112">
        <v>68.276420000000002</v>
      </c>
      <c r="J2030" s="112">
        <v>73.198453999999998</v>
      </c>
      <c r="K2030" s="112">
        <v>4.9220350000000002</v>
      </c>
      <c r="L2030" s="112">
        <v>131.559899</v>
      </c>
      <c r="M2030" s="112">
        <v>149.76792499999999</v>
      </c>
      <c r="N2030" s="112">
        <v>-18.208026</v>
      </c>
      <c r="O2030" s="117"/>
      <c r="P2030" s="117"/>
      <c r="Q2030" s="117"/>
    </row>
    <row r="2031" spans="1:17" s="119" customFormat="1" ht="17.5" customHeight="1">
      <c r="A2031" s="109" t="s">
        <v>7272</v>
      </c>
      <c r="B2031" s="109" t="s">
        <v>7273</v>
      </c>
      <c r="C2031" s="98">
        <v>2008</v>
      </c>
      <c r="D2031" s="99">
        <v>4</v>
      </c>
      <c r="E2031" s="99">
        <v>48</v>
      </c>
      <c r="F2031" s="99" t="s">
        <v>6953</v>
      </c>
      <c r="G2031" s="99" t="s">
        <v>6953</v>
      </c>
      <c r="H2031" s="99">
        <v>8</v>
      </c>
      <c r="I2031" s="99" t="s">
        <v>6953</v>
      </c>
      <c r="J2031" s="99" t="s">
        <v>6953</v>
      </c>
      <c r="K2031" s="99" t="s">
        <v>6953</v>
      </c>
      <c r="L2031" s="99">
        <v>1</v>
      </c>
      <c r="M2031" s="99">
        <v>1</v>
      </c>
      <c r="N2031" s="99" t="s">
        <v>6952</v>
      </c>
      <c r="O2031" s="117"/>
      <c r="P2031" s="117"/>
      <c r="Q2031" s="117"/>
    </row>
    <row r="2032" spans="1:17" s="119" customFormat="1" ht="17.5" customHeight="1">
      <c r="A2032" s="109" t="s">
        <v>7272</v>
      </c>
      <c r="B2032" s="109" t="s">
        <v>7273</v>
      </c>
      <c r="C2032" s="98">
        <v>2009</v>
      </c>
      <c r="D2032" s="99">
        <v>8</v>
      </c>
      <c r="E2032" s="99">
        <v>33</v>
      </c>
      <c r="F2032" s="99">
        <v>9</v>
      </c>
      <c r="G2032" s="99">
        <v>23</v>
      </c>
      <c r="H2032" s="99">
        <v>6</v>
      </c>
      <c r="I2032" s="99" t="s">
        <v>6953</v>
      </c>
      <c r="J2032" s="99" t="s">
        <v>6952</v>
      </c>
      <c r="K2032" s="99" t="s">
        <v>6953</v>
      </c>
      <c r="L2032" s="99">
        <v>1</v>
      </c>
      <c r="M2032" s="99" t="s">
        <v>6953</v>
      </c>
      <c r="N2032" s="112" t="s">
        <v>6953</v>
      </c>
      <c r="O2032" s="117"/>
      <c r="P2032" s="117"/>
      <c r="Q2032" s="117"/>
    </row>
    <row r="2033" spans="1:17" s="119" customFormat="1" ht="17.5" customHeight="1">
      <c r="A2033" s="109" t="s">
        <v>7272</v>
      </c>
      <c r="B2033" s="109" t="s">
        <v>7273</v>
      </c>
      <c r="C2033" s="98">
        <v>2010</v>
      </c>
      <c r="D2033" s="99" t="s">
        <v>6953</v>
      </c>
      <c r="E2033" s="99" t="s">
        <v>6953</v>
      </c>
      <c r="F2033" s="99" t="s">
        <v>6953</v>
      </c>
      <c r="G2033" s="99" t="s">
        <v>6953</v>
      </c>
      <c r="H2033" s="99" t="s">
        <v>6953</v>
      </c>
      <c r="I2033" s="99" t="s">
        <v>6953</v>
      </c>
      <c r="J2033" s="99" t="s">
        <v>6953</v>
      </c>
      <c r="K2033" s="99" t="s">
        <v>6953</v>
      </c>
      <c r="L2033" s="99" t="s">
        <v>6953</v>
      </c>
      <c r="M2033" s="99" t="s">
        <v>6953</v>
      </c>
      <c r="N2033" s="112" t="s">
        <v>6953</v>
      </c>
      <c r="O2033" s="110"/>
      <c r="P2033" s="110"/>
      <c r="Q2033" s="110"/>
    </row>
    <row r="2034" spans="1:17" s="119" customFormat="1" ht="17.5" customHeight="1">
      <c r="A2034" s="109" t="s">
        <v>7272</v>
      </c>
      <c r="B2034" s="109" t="s">
        <v>7273</v>
      </c>
      <c r="C2034" s="98">
        <v>2011</v>
      </c>
      <c r="D2034" s="99" t="s">
        <v>6953</v>
      </c>
      <c r="E2034" s="99" t="s">
        <v>6953</v>
      </c>
      <c r="F2034" s="99" t="s">
        <v>6953</v>
      </c>
      <c r="G2034" s="99" t="s">
        <v>6953</v>
      </c>
      <c r="H2034" s="99" t="s">
        <v>6953</v>
      </c>
      <c r="I2034" s="99" t="s">
        <v>6953</v>
      </c>
      <c r="J2034" s="99" t="s">
        <v>6953</v>
      </c>
      <c r="K2034" s="99" t="s">
        <v>6953</v>
      </c>
      <c r="L2034" s="99" t="s">
        <v>6953</v>
      </c>
      <c r="M2034" s="99" t="s">
        <v>6953</v>
      </c>
      <c r="N2034" s="112" t="s">
        <v>6953</v>
      </c>
      <c r="O2034" s="110"/>
      <c r="P2034" s="110"/>
      <c r="Q2034" s="110"/>
    </row>
    <row r="2035" spans="1:17" s="119" customFormat="1" ht="17.5" customHeight="1">
      <c r="A2035" s="109" t="s">
        <v>7272</v>
      </c>
      <c r="B2035" s="109" t="s">
        <v>7273</v>
      </c>
      <c r="C2035" s="111">
        <v>2012</v>
      </c>
      <c r="D2035" s="99" t="s">
        <v>6953</v>
      </c>
      <c r="E2035" s="99" t="s">
        <v>6953</v>
      </c>
      <c r="F2035" s="99" t="s">
        <v>6953</v>
      </c>
      <c r="G2035" s="99" t="s">
        <v>6953</v>
      </c>
      <c r="H2035" s="99" t="s">
        <v>6953</v>
      </c>
      <c r="I2035" s="99" t="s">
        <v>6953</v>
      </c>
      <c r="J2035" s="99" t="s">
        <v>6953</v>
      </c>
      <c r="K2035" s="99" t="s">
        <v>6953</v>
      </c>
      <c r="L2035" s="99" t="s">
        <v>6953</v>
      </c>
      <c r="M2035" s="99" t="s">
        <v>6953</v>
      </c>
      <c r="N2035" s="112" t="s">
        <v>6953</v>
      </c>
      <c r="O2035" s="100"/>
      <c r="P2035" s="100"/>
      <c r="Q2035" s="100"/>
    </row>
    <row r="2036" spans="1:17" s="119" customFormat="1" ht="17.5" customHeight="1">
      <c r="A2036" s="109" t="s">
        <v>7272</v>
      </c>
      <c r="B2036" s="109" t="s">
        <v>7273</v>
      </c>
      <c r="C2036" s="113">
        <v>2013</v>
      </c>
      <c r="D2036" s="99" t="s">
        <v>6953</v>
      </c>
      <c r="E2036" s="99" t="s">
        <v>6953</v>
      </c>
      <c r="F2036" s="99" t="s">
        <v>6953</v>
      </c>
      <c r="G2036" s="99" t="s">
        <v>6953</v>
      </c>
      <c r="H2036" s="99" t="s">
        <v>6953</v>
      </c>
      <c r="I2036" s="99" t="s">
        <v>6953</v>
      </c>
      <c r="J2036" s="99" t="s">
        <v>6953</v>
      </c>
      <c r="K2036" s="99" t="s">
        <v>6953</v>
      </c>
      <c r="L2036" s="99" t="s">
        <v>6953</v>
      </c>
      <c r="M2036" s="99" t="s">
        <v>6953</v>
      </c>
      <c r="N2036" s="112" t="s">
        <v>6953</v>
      </c>
      <c r="O2036" s="110"/>
      <c r="P2036" s="110"/>
      <c r="Q2036" s="110"/>
    </row>
    <row r="2037" spans="1:17" s="119" customFormat="1" ht="17.5" customHeight="1">
      <c r="A2037" s="109" t="s">
        <v>7272</v>
      </c>
      <c r="B2037" s="109" t="s">
        <v>7273</v>
      </c>
      <c r="C2037" s="113">
        <v>2014</v>
      </c>
      <c r="D2037" s="99" t="s">
        <v>6953</v>
      </c>
      <c r="E2037" s="99" t="s">
        <v>6953</v>
      </c>
      <c r="F2037" s="99" t="s">
        <v>6953</v>
      </c>
      <c r="G2037" s="99" t="s">
        <v>6953</v>
      </c>
      <c r="H2037" s="99" t="s">
        <v>6953</v>
      </c>
      <c r="I2037" s="99" t="s">
        <v>6953</v>
      </c>
      <c r="J2037" s="99" t="s">
        <v>6953</v>
      </c>
      <c r="K2037" s="99" t="s">
        <v>6953</v>
      </c>
      <c r="L2037" s="99" t="s">
        <v>6953</v>
      </c>
      <c r="M2037" s="99" t="s">
        <v>6953</v>
      </c>
      <c r="N2037" s="112" t="s">
        <v>6953</v>
      </c>
      <c r="O2037" s="100"/>
      <c r="P2037" s="100"/>
      <c r="Q2037" s="100"/>
    </row>
    <row r="2038" spans="1:17" s="119" customFormat="1" ht="17.5" customHeight="1">
      <c r="A2038" s="109" t="s">
        <v>7272</v>
      </c>
      <c r="B2038" s="109" t="s">
        <v>7273</v>
      </c>
      <c r="C2038" s="113">
        <v>2015</v>
      </c>
      <c r="D2038" s="99" t="s">
        <v>6953</v>
      </c>
      <c r="E2038" s="99" t="s">
        <v>6953</v>
      </c>
      <c r="F2038" s="99" t="s">
        <v>6953</v>
      </c>
      <c r="G2038" s="99" t="s">
        <v>6953</v>
      </c>
      <c r="H2038" s="99" t="s">
        <v>6953</v>
      </c>
      <c r="I2038" s="99" t="s">
        <v>6953</v>
      </c>
      <c r="J2038" s="99" t="s">
        <v>6953</v>
      </c>
      <c r="K2038" s="99" t="s">
        <v>6953</v>
      </c>
      <c r="L2038" s="99" t="s">
        <v>6953</v>
      </c>
      <c r="M2038" s="99" t="s">
        <v>6953</v>
      </c>
      <c r="N2038" s="112" t="s">
        <v>6953</v>
      </c>
      <c r="O2038" s="100"/>
      <c r="P2038" s="100"/>
      <c r="Q2038" s="100"/>
    </row>
    <row r="2039" spans="1:17" s="119" customFormat="1" ht="17.5" customHeight="1">
      <c r="A2039" s="109" t="s">
        <v>7272</v>
      </c>
      <c r="B2039" s="109" t="s">
        <v>7273</v>
      </c>
      <c r="C2039" s="113">
        <v>2016</v>
      </c>
      <c r="D2039" s="112">
        <v>7</v>
      </c>
      <c r="E2039" s="112">
        <v>127</v>
      </c>
      <c r="F2039" s="112">
        <v>50</v>
      </c>
      <c r="G2039" s="112">
        <v>77</v>
      </c>
      <c r="H2039" s="112">
        <v>18</v>
      </c>
      <c r="I2039" s="112">
        <v>11</v>
      </c>
      <c r="J2039" s="112">
        <v>11</v>
      </c>
      <c r="K2039" s="112" t="s">
        <v>6952</v>
      </c>
      <c r="L2039" s="112">
        <v>3</v>
      </c>
      <c r="M2039" s="112">
        <v>3</v>
      </c>
      <c r="N2039" s="112">
        <v>1</v>
      </c>
      <c r="O2039" s="110"/>
      <c r="P2039" s="110"/>
      <c r="Q2039" s="110"/>
    </row>
    <row r="2040" spans="1:17" s="119" customFormat="1" ht="17.5" customHeight="1">
      <c r="A2040" s="109" t="s">
        <v>7272</v>
      </c>
      <c r="B2040" s="109" t="s">
        <v>7273</v>
      </c>
      <c r="C2040" s="113">
        <v>2017</v>
      </c>
      <c r="D2040" s="99" t="s">
        <v>6953</v>
      </c>
      <c r="E2040" s="99" t="s">
        <v>6953</v>
      </c>
      <c r="F2040" s="99" t="s">
        <v>6953</v>
      </c>
      <c r="G2040" s="99" t="s">
        <v>6953</v>
      </c>
      <c r="H2040" s="99" t="s">
        <v>6953</v>
      </c>
      <c r="I2040" s="99" t="s">
        <v>6953</v>
      </c>
      <c r="J2040" s="112" t="s">
        <v>6953</v>
      </c>
      <c r="K2040" s="99" t="s">
        <v>6953</v>
      </c>
      <c r="L2040" s="99" t="s">
        <v>6953</v>
      </c>
      <c r="M2040" s="112" t="s">
        <v>6953</v>
      </c>
      <c r="N2040" s="112" t="s">
        <v>6953</v>
      </c>
      <c r="O2040" s="110"/>
      <c r="P2040" s="110"/>
      <c r="Q2040" s="110"/>
    </row>
    <row r="2041" spans="1:17" s="119" customFormat="1" ht="17.5" customHeight="1">
      <c r="A2041" s="109" t="s">
        <v>7272</v>
      </c>
      <c r="B2041" s="109" t="s">
        <v>7273</v>
      </c>
      <c r="C2041" s="113">
        <v>2018</v>
      </c>
      <c r="D2041" s="99" t="s">
        <v>6953</v>
      </c>
      <c r="E2041" s="99" t="s">
        <v>6953</v>
      </c>
      <c r="F2041" s="99" t="s">
        <v>6953</v>
      </c>
      <c r="G2041" s="99" t="s">
        <v>6953</v>
      </c>
      <c r="H2041" s="99" t="s">
        <v>6953</v>
      </c>
      <c r="I2041" s="99" t="s">
        <v>6953</v>
      </c>
      <c r="J2041" s="112" t="s">
        <v>6953</v>
      </c>
      <c r="K2041" s="99" t="s">
        <v>6953</v>
      </c>
      <c r="L2041" s="99" t="s">
        <v>6953</v>
      </c>
      <c r="M2041" s="112" t="s">
        <v>6953</v>
      </c>
      <c r="N2041" s="112" t="s">
        <v>6953</v>
      </c>
      <c r="O2041" s="117"/>
      <c r="P2041" s="117"/>
      <c r="Q2041" s="117"/>
    </row>
    <row r="2042" spans="1:17" s="119" customFormat="1" ht="17.5" customHeight="1">
      <c r="A2042" s="109" t="s">
        <v>7272</v>
      </c>
      <c r="B2042" s="109" t="s">
        <v>7273</v>
      </c>
      <c r="C2042" s="113">
        <v>2019</v>
      </c>
      <c r="D2042" s="112" t="s">
        <v>6953</v>
      </c>
      <c r="E2042" s="112" t="s">
        <v>6953</v>
      </c>
      <c r="F2042" s="112" t="s">
        <v>6953</v>
      </c>
      <c r="G2042" s="112" t="s">
        <v>6953</v>
      </c>
      <c r="H2042" s="112" t="s">
        <v>6953</v>
      </c>
      <c r="I2042" s="112" t="s">
        <v>6953</v>
      </c>
      <c r="J2042" s="112" t="s">
        <v>6953</v>
      </c>
      <c r="K2042" s="112" t="s">
        <v>6953</v>
      </c>
      <c r="L2042" s="112" t="s">
        <v>6953</v>
      </c>
      <c r="M2042" s="112" t="s">
        <v>6953</v>
      </c>
      <c r="N2042" s="112" t="s">
        <v>6953</v>
      </c>
      <c r="O2042" s="117"/>
      <c r="P2042" s="117"/>
      <c r="Q2042" s="117"/>
    </row>
    <row r="2043" spans="1:17" s="119" customFormat="1" ht="17.5" customHeight="1">
      <c r="A2043" s="114" t="s">
        <v>7272</v>
      </c>
      <c r="B2043" s="114" t="s">
        <v>7273</v>
      </c>
      <c r="C2043" s="113">
        <v>2020</v>
      </c>
      <c r="D2043" s="112" t="s">
        <v>6953</v>
      </c>
      <c r="E2043" s="112" t="s">
        <v>6953</v>
      </c>
      <c r="F2043" s="112" t="s">
        <v>6953</v>
      </c>
      <c r="G2043" s="112" t="s">
        <v>6953</v>
      </c>
      <c r="H2043" s="112" t="s">
        <v>6953</v>
      </c>
      <c r="I2043" s="112" t="s">
        <v>6953</v>
      </c>
      <c r="J2043" s="112" t="s">
        <v>6953</v>
      </c>
      <c r="K2043" s="112" t="s">
        <v>6953</v>
      </c>
      <c r="L2043" s="112" t="s">
        <v>6953</v>
      </c>
      <c r="M2043" s="112" t="s">
        <v>6953</v>
      </c>
      <c r="N2043" s="112" t="s">
        <v>6953</v>
      </c>
      <c r="O2043" s="117"/>
      <c r="P2043" s="117"/>
      <c r="Q2043" s="117"/>
    </row>
    <row r="2044" spans="1:17" s="119" customFormat="1" ht="17.5" customHeight="1">
      <c r="A2044" s="109" t="s">
        <v>7274</v>
      </c>
      <c r="B2044" s="109" t="s">
        <v>7275</v>
      </c>
      <c r="C2044" s="98">
        <v>2008</v>
      </c>
      <c r="D2044" s="99">
        <v>9</v>
      </c>
      <c r="E2044" s="99">
        <v>54</v>
      </c>
      <c r="F2044" s="112" t="s">
        <v>6953</v>
      </c>
      <c r="G2044" s="112" t="s">
        <v>6953</v>
      </c>
      <c r="H2044" s="99">
        <v>18</v>
      </c>
      <c r="I2044" s="112" t="s">
        <v>6953</v>
      </c>
      <c r="J2044" s="112" t="s">
        <v>6953</v>
      </c>
      <c r="K2044" s="112" t="s">
        <v>6953</v>
      </c>
      <c r="L2044" s="99">
        <v>11</v>
      </c>
      <c r="M2044" s="99">
        <v>10</v>
      </c>
      <c r="N2044" s="99">
        <v>1</v>
      </c>
      <c r="O2044" s="117"/>
      <c r="P2044" s="117"/>
      <c r="Q2044" s="117"/>
    </row>
    <row r="2045" spans="1:17" s="119" customFormat="1" ht="17.5" customHeight="1">
      <c r="A2045" s="109" t="s">
        <v>7274</v>
      </c>
      <c r="B2045" s="109" t="s">
        <v>7275</v>
      </c>
      <c r="C2045" s="98">
        <v>2009</v>
      </c>
      <c r="D2045" s="99">
        <v>11</v>
      </c>
      <c r="E2045" s="99">
        <v>73</v>
      </c>
      <c r="F2045" s="99">
        <v>34</v>
      </c>
      <c r="G2045" s="99">
        <v>41</v>
      </c>
      <c r="H2045" s="99">
        <v>22</v>
      </c>
      <c r="I2045" s="99">
        <v>2</v>
      </c>
      <c r="J2045" s="99">
        <v>2</v>
      </c>
      <c r="K2045" s="99" t="s">
        <v>6952</v>
      </c>
      <c r="L2045" s="99">
        <v>13</v>
      </c>
      <c r="M2045" s="99">
        <v>12</v>
      </c>
      <c r="N2045" s="99">
        <v>2</v>
      </c>
      <c r="O2045" s="110"/>
      <c r="P2045" s="110"/>
      <c r="Q2045" s="110"/>
    </row>
    <row r="2046" spans="1:17" s="119" customFormat="1" ht="17.5" customHeight="1">
      <c r="A2046" s="109" t="s">
        <v>7274</v>
      </c>
      <c r="B2046" s="109" t="s">
        <v>7275</v>
      </c>
      <c r="C2046" s="98">
        <v>2010</v>
      </c>
      <c r="D2046" s="99">
        <v>10</v>
      </c>
      <c r="E2046" s="99">
        <v>33</v>
      </c>
      <c r="F2046" s="99">
        <v>19</v>
      </c>
      <c r="G2046" s="99">
        <v>14</v>
      </c>
      <c r="H2046" s="99">
        <v>8</v>
      </c>
      <c r="I2046" s="99">
        <v>1</v>
      </c>
      <c r="J2046" s="99">
        <v>1</v>
      </c>
      <c r="K2046" s="99" t="s">
        <v>6952</v>
      </c>
      <c r="L2046" s="99">
        <v>6</v>
      </c>
      <c r="M2046" s="99">
        <v>7</v>
      </c>
      <c r="N2046" s="99" t="s">
        <v>6952</v>
      </c>
      <c r="O2046" s="110"/>
      <c r="P2046" s="110"/>
      <c r="Q2046" s="110"/>
    </row>
    <row r="2047" spans="1:17" s="119" customFormat="1" ht="17.5" customHeight="1">
      <c r="A2047" s="109" t="s">
        <v>7274</v>
      </c>
      <c r="B2047" s="109" t="s">
        <v>7275</v>
      </c>
      <c r="C2047" s="98">
        <v>2011</v>
      </c>
      <c r="D2047" s="99">
        <v>8</v>
      </c>
      <c r="E2047" s="99">
        <v>11</v>
      </c>
      <c r="F2047" s="99">
        <v>2</v>
      </c>
      <c r="G2047" s="99">
        <v>9</v>
      </c>
      <c r="H2047" s="99">
        <v>3</v>
      </c>
      <c r="I2047" s="99" t="s">
        <v>6952</v>
      </c>
      <c r="J2047" s="99" t="s">
        <v>6952</v>
      </c>
      <c r="K2047" s="99" t="s">
        <v>6952</v>
      </c>
      <c r="L2047" s="99">
        <v>1</v>
      </c>
      <c r="M2047" s="99">
        <v>1</v>
      </c>
      <c r="N2047" s="99" t="s">
        <v>6952</v>
      </c>
      <c r="O2047" s="100"/>
      <c r="P2047" s="100"/>
      <c r="Q2047" s="100"/>
    </row>
    <row r="2048" spans="1:17" s="119" customFormat="1" ht="17.5" customHeight="1">
      <c r="A2048" s="109" t="s">
        <v>7274</v>
      </c>
      <c r="B2048" s="109" t="s">
        <v>7275</v>
      </c>
      <c r="C2048" s="111">
        <v>2012</v>
      </c>
      <c r="D2048" s="112" t="s">
        <v>6953</v>
      </c>
      <c r="E2048" s="112" t="s">
        <v>6953</v>
      </c>
      <c r="F2048" s="112" t="s">
        <v>6953</v>
      </c>
      <c r="G2048" s="112" t="s">
        <v>6953</v>
      </c>
      <c r="H2048" s="112" t="s">
        <v>6953</v>
      </c>
      <c r="I2048" s="112" t="s">
        <v>6953</v>
      </c>
      <c r="J2048" s="112" t="s">
        <v>6953</v>
      </c>
      <c r="K2048" s="112" t="s">
        <v>6953</v>
      </c>
      <c r="L2048" s="112" t="s">
        <v>6953</v>
      </c>
      <c r="M2048" s="112" t="s">
        <v>6953</v>
      </c>
      <c r="N2048" s="112" t="s">
        <v>6953</v>
      </c>
      <c r="O2048" s="110"/>
      <c r="P2048" s="110"/>
      <c r="Q2048" s="110"/>
    </row>
    <row r="2049" spans="1:17" s="119" customFormat="1" ht="17.5" customHeight="1">
      <c r="A2049" s="109" t="s">
        <v>7274</v>
      </c>
      <c r="B2049" s="109" t="s">
        <v>7275</v>
      </c>
      <c r="C2049" s="113">
        <v>2013</v>
      </c>
      <c r="D2049" s="112" t="s">
        <v>6953</v>
      </c>
      <c r="E2049" s="112" t="s">
        <v>6953</v>
      </c>
      <c r="F2049" s="112" t="s">
        <v>6953</v>
      </c>
      <c r="G2049" s="112" t="s">
        <v>6953</v>
      </c>
      <c r="H2049" s="112" t="s">
        <v>6953</v>
      </c>
      <c r="I2049" s="112" t="s">
        <v>6953</v>
      </c>
      <c r="J2049" s="112" t="s">
        <v>6953</v>
      </c>
      <c r="K2049" s="112" t="s">
        <v>6953</v>
      </c>
      <c r="L2049" s="112" t="s">
        <v>6953</v>
      </c>
      <c r="M2049" s="112" t="s">
        <v>6953</v>
      </c>
      <c r="N2049" s="112" t="s">
        <v>6953</v>
      </c>
      <c r="O2049" s="100"/>
      <c r="P2049" s="100"/>
      <c r="Q2049" s="100"/>
    </row>
    <row r="2050" spans="1:17" s="119" customFormat="1" ht="17.5" customHeight="1">
      <c r="A2050" s="109" t="s">
        <v>7274</v>
      </c>
      <c r="B2050" s="109" t="s">
        <v>7275</v>
      </c>
      <c r="C2050" s="113">
        <v>2014</v>
      </c>
      <c r="D2050" s="112" t="s">
        <v>6953</v>
      </c>
      <c r="E2050" s="112" t="s">
        <v>6953</v>
      </c>
      <c r="F2050" s="112" t="s">
        <v>6953</v>
      </c>
      <c r="G2050" s="112" t="s">
        <v>6953</v>
      </c>
      <c r="H2050" s="112" t="s">
        <v>6953</v>
      </c>
      <c r="I2050" s="112" t="s">
        <v>6953</v>
      </c>
      <c r="J2050" s="112" t="s">
        <v>6953</v>
      </c>
      <c r="K2050" s="112" t="s">
        <v>6953</v>
      </c>
      <c r="L2050" s="112" t="s">
        <v>6953</v>
      </c>
      <c r="M2050" s="112" t="s">
        <v>6953</v>
      </c>
      <c r="N2050" s="112" t="s">
        <v>6953</v>
      </c>
      <c r="O2050" s="100"/>
      <c r="P2050" s="100"/>
      <c r="Q2050" s="100"/>
    </row>
    <row r="2051" spans="1:17" s="119" customFormat="1" ht="17.5" customHeight="1">
      <c r="A2051" s="109" t="s">
        <v>7274</v>
      </c>
      <c r="B2051" s="109" t="s">
        <v>7275</v>
      </c>
      <c r="C2051" s="113">
        <v>2015</v>
      </c>
      <c r="D2051" s="112" t="s">
        <v>6953</v>
      </c>
      <c r="E2051" s="112" t="s">
        <v>6953</v>
      </c>
      <c r="F2051" s="112" t="s">
        <v>6953</v>
      </c>
      <c r="G2051" s="112" t="s">
        <v>6953</v>
      </c>
      <c r="H2051" s="112" t="s">
        <v>6953</v>
      </c>
      <c r="I2051" s="112" t="s">
        <v>6953</v>
      </c>
      <c r="J2051" s="112" t="s">
        <v>6953</v>
      </c>
      <c r="K2051" s="112" t="s">
        <v>6953</v>
      </c>
      <c r="L2051" s="112" t="s">
        <v>6953</v>
      </c>
      <c r="M2051" s="112" t="s">
        <v>6953</v>
      </c>
      <c r="N2051" s="112" t="s">
        <v>6953</v>
      </c>
      <c r="O2051" s="110"/>
      <c r="P2051" s="110"/>
      <c r="Q2051" s="110"/>
    </row>
    <row r="2052" spans="1:17" s="119" customFormat="1" ht="17.5" customHeight="1">
      <c r="A2052" s="109" t="s">
        <v>7274</v>
      </c>
      <c r="B2052" s="109" t="s">
        <v>7275</v>
      </c>
      <c r="C2052" s="113">
        <v>2016</v>
      </c>
      <c r="D2052" s="112">
        <v>0</v>
      </c>
      <c r="E2052" s="112">
        <v>0</v>
      </c>
      <c r="F2052" s="112">
        <v>0</v>
      </c>
      <c r="G2052" s="112">
        <v>0</v>
      </c>
      <c r="H2052" s="112">
        <v>0</v>
      </c>
      <c r="I2052" s="112">
        <v>0</v>
      </c>
      <c r="J2052" s="112">
        <v>0</v>
      </c>
      <c r="K2052" s="112">
        <v>0</v>
      </c>
      <c r="L2052" s="112">
        <v>0</v>
      </c>
      <c r="M2052" s="112">
        <v>0</v>
      </c>
      <c r="N2052" s="112">
        <v>0</v>
      </c>
      <c r="O2052" s="110"/>
      <c r="P2052" s="110"/>
      <c r="Q2052" s="110"/>
    </row>
    <row r="2053" spans="1:17" s="119" customFormat="1" ht="17.5" customHeight="1">
      <c r="A2053" s="109" t="s">
        <v>7274</v>
      </c>
      <c r="B2053" s="109" t="s">
        <v>7275</v>
      </c>
      <c r="C2053" s="113">
        <v>2017</v>
      </c>
      <c r="D2053" s="112" t="s">
        <v>6953</v>
      </c>
      <c r="E2053" s="112" t="s">
        <v>6953</v>
      </c>
      <c r="F2053" s="112" t="s">
        <v>6953</v>
      </c>
      <c r="G2053" s="112" t="s">
        <v>6953</v>
      </c>
      <c r="H2053" s="112" t="s">
        <v>6953</v>
      </c>
      <c r="I2053" s="112" t="s">
        <v>6953</v>
      </c>
      <c r="J2053" s="112" t="s">
        <v>6953</v>
      </c>
      <c r="K2053" s="112" t="s">
        <v>6953</v>
      </c>
      <c r="L2053" s="112" t="s">
        <v>6953</v>
      </c>
      <c r="M2053" s="112" t="s">
        <v>6953</v>
      </c>
      <c r="N2053" s="112" t="s">
        <v>6953</v>
      </c>
      <c r="O2053" s="117"/>
      <c r="P2053" s="117"/>
      <c r="Q2053" s="117"/>
    </row>
    <row r="2054" spans="1:17" s="119" customFormat="1" ht="17.5" customHeight="1">
      <c r="A2054" s="109" t="s">
        <v>7274</v>
      </c>
      <c r="B2054" s="109" t="s">
        <v>7275</v>
      </c>
      <c r="C2054" s="113">
        <v>2018</v>
      </c>
      <c r="D2054" s="112" t="s">
        <v>6953</v>
      </c>
      <c r="E2054" s="112" t="s">
        <v>6953</v>
      </c>
      <c r="F2054" s="112" t="s">
        <v>6953</v>
      </c>
      <c r="G2054" s="112" t="s">
        <v>6953</v>
      </c>
      <c r="H2054" s="112" t="s">
        <v>6953</v>
      </c>
      <c r="I2054" s="112" t="s">
        <v>6953</v>
      </c>
      <c r="J2054" s="112" t="s">
        <v>6953</v>
      </c>
      <c r="K2054" s="112" t="s">
        <v>6953</v>
      </c>
      <c r="L2054" s="112" t="s">
        <v>6953</v>
      </c>
      <c r="M2054" s="112" t="s">
        <v>6953</v>
      </c>
      <c r="N2054" s="112" t="s">
        <v>6953</v>
      </c>
      <c r="O2054" s="117"/>
      <c r="P2054" s="117"/>
      <c r="Q2054" s="117"/>
    </row>
    <row r="2055" spans="1:17" s="119" customFormat="1" ht="17.5" customHeight="1">
      <c r="A2055" s="109" t="s">
        <v>7274</v>
      </c>
      <c r="B2055" s="109" t="s">
        <v>7275</v>
      </c>
      <c r="C2055" s="113">
        <v>2019</v>
      </c>
      <c r="D2055" s="112" t="s">
        <v>6953</v>
      </c>
      <c r="E2055" s="112" t="s">
        <v>6953</v>
      </c>
      <c r="F2055" s="112" t="s">
        <v>6953</v>
      </c>
      <c r="G2055" s="112" t="s">
        <v>6953</v>
      </c>
      <c r="H2055" s="112" t="s">
        <v>6953</v>
      </c>
      <c r="I2055" s="112" t="s">
        <v>6953</v>
      </c>
      <c r="J2055" s="112" t="s">
        <v>6953</v>
      </c>
      <c r="K2055" s="112" t="s">
        <v>6953</v>
      </c>
      <c r="L2055" s="112" t="s">
        <v>6953</v>
      </c>
      <c r="M2055" s="112" t="s">
        <v>6953</v>
      </c>
      <c r="N2055" s="112" t="s">
        <v>6953</v>
      </c>
      <c r="O2055" s="117"/>
      <c r="P2055" s="117"/>
      <c r="Q2055" s="117"/>
    </row>
    <row r="2056" spans="1:17" s="119" customFormat="1" ht="17.5" customHeight="1">
      <c r="A2056" s="114" t="s">
        <v>7274</v>
      </c>
      <c r="B2056" s="114" t="s">
        <v>7275</v>
      </c>
      <c r="C2056" s="113">
        <v>2020</v>
      </c>
      <c r="D2056" s="112" t="s">
        <v>6953</v>
      </c>
      <c r="E2056" s="112" t="s">
        <v>6953</v>
      </c>
      <c r="F2056" s="112" t="s">
        <v>6953</v>
      </c>
      <c r="G2056" s="112" t="s">
        <v>6953</v>
      </c>
      <c r="H2056" s="112" t="s">
        <v>6953</v>
      </c>
      <c r="I2056" s="112" t="s">
        <v>6953</v>
      </c>
      <c r="J2056" s="112" t="s">
        <v>6953</v>
      </c>
      <c r="K2056" s="112" t="s">
        <v>6953</v>
      </c>
      <c r="L2056" s="112" t="s">
        <v>6953</v>
      </c>
      <c r="M2056" s="112" t="s">
        <v>6953</v>
      </c>
      <c r="N2056" s="112" t="s">
        <v>6953</v>
      </c>
      <c r="O2056" s="117"/>
      <c r="P2056" s="117"/>
      <c r="Q2056" s="117"/>
    </row>
    <row r="2057" spans="1:17" s="119" customFormat="1" ht="31.75" customHeight="1">
      <c r="A2057" s="109" t="s">
        <v>7276</v>
      </c>
      <c r="B2057" s="109" t="s">
        <v>7277</v>
      </c>
      <c r="C2057" s="98">
        <v>2008</v>
      </c>
      <c r="D2057" s="99">
        <v>187</v>
      </c>
      <c r="E2057" s="99">
        <v>72</v>
      </c>
      <c r="F2057" s="99">
        <v>27</v>
      </c>
      <c r="G2057" s="99">
        <v>45</v>
      </c>
      <c r="H2057" s="99">
        <v>18</v>
      </c>
      <c r="I2057" s="99" t="s">
        <v>6952</v>
      </c>
      <c r="J2057" s="99" t="s">
        <v>6952</v>
      </c>
      <c r="K2057" s="99">
        <v>0</v>
      </c>
      <c r="L2057" s="99">
        <v>3</v>
      </c>
      <c r="M2057" s="99">
        <v>3</v>
      </c>
      <c r="N2057" s="99" t="s">
        <v>6952</v>
      </c>
      <c r="O2057" s="110"/>
      <c r="P2057" s="110"/>
      <c r="Q2057" s="110"/>
    </row>
    <row r="2058" spans="1:17" s="119" customFormat="1" ht="31.75" customHeight="1">
      <c r="A2058" s="109" t="s">
        <v>7276</v>
      </c>
      <c r="B2058" s="109" t="s">
        <v>7277</v>
      </c>
      <c r="C2058" s="98">
        <v>2009</v>
      </c>
      <c r="D2058" s="99">
        <v>168</v>
      </c>
      <c r="E2058" s="99">
        <v>70</v>
      </c>
      <c r="F2058" s="99">
        <v>40</v>
      </c>
      <c r="G2058" s="99">
        <v>30</v>
      </c>
      <c r="H2058" s="99">
        <v>16</v>
      </c>
      <c r="I2058" s="99">
        <v>1</v>
      </c>
      <c r="J2058" s="99">
        <v>1</v>
      </c>
      <c r="K2058" s="99" t="s">
        <v>6952</v>
      </c>
      <c r="L2058" s="99">
        <v>4</v>
      </c>
      <c r="M2058" s="99">
        <v>4</v>
      </c>
      <c r="N2058" s="99" t="s">
        <v>6952</v>
      </c>
      <c r="O2058" s="110"/>
      <c r="P2058" s="110"/>
      <c r="Q2058" s="110"/>
    </row>
    <row r="2059" spans="1:17" s="119" customFormat="1" ht="31.75" customHeight="1">
      <c r="A2059" s="109" t="s">
        <v>7276</v>
      </c>
      <c r="B2059" s="109" t="s">
        <v>7277</v>
      </c>
      <c r="C2059" s="98">
        <v>2010</v>
      </c>
      <c r="D2059" s="99">
        <v>149</v>
      </c>
      <c r="E2059" s="99">
        <v>87</v>
      </c>
      <c r="F2059" s="99">
        <v>37</v>
      </c>
      <c r="G2059" s="99">
        <v>49</v>
      </c>
      <c r="H2059" s="99">
        <v>22</v>
      </c>
      <c r="I2059" s="99">
        <v>1</v>
      </c>
      <c r="J2059" s="99">
        <v>1</v>
      </c>
      <c r="K2059" s="99" t="s">
        <v>6952</v>
      </c>
      <c r="L2059" s="99">
        <v>4</v>
      </c>
      <c r="M2059" s="99">
        <v>6</v>
      </c>
      <c r="N2059" s="99">
        <v>-2</v>
      </c>
      <c r="O2059" s="100"/>
      <c r="P2059" s="100"/>
      <c r="Q2059" s="100"/>
    </row>
    <row r="2060" spans="1:17" s="119" customFormat="1" ht="31.75" customHeight="1">
      <c r="A2060" s="109" t="s">
        <v>7276</v>
      </c>
      <c r="B2060" s="109" t="s">
        <v>7277</v>
      </c>
      <c r="C2060" s="98">
        <v>2011</v>
      </c>
      <c r="D2060" s="99">
        <v>147</v>
      </c>
      <c r="E2060" s="99">
        <v>101</v>
      </c>
      <c r="F2060" s="99">
        <v>42</v>
      </c>
      <c r="G2060" s="99">
        <v>58</v>
      </c>
      <c r="H2060" s="99">
        <v>23</v>
      </c>
      <c r="I2060" s="99">
        <v>2</v>
      </c>
      <c r="J2060" s="99">
        <v>2</v>
      </c>
      <c r="K2060" s="99" t="s">
        <v>6952</v>
      </c>
      <c r="L2060" s="99">
        <v>8</v>
      </c>
      <c r="M2060" s="99">
        <v>9</v>
      </c>
      <c r="N2060" s="99">
        <v>-1</v>
      </c>
      <c r="O2060" s="110"/>
      <c r="P2060" s="110"/>
      <c r="Q2060" s="110"/>
    </row>
    <row r="2061" spans="1:17" s="119" customFormat="1" ht="31.75" customHeight="1">
      <c r="A2061" s="109" t="s">
        <v>7276</v>
      </c>
      <c r="B2061" s="109" t="s">
        <v>7277</v>
      </c>
      <c r="C2061" s="111">
        <v>2012</v>
      </c>
      <c r="D2061" s="112">
        <v>129</v>
      </c>
      <c r="E2061" s="112">
        <v>93</v>
      </c>
      <c r="F2061" s="112">
        <v>35</v>
      </c>
      <c r="G2061" s="112">
        <v>59</v>
      </c>
      <c r="H2061" s="112">
        <v>25</v>
      </c>
      <c r="I2061" s="112">
        <v>3</v>
      </c>
      <c r="J2061" s="112">
        <v>4</v>
      </c>
      <c r="K2061" s="99" t="s">
        <v>6952</v>
      </c>
      <c r="L2061" s="112">
        <v>7</v>
      </c>
      <c r="M2061" s="112">
        <v>6</v>
      </c>
      <c r="N2061" s="112" t="s">
        <v>6952</v>
      </c>
      <c r="O2061" s="100"/>
      <c r="P2061" s="100"/>
      <c r="Q2061" s="100"/>
    </row>
    <row r="2062" spans="1:17" s="119" customFormat="1" ht="31.75" customHeight="1">
      <c r="A2062" s="109" t="s">
        <v>7276</v>
      </c>
      <c r="B2062" s="109" t="s">
        <v>7277</v>
      </c>
      <c r="C2062" s="113">
        <v>2013</v>
      </c>
      <c r="D2062" s="112">
        <v>120</v>
      </c>
      <c r="E2062" s="112">
        <v>103</v>
      </c>
      <c r="F2062" s="112">
        <v>49</v>
      </c>
      <c r="G2062" s="112">
        <v>56</v>
      </c>
      <c r="H2062" s="112">
        <v>32</v>
      </c>
      <c r="I2062" s="112">
        <v>6</v>
      </c>
      <c r="J2062" s="112">
        <v>6</v>
      </c>
      <c r="K2062" s="99" t="s">
        <v>6952</v>
      </c>
      <c r="L2062" s="112">
        <v>7</v>
      </c>
      <c r="M2062" s="112">
        <v>6</v>
      </c>
      <c r="N2062" s="112" t="s">
        <v>6952</v>
      </c>
      <c r="O2062" s="100"/>
      <c r="P2062" s="100"/>
      <c r="Q2062" s="100"/>
    </row>
    <row r="2063" spans="1:17" s="119" customFormat="1" ht="31.75" customHeight="1">
      <c r="A2063" s="109" t="s">
        <v>7276</v>
      </c>
      <c r="B2063" s="109" t="s">
        <v>7277</v>
      </c>
      <c r="C2063" s="113">
        <v>2014</v>
      </c>
      <c r="D2063" s="99">
        <v>113</v>
      </c>
      <c r="E2063" s="99">
        <v>112</v>
      </c>
      <c r="F2063" s="99">
        <v>49</v>
      </c>
      <c r="G2063" s="99">
        <v>63</v>
      </c>
      <c r="H2063" s="99">
        <v>27</v>
      </c>
      <c r="I2063" s="99">
        <v>6</v>
      </c>
      <c r="J2063" s="99">
        <v>9</v>
      </c>
      <c r="K2063" s="99">
        <v>2</v>
      </c>
      <c r="L2063" s="99">
        <v>5</v>
      </c>
      <c r="M2063" s="99">
        <v>5</v>
      </c>
      <c r="N2063" s="112" t="s">
        <v>6952</v>
      </c>
      <c r="O2063" s="110"/>
      <c r="P2063" s="110"/>
      <c r="Q2063" s="110"/>
    </row>
    <row r="2064" spans="1:17" s="119" customFormat="1" ht="31.75" customHeight="1">
      <c r="A2064" s="109" t="s">
        <v>7276</v>
      </c>
      <c r="B2064" s="109" t="s">
        <v>7277</v>
      </c>
      <c r="C2064" s="113">
        <v>2015</v>
      </c>
      <c r="D2064" s="112">
        <v>110</v>
      </c>
      <c r="E2064" s="112">
        <v>145</v>
      </c>
      <c r="F2064" s="112">
        <v>38</v>
      </c>
      <c r="G2064" s="112">
        <v>108</v>
      </c>
      <c r="H2064" s="112">
        <v>28</v>
      </c>
      <c r="I2064" s="112">
        <v>3</v>
      </c>
      <c r="J2064" s="112">
        <v>4</v>
      </c>
      <c r="K2064" s="112">
        <v>1</v>
      </c>
      <c r="L2064" s="112">
        <v>5</v>
      </c>
      <c r="M2064" s="112">
        <v>4</v>
      </c>
      <c r="N2064" s="112" t="s">
        <v>6952</v>
      </c>
      <c r="O2064" s="110"/>
      <c r="P2064" s="110"/>
      <c r="Q2064" s="110"/>
    </row>
    <row r="2065" spans="1:17" s="119" customFormat="1" ht="31.75" customHeight="1">
      <c r="A2065" s="109" t="s">
        <v>7276</v>
      </c>
      <c r="B2065" s="109" t="s">
        <v>7277</v>
      </c>
      <c r="C2065" s="113">
        <v>2016</v>
      </c>
      <c r="D2065" s="112">
        <v>106</v>
      </c>
      <c r="E2065" s="112">
        <v>126</v>
      </c>
      <c r="F2065" s="112">
        <v>50</v>
      </c>
      <c r="G2065" s="112">
        <v>77</v>
      </c>
      <c r="H2065" s="112">
        <v>42</v>
      </c>
      <c r="I2065" s="112">
        <v>5</v>
      </c>
      <c r="J2065" s="112">
        <v>5</v>
      </c>
      <c r="K2065" s="112">
        <v>1</v>
      </c>
      <c r="L2065" s="112">
        <v>10</v>
      </c>
      <c r="M2065" s="112">
        <v>9</v>
      </c>
      <c r="N2065" s="112">
        <v>1</v>
      </c>
      <c r="O2065" s="117"/>
      <c r="P2065" s="117"/>
      <c r="Q2065" s="117"/>
    </row>
    <row r="2066" spans="1:17" s="119" customFormat="1" ht="31.75" customHeight="1">
      <c r="A2066" s="109" t="s">
        <v>7276</v>
      </c>
      <c r="B2066" s="109" t="s">
        <v>7277</v>
      </c>
      <c r="C2066" s="113">
        <v>2017</v>
      </c>
      <c r="D2066" s="112">
        <v>104</v>
      </c>
      <c r="E2066" s="112">
        <v>140</v>
      </c>
      <c r="F2066" s="112">
        <v>61</v>
      </c>
      <c r="G2066" s="112">
        <v>81</v>
      </c>
      <c r="H2066" s="112">
        <v>35</v>
      </c>
      <c r="I2066" s="112">
        <v>4</v>
      </c>
      <c r="J2066" s="112">
        <v>5</v>
      </c>
      <c r="K2066" s="112">
        <v>1</v>
      </c>
      <c r="L2066" s="112">
        <v>11</v>
      </c>
      <c r="M2066" s="112">
        <v>10</v>
      </c>
      <c r="N2066" s="112">
        <v>2</v>
      </c>
      <c r="O2066" s="117"/>
      <c r="P2066" s="117"/>
      <c r="Q2066" s="117"/>
    </row>
    <row r="2067" spans="1:17" s="119" customFormat="1" ht="31.75" customHeight="1">
      <c r="A2067" s="109" t="s">
        <v>7276</v>
      </c>
      <c r="B2067" s="109" t="s">
        <v>7277</v>
      </c>
      <c r="C2067" s="113">
        <v>2018</v>
      </c>
      <c r="D2067" s="112">
        <v>104</v>
      </c>
      <c r="E2067" s="112">
        <v>147</v>
      </c>
      <c r="F2067" s="112">
        <v>49</v>
      </c>
      <c r="G2067" s="112">
        <v>95</v>
      </c>
      <c r="H2067" s="112">
        <v>40</v>
      </c>
      <c r="I2067" s="112">
        <v>-11</v>
      </c>
      <c r="J2067" s="112">
        <v>3</v>
      </c>
      <c r="K2067" s="112">
        <v>14</v>
      </c>
      <c r="L2067" s="112">
        <v>10</v>
      </c>
      <c r="M2067" s="112">
        <v>14</v>
      </c>
      <c r="N2067" s="112">
        <v>-3</v>
      </c>
      <c r="O2067" s="117"/>
      <c r="P2067" s="117"/>
      <c r="Q2067" s="117"/>
    </row>
    <row r="2068" spans="1:17" s="119" customFormat="1" ht="31.75" customHeight="1">
      <c r="A2068" s="109" t="s">
        <v>7276</v>
      </c>
      <c r="B2068" s="109" t="s">
        <v>7277</v>
      </c>
      <c r="C2068" s="113">
        <v>2019</v>
      </c>
      <c r="D2068" s="112">
        <v>107</v>
      </c>
      <c r="E2068" s="112">
        <v>119.383864</v>
      </c>
      <c r="F2068" s="112">
        <v>45.638303999999998</v>
      </c>
      <c r="G2068" s="112">
        <v>91.796914999999998</v>
      </c>
      <c r="H2068" s="112">
        <v>37.651820000000001</v>
      </c>
      <c r="I2068" s="112">
        <v>7.8911889999999998</v>
      </c>
      <c r="J2068" s="112">
        <v>8.2983499999999992</v>
      </c>
      <c r="K2068" s="112" t="s">
        <v>6952</v>
      </c>
      <c r="L2068" s="112">
        <v>10.796137999999999</v>
      </c>
      <c r="M2068" s="112">
        <v>12.102021000000001</v>
      </c>
      <c r="N2068" s="112">
        <v>-1.3058829999999999</v>
      </c>
      <c r="O2068" s="117"/>
      <c r="P2068" s="117"/>
      <c r="Q2068" s="117"/>
    </row>
    <row r="2069" spans="1:17" s="119" customFormat="1" ht="31.75" customHeight="1">
      <c r="A2069" s="114" t="s">
        <v>7276</v>
      </c>
      <c r="B2069" s="114" t="s">
        <v>7277</v>
      </c>
      <c r="C2069" s="113">
        <v>2020</v>
      </c>
      <c r="D2069" s="112">
        <v>108</v>
      </c>
      <c r="E2069" s="112">
        <v>102.394085</v>
      </c>
      <c r="F2069" s="112">
        <v>44.284419</v>
      </c>
      <c r="G2069" s="112">
        <v>57.241605</v>
      </c>
      <c r="H2069" s="112">
        <v>23.221789000000001</v>
      </c>
      <c r="I2069" s="112">
        <v>1.0923659999999999</v>
      </c>
      <c r="J2069" s="112">
        <v>1.4048430000000001</v>
      </c>
      <c r="K2069" s="112" t="s">
        <v>6952</v>
      </c>
      <c r="L2069" s="112">
        <v>10.264678999999999</v>
      </c>
      <c r="M2069" s="112">
        <v>10.953116</v>
      </c>
      <c r="N2069" s="112">
        <v>-0.68843699999999997</v>
      </c>
      <c r="O2069" s="110"/>
      <c r="P2069" s="110"/>
      <c r="Q2069" s="110"/>
    </row>
    <row r="2070" spans="1:17" s="119" customFormat="1" ht="17.5" customHeight="1">
      <c r="A2070" s="109" t="s">
        <v>7278</v>
      </c>
      <c r="B2070" s="109" t="s">
        <v>7279</v>
      </c>
      <c r="C2070" s="98">
        <v>2008</v>
      </c>
      <c r="D2070" s="99">
        <v>1132</v>
      </c>
      <c r="E2070" s="99">
        <v>403</v>
      </c>
      <c r="F2070" s="99">
        <v>199</v>
      </c>
      <c r="G2070" s="99">
        <v>205</v>
      </c>
      <c r="H2070" s="99">
        <v>183</v>
      </c>
      <c r="I2070" s="99">
        <v>10</v>
      </c>
      <c r="J2070" s="99">
        <v>17</v>
      </c>
      <c r="K2070" s="99">
        <v>7</v>
      </c>
      <c r="L2070" s="99">
        <v>27</v>
      </c>
      <c r="M2070" s="99">
        <v>25</v>
      </c>
      <c r="N2070" s="99">
        <v>3</v>
      </c>
      <c r="O2070" s="110"/>
      <c r="P2070" s="110"/>
      <c r="Q2070" s="110"/>
    </row>
    <row r="2071" spans="1:17" s="119" customFormat="1" ht="17.5" customHeight="1">
      <c r="A2071" s="109" t="s">
        <v>7278</v>
      </c>
      <c r="B2071" s="109" t="s">
        <v>7279</v>
      </c>
      <c r="C2071" s="98">
        <v>2009</v>
      </c>
      <c r="D2071" s="99">
        <v>1130</v>
      </c>
      <c r="E2071" s="99">
        <v>595</v>
      </c>
      <c r="F2071" s="99">
        <v>299</v>
      </c>
      <c r="G2071" s="99">
        <v>287</v>
      </c>
      <c r="H2071" s="99">
        <v>156</v>
      </c>
      <c r="I2071" s="99">
        <v>14</v>
      </c>
      <c r="J2071" s="99">
        <v>20</v>
      </c>
      <c r="K2071" s="99">
        <v>6</v>
      </c>
      <c r="L2071" s="99">
        <v>66</v>
      </c>
      <c r="M2071" s="99">
        <v>78</v>
      </c>
      <c r="N2071" s="99">
        <v>-12</v>
      </c>
      <c r="O2071" s="100"/>
      <c r="P2071" s="100"/>
      <c r="Q2071" s="100"/>
    </row>
    <row r="2072" spans="1:17" s="119" customFormat="1" ht="17.5" customHeight="1">
      <c r="A2072" s="109" t="s">
        <v>7278</v>
      </c>
      <c r="B2072" s="109" t="s">
        <v>7279</v>
      </c>
      <c r="C2072" s="98">
        <v>2010</v>
      </c>
      <c r="D2072" s="99">
        <v>1167</v>
      </c>
      <c r="E2072" s="99">
        <v>544</v>
      </c>
      <c r="F2072" s="99">
        <v>300</v>
      </c>
      <c r="G2072" s="99">
        <v>240</v>
      </c>
      <c r="H2072" s="99">
        <v>163</v>
      </c>
      <c r="I2072" s="99">
        <v>4</v>
      </c>
      <c r="J2072" s="99">
        <v>9</v>
      </c>
      <c r="K2072" s="99">
        <v>5</v>
      </c>
      <c r="L2072" s="99">
        <v>65</v>
      </c>
      <c r="M2072" s="99">
        <v>68</v>
      </c>
      <c r="N2072" s="99">
        <v>-4</v>
      </c>
      <c r="O2072" s="110"/>
      <c r="P2072" s="110"/>
      <c r="Q2072" s="110"/>
    </row>
    <row r="2073" spans="1:17" s="119" customFormat="1" ht="17.5" customHeight="1">
      <c r="A2073" s="109" t="s">
        <v>7278</v>
      </c>
      <c r="B2073" s="109" t="s">
        <v>7279</v>
      </c>
      <c r="C2073" s="98">
        <v>2011</v>
      </c>
      <c r="D2073" s="99">
        <v>1158</v>
      </c>
      <c r="E2073" s="99">
        <v>437</v>
      </c>
      <c r="F2073" s="99">
        <v>186</v>
      </c>
      <c r="G2073" s="99">
        <v>249</v>
      </c>
      <c r="H2073" s="99">
        <v>131</v>
      </c>
      <c r="I2073" s="99">
        <v>13</v>
      </c>
      <c r="J2073" s="99">
        <v>15</v>
      </c>
      <c r="K2073" s="99">
        <v>2</v>
      </c>
      <c r="L2073" s="99">
        <v>51</v>
      </c>
      <c r="M2073" s="99">
        <v>49</v>
      </c>
      <c r="N2073" s="99">
        <v>2</v>
      </c>
      <c r="O2073" s="100"/>
      <c r="P2073" s="100"/>
      <c r="Q2073" s="100"/>
    </row>
    <row r="2074" spans="1:17" s="119" customFormat="1" ht="17.5" customHeight="1">
      <c r="A2074" s="109" t="s">
        <v>7278</v>
      </c>
      <c r="B2074" s="109" t="s">
        <v>7279</v>
      </c>
      <c r="C2074" s="111">
        <v>2012</v>
      </c>
      <c r="D2074" s="112">
        <v>1130</v>
      </c>
      <c r="E2074" s="112">
        <v>534</v>
      </c>
      <c r="F2074" s="112">
        <v>262</v>
      </c>
      <c r="G2074" s="112">
        <v>271</v>
      </c>
      <c r="H2074" s="112">
        <v>146</v>
      </c>
      <c r="I2074" s="112">
        <v>9</v>
      </c>
      <c r="J2074" s="112">
        <v>12</v>
      </c>
      <c r="K2074" s="112">
        <v>3</v>
      </c>
      <c r="L2074" s="112">
        <v>68</v>
      </c>
      <c r="M2074" s="112">
        <v>69</v>
      </c>
      <c r="N2074" s="112">
        <v>-1</v>
      </c>
      <c r="O2074" s="100"/>
      <c r="P2074" s="100"/>
      <c r="Q2074" s="100"/>
    </row>
    <row r="2075" spans="1:17" s="119" customFormat="1" ht="17.5" customHeight="1">
      <c r="A2075" s="109" t="s">
        <v>7278</v>
      </c>
      <c r="B2075" s="109" t="s">
        <v>7279</v>
      </c>
      <c r="C2075" s="113">
        <v>2013</v>
      </c>
      <c r="D2075" s="112">
        <v>1124</v>
      </c>
      <c r="E2075" s="112">
        <v>562</v>
      </c>
      <c r="F2075" s="112">
        <v>254</v>
      </c>
      <c r="G2075" s="112">
        <v>319</v>
      </c>
      <c r="H2075" s="112">
        <v>138</v>
      </c>
      <c r="I2075" s="112">
        <v>18</v>
      </c>
      <c r="J2075" s="112">
        <v>22</v>
      </c>
      <c r="K2075" s="112">
        <v>4</v>
      </c>
      <c r="L2075" s="112">
        <v>62</v>
      </c>
      <c r="M2075" s="112">
        <v>51</v>
      </c>
      <c r="N2075" s="112">
        <v>11</v>
      </c>
      <c r="O2075" s="110"/>
      <c r="P2075" s="110"/>
      <c r="Q2075" s="110"/>
    </row>
    <row r="2076" spans="1:17" s="119" customFormat="1" ht="17.5" customHeight="1">
      <c r="A2076" s="109" t="s">
        <v>7278</v>
      </c>
      <c r="B2076" s="109" t="s">
        <v>7279</v>
      </c>
      <c r="C2076" s="113">
        <v>2014</v>
      </c>
      <c r="D2076" s="99">
        <v>1096</v>
      </c>
      <c r="E2076" s="99">
        <v>581</v>
      </c>
      <c r="F2076" s="99">
        <v>288</v>
      </c>
      <c r="G2076" s="99">
        <v>305</v>
      </c>
      <c r="H2076" s="99">
        <v>163</v>
      </c>
      <c r="I2076" s="99">
        <v>25</v>
      </c>
      <c r="J2076" s="112" t="s">
        <v>6953</v>
      </c>
      <c r="K2076" s="112" t="s">
        <v>6953</v>
      </c>
      <c r="L2076" s="99">
        <v>74</v>
      </c>
      <c r="M2076" s="99">
        <v>62</v>
      </c>
      <c r="N2076" s="99">
        <v>12</v>
      </c>
      <c r="O2076" s="110"/>
      <c r="P2076" s="110"/>
      <c r="Q2076" s="110"/>
    </row>
    <row r="2077" spans="1:17" s="119" customFormat="1" ht="17.5" customHeight="1">
      <c r="A2077" s="109" t="s">
        <v>7278</v>
      </c>
      <c r="B2077" s="109" t="s">
        <v>7279</v>
      </c>
      <c r="C2077" s="113">
        <v>2015</v>
      </c>
      <c r="D2077" s="112">
        <v>1120</v>
      </c>
      <c r="E2077" s="112">
        <v>561</v>
      </c>
      <c r="F2077" s="112">
        <v>306</v>
      </c>
      <c r="G2077" s="112">
        <v>256</v>
      </c>
      <c r="H2077" s="112">
        <v>159</v>
      </c>
      <c r="I2077" s="112">
        <v>14</v>
      </c>
      <c r="J2077" s="112">
        <v>23</v>
      </c>
      <c r="K2077" s="112">
        <v>9</v>
      </c>
      <c r="L2077" s="112">
        <v>60</v>
      </c>
      <c r="M2077" s="112">
        <v>58</v>
      </c>
      <c r="N2077" s="112">
        <v>2</v>
      </c>
      <c r="O2077" s="117"/>
      <c r="P2077" s="117"/>
      <c r="Q2077" s="117"/>
    </row>
    <row r="2078" spans="1:17" s="119" customFormat="1" ht="17.5" customHeight="1">
      <c r="A2078" s="109" t="s">
        <v>7278</v>
      </c>
      <c r="B2078" s="109" t="s">
        <v>7279</v>
      </c>
      <c r="C2078" s="113">
        <v>2016</v>
      </c>
      <c r="D2078" s="112">
        <v>1166</v>
      </c>
      <c r="E2078" s="112">
        <v>700</v>
      </c>
      <c r="F2078" s="112">
        <v>354</v>
      </c>
      <c r="G2078" s="112">
        <v>332</v>
      </c>
      <c r="H2078" s="112">
        <v>163</v>
      </c>
      <c r="I2078" s="112">
        <v>25</v>
      </c>
      <c r="J2078" s="112">
        <v>40</v>
      </c>
      <c r="K2078" s="112">
        <v>16</v>
      </c>
      <c r="L2078" s="112">
        <v>79</v>
      </c>
      <c r="M2078" s="112">
        <v>92</v>
      </c>
      <c r="N2078" s="112">
        <v>-13</v>
      </c>
      <c r="O2078" s="117"/>
      <c r="P2078" s="117"/>
      <c r="Q2078" s="117"/>
    </row>
    <row r="2079" spans="1:17" s="119" customFormat="1" ht="17.5" customHeight="1">
      <c r="A2079" s="109" t="s">
        <v>7278</v>
      </c>
      <c r="B2079" s="109" t="s">
        <v>7279</v>
      </c>
      <c r="C2079" s="113">
        <v>2017</v>
      </c>
      <c r="D2079" s="112">
        <v>1198</v>
      </c>
      <c r="E2079" s="112">
        <v>789</v>
      </c>
      <c r="F2079" s="112">
        <v>428</v>
      </c>
      <c r="G2079" s="112">
        <v>361</v>
      </c>
      <c r="H2079" s="112">
        <v>178</v>
      </c>
      <c r="I2079" s="112">
        <v>48</v>
      </c>
      <c r="J2079" s="112" t="s">
        <v>6953</v>
      </c>
      <c r="K2079" s="112" t="s">
        <v>6953</v>
      </c>
      <c r="L2079" s="112">
        <v>72</v>
      </c>
      <c r="M2079" s="112">
        <v>68</v>
      </c>
      <c r="N2079" s="112">
        <v>3</v>
      </c>
      <c r="O2079" s="117"/>
      <c r="P2079" s="117"/>
      <c r="Q2079" s="117"/>
    </row>
    <row r="2080" spans="1:17" s="119" customFormat="1" ht="17.5" customHeight="1">
      <c r="A2080" s="109" t="s">
        <v>7278</v>
      </c>
      <c r="B2080" s="109" t="s">
        <v>7279</v>
      </c>
      <c r="C2080" s="113">
        <v>2018</v>
      </c>
      <c r="D2080" s="112">
        <v>1206</v>
      </c>
      <c r="E2080" s="112">
        <v>829</v>
      </c>
      <c r="F2080" s="112">
        <v>431</v>
      </c>
      <c r="G2080" s="112">
        <v>400</v>
      </c>
      <c r="H2080" s="112">
        <v>189</v>
      </c>
      <c r="I2080" s="112">
        <v>48</v>
      </c>
      <c r="J2080" s="112">
        <v>52</v>
      </c>
      <c r="K2080" s="112">
        <v>4</v>
      </c>
      <c r="L2080" s="112">
        <v>75</v>
      </c>
      <c r="M2080" s="112">
        <v>73</v>
      </c>
      <c r="N2080" s="112">
        <v>2</v>
      </c>
      <c r="O2080" s="117"/>
      <c r="P2080" s="117"/>
      <c r="Q2080" s="117"/>
    </row>
    <row r="2081" spans="1:17" s="119" customFormat="1" ht="17.5" customHeight="1">
      <c r="A2081" s="109" t="s">
        <v>7278</v>
      </c>
      <c r="B2081" s="109" t="s">
        <v>7279</v>
      </c>
      <c r="C2081" s="113">
        <v>2019</v>
      </c>
      <c r="D2081" s="112">
        <v>1190</v>
      </c>
      <c r="E2081" s="112">
        <v>849.88687600000003</v>
      </c>
      <c r="F2081" s="112">
        <v>422.569163</v>
      </c>
      <c r="G2081" s="112">
        <v>434.68894399999999</v>
      </c>
      <c r="H2081" s="112">
        <v>198.468256</v>
      </c>
      <c r="I2081" s="112">
        <v>70.821138000000005</v>
      </c>
      <c r="J2081" s="112">
        <v>72.738420000000005</v>
      </c>
      <c r="K2081" s="112">
        <v>1.9172819999999999</v>
      </c>
      <c r="L2081" s="112">
        <v>90.451424000000003</v>
      </c>
      <c r="M2081" s="112">
        <v>84.209010000000006</v>
      </c>
      <c r="N2081" s="112">
        <v>6.2424140000000001</v>
      </c>
      <c r="O2081" s="110"/>
      <c r="P2081" s="110"/>
      <c r="Q2081" s="110"/>
    </row>
    <row r="2082" spans="1:17" s="119" customFormat="1" ht="17.5" customHeight="1">
      <c r="A2082" s="114" t="s">
        <v>7278</v>
      </c>
      <c r="B2082" s="114" t="s">
        <v>7279</v>
      </c>
      <c r="C2082" s="113">
        <v>2020</v>
      </c>
      <c r="D2082" s="112">
        <v>1231</v>
      </c>
      <c r="E2082" s="112">
        <v>671.70083199999999</v>
      </c>
      <c r="F2082" s="112">
        <v>315.24001099999998</v>
      </c>
      <c r="G2082" s="112">
        <v>358.00641200000001</v>
      </c>
      <c r="H2082" s="112">
        <v>187.38825199999999</v>
      </c>
      <c r="I2082" s="112">
        <v>36.571159999999999</v>
      </c>
      <c r="J2082" s="112">
        <v>38.728309000000003</v>
      </c>
      <c r="K2082" s="112">
        <v>2.157149</v>
      </c>
      <c r="L2082" s="112">
        <v>75.691518000000002</v>
      </c>
      <c r="M2082" s="112">
        <v>75.403285999999994</v>
      </c>
      <c r="N2082" s="112" t="s">
        <v>6952</v>
      </c>
      <c r="O2082" s="110"/>
      <c r="P2082" s="110"/>
      <c r="Q2082" s="110"/>
    </row>
    <row r="2083" spans="1:17" s="119" customFormat="1" ht="31.75" customHeight="1">
      <c r="A2083" s="109" t="s">
        <v>7280</v>
      </c>
      <c r="B2083" s="109" t="s">
        <v>7281</v>
      </c>
      <c r="C2083" s="98">
        <v>2008</v>
      </c>
      <c r="D2083" s="99">
        <v>281</v>
      </c>
      <c r="E2083" s="99">
        <v>1330</v>
      </c>
      <c r="F2083" s="99">
        <v>431</v>
      </c>
      <c r="G2083" s="99">
        <v>910</v>
      </c>
      <c r="H2083" s="99">
        <v>257</v>
      </c>
      <c r="I2083" s="99">
        <v>116</v>
      </c>
      <c r="J2083" s="99">
        <v>125</v>
      </c>
      <c r="K2083" s="99">
        <v>9</v>
      </c>
      <c r="L2083" s="99">
        <v>134</v>
      </c>
      <c r="M2083" s="99">
        <v>127</v>
      </c>
      <c r="N2083" s="99">
        <v>7</v>
      </c>
      <c r="O2083" s="100"/>
      <c r="P2083" s="100"/>
      <c r="Q2083" s="100"/>
    </row>
    <row r="2084" spans="1:17" s="119" customFormat="1" ht="31.75" customHeight="1">
      <c r="A2084" s="109" t="s">
        <v>7280</v>
      </c>
      <c r="B2084" s="109" t="s">
        <v>7281</v>
      </c>
      <c r="C2084" s="98">
        <v>2009</v>
      </c>
      <c r="D2084" s="99">
        <v>266</v>
      </c>
      <c r="E2084" s="99">
        <v>1226</v>
      </c>
      <c r="F2084" s="99">
        <v>345</v>
      </c>
      <c r="G2084" s="99">
        <v>865</v>
      </c>
      <c r="H2084" s="99">
        <v>247</v>
      </c>
      <c r="I2084" s="99">
        <v>27</v>
      </c>
      <c r="J2084" s="99">
        <v>34</v>
      </c>
      <c r="K2084" s="99">
        <v>7</v>
      </c>
      <c r="L2084" s="99">
        <v>145</v>
      </c>
      <c r="M2084" s="99">
        <v>161</v>
      </c>
      <c r="N2084" s="99">
        <v>-16</v>
      </c>
      <c r="O2084" s="110"/>
      <c r="P2084" s="110"/>
      <c r="Q2084" s="110"/>
    </row>
    <row r="2085" spans="1:17" s="119" customFormat="1" ht="31.75" customHeight="1">
      <c r="A2085" s="109" t="s">
        <v>7280</v>
      </c>
      <c r="B2085" s="109" t="s">
        <v>7281</v>
      </c>
      <c r="C2085" s="98">
        <v>2010</v>
      </c>
      <c r="D2085" s="99">
        <v>246</v>
      </c>
      <c r="E2085" s="99">
        <v>1296</v>
      </c>
      <c r="F2085" s="99">
        <v>400</v>
      </c>
      <c r="G2085" s="99">
        <v>905</v>
      </c>
      <c r="H2085" s="99">
        <v>225</v>
      </c>
      <c r="I2085" s="99">
        <v>18</v>
      </c>
      <c r="J2085" s="99">
        <v>29</v>
      </c>
      <c r="K2085" s="99">
        <v>12</v>
      </c>
      <c r="L2085" s="99">
        <v>147</v>
      </c>
      <c r="M2085" s="99">
        <v>137</v>
      </c>
      <c r="N2085" s="99">
        <v>11</v>
      </c>
      <c r="O2085" s="100"/>
      <c r="P2085" s="100"/>
      <c r="Q2085" s="100"/>
    </row>
    <row r="2086" spans="1:17" s="119" customFormat="1" ht="31.75" customHeight="1">
      <c r="A2086" s="109" t="s">
        <v>7280</v>
      </c>
      <c r="B2086" s="109" t="s">
        <v>7281</v>
      </c>
      <c r="C2086" s="98">
        <v>2011</v>
      </c>
      <c r="D2086" s="99">
        <v>245</v>
      </c>
      <c r="E2086" s="99">
        <v>1611</v>
      </c>
      <c r="F2086" s="99">
        <v>362</v>
      </c>
      <c r="G2086" s="99">
        <v>1256</v>
      </c>
      <c r="H2086" s="99">
        <v>267</v>
      </c>
      <c r="I2086" s="99">
        <v>60</v>
      </c>
      <c r="J2086" s="99">
        <v>63</v>
      </c>
      <c r="K2086" s="99">
        <v>4</v>
      </c>
      <c r="L2086" s="99">
        <v>175</v>
      </c>
      <c r="M2086" s="99">
        <v>168</v>
      </c>
      <c r="N2086" s="99">
        <v>7</v>
      </c>
      <c r="O2086" s="100"/>
      <c r="P2086" s="100"/>
      <c r="Q2086" s="100"/>
    </row>
    <row r="2087" spans="1:17" s="119" customFormat="1" ht="31.75" customHeight="1">
      <c r="A2087" s="109" t="s">
        <v>7280</v>
      </c>
      <c r="B2087" s="109" t="s">
        <v>7281</v>
      </c>
      <c r="C2087" s="111">
        <v>2012</v>
      </c>
      <c r="D2087" s="112">
        <v>236</v>
      </c>
      <c r="E2087" s="112">
        <v>1409</v>
      </c>
      <c r="F2087" s="112">
        <v>354</v>
      </c>
      <c r="G2087" s="112">
        <v>1055</v>
      </c>
      <c r="H2087" s="112">
        <v>285</v>
      </c>
      <c r="I2087" s="112">
        <v>75</v>
      </c>
      <c r="J2087" s="112">
        <v>90</v>
      </c>
      <c r="K2087" s="112">
        <v>15</v>
      </c>
      <c r="L2087" s="112">
        <v>164</v>
      </c>
      <c r="M2087" s="112">
        <v>163</v>
      </c>
      <c r="N2087" s="112">
        <v>1</v>
      </c>
      <c r="O2087" s="110"/>
      <c r="P2087" s="110"/>
      <c r="Q2087" s="110"/>
    </row>
    <row r="2088" spans="1:17" s="119" customFormat="1" ht="31.75" customHeight="1">
      <c r="A2088" s="109" t="s">
        <v>7280</v>
      </c>
      <c r="B2088" s="109" t="s">
        <v>7281</v>
      </c>
      <c r="C2088" s="113">
        <v>2013</v>
      </c>
      <c r="D2088" s="112">
        <v>230</v>
      </c>
      <c r="E2088" s="112">
        <v>1403</v>
      </c>
      <c r="F2088" s="112">
        <v>407</v>
      </c>
      <c r="G2088" s="112">
        <v>1009</v>
      </c>
      <c r="H2088" s="112">
        <v>289</v>
      </c>
      <c r="I2088" s="112">
        <v>69</v>
      </c>
      <c r="J2088" s="112">
        <v>73</v>
      </c>
      <c r="K2088" s="112">
        <v>5</v>
      </c>
      <c r="L2088" s="112">
        <v>153</v>
      </c>
      <c r="M2088" s="112">
        <v>141</v>
      </c>
      <c r="N2088" s="112">
        <v>12</v>
      </c>
      <c r="O2088" s="110"/>
      <c r="P2088" s="110"/>
      <c r="Q2088" s="110"/>
    </row>
    <row r="2089" spans="1:17" s="119" customFormat="1" ht="31.75" customHeight="1">
      <c r="A2089" s="109" t="s">
        <v>7280</v>
      </c>
      <c r="B2089" s="109" t="s">
        <v>7281</v>
      </c>
      <c r="C2089" s="113">
        <v>2014</v>
      </c>
      <c r="D2089" s="99">
        <v>233</v>
      </c>
      <c r="E2089" s="99">
        <v>1503</v>
      </c>
      <c r="F2089" s="99">
        <v>459</v>
      </c>
      <c r="G2089" s="99">
        <v>1057</v>
      </c>
      <c r="H2089" s="99">
        <v>287</v>
      </c>
      <c r="I2089" s="99">
        <v>49</v>
      </c>
      <c r="J2089" s="99">
        <v>51</v>
      </c>
      <c r="K2089" s="99">
        <v>2</v>
      </c>
      <c r="L2089" s="99">
        <v>151</v>
      </c>
      <c r="M2089" s="99">
        <v>138</v>
      </c>
      <c r="N2089" s="99">
        <v>13</v>
      </c>
      <c r="O2089" s="117"/>
      <c r="P2089" s="117"/>
      <c r="Q2089" s="117"/>
    </row>
    <row r="2090" spans="1:17" s="119" customFormat="1" ht="31.75" customHeight="1">
      <c r="A2090" s="109" t="s">
        <v>7280</v>
      </c>
      <c r="B2090" s="109" t="s">
        <v>7281</v>
      </c>
      <c r="C2090" s="113">
        <v>2015</v>
      </c>
      <c r="D2090" s="112">
        <v>239</v>
      </c>
      <c r="E2090" s="112">
        <v>1541</v>
      </c>
      <c r="F2090" s="112">
        <v>504</v>
      </c>
      <c r="G2090" s="112">
        <v>1056</v>
      </c>
      <c r="H2090" s="112">
        <v>238</v>
      </c>
      <c r="I2090" s="112">
        <v>86</v>
      </c>
      <c r="J2090" s="112">
        <v>91</v>
      </c>
      <c r="K2090" s="112">
        <v>5</v>
      </c>
      <c r="L2090" s="112">
        <v>140</v>
      </c>
      <c r="M2090" s="112">
        <v>131</v>
      </c>
      <c r="N2090" s="112">
        <v>8</v>
      </c>
      <c r="O2090" s="117"/>
      <c r="P2090" s="117"/>
      <c r="Q2090" s="117"/>
    </row>
    <row r="2091" spans="1:17" s="119" customFormat="1" ht="31.75" customHeight="1">
      <c r="A2091" s="109" t="s">
        <v>7280</v>
      </c>
      <c r="B2091" s="109" t="s">
        <v>7281</v>
      </c>
      <c r="C2091" s="113">
        <v>2016</v>
      </c>
      <c r="D2091" s="112">
        <v>226</v>
      </c>
      <c r="E2091" s="112">
        <v>1503</v>
      </c>
      <c r="F2091" s="112">
        <v>479</v>
      </c>
      <c r="G2091" s="112">
        <v>1021</v>
      </c>
      <c r="H2091" s="112">
        <v>247</v>
      </c>
      <c r="I2091" s="112">
        <v>73</v>
      </c>
      <c r="J2091" s="112">
        <v>74</v>
      </c>
      <c r="K2091" s="112">
        <v>2</v>
      </c>
      <c r="L2091" s="112">
        <v>157</v>
      </c>
      <c r="M2091" s="112">
        <v>163</v>
      </c>
      <c r="N2091" s="112">
        <v>-6</v>
      </c>
      <c r="O2091" s="117"/>
      <c r="P2091" s="117"/>
      <c r="Q2091" s="117"/>
    </row>
    <row r="2092" spans="1:17" s="119" customFormat="1" ht="31.75" customHeight="1">
      <c r="A2092" s="109" t="s">
        <v>7280</v>
      </c>
      <c r="B2092" s="109" t="s">
        <v>7281</v>
      </c>
      <c r="C2092" s="113">
        <v>2017</v>
      </c>
      <c r="D2092" s="112">
        <v>220</v>
      </c>
      <c r="E2092" s="112">
        <v>1494</v>
      </c>
      <c r="F2092" s="112">
        <v>457</v>
      </c>
      <c r="G2092" s="112">
        <v>1068</v>
      </c>
      <c r="H2092" s="112">
        <v>260</v>
      </c>
      <c r="I2092" s="112">
        <v>98</v>
      </c>
      <c r="J2092" s="112">
        <v>100</v>
      </c>
      <c r="K2092" s="112">
        <v>2</v>
      </c>
      <c r="L2092" s="112">
        <v>154</v>
      </c>
      <c r="M2092" s="112">
        <v>150</v>
      </c>
      <c r="N2092" s="112">
        <v>3</v>
      </c>
      <c r="O2092" s="117"/>
      <c r="P2092" s="117"/>
      <c r="Q2092" s="117"/>
    </row>
    <row r="2093" spans="1:17" s="119" customFormat="1" ht="31.75" customHeight="1">
      <c r="A2093" s="109" t="s">
        <v>7280</v>
      </c>
      <c r="B2093" s="109" t="s">
        <v>7281</v>
      </c>
      <c r="C2093" s="113">
        <v>2018</v>
      </c>
      <c r="D2093" s="112">
        <v>207</v>
      </c>
      <c r="E2093" s="112">
        <v>1397</v>
      </c>
      <c r="F2093" s="112">
        <v>409</v>
      </c>
      <c r="G2093" s="112">
        <v>1007</v>
      </c>
      <c r="H2093" s="112">
        <v>239</v>
      </c>
      <c r="I2093" s="112">
        <v>44</v>
      </c>
      <c r="J2093" s="112">
        <v>51</v>
      </c>
      <c r="K2093" s="112">
        <v>7</v>
      </c>
      <c r="L2093" s="112">
        <v>151</v>
      </c>
      <c r="M2093" s="112">
        <v>133</v>
      </c>
      <c r="N2093" s="112">
        <v>18</v>
      </c>
      <c r="O2093" s="110"/>
      <c r="P2093" s="110"/>
      <c r="Q2093" s="110"/>
    </row>
    <row r="2094" spans="1:17" s="119" customFormat="1" ht="31.75" customHeight="1">
      <c r="A2094" s="109" t="s">
        <v>7280</v>
      </c>
      <c r="B2094" s="109" t="s">
        <v>7281</v>
      </c>
      <c r="C2094" s="113">
        <v>2019</v>
      </c>
      <c r="D2094" s="112">
        <v>215</v>
      </c>
      <c r="E2094" s="112">
        <v>1265.505318</v>
      </c>
      <c r="F2094" s="112">
        <v>412.89180900000002</v>
      </c>
      <c r="G2094" s="112">
        <v>873.15074000000004</v>
      </c>
      <c r="H2094" s="112">
        <v>222.30668900000001</v>
      </c>
      <c r="I2094" s="112">
        <v>48.321176999999999</v>
      </c>
      <c r="J2094" s="112">
        <v>61.135618000000001</v>
      </c>
      <c r="K2094" s="112">
        <v>12.814441</v>
      </c>
      <c r="L2094" s="112">
        <v>156.955232</v>
      </c>
      <c r="M2094" s="112">
        <v>136.18825799999999</v>
      </c>
      <c r="N2094" s="112">
        <v>20.766974000000001</v>
      </c>
      <c r="O2094" s="110"/>
      <c r="P2094" s="110"/>
      <c r="Q2094" s="110"/>
    </row>
    <row r="2095" spans="1:17" s="119" customFormat="1" ht="31.75" customHeight="1">
      <c r="A2095" s="114" t="s">
        <v>7280</v>
      </c>
      <c r="B2095" s="109" t="s">
        <v>7281</v>
      </c>
      <c r="C2095" s="113">
        <v>2020</v>
      </c>
      <c r="D2095" s="112">
        <v>223</v>
      </c>
      <c r="E2095" s="112">
        <v>1167.6292860000001</v>
      </c>
      <c r="F2095" s="112">
        <v>365.44922100000002</v>
      </c>
      <c r="G2095" s="112">
        <v>755.36238700000001</v>
      </c>
      <c r="H2095" s="112">
        <v>239.064224</v>
      </c>
      <c r="I2095" s="112">
        <v>65.163100999999997</v>
      </c>
      <c r="J2095" s="112">
        <v>66.636624999999995</v>
      </c>
      <c r="K2095" s="112">
        <v>1.4735240000000001</v>
      </c>
      <c r="L2095" s="112">
        <v>141.35567699999999</v>
      </c>
      <c r="M2095" s="112">
        <v>188.106528</v>
      </c>
      <c r="N2095" s="112">
        <v>-46.750850999999997</v>
      </c>
      <c r="O2095" s="100"/>
      <c r="P2095" s="100"/>
      <c r="Q2095" s="100"/>
    </row>
    <row r="2096" spans="1:17" s="119" customFormat="1" ht="17.5" customHeight="1">
      <c r="A2096" s="109" t="s">
        <v>7282</v>
      </c>
      <c r="B2096" s="109" t="s">
        <v>7283</v>
      </c>
      <c r="C2096" s="98">
        <v>2008</v>
      </c>
      <c r="D2096" s="99">
        <v>103</v>
      </c>
      <c r="E2096" s="99">
        <v>189</v>
      </c>
      <c r="F2096" s="99">
        <v>54</v>
      </c>
      <c r="G2096" s="99">
        <v>135</v>
      </c>
      <c r="H2096" s="99">
        <v>50</v>
      </c>
      <c r="I2096" s="99">
        <v>1</v>
      </c>
      <c r="J2096" s="99">
        <v>2</v>
      </c>
      <c r="K2096" s="99">
        <v>1</v>
      </c>
      <c r="L2096" s="99">
        <v>20</v>
      </c>
      <c r="M2096" s="99">
        <v>20</v>
      </c>
      <c r="N2096" s="99" t="s">
        <v>6952</v>
      </c>
      <c r="O2096" s="110"/>
      <c r="P2096" s="110"/>
      <c r="Q2096" s="110"/>
    </row>
    <row r="2097" spans="1:17" s="119" customFormat="1" ht="17.5" customHeight="1">
      <c r="A2097" s="109" t="s">
        <v>7282</v>
      </c>
      <c r="B2097" s="109" t="s">
        <v>7283</v>
      </c>
      <c r="C2097" s="98">
        <v>2009</v>
      </c>
      <c r="D2097" s="99">
        <v>93</v>
      </c>
      <c r="E2097" s="99">
        <v>158</v>
      </c>
      <c r="F2097" s="99">
        <v>28</v>
      </c>
      <c r="G2097" s="99">
        <v>126</v>
      </c>
      <c r="H2097" s="99">
        <v>37</v>
      </c>
      <c r="I2097" s="112" t="s">
        <v>6953</v>
      </c>
      <c r="J2097" s="99">
        <v>1</v>
      </c>
      <c r="K2097" s="112" t="s">
        <v>6953</v>
      </c>
      <c r="L2097" s="99">
        <v>21</v>
      </c>
      <c r="M2097" s="99">
        <v>24</v>
      </c>
      <c r="N2097" s="99">
        <v>-4</v>
      </c>
      <c r="O2097" s="100"/>
      <c r="P2097" s="100"/>
      <c r="Q2097" s="100"/>
    </row>
    <row r="2098" spans="1:17" s="119" customFormat="1" ht="17.5" customHeight="1">
      <c r="A2098" s="109" t="s">
        <v>7282</v>
      </c>
      <c r="B2098" s="109" t="s">
        <v>7283</v>
      </c>
      <c r="C2098" s="98">
        <v>2010</v>
      </c>
      <c r="D2098" s="99">
        <v>84</v>
      </c>
      <c r="E2098" s="99">
        <v>156</v>
      </c>
      <c r="F2098" s="99">
        <v>54</v>
      </c>
      <c r="G2098" s="99">
        <v>102</v>
      </c>
      <c r="H2098" s="99">
        <v>35</v>
      </c>
      <c r="I2098" s="112" t="s">
        <v>6953</v>
      </c>
      <c r="J2098" s="99">
        <v>1</v>
      </c>
      <c r="K2098" s="112" t="s">
        <v>6953</v>
      </c>
      <c r="L2098" s="99">
        <v>20</v>
      </c>
      <c r="M2098" s="99">
        <v>18</v>
      </c>
      <c r="N2098" s="99">
        <v>1</v>
      </c>
      <c r="O2098" s="100"/>
      <c r="P2098" s="100"/>
      <c r="Q2098" s="100"/>
    </row>
    <row r="2099" spans="1:17" s="119" customFormat="1" ht="17.5" customHeight="1">
      <c r="A2099" s="109" t="s">
        <v>7282</v>
      </c>
      <c r="B2099" s="109" t="s">
        <v>7283</v>
      </c>
      <c r="C2099" s="98">
        <v>2011</v>
      </c>
      <c r="D2099" s="99">
        <v>77</v>
      </c>
      <c r="E2099" s="99">
        <v>163</v>
      </c>
      <c r="F2099" s="99">
        <v>48</v>
      </c>
      <c r="G2099" s="99">
        <v>114</v>
      </c>
      <c r="H2099" s="99">
        <v>51</v>
      </c>
      <c r="I2099" s="99">
        <v>4</v>
      </c>
      <c r="J2099" s="99">
        <v>4</v>
      </c>
      <c r="K2099" s="99" t="s">
        <v>6952</v>
      </c>
      <c r="L2099" s="99">
        <v>17</v>
      </c>
      <c r="M2099" s="99">
        <v>17</v>
      </c>
      <c r="N2099" s="99" t="s">
        <v>6952</v>
      </c>
      <c r="O2099" s="110"/>
      <c r="P2099" s="110"/>
      <c r="Q2099" s="110"/>
    </row>
    <row r="2100" spans="1:17" s="119" customFormat="1" ht="17.5" customHeight="1">
      <c r="A2100" s="109" t="s">
        <v>7282</v>
      </c>
      <c r="B2100" s="109" t="s">
        <v>7283</v>
      </c>
      <c r="C2100" s="111">
        <v>2012</v>
      </c>
      <c r="D2100" s="112">
        <v>70</v>
      </c>
      <c r="E2100" s="112">
        <v>134</v>
      </c>
      <c r="F2100" s="112">
        <v>41</v>
      </c>
      <c r="G2100" s="112">
        <v>90</v>
      </c>
      <c r="H2100" s="112">
        <v>36</v>
      </c>
      <c r="I2100" s="112">
        <v>2</v>
      </c>
      <c r="J2100" s="112">
        <v>3</v>
      </c>
      <c r="K2100" s="112">
        <v>1</v>
      </c>
      <c r="L2100" s="112">
        <v>17</v>
      </c>
      <c r="M2100" s="112">
        <v>19</v>
      </c>
      <c r="N2100" s="112">
        <v>-1</v>
      </c>
      <c r="O2100" s="110"/>
      <c r="P2100" s="110"/>
      <c r="Q2100" s="110"/>
    </row>
    <row r="2101" spans="1:17" s="119" customFormat="1" ht="17.5" customHeight="1">
      <c r="A2101" s="109" t="s">
        <v>7282</v>
      </c>
      <c r="B2101" s="109" t="s">
        <v>7283</v>
      </c>
      <c r="C2101" s="113">
        <v>2013</v>
      </c>
      <c r="D2101" s="112">
        <v>62</v>
      </c>
      <c r="E2101" s="112">
        <v>129</v>
      </c>
      <c r="F2101" s="112">
        <v>38</v>
      </c>
      <c r="G2101" s="112">
        <v>90</v>
      </c>
      <c r="H2101" s="112">
        <v>33</v>
      </c>
      <c r="I2101" s="112">
        <v>2</v>
      </c>
      <c r="J2101" s="112">
        <v>3</v>
      </c>
      <c r="K2101" s="112" t="s">
        <v>6952</v>
      </c>
      <c r="L2101" s="112">
        <v>16</v>
      </c>
      <c r="M2101" s="112">
        <v>16</v>
      </c>
      <c r="N2101" s="112" t="s">
        <v>6952</v>
      </c>
      <c r="O2101" s="117"/>
      <c r="P2101" s="117"/>
      <c r="Q2101" s="117"/>
    </row>
    <row r="2102" spans="1:17" s="119" customFormat="1" ht="17.5" customHeight="1">
      <c r="A2102" s="109" t="s">
        <v>7282</v>
      </c>
      <c r="B2102" s="109" t="s">
        <v>7283</v>
      </c>
      <c r="C2102" s="113">
        <v>2014</v>
      </c>
      <c r="D2102" s="99">
        <v>61</v>
      </c>
      <c r="E2102" s="99">
        <v>134</v>
      </c>
      <c r="F2102" s="99">
        <v>41</v>
      </c>
      <c r="G2102" s="99">
        <v>91</v>
      </c>
      <c r="H2102" s="99">
        <v>33</v>
      </c>
      <c r="I2102" s="99">
        <v>3</v>
      </c>
      <c r="J2102" s="99">
        <v>3</v>
      </c>
      <c r="K2102" s="112" t="s">
        <v>6952</v>
      </c>
      <c r="L2102" s="99">
        <v>20</v>
      </c>
      <c r="M2102" s="99">
        <v>20</v>
      </c>
      <c r="N2102" s="112" t="s">
        <v>6952</v>
      </c>
      <c r="O2102" s="117"/>
      <c r="P2102" s="117"/>
      <c r="Q2102" s="117"/>
    </row>
    <row r="2103" spans="1:17" s="119" customFormat="1" ht="17.5" customHeight="1">
      <c r="A2103" s="109" t="s">
        <v>7282</v>
      </c>
      <c r="B2103" s="109" t="s">
        <v>7283</v>
      </c>
      <c r="C2103" s="113">
        <v>2015</v>
      </c>
      <c r="D2103" s="112">
        <v>58</v>
      </c>
      <c r="E2103" s="112">
        <v>166</v>
      </c>
      <c r="F2103" s="112">
        <v>57</v>
      </c>
      <c r="G2103" s="112">
        <v>105</v>
      </c>
      <c r="H2103" s="112">
        <v>31</v>
      </c>
      <c r="I2103" s="112">
        <v>3</v>
      </c>
      <c r="J2103" s="112">
        <v>3</v>
      </c>
      <c r="K2103" s="112" t="s">
        <v>6952</v>
      </c>
      <c r="L2103" s="112">
        <v>18</v>
      </c>
      <c r="M2103" s="112">
        <v>21</v>
      </c>
      <c r="N2103" s="112">
        <v>-4</v>
      </c>
      <c r="O2103" s="117"/>
      <c r="P2103" s="117"/>
      <c r="Q2103" s="117"/>
    </row>
    <row r="2104" spans="1:17" s="119" customFormat="1" ht="17.5" customHeight="1">
      <c r="A2104" s="109" t="s">
        <v>7282</v>
      </c>
      <c r="B2104" s="109" t="s">
        <v>7283</v>
      </c>
      <c r="C2104" s="113">
        <v>2016</v>
      </c>
      <c r="D2104" s="112">
        <v>54</v>
      </c>
      <c r="E2104" s="112">
        <v>185</v>
      </c>
      <c r="F2104" s="112">
        <v>57</v>
      </c>
      <c r="G2104" s="112">
        <v>129</v>
      </c>
      <c r="H2104" s="112">
        <v>36</v>
      </c>
      <c r="I2104" s="112">
        <v>10</v>
      </c>
      <c r="J2104" s="112">
        <v>10</v>
      </c>
      <c r="K2104" s="112" t="s">
        <v>6952</v>
      </c>
      <c r="L2104" s="112">
        <v>24</v>
      </c>
      <c r="M2104" s="112">
        <v>24</v>
      </c>
      <c r="N2104" s="112" t="s">
        <v>6952</v>
      </c>
      <c r="O2104" s="117"/>
      <c r="P2104" s="117"/>
      <c r="Q2104" s="117"/>
    </row>
    <row r="2105" spans="1:17" s="119" customFormat="1" ht="17.5" customHeight="1">
      <c r="A2105" s="109" t="s">
        <v>7282</v>
      </c>
      <c r="B2105" s="109" t="s">
        <v>7283</v>
      </c>
      <c r="C2105" s="113">
        <v>2017</v>
      </c>
      <c r="D2105" s="112">
        <v>49</v>
      </c>
      <c r="E2105" s="112">
        <v>173</v>
      </c>
      <c r="F2105" s="112">
        <v>53</v>
      </c>
      <c r="G2105" s="112">
        <v>117</v>
      </c>
      <c r="H2105" s="112">
        <v>37</v>
      </c>
      <c r="I2105" s="112">
        <v>10</v>
      </c>
      <c r="J2105" s="112">
        <v>10</v>
      </c>
      <c r="K2105" s="112" t="s">
        <v>6952</v>
      </c>
      <c r="L2105" s="112">
        <v>21</v>
      </c>
      <c r="M2105" s="112">
        <v>24</v>
      </c>
      <c r="N2105" s="112">
        <v>-2</v>
      </c>
      <c r="O2105" s="110"/>
      <c r="P2105" s="110"/>
      <c r="Q2105" s="110"/>
    </row>
    <row r="2106" spans="1:17" s="119" customFormat="1" ht="17.5" customHeight="1">
      <c r="A2106" s="109" t="s">
        <v>7282</v>
      </c>
      <c r="B2106" s="109" t="s">
        <v>7283</v>
      </c>
      <c r="C2106" s="113">
        <v>2018</v>
      </c>
      <c r="D2106" s="112">
        <v>46</v>
      </c>
      <c r="E2106" s="112">
        <v>166</v>
      </c>
      <c r="F2106" s="112">
        <v>63</v>
      </c>
      <c r="G2106" s="112">
        <v>102</v>
      </c>
      <c r="H2106" s="112">
        <v>36</v>
      </c>
      <c r="I2106" s="112" t="s">
        <v>6952</v>
      </c>
      <c r="J2106" s="112" t="s">
        <v>6953</v>
      </c>
      <c r="K2106" s="112" t="s">
        <v>6953</v>
      </c>
      <c r="L2106" s="112">
        <v>21</v>
      </c>
      <c r="M2106" s="112">
        <v>21</v>
      </c>
      <c r="N2106" s="112">
        <v>-1</v>
      </c>
      <c r="O2106" s="110"/>
      <c r="P2106" s="110"/>
      <c r="Q2106" s="110"/>
    </row>
    <row r="2107" spans="1:17" s="119" customFormat="1" ht="17.5" customHeight="1">
      <c r="A2107" s="109" t="s">
        <v>7282</v>
      </c>
      <c r="B2107" s="109" t="s">
        <v>7283</v>
      </c>
      <c r="C2107" s="113">
        <v>2019</v>
      </c>
      <c r="D2107" s="112">
        <v>43</v>
      </c>
      <c r="E2107" s="112">
        <v>160.67791099999999</v>
      </c>
      <c r="F2107" s="112">
        <v>52.580961000000002</v>
      </c>
      <c r="G2107" s="112">
        <v>108.90352799999999</v>
      </c>
      <c r="H2107" s="112">
        <v>38.444229999999997</v>
      </c>
      <c r="I2107" s="112">
        <v>6.1980130000000004</v>
      </c>
      <c r="J2107" s="112">
        <v>6.2562670000000002</v>
      </c>
      <c r="K2107" s="112" t="s">
        <v>6952</v>
      </c>
      <c r="L2107" s="112">
        <v>21.076571000000001</v>
      </c>
      <c r="M2107" s="112">
        <v>20.002979</v>
      </c>
      <c r="N2107" s="112">
        <v>1.0735920000000001</v>
      </c>
      <c r="O2107" s="100"/>
      <c r="P2107" s="100"/>
      <c r="Q2107" s="100"/>
    </row>
    <row r="2108" spans="1:17" s="119" customFormat="1" ht="17.5" customHeight="1">
      <c r="A2108" s="114" t="s">
        <v>7282</v>
      </c>
      <c r="B2108" s="114" t="s">
        <v>7283</v>
      </c>
      <c r="C2108" s="113">
        <v>2020</v>
      </c>
      <c r="D2108" s="112">
        <v>42</v>
      </c>
      <c r="E2108" s="112">
        <v>146.84389899999999</v>
      </c>
      <c r="F2108" s="112">
        <v>41.301250000000003</v>
      </c>
      <c r="G2108" s="112">
        <v>103.49988500000001</v>
      </c>
      <c r="H2108" s="112">
        <v>34.688270000000003</v>
      </c>
      <c r="I2108" s="112">
        <v>2.344846</v>
      </c>
      <c r="J2108" s="112">
        <v>2.4384990000000002</v>
      </c>
      <c r="K2108" s="112" t="s">
        <v>6952</v>
      </c>
      <c r="L2108" s="112">
        <v>21.898043999999999</v>
      </c>
      <c r="M2108" s="112">
        <v>23.424054999999999</v>
      </c>
      <c r="N2108" s="112">
        <v>-1.526011</v>
      </c>
      <c r="O2108" s="110"/>
      <c r="P2108" s="110"/>
      <c r="Q2108" s="110"/>
    </row>
    <row r="2109" spans="1:17" s="119" customFormat="1" ht="31.75" customHeight="1">
      <c r="A2109" s="109" t="s">
        <v>7284</v>
      </c>
      <c r="B2109" s="109" t="s">
        <v>7285</v>
      </c>
      <c r="C2109" s="98">
        <v>2008</v>
      </c>
      <c r="D2109" s="99">
        <v>178</v>
      </c>
      <c r="E2109" s="99">
        <v>1140</v>
      </c>
      <c r="F2109" s="99">
        <v>377</v>
      </c>
      <c r="G2109" s="99">
        <v>775</v>
      </c>
      <c r="H2109" s="99">
        <v>207</v>
      </c>
      <c r="I2109" s="99">
        <v>116</v>
      </c>
      <c r="J2109" s="99">
        <v>124</v>
      </c>
      <c r="K2109" s="99">
        <v>8</v>
      </c>
      <c r="L2109" s="99">
        <v>114</v>
      </c>
      <c r="M2109" s="99">
        <v>107</v>
      </c>
      <c r="N2109" s="99">
        <v>7</v>
      </c>
      <c r="O2109" s="100"/>
      <c r="P2109" s="100"/>
      <c r="Q2109" s="100"/>
    </row>
    <row r="2110" spans="1:17" s="119" customFormat="1" ht="31.75" customHeight="1">
      <c r="A2110" s="109" t="s">
        <v>7284</v>
      </c>
      <c r="B2110" s="109" t="s">
        <v>7285</v>
      </c>
      <c r="C2110" s="98">
        <v>2009</v>
      </c>
      <c r="D2110" s="99">
        <v>173</v>
      </c>
      <c r="E2110" s="99">
        <v>1068</v>
      </c>
      <c r="F2110" s="99">
        <v>317</v>
      </c>
      <c r="G2110" s="99">
        <v>739</v>
      </c>
      <c r="H2110" s="99">
        <v>210</v>
      </c>
      <c r="I2110" s="112" t="s">
        <v>6953</v>
      </c>
      <c r="J2110" s="99">
        <v>33</v>
      </c>
      <c r="K2110" s="112" t="s">
        <v>6953</v>
      </c>
      <c r="L2110" s="99">
        <v>124</v>
      </c>
      <c r="M2110" s="99">
        <v>136</v>
      </c>
      <c r="N2110" s="99">
        <v>-12</v>
      </c>
      <c r="O2110" s="100"/>
      <c r="P2110" s="100"/>
      <c r="Q2110" s="100"/>
    </row>
    <row r="2111" spans="1:17" s="119" customFormat="1" ht="31.75" customHeight="1">
      <c r="A2111" s="109" t="s">
        <v>7284</v>
      </c>
      <c r="B2111" s="109" t="s">
        <v>7285</v>
      </c>
      <c r="C2111" s="98">
        <v>2010</v>
      </c>
      <c r="D2111" s="99">
        <v>162</v>
      </c>
      <c r="E2111" s="99">
        <v>1140</v>
      </c>
      <c r="F2111" s="99">
        <v>346</v>
      </c>
      <c r="G2111" s="99">
        <v>802</v>
      </c>
      <c r="H2111" s="99">
        <v>189</v>
      </c>
      <c r="I2111" s="112" t="s">
        <v>6953</v>
      </c>
      <c r="J2111" s="99">
        <v>28</v>
      </c>
      <c r="K2111" s="112" t="s">
        <v>6953</v>
      </c>
      <c r="L2111" s="99">
        <v>128</v>
      </c>
      <c r="M2111" s="99">
        <v>118</v>
      </c>
      <c r="N2111" s="99">
        <v>10</v>
      </c>
      <c r="O2111" s="110"/>
      <c r="P2111" s="110"/>
      <c r="Q2111" s="110"/>
    </row>
    <row r="2112" spans="1:17" s="119" customFormat="1" ht="31.75" customHeight="1">
      <c r="A2112" s="109" t="s">
        <v>7284</v>
      </c>
      <c r="B2112" s="109" t="s">
        <v>7285</v>
      </c>
      <c r="C2112" s="98">
        <v>2011</v>
      </c>
      <c r="D2112" s="99">
        <v>168</v>
      </c>
      <c r="E2112" s="99">
        <v>1448</v>
      </c>
      <c r="F2112" s="99">
        <v>314</v>
      </c>
      <c r="G2112" s="99">
        <v>1141</v>
      </c>
      <c r="H2112" s="99">
        <v>216</v>
      </c>
      <c r="I2112" s="99">
        <v>55</v>
      </c>
      <c r="J2112" s="99">
        <v>59</v>
      </c>
      <c r="K2112" s="99">
        <v>4</v>
      </c>
      <c r="L2112" s="99">
        <v>158</v>
      </c>
      <c r="M2112" s="99">
        <v>151</v>
      </c>
      <c r="N2112" s="99">
        <v>7</v>
      </c>
      <c r="O2112" s="110"/>
      <c r="P2112" s="110"/>
      <c r="Q2112" s="110"/>
    </row>
    <row r="2113" spans="1:17" s="119" customFormat="1" ht="31.75" customHeight="1">
      <c r="A2113" s="109" t="s">
        <v>7284</v>
      </c>
      <c r="B2113" s="109" t="s">
        <v>7285</v>
      </c>
      <c r="C2113" s="111">
        <v>2012</v>
      </c>
      <c r="D2113" s="112">
        <v>166</v>
      </c>
      <c r="E2113" s="112">
        <v>1275</v>
      </c>
      <c r="F2113" s="112">
        <v>313</v>
      </c>
      <c r="G2113" s="112">
        <v>965</v>
      </c>
      <c r="H2113" s="112">
        <v>249</v>
      </c>
      <c r="I2113" s="112">
        <v>73</v>
      </c>
      <c r="J2113" s="112">
        <v>87</v>
      </c>
      <c r="K2113" s="112">
        <v>14</v>
      </c>
      <c r="L2113" s="112">
        <v>147</v>
      </c>
      <c r="M2113" s="112">
        <v>145</v>
      </c>
      <c r="N2113" s="112">
        <v>2</v>
      </c>
      <c r="O2113" s="117"/>
      <c r="P2113" s="117"/>
      <c r="Q2113" s="117"/>
    </row>
    <row r="2114" spans="1:17" s="119" customFormat="1" ht="31.75" customHeight="1">
      <c r="A2114" s="109" t="s">
        <v>7284</v>
      </c>
      <c r="B2114" s="109" t="s">
        <v>7285</v>
      </c>
      <c r="C2114" s="113">
        <v>2013</v>
      </c>
      <c r="D2114" s="112">
        <v>168</v>
      </c>
      <c r="E2114" s="112">
        <v>1274</v>
      </c>
      <c r="F2114" s="112">
        <v>369</v>
      </c>
      <c r="G2114" s="112">
        <v>918</v>
      </c>
      <c r="H2114" s="112">
        <v>256</v>
      </c>
      <c r="I2114" s="112">
        <v>66</v>
      </c>
      <c r="J2114" s="112">
        <v>71</v>
      </c>
      <c r="K2114" s="112">
        <v>5</v>
      </c>
      <c r="L2114" s="112">
        <v>137</v>
      </c>
      <c r="M2114" s="112">
        <v>125</v>
      </c>
      <c r="N2114" s="112">
        <v>12</v>
      </c>
      <c r="O2114" s="117"/>
      <c r="P2114" s="117"/>
      <c r="Q2114" s="117"/>
    </row>
    <row r="2115" spans="1:17" s="119" customFormat="1" ht="31.75" customHeight="1">
      <c r="A2115" s="109" t="s">
        <v>7284</v>
      </c>
      <c r="B2115" s="109" t="s">
        <v>7285</v>
      </c>
      <c r="C2115" s="113">
        <v>2014</v>
      </c>
      <c r="D2115" s="99">
        <v>172</v>
      </c>
      <c r="E2115" s="99">
        <v>1370</v>
      </c>
      <c r="F2115" s="99">
        <v>419</v>
      </c>
      <c r="G2115" s="99">
        <v>966</v>
      </c>
      <c r="H2115" s="99">
        <v>254</v>
      </c>
      <c r="I2115" s="99">
        <v>46</v>
      </c>
      <c r="J2115" s="99">
        <v>48</v>
      </c>
      <c r="K2115" s="99">
        <v>2</v>
      </c>
      <c r="L2115" s="99">
        <v>131</v>
      </c>
      <c r="M2115" s="99">
        <v>118</v>
      </c>
      <c r="N2115" s="99">
        <v>12</v>
      </c>
      <c r="O2115" s="117"/>
      <c r="P2115" s="117"/>
      <c r="Q2115" s="117"/>
    </row>
    <row r="2116" spans="1:17" s="119" customFormat="1" ht="31.75" customHeight="1">
      <c r="A2116" s="109" t="s">
        <v>7284</v>
      </c>
      <c r="B2116" s="109" t="s">
        <v>7285</v>
      </c>
      <c r="C2116" s="113">
        <v>2015</v>
      </c>
      <c r="D2116" s="112">
        <v>181</v>
      </c>
      <c r="E2116" s="112">
        <v>1375</v>
      </c>
      <c r="F2116" s="112">
        <v>447</v>
      </c>
      <c r="G2116" s="112">
        <v>952</v>
      </c>
      <c r="H2116" s="112">
        <v>206</v>
      </c>
      <c r="I2116" s="112">
        <v>82</v>
      </c>
      <c r="J2116" s="112">
        <v>87</v>
      </c>
      <c r="K2116" s="112">
        <v>5</v>
      </c>
      <c r="L2116" s="112">
        <v>122</v>
      </c>
      <c r="M2116" s="112">
        <v>110</v>
      </c>
      <c r="N2116" s="112">
        <v>12</v>
      </c>
      <c r="O2116" s="117"/>
      <c r="P2116" s="117"/>
      <c r="Q2116" s="117"/>
    </row>
    <row r="2117" spans="1:17" s="119" customFormat="1" ht="31.75" customHeight="1">
      <c r="A2117" s="109" t="s">
        <v>7284</v>
      </c>
      <c r="B2117" s="109" t="s">
        <v>7285</v>
      </c>
      <c r="C2117" s="113">
        <v>2016</v>
      </c>
      <c r="D2117" s="112">
        <v>172</v>
      </c>
      <c r="E2117" s="112">
        <v>1318</v>
      </c>
      <c r="F2117" s="112">
        <v>423</v>
      </c>
      <c r="G2117" s="112">
        <v>892</v>
      </c>
      <c r="H2117" s="112">
        <v>211</v>
      </c>
      <c r="I2117" s="112">
        <v>63</v>
      </c>
      <c r="J2117" s="112">
        <v>64</v>
      </c>
      <c r="K2117" s="112">
        <v>1</v>
      </c>
      <c r="L2117" s="112">
        <v>133</v>
      </c>
      <c r="M2117" s="112">
        <v>139</v>
      </c>
      <c r="N2117" s="112">
        <v>-6</v>
      </c>
      <c r="O2117" s="110"/>
      <c r="P2117" s="110"/>
      <c r="Q2117" s="110"/>
    </row>
    <row r="2118" spans="1:17" s="119" customFormat="1" ht="31.75" customHeight="1">
      <c r="A2118" s="109" t="s">
        <v>7284</v>
      </c>
      <c r="B2118" s="109" t="s">
        <v>7285</v>
      </c>
      <c r="C2118" s="113">
        <v>2017</v>
      </c>
      <c r="D2118" s="112">
        <v>171</v>
      </c>
      <c r="E2118" s="112">
        <v>1321</v>
      </c>
      <c r="F2118" s="112">
        <v>404</v>
      </c>
      <c r="G2118" s="112">
        <v>950</v>
      </c>
      <c r="H2118" s="112">
        <v>224</v>
      </c>
      <c r="I2118" s="112">
        <v>88</v>
      </c>
      <c r="J2118" s="112">
        <v>90</v>
      </c>
      <c r="K2118" s="112">
        <v>2</v>
      </c>
      <c r="L2118" s="112">
        <v>133</v>
      </c>
      <c r="M2118" s="112">
        <v>127</v>
      </c>
      <c r="N2118" s="112">
        <v>6</v>
      </c>
      <c r="O2118" s="110"/>
      <c r="P2118" s="110"/>
      <c r="Q2118" s="110"/>
    </row>
    <row r="2119" spans="1:17" s="119" customFormat="1" ht="31.75" customHeight="1">
      <c r="A2119" s="109" t="s">
        <v>7284</v>
      </c>
      <c r="B2119" s="109" t="s">
        <v>7285</v>
      </c>
      <c r="C2119" s="113">
        <v>2018</v>
      </c>
      <c r="D2119" s="112">
        <v>161</v>
      </c>
      <c r="E2119" s="112">
        <v>1231</v>
      </c>
      <c r="F2119" s="112">
        <v>346</v>
      </c>
      <c r="G2119" s="112">
        <v>905</v>
      </c>
      <c r="H2119" s="112">
        <v>203</v>
      </c>
      <c r="I2119" s="112">
        <v>44</v>
      </c>
      <c r="J2119" s="112" t="s">
        <v>6953</v>
      </c>
      <c r="K2119" s="112" t="s">
        <v>6953</v>
      </c>
      <c r="L2119" s="112">
        <v>130</v>
      </c>
      <c r="M2119" s="112">
        <v>111</v>
      </c>
      <c r="N2119" s="112">
        <v>19</v>
      </c>
      <c r="O2119" s="100"/>
      <c r="P2119" s="100"/>
      <c r="Q2119" s="100"/>
    </row>
    <row r="2120" spans="1:17" s="119" customFormat="1" ht="31.75" customHeight="1">
      <c r="A2120" s="109" t="s">
        <v>7284</v>
      </c>
      <c r="B2120" s="109" t="s">
        <v>7285</v>
      </c>
      <c r="C2120" s="113">
        <v>2019</v>
      </c>
      <c r="D2120" s="112">
        <v>172</v>
      </c>
      <c r="E2120" s="112">
        <v>1104.827407</v>
      </c>
      <c r="F2120" s="112">
        <v>360.31084900000002</v>
      </c>
      <c r="G2120" s="112">
        <v>764.24721099999999</v>
      </c>
      <c r="H2120" s="112">
        <v>183.862459</v>
      </c>
      <c r="I2120" s="112">
        <v>42.123165</v>
      </c>
      <c r="J2120" s="112">
        <v>54.879351</v>
      </c>
      <c r="K2120" s="112">
        <v>12.756186</v>
      </c>
      <c r="L2120" s="112">
        <v>135.87866199999999</v>
      </c>
      <c r="M2120" s="112">
        <v>116.18527899999999</v>
      </c>
      <c r="N2120" s="112">
        <v>19.693383000000001</v>
      </c>
      <c r="O2120" s="110"/>
      <c r="P2120" s="110"/>
      <c r="Q2120" s="110"/>
    </row>
    <row r="2121" spans="1:17" s="119" customFormat="1" ht="31.75" customHeight="1">
      <c r="A2121" s="114" t="s">
        <v>7284</v>
      </c>
      <c r="B2121" s="109" t="s">
        <v>7285</v>
      </c>
      <c r="C2121" s="113">
        <v>2020</v>
      </c>
      <c r="D2121" s="112">
        <v>181</v>
      </c>
      <c r="E2121" s="112">
        <v>1020.785387</v>
      </c>
      <c r="F2121" s="112">
        <v>324.14797099999998</v>
      </c>
      <c r="G2121" s="112">
        <v>651.86250299999995</v>
      </c>
      <c r="H2121" s="112">
        <v>204.375955</v>
      </c>
      <c r="I2121" s="112">
        <v>62.818255000000001</v>
      </c>
      <c r="J2121" s="112">
        <v>64.198126000000002</v>
      </c>
      <c r="K2121" s="112">
        <v>1.3798710000000001</v>
      </c>
      <c r="L2121" s="112">
        <v>119.457633</v>
      </c>
      <c r="M2121" s="112">
        <v>164.68247299999999</v>
      </c>
      <c r="N2121" s="112">
        <v>-45.224839000000003</v>
      </c>
      <c r="O2121" s="100"/>
      <c r="P2121" s="100"/>
      <c r="Q2121" s="100"/>
    </row>
    <row r="2122" spans="1:17" s="119" customFormat="1" ht="17.5" customHeight="1">
      <c r="A2122" s="109" t="s">
        <v>7286</v>
      </c>
      <c r="B2122" s="109" t="s">
        <v>7287</v>
      </c>
      <c r="C2122" s="98">
        <v>2008</v>
      </c>
      <c r="D2122" s="99">
        <v>1582</v>
      </c>
      <c r="E2122" s="99">
        <v>21337</v>
      </c>
      <c r="F2122" s="99">
        <v>5639</v>
      </c>
      <c r="G2122" s="99">
        <v>15780</v>
      </c>
      <c r="H2122" s="99">
        <v>2962</v>
      </c>
      <c r="I2122" s="99">
        <v>416</v>
      </c>
      <c r="J2122" s="99">
        <v>455</v>
      </c>
      <c r="K2122" s="99">
        <v>39</v>
      </c>
      <c r="L2122" s="99">
        <v>2585</v>
      </c>
      <c r="M2122" s="99">
        <v>2529</v>
      </c>
      <c r="N2122" s="99">
        <v>56</v>
      </c>
      <c r="O2122" s="100"/>
      <c r="P2122" s="100"/>
      <c r="Q2122" s="100"/>
    </row>
    <row r="2123" spans="1:17" s="119" customFormat="1" ht="17.5" customHeight="1">
      <c r="A2123" s="109" t="s">
        <v>7286</v>
      </c>
      <c r="B2123" s="109" t="s">
        <v>7287</v>
      </c>
      <c r="C2123" s="98">
        <v>2009</v>
      </c>
      <c r="D2123" s="99">
        <v>1505</v>
      </c>
      <c r="E2123" s="99">
        <v>15986</v>
      </c>
      <c r="F2123" s="99">
        <v>3196</v>
      </c>
      <c r="G2123" s="99">
        <v>12364</v>
      </c>
      <c r="H2123" s="99">
        <v>2687</v>
      </c>
      <c r="I2123" s="99">
        <v>230</v>
      </c>
      <c r="J2123" s="99">
        <v>278</v>
      </c>
      <c r="K2123" s="99">
        <v>49</v>
      </c>
      <c r="L2123" s="99">
        <v>2073</v>
      </c>
      <c r="M2123" s="99">
        <v>2496</v>
      </c>
      <c r="N2123" s="99">
        <v>-423</v>
      </c>
      <c r="O2123" s="110"/>
      <c r="P2123" s="110"/>
      <c r="Q2123" s="110"/>
    </row>
    <row r="2124" spans="1:17" s="119" customFormat="1" ht="17.5" customHeight="1">
      <c r="A2124" s="109" t="s">
        <v>7286</v>
      </c>
      <c r="B2124" s="109" t="s">
        <v>7287</v>
      </c>
      <c r="C2124" s="98">
        <v>2010</v>
      </c>
      <c r="D2124" s="99">
        <v>1452</v>
      </c>
      <c r="E2124" s="99">
        <v>17964</v>
      </c>
      <c r="F2124" s="99">
        <v>4370</v>
      </c>
      <c r="G2124" s="99">
        <v>14078</v>
      </c>
      <c r="H2124" s="99">
        <v>2811</v>
      </c>
      <c r="I2124" s="99">
        <v>258</v>
      </c>
      <c r="J2124" s="99">
        <v>287</v>
      </c>
      <c r="K2124" s="99">
        <v>29</v>
      </c>
      <c r="L2124" s="99">
        <v>2649</v>
      </c>
      <c r="M2124" s="99">
        <v>2166</v>
      </c>
      <c r="N2124" s="99">
        <v>483</v>
      </c>
      <c r="O2124" s="110"/>
      <c r="P2124" s="110"/>
      <c r="Q2124" s="110"/>
    </row>
    <row r="2125" spans="1:17" s="119" customFormat="1" ht="17.5" customHeight="1">
      <c r="A2125" s="109" t="s">
        <v>7286</v>
      </c>
      <c r="B2125" s="109" t="s">
        <v>7287</v>
      </c>
      <c r="C2125" s="98">
        <v>2011</v>
      </c>
      <c r="D2125" s="99">
        <v>1403</v>
      </c>
      <c r="E2125" s="99">
        <v>19661</v>
      </c>
      <c r="F2125" s="99">
        <v>4600</v>
      </c>
      <c r="G2125" s="99">
        <v>15320</v>
      </c>
      <c r="H2125" s="99">
        <v>2863</v>
      </c>
      <c r="I2125" s="99">
        <v>431</v>
      </c>
      <c r="J2125" s="99">
        <v>489</v>
      </c>
      <c r="K2125" s="99">
        <v>58</v>
      </c>
      <c r="L2125" s="99">
        <v>2728</v>
      </c>
      <c r="M2125" s="99">
        <v>2460</v>
      </c>
      <c r="N2125" s="99">
        <v>268</v>
      </c>
      <c r="O2125" s="117"/>
      <c r="P2125" s="117"/>
      <c r="Q2125" s="117"/>
    </row>
    <row r="2126" spans="1:17" s="119" customFormat="1" ht="17.5" customHeight="1">
      <c r="A2126" s="109" t="s">
        <v>7286</v>
      </c>
      <c r="B2126" s="109" t="s">
        <v>7287</v>
      </c>
      <c r="C2126" s="111">
        <v>2012</v>
      </c>
      <c r="D2126" s="112">
        <v>1400</v>
      </c>
      <c r="E2126" s="112">
        <v>17548</v>
      </c>
      <c r="F2126" s="112">
        <v>3628</v>
      </c>
      <c r="G2126" s="112">
        <v>13653</v>
      </c>
      <c r="H2126" s="112">
        <v>2766</v>
      </c>
      <c r="I2126" s="112">
        <v>454</v>
      </c>
      <c r="J2126" s="112">
        <v>495</v>
      </c>
      <c r="K2126" s="112">
        <v>42</v>
      </c>
      <c r="L2126" s="112">
        <v>2474</v>
      </c>
      <c r="M2126" s="112">
        <v>2746</v>
      </c>
      <c r="N2126" s="112">
        <v>-272</v>
      </c>
      <c r="O2126" s="117"/>
      <c r="P2126" s="117"/>
      <c r="Q2126" s="117"/>
    </row>
    <row r="2127" spans="1:17" s="119" customFormat="1" ht="17.5" customHeight="1">
      <c r="A2127" s="109" t="s">
        <v>7286</v>
      </c>
      <c r="B2127" s="109" t="s">
        <v>7287</v>
      </c>
      <c r="C2127" s="113">
        <v>2013</v>
      </c>
      <c r="D2127" s="112">
        <v>1485</v>
      </c>
      <c r="E2127" s="112">
        <v>18284</v>
      </c>
      <c r="F2127" s="112">
        <v>4065</v>
      </c>
      <c r="G2127" s="112">
        <v>14148</v>
      </c>
      <c r="H2127" s="112">
        <v>2780</v>
      </c>
      <c r="I2127" s="112">
        <v>364</v>
      </c>
      <c r="J2127" s="112">
        <v>373</v>
      </c>
      <c r="K2127" s="112">
        <v>9</v>
      </c>
      <c r="L2127" s="112">
        <v>2362</v>
      </c>
      <c r="M2127" s="112">
        <v>2479</v>
      </c>
      <c r="N2127" s="112">
        <v>-117</v>
      </c>
      <c r="O2127" s="117"/>
      <c r="P2127" s="117"/>
      <c r="Q2127" s="117"/>
    </row>
    <row r="2128" spans="1:17" s="119" customFormat="1" ht="17.5" customHeight="1">
      <c r="A2128" s="109" t="s">
        <v>7286</v>
      </c>
      <c r="B2128" s="109" t="s">
        <v>7287</v>
      </c>
      <c r="C2128" s="113">
        <v>2014</v>
      </c>
      <c r="D2128" s="99">
        <v>1594</v>
      </c>
      <c r="E2128" s="99">
        <v>17727</v>
      </c>
      <c r="F2128" s="99">
        <v>4483</v>
      </c>
      <c r="G2128" s="99">
        <v>13237</v>
      </c>
      <c r="H2128" s="99">
        <v>2931</v>
      </c>
      <c r="I2128" s="99">
        <v>387</v>
      </c>
      <c r="J2128" s="99">
        <v>423</v>
      </c>
      <c r="K2128" s="99">
        <v>37</v>
      </c>
      <c r="L2128" s="99">
        <v>2332</v>
      </c>
      <c r="M2128" s="99">
        <v>2364</v>
      </c>
      <c r="N2128" s="99">
        <v>-32</v>
      </c>
      <c r="O2128" s="117"/>
      <c r="P2128" s="117"/>
      <c r="Q2128" s="117"/>
    </row>
    <row r="2129" spans="1:17" s="119" customFormat="1" ht="17.5" customHeight="1">
      <c r="A2129" s="109" t="s">
        <v>7286</v>
      </c>
      <c r="B2129" s="109" t="s">
        <v>7287</v>
      </c>
      <c r="C2129" s="113">
        <v>2015</v>
      </c>
      <c r="D2129" s="112">
        <v>1846</v>
      </c>
      <c r="E2129" s="112">
        <v>15925</v>
      </c>
      <c r="F2129" s="112">
        <v>4311</v>
      </c>
      <c r="G2129" s="112">
        <v>11484</v>
      </c>
      <c r="H2129" s="112">
        <v>2885</v>
      </c>
      <c r="I2129" s="112">
        <v>400</v>
      </c>
      <c r="J2129" s="112">
        <v>434</v>
      </c>
      <c r="K2129" s="112">
        <v>34</v>
      </c>
      <c r="L2129" s="112">
        <v>2013</v>
      </c>
      <c r="M2129" s="112">
        <v>2293</v>
      </c>
      <c r="N2129" s="112">
        <v>-280</v>
      </c>
      <c r="O2129" s="110"/>
      <c r="P2129" s="110"/>
      <c r="Q2129" s="110"/>
    </row>
    <row r="2130" spans="1:17" s="119" customFormat="1" ht="17.5" customHeight="1">
      <c r="A2130" s="109" t="s">
        <v>7286</v>
      </c>
      <c r="B2130" s="109" t="s">
        <v>7287</v>
      </c>
      <c r="C2130" s="113">
        <v>2016</v>
      </c>
      <c r="D2130" s="112">
        <v>1964</v>
      </c>
      <c r="E2130" s="112">
        <v>15377</v>
      </c>
      <c r="F2130" s="112">
        <v>3827</v>
      </c>
      <c r="G2130" s="112">
        <v>11619</v>
      </c>
      <c r="H2130" s="112">
        <v>3377</v>
      </c>
      <c r="I2130" s="112">
        <v>483</v>
      </c>
      <c r="J2130" s="112">
        <v>501</v>
      </c>
      <c r="K2130" s="112">
        <v>17</v>
      </c>
      <c r="L2130" s="112">
        <v>2364</v>
      </c>
      <c r="M2130" s="112">
        <v>2237</v>
      </c>
      <c r="N2130" s="112">
        <v>127</v>
      </c>
      <c r="O2130" s="110"/>
      <c r="P2130" s="110"/>
      <c r="Q2130" s="110"/>
    </row>
    <row r="2131" spans="1:17" s="119" customFormat="1" ht="17.5" customHeight="1">
      <c r="A2131" s="109" t="s">
        <v>7286</v>
      </c>
      <c r="B2131" s="109" t="s">
        <v>7287</v>
      </c>
      <c r="C2131" s="113">
        <v>2017</v>
      </c>
      <c r="D2131" s="112">
        <v>1764</v>
      </c>
      <c r="E2131" s="112">
        <v>16755</v>
      </c>
      <c r="F2131" s="112">
        <v>4027</v>
      </c>
      <c r="G2131" s="112">
        <v>12890</v>
      </c>
      <c r="H2131" s="112">
        <v>2943</v>
      </c>
      <c r="I2131" s="112">
        <v>596</v>
      </c>
      <c r="J2131" s="112">
        <v>675</v>
      </c>
      <c r="K2131" s="112">
        <v>78</v>
      </c>
      <c r="L2131" s="112">
        <v>2345</v>
      </c>
      <c r="M2131" s="112">
        <v>2161</v>
      </c>
      <c r="N2131" s="112">
        <v>184</v>
      </c>
      <c r="O2131" s="100"/>
      <c r="P2131" s="100"/>
      <c r="Q2131" s="100"/>
    </row>
    <row r="2132" spans="1:17" s="119" customFormat="1" ht="17.5" customHeight="1">
      <c r="A2132" s="109" t="s">
        <v>7286</v>
      </c>
      <c r="B2132" s="109" t="s">
        <v>7287</v>
      </c>
      <c r="C2132" s="113">
        <v>2018</v>
      </c>
      <c r="D2132" s="112">
        <v>1792</v>
      </c>
      <c r="E2132" s="112">
        <v>17363</v>
      </c>
      <c r="F2132" s="112">
        <v>3790</v>
      </c>
      <c r="G2132" s="112">
        <v>13614</v>
      </c>
      <c r="H2132" s="112">
        <v>2981</v>
      </c>
      <c r="I2132" s="112">
        <v>464</v>
      </c>
      <c r="J2132" s="112">
        <v>592</v>
      </c>
      <c r="K2132" s="112">
        <v>128</v>
      </c>
      <c r="L2132" s="112">
        <v>2465</v>
      </c>
      <c r="M2132" s="112">
        <v>2425</v>
      </c>
      <c r="N2132" s="112">
        <v>40</v>
      </c>
      <c r="O2132" s="110"/>
      <c r="P2132" s="110"/>
      <c r="Q2132" s="110"/>
    </row>
    <row r="2133" spans="1:17" s="119" customFormat="1" ht="17.5" customHeight="1">
      <c r="A2133" s="109" t="s">
        <v>7286</v>
      </c>
      <c r="B2133" s="109" t="s">
        <v>7287</v>
      </c>
      <c r="C2133" s="113">
        <v>2019</v>
      </c>
      <c r="D2133" s="112">
        <v>1820</v>
      </c>
      <c r="E2133" s="112">
        <v>16572.711641999998</v>
      </c>
      <c r="F2133" s="112">
        <v>3716.0643679999998</v>
      </c>
      <c r="G2133" s="112">
        <v>12702.013945000001</v>
      </c>
      <c r="H2133" s="112">
        <v>2962.3921810000002</v>
      </c>
      <c r="I2133" s="112">
        <v>505.78311400000001</v>
      </c>
      <c r="J2133" s="112">
        <v>568.74806699999999</v>
      </c>
      <c r="K2133" s="112">
        <v>62.964951999999997</v>
      </c>
      <c r="L2133" s="112">
        <v>2452.9706179999998</v>
      </c>
      <c r="M2133" s="112">
        <v>2645.9101099999998</v>
      </c>
      <c r="N2133" s="112">
        <v>-192.939493</v>
      </c>
      <c r="O2133" s="100"/>
      <c r="P2133" s="100"/>
      <c r="Q2133" s="100"/>
    </row>
    <row r="2134" spans="1:17" s="119" customFormat="1" ht="17.5" customHeight="1">
      <c r="A2134" s="114" t="s">
        <v>7286</v>
      </c>
      <c r="B2134" s="114" t="s">
        <v>7287</v>
      </c>
      <c r="C2134" s="113">
        <v>2020</v>
      </c>
      <c r="D2134" s="112">
        <v>1833</v>
      </c>
      <c r="E2134" s="112">
        <v>13864.472029</v>
      </c>
      <c r="F2134" s="112">
        <v>3388.1341550000002</v>
      </c>
      <c r="G2134" s="112">
        <v>10353.409266000001</v>
      </c>
      <c r="H2134" s="112">
        <v>2837.2947279999998</v>
      </c>
      <c r="I2134" s="112">
        <v>390.26894700000003</v>
      </c>
      <c r="J2134" s="112">
        <v>424.54781600000001</v>
      </c>
      <c r="K2134" s="112">
        <v>34.278868000000003</v>
      </c>
      <c r="L2134" s="112">
        <v>2199.4772910000002</v>
      </c>
      <c r="M2134" s="112">
        <v>2331.046609</v>
      </c>
      <c r="N2134" s="112">
        <v>-131.56931800000001</v>
      </c>
      <c r="O2134" s="100"/>
      <c r="P2134" s="100"/>
      <c r="Q2134" s="100"/>
    </row>
    <row r="2135" spans="1:17" s="119" customFormat="1" ht="31.75" customHeight="1">
      <c r="A2135" s="109" t="s">
        <v>7288</v>
      </c>
      <c r="B2135" s="109" t="s">
        <v>7289</v>
      </c>
      <c r="C2135" s="98">
        <v>2008</v>
      </c>
      <c r="D2135" s="99">
        <v>58</v>
      </c>
      <c r="E2135" s="99">
        <v>8928</v>
      </c>
      <c r="F2135" s="99">
        <v>2143</v>
      </c>
      <c r="G2135" s="99">
        <v>6779</v>
      </c>
      <c r="H2135" s="99">
        <v>930</v>
      </c>
      <c r="I2135" s="99">
        <v>188</v>
      </c>
      <c r="J2135" s="99">
        <v>203</v>
      </c>
      <c r="K2135" s="99">
        <v>14</v>
      </c>
      <c r="L2135" s="99">
        <v>1254</v>
      </c>
      <c r="M2135" s="99">
        <v>1280</v>
      </c>
      <c r="N2135" s="99">
        <v>-26</v>
      </c>
      <c r="O2135" s="110"/>
      <c r="P2135" s="110"/>
      <c r="Q2135" s="110"/>
    </row>
    <row r="2136" spans="1:17" s="119" customFormat="1" ht="31.75" customHeight="1">
      <c r="A2136" s="109" t="s">
        <v>7288</v>
      </c>
      <c r="B2136" s="109" t="s">
        <v>7289</v>
      </c>
      <c r="C2136" s="98">
        <v>2009</v>
      </c>
      <c r="D2136" s="99">
        <v>107</v>
      </c>
      <c r="E2136" s="99">
        <v>5965</v>
      </c>
      <c r="F2136" s="99">
        <v>435</v>
      </c>
      <c r="G2136" s="99">
        <v>5244</v>
      </c>
      <c r="H2136" s="99">
        <v>825</v>
      </c>
      <c r="I2136" s="112" t="s">
        <v>6953</v>
      </c>
      <c r="J2136" s="99">
        <v>149</v>
      </c>
      <c r="K2136" s="112" t="s">
        <v>6953</v>
      </c>
      <c r="L2136" s="99">
        <v>982</v>
      </c>
      <c r="M2136" s="99">
        <v>1268</v>
      </c>
      <c r="N2136" s="99">
        <v>-286</v>
      </c>
      <c r="O2136" s="110"/>
      <c r="P2136" s="110"/>
      <c r="Q2136" s="110"/>
    </row>
    <row r="2137" spans="1:17" s="119" customFormat="1" ht="31.75" customHeight="1">
      <c r="A2137" s="109" t="s">
        <v>7288</v>
      </c>
      <c r="B2137" s="109" t="s">
        <v>7289</v>
      </c>
      <c r="C2137" s="98">
        <v>2010</v>
      </c>
      <c r="D2137" s="99">
        <v>161</v>
      </c>
      <c r="E2137" s="99">
        <v>7093</v>
      </c>
      <c r="F2137" s="99">
        <v>1152</v>
      </c>
      <c r="G2137" s="99">
        <v>6124</v>
      </c>
      <c r="H2137" s="99">
        <v>798</v>
      </c>
      <c r="I2137" s="99">
        <v>92</v>
      </c>
      <c r="J2137" s="99">
        <v>102</v>
      </c>
      <c r="K2137" s="99">
        <v>10</v>
      </c>
      <c r="L2137" s="99">
        <v>1219</v>
      </c>
      <c r="M2137" s="99">
        <v>1033</v>
      </c>
      <c r="N2137" s="99">
        <v>186</v>
      </c>
      <c r="O2137" s="117"/>
      <c r="P2137" s="117"/>
      <c r="Q2137" s="117"/>
    </row>
    <row r="2138" spans="1:17" s="119" customFormat="1" ht="31.75" customHeight="1">
      <c r="A2138" s="109" t="s">
        <v>7288</v>
      </c>
      <c r="B2138" s="109" t="s">
        <v>7289</v>
      </c>
      <c r="C2138" s="98">
        <v>2011</v>
      </c>
      <c r="D2138" s="99">
        <v>190</v>
      </c>
      <c r="E2138" s="99">
        <v>7566</v>
      </c>
      <c r="F2138" s="99">
        <v>1126</v>
      </c>
      <c r="G2138" s="99">
        <v>6444</v>
      </c>
      <c r="H2138" s="99">
        <v>823</v>
      </c>
      <c r="I2138" s="99">
        <v>269</v>
      </c>
      <c r="J2138" s="99">
        <v>299</v>
      </c>
      <c r="K2138" s="99">
        <v>30</v>
      </c>
      <c r="L2138" s="99">
        <v>1106</v>
      </c>
      <c r="M2138" s="99">
        <v>1098</v>
      </c>
      <c r="N2138" s="99">
        <v>8</v>
      </c>
      <c r="O2138" s="117"/>
      <c r="P2138" s="117"/>
      <c r="Q2138" s="117"/>
    </row>
    <row r="2139" spans="1:17" s="119" customFormat="1" ht="31.75" customHeight="1">
      <c r="A2139" s="109" t="s">
        <v>7288</v>
      </c>
      <c r="B2139" s="109" t="s">
        <v>7289</v>
      </c>
      <c r="C2139" s="111">
        <v>2012</v>
      </c>
      <c r="D2139" s="112">
        <v>214</v>
      </c>
      <c r="E2139" s="112">
        <v>6444</v>
      </c>
      <c r="F2139" s="112">
        <v>962</v>
      </c>
      <c r="G2139" s="112">
        <v>5350</v>
      </c>
      <c r="H2139" s="112">
        <v>821</v>
      </c>
      <c r="I2139" s="112">
        <v>280</v>
      </c>
      <c r="J2139" s="112" t="s">
        <v>6953</v>
      </c>
      <c r="K2139" s="112" t="s">
        <v>6953</v>
      </c>
      <c r="L2139" s="112">
        <v>984</v>
      </c>
      <c r="M2139" s="112">
        <v>1119</v>
      </c>
      <c r="N2139" s="112">
        <v>-135</v>
      </c>
      <c r="O2139" s="117"/>
      <c r="P2139" s="117"/>
      <c r="Q2139" s="117"/>
    </row>
    <row r="2140" spans="1:17" s="119" customFormat="1" ht="31.75" customHeight="1">
      <c r="A2140" s="109" t="s">
        <v>7288</v>
      </c>
      <c r="B2140" s="109" t="s">
        <v>7289</v>
      </c>
      <c r="C2140" s="113">
        <v>2013</v>
      </c>
      <c r="D2140" s="112">
        <v>336</v>
      </c>
      <c r="E2140" s="112">
        <v>7292</v>
      </c>
      <c r="F2140" s="112">
        <v>906</v>
      </c>
      <c r="G2140" s="112">
        <v>6276</v>
      </c>
      <c r="H2140" s="112">
        <v>831</v>
      </c>
      <c r="I2140" s="112">
        <v>162</v>
      </c>
      <c r="J2140" s="112">
        <v>164</v>
      </c>
      <c r="K2140" s="112">
        <v>2</v>
      </c>
      <c r="L2140" s="112">
        <v>968</v>
      </c>
      <c r="M2140" s="112">
        <v>1077</v>
      </c>
      <c r="N2140" s="112">
        <v>-109</v>
      </c>
      <c r="O2140" s="117"/>
      <c r="P2140" s="117"/>
      <c r="Q2140" s="117"/>
    </row>
    <row r="2141" spans="1:17" s="119" customFormat="1" ht="31.75" customHeight="1">
      <c r="A2141" s="109" t="s">
        <v>7288</v>
      </c>
      <c r="B2141" s="109" t="s">
        <v>7289</v>
      </c>
      <c r="C2141" s="113">
        <v>2014</v>
      </c>
      <c r="D2141" s="99">
        <v>449</v>
      </c>
      <c r="E2141" s="99">
        <v>6922</v>
      </c>
      <c r="F2141" s="99">
        <v>1039</v>
      </c>
      <c r="G2141" s="99">
        <v>5835</v>
      </c>
      <c r="H2141" s="99">
        <v>838</v>
      </c>
      <c r="I2141" s="99">
        <v>126</v>
      </c>
      <c r="J2141" s="99">
        <v>148</v>
      </c>
      <c r="K2141" s="99">
        <v>22</v>
      </c>
      <c r="L2141" s="99">
        <v>953</v>
      </c>
      <c r="M2141" s="99">
        <v>1006</v>
      </c>
      <c r="N2141" s="99">
        <v>-52</v>
      </c>
      <c r="O2141" s="110"/>
      <c r="P2141" s="110"/>
      <c r="Q2141" s="110"/>
    </row>
    <row r="2142" spans="1:17" s="119" customFormat="1" ht="31.75" customHeight="1">
      <c r="A2142" s="109" t="s">
        <v>7288</v>
      </c>
      <c r="B2142" s="109" t="s">
        <v>7289</v>
      </c>
      <c r="C2142" s="113">
        <v>2015</v>
      </c>
      <c r="D2142" s="112">
        <v>696</v>
      </c>
      <c r="E2142" s="112">
        <v>6119</v>
      </c>
      <c r="F2142" s="112">
        <v>1499</v>
      </c>
      <c r="G2142" s="112">
        <v>4590</v>
      </c>
      <c r="H2142" s="112">
        <v>779</v>
      </c>
      <c r="I2142" s="112">
        <v>181</v>
      </c>
      <c r="J2142" s="112">
        <v>186</v>
      </c>
      <c r="K2142" s="112">
        <v>5</v>
      </c>
      <c r="L2142" s="112">
        <v>721</v>
      </c>
      <c r="M2142" s="112">
        <v>889</v>
      </c>
      <c r="N2142" s="112">
        <v>-168</v>
      </c>
      <c r="O2142" s="110"/>
      <c r="P2142" s="110"/>
      <c r="Q2142" s="110"/>
    </row>
    <row r="2143" spans="1:17" s="119" customFormat="1" ht="31.75" customHeight="1">
      <c r="A2143" s="109" t="s">
        <v>7288</v>
      </c>
      <c r="B2143" s="109" t="s">
        <v>7289</v>
      </c>
      <c r="C2143" s="113">
        <v>2016</v>
      </c>
      <c r="D2143" s="112">
        <v>785</v>
      </c>
      <c r="E2143" s="112">
        <v>6014</v>
      </c>
      <c r="F2143" s="112">
        <v>1044</v>
      </c>
      <c r="G2143" s="112">
        <v>4990</v>
      </c>
      <c r="H2143" s="112">
        <v>1388</v>
      </c>
      <c r="I2143" s="112">
        <v>251</v>
      </c>
      <c r="J2143" s="112">
        <v>257</v>
      </c>
      <c r="K2143" s="112">
        <v>6</v>
      </c>
      <c r="L2143" s="112">
        <v>975</v>
      </c>
      <c r="M2143" s="112">
        <v>883</v>
      </c>
      <c r="N2143" s="112">
        <v>92</v>
      </c>
      <c r="O2143" s="100"/>
      <c r="P2143" s="100"/>
      <c r="Q2143" s="100"/>
    </row>
    <row r="2144" spans="1:17" s="119" customFormat="1" ht="31.75" customHeight="1">
      <c r="A2144" s="109" t="s">
        <v>7288</v>
      </c>
      <c r="B2144" s="109" t="s">
        <v>7289</v>
      </c>
      <c r="C2144" s="113">
        <v>2017</v>
      </c>
      <c r="D2144" s="112">
        <v>637</v>
      </c>
      <c r="E2144" s="112">
        <v>7031</v>
      </c>
      <c r="F2144" s="112">
        <v>1237</v>
      </c>
      <c r="G2144" s="112">
        <v>5929</v>
      </c>
      <c r="H2144" s="112">
        <v>964</v>
      </c>
      <c r="I2144" s="112">
        <v>320</v>
      </c>
      <c r="J2144" s="112" t="s">
        <v>6953</v>
      </c>
      <c r="K2144" s="112" t="s">
        <v>6953</v>
      </c>
      <c r="L2144" s="112">
        <v>1222</v>
      </c>
      <c r="M2144" s="112">
        <v>1049</v>
      </c>
      <c r="N2144" s="112">
        <v>173</v>
      </c>
      <c r="O2144" s="110"/>
      <c r="P2144" s="110"/>
      <c r="Q2144" s="110"/>
    </row>
    <row r="2145" spans="1:17" s="119" customFormat="1" ht="31.75" customHeight="1">
      <c r="A2145" s="109" t="s">
        <v>7288</v>
      </c>
      <c r="B2145" s="109" t="s">
        <v>7289</v>
      </c>
      <c r="C2145" s="113">
        <v>2018</v>
      </c>
      <c r="D2145" s="112">
        <v>683</v>
      </c>
      <c r="E2145" s="112">
        <v>7667</v>
      </c>
      <c r="F2145" s="112">
        <v>1124</v>
      </c>
      <c r="G2145" s="112">
        <v>6718</v>
      </c>
      <c r="H2145" s="112">
        <v>977</v>
      </c>
      <c r="I2145" s="112">
        <v>170</v>
      </c>
      <c r="J2145" s="112">
        <v>290</v>
      </c>
      <c r="K2145" s="112">
        <v>121</v>
      </c>
      <c r="L2145" s="112">
        <v>1470</v>
      </c>
      <c r="M2145" s="112">
        <v>1275</v>
      </c>
      <c r="N2145" s="112">
        <v>195</v>
      </c>
      <c r="O2145" s="100"/>
      <c r="P2145" s="100"/>
      <c r="Q2145" s="100"/>
    </row>
    <row r="2146" spans="1:17" s="119" customFormat="1" ht="31.75" customHeight="1">
      <c r="A2146" s="109" t="s">
        <v>7288</v>
      </c>
      <c r="B2146" s="109" t="s">
        <v>7289</v>
      </c>
      <c r="C2146" s="113">
        <v>2019</v>
      </c>
      <c r="D2146" s="112">
        <v>707</v>
      </c>
      <c r="E2146" s="112">
        <v>7041.8232850000004</v>
      </c>
      <c r="F2146" s="112">
        <v>530.05922199999998</v>
      </c>
      <c r="G2146" s="112">
        <v>6260.94272</v>
      </c>
      <c r="H2146" s="112">
        <v>965.47024199999998</v>
      </c>
      <c r="I2146" s="112">
        <v>268.69662399999999</v>
      </c>
      <c r="J2146" s="112">
        <v>315.12194099999999</v>
      </c>
      <c r="K2146" s="112">
        <v>46.425317</v>
      </c>
      <c r="L2146" s="112">
        <v>1277.0483019999999</v>
      </c>
      <c r="M2146" s="112">
        <v>1534.3306030000001</v>
      </c>
      <c r="N2146" s="112">
        <v>-257.28230100000002</v>
      </c>
      <c r="O2146" s="100"/>
      <c r="P2146" s="100"/>
      <c r="Q2146" s="100"/>
    </row>
    <row r="2147" spans="1:17" s="119" customFormat="1" ht="31.75" customHeight="1">
      <c r="A2147" s="114" t="s">
        <v>7288</v>
      </c>
      <c r="B2147" s="114" t="s">
        <v>7290</v>
      </c>
      <c r="C2147" s="113">
        <v>2020</v>
      </c>
      <c r="D2147" s="112">
        <v>728</v>
      </c>
      <c r="E2147" s="112">
        <v>5824.016345</v>
      </c>
      <c r="F2147" s="112">
        <v>763.18274799999995</v>
      </c>
      <c r="G2147" s="112">
        <v>4979.6831270000002</v>
      </c>
      <c r="H2147" s="112">
        <v>917.80216800000005</v>
      </c>
      <c r="I2147" s="112">
        <v>231.429406</v>
      </c>
      <c r="J2147" s="112">
        <v>242.84760900000001</v>
      </c>
      <c r="K2147" s="112">
        <v>11.418203</v>
      </c>
      <c r="L2147" s="112">
        <v>1173.0452439999999</v>
      </c>
      <c r="M2147" s="112">
        <v>1252.3030200000001</v>
      </c>
      <c r="N2147" s="112">
        <v>-79.257777000000004</v>
      </c>
      <c r="O2147" s="110"/>
      <c r="P2147" s="110"/>
      <c r="Q2147" s="110"/>
    </row>
    <row r="2148" spans="1:17" s="119" customFormat="1" ht="31.75" customHeight="1">
      <c r="A2148" s="109" t="s">
        <v>7291</v>
      </c>
      <c r="B2148" s="109" t="s">
        <v>7292</v>
      </c>
      <c r="C2148" s="98">
        <v>2008</v>
      </c>
      <c r="D2148" s="99">
        <v>289</v>
      </c>
      <c r="E2148" s="99">
        <v>2181</v>
      </c>
      <c r="F2148" s="99">
        <v>671</v>
      </c>
      <c r="G2148" s="99">
        <v>1530</v>
      </c>
      <c r="H2148" s="99">
        <v>356</v>
      </c>
      <c r="I2148" s="99">
        <v>26</v>
      </c>
      <c r="J2148" s="99">
        <v>30</v>
      </c>
      <c r="K2148" s="99">
        <v>4</v>
      </c>
      <c r="L2148" s="99">
        <v>370</v>
      </c>
      <c r="M2148" s="99">
        <v>349</v>
      </c>
      <c r="N2148" s="99">
        <v>21</v>
      </c>
      <c r="O2148" s="110"/>
      <c r="P2148" s="110"/>
      <c r="Q2148" s="110"/>
    </row>
    <row r="2149" spans="1:17" s="119" customFormat="1" ht="31.75" customHeight="1">
      <c r="A2149" s="109" t="s">
        <v>7291</v>
      </c>
      <c r="B2149" s="109" t="s">
        <v>7292</v>
      </c>
      <c r="C2149" s="98">
        <v>2009</v>
      </c>
      <c r="D2149" s="99">
        <v>267</v>
      </c>
      <c r="E2149" s="99">
        <v>1949</v>
      </c>
      <c r="F2149" s="99">
        <v>502</v>
      </c>
      <c r="G2149" s="99">
        <v>1436</v>
      </c>
      <c r="H2149" s="99">
        <v>295</v>
      </c>
      <c r="I2149" s="112" t="s">
        <v>6953</v>
      </c>
      <c r="J2149" s="99">
        <v>27</v>
      </c>
      <c r="K2149" s="112" t="s">
        <v>6953</v>
      </c>
      <c r="L2149" s="99">
        <v>343</v>
      </c>
      <c r="M2149" s="99">
        <v>352</v>
      </c>
      <c r="N2149" s="99">
        <v>-9</v>
      </c>
      <c r="O2149" s="117"/>
      <c r="P2149" s="117"/>
      <c r="Q2149" s="117"/>
    </row>
    <row r="2150" spans="1:17" s="119" customFormat="1" ht="31.75" customHeight="1">
      <c r="A2150" s="109" t="s">
        <v>7291</v>
      </c>
      <c r="B2150" s="109" t="s">
        <v>7292</v>
      </c>
      <c r="C2150" s="98">
        <v>2010</v>
      </c>
      <c r="D2150" s="99">
        <v>253</v>
      </c>
      <c r="E2150" s="99">
        <v>1968</v>
      </c>
      <c r="F2150" s="99">
        <v>515</v>
      </c>
      <c r="G2150" s="99">
        <v>1465</v>
      </c>
      <c r="H2150" s="99">
        <v>297</v>
      </c>
      <c r="I2150" s="99">
        <v>18</v>
      </c>
      <c r="J2150" s="99">
        <v>25</v>
      </c>
      <c r="K2150" s="99">
        <v>7</v>
      </c>
      <c r="L2150" s="99">
        <v>334</v>
      </c>
      <c r="M2150" s="99">
        <v>321</v>
      </c>
      <c r="N2150" s="99">
        <v>13</v>
      </c>
      <c r="O2150" s="117"/>
      <c r="P2150" s="117"/>
      <c r="Q2150" s="117"/>
    </row>
    <row r="2151" spans="1:17" s="119" customFormat="1" ht="31.75" customHeight="1">
      <c r="A2151" s="109" t="s">
        <v>7291</v>
      </c>
      <c r="B2151" s="109" t="s">
        <v>7292</v>
      </c>
      <c r="C2151" s="98">
        <v>2011</v>
      </c>
      <c r="D2151" s="99">
        <v>267</v>
      </c>
      <c r="E2151" s="99">
        <v>2282</v>
      </c>
      <c r="F2151" s="99">
        <v>548</v>
      </c>
      <c r="G2151" s="99">
        <v>1749</v>
      </c>
      <c r="H2151" s="99">
        <v>381</v>
      </c>
      <c r="I2151" s="99">
        <v>28</v>
      </c>
      <c r="J2151" s="99">
        <v>36</v>
      </c>
      <c r="K2151" s="99">
        <v>8</v>
      </c>
      <c r="L2151" s="99">
        <v>408</v>
      </c>
      <c r="M2151" s="99">
        <v>391</v>
      </c>
      <c r="N2151" s="99">
        <v>17</v>
      </c>
      <c r="O2151" s="117"/>
      <c r="P2151" s="117"/>
      <c r="Q2151" s="117"/>
    </row>
    <row r="2152" spans="1:17" s="119" customFormat="1" ht="31.75" customHeight="1">
      <c r="A2152" s="109" t="s">
        <v>7291</v>
      </c>
      <c r="B2152" s="109" t="s">
        <v>7292</v>
      </c>
      <c r="C2152" s="111">
        <v>2012</v>
      </c>
      <c r="D2152" s="112">
        <v>283</v>
      </c>
      <c r="E2152" s="112">
        <v>2039</v>
      </c>
      <c r="F2152" s="112">
        <v>352</v>
      </c>
      <c r="G2152" s="112">
        <v>1672</v>
      </c>
      <c r="H2152" s="112">
        <v>351</v>
      </c>
      <c r="I2152" s="112">
        <v>32</v>
      </c>
      <c r="J2152" s="112" t="s">
        <v>6953</v>
      </c>
      <c r="K2152" s="112" t="s">
        <v>6953</v>
      </c>
      <c r="L2152" s="112">
        <v>422</v>
      </c>
      <c r="M2152" s="112">
        <v>436</v>
      </c>
      <c r="N2152" s="112">
        <v>-14</v>
      </c>
      <c r="O2152" s="117"/>
      <c r="P2152" s="117"/>
      <c r="Q2152" s="117"/>
    </row>
    <row r="2153" spans="1:17" s="119" customFormat="1" ht="31.75" customHeight="1">
      <c r="A2153" s="109" t="s">
        <v>7291</v>
      </c>
      <c r="B2153" s="109" t="s">
        <v>7292</v>
      </c>
      <c r="C2153" s="113">
        <v>2013</v>
      </c>
      <c r="D2153" s="112">
        <v>284</v>
      </c>
      <c r="E2153" s="112">
        <v>1959</v>
      </c>
      <c r="F2153" s="112">
        <v>598</v>
      </c>
      <c r="G2153" s="112">
        <v>1412</v>
      </c>
      <c r="H2153" s="112">
        <v>343</v>
      </c>
      <c r="I2153" s="112">
        <v>31</v>
      </c>
      <c r="J2153" s="112">
        <v>32</v>
      </c>
      <c r="K2153" s="112">
        <v>1</v>
      </c>
      <c r="L2153" s="112">
        <v>381</v>
      </c>
      <c r="M2153" s="112">
        <v>329</v>
      </c>
      <c r="N2153" s="112">
        <v>52</v>
      </c>
      <c r="O2153" s="110"/>
      <c r="P2153" s="110"/>
      <c r="Q2153" s="110"/>
    </row>
    <row r="2154" spans="1:17" s="119" customFormat="1" ht="31.75" customHeight="1">
      <c r="A2154" s="109" t="s">
        <v>7291</v>
      </c>
      <c r="B2154" s="109" t="s">
        <v>7292</v>
      </c>
      <c r="C2154" s="113">
        <v>2014</v>
      </c>
      <c r="D2154" s="99">
        <v>287</v>
      </c>
      <c r="E2154" s="99">
        <v>2365</v>
      </c>
      <c r="F2154" s="99">
        <v>931</v>
      </c>
      <c r="G2154" s="99">
        <v>1448</v>
      </c>
      <c r="H2154" s="99">
        <v>448</v>
      </c>
      <c r="I2154" s="99">
        <v>84</v>
      </c>
      <c r="J2154" s="99">
        <v>88</v>
      </c>
      <c r="K2154" s="99">
        <v>4</v>
      </c>
      <c r="L2154" s="99">
        <v>396</v>
      </c>
      <c r="M2154" s="99">
        <v>401</v>
      </c>
      <c r="N2154" s="99">
        <v>-5</v>
      </c>
      <c r="O2154" s="110"/>
      <c r="P2154" s="110"/>
      <c r="Q2154" s="110"/>
    </row>
    <row r="2155" spans="1:17" s="119" customFormat="1" ht="31.75" customHeight="1">
      <c r="A2155" s="109" t="s">
        <v>7291</v>
      </c>
      <c r="B2155" s="109" t="s">
        <v>7292</v>
      </c>
      <c r="C2155" s="113">
        <v>2015</v>
      </c>
      <c r="D2155" s="112">
        <v>308</v>
      </c>
      <c r="E2155" s="112">
        <v>1938</v>
      </c>
      <c r="F2155" s="112">
        <v>503</v>
      </c>
      <c r="G2155" s="112">
        <v>1388</v>
      </c>
      <c r="H2155" s="112">
        <v>426</v>
      </c>
      <c r="I2155" s="112">
        <v>43</v>
      </c>
      <c r="J2155" s="112">
        <v>53</v>
      </c>
      <c r="K2155" s="112">
        <v>10</v>
      </c>
      <c r="L2155" s="112">
        <v>335</v>
      </c>
      <c r="M2155" s="112">
        <v>385</v>
      </c>
      <c r="N2155" s="112">
        <v>-50</v>
      </c>
      <c r="O2155" s="100"/>
      <c r="P2155" s="100"/>
      <c r="Q2155" s="100"/>
    </row>
    <row r="2156" spans="1:17" s="119" customFormat="1" ht="31.75" customHeight="1">
      <c r="A2156" s="109" t="s">
        <v>7291</v>
      </c>
      <c r="B2156" s="109" t="s">
        <v>7292</v>
      </c>
      <c r="C2156" s="113">
        <v>2016</v>
      </c>
      <c r="D2156" s="112">
        <v>325</v>
      </c>
      <c r="E2156" s="112">
        <v>1585</v>
      </c>
      <c r="F2156" s="112">
        <v>530</v>
      </c>
      <c r="G2156" s="112">
        <v>1062</v>
      </c>
      <c r="H2156" s="112">
        <v>277</v>
      </c>
      <c r="I2156" s="112">
        <v>43</v>
      </c>
      <c r="J2156" s="112">
        <v>46</v>
      </c>
      <c r="K2156" s="112">
        <v>3</v>
      </c>
      <c r="L2156" s="112">
        <v>341</v>
      </c>
      <c r="M2156" s="112">
        <v>333</v>
      </c>
      <c r="N2156" s="112">
        <v>8</v>
      </c>
      <c r="O2156" s="110"/>
      <c r="P2156" s="110"/>
      <c r="Q2156" s="110"/>
    </row>
    <row r="2157" spans="1:17" s="119" customFormat="1" ht="31.75" customHeight="1">
      <c r="A2157" s="109" t="s">
        <v>7291</v>
      </c>
      <c r="B2157" s="109" t="s">
        <v>7292</v>
      </c>
      <c r="C2157" s="113">
        <v>2017</v>
      </c>
      <c r="D2157" s="112">
        <v>292</v>
      </c>
      <c r="E2157" s="112">
        <v>1412</v>
      </c>
      <c r="F2157" s="112">
        <v>296</v>
      </c>
      <c r="G2157" s="112">
        <v>1004</v>
      </c>
      <c r="H2157" s="112">
        <v>255</v>
      </c>
      <c r="I2157" s="112">
        <v>5</v>
      </c>
      <c r="J2157" s="112" t="s">
        <v>6953</v>
      </c>
      <c r="K2157" s="112" t="s">
        <v>6953</v>
      </c>
      <c r="L2157" s="112">
        <v>163</v>
      </c>
      <c r="M2157" s="112">
        <v>275</v>
      </c>
      <c r="N2157" s="112">
        <v>-112</v>
      </c>
      <c r="O2157" s="100"/>
      <c r="P2157" s="100"/>
      <c r="Q2157" s="100"/>
    </row>
    <row r="2158" spans="1:17" s="119" customFormat="1" ht="31.75" customHeight="1">
      <c r="A2158" s="109" t="s">
        <v>7291</v>
      </c>
      <c r="B2158" s="109" t="s">
        <v>7292</v>
      </c>
      <c r="C2158" s="113">
        <v>2018</v>
      </c>
      <c r="D2158" s="112">
        <v>305</v>
      </c>
      <c r="E2158" s="112">
        <v>1163</v>
      </c>
      <c r="F2158" s="112">
        <v>400</v>
      </c>
      <c r="G2158" s="112">
        <v>749</v>
      </c>
      <c r="H2158" s="112">
        <v>244</v>
      </c>
      <c r="I2158" s="112">
        <v>60</v>
      </c>
      <c r="J2158" s="112">
        <v>62</v>
      </c>
      <c r="K2158" s="112">
        <v>2</v>
      </c>
      <c r="L2158" s="112">
        <v>154</v>
      </c>
      <c r="M2158" s="112">
        <v>168</v>
      </c>
      <c r="N2158" s="112">
        <v>-14</v>
      </c>
      <c r="O2158" s="100"/>
      <c r="P2158" s="100"/>
      <c r="Q2158" s="100"/>
    </row>
    <row r="2159" spans="1:17" s="119" customFormat="1" ht="31.75" customHeight="1">
      <c r="A2159" s="109" t="s">
        <v>7291</v>
      </c>
      <c r="B2159" s="109" t="s">
        <v>7292</v>
      </c>
      <c r="C2159" s="113">
        <v>2019</v>
      </c>
      <c r="D2159" s="112">
        <v>325</v>
      </c>
      <c r="E2159" s="112">
        <v>1349.3342250000001</v>
      </c>
      <c r="F2159" s="112">
        <v>511.308877</v>
      </c>
      <c r="G2159" s="112">
        <v>870.70993199999998</v>
      </c>
      <c r="H2159" s="112">
        <v>249.63558900000001</v>
      </c>
      <c r="I2159" s="112">
        <v>41.813564999999997</v>
      </c>
      <c r="J2159" s="112">
        <v>52.871952999999998</v>
      </c>
      <c r="K2159" s="112">
        <v>11.058388000000001</v>
      </c>
      <c r="L2159" s="112">
        <v>304.08978400000001</v>
      </c>
      <c r="M2159" s="112">
        <v>272.57475399999998</v>
      </c>
      <c r="N2159" s="112">
        <v>31.515029999999999</v>
      </c>
      <c r="O2159" s="110"/>
      <c r="P2159" s="110"/>
      <c r="Q2159" s="110"/>
    </row>
    <row r="2160" spans="1:17" s="119" customFormat="1" ht="31.75" customHeight="1">
      <c r="A2160" s="114" t="s">
        <v>7291</v>
      </c>
      <c r="B2160" s="114" t="s">
        <v>7292</v>
      </c>
      <c r="C2160" s="113">
        <v>2020</v>
      </c>
      <c r="D2160" s="112">
        <v>328</v>
      </c>
      <c r="E2160" s="112">
        <v>1211.6107950000001</v>
      </c>
      <c r="F2160" s="112">
        <v>484.67141199999998</v>
      </c>
      <c r="G2160" s="112">
        <v>742.24019299999998</v>
      </c>
      <c r="H2160" s="112">
        <v>243.375046</v>
      </c>
      <c r="I2160" s="112">
        <v>25.769269000000001</v>
      </c>
      <c r="J2160" s="112">
        <v>28.870106</v>
      </c>
      <c r="K2160" s="112">
        <v>3.1008369999999998</v>
      </c>
      <c r="L2160" s="112">
        <v>269.651363</v>
      </c>
      <c r="M2160" s="112">
        <v>254.88658899999999</v>
      </c>
      <c r="N2160" s="112">
        <v>14.764773999999999</v>
      </c>
      <c r="O2160" s="110"/>
      <c r="P2160" s="110"/>
      <c r="Q2160" s="110"/>
    </row>
    <row r="2161" spans="1:17" s="119" customFormat="1" ht="31.75" customHeight="1">
      <c r="A2161" s="109" t="s">
        <v>7293</v>
      </c>
      <c r="B2161" s="109" t="s">
        <v>7294</v>
      </c>
      <c r="C2161" s="98">
        <v>2008</v>
      </c>
      <c r="D2161" s="99">
        <v>69</v>
      </c>
      <c r="E2161" s="99">
        <v>751</v>
      </c>
      <c r="F2161" s="99">
        <v>231</v>
      </c>
      <c r="G2161" s="99">
        <v>533</v>
      </c>
      <c r="H2161" s="99">
        <v>104</v>
      </c>
      <c r="I2161" s="99">
        <v>23</v>
      </c>
      <c r="J2161" s="99">
        <v>24</v>
      </c>
      <c r="K2161" s="99">
        <v>1</v>
      </c>
      <c r="L2161" s="99">
        <v>68</v>
      </c>
      <c r="M2161" s="99">
        <v>57</v>
      </c>
      <c r="N2161" s="99">
        <v>11</v>
      </c>
      <c r="O2161" s="117"/>
      <c r="P2161" s="117"/>
      <c r="Q2161" s="117"/>
    </row>
    <row r="2162" spans="1:17" s="119" customFormat="1" ht="31.75" customHeight="1">
      <c r="A2162" s="109" t="s">
        <v>7293</v>
      </c>
      <c r="B2162" s="109" t="s">
        <v>7294</v>
      </c>
      <c r="C2162" s="98">
        <v>2009</v>
      </c>
      <c r="D2162" s="99">
        <v>64</v>
      </c>
      <c r="E2162" s="99">
        <v>545</v>
      </c>
      <c r="F2162" s="99">
        <v>140</v>
      </c>
      <c r="G2162" s="99">
        <v>393</v>
      </c>
      <c r="H2162" s="99">
        <v>83</v>
      </c>
      <c r="I2162" s="99">
        <v>13</v>
      </c>
      <c r="J2162" s="99">
        <v>14</v>
      </c>
      <c r="K2162" s="99">
        <v>1</v>
      </c>
      <c r="L2162" s="99">
        <v>46</v>
      </c>
      <c r="M2162" s="99">
        <v>62</v>
      </c>
      <c r="N2162" s="99">
        <v>-16</v>
      </c>
      <c r="O2162" s="117"/>
      <c r="P2162" s="117"/>
      <c r="Q2162" s="117"/>
    </row>
    <row r="2163" spans="1:17" s="119" customFormat="1" ht="31.75" customHeight="1">
      <c r="A2163" s="109" t="s">
        <v>7293</v>
      </c>
      <c r="B2163" s="109" t="s">
        <v>7294</v>
      </c>
      <c r="C2163" s="98">
        <v>2010</v>
      </c>
      <c r="D2163" s="99">
        <v>57</v>
      </c>
      <c r="E2163" s="99">
        <v>577</v>
      </c>
      <c r="F2163" s="99">
        <v>161</v>
      </c>
      <c r="G2163" s="99">
        <v>429</v>
      </c>
      <c r="H2163" s="99">
        <v>77</v>
      </c>
      <c r="I2163" s="99">
        <v>13</v>
      </c>
      <c r="J2163" s="99">
        <v>15</v>
      </c>
      <c r="K2163" s="99">
        <v>2</v>
      </c>
      <c r="L2163" s="99">
        <v>60</v>
      </c>
      <c r="M2163" s="99">
        <v>47</v>
      </c>
      <c r="N2163" s="99">
        <v>12</v>
      </c>
      <c r="O2163" s="117"/>
      <c r="P2163" s="117"/>
      <c r="Q2163" s="117"/>
    </row>
    <row r="2164" spans="1:17" s="119" customFormat="1" ht="31.75" customHeight="1">
      <c r="A2164" s="109" t="s">
        <v>7293</v>
      </c>
      <c r="B2164" s="109" t="s">
        <v>7294</v>
      </c>
      <c r="C2164" s="98">
        <v>2011</v>
      </c>
      <c r="D2164" s="99">
        <v>56</v>
      </c>
      <c r="E2164" s="99">
        <v>706</v>
      </c>
      <c r="F2164" s="99">
        <v>199</v>
      </c>
      <c r="G2164" s="99">
        <v>515</v>
      </c>
      <c r="H2164" s="99">
        <v>85</v>
      </c>
      <c r="I2164" s="99">
        <v>9</v>
      </c>
      <c r="J2164" s="99">
        <v>13</v>
      </c>
      <c r="K2164" s="99">
        <v>5</v>
      </c>
      <c r="L2164" s="99">
        <v>57</v>
      </c>
      <c r="M2164" s="99">
        <v>51</v>
      </c>
      <c r="N2164" s="99">
        <v>6</v>
      </c>
      <c r="O2164" s="117"/>
      <c r="P2164" s="117"/>
      <c r="Q2164" s="117"/>
    </row>
    <row r="2165" spans="1:17" s="119" customFormat="1" ht="31.75" customHeight="1">
      <c r="A2165" s="109" t="s">
        <v>7293</v>
      </c>
      <c r="B2165" s="109" t="s">
        <v>7294</v>
      </c>
      <c r="C2165" s="111">
        <v>2012</v>
      </c>
      <c r="D2165" s="112">
        <v>57</v>
      </c>
      <c r="E2165" s="112">
        <v>616</v>
      </c>
      <c r="F2165" s="112">
        <v>144</v>
      </c>
      <c r="G2165" s="112">
        <v>467</v>
      </c>
      <c r="H2165" s="112">
        <v>94</v>
      </c>
      <c r="I2165" s="112">
        <v>15</v>
      </c>
      <c r="J2165" s="112">
        <v>15</v>
      </c>
      <c r="K2165" s="112" t="s">
        <v>6952</v>
      </c>
      <c r="L2165" s="112">
        <v>60</v>
      </c>
      <c r="M2165" s="112">
        <v>66</v>
      </c>
      <c r="N2165" s="112">
        <v>-7</v>
      </c>
      <c r="O2165" s="110"/>
      <c r="P2165" s="110"/>
      <c r="Q2165" s="110"/>
    </row>
    <row r="2166" spans="1:17" s="119" customFormat="1" ht="31.75" customHeight="1">
      <c r="A2166" s="109" t="s">
        <v>7293</v>
      </c>
      <c r="B2166" s="109" t="s">
        <v>7294</v>
      </c>
      <c r="C2166" s="113">
        <v>2013</v>
      </c>
      <c r="D2166" s="112">
        <v>61</v>
      </c>
      <c r="E2166" s="112">
        <v>611</v>
      </c>
      <c r="F2166" s="112">
        <v>156</v>
      </c>
      <c r="G2166" s="112">
        <v>459</v>
      </c>
      <c r="H2166" s="112">
        <v>97</v>
      </c>
      <c r="I2166" s="112">
        <v>10</v>
      </c>
      <c r="J2166" s="112">
        <v>11</v>
      </c>
      <c r="K2166" s="112" t="s">
        <v>6952</v>
      </c>
      <c r="L2166" s="112">
        <v>71</v>
      </c>
      <c r="M2166" s="112">
        <v>67</v>
      </c>
      <c r="N2166" s="112">
        <v>3</v>
      </c>
      <c r="O2166" s="110"/>
      <c r="P2166" s="110"/>
      <c r="Q2166" s="110"/>
    </row>
    <row r="2167" spans="1:17" s="119" customFormat="1" ht="31.75" customHeight="1">
      <c r="A2167" s="109" t="s">
        <v>7293</v>
      </c>
      <c r="B2167" s="109" t="s">
        <v>7294</v>
      </c>
      <c r="C2167" s="113">
        <v>2014</v>
      </c>
      <c r="D2167" s="99">
        <v>67</v>
      </c>
      <c r="E2167" s="99">
        <v>635</v>
      </c>
      <c r="F2167" s="99">
        <v>136</v>
      </c>
      <c r="G2167" s="99">
        <v>493</v>
      </c>
      <c r="H2167" s="99">
        <v>94</v>
      </c>
      <c r="I2167" s="99">
        <v>17</v>
      </c>
      <c r="J2167" s="99">
        <v>18</v>
      </c>
      <c r="K2167" s="99">
        <v>1</v>
      </c>
      <c r="L2167" s="99">
        <v>55</v>
      </c>
      <c r="M2167" s="99">
        <v>60</v>
      </c>
      <c r="N2167" s="99">
        <v>-5</v>
      </c>
      <c r="O2167" s="100"/>
      <c r="P2167" s="100"/>
      <c r="Q2167" s="100"/>
    </row>
    <row r="2168" spans="1:17" s="119" customFormat="1" ht="31.75" customHeight="1">
      <c r="A2168" s="109" t="s">
        <v>7293</v>
      </c>
      <c r="B2168" s="109" t="s">
        <v>7294</v>
      </c>
      <c r="C2168" s="113">
        <v>2015</v>
      </c>
      <c r="D2168" s="112">
        <v>70</v>
      </c>
      <c r="E2168" s="112">
        <v>581</v>
      </c>
      <c r="F2168" s="112">
        <v>181</v>
      </c>
      <c r="G2168" s="112">
        <v>399</v>
      </c>
      <c r="H2168" s="112">
        <v>97</v>
      </c>
      <c r="I2168" s="112">
        <v>10</v>
      </c>
      <c r="J2168" s="112">
        <v>17</v>
      </c>
      <c r="K2168" s="112">
        <v>7</v>
      </c>
      <c r="L2168" s="112">
        <v>35</v>
      </c>
      <c r="M2168" s="112">
        <v>38</v>
      </c>
      <c r="N2168" s="112">
        <v>-2</v>
      </c>
      <c r="O2168" s="110"/>
      <c r="P2168" s="110"/>
      <c r="Q2168" s="110"/>
    </row>
    <row r="2169" spans="1:17" s="119" customFormat="1" ht="31.75" customHeight="1">
      <c r="A2169" s="109" t="s">
        <v>7293</v>
      </c>
      <c r="B2169" s="109" t="s">
        <v>7294</v>
      </c>
      <c r="C2169" s="113">
        <v>2016</v>
      </c>
      <c r="D2169" s="112">
        <v>77</v>
      </c>
      <c r="E2169" s="112">
        <v>712</v>
      </c>
      <c r="F2169" s="112">
        <v>248</v>
      </c>
      <c r="G2169" s="112">
        <v>470</v>
      </c>
      <c r="H2169" s="112">
        <v>108</v>
      </c>
      <c r="I2169" s="112">
        <v>19</v>
      </c>
      <c r="J2169" s="112">
        <v>19</v>
      </c>
      <c r="K2169" s="112">
        <v>1</v>
      </c>
      <c r="L2169" s="112">
        <v>56</v>
      </c>
      <c r="M2169" s="112">
        <v>52</v>
      </c>
      <c r="N2169" s="112">
        <v>4</v>
      </c>
      <c r="O2169" s="100"/>
      <c r="P2169" s="100"/>
      <c r="Q2169" s="100"/>
    </row>
    <row r="2170" spans="1:17" s="119" customFormat="1" ht="31.75" customHeight="1">
      <c r="A2170" s="109" t="s">
        <v>7293</v>
      </c>
      <c r="B2170" s="109" t="s">
        <v>7294</v>
      </c>
      <c r="C2170" s="113">
        <v>2017</v>
      </c>
      <c r="D2170" s="112">
        <v>73</v>
      </c>
      <c r="E2170" s="112">
        <v>744</v>
      </c>
      <c r="F2170" s="112">
        <v>242</v>
      </c>
      <c r="G2170" s="112">
        <v>514</v>
      </c>
      <c r="H2170" s="112">
        <v>108</v>
      </c>
      <c r="I2170" s="112">
        <v>11</v>
      </c>
      <c r="J2170" s="112">
        <v>12</v>
      </c>
      <c r="K2170" s="112">
        <v>1</v>
      </c>
      <c r="L2170" s="112">
        <v>62</v>
      </c>
      <c r="M2170" s="112">
        <v>53</v>
      </c>
      <c r="N2170" s="112">
        <v>10</v>
      </c>
      <c r="O2170" s="100"/>
      <c r="P2170" s="100"/>
      <c r="Q2170" s="100"/>
    </row>
    <row r="2171" spans="1:17" s="119" customFormat="1" ht="31.75" customHeight="1">
      <c r="A2171" s="109" t="s">
        <v>7293</v>
      </c>
      <c r="B2171" s="109" t="s">
        <v>7294</v>
      </c>
      <c r="C2171" s="113">
        <v>2018</v>
      </c>
      <c r="D2171" s="112">
        <v>74</v>
      </c>
      <c r="E2171" s="112">
        <v>867</v>
      </c>
      <c r="F2171" s="112">
        <v>296</v>
      </c>
      <c r="G2171" s="112">
        <v>590</v>
      </c>
      <c r="H2171" s="112">
        <v>114</v>
      </c>
      <c r="I2171" s="112">
        <v>14</v>
      </c>
      <c r="J2171" s="112">
        <v>16</v>
      </c>
      <c r="K2171" s="112">
        <v>1</v>
      </c>
      <c r="L2171" s="112">
        <v>81</v>
      </c>
      <c r="M2171" s="112">
        <v>63</v>
      </c>
      <c r="N2171" s="112">
        <v>18</v>
      </c>
      <c r="O2171" s="110"/>
      <c r="P2171" s="110"/>
      <c r="Q2171" s="110"/>
    </row>
    <row r="2172" spans="1:17" s="119" customFormat="1" ht="31.75" customHeight="1">
      <c r="A2172" s="109" t="s">
        <v>7293</v>
      </c>
      <c r="B2172" s="109" t="s">
        <v>7294</v>
      </c>
      <c r="C2172" s="113">
        <v>2019</v>
      </c>
      <c r="D2172" s="112">
        <v>74</v>
      </c>
      <c r="E2172" s="112">
        <v>938.17327599999999</v>
      </c>
      <c r="F2172" s="112">
        <v>299.446235</v>
      </c>
      <c r="G2172" s="112">
        <v>671.09735899999998</v>
      </c>
      <c r="H2172" s="112">
        <v>98.326954000000001</v>
      </c>
      <c r="I2172" s="112">
        <v>6.6208879999999999</v>
      </c>
      <c r="J2172" s="112">
        <v>10.110671</v>
      </c>
      <c r="K2172" s="112">
        <v>3.4897830000000001</v>
      </c>
      <c r="L2172" s="112">
        <v>129.151476</v>
      </c>
      <c r="M2172" s="112">
        <v>99.015573000000003</v>
      </c>
      <c r="N2172" s="112">
        <v>30.135902999999999</v>
      </c>
      <c r="O2172" s="110"/>
      <c r="P2172" s="110"/>
      <c r="Q2172" s="110"/>
    </row>
    <row r="2173" spans="1:17" s="119" customFormat="1" ht="31.75" customHeight="1">
      <c r="A2173" s="114" t="s">
        <v>7293</v>
      </c>
      <c r="B2173" s="114" t="s">
        <v>7294</v>
      </c>
      <c r="C2173" s="113">
        <v>2020</v>
      </c>
      <c r="D2173" s="112">
        <v>72</v>
      </c>
      <c r="E2173" s="112">
        <v>907.90982599999995</v>
      </c>
      <c r="F2173" s="112">
        <v>256.35446400000001</v>
      </c>
      <c r="G2173" s="112">
        <v>640.04254600000002</v>
      </c>
      <c r="H2173" s="112">
        <v>102.597559</v>
      </c>
      <c r="I2173" s="112">
        <v>11.961793</v>
      </c>
      <c r="J2173" s="112">
        <v>12.858192000000001</v>
      </c>
      <c r="K2173" s="112">
        <v>0.89639999999999997</v>
      </c>
      <c r="L2173" s="112">
        <v>102.962261</v>
      </c>
      <c r="M2173" s="112">
        <v>117.46750299999999</v>
      </c>
      <c r="N2173" s="112">
        <v>-14.505242000000001</v>
      </c>
      <c r="O2173" s="117"/>
      <c r="P2173" s="117"/>
      <c r="Q2173" s="117"/>
    </row>
    <row r="2174" spans="1:17" s="119" customFormat="1" ht="17.5" customHeight="1">
      <c r="A2174" s="109" t="s">
        <v>7295</v>
      </c>
      <c r="B2174" s="109" t="s">
        <v>7296</v>
      </c>
      <c r="C2174" s="98">
        <v>2008</v>
      </c>
      <c r="D2174" s="99">
        <v>11</v>
      </c>
      <c r="E2174" s="99">
        <v>82</v>
      </c>
      <c r="F2174" s="99">
        <v>23</v>
      </c>
      <c r="G2174" s="99">
        <v>63</v>
      </c>
      <c r="H2174" s="99">
        <v>12</v>
      </c>
      <c r="I2174" s="99">
        <v>1</v>
      </c>
      <c r="J2174" s="99">
        <v>1</v>
      </c>
      <c r="K2174" s="99" t="s">
        <v>6952</v>
      </c>
      <c r="L2174" s="99">
        <v>17</v>
      </c>
      <c r="M2174" s="99">
        <v>13</v>
      </c>
      <c r="N2174" s="99">
        <v>4</v>
      </c>
      <c r="O2174" s="117"/>
      <c r="P2174" s="117"/>
      <c r="Q2174" s="117"/>
    </row>
    <row r="2175" spans="1:17" s="119" customFormat="1" ht="17.5" customHeight="1">
      <c r="A2175" s="109" t="s">
        <v>7295</v>
      </c>
      <c r="B2175" s="109" t="s">
        <v>7296</v>
      </c>
      <c r="C2175" s="98">
        <v>2009</v>
      </c>
      <c r="D2175" s="112" t="s">
        <v>6953</v>
      </c>
      <c r="E2175" s="112" t="s">
        <v>6953</v>
      </c>
      <c r="F2175" s="112" t="s">
        <v>6953</v>
      </c>
      <c r="G2175" s="112" t="s">
        <v>6953</v>
      </c>
      <c r="H2175" s="112" t="s">
        <v>6953</v>
      </c>
      <c r="I2175" s="112" t="s">
        <v>6953</v>
      </c>
      <c r="J2175" s="112" t="s">
        <v>6953</v>
      </c>
      <c r="K2175" s="112" t="s">
        <v>6953</v>
      </c>
      <c r="L2175" s="112" t="s">
        <v>6953</v>
      </c>
      <c r="M2175" s="112" t="s">
        <v>6953</v>
      </c>
      <c r="N2175" s="112" t="s">
        <v>6953</v>
      </c>
      <c r="O2175" s="117"/>
      <c r="P2175" s="117"/>
      <c r="Q2175" s="117"/>
    </row>
    <row r="2176" spans="1:17" s="119" customFormat="1" ht="17.5" customHeight="1">
      <c r="A2176" s="109" t="s">
        <v>7295</v>
      </c>
      <c r="B2176" s="109" t="s">
        <v>7296</v>
      </c>
      <c r="C2176" s="98">
        <v>2010</v>
      </c>
      <c r="D2176" s="99">
        <v>9</v>
      </c>
      <c r="E2176" s="99">
        <v>76</v>
      </c>
      <c r="F2176" s="99">
        <v>20</v>
      </c>
      <c r="G2176" s="99">
        <v>60</v>
      </c>
      <c r="H2176" s="99">
        <v>11</v>
      </c>
      <c r="I2176" s="112" t="s">
        <v>6953</v>
      </c>
      <c r="J2176" s="112" t="s">
        <v>6953</v>
      </c>
      <c r="K2176" s="112" t="s">
        <v>6953</v>
      </c>
      <c r="L2176" s="99">
        <v>17</v>
      </c>
      <c r="M2176" s="99">
        <v>12</v>
      </c>
      <c r="N2176" s="99">
        <v>5</v>
      </c>
      <c r="O2176" s="117"/>
      <c r="P2176" s="117"/>
      <c r="Q2176" s="117"/>
    </row>
    <row r="2177" spans="1:17" s="119" customFormat="1" ht="17.5" customHeight="1">
      <c r="A2177" s="109" t="s">
        <v>7295</v>
      </c>
      <c r="B2177" s="109" t="s">
        <v>7296</v>
      </c>
      <c r="C2177" s="98">
        <v>2011</v>
      </c>
      <c r="D2177" s="99">
        <v>9</v>
      </c>
      <c r="E2177" s="99">
        <v>114</v>
      </c>
      <c r="F2177" s="99">
        <v>17</v>
      </c>
      <c r="G2177" s="99">
        <v>95</v>
      </c>
      <c r="H2177" s="99">
        <v>13</v>
      </c>
      <c r="I2177" s="99">
        <v>1</v>
      </c>
      <c r="J2177" s="99">
        <v>1</v>
      </c>
      <c r="K2177" s="99" t="s">
        <v>6952</v>
      </c>
      <c r="L2177" s="99">
        <v>18</v>
      </c>
      <c r="M2177" s="99">
        <v>19</v>
      </c>
      <c r="N2177" s="99">
        <v>-2</v>
      </c>
      <c r="O2177" s="110"/>
      <c r="P2177" s="110"/>
      <c r="Q2177" s="110"/>
    </row>
    <row r="2178" spans="1:17" s="119" customFormat="1" ht="17.5" customHeight="1">
      <c r="A2178" s="109" t="s">
        <v>7295</v>
      </c>
      <c r="B2178" s="109" t="s">
        <v>7296</v>
      </c>
      <c r="C2178" s="111">
        <v>2012</v>
      </c>
      <c r="D2178" s="112">
        <v>10</v>
      </c>
      <c r="E2178" s="112">
        <v>92</v>
      </c>
      <c r="F2178" s="112">
        <v>18</v>
      </c>
      <c r="G2178" s="112">
        <v>72</v>
      </c>
      <c r="H2178" s="112">
        <v>12</v>
      </c>
      <c r="I2178" s="112" t="s">
        <v>6952</v>
      </c>
      <c r="J2178" s="112" t="s">
        <v>6952</v>
      </c>
      <c r="K2178" s="112" t="s">
        <v>6952</v>
      </c>
      <c r="L2178" s="112">
        <v>17</v>
      </c>
      <c r="M2178" s="112">
        <v>19</v>
      </c>
      <c r="N2178" s="112">
        <v>-2</v>
      </c>
      <c r="O2178" s="110"/>
      <c r="P2178" s="110"/>
      <c r="Q2178" s="110"/>
    </row>
    <row r="2179" spans="1:17" s="119" customFormat="1" ht="17.5" customHeight="1">
      <c r="A2179" s="109" t="s">
        <v>7295</v>
      </c>
      <c r="B2179" s="109" t="s">
        <v>7296</v>
      </c>
      <c r="C2179" s="113">
        <v>2013</v>
      </c>
      <c r="D2179" s="112">
        <v>8</v>
      </c>
      <c r="E2179" s="112">
        <v>78</v>
      </c>
      <c r="F2179" s="112">
        <v>17</v>
      </c>
      <c r="G2179" s="112">
        <v>63</v>
      </c>
      <c r="H2179" s="112">
        <v>11</v>
      </c>
      <c r="I2179" s="112">
        <v>1</v>
      </c>
      <c r="J2179" s="112">
        <v>1</v>
      </c>
      <c r="K2179" s="112" t="s">
        <v>6952</v>
      </c>
      <c r="L2179" s="112">
        <v>19</v>
      </c>
      <c r="M2179" s="112">
        <v>17</v>
      </c>
      <c r="N2179" s="112">
        <v>2</v>
      </c>
      <c r="O2179" s="100"/>
      <c r="P2179" s="100"/>
      <c r="Q2179" s="100"/>
    </row>
    <row r="2180" spans="1:17" s="119" customFormat="1" ht="17.5" customHeight="1">
      <c r="A2180" s="109" t="s">
        <v>7295</v>
      </c>
      <c r="B2180" s="109" t="s">
        <v>7296</v>
      </c>
      <c r="C2180" s="113">
        <v>2014</v>
      </c>
      <c r="D2180" s="99">
        <v>9</v>
      </c>
      <c r="E2180" s="99">
        <v>83</v>
      </c>
      <c r="F2180" s="99">
        <v>17</v>
      </c>
      <c r="G2180" s="99">
        <v>66</v>
      </c>
      <c r="H2180" s="99">
        <v>14</v>
      </c>
      <c r="I2180" s="99">
        <v>2</v>
      </c>
      <c r="J2180" s="99">
        <v>2</v>
      </c>
      <c r="K2180" s="112" t="s">
        <v>6952</v>
      </c>
      <c r="L2180" s="99">
        <v>14</v>
      </c>
      <c r="M2180" s="99">
        <v>14</v>
      </c>
      <c r="N2180" s="99">
        <v>-1</v>
      </c>
      <c r="O2180" s="110"/>
      <c r="P2180" s="110"/>
      <c r="Q2180" s="110"/>
    </row>
    <row r="2181" spans="1:17" s="119" customFormat="1" ht="17.5" customHeight="1">
      <c r="A2181" s="109" t="s">
        <v>7295</v>
      </c>
      <c r="B2181" s="109" t="s">
        <v>7296</v>
      </c>
      <c r="C2181" s="113">
        <v>2015</v>
      </c>
      <c r="D2181" s="112">
        <v>9</v>
      </c>
      <c r="E2181" s="112">
        <v>42</v>
      </c>
      <c r="F2181" s="112">
        <v>11</v>
      </c>
      <c r="G2181" s="112">
        <v>31</v>
      </c>
      <c r="H2181" s="112">
        <v>6</v>
      </c>
      <c r="I2181" s="112">
        <v>-1</v>
      </c>
      <c r="J2181" s="112" t="s">
        <v>6952</v>
      </c>
      <c r="K2181" s="112">
        <v>2</v>
      </c>
      <c r="L2181" s="112">
        <v>8</v>
      </c>
      <c r="M2181" s="112">
        <v>8</v>
      </c>
      <c r="N2181" s="112" t="s">
        <v>6952</v>
      </c>
      <c r="O2181" s="100"/>
      <c r="P2181" s="100"/>
      <c r="Q2181" s="100"/>
    </row>
    <row r="2182" spans="1:17" s="119" customFormat="1" ht="17.5" customHeight="1">
      <c r="A2182" s="109" t="s">
        <v>7295</v>
      </c>
      <c r="B2182" s="109" t="s">
        <v>7296</v>
      </c>
      <c r="C2182" s="113">
        <v>2016</v>
      </c>
      <c r="D2182" s="112">
        <v>10</v>
      </c>
      <c r="E2182" s="112">
        <v>79</v>
      </c>
      <c r="F2182" s="112">
        <v>14</v>
      </c>
      <c r="G2182" s="112">
        <v>65</v>
      </c>
      <c r="H2182" s="112">
        <v>10</v>
      </c>
      <c r="I2182" s="112">
        <v>1</v>
      </c>
      <c r="J2182" s="112">
        <v>1</v>
      </c>
      <c r="K2182" s="112" t="s">
        <v>6952</v>
      </c>
      <c r="L2182" s="112">
        <v>19</v>
      </c>
      <c r="M2182" s="112">
        <v>19</v>
      </c>
      <c r="N2182" s="112" t="s">
        <v>6952</v>
      </c>
      <c r="O2182" s="100"/>
      <c r="P2182" s="100"/>
      <c r="Q2182" s="100"/>
    </row>
    <row r="2183" spans="1:17" s="119" customFormat="1" ht="17.5" customHeight="1">
      <c r="A2183" s="109" t="s">
        <v>7295</v>
      </c>
      <c r="B2183" s="109" t="s">
        <v>7296</v>
      </c>
      <c r="C2183" s="113">
        <v>2017</v>
      </c>
      <c r="D2183" s="112">
        <v>11</v>
      </c>
      <c r="E2183" s="112">
        <v>100</v>
      </c>
      <c r="F2183" s="112">
        <v>22</v>
      </c>
      <c r="G2183" s="112">
        <v>82</v>
      </c>
      <c r="H2183" s="112">
        <v>11</v>
      </c>
      <c r="I2183" s="112">
        <v>1</v>
      </c>
      <c r="J2183" s="112">
        <v>1</v>
      </c>
      <c r="K2183" s="112" t="s">
        <v>6952</v>
      </c>
      <c r="L2183" s="112">
        <v>19</v>
      </c>
      <c r="M2183" s="112">
        <v>15</v>
      </c>
      <c r="N2183" s="112">
        <v>4</v>
      </c>
      <c r="O2183" s="110"/>
      <c r="P2183" s="110"/>
      <c r="Q2183" s="110"/>
    </row>
    <row r="2184" spans="1:17" s="119" customFormat="1" ht="17.5" customHeight="1">
      <c r="A2184" s="109" t="s">
        <v>7295</v>
      </c>
      <c r="B2184" s="109" t="s">
        <v>7296</v>
      </c>
      <c r="C2184" s="113">
        <v>2018</v>
      </c>
      <c r="D2184" s="112">
        <v>12</v>
      </c>
      <c r="E2184" s="112">
        <v>116</v>
      </c>
      <c r="F2184" s="112">
        <v>19</v>
      </c>
      <c r="G2184" s="112">
        <v>102</v>
      </c>
      <c r="H2184" s="112">
        <v>12</v>
      </c>
      <c r="I2184" s="112">
        <v>2</v>
      </c>
      <c r="J2184" s="112">
        <v>2</v>
      </c>
      <c r="K2184" s="112" t="s">
        <v>6952</v>
      </c>
      <c r="L2184" s="112">
        <v>30</v>
      </c>
      <c r="M2184" s="112">
        <v>25</v>
      </c>
      <c r="N2184" s="112">
        <v>5</v>
      </c>
      <c r="O2184" s="110"/>
      <c r="P2184" s="110"/>
      <c r="Q2184" s="110"/>
    </row>
    <row r="2185" spans="1:17" s="119" customFormat="1" ht="17.5" customHeight="1">
      <c r="A2185" s="109" t="s">
        <v>7295</v>
      </c>
      <c r="B2185" s="109" t="s">
        <v>7296</v>
      </c>
      <c r="C2185" s="113">
        <v>2019</v>
      </c>
      <c r="D2185" s="112">
        <v>12</v>
      </c>
      <c r="E2185" s="112">
        <v>113.944542</v>
      </c>
      <c r="F2185" s="112">
        <v>14.386964000000001</v>
      </c>
      <c r="G2185" s="112">
        <v>92.862448999999998</v>
      </c>
      <c r="H2185" s="112">
        <v>12.949354</v>
      </c>
      <c r="I2185" s="112">
        <v>1.686661</v>
      </c>
      <c r="J2185" s="112">
        <v>1.846096</v>
      </c>
      <c r="K2185" s="112" t="s">
        <v>6952</v>
      </c>
      <c r="L2185" s="112">
        <v>23.483339000000001</v>
      </c>
      <c r="M2185" s="112">
        <v>30.217395</v>
      </c>
      <c r="N2185" s="112">
        <v>-6.7340559999999998</v>
      </c>
      <c r="O2185" s="117"/>
      <c r="P2185" s="117"/>
      <c r="Q2185" s="117"/>
    </row>
    <row r="2186" spans="1:17" s="119" customFormat="1" ht="17.5" customHeight="1">
      <c r="A2186" s="114" t="s">
        <v>7295</v>
      </c>
      <c r="B2186" s="114" t="s">
        <v>7296</v>
      </c>
      <c r="C2186" s="113">
        <v>2020</v>
      </c>
      <c r="D2186" s="112">
        <v>10</v>
      </c>
      <c r="E2186" s="112">
        <v>74.778852999999998</v>
      </c>
      <c r="F2186" s="112">
        <v>9.6920929999999998</v>
      </c>
      <c r="G2186" s="112">
        <v>62.163091000000001</v>
      </c>
      <c r="H2186" s="112">
        <v>9.9741029999999995</v>
      </c>
      <c r="I2186" s="112">
        <v>1.955503</v>
      </c>
      <c r="J2186" s="112">
        <v>2.017026</v>
      </c>
      <c r="K2186" s="112" t="s">
        <v>6952</v>
      </c>
      <c r="L2186" s="112">
        <v>12.670147</v>
      </c>
      <c r="M2186" s="112">
        <v>15.630763999999999</v>
      </c>
      <c r="N2186" s="112">
        <v>-2.9606170000000001</v>
      </c>
      <c r="O2186" s="117"/>
      <c r="P2186" s="117"/>
      <c r="Q2186" s="117"/>
    </row>
    <row r="2187" spans="1:17" s="119" customFormat="1" ht="17.5" customHeight="1">
      <c r="A2187" s="109" t="s">
        <v>7297</v>
      </c>
      <c r="B2187" s="109" t="s">
        <v>7298</v>
      </c>
      <c r="C2187" s="98">
        <v>2008</v>
      </c>
      <c r="D2187" s="99">
        <v>15</v>
      </c>
      <c r="E2187" s="99">
        <v>47</v>
      </c>
      <c r="F2187" s="99">
        <v>8</v>
      </c>
      <c r="G2187" s="99">
        <v>33</v>
      </c>
      <c r="H2187" s="99">
        <v>9</v>
      </c>
      <c r="I2187" s="99" t="s">
        <v>6952</v>
      </c>
      <c r="J2187" s="112" t="s">
        <v>6953</v>
      </c>
      <c r="K2187" s="112" t="s">
        <v>6953</v>
      </c>
      <c r="L2187" s="112" t="s">
        <v>6953</v>
      </c>
      <c r="M2187" s="112" t="s">
        <v>6953</v>
      </c>
      <c r="N2187" s="99">
        <v>-6</v>
      </c>
      <c r="O2187" s="117"/>
      <c r="P2187" s="117"/>
      <c r="Q2187" s="117"/>
    </row>
    <row r="2188" spans="1:17" s="119" customFormat="1" ht="17.5" customHeight="1">
      <c r="A2188" s="109" t="s">
        <v>7297</v>
      </c>
      <c r="B2188" s="109" t="s">
        <v>7298</v>
      </c>
      <c r="C2188" s="98">
        <v>2009</v>
      </c>
      <c r="D2188" s="112" t="s">
        <v>6953</v>
      </c>
      <c r="E2188" s="112" t="s">
        <v>6953</v>
      </c>
      <c r="F2188" s="112" t="s">
        <v>6953</v>
      </c>
      <c r="G2188" s="112" t="s">
        <v>6953</v>
      </c>
      <c r="H2188" s="112" t="s">
        <v>6953</v>
      </c>
      <c r="I2188" s="112" t="s">
        <v>6953</v>
      </c>
      <c r="J2188" s="112" t="s">
        <v>6953</v>
      </c>
      <c r="K2188" s="112" t="s">
        <v>6953</v>
      </c>
      <c r="L2188" s="112" t="s">
        <v>6953</v>
      </c>
      <c r="M2188" s="112" t="s">
        <v>6953</v>
      </c>
      <c r="N2188" s="112" t="s">
        <v>6953</v>
      </c>
      <c r="O2188" s="117"/>
      <c r="P2188" s="117"/>
      <c r="Q2188" s="117"/>
    </row>
    <row r="2189" spans="1:17" s="119" customFormat="1" ht="17.5" customHeight="1">
      <c r="A2189" s="109" t="s">
        <v>7297</v>
      </c>
      <c r="B2189" s="109" t="s">
        <v>7298</v>
      </c>
      <c r="C2189" s="98">
        <v>2010</v>
      </c>
      <c r="D2189" s="99">
        <v>12</v>
      </c>
      <c r="E2189" s="99">
        <v>34</v>
      </c>
      <c r="F2189" s="99">
        <v>9</v>
      </c>
      <c r="G2189" s="99">
        <v>25</v>
      </c>
      <c r="H2189" s="99">
        <v>6</v>
      </c>
      <c r="I2189" s="112" t="s">
        <v>6953</v>
      </c>
      <c r="J2189" s="112" t="s">
        <v>6953</v>
      </c>
      <c r="K2189" s="112" t="s">
        <v>6953</v>
      </c>
      <c r="L2189" s="99">
        <v>3</v>
      </c>
      <c r="M2189" s="99">
        <v>3</v>
      </c>
      <c r="N2189" s="99" t="s">
        <v>6952</v>
      </c>
      <c r="O2189" s="110"/>
      <c r="P2189" s="110"/>
      <c r="Q2189" s="110"/>
    </row>
    <row r="2190" spans="1:17" s="119" customFormat="1" ht="17.5" customHeight="1">
      <c r="A2190" s="109" t="s">
        <v>7297</v>
      </c>
      <c r="B2190" s="109" t="s">
        <v>7298</v>
      </c>
      <c r="C2190" s="98">
        <v>2011</v>
      </c>
      <c r="D2190" s="112" t="s">
        <v>6953</v>
      </c>
      <c r="E2190" s="112" t="s">
        <v>6953</v>
      </c>
      <c r="F2190" s="112" t="s">
        <v>6953</v>
      </c>
      <c r="G2190" s="112" t="s">
        <v>6953</v>
      </c>
      <c r="H2190" s="112" t="s">
        <v>6953</v>
      </c>
      <c r="I2190" s="112" t="s">
        <v>6953</v>
      </c>
      <c r="J2190" s="112" t="s">
        <v>6953</v>
      </c>
      <c r="K2190" s="112" t="s">
        <v>6953</v>
      </c>
      <c r="L2190" s="112" t="s">
        <v>6953</v>
      </c>
      <c r="M2190" s="112" t="s">
        <v>6953</v>
      </c>
      <c r="N2190" s="112" t="s">
        <v>6953</v>
      </c>
      <c r="O2190" s="110"/>
      <c r="P2190" s="110"/>
      <c r="Q2190" s="110"/>
    </row>
    <row r="2191" spans="1:17" s="119" customFormat="1" ht="17.5" customHeight="1">
      <c r="A2191" s="109" t="s">
        <v>7297</v>
      </c>
      <c r="B2191" s="109" t="s">
        <v>7298</v>
      </c>
      <c r="C2191" s="111">
        <v>2012</v>
      </c>
      <c r="D2191" s="112" t="s">
        <v>6953</v>
      </c>
      <c r="E2191" s="112" t="s">
        <v>6953</v>
      </c>
      <c r="F2191" s="112" t="s">
        <v>6953</v>
      </c>
      <c r="G2191" s="112" t="s">
        <v>6953</v>
      </c>
      <c r="H2191" s="112" t="s">
        <v>6953</v>
      </c>
      <c r="I2191" s="112" t="s">
        <v>6953</v>
      </c>
      <c r="J2191" s="112" t="s">
        <v>6953</v>
      </c>
      <c r="K2191" s="112" t="s">
        <v>6953</v>
      </c>
      <c r="L2191" s="112" t="s">
        <v>6953</v>
      </c>
      <c r="M2191" s="112" t="s">
        <v>6953</v>
      </c>
      <c r="N2191" s="112" t="s">
        <v>6953</v>
      </c>
      <c r="O2191" s="100"/>
      <c r="P2191" s="100"/>
      <c r="Q2191" s="100"/>
    </row>
    <row r="2192" spans="1:17" s="119" customFormat="1" ht="17.5" customHeight="1">
      <c r="A2192" s="109" t="s">
        <v>7297</v>
      </c>
      <c r="B2192" s="109" t="s">
        <v>7298</v>
      </c>
      <c r="C2192" s="113">
        <v>2013</v>
      </c>
      <c r="D2192" s="112" t="s">
        <v>6953</v>
      </c>
      <c r="E2192" s="112" t="s">
        <v>6953</v>
      </c>
      <c r="F2192" s="112" t="s">
        <v>6953</v>
      </c>
      <c r="G2192" s="112" t="s">
        <v>6953</v>
      </c>
      <c r="H2192" s="112" t="s">
        <v>6953</v>
      </c>
      <c r="I2192" s="112" t="s">
        <v>6953</v>
      </c>
      <c r="J2192" s="112" t="s">
        <v>6953</v>
      </c>
      <c r="K2192" s="112" t="s">
        <v>6953</v>
      </c>
      <c r="L2192" s="112" t="s">
        <v>6953</v>
      </c>
      <c r="M2192" s="112" t="s">
        <v>6953</v>
      </c>
      <c r="N2192" s="112" t="s">
        <v>6953</v>
      </c>
      <c r="O2192" s="110"/>
      <c r="P2192" s="110"/>
      <c r="Q2192" s="110"/>
    </row>
    <row r="2193" spans="1:17" s="119" customFormat="1" ht="17.5" customHeight="1">
      <c r="A2193" s="109" t="s">
        <v>7297</v>
      </c>
      <c r="B2193" s="109" t="s">
        <v>7298</v>
      </c>
      <c r="C2193" s="113">
        <v>2014</v>
      </c>
      <c r="D2193" s="112" t="s">
        <v>6953</v>
      </c>
      <c r="E2193" s="112" t="s">
        <v>6953</v>
      </c>
      <c r="F2193" s="112" t="s">
        <v>6953</v>
      </c>
      <c r="G2193" s="112" t="s">
        <v>6953</v>
      </c>
      <c r="H2193" s="112" t="s">
        <v>6953</v>
      </c>
      <c r="I2193" s="112" t="s">
        <v>6953</v>
      </c>
      <c r="J2193" s="112" t="s">
        <v>6953</v>
      </c>
      <c r="K2193" s="112" t="s">
        <v>6953</v>
      </c>
      <c r="L2193" s="112" t="s">
        <v>6953</v>
      </c>
      <c r="M2193" s="112" t="s">
        <v>6953</v>
      </c>
      <c r="N2193" s="112" t="s">
        <v>6953</v>
      </c>
      <c r="O2193" s="100"/>
      <c r="P2193" s="100"/>
      <c r="Q2193" s="100"/>
    </row>
    <row r="2194" spans="1:17" s="119" customFormat="1" ht="17.5" customHeight="1">
      <c r="A2194" s="109" t="s">
        <v>7297</v>
      </c>
      <c r="B2194" s="109" t="s">
        <v>7298</v>
      </c>
      <c r="C2194" s="113">
        <v>2015</v>
      </c>
      <c r="D2194" s="112">
        <v>9</v>
      </c>
      <c r="E2194" s="112">
        <v>20</v>
      </c>
      <c r="F2194" s="112">
        <v>13</v>
      </c>
      <c r="G2194" s="112">
        <v>7</v>
      </c>
      <c r="H2194" s="112">
        <v>6</v>
      </c>
      <c r="I2194" s="112">
        <v>2</v>
      </c>
      <c r="J2194" s="112" t="s">
        <v>6953</v>
      </c>
      <c r="K2194" s="112" t="s">
        <v>6953</v>
      </c>
      <c r="L2194" s="112" t="s">
        <v>6953</v>
      </c>
      <c r="M2194" s="112" t="s">
        <v>6953</v>
      </c>
      <c r="N2194" s="112">
        <v>1</v>
      </c>
      <c r="O2194" s="100"/>
      <c r="P2194" s="100"/>
      <c r="Q2194" s="100"/>
    </row>
    <row r="2195" spans="1:17" s="119" customFormat="1" ht="17.5" customHeight="1">
      <c r="A2195" s="109" t="s">
        <v>7297</v>
      </c>
      <c r="B2195" s="109" t="s">
        <v>7298</v>
      </c>
      <c r="C2195" s="113">
        <v>2016</v>
      </c>
      <c r="D2195" s="112">
        <v>8</v>
      </c>
      <c r="E2195" s="112">
        <v>28</v>
      </c>
      <c r="F2195" s="112">
        <v>14</v>
      </c>
      <c r="G2195" s="112">
        <v>14</v>
      </c>
      <c r="H2195" s="112">
        <v>5</v>
      </c>
      <c r="I2195" s="112">
        <v>1</v>
      </c>
      <c r="J2195" s="112">
        <v>1</v>
      </c>
      <c r="K2195" s="112" t="s">
        <v>6952</v>
      </c>
      <c r="L2195" s="112">
        <v>3</v>
      </c>
      <c r="M2195" s="112">
        <v>3</v>
      </c>
      <c r="N2195" s="112" t="s">
        <v>6952</v>
      </c>
      <c r="O2195" s="110"/>
      <c r="P2195" s="110"/>
      <c r="Q2195" s="110"/>
    </row>
    <row r="2196" spans="1:17" s="119" customFormat="1" ht="17.5" customHeight="1">
      <c r="A2196" s="109" t="s">
        <v>7297</v>
      </c>
      <c r="B2196" s="109" t="s">
        <v>7298</v>
      </c>
      <c r="C2196" s="113">
        <v>2017</v>
      </c>
      <c r="D2196" s="112" t="s">
        <v>6953</v>
      </c>
      <c r="E2196" s="112" t="s">
        <v>6953</v>
      </c>
      <c r="F2196" s="112" t="s">
        <v>6953</v>
      </c>
      <c r="G2196" s="112" t="s">
        <v>6953</v>
      </c>
      <c r="H2196" s="112" t="s">
        <v>6953</v>
      </c>
      <c r="I2196" s="112" t="s">
        <v>6953</v>
      </c>
      <c r="J2196" s="112" t="s">
        <v>6953</v>
      </c>
      <c r="K2196" s="112" t="s">
        <v>6953</v>
      </c>
      <c r="L2196" s="112" t="s">
        <v>6953</v>
      </c>
      <c r="M2196" s="112" t="s">
        <v>6953</v>
      </c>
      <c r="N2196" s="112" t="s">
        <v>6953</v>
      </c>
      <c r="O2196" s="110"/>
      <c r="P2196" s="110"/>
      <c r="Q2196" s="110"/>
    </row>
    <row r="2197" spans="1:17" s="119" customFormat="1" ht="17.5" customHeight="1">
      <c r="A2197" s="109" t="s">
        <v>7297</v>
      </c>
      <c r="B2197" s="109" t="s">
        <v>7298</v>
      </c>
      <c r="C2197" s="113">
        <v>2018</v>
      </c>
      <c r="D2197" s="112" t="s">
        <v>6953</v>
      </c>
      <c r="E2197" s="112" t="s">
        <v>6953</v>
      </c>
      <c r="F2197" s="112" t="s">
        <v>6953</v>
      </c>
      <c r="G2197" s="112" t="s">
        <v>6953</v>
      </c>
      <c r="H2197" s="112" t="s">
        <v>6953</v>
      </c>
      <c r="I2197" s="112" t="s">
        <v>6953</v>
      </c>
      <c r="J2197" s="112" t="s">
        <v>6953</v>
      </c>
      <c r="K2197" s="112" t="s">
        <v>6953</v>
      </c>
      <c r="L2197" s="112" t="s">
        <v>6953</v>
      </c>
      <c r="M2197" s="112" t="s">
        <v>6953</v>
      </c>
      <c r="N2197" s="112" t="s">
        <v>6953</v>
      </c>
      <c r="O2197" s="117"/>
      <c r="P2197" s="117"/>
      <c r="Q2197" s="117"/>
    </row>
    <row r="2198" spans="1:17" s="119" customFormat="1" ht="17.5" customHeight="1">
      <c r="A2198" s="109" t="s">
        <v>7297</v>
      </c>
      <c r="B2198" s="109" t="s">
        <v>7298</v>
      </c>
      <c r="C2198" s="113">
        <v>2019</v>
      </c>
      <c r="D2198" s="112" t="s">
        <v>6953</v>
      </c>
      <c r="E2198" s="112" t="s">
        <v>6953</v>
      </c>
      <c r="F2198" s="112" t="s">
        <v>6953</v>
      </c>
      <c r="G2198" s="112" t="s">
        <v>6953</v>
      </c>
      <c r="H2198" s="112" t="s">
        <v>6953</v>
      </c>
      <c r="I2198" s="112" t="s">
        <v>6953</v>
      </c>
      <c r="J2198" s="112" t="s">
        <v>6953</v>
      </c>
      <c r="K2198" s="112" t="s">
        <v>6953</v>
      </c>
      <c r="L2198" s="112" t="s">
        <v>6953</v>
      </c>
      <c r="M2198" s="112" t="s">
        <v>6953</v>
      </c>
      <c r="N2198" s="112" t="s">
        <v>6953</v>
      </c>
      <c r="O2198" s="117"/>
      <c r="P2198" s="117"/>
      <c r="Q2198" s="117"/>
    </row>
    <row r="2199" spans="1:17" s="119" customFormat="1" ht="17.5" customHeight="1">
      <c r="A2199" s="114" t="s">
        <v>7297</v>
      </c>
      <c r="B2199" s="114" t="s">
        <v>7298</v>
      </c>
      <c r="C2199" s="113">
        <v>2020</v>
      </c>
      <c r="D2199" s="112" t="s">
        <v>6953</v>
      </c>
      <c r="E2199" s="112" t="s">
        <v>6953</v>
      </c>
      <c r="F2199" s="112" t="s">
        <v>6953</v>
      </c>
      <c r="G2199" s="112" t="s">
        <v>6953</v>
      </c>
      <c r="H2199" s="112" t="s">
        <v>6953</v>
      </c>
      <c r="I2199" s="112" t="s">
        <v>6953</v>
      </c>
      <c r="J2199" s="112" t="s">
        <v>6953</v>
      </c>
      <c r="K2199" s="112" t="s">
        <v>6953</v>
      </c>
      <c r="L2199" s="112" t="s">
        <v>6953</v>
      </c>
      <c r="M2199" s="112" t="s">
        <v>6953</v>
      </c>
      <c r="N2199" s="112" t="s">
        <v>6953</v>
      </c>
      <c r="O2199" s="117"/>
      <c r="P2199" s="117"/>
      <c r="Q2199" s="117"/>
    </row>
    <row r="2200" spans="1:17" s="119" customFormat="1" ht="17.5" customHeight="1">
      <c r="A2200" s="109" t="s">
        <v>7299</v>
      </c>
      <c r="B2200" s="109" t="s">
        <v>7300</v>
      </c>
      <c r="C2200" s="98">
        <v>2008</v>
      </c>
      <c r="D2200" s="99">
        <v>20</v>
      </c>
      <c r="E2200" s="99">
        <v>504</v>
      </c>
      <c r="F2200" s="99">
        <v>161</v>
      </c>
      <c r="G2200" s="99">
        <v>355</v>
      </c>
      <c r="H2200" s="99">
        <v>58</v>
      </c>
      <c r="I2200" s="99">
        <v>19</v>
      </c>
      <c r="J2200" s="112" t="s">
        <v>6953</v>
      </c>
      <c r="K2200" s="112" t="s">
        <v>6953</v>
      </c>
      <c r="L2200" s="112" t="s">
        <v>6953</v>
      </c>
      <c r="M2200" s="112" t="s">
        <v>6953</v>
      </c>
      <c r="N2200" s="99">
        <v>10</v>
      </c>
      <c r="O2200" s="117"/>
      <c r="P2200" s="117"/>
      <c r="Q2200" s="117"/>
    </row>
    <row r="2201" spans="1:17" s="119" customFormat="1" ht="17.5" customHeight="1">
      <c r="A2201" s="109" t="s">
        <v>7299</v>
      </c>
      <c r="B2201" s="109" t="s">
        <v>7300</v>
      </c>
      <c r="C2201" s="98">
        <v>2009</v>
      </c>
      <c r="D2201" s="99">
        <v>18</v>
      </c>
      <c r="E2201" s="99">
        <v>374</v>
      </c>
      <c r="F2201" s="99">
        <v>107</v>
      </c>
      <c r="G2201" s="99">
        <v>263</v>
      </c>
      <c r="H2201" s="99">
        <v>49</v>
      </c>
      <c r="I2201" s="99">
        <v>9</v>
      </c>
      <c r="J2201" s="112" t="s">
        <v>6953</v>
      </c>
      <c r="K2201" s="112" t="s">
        <v>6953</v>
      </c>
      <c r="L2201" s="99">
        <v>16</v>
      </c>
      <c r="M2201" s="99">
        <v>22</v>
      </c>
      <c r="N2201" s="99">
        <v>-7</v>
      </c>
      <c r="O2201" s="110"/>
      <c r="P2201" s="110"/>
      <c r="Q2201" s="110"/>
    </row>
    <row r="2202" spans="1:17" s="119" customFormat="1" ht="17.5" customHeight="1">
      <c r="A2202" s="109" t="s">
        <v>7299</v>
      </c>
      <c r="B2202" s="109" t="s">
        <v>7300</v>
      </c>
      <c r="C2202" s="98">
        <v>2010</v>
      </c>
      <c r="D2202" s="99">
        <v>16</v>
      </c>
      <c r="E2202" s="99">
        <v>321</v>
      </c>
      <c r="F2202" s="99">
        <v>87</v>
      </c>
      <c r="G2202" s="99">
        <v>239</v>
      </c>
      <c r="H2202" s="99">
        <v>43</v>
      </c>
      <c r="I2202" s="99">
        <v>4</v>
      </c>
      <c r="J2202" s="99">
        <v>5</v>
      </c>
      <c r="K2202" s="99">
        <v>1</v>
      </c>
      <c r="L2202" s="99">
        <v>20</v>
      </c>
      <c r="M2202" s="99">
        <v>16</v>
      </c>
      <c r="N2202" s="99">
        <v>4</v>
      </c>
      <c r="O2202" s="110"/>
      <c r="P2202" s="110"/>
      <c r="Q2202" s="110"/>
    </row>
    <row r="2203" spans="1:17" s="119" customFormat="1" ht="17.5" customHeight="1">
      <c r="A2203" s="109" t="s">
        <v>7299</v>
      </c>
      <c r="B2203" s="109" t="s">
        <v>7300</v>
      </c>
      <c r="C2203" s="98">
        <v>2011</v>
      </c>
      <c r="D2203" s="112" t="s">
        <v>6953</v>
      </c>
      <c r="E2203" s="112" t="s">
        <v>6953</v>
      </c>
      <c r="F2203" s="112" t="s">
        <v>6953</v>
      </c>
      <c r="G2203" s="112" t="s">
        <v>6953</v>
      </c>
      <c r="H2203" s="112" t="s">
        <v>6953</v>
      </c>
      <c r="I2203" s="112" t="s">
        <v>6953</v>
      </c>
      <c r="J2203" s="112" t="s">
        <v>6953</v>
      </c>
      <c r="K2203" s="112" t="s">
        <v>6953</v>
      </c>
      <c r="L2203" s="112" t="s">
        <v>6953</v>
      </c>
      <c r="M2203" s="112" t="s">
        <v>6953</v>
      </c>
      <c r="N2203" s="112" t="s">
        <v>6953</v>
      </c>
      <c r="O2203" s="100"/>
      <c r="P2203" s="100"/>
      <c r="Q2203" s="100"/>
    </row>
    <row r="2204" spans="1:17" s="119" customFormat="1" ht="17.5" customHeight="1">
      <c r="A2204" s="109" t="s">
        <v>7299</v>
      </c>
      <c r="B2204" s="109" t="s">
        <v>7300</v>
      </c>
      <c r="C2204" s="111">
        <v>2012</v>
      </c>
      <c r="D2204" s="112" t="s">
        <v>6953</v>
      </c>
      <c r="E2204" s="112" t="s">
        <v>6953</v>
      </c>
      <c r="F2204" s="112" t="s">
        <v>6953</v>
      </c>
      <c r="G2204" s="112" t="s">
        <v>6953</v>
      </c>
      <c r="H2204" s="112" t="s">
        <v>6953</v>
      </c>
      <c r="I2204" s="112" t="s">
        <v>6953</v>
      </c>
      <c r="J2204" s="112" t="s">
        <v>6953</v>
      </c>
      <c r="K2204" s="112" t="s">
        <v>6953</v>
      </c>
      <c r="L2204" s="112" t="s">
        <v>6953</v>
      </c>
      <c r="M2204" s="112" t="s">
        <v>6953</v>
      </c>
      <c r="N2204" s="112" t="s">
        <v>6953</v>
      </c>
      <c r="O2204" s="110"/>
      <c r="P2204" s="110"/>
      <c r="Q2204" s="110"/>
    </row>
    <row r="2205" spans="1:17" s="119" customFormat="1" ht="17.5" customHeight="1">
      <c r="A2205" s="109" t="s">
        <v>7299</v>
      </c>
      <c r="B2205" s="109" t="s">
        <v>7300</v>
      </c>
      <c r="C2205" s="113">
        <v>2013</v>
      </c>
      <c r="D2205" s="112">
        <v>23</v>
      </c>
      <c r="E2205" s="112">
        <v>391</v>
      </c>
      <c r="F2205" s="112">
        <v>104</v>
      </c>
      <c r="G2205" s="112">
        <v>293</v>
      </c>
      <c r="H2205" s="112">
        <v>57</v>
      </c>
      <c r="I2205" s="112">
        <v>9</v>
      </c>
      <c r="J2205" s="112">
        <v>9</v>
      </c>
      <c r="K2205" s="112" t="s">
        <v>6952</v>
      </c>
      <c r="L2205" s="112">
        <v>22</v>
      </c>
      <c r="M2205" s="112">
        <v>19</v>
      </c>
      <c r="N2205" s="112">
        <v>3</v>
      </c>
      <c r="O2205" s="100"/>
      <c r="P2205" s="100"/>
      <c r="Q2205" s="100"/>
    </row>
    <row r="2206" spans="1:17" s="119" customFormat="1" ht="17.5" customHeight="1">
      <c r="A2206" s="109" t="s">
        <v>7299</v>
      </c>
      <c r="B2206" s="109" t="s">
        <v>7300</v>
      </c>
      <c r="C2206" s="113">
        <v>2014</v>
      </c>
      <c r="D2206" s="112" t="s">
        <v>6953</v>
      </c>
      <c r="E2206" s="112" t="s">
        <v>6953</v>
      </c>
      <c r="F2206" s="112" t="s">
        <v>6953</v>
      </c>
      <c r="G2206" s="112" t="s">
        <v>6953</v>
      </c>
      <c r="H2206" s="112" t="s">
        <v>6953</v>
      </c>
      <c r="I2206" s="112" t="s">
        <v>6953</v>
      </c>
      <c r="J2206" s="112" t="s">
        <v>6953</v>
      </c>
      <c r="K2206" s="112" t="s">
        <v>6953</v>
      </c>
      <c r="L2206" s="112" t="s">
        <v>6953</v>
      </c>
      <c r="M2206" s="112" t="s">
        <v>6953</v>
      </c>
      <c r="N2206" s="112" t="s">
        <v>6953</v>
      </c>
      <c r="O2206" s="100"/>
      <c r="P2206" s="100"/>
      <c r="Q2206" s="100"/>
    </row>
    <row r="2207" spans="1:17" s="119" customFormat="1" ht="17.5" customHeight="1">
      <c r="A2207" s="109" t="s">
        <v>7299</v>
      </c>
      <c r="B2207" s="109" t="s">
        <v>7300</v>
      </c>
      <c r="C2207" s="113">
        <v>2015</v>
      </c>
      <c r="D2207" s="112">
        <v>28</v>
      </c>
      <c r="E2207" s="112">
        <v>469</v>
      </c>
      <c r="F2207" s="112">
        <v>143</v>
      </c>
      <c r="G2207" s="112">
        <v>328</v>
      </c>
      <c r="H2207" s="112">
        <v>65</v>
      </c>
      <c r="I2207" s="112">
        <v>11</v>
      </c>
      <c r="J2207" s="112" t="s">
        <v>6953</v>
      </c>
      <c r="K2207" s="112" t="s">
        <v>6953</v>
      </c>
      <c r="L2207" s="112" t="s">
        <v>6953</v>
      </c>
      <c r="M2207" s="112" t="s">
        <v>6953</v>
      </c>
      <c r="N2207" s="112">
        <v>-1</v>
      </c>
      <c r="O2207" s="110"/>
      <c r="P2207" s="110"/>
      <c r="Q2207" s="110"/>
    </row>
    <row r="2208" spans="1:17" s="119" customFormat="1" ht="17.5" customHeight="1">
      <c r="A2208" s="109" t="s">
        <v>7299</v>
      </c>
      <c r="B2208" s="109" t="s">
        <v>7300</v>
      </c>
      <c r="C2208" s="113">
        <v>2016</v>
      </c>
      <c r="D2208" s="112">
        <v>32</v>
      </c>
      <c r="E2208" s="112">
        <v>529</v>
      </c>
      <c r="F2208" s="112">
        <v>186</v>
      </c>
      <c r="G2208" s="112">
        <v>348</v>
      </c>
      <c r="H2208" s="112">
        <v>75</v>
      </c>
      <c r="I2208" s="112">
        <v>15</v>
      </c>
      <c r="J2208" s="112">
        <v>15</v>
      </c>
      <c r="K2208" s="112" t="s">
        <v>6952</v>
      </c>
      <c r="L2208" s="112">
        <v>21</v>
      </c>
      <c r="M2208" s="112">
        <v>20</v>
      </c>
      <c r="N2208" s="112">
        <v>1</v>
      </c>
      <c r="O2208" s="110"/>
      <c r="P2208" s="110"/>
      <c r="Q2208" s="110"/>
    </row>
    <row r="2209" spans="1:17" s="119" customFormat="1" ht="17.5" customHeight="1">
      <c r="A2209" s="109" t="s">
        <v>7299</v>
      </c>
      <c r="B2209" s="109" t="s">
        <v>7300</v>
      </c>
      <c r="C2209" s="113">
        <v>2017</v>
      </c>
      <c r="D2209" s="112" t="s">
        <v>6953</v>
      </c>
      <c r="E2209" s="112" t="s">
        <v>6953</v>
      </c>
      <c r="F2209" s="112" t="s">
        <v>6953</v>
      </c>
      <c r="G2209" s="112" t="s">
        <v>6953</v>
      </c>
      <c r="H2209" s="112" t="s">
        <v>6953</v>
      </c>
      <c r="I2209" s="112" t="s">
        <v>6953</v>
      </c>
      <c r="J2209" s="112" t="s">
        <v>6953</v>
      </c>
      <c r="K2209" s="112" t="s">
        <v>6953</v>
      </c>
      <c r="L2209" s="112" t="s">
        <v>6953</v>
      </c>
      <c r="M2209" s="112" t="s">
        <v>6953</v>
      </c>
      <c r="N2209" s="112" t="s">
        <v>6953</v>
      </c>
      <c r="O2209" s="117"/>
      <c r="P2209" s="117"/>
      <c r="Q2209" s="117"/>
    </row>
    <row r="2210" spans="1:17" s="119" customFormat="1" ht="17.5" customHeight="1">
      <c r="A2210" s="109" t="s">
        <v>7299</v>
      </c>
      <c r="B2210" s="109" t="s">
        <v>7300</v>
      </c>
      <c r="C2210" s="113">
        <v>2018</v>
      </c>
      <c r="D2210" s="112" t="s">
        <v>6953</v>
      </c>
      <c r="E2210" s="112" t="s">
        <v>6953</v>
      </c>
      <c r="F2210" s="112" t="s">
        <v>6953</v>
      </c>
      <c r="G2210" s="112" t="s">
        <v>6953</v>
      </c>
      <c r="H2210" s="112" t="s">
        <v>6953</v>
      </c>
      <c r="I2210" s="112" t="s">
        <v>6953</v>
      </c>
      <c r="J2210" s="112" t="s">
        <v>6953</v>
      </c>
      <c r="K2210" s="112" t="s">
        <v>6953</v>
      </c>
      <c r="L2210" s="112" t="s">
        <v>6953</v>
      </c>
      <c r="M2210" s="112" t="s">
        <v>6953</v>
      </c>
      <c r="N2210" s="112" t="s">
        <v>6953</v>
      </c>
      <c r="O2210" s="117"/>
      <c r="P2210" s="117"/>
      <c r="Q2210" s="117"/>
    </row>
    <row r="2211" spans="1:17" s="119" customFormat="1" ht="17.5" customHeight="1">
      <c r="A2211" s="109" t="s">
        <v>7299</v>
      </c>
      <c r="B2211" s="109" t="s">
        <v>7300</v>
      </c>
      <c r="C2211" s="113">
        <v>2019</v>
      </c>
      <c r="D2211" s="112" t="s">
        <v>6953</v>
      </c>
      <c r="E2211" s="112" t="s">
        <v>6953</v>
      </c>
      <c r="F2211" s="112" t="s">
        <v>6953</v>
      </c>
      <c r="G2211" s="112" t="s">
        <v>6953</v>
      </c>
      <c r="H2211" s="112" t="s">
        <v>6953</v>
      </c>
      <c r="I2211" s="112" t="s">
        <v>6953</v>
      </c>
      <c r="J2211" s="112" t="s">
        <v>6953</v>
      </c>
      <c r="K2211" s="112" t="s">
        <v>6953</v>
      </c>
      <c r="L2211" s="112" t="s">
        <v>6953</v>
      </c>
      <c r="M2211" s="112" t="s">
        <v>6953</v>
      </c>
      <c r="N2211" s="112" t="s">
        <v>6953</v>
      </c>
      <c r="O2211" s="117"/>
      <c r="P2211" s="117"/>
      <c r="Q2211" s="117"/>
    </row>
    <row r="2212" spans="1:17" s="119" customFormat="1" ht="17.5" customHeight="1">
      <c r="A2212" s="114" t="s">
        <v>7299</v>
      </c>
      <c r="B2212" s="114" t="s">
        <v>7300</v>
      </c>
      <c r="C2212" s="113">
        <v>2020</v>
      </c>
      <c r="D2212" s="112" t="s">
        <v>6953</v>
      </c>
      <c r="E2212" s="112" t="s">
        <v>6953</v>
      </c>
      <c r="F2212" s="112" t="s">
        <v>6953</v>
      </c>
      <c r="G2212" s="112" t="s">
        <v>6953</v>
      </c>
      <c r="H2212" s="112" t="s">
        <v>6953</v>
      </c>
      <c r="I2212" s="112" t="s">
        <v>6953</v>
      </c>
      <c r="J2212" s="112" t="s">
        <v>6953</v>
      </c>
      <c r="K2212" s="112" t="s">
        <v>6953</v>
      </c>
      <c r="L2212" s="112" t="s">
        <v>6953</v>
      </c>
      <c r="M2212" s="112" t="s">
        <v>6953</v>
      </c>
      <c r="N2212" s="112" t="s">
        <v>6953</v>
      </c>
      <c r="O2212" s="117"/>
      <c r="P2212" s="117"/>
      <c r="Q2212" s="117"/>
    </row>
    <row r="2213" spans="1:17" s="119" customFormat="1" ht="17.5" customHeight="1">
      <c r="A2213" s="109" t="s">
        <v>7301</v>
      </c>
      <c r="B2213" s="109" t="s">
        <v>7302</v>
      </c>
      <c r="C2213" s="98">
        <v>2008</v>
      </c>
      <c r="D2213" s="99">
        <v>23</v>
      </c>
      <c r="E2213" s="99">
        <v>118</v>
      </c>
      <c r="F2213" s="99">
        <v>39</v>
      </c>
      <c r="G2213" s="99">
        <v>82</v>
      </c>
      <c r="H2213" s="99">
        <v>25</v>
      </c>
      <c r="I2213" s="99">
        <v>3</v>
      </c>
      <c r="J2213" s="99">
        <v>3</v>
      </c>
      <c r="K2213" s="99" t="s">
        <v>6952</v>
      </c>
      <c r="L2213" s="99">
        <v>17</v>
      </c>
      <c r="M2213" s="99">
        <v>14</v>
      </c>
      <c r="N2213" s="99">
        <v>3</v>
      </c>
      <c r="O2213" s="110"/>
      <c r="P2213" s="110"/>
      <c r="Q2213" s="110"/>
    </row>
    <row r="2214" spans="1:17" s="119" customFormat="1" ht="17.5" customHeight="1">
      <c r="A2214" s="109" t="s">
        <v>7301</v>
      </c>
      <c r="B2214" s="109" t="s">
        <v>7302</v>
      </c>
      <c r="C2214" s="98">
        <v>2009</v>
      </c>
      <c r="D2214" s="99">
        <v>23</v>
      </c>
      <c r="E2214" s="99">
        <v>89</v>
      </c>
      <c r="F2214" s="99">
        <v>20</v>
      </c>
      <c r="G2214" s="99">
        <v>67</v>
      </c>
      <c r="H2214" s="99">
        <v>19</v>
      </c>
      <c r="I2214" s="99">
        <v>2</v>
      </c>
      <c r="J2214" s="99">
        <v>2</v>
      </c>
      <c r="K2214" s="99" t="s">
        <v>6952</v>
      </c>
      <c r="L2214" s="99">
        <v>15</v>
      </c>
      <c r="M2214" s="99">
        <v>17</v>
      </c>
      <c r="N2214" s="99">
        <v>-2</v>
      </c>
      <c r="O2214" s="110"/>
      <c r="P2214" s="110"/>
      <c r="Q2214" s="110"/>
    </row>
    <row r="2215" spans="1:17" s="119" customFormat="1" ht="17.5" customHeight="1">
      <c r="A2215" s="109" t="s">
        <v>7301</v>
      </c>
      <c r="B2215" s="109" t="s">
        <v>7302</v>
      </c>
      <c r="C2215" s="98">
        <v>2010</v>
      </c>
      <c r="D2215" s="99">
        <v>20</v>
      </c>
      <c r="E2215" s="99">
        <v>147</v>
      </c>
      <c r="F2215" s="99">
        <v>45</v>
      </c>
      <c r="G2215" s="99">
        <v>105</v>
      </c>
      <c r="H2215" s="99">
        <v>18</v>
      </c>
      <c r="I2215" s="99">
        <v>7</v>
      </c>
      <c r="J2215" s="99">
        <v>8</v>
      </c>
      <c r="K2215" s="99">
        <v>1</v>
      </c>
      <c r="L2215" s="99">
        <v>20</v>
      </c>
      <c r="M2215" s="99">
        <v>17</v>
      </c>
      <c r="N2215" s="99">
        <v>3</v>
      </c>
      <c r="O2215" s="100"/>
      <c r="P2215" s="100"/>
      <c r="Q2215" s="100"/>
    </row>
    <row r="2216" spans="1:17" s="119" customFormat="1" ht="17.5" customHeight="1">
      <c r="A2216" s="109" t="s">
        <v>7301</v>
      </c>
      <c r="B2216" s="109" t="s">
        <v>7302</v>
      </c>
      <c r="C2216" s="98">
        <v>2011</v>
      </c>
      <c r="D2216" s="99">
        <v>19</v>
      </c>
      <c r="E2216" s="99">
        <v>104</v>
      </c>
      <c r="F2216" s="99">
        <v>31</v>
      </c>
      <c r="G2216" s="99">
        <v>77</v>
      </c>
      <c r="H2216" s="99">
        <v>21</v>
      </c>
      <c r="I2216" s="99">
        <v>4</v>
      </c>
      <c r="J2216" s="99">
        <v>4</v>
      </c>
      <c r="K2216" s="99">
        <v>1</v>
      </c>
      <c r="L2216" s="99">
        <v>16</v>
      </c>
      <c r="M2216" s="99">
        <v>11</v>
      </c>
      <c r="N2216" s="99">
        <v>4</v>
      </c>
      <c r="O2216" s="110"/>
      <c r="P2216" s="110"/>
      <c r="Q2216" s="110"/>
    </row>
    <row r="2217" spans="1:17" s="119" customFormat="1" ht="17.5" customHeight="1">
      <c r="A2217" s="109" t="s">
        <v>7301</v>
      </c>
      <c r="B2217" s="109" t="s">
        <v>7302</v>
      </c>
      <c r="C2217" s="111">
        <v>2012</v>
      </c>
      <c r="D2217" s="112">
        <v>20</v>
      </c>
      <c r="E2217" s="112">
        <v>127</v>
      </c>
      <c r="F2217" s="112">
        <v>38</v>
      </c>
      <c r="G2217" s="112">
        <v>86</v>
      </c>
      <c r="H2217" s="112">
        <v>27</v>
      </c>
      <c r="I2217" s="112">
        <v>5</v>
      </c>
      <c r="J2217" s="112">
        <v>5</v>
      </c>
      <c r="K2217" s="112" t="s">
        <v>6952</v>
      </c>
      <c r="L2217" s="112">
        <v>20</v>
      </c>
      <c r="M2217" s="112">
        <v>24</v>
      </c>
      <c r="N2217" s="112">
        <v>-3</v>
      </c>
      <c r="O2217" s="100"/>
      <c r="P2217" s="100"/>
      <c r="Q2217" s="100"/>
    </row>
    <row r="2218" spans="1:17" s="119" customFormat="1" ht="17.5" customHeight="1">
      <c r="A2218" s="109" t="s">
        <v>7301</v>
      </c>
      <c r="B2218" s="109" t="s">
        <v>7302</v>
      </c>
      <c r="C2218" s="113">
        <v>2013</v>
      </c>
      <c r="D2218" s="112" t="s">
        <v>6953</v>
      </c>
      <c r="E2218" s="112" t="s">
        <v>6953</v>
      </c>
      <c r="F2218" s="112" t="s">
        <v>6953</v>
      </c>
      <c r="G2218" s="112" t="s">
        <v>6953</v>
      </c>
      <c r="H2218" s="112" t="s">
        <v>6953</v>
      </c>
      <c r="I2218" s="112" t="s">
        <v>6953</v>
      </c>
      <c r="J2218" s="112" t="s">
        <v>6953</v>
      </c>
      <c r="K2218" s="112" t="s">
        <v>6953</v>
      </c>
      <c r="L2218" s="112" t="s">
        <v>6953</v>
      </c>
      <c r="M2218" s="112" t="s">
        <v>6953</v>
      </c>
      <c r="N2218" s="112" t="s">
        <v>6953</v>
      </c>
      <c r="O2218" s="100"/>
      <c r="P2218" s="100"/>
      <c r="Q2218" s="100"/>
    </row>
    <row r="2219" spans="1:17" s="119" customFormat="1" ht="17.5" customHeight="1">
      <c r="A2219" s="109" t="s">
        <v>7301</v>
      </c>
      <c r="B2219" s="109" t="s">
        <v>7302</v>
      </c>
      <c r="C2219" s="113">
        <v>2014</v>
      </c>
      <c r="D2219" s="99">
        <v>23</v>
      </c>
      <c r="E2219" s="99">
        <v>91</v>
      </c>
      <c r="F2219" s="99">
        <v>38</v>
      </c>
      <c r="G2219" s="99">
        <v>49</v>
      </c>
      <c r="H2219" s="99">
        <v>15</v>
      </c>
      <c r="I2219" s="99">
        <v>2</v>
      </c>
      <c r="J2219" s="99">
        <v>2</v>
      </c>
      <c r="K2219" s="99" t="s">
        <v>6952</v>
      </c>
      <c r="L2219" s="99">
        <v>15</v>
      </c>
      <c r="M2219" s="99">
        <v>19</v>
      </c>
      <c r="N2219" s="99">
        <v>-4</v>
      </c>
      <c r="O2219" s="110"/>
      <c r="P2219" s="110"/>
      <c r="Q2219" s="110"/>
    </row>
    <row r="2220" spans="1:17" s="119" customFormat="1" ht="17.5" customHeight="1">
      <c r="A2220" s="109" t="s">
        <v>7301</v>
      </c>
      <c r="B2220" s="109" t="s">
        <v>7302</v>
      </c>
      <c r="C2220" s="113">
        <v>2015</v>
      </c>
      <c r="D2220" s="112">
        <v>24</v>
      </c>
      <c r="E2220" s="112">
        <v>50</v>
      </c>
      <c r="F2220" s="112">
        <v>14</v>
      </c>
      <c r="G2220" s="112">
        <v>33</v>
      </c>
      <c r="H2220" s="112">
        <v>20</v>
      </c>
      <c r="I2220" s="112">
        <v>-2</v>
      </c>
      <c r="J2220" s="112">
        <v>2</v>
      </c>
      <c r="K2220" s="112">
        <v>5</v>
      </c>
      <c r="L2220" s="112">
        <v>7</v>
      </c>
      <c r="M2220" s="112">
        <v>10</v>
      </c>
      <c r="N2220" s="112">
        <v>-2</v>
      </c>
      <c r="O2220" s="110"/>
      <c r="P2220" s="110"/>
      <c r="Q2220" s="110"/>
    </row>
    <row r="2221" spans="1:17" s="119" customFormat="1" ht="17.5" customHeight="1">
      <c r="A2221" s="109" t="s">
        <v>7301</v>
      </c>
      <c r="B2221" s="109" t="s">
        <v>7302</v>
      </c>
      <c r="C2221" s="113">
        <v>2016</v>
      </c>
      <c r="D2221" s="112">
        <v>27</v>
      </c>
      <c r="E2221" s="112">
        <v>75</v>
      </c>
      <c r="F2221" s="112">
        <v>34</v>
      </c>
      <c r="G2221" s="112">
        <v>44</v>
      </c>
      <c r="H2221" s="112">
        <v>18</v>
      </c>
      <c r="I2221" s="112">
        <v>1</v>
      </c>
      <c r="J2221" s="112">
        <v>1</v>
      </c>
      <c r="K2221" s="112" t="s">
        <v>6952</v>
      </c>
      <c r="L2221" s="112">
        <v>13</v>
      </c>
      <c r="M2221" s="112">
        <v>11</v>
      </c>
      <c r="N2221" s="112">
        <v>3</v>
      </c>
      <c r="O2221" s="117"/>
      <c r="P2221" s="117"/>
      <c r="Q2221" s="117"/>
    </row>
    <row r="2222" spans="1:17" s="119" customFormat="1" ht="17.5" customHeight="1">
      <c r="A2222" s="109" t="s">
        <v>7301</v>
      </c>
      <c r="B2222" s="109" t="s">
        <v>7302</v>
      </c>
      <c r="C2222" s="113">
        <v>2017</v>
      </c>
      <c r="D2222" s="112">
        <v>23</v>
      </c>
      <c r="E2222" s="112">
        <v>74</v>
      </c>
      <c r="F2222" s="112">
        <v>33</v>
      </c>
      <c r="G2222" s="112">
        <v>44</v>
      </c>
      <c r="H2222" s="112">
        <v>15</v>
      </c>
      <c r="I2222" s="112" t="s">
        <v>6952</v>
      </c>
      <c r="J2222" s="112">
        <v>1</v>
      </c>
      <c r="K2222" s="112">
        <v>1</v>
      </c>
      <c r="L2222" s="112">
        <v>18</v>
      </c>
      <c r="M2222" s="112">
        <v>16</v>
      </c>
      <c r="N2222" s="112">
        <v>3</v>
      </c>
      <c r="O2222" s="117"/>
      <c r="P2222" s="117"/>
      <c r="Q2222" s="117"/>
    </row>
    <row r="2223" spans="1:17" s="119" customFormat="1" ht="17.5" customHeight="1">
      <c r="A2223" s="109" t="s">
        <v>7301</v>
      </c>
      <c r="B2223" s="109" t="s">
        <v>7302</v>
      </c>
      <c r="C2223" s="113">
        <v>2018</v>
      </c>
      <c r="D2223" s="112">
        <v>21</v>
      </c>
      <c r="E2223" s="112">
        <v>87</v>
      </c>
      <c r="F2223" s="112">
        <v>22</v>
      </c>
      <c r="G2223" s="112">
        <v>68</v>
      </c>
      <c r="H2223" s="112">
        <v>16</v>
      </c>
      <c r="I2223" s="112">
        <v>4</v>
      </c>
      <c r="J2223" s="112">
        <v>5</v>
      </c>
      <c r="K2223" s="112">
        <v>1</v>
      </c>
      <c r="L2223" s="112">
        <v>16</v>
      </c>
      <c r="M2223" s="112">
        <v>13</v>
      </c>
      <c r="N2223" s="112">
        <v>3</v>
      </c>
      <c r="O2223" s="117"/>
      <c r="P2223" s="117"/>
      <c r="Q2223" s="117"/>
    </row>
    <row r="2224" spans="1:17" s="119" customFormat="1" ht="17.5" customHeight="1">
      <c r="A2224" s="109" t="s">
        <v>7301</v>
      </c>
      <c r="B2224" s="109" t="s">
        <v>7302</v>
      </c>
      <c r="C2224" s="113">
        <v>2019</v>
      </c>
      <c r="D2224" s="112">
        <v>22</v>
      </c>
      <c r="E2224" s="112">
        <v>118.68278599999999</v>
      </c>
      <c r="F2224" s="112">
        <v>37.236792999999999</v>
      </c>
      <c r="G2224" s="112">
        <v>80.433329000000001</v>
      </c>
      <c r="H2224" s="112">
        <v>18.509346000000001</v>
      </c>
      <c r="I2224" s="112">
        <v>0.83902500000000002</v>
      </c>
      <c r="J2224" s="112">
        <v>0.88170899999999996</v>
      </c>
      <c r="K2224" s="112" t="s">
        <v>6952</v>
      </c>
      <c r="L2224" s="112">
        <v>22.281544</v>
      </c>
      <c r="M2224" s="112">
        <v>23.282064999999999</v>
      </c>
      <c r="N2224" s="112">
        <v>-1.0005219999999999</v>
      </c>
      <c r="O2224" s="117"/>
      <c r="P2224" s="117"/>
      <c r="Q2224" s="117"/>
    </row>
    <row r="2225" spans="1:17" s="119" customFormat="1" ht="17.5" customHeight="1">
      <c r="A2225" s="114" t="s">
        <v>7301</v>
      </c>
      <c r="B2225" s="114" t="s">
        <v>7302</v>
      </c>
      <c r="C2225" s="113">
        <v>2020</v>
      </c>
      <c r="D2225" s="112">
        <v>21</v>
      </c>
      <c r="E2225" s="112">
        <v>92.519947000000002</v>
      </c>
      <c r="F2225" s="112">
        <v>28.273795</v>
      </c>
      <c r="G2225" s="112">
        <v>64.953588999999994</v>
      </c>
      <c r="H2225" s="112">
        <v>16.796012000000001</v>
      </c>
      <c r="I2225" s="112">
        <v>2.3733070000000001</v>
      </c>
      <c r="J2225" s="112">
        <v>2.3852859999999998</v>
      </c>
      <c r="K2225" s="112" t="s">
        <v>6952</v>
      </c>
      <c r="L2225" s="112">
        <v>19.604058999999999</v>
      </c>
      <c r="M2225" s="112">
        <v>18.908777000000001</v>
      </c>
      <c r="N2225" s="112">
        <v>0.69528199999999996</v>
      </c>
      <c r="O2225" s="110"/>
      <c r="P2225" s="110"/>
      <c r="Q2225" s="110"/>
    </row>
    <row r="2226" spans="1:17" s="119" customFormat="1" ht="31.75" customHeight="1">
      <c r="A2226" s="109" t="s">
        <v>7303</v>
      </c>
      <c r="B2226" s="109" t="s">
        <v>7304</v>
      </c>
      <c r="C2226" s="98">
        <v>2008</v>
      </c>
      <c r="D2226" s="99">
        <v>495</v>
      </c>
      <c r="E2226" s="99">
        <v>8008</v>
      </c>
      <c r="F2226" s="99">
        <v>2005</v>
      </c>
      <c r="G2226" s="99">
        <v>6058</v>
      </c>
      <c r="H2226" s="99">
        <v>1171</v>
      </c>
      <c r="I2226" s="99">
        <v>130</v>
      </c>
      <c r="J2226" s="99">
        <v>141</v>
      </c>
      <c r="K2226" s="99">
        <v>11</v>
      </c>
      <c r="L2226" s="99">
        <v>764</v>
      </c>
      <c r="M2226" s="99">
        <v>714</v>
      </c>
      <c r="N2226" s="99">
        <v>50</v>
      </c>
      <c r="O2226" s="110"/>
      <c r="P2226" s="110"/>
      <c r="Q2226" s="110"/>
    </row>
    <row r="2227" spans="1:17" s="119" customFormat="1" ht="31.75" customHeight="1">
      <c r="A2227" s="109" t="s">
        <v>7303</v>
      </c>
      <c r="B2227" s="109" t="s">
        <v>7304</v>
      </c>
      <c r="C2227" s="98">
        <v>2009</v>
      </c>
      <c r="D2227" s="99">
        <v>450</v>
      </c>
      <c r="E2227" s="99">
        <v>6340</v>
      </c>
      <c r="F2227" s="99">
        <v>1643</v>
      </c>
      <c r="G2227" s="99">
        <v>4600</v>
      </c>
      <c r="H2227" s="99">
        <v>1147</v>
      </c>
      <c r="I2227" s="99">
        <v>57</v>
      </c>
      <c r="J2227" s="99">
        <v>64</v>
      </c>
      <c r="K2227" s="99">
        <v>7</v>
      </c>
      <c r="L2227" s="99">
        <v>571</v>
      </c>
      <c r="M2227" s="99">
        <v>665</v>
      </c>
      <c r="N2227" s="99">
        <v>-94</v>
      </c>
      <c r="O2227" s="100"/>
      <c r="P2227" s="100"/>
      <c r="Q2227" s="100"/>
    </row>
    <row r="2228" spans="1:17" s="119" customFormat="1" ht="31.75" customHeight="1">
      <c r="A2228" s="109" t="s">
        <v>7303</v>
      </c>
      <c r="B2228" s="109" t="s">
        <v>7304</v>
      </c>
      <c r="C2228" s="98">
        <v>2010</v>
      </c>
      <c r="D2228" s="99">
        <v>416</v>
      </c>
      <c r="E2228" s="99">
        <v>6844</v>
      </c>
      <c r="F2228" s="99">
        <v>1984</v>
      </c>
      <c r="G2228" s="99">
        <v>5114</v>
      </c>
      <c r="H2228" s="99">
        <v>1263</v>
      </c>
      <c r="I2228" s="99">
        <v>98</v>
      </c>
      <c r="J2228" s="99">
        <v>101</v>
      </c>
      <c r="K2228" s="99">
        <v>3</v>
      </c>
      <c r="L2228" s="99">
        <v>850</v>
      </c>
      <c r="M2228" s="99">
        <v>598</v>
      </c>
      <c r="N2228" s="99">
        <v>252</v>
      </c>
      <c r="O2228" s="110"/>
      <c r="P2228" s="110"/>
      <c r="Q2228" s="110"/>
    </row>
    <row r="2229" spans="1:17" s="119" customFormat="1" ht="31.75" customHeight="1">
      <c r="A2229" s="109" t="s">
        <v>7303</v>
      </c>
      <c r="B2229" s="109" t="s">
        <v>7304</v>
      </c>
      <c r="C2229" s="98">
        <v>2011</v>
      </c>
      <c r="D2229" s="99">
        <v>374</v>
      </c>
      <c r="E2229" s="99">
        <v>7532</v>
      </c>
      <c r="F2229" s="99">
        <v>2116</v>
      </c>
      <c r="G2229" s="99">
        <v>5627</v>
      </c>
      <c r="H2229" s="99">
        <v>1173</v>
      </c>
      <c r="I2229" s="99">
        <v>83</v>
      </c>
      <c r="J2229" s="99">
        <v>93</v>
      </c>
      <c r="K2229" s="99">
        <v>10</v>
      </c>
      <c r="L2229" s="99">
        <v>987</v>
      </c>
      <c r="M2229" s="99">
        <v>772</v>
      </c>
      <c r="N2229" s="99">
        <v>215</v>
      </c>
      <c r="O2229" s="100"/>
      <c r="P2229" s="100"/>
      <c r="Q2229" s="100"/>
    </row>
    <row r="2230" spans="1:17" s="119" customFormat="1" ht="31.75" customHeight="1">
      <c r="A2230" s="109" t="s">
        <v>7303</v>
      </c>
      <c r="B2230" s="109" t="s">
        <v>7304</v>
      </c>
      <c r="C2230" s="111">
        <v>2012</v>
      </c>
      <c r="D2230" s="112">
        <v>350</v>
      </c>
      <c r="E2230" s="112">
        <v>6886</v>
      </c>
      <c r="F2230" s="112">
        <v>1544</v>
      </c>
      <c r="G2230" s="112">
        <v>5219</v>
      </c>
      <c r="H2230" s="112">
        <v>1087</v>
      </c>
      <c r="I2230" s="112">
        <v>73</v>
      </c>
      <c r="J2230" s="112">
        <v>87</v>
      </c>
      <c r="K2230" s="112">
        <v>14</v>
      </c>
      <c r="L2230" s="112">
        <v>835</v>
      </c>
      <c r="M2230" s="112">
        <v>963</v>
      </c>
      <c r="N2230" s="112">
        <v>-128</v>
      </c>
      <c r="O2230" s="100"/>
      <c r="P2230" s="100"/>
      <c r="Q2230" s="100"/>
    </row>
    <row r="2231" spans="1:17" s="119" customFormat="1" ht="31.75" customHeight="1">
      <c r="A2231" s="109" t="s">
        <v>7303</v>
      </c>
      <c r="B2231" s="109" t="s">
        <v>7304</v>
      </c>
      <c r="C2231" s="113">
        <v>2013</v>
      </c>
      <c r="D2231" s="112">
        <v>336</v>
      </c>
      <c r="E2231" s="112">
        <v>6810</v>
      </c>
      <c r="F2231" s="112">
        <v>1790</v>
      </c>
      <c r="G2231" s="112">
        <v>4988</v>
      </c>
      <c r="H2231" s="112">
        <v>1088</v>
      </c>
      <c r="I2231" s="112">
        <v>106</v>
      </c>
      <c r="J2231" s="112">
        <v>109</v>
      </c>
      <c r="K2231" s="112">
        <v>3</v>
      </c>
      <c r="L2231" s="112">
        <v>760</v>
      </c>
      <c r="M2231" s="112">
        <v>835</v>
      </c>
      <c r="N2231" s="112">
        <v>-76</v>
      </c>
      <c r="O2231" s="110"/>
      <c r="P2231" s="110"/>
      <c r="Q2231" s="110"/>
    </row>
    <row r="2232" spans="1:17" s="119" customFormat="1" ht="31.75" customHeight="1">
      <c r="A2232" s="109" t="s">
        <v>7303</v>
      </c>
      <c r="B2232" s="109" t="s">
        <v>7304</v>
      </c>
      <c r="C2232" s="113">
        <v>2014</v>
      </c>
      <c r="D2232" s="99">
        <v>336</v>
      </c>
      <c r="E2232" s="99">
        <v>6186</v>
      </c>
      <c r="F2232" s="99">
        <v>1741</v>
      </c>
      <c r="G2232" s="99">
        <v>4458</v>
      </c>
      <c r="H2232" s="99">
        <v>1138</v>
      </c>
      <c r="I2232" s="99">
        <v>96</v>
      </c>
      <c r="J2232" s="99">
        <v>98</v>
      </c>
      <c r="K2232" s="99">
        <v>2</v>
      </c>
      <c r="L2232" s="99">
        <v>738</v>
      </c>
      <c r="M2232" s="99">
        <v>721</v>
      </c>
      <c r="N2232" s="99">
        <v>17</v>
      </c>
      <c r="O2232" s="110"/>
      <c r="P2232" s="110"/>
      <c r="Q2232" s="110"/>
    </row>
    <row r="2233" spans="1:17" s="119" customFormat="1" ht="31.75" customHeight="1">
      <c r="A2233" s="109" t="s">
        <v>7303</v>
      </c>
      <c r="B2233" s="109" t="s">
        <v>7304</v>
      </c>
      <c r="C2233" s="113">
        <v>2015</v>
      </c>
      <c r="D2233" s="112">
        <v>328</v>
      </c>
      <c r="E2233" s="112">
        <v>5866</v>
      </c>
      <c r="F2233" s="112">
        <v>1584</v>
      </c>
      <c r="G2233" s="112">
        <v>4216</v>
      </c>
      <c r="H2233" s="112">
        <v>1226</v>
      </c>
      <c r="I2233" s="112">
        <v>115</v>
      </c>
      <c r="J2233" s="112">
        <v>116</v>
      </c>
      <c r="K2233" s="112">
        <v>1</v>
      </c>
      <c r="L2233" s="112">
        <v>738</v>
      </c>
      <c r="M2233" s="112">
        <v>801</v>
      </c>
      <c r="N2233" s="112">
        <v>-64</v>
      </c>
      <c r="O2233" s="117"/>
      <c r="P2233" s="117"/>
      <c r="Q2233" s="117"/>
    </row>
    <row r="2234" spans="1:17" s="119" customFormat="1" ht="31.75" customHeight="1">
      <c r="A2234" s="109" t="s">
        <v>7303</v>
      </c>
      <c r="B2234" s="109" t="s">
        <v>7304</v>
      </c>
      <c r="C2234" s="113">
        <v>2016</v>
      </c>
      <c r="D2234" s="112">
        <v>355</v>
      </c>
      <c r="E2234" s="112">
        <v>5716</v>
      </c>
      <c r="F2234" s="112">
        <v>1453</v>
      </c>
      <c r="G2234" s="112">
        <v>4284</v>
      </c>
      <c r="H2234" s="112">
        <v>1241</v>
      </c>
      <c r="I2234" s="112">
        <v>117</v>
      </c>
      <c r="J2234" s="112">
        <v>121</v>
      </c>
      <c r="K2234" s="112">
        <v>4</v>
      </c>
      <c r="L2234" s="112">
        <v>813</v>
      </c>
      <c r="M2234" s="112">
        <v>806</v>
      </c>
      <c r="N2234" s="112">
        <v>8</v>
      </c>
      <c r="O2234" s="117"/>
      <c r="P2234" s="117"/>
      <c r="Q2234" s="117"/>
    </row>
    <row r="2235" spans="1:17" s="119" customFormat="1" ht="31.75" customHeight="1">
      <c r="A2235" s="109" t="s">
        <v>7303</v>
      </c>
      <c r="B2235" s="109" t="s">
        <v>7304</v>
      </c>
      <c r="C2235" s="113">
        <v>2017</v>
      </c>
      <c r="D2235" s="112">
        <v>343</v>
      </c>
      <c r="E2235" s="112">
        <v>6184</v>
      </c>
      <c r="F2235" s="112">
        <v>1714</v>
      </c>
      <c r="G2235" s="112">
        <v>4575</v>
      </c>
      <c r="H2235" s="112">
        <v>1254</v>
      </c>
      <c r="I2235" s="112">
        <v>170</v>
      </c>
      <c r="J2235" s="112">
        <v>190</v>
      </c>
      <c r="K2235" s="112">
        <v>20</v>
      </c>
      <c r="L2235" s="112">
        <v>743</v>
      </c>
      <c r="M2235" s="112">
        <v>645</v>
      </c>
      <c r="N2235" s="112">
        <v>98</v>
      </c>
      <c r="O2235" s="117"/>
      <c r="P2235" s="117"/>
      <c r="Q2235" s="117"/>
    </row>
    <row r="2236" spans="1:17" s="119" customFormat="1" ht="31.75" customHeight="1">
      <c r="A2236" s="109" t="s">
        <v>7303</v>
      </c>
      <c r="B2236" s="109" t="s">
        <v>7304</v>
      </c>
      <c r="C2236" s="113">
        <v>2018</v>
      </c>
      <c r="D2236" s="112">
        <v>331</v>
      </c>
      <c r="E2236" s="112">
        <v>6143</v>
      </c>
      <c r="F2236" s="112">
        <v>1361</v>
      </c>
      <c r="G2236" s="112">
        <v>4626</v>
      </c>
      <c r="H2236" s="112">
        <v>1245</v>
      </c>
      <c r="I2236" s="112">
        <v>119</v>
      </c>
      <c r="J2236" s="112">
        <v>121</v>
      </c>
      <c r="K2236" s="112">
        <v>2</v>
      </c>
      <c r="L2236" s="112">
        <v>583</v>
      </c>
      <c r="M2236" s="112">
        <v>752</v>
      </c>
      <c r="N2236" s="112">
        <v>-169</v>
      </c>
      <c r="O2236" s="117"/>
      <c r="P2236" s="117"/>
      <c r="Q2236" s="117"/>
    </row>
    <row r="2237" spans="1:17" s="119" customFormat="1" ht="31.75" customHeight="1">
      <c r="A2237" s="109" t="s">
        <v>7303</v>
      </c>
      <c r="B2237" s="109" t="s">
        <v>7304</v>
      </c>
      <c r="C2237" s="113">
        <v>2019</v>
      </c>
      <c r="D2237" s="112">
        <v>325</v>
      </c>
      <c r="E2237" s="112">
        <v>5721.2020519999996</v>
      </c>
      <c r="F2237" s="112">
        <v>1749.483823</v>
      </c>
      <c r="G2237" s="112">
        <v>3997.8970159999999</v>
      </c>
      <c r="H2237" s="112">
        <v>1261.737672</v>
      </c>
      <c r="I2237" s="112">
        <v>128.163118</v>
      </c>
      <c r="J2237" s="112">
        <v>129.122995</v>
      </c>
      <c r="K2237" s="112">
        <v>0.95987699999999998</v>
      </c>
      <c r="L2237" s="112">
        <v>563.62294099999997</v>
      </c>
      <c r="M2237" s="112">
        <v>565.51898800000004</v>
      </c>
      <c r="N2237" s="112">
        <v>-1.896047</v>
      </c>
      <c r="O2237" s="110"/>
      <c r="P2237" s="110"/>
      <c r="Q2237" s="110"/>
    </row>
    <row r="2238" spans="1:17" s="119" customFormat="1" ht="31.75" customHeight="1">
      <c r="A2238" s="114" t="s">
        <v>7303</v>
      </c>
      <c r="B2238" s="114" t="s">
        <v>7304</v>
      </c>
      <c r="C2238" s="113">
        <v>2020</v>
      </c>
      <c r="D2238" s="112">
        <v>324</v>
      </c>
      <c r="E2238" s="112">
        <v>4628.166397</v>
      </c>
      <c r="F2238" s="112">
        <v>1385.3845630000001</v>
      </c>
      <c r="G2238" s="112">
        <v>3196.9406730000001</v>
      </c>
      <c r="H2238" s="112">
        <v>1215.493226</v>
      </c>
      <c r="I2238" s="112">
        <v>87.150901000000005</v>
      </c>
      <c r="J2238" s="112">
        <v>89.104765999999998</v>
      </c>
      <c r="K2238" s="112">
        <v>1.953865</v>
      </c>
      <c r="L2238" s="112">
        <v>467.93120499999998</v>
      </c>
      <c r="M2238" s="112">
        <v>516.85562700000003</v>
      </c>
      <c r="N2238" s="112">
        <v>-48.924422999999997</v>
      </c>
      <c r="O2238" s="110"/>
      <c r="P2238" s="110"/>
      <c r="Q2238" s="110"/>
    </row>
    <row r="2239" spans="1:17" s="119" customFormat="1" ht="17.5" customHeight="1">
      <c r="A2239" s="109" t="s">
        <v>7305</v>
      </c>
      <c r="B2239" s="109" t="s">
        <v>7306</v>
      </c>
      <c r="C2239" s="98">
        <v>2008</v>
      </c>
      <c r="D2239" s="99">
        <v>74</v>
      </c>
      <c r="E2239" s="99">
        <v>1268</v>
      </c>
      <c r="F2239" s="99">
        <v>220</v>
      </c>
      <c r="G2239" s="99">
        <v>1060</v>
      </c>
      <c r="H2239" s="99">
        <v>23</v>
      </c>
      <c r="I2239" s="99">
        <v>1</v>
      </c>
      <c r="J2239" s="99">
        <v>2</v>
      </c>
      <c r="K2239" s="99" t="s">
        <v>6952</v>
      </c>
      <c r="L2239" s="99">
        <v>45</v>
      </c>
      <c r="M2239" s="99">
        <v>33</v>
      </c>
      <c r="N2239" s="99">
        <v>12</v>
      </c>
      <c r="O2239" s="100"/>
      <c r="P2239" s="100"/>
      <c r="Q2239" s="100"/>
    </row>
    <row r="2240" spans="1:17" s="119" customFormat="1" ht="17.5" customHeight="1">
      <c r="A2240" s="109" t="s">
        <v>7305</v>
      </c>
      <c r="B2240" s="109" t="s">
        <v>7306</v>
      </c>
      <c r="C2240" s="98">
        <v>2009</v>
      </c>
      <c r="D2240" s="99">
        <v>66</v>
      </c>
      <c r="E2240" s="99">
        <v>903</v>
      </c>
      <c r="F2240" s="99">
        <v>120</v>
      </c>
      <c r="G2240" s="99">
        <v>769</v>
      </c>
      <c r="H2240" s="99">
        <v>15</v>
      </c>
      <c r="I2240" s="99" t="s">
        <v>6952</v>
      </c>
      <c r="J2240" s="99" t="s">
        <v>6952</v>
      </c>
      <c r="K2240" s="99">
        <v>0</v>
      </c>
      <c r="L2240" s="99">
        <v>26</v>
      </c>
      <c r="M2240" s="99">
        <v>40</v>
      </c>
      <c r="N2240" s="99">
        <v>-14</v>
      </c>
      <c r="O2240" s="110"/>
      <c r="P2240" s="110"/>
      <c r="Q2240" s="110"/>
    </row>
    <row r="2241" spans="1:17" s="119" customFormat="1" ht="17.5" customHeight="1">
      <c r="A2241" s="109" t="s">
        <v>7305</v>
      </c>
      <c r="B2241" s="109" t="s">
        <v>7306</v>
      </c>
      <c r="C2241" s="98">
        <v>2010</v>
      </c>
      <c r="D2241" s="99">
        <v>60</v>
      </c>
      <c r="E2241" s="99">
        <v>658</v>
      </c>
      <c r="F2241" s="99">
        <v>295</v>
      </c>
      <c r="G2241" s="99">
        <v>557</v>
      </c>
      <c r="H2241" s="99">
        <v>103</v>
      </c>
      <c r="I2241" s="99">
        <v>16</v>
      </c>
      <c r="J2241" s="99">
        <v>16</v>
      </c>
      <c r="K2241" s="99">
        <v>1</v>
      </c>
      <c r="L2241" s="99">
        <v>220</v>
      </c>
      <c r="M2241" s="99">
        <v>26</v>
      </c>
      <c r="N2241" s="99">
        <v>194</v>
      </c>
      <c r="O2241" s="100"/>
      <c r="P2241" s="100"/>
      <c r="Q2241" s="100"/>
    </row>
    <row r="2242" spans="1:17" s="119" customFormat="1" ht="17.5" customHeight="1">
      <c r="A2242" s="109" t="s">
        <v>7305</v>
      </c>
      <c r="B2242" s="109" t="s">
        <v>7306</v>
      </c>
      <c r="C2242" s="98">
        <v>2011</v>
      </c>
      <c r="D2242" s="99">
        <v>57</v>
      </c>
      <c r="E2242" s="99">
        <v>1150</v>
      </c>
      <c r="F2242" s="99">
        <v>490</v>
      </c>
      <c r="G2242" s="99">
        <v>785</v>
      </c>
      <c r="H2242" s="99">
        <v>116</v>
      </c>
      <c r="I2242" s="99">
        <v>23</v>
      </c>
      <c r="J2242" s="99">
        <v>23</v>
      </c>
      <c r="K2242" s="99">
        <v>1</v>
      </c>
      <c r="L2242" s="99">
        <v>321</v>
      </c>
      <c r="M2242" s="99">
        <v>195</v>
      </c>
      <c r="N2242" s="99">
        <v>125</v>
      </c>
      <c r="O2242" s="100"/>
      <c r="P2242" s="100"/>
      <c r="Q2242" s="100"/>
    </row>
    <row r="2243" spans="1:17" s="119" customFormat="1" ht="17.5" customHeight="1">
      <c r="A2243" s="109" t="s">
        <v>7305</v>
      </c>
      <c r="B2243" s="109" t="s">
        <v>7306</v>
      </c>
      <c r="C2243" s="111">
        <v>2012</v>
      </c>
      <c r="D2243" s="112">
        <v>56</v>
      </c>
      <c r="E2243" s="112">
        <v>1027</v>
      </c>
      <c r="F2243" s="112">
        <v>218</v>
      </c>
      <c r="G2243" s="112">
        <v>775</v>
      </c>
      <c r="H2243" s="112">
        <v>21</v>
      </c>
      <c r="I2243" s="112">
        <v>5</v>
      </c>
      <c r="J2243" s="112">
        <v>5</v>
      </c>
      <c r="K2243" s="112" t="s">
        <v>6952</v>
      </c>
      <c r="L2243" s="112">
        <v>212</v>
      </c>
      <c r="M2243" s="112">
        <v>246</v>
      </c>
      <c r="N2243" s="112">
        <v>-34</v>
      </c>
      <c r="O2243" s="110"/>
      <c r="P2243" s="110"/>
      <c r="Q2243" s="110"/>
    </row>
    <row r="2244" spans="1:17" s="119" customFormat="1" ht="17.5" customHeight="1">
      <c r="A2244" s="109" t="s">
        <v>7305</v>
      </c>
      <c r="B2244" s="109" t="s">
        <v>7306</v>
      </c>
      <c r="C2244" s="113">
        <v>2013</v>
      </c>
      <c r="D2244" s="112">
        <v>52</v>
      </c>
      <c r="E2244" s="112">
        <v>1128</v>
      </c>
      <c r="F2244" s="112">
        <v>298</v>
      </c>
      <c r="G2244" s="112">
        <v>834</v>
      </c>
      <c r="H2244" s="112">
        <v>24</v>
      </c>
      <c r="I2244" s="112">
        <v>8</v>
      </c>
      <c r="J2244" s="112">
        <v>8</v>
      </c>
      <c r="K2244" s="112" t="s">
        <v>6952</v>
      </c>
      <c r="L2244" s="112">
        <v>180</v>
      </c>
      <c r="M2244" s="112">
        <v>223</v>
      </c>
      <c r="N2244" s="112">
        <v>-43</v>
      </c>
      <c r="O2244" s="110"/>
      <c r="P2244" s="110"/>
      <c r="Q2244" s="110"/>
    </row>
    <row r="2245" spans="1:17" s="119" customFormat="1" ht="17.5" customHeight="1">
      <c r="A2245" s="109" t="s">
        <v>7305</v>
      </c>
      <c r="B2245" s="109" t="s">
        <v>7306</v>
      </c>
      <c r="C2245" s="113">
        <v>2014</v>
      </c>
      <c r="D2245" s="99">
        <v>54</v>
      </c>
      <c r="E2245" s="99">
        <v>719</v>
      </c>
      <c r="F2245" s="99">
        <v>240</v>
      </c>
      <c r="G2245" s="99">
        <v>511</v>
      </c>
      <c r="H2245" s="99">
        <v>14</v>
      </c>
      <c r="I2245" s="112" t="s">
        <v>6953</v>
      </c>
      <c r="J2245" s="112" t="s">
        <v>6953</v>
      </c>
      <c r="K2245" s="99" t="s">
        <v>6952</v>
      </c>
      <c r="L2245" s="112" t="s">
        <v>6953</v>
      </c>
      <c r="M2245" s="112" t="s">
        <v>6953</v>
      </c>
      <c r="N2245" s="112" t="s">
        <v>6953</v>
      </c>
      <c r="O2245" s="117"/>
      <c r="P2245" s="117"/>
      <c r="Q2245" s="117"/>
    </row>
    <row r="2246" spans="1:17" s="119" customFormat="1" ht="17.5" customHeight="1">
      <c r="A2246" s="109" t="s">
        <v>7305</v>
      </c>
      <c r="B2246" s="109" t="s">
        <v>7306</v>
      </c>
      <c r="C2246" s="113">
        <v>2015</v>
      </c>
      <c r="D2246" s="112">
        <v>51</v>
      </c>
      <c r="E2246" s="112">
        <v>449</v>
      </c>
      <c r="F2246" s="112">
        <v>-29</v>
      </c>
      <c r="G2246" s="112">
        <v>450</v>
      </c>
      <c r="H2246" s="112">
        <v>23</v>
      </c>
      <c r="I2246" s="112">
        <v>2</v>
      </c>
      <c r="J2246" s="112">
        <v>2</v>
      </c>
      <c r="K2246" s="112" t="s">
        <v>6952</v>
      </c>
      <c r="L2246" s="112" t="s">
        <v>6953</v>
      </c>
      <c r="M2246" s="112" t="s">
        <v>6953</v>
      </c>
      <c r="N2246" s="112" t="s">
        <v>6953</v>
      </c>
      <c r="O2246" s="117"/>
      <c r="P2246" s="117"/>
      <c r="Q2246" s="117"/>
    </row>
    <row r="2247" spans="1:17" s="119" customFormat="1" ht="17.5" customHeight="1">
      <c r="A2247" s="109" t="s">
        <v>7305</v>
      </c>
      <c r="B2247" s="109" t="s">
        <v>7306</v>
      </c>
      <c r="C2247" s="113">
        <v>2016</v>
      </c>
      <c r="D2247" s="112">
        <v>49</v>
      </c>
      <c r="E2247" s="112">
        <v>440</v>
      </c>
      <c r="F2247" s="112">
        <v>-60</v>
      </c>
      <c r="G2247" s="112">
        <v>531</v>
      </c>
      <c r="H2247" s="112">
        <v>22</v>
      </c>
      <c r="I2247" s="112">
        <v>9</v>
      </c>
      <c r="J2247" s="112">
        <v>9</v>
      </c>
      <c r="K2247" s="112" t="s">
        <v>6952</v>
      </c>
      <c r="L2247" s="112">
        <v>243</v>
      </c>
      <c r="M2247" s="112">
        <v>213</v>
      </c>
      <c r="N2247" s="112">
        <v>30</v>
      </c>
      <c r="O2247" s="117"/>
      <c r="P2247" s="117"/>
      <c r="Q2247" s="117"/>
    </row>
    <row r="2248" spans="1:17" s="119" customFormat="1" ht="17.5" customHeight="1">
      <c r="A2248" s="109" t="s">
        <v>7305</v>
      </c>
      <c r="B2248" s="109" t="s">
        <v>7306</v>
      </c>
      <c r="C2248" s="113">
        <v>2017</v>
      </c>
      <c r="D2248" s="112">
        <v>39</v>
      </c>
      <c r="E2248" s="112">
        <v>423</v>
      </c>
      <c r="F2248" s="112">
        <v>46</v>
      </c>
      <c r="G2248" s="112">
        <v>401</v>
      </c>
      <c r="H2248" s="112">
        <v>14</v>
      </c>
      <c r="I2248" s="112" t="s">
        <v>6952</v>
      </c>
      <c r="J2248" s="112" t="s">
        <v>6952</v>
      </c>
      <c r="K2248" s="112" t="s">
        <v>6952</v>
      </c>
      <c r="L2248" s="112" t="s">
        <v>6953</v>
      </c>
      <c r="M2248" s="112" t="s">
        <v>6953</v>
      </c>
      <c r="N2248" s="112" t="s">
        <v>6953</v>
      </c>
      <c r="O2248" s="117"/>
      <c r="P2248" s="117"/>
      <c r="Q2248" s="117"/>
    </row>
    <row r="2249" spans="1:17" s="119" customFormat="1" ht="17.5" customHeight="1">
      <c r="A2249" s="109" t="s">
        <v>7305</v>
      </c>
      <c r="B2249" s="109" t="s">
        <v>7306</v>
      </c>
      <c r="C2249" s="113">
        <v>2018</v>
      </c>
      <c r="D2249" s="112">
        <v>34</v>
      </c>
      <c r="E2249" s="112">
        <v>122</v>
      </c>
      <c r="F2249" s="112">
        <v>12</v>
      </c>
      <c r="G2249" s="112">
        <v>116</v>
      </c>
      <c r="H2249" s="112">
        <v>4</v>
      </c>
      <c r="I2249" s="112" t="s">
        <v>6952</v>
      </c>
      <c r="J2249" s="112" t="s">
        <v>6952</v>
      </c>
      <c r="K2249" s="112" t="s">
        <v>6952</v>
      </c>
      <c r="L2249" s="112">
        <v>11</v>
      </c>
      <c r="M2249" s="112">
        <v>6</v>
      </c>
      <c r="N2249" s="112">
        <v>5</v>
      </c>
      <c r="O2249" s="110"/>
      <c r="P2249" s="110"/>
      <c r="Q2249" s="110"/>
    </row>
    <row r="2250" spans="1:17" s="119" customFormat="1" ht="17.5" customHeight="1">
      <c r="A2250" s="109" t="s">
        <v>7305</v>
      </c>
      <c r="B2250" s="109" t="s">
        <v>7306</v>
      </c>
      <c r="C2250" s="113">
        <v>2019</v>
      </c>
      <c r="D2250" s="112">
        <v>40</v>
      </c>
      <c r="E2250" s="112">
        <v>125.199116</v>
      </c>
      <c r="F2250" s="112">
        <v>20.977747999999998</v>
      </c>
      <c r="G2250" s="112">
        <v>107.4751</v>
      </c>
      <c r="H2250" s="112">
        <v>5.1710570000000002</v>
      </c>
      <c r="I2250" s="112">
        <v>1.140879</v>
      </c>
      <c r="J2250" s="112">
        <v>1.4175249999999999</v>
      </c>
      <c r="K2250" s="112" t="s">
        <v>6952</v>
      </c>
      <c r="L2250" s="112">
        <v>9.8332479999999993</v>
      </c>
      <c r="M2250" s="112">
        <v>6.6276679999999999</v>
      </c>
      <c r="N2250" s="112">
        <v>3.2055799999999999</v>
      </c>
      <c r="O2250" s="110"/>
      <c r="P2250" s="110"/>
      <c r="Q2250" s="110"/>
    </row>
    <row r="2251" spans="1:17" s="119" customFormat="1" ht="17.5" customHeight="1">
      <c r="A2251" s="114" t="s">
        <v>7305</v>
      </c>
      <c r="B2251" s="114" t="s">
        <v>7306</v>
      </c>
      <c r="C2251" s="113">
        <v>2020</v>
      </c>
      <c r="D2251" s="112">
        <v>41</v>
      </c>
      <c r="E2251" s="112">
        <v>95.147289000000001</v>
      </c>
      <c r="F2251" s="112">
        <v>13.658607</v>
      </c>
      <c r="G2251" s="112">
        <v>83.482921000000005</v>
      </c>
      <c r="H2251" s="112">
        <v>5.6252899999999997</v>
      </c>
      <c r="I2251" s="112">
        <v>0.55073499999999997</v>
      </c>
      <c r="J2251" s="112">
        <v>0.56993000000000005</v>
      </c>
      <c r="K2251" s="112" t="s">
        <v>6952</v>
      </c>
      <c r="L2251" s="112">
        <v>8.5076070000000001</v>
      </c>
      <c r="M2251" s="112">
        <v>6.6058719999999997</v>
      </c>
      <c r="N2251" s="112">
        <v>1.901735</v>
      </c>
      <c r="O2251" s="100"/>
      <c r="P2251" s="100"/>
      <c r="Q2251" s="100"/>
    </row>
    <row r="2252" spans="1:17" s="119" customFormat="1" ht="17.5" customHeight="1">
      <c r="A2252" s="109" t="s">
        <v>7307</v>
      </c>
      <c r="B2252" s="109" t="s">
        <v>7308</v>
      </c>
      <c r="C2252" s="98">
        <v>2008</v>
      </c>
      <c r="D2252" s="99">
        <v>183</v>
      </c>
      <c r="E2252" s="99">
        <v>2427</v>
      </c>
      <c r="F2252" s="99">
        <v>474</v>
      </c>
      <c r="G2252" s="99">
        <v>1965</v>
      </c>
      <c r="H2252" s="99">
        <v>245</v>
      </c>
      <c r="I2252" s="99">
        <v>78</v>
      </c>
      <c r="J2252" s="99">
        <v>83</v>
      </c>
      <c r="K2252" s="99">
        <v>4</v>
      </c>
      <c r="L2252" s="99">
        <v>259</v>
      </c>
      <c r="M2252" s="99">
        <v>257</v>
      </c>
      <c r="N2252" s="99">
        <v>2</v>
      </c>
      <c r="O2252" s="110"/>
      <c r="P2252" s="110"/>
      <c r="Q2252" s="110"/>
    </row>
    <row r="2253" spans="1:17" s="119" customFormat="1" ht="17.5" customHeight="1">
      <c r="A2253" s="109" t="s">
        <v>7307</v>
      </c>
      <c r="B2253" s="109" t="s">
        <v>7308</v>
      </c>
      <c r="C2253" s="98">
        <v>2009</v>
      </c>
      <c r="D2253" s="99">
        <v>166</v>
      </c>
      <c r="E2253" s="99">
        <v>1424</v>
      </c>
      <c r="F2253" s="99">
        <v>129</v>
      </c>
      <c r="G2253" s="99">
        <v>1212</v>
      </c>
      <c r="H2253" s="99">
        <v>206</v>
      </c>
      <c r="I2253" s="99">
        <v>25</v>
      </c>
      <c r="J2253" s="99">
        <v>26</v>
      </c>
      <c r="K2253" s="99">
        <v>1</v>
      </c>
      <c r="L2253" s="99">
        <v>141</v>
      </c>
      <c r="M2253" s="99">
        <v>226</v>
      </c>
      <c r="N2253" s="99">
        <v>-84</v>
      </c>
      <c r="O2253" s="100"/>
      <c r="P2253" s="100"/>
      <c r="Q2253" s="100"/>
    </row>
    <row r="2254" spans="1:17" s="119" customFormat="1" ht="17.5" customHeight="1">
      <c r="A2254" s="109" t="s">
        <v>7307</v>
      </c>
      <c r="B2254" s="109" t="s">
        <v>7308</v>
      </c>
      <c r="C2254" s="98">
        <v>2010</v>
      </c>
      <c r="D2254" s="99">
        <v>161</v>
      </c>
      <c r="E2254" s="99">
        <v>1745</v>
      </c>
      <c r="F2254" s="99">
        <v>375</v>
      </c>
      <c r="G2254" s="99">
        <v>1418</v>
      </c>
      <c r="H2254" s="99">
        <v>184</v>
      </c>
      <c r="I2254" s="99">
        <v>43</v>
      </c>
      <c r="J2254" s="99">
        <v>43</v>
      </c>
      <c r="K2254" s="99" t="s">
        <v>6952</v>
      </c>
      <c r="L2254" s="99">
        <v>194</v>
      </c>
      <c r="M2254" s="99">
        <v>147</v>
      </c>
      <c r="N2254" s="99">
        <v>47</v>
      </c>
      <c r="O2254" s="100"/>
      <c r="P2254" s="100"/>
      <c r="Q2254" s="100"/>
    </row>
    <row r="2255" spans="1:17" s="119" customFormat="1" ht="17.5" customHeight="1">
      <c r="A2255" s="109" t="s">
        <v>7307</v>
      </c>
      <c r="B2255" s="109" t="s">
        <v>7308</v>
      </c>
      <c r="C2255" s="98">
        <v>2011</v>
      </c>
      <c r="D2255" s="99">
        <v>144</v>
      </c>
      <c r="E2255" s="99">
        <v>1589</v>
      </c>
      <c r="F2255" s="99">
        <v>300</v>
      </c>
      <c r="G2255" s="99">
        <v>1317</v>
      </c>
      <c r="H2255" s="99">
        <v>150</v>
      </c>
      <c r="I2255" s="99">
        <v>25</v>
      </c>
      <c r="J2255" s="99">
        <v>26</v>
      </c>
      <c r="K2255" s="99">
        <v>1</v>
      </c>
      <c r="L2255" s="99">
        <v>165</v>
      </c>
      <c r="M2255" s="99">
        <v>137</v>
      </c>
      <c r="N2255" s="99">
        <v>28</v>
      </c>
      <c r="O2255" s="110"/>
      <c r="P2255" s="110"/>
      <c r="Q2255" s="110"/>
    </row>
    <row r="2256" spans="1:17" s="119" customFormat="1" ht="17.5" customHeight="1">
      <c r="A2256" s="109" t="s">
        <v>7307</v>
      </c>
      <c r="B2256" s="109" t="s">
        <v>7308</v>
      </c>
      <c r="C2256" s="111">
        <v>2012</v>
      </c>
      <c r="D2256" s="112">
        <v>138</v>
      </c>
      <c r="E2256" s="112">
        <v>1263</v>
      </c>
      <c r="F2256" s="112">
        <v>129</v>
      </c>
      <c r="G2256" s="112">
        <v>1090</v>
      </c>
      <c r="H2256" s="112">
        <v>129</v>
      </c>
      <c r="I2256" s="112">
        <v>13</v>
      </c>
      <c r="J2256" s="112">
        <v>15</v>
      </c>
      <c r="K2256" s="112">
        <v>2</v>
      </c>
      <c r="L2256" s="112">
        <v>128</v>
      </c>
      <c r="M2256" s="112">
        <v>173</v>
      </c>
      <c r="N2256" s="112">
        <v>-45</v>
      </c>
      <c r="O2256" s="110"/>
      <c r="P2256" s="110"/>
      <c r="Q2256" s="110"/>
    </row>
    <row r="2257" spans="1:17" s="119" customFormat="1" ht="17.5" customHeight="1">
      <c r="A2257" s="109" t="s">
        <v>7307</v>
      </c>
      <c r="B2257" s="109" t="s">
        <v>7308</v>
      </c>
      <c r="C2257" s="113">
        <v>2013</v>
      </c>
      <c r="D2257" s="112">
        <v>131</v>
      </c>
      <c r="E2257" s="112">
        <v>1370</v>
      </c>
      <c r="F2257" s="112">
        <v>218</v>
      </c>
      <c r="G2257" s="112">
        <v>1129</v>
      </c>
      <c r="H2257" s="112">
        <v>125</v>
      </c>
      <c r="I2257" s="112">
        <v>40</v>
      </c>
      <c r="J2257" s="112">
        <v>41</v>
      </c>
      <c r="K2257" s="112">
        <v>1</v>
      </c>
      <c r="L2257" s="112">
        <v>129</v>
      </c>
      <c r="M2257" s="112">
        <v>150</v>
      </c>
      <c r="N2257" s="112">
        <v>-20</v>
      </c>
      <c r="O2257" s="117"/>
      <c r="P2257" s="117"/>
      <c r="Q2257" s="117"/>
    </row>
    <row r="2258" spans="1:17" s="119" customFormat="1" ht="17.5" customHeight="1">
      <c r="A2258" s="109" t="s">
        <v>7307</v>
      </c>
      <c r="B2258" s="109" t="s">
        <v>7308</v>
      </c>
      <c r="C2258" s="113">
        <v>2014</v>
      </c>
      <c r="D2258" s="99">
        <v>129</v>
      </c>
      <c r="E2258" s="99">
        <v>1284</v>
      </c>
      <c r="F2258" s="99">
        <v>286</v>
      </c>
      <c r="G2258" s="99">
        <v>1015</v>
      </c>
      <c r="H2258" s="99">
        <v>112</v>
      </c>
      <c r="I2258" s="99">
        <v>35</v>
      </c>
      <c r="J2258" s="99">
        <v>36</v>
      </c>
      <c r="K2258" s="99">
        <v>1</v>
      </c>
      <c r="L2258" s="112" t="s">
        <v>6953</v>
      </c>
      <c r="M2258" s="112" t="s">
        <v>6953</v>
      </c>
      <c r="N2258" s="112" t="s">
        <v>6953</v>
      </c>
      <c r="O2258" s="117"/>
      <c r="P2258" s="117"/>
      <c r="Q2258" s="117"/>
    </row>
    <row r="2259" spans="1:17" s="119" customFormat="1" ht="17.5" customHeight="1">
      <c r="A2259" s="109" t="s">
        <v>7307</v>
      </c>
      <c r="B2259" s="109" t="s">
        <v>7308</v>
      </c>
      <c r="C2259" s="113">
        <v>2015</v>
      </c>
      <c r="D2259" s="112">
        <v>127</v>
      </c>
      <c r="E2259" s="112">
        <v>1296</v>
      </c>
      <c r="F2259" s="112">
        <v>267</v>
      </c>
      <c r="G2259" s="112">
        <v>1016</v>
      </c>
      <c r="H2259" s="112">
        <v>128</v>
      </c>
      <c r="I2259" s="112">
        <v>38</v>
      </c>
      <c r="J2259" s="112">
        <v>38</v>
      </c>
      <c r="K2259" s="112">
        <v>1</v>
      </c>
      <c r="L2259" s="112">
        <v>124</v>
      </c>
      <c r="M2259" s="112">
        <v>133</v>
      </c>
      <c r="N2259" s="112">
        <v>-8</v>
      </c>
      <c r="O2259" s="117"/>
      <c r="P2259" s="117"/>
      <c r="Q2259" s="117"/>
    </row>
    <row r="2260" spans="1:17" s="119" customFormat="1" ht="17.5" customHeight="1">
      <c r="A2260" s="109" t="s">
        <v>7307</v>
      </c>
      <c r="B2260" s="109" t="s">
        <v>7308</v>
      </c>
      <c r="C2260" s="113">
        <v>2016</v>
      </c>
      <c r="D2260" s="112">
        <v>127</v>
      </c>
      <c r="E2260" s="112">
        <v>1416</v>
      </c>
      <c r="F2260" s="112">
        <v>276</v>
      </c>
      <c r="G2260" s="112">
        <v>1150</v>
      </c>
      <c r="H2260" s="112">
        <v>146</v>
      </c>
      <c r="I2260" s="112">
        <v>43</v>
      </c>
      <c r="J2260" s="112">
        <v>45</v>
      </c>
      <c r="K2260" s="112">
        <v>2</v>
      </c>
      <c r="L2260" s="112">
        <v>148</v>
      </c>
      <c r="M2260" s="112">
        <v>142</v>
      </c>
      <c r="N2260" s="112">
        <v>7</v>
      </c>
      <c r="O2260" s="117"/>
      <c r="P2260" s="117"/>
      <c r="Q2260" s="117"/>
    </row>
    <row r="2261" spans="1:17" s="119" customFormat="1" ht="17.5" customHeight="1">
      <c r="A2261" s="109" t="s">
        <v>7307</v>
      </c>
      <c r="B2261" s="109" t="s">
        <v>7308</v>
      </c>
      <c r="C2261" s="113">
        <v>2017</v>
      </c>
      <c r="D2261" s="112">
        <v>134</v>
      </c>
      <c r="E2261" s="112">
        <v>1632</v>
      </c>
      <c r="F2261" s="112">
        <v>284</v>
      </c>
      <c r="G2261" s="112">
        <v>1389</v>
      </c>
      <c r="H2261" s="112">
        <v>145</v>
      </c>
      <c r="I2261" s="112">
        <v>65</v>
      </c>
      <c r="J2261" s="112">
        <v>68</v>
      </c>
      <c r="K2261" s="112">
        <v>4</v>
      </c>
      <c r="L2261" s="112">
        <v>183</v>
      </c>
      <c r="M2261" s="112">
        <v>142</v>
      </c>
      <c r="N2261" s="112">
        <v>41</v>
      </c>
      <c r="O2261" s="110"/>
      <c r="P2261" s="110"/>
      <c r="Q2261" s="110"/>
    </row>
    <row r="2262" spans="1:17" s="119" customFormat="1" ht="17.5" customHeight="1">
      <c r="A2262" s="109" t="s">
        <v>7307</v>
      </c>
      <c r="B2262" s="109" t="s">
        <v>7308</v>
      </c>
      <c r="C2262" s="113">
        <v>2018</v>
      </c>
      <c r="D2262" s="112">
        <v>129</v>
      </c>
      <c r="E2262" s="112">
        <v>1876</v>
      </c>
      <c r="F2262" s="112">
        <v>191</v>
      </c>
      <c r="G2262" s="112">
        <v>1695</v>
      </c>
      <c r="H2262" s="112">
        <v>157</v>
      </c>
      <c r="I2262" s="112">
        <v>34</v>
      </c>
      <c r="J2262" s="112">
        <v>35</v>
      </c>
      <c r="K2262" s="112">
        <v>1</v>
      </c>
      <c r="L2262" s="112">
        <v>218</v>
      </c>
      <c r="M2262" s="112">
        <v>213</v>
      </c>
      <c r="N2262" s="112">
        <v>5</v>
      </c>
      <c r="O2262" s="110"/>
      <c r="P2262" s="110"/>
      <c r="Q2262" s="110"/>
    </row>
    <row r="2263" spans="1:17" s="119" customFormat="1" ht="17.5" customHeight="1">
      <c r="A2263" s="109" t="s">
        <v>7307</v>
      </c>
      <c r="B2263" s="109" t="s">
        <v>7308</v>
      </c>
      <c r="C2263" s="113">
        <v>2019</v>
      </c>
      <c r="D2263" s="112">
        <v>136</v>
      </c>
      <c r="E2263" s="112">
        <v>1487.3557049999999</v>
      </c>
      <c r="F2263" s="112">
        <v>324.62920700000001</v>
      </c>
      <c r="G2263" s="112">
        <v>1163.2540859999999</v>
      </c>
      <c r="H2263" s="112">
        <v>145.82167000000001</v>
      </c>
      <c r="I2263" s="112">
        <v>30.564073</v>
      </c>
      <c r="J2263" s="112">
        <v>30.960115999999999</v>
      </c>
      <c r="K2263" s="112" t="s">
        <v>6952</v>
      </c>
      <c r="L2263" s="112">
        <v>189.463953</v>
      </c>
      <c r="M2263" s="112">
        <v>195.186463</v>
      </c>
      <c r="N2263" s="112">
        <v>-5.7225099999999998</v>
      </c>
      <c r="O2263" s="100"/>
      <c r="P2263" s="100"/>
      <c r="Q2263" s="100"/>
    </row>
    <row r="2264" spans="1:17" s="119" customFormat="1" ht="17.5" customHeight="1">
      <c r="A2264" s="114" t="s">
        <v>7307</v>
      </c>
      <c r="B2264" s="114" t="s">
        <v>7308</v>
      </c>
      <c r="C2264" s="113">
        <v>2020</v>
      </c>
      <c r="D2264" s="112">
        <v>140</v>
      </c>
      <c r="E2264" s="112">
        <v>896.55311300000005</v>
      </c>
      <c r="F2264" s="112">
        <v>144.60830300000001</v>
      </c>
      <c r="G2264" s="112">
        <v>745.75687100000005</v>
      </c>
      <c r="H2264" s="112">
        <v>131.40524099999999</v>
      </c>
      <c r="I2264" s="112">
        <v>13.603128</v>
      </c>
      <c r="J2264" s="112">
        <v>14.042095</v>
      </c>
      <c r="K2264" s="112" t="s">
        <v>6952</v>
      </c>
      <c r="L2264" s="112">
        <v>136.23217199999999</v>
      </c>
      <c r="M2264" s="112">
        <v>145.77122700000001</v>
      </c>
      <c r="N2264" s="112">
        <v>-9.5390540000000001</v>
      </c>
      <c r="O2264" s="110"/>
      <c r="P2264" s="110"/>
      <c r="Q2264" s="110"/>
    </row>
    <row r="2265" spans="1:17" s="119" customFormat="1" ht="17.5" customHeight="1">
      <c r="A2265" s="109" t="s">
        <v>7309</v>
      </c>
      <c r="B2265" s="109" t="s">
        <v>7310</v>
      </c>
      <c r="C2265" s="98">
        <v>2008</v>
      </c>
      <c r="D2265" s="99">
        <v>25</v>
      </c>
      <c r="E2265" s="99">
        <v>624</v>
      </c>
      <c r="F2265" s="99">
        <v>110</v>
      </c>
      <c r="G2265" s="99">
        <v>527</v>
      </c>
      <c r="H2265" s="99">
        <v>32</v>
      </c>
      <c r="I2265" s="99">
        <v>7</v>
      </c>
      <c r="J2265" s="99">
        <v>8</v>
      </c>
      <c r="K2265" s="99">
        <v>1</v>
      </c>
      <c r="L2265" s="99">
        <v>105</v>
      </c>
      <c r="M2265" s="99">
        <v>93</v>
      </c>
      <c r="N2265" s="99">
        <v>13</v>
      </c>
      <c r="O2265" s="100"/>
      <c r="P2265" s="100"/>
      <c r="Q2265" s="100"/>
    </row>
    <row r="2266" spans="1:17" s="119" customFormat="1" ht="17.5" customHeight="1">
      <c r="A2266" s="109" t="s">
        <v>7309</v>
      </c>
      <c r="B2266" s="109" t="s">
        <v>7310</v>
      </c>
      <c r="C2266" s="98">
        <v>2009</v>
      </c>
      <c r="D2266" s="99">
        <v>23</v>
      </c>
      <c r="E2266" s="99">
        <v>551</v>
      </c>
      <c r="F2266" s="99">
        <v>79</v>
      </c>
      <c r="G2266" s="99">
        <v>499</v>
      </c>
      <c r="H2266" s="99">
        <v>30</v>
      </c>
      <c r="I2266" s="99">
        <v>5</v>
      </c>
      <c r="J2266" s="99">
        <v>5</v>
      </c>
      <c r="K2266" s="99" t="s">
        <v>6952</v>
      </c>
      <c r="L2266" s="99">
        <v>121</v>
      </c>
      <c r="M2266" s="99">
        <v>94</v>
      </c>
      <c r="N2266" s="99">
        <v>27</v>
      </c>
      <c r="O2266" s="100"/>
      <c r="P2266" s="100"/>
      <c r="Q2266" s="100"/>
    </row>
    <row r="2267" spans="1:17" s="119" customFormat="1" ht="17.5" customHeight="1">
      <c r="A2267" s="109" t="s">
        <v>7309</v>
      </c>
      <c r="B2267" s="109" t="s">
        <v>7310</v>
      </c>
      <c r="C2267" s="98">
        <v>2010</v>
      </c>
      <c r="D2267" s="99">
        <v>25</v>
      </c>
      <c r="E2267" s="99">
        <v>702</v>
      </c>
      <c r="F2267" s="99">
        <v>40</v>
      </c>
      <c r="G2267" s="99">
        <v>615</v>
      </c>
      <c r="H2267" s="99">
        <v>33</v>
      </c>
      <c r="I2267" s="99">
        <v>4</v>
      </c>
      <c r="J2267" s="99">
        <v>4</v>
      </c>
      <c r="K2267" s="99" t="s">
        <v>6952</v>
      </c>
      <c r="L2267" s="99">
        <v>76</v>
      </c>
      <c r="M2267" s="99">
        <v>122</v>
      </c>
      <c r="N2267" s="99">
        <v>-46</v>
      </c>
      <c r="O2267" s="110"/>
      <c r="P2267" s="110"/>
      <c r="Q2267" s="110"/>
    </row>
    <row r="2268" spans="1:17" s="119" customFormat="1" ht="17.5" customHeight="1">
      <c r="A2268" s="109" t="s">
        <v>7309</v>
      </c>
      <c r="B2268" s="109" t="s">
        <v>7310</v>
      </c>
      <c r="C2268" s="98">
        <v>2011</v>
      </c>
      <c r="D2268" s="99">
        <v>22</v>
      </c>
      <c r="E2268" s="99">
        <v>806</v>
      </c>
      <c r="F2268" s="99">
        <v>128</v>
      </c>
      <c r="G2268" s="99">
        <v>741</v>
      </c>
      <c r="H2268" s="99">
        <v>36</v>
      </c>
      <c r="I2268" s="99">
        <v>6</v>
      </c>
      <c r="J2268" s="99">
        <v>6</v>
      </c>
      <c r="K2268" s="99" t="s">
        <v>6952</v>
      </c>
      <c r="L2268" s="99">
        <v>126</v>
      </c>
      <c r="M2268" s="99">
        <v>63</v>
      </c>
      <c r="N2268" s="99">
        <v>63</v>
      </c>
      <c r="O2268" s="110"/>
      <c r="P2268" s="110"/>
      <c r="Q2268" s="110"/>
    </row>
    <row r="2269" spans="1:17" s="119" customFormat="1" ht="17.5" customHeight="1">
      <c r="A2269" s="109" t="s">
        <v>7309</v>
      </c>
      <c r="B2269" s="109" t="s">
        <v>7310</v>
      </c>
      <c r="C2269" s="111">
        <v>2012</v>
      </c>
      <c r="D2269" s="112">
        <v>22</v>
      </c>
      <c r="E2269" s="112">
        <v>770</v>
      </c>
      <c r="F2269" s="112">
        <v>57</v>
      </c>
      <c r="G2269" s="112">
        <v>682</v>
      </c>
      <c r="H2269" s="112">
        <v>34</v>
      </c>
      <c r="I2269" s="112">
        <v>4</v>
      </c>
      <c r="J2269" s="112">
        <v>4</v>
      </c>
      <c r="K2269" s="99" t="s">
        <v>6952</v>
      </c>
      <c r="L2269" s="112">
        <v>96</v>
      </c>
      <c r="M2269" s="112">
        <v>127</v>
      </c>
      <c r="N2269" s="112">
        <v>-31</v>
      </c>
      <c r="O2269" s="117"/>
      <c r="P2269" s="117"/>
      <c r="Q2269" s="117"/>
    </row>
    <row r="2270" spans="1:17" s="119" customFormat="1" ht="17.5" customHeight="1">
      <c r="A2270" s="109" t="s">
        <v>7309</v>
      </c>
      <c r="B2270" s="109" t="s">
        <v>7310</v>
      </c>
      <c r="C2270" s="113">
        <v>2013</v>
      </c>
      <c r="D2270" s="112">
        <v>20</v>
      </c>
      <c r="E2270" s="112">
        <v>651</v>
      </c>
      <c r="F2270" s="112">
        <v>70</v>
      </c>
      <c r="G2270" s="112">
        <v>579</v>
      </c>
      <c r="H2270" s="112">
        <v>34</v>
      </c>
      <c r="I2270" s="112">
        <v>13</v>
      </c>
      <c r="J2270" s="112">
        <v>13</v>
      </c>
      <c r="K2270" s="99" t="s">
        <v>6952</v>
      </c>
      <c r="L2270" s="112">
        <v>83</v>
      </c>
      <c r="M2270" s="112">
        <v>86</v>
      </c>
      <c r="N2270" s="112">
        <v>-3</v>
      </c>
      <c r="O2270" s="117"/>
      <c r="P2270" s="117"/>
      <c r="Q2270" s="117"/>
    </row>
    <row r="2271" spans="1:17" s="119" customFormat="1" ht="17.5" customHeight="1">
      <c r="A2271" s="109" t="s">
        <v>7309</v>
      </c>
      <c r="B2271" s="109" t="s">
        <v>7310</v>
      </c>
      <c r="C2271" s="113">
        <v>2014</v>
      </c>
      <c r="D2271" s="99">
        <v>20</v>
      </c>
      <c r="E2271" s="99">
        <v>722</v>
      </c>
      <c r="F2271" s="99">
        <v>7</v>
      </c>
      <c r="G2271" s="99">
        <v>635</v>
      </c>
      <c r="H2271" s="99">
        <v>43</v>
      </c>
      <c r="I2271" s="99">
        <v>5</v>
      </c>
      <c r="J2271" s="99">
        <v>5</v>
      </c>
      <c r="K2271" s="99" t="s">
        <v>6952</v>
      </c>
      <c r="L2271" s="99">
        <v>42</v>
      </c>
      <c r="M2271" s="99">
        <v>122</v>
      </c>
      <c r="N2271" s="99">
        <v>-80</v>
      </c>
      <c r="O2271" s="117"/>
      <c r="P2271" s="117"/>
      <c r="Q2271" s="117"/>
    </row>
    <row r="2272" spans="1:17" s="119" customFormat="1" ht="17.5" customHeight="1">
      <c r="A2272" s="109" t="s">
        <v>7309</v>
      </c>
      <c r="B2272" s="109" t="s">
        <v>7310</v>
      </c>
      <c r="C2272" s="113">
        <v>2015</v>
      </c>
      <c r="D2272" s="112">
        <v>21</v>
      </c>
      <c r="E2272" s="112">
        <v>394</v>
      </c>
      <c r="F2272" s="112">
        <v>35</v>
      </c>
      <c r="G2272" s="112">
        <v>351</v>
      </c>
      <c r="H2272" s="112">
        <v>41</v>
      </c>
      <c r="I2272" s="112">
        <v>4</v>
      </c>
      <c r="J2272" s="112">
        <v>4</v>
      </c>
      <c r="K2272" s="99" t="s">
        <v>6952</v>
      </c>
      <c r="L2272" s="112">
        <v>25</v>
      </c>
      <c r="M2272" s="112">
        <v>33</v>
      </c>
      <c r="N2272" s="112">
        <v>-8</v>
      </c>
      <c r="O2272" s="117"/>
      <c r="P2272" s="117"/>
      <c r="Q2272" s="117"/>
    </row>
    <row r="2273" spans="1:17" s="119" customFormat="1" ht="17.5" customHeight="1">
      <c r="A2273" s="109" t="s">
        <v>7309</v>
      </c>
      <c r="B2273" s="109" t="s">
        <v>7310</v>
      </c>
      <c r="C2273" s="113">
        <v>2016</v>
      </c>
      <c r="D2273" s="112">
        <v>21</v>
      </c>
      <c r="E2273" s="112">
        <v>421</v>
      </c>
      <c r="F2273" s="112">
        <v>16</v>
      </c>
      <c r="G2273" s="112">
        <v>413</v>
      </c>
      <c r="H2273" s="112">
        <v>38</v>
      </c>
      <c r="I2273" s="112" t="s">
        <v>6953</v>
      </c>
      <c r="J2273" s="112" t="s">
        <v>6953</v>
      </c>
      <c r="K2273" s="99" t="s">
        <v>6952</v>
      </c>
      <c r="L2273" s="112">
        <v>38</v>
      </c>
      <c r="M2273" s="112">
        <v>31</v>
      </c>
      <c r="N2273" s="112">
        <v>7</v>
      </c>
      <c r="O2273" s="110"/>
      <c r="P2273" s="110"/>
      <c r="Q2273" s="110"/>
    </row>
    <row r="2274" spans="1:17" s="119" customFormat="1" ht="17.5" customHeight="1">
      <c r="A2274" s="109" t="s">
        <v>7309</v>
      </c>
      <c r="B2274" s="109" t="s">
        <v>7310</v>
      </c>
      <c r="C2274" s="113">
        <v>2017</v>
      </c>
      <c r="D2274" s="112">
        <v>21</v>
      </c>
      <c r="E2274" s="112">
        <v>513</v>
      </c>
      <c r="F2274" s="112">
        <v>113</v>
      </c>
      <c r="G2274" s="112">
        <v>418</v>
      </c>
      <c r="H2274" s="112">
        <v>43</v>
      </c>
      <c r="I2274" s="112">
        <v>8</v>
      </c>
      <c r="J2274" s="112">
        <v>8</v>
      </c>
      <c r="K2274" s="99" t="s">
        <v>6952</v>
      </c>
      <c r="L2274" s="112">
        <v>60</v>
      </c>
      <c r="M2274" s="112">
        <v>42</v>
      </c>
      <c r="N2274" s="112">
        <v>18</v>
      </c>
      <c r="O2274" s="110"/>
      <c r="P2274" s="110"/>
      <c r="Q2274" s="110"/>
    </row>
    <row r="2275" spans="1:17" s="119" customFormat="1" ht="17.5" customHeight="1">
      <c r="A2275" s="109" t="s">
        <v>7309</v>
      </c>
      <c r="B2275" s="109" t="s">
        <v>7310</v>
      </c>
      <c r="C2275" s="113">
        <v>2018</v>
      </c>
      <c r="D2275" s="112">
        <v>19</v>
      </c>
      <c r="E2275" s="112">
        <v>494</v>
      </c>
      <c r="F2275" s="112">
        <v>76</v>
      </c>
      <c r="G2275" s="112">
        <v>404</v>
      </c>
      <c r="H2275" s="112">
        <v>38</v>
      </c>
      <c r="I2275" s="112">
        <v>7</v>
      </c>
      <c r="J2275" s="112">
        <v>7</v>
      </c>
      <c r="K2275" s="99" t="s">
        <v>6952</v>
      </c>
      <c r="L2275" s="112">
        <v>44</v>
      </c>
      <c r="M2275" s="112">
        <v>58</v>
      </c>
      <c r="N2275" s="112">
        <v>-14</v>
      </c>
      <c r="O2275" s="100"/>
      <c r="P2275" s="100"/>
      <c r="Q2275" s="100"/>
    </row>
    <row r="2276" spans="1:17" s="119" customFormat="1" ht="17.5" customHeight="1">
      <c r="A2276" s="109" t="s">
        <v>7309</v>
      </c>
      <c r="B2276" s="109" t="s">
        <v>7310</v>
      </c>
      <c r="C2276" s="113">
        <v>2019</v>
      </c>
      <c r="D2276" s="112">
        <v>19</v>
      </c>
      <c r="E2276" s="112">
        <v>465.14575000000002</v>
      </c>
      <c r="F2276" s="112">
        <v>68.660256000000004</v>
      </c>
      <c r="G2276" s="112">
        <v>407.91156999999998</v>
      </c>
      <c r="H2276" s="112">
        <v>39.912899000000003</v>
      </c>
      <c r="I2276" s="112">
        <v>12.102492</v>
      </c>
      <c r="J2276" s="112">
        <v>12.181343999999999</v>
      </c>
      <c r="K2276" s="112" t="s">
        <v>6952</v>
      </c>
      <c r="L2276" s="112">
        <v>53.888072000000001</v>
      </c>
      <c r="M2276" s="112">
        <v>42.449660999999999</v>
      </c>
      <c r="N2276" s="112">
        <v>11.438411</v>
      </c>
      <c r="O2276" s="110"/>
      <c r="P2276" s="110"/>
      <c r="Q2276" s="110"/>
    </row>
    <row r="2277" spans="1:17" s="119" customFormat="1" ht="17.5" customHeight="1">
      <c r="A2277" s="114" t="s">
        <v>7309</v>
      </c>
      <c r="B2277" s="114" t="s">
        <v>7310</v>
      </c>
      <c r="C2277" s="113">
        <v>2020</v>
      </c>
      <c r="D2277" s="112">
        <v>17</v>
      </c>
      <c r="E2277" s="112">
        <v>421.47376600000001</v>
      </c>
      <c r="F2277" s="112">
        <v>40.833046000000003</v>
      </c>
      <c r="G2277" s="112">
        <v>366.84472</v>
      </c>
      <c r="H2277" s="112">
        <v>39.654812999999997</v>
      </c>
      <c r="I2277" s="112">
        <v>7.9684239999999997</v>
      </c>
      <c r="J2277" s="112">
        <v>8.0028079999999999</v>
      </c>
      <c r="K2277" s="112" t="s">
        <v>6952</v>
      </c>
      <c r="L2277" s="112">
        <v>42.367364999999999</v>
      </c>
      <c r="M2277" s="112">
        <v>56.212105999999999</v>
      </c>
      <c r="N2277" s="112">
        <v>-13.844741000000001</v>
      </c>
      <c r="O2277" s="100"/>
      <c r="P2277" s="100"/>
      <c r="Q2277" s="100"/>
    </row>
    <row r="2278" spans="1:17" s="119" customFormat="1" ht="17.5" customHeight="1">
      <c r="A2278" s="109" t="s">
        <v>7311</v>
      </c>
      <c r="B2278" s="109" t="s">
        <v>7312</v>
      </c>
      <c r="C2278" s="98">
        <v>2008</v>
      </c>
      <c r="D2278" s="99">
        <v>78</v>
      </c>
      <c r="E2278" s="99">
        <v>832</v>
      </c>
      <c r="F2278" s="99">
        <v>99</v>
      </c>
      <c r="G2278" s="99">
        <v>720</v>
      </c>
      <c r="H2278" s="99">
        <v>92</v>
      </c>
      <c r="I2278" s="99">
        <v>7</v>
      </c>
      <c r="J2278" s="99">
        <v>8</v>
      </c>
      <c r="K2278" s="99">
        <v>1</v>
      </c>
      <c r="L2278" s="99">
        <v>118</v>
      </c>
      <c r="M2278" s="99">
        <v>130</v>
      </c>
      <c r="N2278" s="99">
        <v>-12</v>
      </c>
      <c r="O2278" s="100"/>
      <c r="P2278" s="100"/>
      <c r="Q2278" s="100"/>
    </row>
    <row r="2279" spans="1:17" s="119" customFormat="1" ht="17.5" customHeight="1">
      <c r="A2279" s="109" t="s">
        <v>7311</v>
      </c>
      <c r="B2279" s="109" t="s">
        <v>7312</v>
      </c>
      <c r="C2279" s="98">
        <v>2009</v>
      </c>
      <c r="D2279" s="99">
        <v>67</v>
      </c>
      <c r="E2279" s="99">
        <v>570</v>
      </c>
      <c r="F2279" s="99">
        <v>105</v>
      </c>
      <c r="G2279" s="99">
        <v>459</v>
      </c>
      <c r="H2279" s="99">
        <v>64</v>
      </c>
      <c r="I2279" s="99">
        <v>3</v>
      </c>
      <c r="J2279" s="99">
        <v>4</v>
      </c>
      <c r="K2279" s="99">
        <v>1</v>
      </c>
      <c r="L2279" s="99">
        <v>70</v>
      </c>
      <c r="M2279" s="99">
        <v>72</v>
      </c>
      <c r="N2279" s="99">
        <v>-3</v>
      </c>
      <c r="O2279" s="110"/>
      <c r="P2279" s="110"/>
      <c r="Q2279" s="110"/>
    </row>
    <row r="2280" spans="1:17" s="119" customFormat="1" ht="17.5" customHeight="1">
      <c r="A2280" s="109" t="s">
        <v>7311</v>
      </c>
      <c r="B2280" s="109" t="s">
        <v>7312</v>
      </c>
      <c r="C2280" s="98">
        <v>2010</v>
      </c>
      <c r="D2280" s="99">
        <v>59</v>
      </c>
      <c r="E2280" s="99">
        <v>824</v>
      </c>
      <c r="F2280" s="99">
        <v>74</v>
      </c>
      <c r="G2280" s="99">
        <v>768</v>
      </c>
      <c r="H2280" s="99">
        <v>69</v>
      </c>
      <c r="I2280" s="99">
        <v>6</v>
      </c>
      <c r="J2280" s="112" t="s">
        <v>6953</v>
      </c>
      <c r="K2280" s="112" t="s">
        <v>6953</v>
      </c>
      <c r="L2280" s="99">
        <v>118</v>
      </c>
      <c r="M2280" s="99">
        <v>101</v>
      </c>
      <c r="N2280" s="99">
        <v>17</v>
      </c>
      <c r="O2280" s="110"/>
      <c r="P2280" s="110"/>
      <c r="Q2280" s="110"/>
    </row>
    <row r="2281" spans="1:17" s="119" customFormat="1" ht="17.5" customHeight="1">
      <c r="A2281" s="109" t="s">
        <v>7311</v>
      </c>
      <c r="B2281" s="109" t="s">
        <v>7312</v>
      </c>
      <c r="C2281" s="98">
        <v>2011</v>
      </c>
      <c r="D2281" s="99">
        <v>54</v>
      </c>
      <c r="E2281" s="99">
        <v>1005</v>
      </c>
      <c r="F2281" s="99">
        <v>155</v>
      </c>
      <c r="G2281" s="99">
        <v>856</v>
      </c>
      <c r="H2281" s="99">
        <v>72</v>
      </c>
      <c r="I2281" s="99">
        <v>7</v>
      </c>
      <c r="J2281" s="99">
        <v>8</v>
      </c>
      <c r="K2281" s="99">
        <v>1</v>
      </c>
      <c r="L2281" s="99">
        <v>136</v>
      </c>
      <c r="M2281" s="99">
        <v>130</v>
      </c>
      <c r="N2281" s="99">
        <v>6</v>
      </c>
      <c r="O2281" s="117"/>
      <c r="P2281" s="117"/>
      <c r="Q2281" s="117"/>
    </row>
    <row r="2282" spans="1:17" s="119" customFormat="1" ht="17.5" customHeight="1">
      <c r="A2282" s="109" t="s">
        <v>7311</v>
      </c>
      <c r="B2282" s="109" t="s">
        <v>7312</v>
      </c>
      <c r="C2282" s="111">
        <v>2012</v>
      </c>
      <c r="D2282" s="112">
        <v>54</v>
      </c>
      <c r="E2282" s="112">
        <v>887</v>
      </c>
      <c r="F2282" s="112">
        <v>162</v>
      </c>
      <c r="G2282" s="112">
        <v>715</v>
      </c>
      <c r="H2282" s="112">
        <v>77</v>
      </c>
      <c r="I2282" s="112">
        <v>11</v>
      </c>
      <c r="J2282" s="112">
        <v>12</v>
      </c>
      <c r="K2282" s="112" t="s">
        <v>6952</v>
      </c>
      <c r="L2282" s="112">
        <v>127</v>
      </c>
      <c r="M2282" s="112">
        <v>136</v>
      </c>
      <c r="N2282" s="112">
        <v>-9</v>
      </c>
      <c r="O2282" s="117"/>
      <c r="P2282" s="117"/>
      <c r="Q2282" s="117"/>
    </row>
    <row r="2283" spans="1:17" s="119" customFormat="1" ht="17.5" customHeight="1">
      <c r="A2283" s="109" t="s">
        <v>7311</v>
      </c>
      <c r="B2283" s="109" t="s">
        <v>7312</v>
      </c>
      <c r="C2283" s="113">
        <v>2013</v>
      </c>
      <c r="D2283" s="112">
        <v>50</v>
      </c>
      <c r="E2283" s="112">
        <v>730</v>
      </c>
      <c r="F2283" s="112">
        <v>179</v>
      </c>
      <c r="G2283" s="112">
        <v>551</v>
      </c>
      <c r="H2283" s="112">
        <v>69</v>
      </c>
      <c r="I2283" s="112">
        <v>16</v>
      </c>
      <c r="J2283" s="112">
        <v>17</v>
      </c>
      <c r="K2283" s="112">
        <v>1</v>
      </c>
      <c r="L2283" s="112">
        <v>98</v>
      </c>
      <c r="M2283" s="112">
        <v>98</v>
      </c>
      <c r="N2283" s="112" t="s">
        <v>6952</v>
      </c>
      <c r="O2283" s="117"/>
      <c r="P2283" s="117"/>
      <c r="Q2283" s="117"/>
    </row>
    <row r="2284" spans="1:17" s="119" customFormat="1" ht="17.5" customHeight="1">
      <c r="A2284" s="109" t="s">
        <v>7311</v>
      </c>
      <c r="B2284" s="109" t="s">
        <v>7312</v>
      </c>
      <c r="C2284" s="113">
        <v>2014</v>
      </c>
      <c r="D2284" s="99">
        <v>40</v>
      </c>
      <c r="E2284" s="99">
        <v>618</v>
      </c>
      <c r="F2284" s="99">
        <v>88</v>
      </c>
      <c r="G2284" s="99">
        <v>531</v>
      </c>
      <c r="H2284" s="99">
        <v>64</v>
      </c>
      <c r="I2284" s="99">
        <v>14</v>
      </c>
      <c r="J2284" s="99">
        <v>15</v>
      </c>
      <c r="K2284" s="99" t="s">
        <v>6952</v>
      </c>
      <c r="L2284" s="99">
        <v>100</v>
      </c>
      <c r="M2284" s="99">
        <v>99</v>
      </c>
      <c r="N2284" s="99">
        <v>1</v>
      </c>
      <c r="O2284" s="117"/>
      <c r="P2284" s="117"/>
      <c r="Q2284" s="117"/>
    </row>
    <row r="2285" spans="1:17" s="119" customFormat="1" ht="17.5" customHeight="1">
      <c r="A2285" s="109" t="s">
        <v>7311</v>
      </c>
      <c r="B2285" s="109" t="s">
        <v>7312</v>
      </c>
      <c r="C2285" s="113">
        <v>2015</v>
      </c>
      <c r="D2285" s="112">
        <v>39</v>
      </c>
      <c r="E2285" s="112">
        <v>539</v>
      </c>
      <c r="F2285" s="112">
        <v>93</v>
      </c>
      <c r="G2285" s="112">
        <v>437</v>
      </c>
      <c r="H2285" s="112">
        <v>67</v>
      </c>
      <c r="I2285" s="112">
        <v>15</v>
      </c>
      <c r="J2285" s="112">
        <v>15</v>
      </c>
      <c r="K2285" s="112" t="s">
        <v>6952</v>
      </c>
      <c r="L2285" s="112">
        <v>89</v>
      </c>
      <c r="M2285" s="112">
        <v>97</v>
      </c>
      <c r="N2285" s="112">
        <v>-8</v>
      </c>
      <c r="O2285" s="110"/>
      <c r="P2285" s="110"/>
      <c r="Q2285" s="110"/>
    </row>
    <row r="2286" spans="1:17" s="119" customFormat="1" ht="17.5" customHeight="1">
      <c r="A2286" s="109" t="s">
        <v>7311</v>
      </c>
      <c r="B2286" s="109" t="s">
        <v>7312</v>
      </c>
      <c r="C2286" s="113">
        <v>2016</v>
      </c>
      <c r="D2286" s="112">
        <v>37</v>
      </c>
      <c r="E2286" s="112">
        <v>529</v>
      </c>
      <c r="F2286" s="112">
        <v>137</v>
      </c>
      <c r="G2286" s="112">
        <v>403</v>
      </c>
      <c r="H2286" s="112">
        <v>64</v>
      </c>
      <c r="I2286" s="112">
        <v>7</v>
      </c>
      <c r="J2286" s="112">
        <v>10</v>
      </c>
      <c r="K2286" s="112">
        <v>2</v>
      </c>
      <c r="L2286" s="112">
        <v>142</v>
      </c>
      <c r="M2286" s="112">
        <v>131</v>
      </c>
      <c r="N2286" s="112">
        <v>11</v>
      </c>
      <c r="O2286" s="110"/>
      <c r="P2286" s="110"/>
      <c r="Q2286" s="110"/>
    </row>
    <row r="2287" spans="1:17" s="119" customFormat="1" ht="17.5" customHeight="1">
      <c r="A2287" s="109" t="s">
        <v>7311</v>
      </c>
      <c r="B2287" s="109" t="s">
        <v>7312</v>
      </c>
      <c r="C2287" s="113">
        <v>2017</v>
      </c>
      <c r="D2287" s="112">
        <v>34</v>
      </c>
      <c r="E2287" s="112">
        <v>580</v>
      </c>
      <c r="F2287" s="112">
        <v>105</v>
      </c>
      <c r="G2287" s="112">
        <v>489</v>
      </c>
      <c r="H2287" s="112">
        <v>59</v>
      </c>
      <c r="I2287" s="112" t="s">
        <v>6953</v>
      </c>
      <c r="J2287" s="112" t="s">
        <v>6953</v>
      </c>
      <c r="K2287" s="112" t="s">
        <v>6953</v>
      </c>
      <c r="L2287" s="112">
        <v>107</v>
      </c>
      <c r="M2287" s="112">
        <v>92</v>
      </c>
      <c r="N2287" s="112">
        <v>15</v>
      </c>
      <c r="O2287" s="100"/>
      <c r="P2287" s="100"/>
      <c r="Q2287" s="100"/>
    </row>
    <row r="2288" spans="1:17" s="119" customFormat="1" ht="17.5" customHeight="1">
      <c r="A2288" s="109" t="s">
        <v>7311</v>
      </c>
      <c r="B2288" s="109" t="s">
        <v>7312</v>
      </c>
      <c r="C2288" s="113">
        <v>2018</v>
      </c>
      <c r="D2288" s="112">
        <v>35</v>
      </c>
      <c r="E2288" s="112">
        <v>591</v>
      </c>
      <c r="F2288" s="112">
        <v>111</v>
      </c>
      <c r="G2288" s="112">
        <v>475</v>
      </c>
      <c r="H2288" s="112">
        <v>59</v>
      </c>
      <c r="I2288" s="112">
        <v>15</v>
      </c>
      <c r="J2288" s="112">
        <v>15</v>
      </c>
      <c r="K2288" s="112" t="s">
        <v>6952</v>
      </c>
      <c r="L2288" s="112">
        <v>102</v>
      </c>
      <c r="M2288" s="112">
        <v>107</v>
      </c>
      <c r="N2288" s="112">
        <v>-5</v>
      </c>
      <c r="O2288" s="110"/>
      <c r="P2288" s="110"/>
      <c r="Q2288" s="110"/>
    </row>
    <row r="2289" spans="1:17" s="119" customFormat="1" ht="17.5" customHeight="1">
      <c r="A2289" s="109" t="s">
        <v>7311</v>
      </c>
      <c r="B2289" s="109" t="s">
        <v>7312</v>
      </c>
      <c r="C2289" s="113">
        <v>2019</v>
      </c>
      <c r="D2289" s="112">
        <v>31</v>
      </c>
      <c r="E2289" s="112">
        <v>551.10915399999999</v>
      </c>
      <c r="F2289" s="112">
        <v>94.136825999999999</v>
      </c>
      <c r="G2289" s="112">
        <v>451.89488799999998</v>
      </c>
      <c r="H2289" s="112">
        <v>59.831409999999998</v>
      </c>
      <c r="I2289" s="112">
        <v>20.756159</v>
      </c>
      <c r="J2289" s="112">
        <v>20.889135</v>
      </c>
      <c r="K2289" s="112" t="s">
        <v>6952</v>
      </c>
      <c r="L2289" s="112">
        <v>103.592799</v>
      </c>
      <c r="M2289" s="112">
        <v>109.028499</v>
      </c>
      <c r="N2289" s="112">
        <v>-5.4356999999999998</v>
      </c>
      <c r="O2289" s="100"/>
      <c r="P2289" s="100"/>
      <c r="Q2289" s="100"/>
    </row>
    <row r="2290" spans="1:17" s="119" customFormat="1" ht="17.5" customHeight="1">
      <c r="A2290" s="114" t="s">
        <v>7311</v>
      </c>
      <c r="B2290" s="114" t="s">
        <v>7312</v>
      </c>
      <c r="C2290" s="113">
        <v>2020</v>
      </c>
      <c r="D2290" s="112">
        <v>31</v>
      </c>
      <c r="E2290" s="112">
        <v>418.85959600000001</v>
      </c>
      <c r="F2290" s="112">
        <v>63.337150000000001</v>
      </c>
      <c r="G2290" s="112">
        <v>332.38081</v>
      </c>
      <c r="H2290" s="112">
        <v>43.351086000000002</v>
      </c>
      <c r="I2290" s="112">
        <v>11.468964</v>
      </c>
      <c r="J2290" s="112">
        <v>11.473967</v>
      </c>
      <c r="K2290" s="112" t="s">
        <v>6952</v>
      </c>
      <c r="L2290" s="112">
        <v>89.717099000000005</v>
      </c>
      <c r="M2290" s="112">
        <v>112.21988899999999</v>
      </c>
      <c r="N2290" s="112">
        <v>-22.502789</v>
      </c>
      <c r="O2290" s="100"/>
      <c r="P2290" s="100"/>
      <c r="Q2290" s="100"/>
    </row>
    <row r="2291" spans="1:17" s="119" customFormat="1" ht="17.5" customHeight="1">
      <c r="A2291" s="109" t="s">
        <v>7313</v>
      </c>
      <c r="B2291" s="109" t="s">
        <v>7314</v>
      </c>
      <c r="C2291" s="98">
        <v>2008</v>
      </c>
      <c r="D2291" s="112" t="s">
        <v>6953</v>
      </c>
      <c r="E2291" s="112" t="s">
        <v>6953</v>
      </c>
      <c r="F2291" s="112" t="s">
        <v>6953</v>
      </c>
      <c r="G2291" s="112" t="s">
        <v>6953</v>
      </c>
      <c r="H2291" s="112" t="s">
        <v>6953</v>
      </c>
      <c r="I2291" s="112" t="s">
        <v>6953</v>
      </c>
      <c r="J2291" s="112" t="s">
        <v>6953</v>
      </c>
      <c r="K2291" s="112" t="s">
        <v>6953</v>
      </c>
      <c r="L2291" s="112" t="s">
        <v>6953</v>
      </c>
      <c r="M2291" s="112" t="s">
        <v>6953</v>
      </c>
      <c r="N2291" s="112" t="s">
        <v>6953</v>
      </c>
      <c r="O2291" s="110"/>
      <c r="P2291" s="110"/>
      <c r="Q2291" s="110"/>
    </row>
    <row r="2292" spans="1:17" s="119" customFormat="1" ht="17.5" customHeight="1">
      <c r="A2292" s="109" t="s">
        <v>7313</v>
      </c>
      <c r="B2292" s="109" t="s">
        <v>7314</v>
      </c>
      <c r="C2292" s="98">
        <v>2009</v>
      </c>
      <c r="D2292" s="112" t="s">
        <v>6953</v>
      </c>
      <c r="E2292" s="112" t="s">
        <v>6953</v>
      </c>
      <c r="F2292" s="112" t="s">
        <v>6953</v>
      </c>
      <c r="G2292" s="112" t="s">
        <v>6953</v>
      </c>
      <c r="H2292" s="112" t="s">
        <v>6953</v>
      </c>
      <c r="I2292" s="112" t="s">
        <v>6953</v>
      </c>
      <c r="J2292" s="112" t="s">
        <v>6953</v>
      </c>
      <c r="K2292" s="112" t="s">
        <v>6953</v>
      </c>
      <c r="L2292" s="112" t="s">
        <v>6953</v>
      </c>
      <c r="M2292" s="112" t="s">
        <v>6953</v>
      </c>
      <c r="N2292" s="112" t="s">
        <v>6953</v>
      </c>
      <c r="O2292" s="110"/>
      <c r="P2292" s="110"/>
      <c r="Q2292" s="110"/>
    </row>
    <row r="2293" spans="1:17" s="119" customFormat="1" ht="17.5" customHeight="1">
      <c r="A2293" s="109" t="s">
        <v>7313</v>
      </c>
      <c r="B2293" s="109" t="s">
        <v>7314</v>
      </c>
      <c r="C2293" s="98">
        <v>2010</v>
      </c>
      <c r="D2293" s="112" t="s">
        <v>6953</v>
      </c>
      <c r="E2293" s="112" t="s">
        <v>6953</v>
      </c>
      <c r="F2293" s="112" t="s">
        <v>6953</v>
      </c>
      <c r="G2293" s="112" t="s">
        <v>6953</v>
      </c>
      <c r="H2293" s="112" t="s">
        <v>6953</v>
      </c>
      <c r="I2293" s="112" t="s">
        <v>6953</v>
      </c>
      <c r="J2293" s="112" t="s">
        <v>6953</v>
      </c>
      <c r="K2293" s="112" t="s">
        <v>6953</v>
      </c>
      <c r="L2293" s="112" t="s">
        <v>6953</v>
      </c>
      <c r="M2293" s="112" t="s">
        <v>6953</v>
      </c>
      <c r="N2293" s="112" t="s">
        <v>6953</v>
      </c>
      <c r="O2293" s="117"/>
      <c r="P2293" s="117"/>
      <c r="Q2293" s="117"/>
    </row>
    <row r="2294" spans="1:17" s="119" customFormat="1" ht="17.5" customHeight="1">
      <c r="A2294" s="109" t="s">
        <v>7313</v>
      </c>
      <c r="B2294" s="109" t="s">
        <v>7314</v>
      </c>
      <c r="C2294" s="98">
        <v>2011</v>
      </c>
      <c r="D2294" s="112" t="s">
        <v>6953</v>
      </c>
      <c r="E2294" s="112" t="s">
        <v>6953</v>
      </c>
      <c r="F2294" s="112" t="s">
        <v>6953</v>
      </c>
      <c r="G2294" s="112" t="s">
        <v>6953</v>
      </c>
      <c r="H2294" s="112" t="s">
        <v>6953</v>
      </c>
      <c r="I2294" s="112" t="s">
        <v>6953</v>
      </c>
      <c r="J2294" s="112" t="s">
        <v>6953</v>
      </c>
      <c r="K2294" s="112" t="s">
        <v>6953</v>
      </c>
      <c r="L2294" s="112" t="s">
        <v>6953</v>
      </c>
      <c r="M2294" s="112" t="s">
        <v>6953</v>
      </c>
      <c r="N2294" s="112" t="s">
        <v>6953</v>
      </c>
      <c r="O2294" s="117"/>
      <c r="P2294" s="117"/>
      <c r="Q2294" s="117"/>
    </row>
    <row r="2295" spans="1:17" s="119" customFormat="1" ht="17.5" customHeight="1">
      <c r="A2295" s="109" t="s">
        <v>7313</v>
      </c>
      <c r="B2295" s="109" t="s">
        <v>7314</v>
      </c>
      <c r="C2295" s="111">
        <v>2012</v>
      </c>
      <c r="D2295" s="112" t="s">
        <v>6953</v>
      </c>
      <c r="E2295" s="112" t="s">
        <v>6953</v>
      </c>
      <c r="F2295" s="112" t="s">
        <v>6953</v>
      </c>
      <c r="G2295" s="112" t="s">
        <v>6953</v>
      </c>
      <c r="H2295" s="112" t="s">
        <v>6953</v>
      </c>
      <c r="I2295" s="112" t="s">
        <v>6953</v>
      </c>
      <c r="J2295" s="112" t="s">
        <v>6953</v>
      </c>
      <c r="K2295" s="112" t="s">
        <v>6953</v>
      </c>
      <c r="L2295" s="112" t="s">
        <v>6953</v>
      </c>
      <c r="M2295" s="112" t="s">
        <v>6953</v>
      </c>
      <c r="N2295" s="112" t="s">
        <v>6953</v>
      </c>
      <c r="O2295" s="117"/>
      <c r="P2295" s="117"/>
      <c r="Q2295" s="117"/>
    </row>
    <row r="2296" spans="1:17" s="119" customFormat="1" ht="17.5" customHeight="1">
      <c r="A2296" s="109" t="s">
        <v>7313</v>
      </c>
      <c r="B2296" s="109" t="s">
        <v>7314</v>
      </c>
      <c r="C2296" s="113">
        <v>2013</v>
      </c>
      <c r="D2296" s="112" t="s">
        <v>6953</v>
      </c>
      <c r="E2296" s="112" t="s">
        <v>6953</v>
      </c>
      <c r="F2296" s="112" t="s">
        <v>6953</v>
      </c>
      <c r="G2296" s="112" t="s">
        <v>6953</v>
      </c>
      <c r="H2296" s="112" t="s">
        <v>6953</v>
      </c>
      <c r="I2296" s="112" t="s">
        <v>6953</v>
      </c>
      <c r="J2296" s="112" t="s">
        <v>6953</v>
      </c>
      <c r="K2296" s="112" t="s">
        <v>6953</v>
      </c>
      <c r="L2296" s="112" t="s">
        <v>6953</v>
      </c>
      <c r="M2296" s="112" t="s">
        <v>6953</v>
      </c>
      <c r="N2296" s="112" t="s">
        <v>6953</v>
      </c>
      <c r="O2296" s="117"/>
      <c r="P2296" s="117"/>
      <c r="Q2296" s="117"/>
    </row>
    <row r="2297" spans="1:17" s="119" customFormat="1" ht="17.5" customHeight="1">
      <c r="A2297" s="109" t="s">
        <v>7313</v>
      </c>
      <c r="B2297" s="109" t="s">
        <v>7314</v>
      </c>
      <c r="C2297" s="113">
        <v>2014</v>
      </c>
      <c r="D2297" s="112" t="s">
        <v>6953</v>
      </c>
      <c r="E2297" s="112" t="s">
        <v>6953</v>
      </c>
      <c r="F2297" s="112" t="s">
        <v>6953</v>
      </c>
      <c r="G2297" s="112" t="s">
        <v>6953</v>
      </c>
      <c r="H2297" s="112" t="s">
        <v>6953</v>
      </c>
      <c r="I2297" s="112" t="s">
        <v>6953</v>
      </c>
      <c r="J2297" s="112" t="s">
        <v>6953</v>
      </c>
      <c r="K2297" s="112" t="s">
        <v>6953</v>
      </c>
      <c r="L2297" s="112" t="s">
        <v>6953</v>
      </c>
      <c r="M2297" s="112" t="s">
        <v>6953</v>
      </c>
      <c r="N2297" s="112" t="s">
        <v>6953</v>
      </c>
      <c r="O2297" s="110"/>
      <c r="P2297" s="110"/>
      <c r="Q2297" s="110"/>
    </row>
    <row r="2298" spans="1:17" s="119" customFormat="1" ht="17.5" customHeight="1">
      <c r="A2298" s="109" t="s">
        <v>7313</v>
      </c>
      <c r="B2298" s="109" t="s">
        <v>7314</v>
      </c>
      <c r="C2298" s="113">
        <v>2015</v>
      </c>
      <c r="D2298" s="112" t="s">
        <v>6953</v>
      </c>
      <c r="E2298" s="112" t="s">
        <v>6953</v>
      </c>
      <c r="F2298" s="112" t="s">
        <v>6953</v>
      </c>
      <c r="G2298" s="112" t="s">
        <v>6953</v>
      </c>
      <c r="H2298" s="112" t="s">
        <v>6953</v>
      </c>
      <c r="I2298" s="112" t="s">
        <v>6953</v>
      </c>
      <c r="J2298" s="112" t="s">
        <v>6953</v>
      </c>
      <c r="K2298" s="112" t="s">
        <v>6953</v>
      </c>
      <c r="L2298" s="112" t="s">
        <v>6953</v>
      </c>
      <c r="M2298" s="112" t="s">
        <v>6953</v>
      </c>
      <c r="N2298" s="112" t="s">
        <v>6953</v>
      </c>
      <c r="O2298" s="110"/>
      <c r="P2298" s="110"/>
      <c r="Q2298" s="110"/>
    </row>
    <row r="2299" spans="1:17" s="119" customFormat="1" ht="17.5" customHeight="1">
      <c r="A2299" s="109" t="s">
        <v>7313</v>
      </c>
      <c r="B2299" s="109" t="s">
        <v>7314</v>
      </c>
      <c r="C2299" s="113">
        <v>2016</v>
      </c>
      <c r="D2299" s="112" t="s">
        <v>6953</v>
      </c>
      <c r="E2299" s="112" t="s">
        <v>6953</v>
      </c>
      <c r="F2299" s="112" t="s">
        <v>6953</v>
      </c>
      <c r="G2299" s="112" t="s">
        <v>6953</v>
      </c>
      <c r="H2299" s="112" t="s">
        <v>6953</v>
      </c>
      <c r="I2299" s="112" t="s">
        <v>6953</v>
      </c>
      <c r="J2299" s="112" t="s">
        <v>6953</v>
      </c>
      <c r="K2299" s="112" t="s">
        <v>6953</v>
      </c>
      <c r="L2299" s="112" t="s">
        <v>6953</v>
      </c>
      <c r="M2299" s="112" t="s">
        <v>6953</v>
      </c>
      <c r="N2299" s="112" t="s">
        <v>6953</v>
      </c>
      <c r="O2299" s="100"/>
      <c r="P2299" s="100"/>
      <c r="Q2299" s="100"/>
    </row>
    <row r="2300" spans="1:17" s="119" customFormat="1" ht="17.5" customHeight="1">
      <c r="A2300" s="109" t="s">
        <v>7313</v>
      </c>
      <c r="B2300" s="109" t="s">
        <v>7314</v>
      </c>
      <c r="C2300" s="113">
        <v>2017</v>
      </c>
      <c r="D2300" s="112" t="s">
        <v>6953</v>
      </c>
      <c r="E2300" s="112" t="s">
        <v>6953</v>
      </c>
      <c r="F2300" s="112" t="s">
        <v>6953</v>
      </c>
      <c r="G2300" s="112" t="s">
        <v>6953</v>
      </c>
      <c r="H2300" s="112" t="s">
        <v>6953</v>
      </c>
      <c r="I2300" s="112" t="s">
        <v>6953</v>
      </c>
      <c r="J2300" s="112" t="s">
        <v>6953</v>
      </c>
      <c r="K2300" s="112" t="s">
        <v>6953</v>
      </c>
      <c r="L2300" s="112" t="s">
        <v>6953</v>
      </c>
      <c r="M2300" s="112" t="s">
        <v>6953</v>
      </c>
      <c r="N2300" s="112" t="s">
        <v>6953</v>
      </c>
      <c r="O2300" s="110"/>
      <c r="P2300" s="110"/>
      <c r="Q2300" s="110"/>
    </row>
    <row r="2301" spans="1:17" s="119" customFormat="1" ht="17.5" customHeight="1">
      <c r="A2301" s="109" t="s">
        <v>7313</v>
      </c>
      <c r="B2301" s="109" t="s">
        <v>7314</v>
      </c>
      <c r="C2301" s="113">
        <v>2018</v>
      </c>
      <c r="D2301" s="112" t="s">
        <v>6953</v>
      </c>
      <c r="E2301" s="112" t="s">
        <v>6953</v>
      </c>
      <c r="F2301" s="112" t="s">
        <v>6953</v>
      </c>
      <c r="G2301" s="112" t="s">
        <v>6953</v>
      </c>
      <c r="H2301" s="112" t="s">
        <v>6953</v>
      </c>
      <c r="I2301" s="112" t="s">
        <v>6953</v>
      </c>
      <c r="J2301" s="112" t="s">
        <v>6953</v>
      </c>
      <c r="K2301" s="112" t="s">
        <v>6953</v>
      </c>
      <c r="L2301" s="112" t="s">
        <v>6953</v>
      </c>
      <c r="M2301" s="112" t="s">
        <v>6953</v>
      </c>
      <c r="N2301" s="112" t="s">
        <v>6953</v>
      </c>
      <c r="O2301" s="100"/>
      <c r="P2301" s="100"/>
      <c r="Q2301" s="100"/>
    </row>
    <row r="2302" spans="1:17" s="119" customFormat="1" ht="17.5" customHeight="1">
      <c r="A2302" s="109" t="s">
        <v>7313</v>
      </c>
      <c r="B2302" s="109" t="s">
        <v>7314</v>
      </c>
      <c r="C2302" s="113">
        <v>2019</v>
      </c>
      <c r="D2302" s="112" t="s">
        <v>6953</v>
      </c>
      <c r="E2302" s="112" t="s">
        <v>6953</v>
      </c>
      <c r="F2302" s="112" t="s">
        <v>6953</v>
      </c>
      <c r="G2302" s="112" t="s">
        <v>6953</v>
      </c>
      <c r="H2302" s="112" t="s">
        <v>6953</v>
      </c>
      <c r="I2302" s="112" t="s">
        <v>6953</v>
      </c>
      <c r="J2302" s="112" t="s">
        <v>6953</v>
      </c>
      <c r="K2302" s="112" t="s">
        <v>6953</v>
      </c>
      <c r="L2302" s="112" t="s">
        <v>6953</v>
      </c>
      <c r="M2302" s="112" t="s">
        <v>6953</v>
      </c>
      <c r="N2302" s="112" t="s">
        <v>6953</v>
      </c>
      <c r="O2302" s="100"/>
      <c r="P2302" s="100"/>
      <c r="Q2302" s="100"/>
    </row>
    <row r="2303" spans="1:17" s="119" customFormat="1" ht="17.5" customHeight="1">
      <c r="A2303" s="114" t="s">
        <v>7313</v>
      </c>
      <c r="B2303" s="114" t="s">
        <v>7314</v>
      </c>
      <c r="C2303" s="113">
        <v>2020</v>
      </c>
      <c r="D2303" s="112" t="s">
        <v>6953</v>
      </c>
      <c r="E2303" s="112" t="s">
        <v>6953</v>
      </c>
      <c r="F2303" s="112" t="s">
        <v>6953</v>
      </c>
      <c r="G2303" s="112" t="s">
        <v>6953</v>
      </c>
      <c r="H2303" s="112" t="s">
        <v>6953</v>
      </c>
      <c r="I2303" s="112" t="s">
        <v>6953</v>
      </c>
      <c r="J2303" s="112" t="s">
        <v>6953</v>
      </c>
      <c r="K2303" s="112" t="s">
        <v>6953</v>
      </c>
      <c r="L2303" s="112" t="s">
        <v>6953</v>
      </c>
      <c r="M2303" s="112" t="s">
        <v>6953</v>
      </c>
      <c r="N2303" s="112" t="s">
        <v>6953</v>
      </c>
      <c r="O2303" s="110"/>
      <c r="P2303" s="110"/>
      <c r="Q2303" s="110"/>
    </row>
    <row r="2304" spans="1:17" s="119" customFormat="1" ht="17.5" customHeight="1">
      <c r="A2304" s="109" t="s">
        <v>7315</v>
      </c>
      <c r="B2304" s="109" t="s">
        <v>7316</v>
      </c>
      <c r="C2304" s="98">
        <v>2008</v>
      </c>
      <c r="D2304" s="112" t="s">
        <v>6953</v>
      </c>
      <c r="E2304" s="112" t="s">
        <v>6953</v>
      </c>
      <c r="F2304" s="112" t="s">
        <v>6953</v>
      </c>
      <c r="G2304" s="112" t="s">
        <v>6953</v>
      </c>
      <c r="H2304" s="112" t="s">
        <v>6953</v>
      </c>
      <c r="I2304" s="112" t="s">
        <v>6953</v>
      </c>
      <c r="J2304" s="112" t="s">
        <v>6953</v>
      </c>
      <c r="K2304" s="112" t="s">
        <v>6953</v>
      </c>
      <c r="L2304" s="112" t="s">
        <v>6953</v>
      </c>
      <c r="M2304" s="112" t="s">
        <v>6953</v>
      </c>
      <c r="N2304" s="112" t="s">
        <v>6953</v>
      </c>
      <c r="O2304" s="110"/>
      <c r="P2304" s="110"/>
      <c r="Q2304" s="110"/>
    </row>
    <row r="2305" spans="1:17" s="119" customFormat="1" ht="17.5" customHeight="1">
      <c r="A2305" s="109" t="s">
        <v>7315</v>
      </c>
      <c r="B2305" s="109" t="s">
        <v>7316</v>
      </c>
      <c r="C2305" s="98">
        <v>2009</v>
      </c>
      <c r="D2305" s="112" t="s">
        <v>6953</v>
      </c>
      <c r="E2305" s="112" t="s">
        <v>6953</v>
      </c>
      <c r="F2305" s="112" t="s">
        <v>6953</v>
      </c>
      <c r="G2305" s="112" t="s">
        <v>6953</v>
      </c>
      <c r="H2305" s="112" t="s">
        <v>6953</v>
      </c>
      <c r="I2305" s="112" t="s">
        <v>6953</v>
      </c>
      <c r="J2305" s="112" t="s">
        <v>6953</v>
      </c>
      <c r="K2305" s="112" t="s">
        <v>6953</v>
      </c>
      <c r="L2305" s="112" t="s">
        <v>6953</v>
      </c>
      <c r="M2305" s="112" t="s">
        <v>6953</v>
      </c>
      <c r="N2305" s="112" t="s">
        <v>6953</v>
      </c>
      <c r="O2305" s="117"/>
      <c r="P2305" s="117"/>
      <c r="Q2305" s="117"/>
    </row>
    <row r="2306" spans="1:17" s="119" customFormat="1" ht="17.5" customHeight="1">
      <c r="A2306" s="109" t="s">
        <v>7315</v>
      </c>
      <c r="B2306" s="109" t="s">
        <v>7316</v>
      </c>
      <c r="C2306" s="98">
        <v>2010</v>
      </c>
      <c r="D2306" s="112" t="s">
        <v>6953</v>
      </c>
      <c r="E2306" s="112" t="s">
        <v>6953</v>
      </c>
      <c r="F2306" s="112" t="s">
        <v>6953</v>
      </c>
      <c r="G2306" s="112" t="s">
        <v>6953</v>
      </c>
      <c r="H2306" s="112" t="s">
        <v>6953</v>
      </c>
      <c r="I2306" s="112" t="s">
        <v>6953</v>
      </c>
      <c r="J2306" s="112" t="s">
        <v>6953</v>
      </c>
      <c r="K2306" s="112" t="s">
        <v>6953</v>
      </c>
      <c r="L2306" s="112" t="s">
        <v>6953</v>
      </c>
      <c r="M2306" s="112" t="s">
        <v>6953</v>
      </c>
      <c r="N2306" s="112" t="s">
        <v>6953</v>
      </c>
      <c r="O2306" s="117"/>
      <c r="P2306" s="117"/>
      <c r="Q2306" s="117"/>
    </row>
    <row r="2307" spans="1:17" s="119" customFormat="1" ht="17.5" customHeight="1">
      <c r="A2307" s="109" t="s">
        <v>7315</v>
      </c>
      <c r="B2307" s="109" t="s">
        <v>7316</v>
      </c>
      <c r="C2307" s="98">
        <v>2011</v>
      </c>
      <c r="D2307" s="112" t="s">
        <v>6953</v>
      </c>
      <c r="E2307" s="112" t="s">
        <v>6953</v>
      </c>
      <c r="F2307" s="112" t="s">
        <v>6953</v>
      </c>
      <c r="G2307" s="112" t="s">
        <v>6953</v>
      </c>
      <c r="H2307" s="112" t="s">
        <v>6953</v>
      </c>
      <c r="I2307" s="112" t="s">
        <v>6953</v>
      </c>
      <c r="J2307" s="112" t="s">
        <v>6953</v>
      </c>
      <c r="K2307" s="112" t="s">
        <v>6953</v>
      </c>
      <c r="L2307" s="112" t="s">
        <v>6953</v>
      </c>
      <c r="M2307" s="112" t="s">
        <v>6953</v>
      </c>
      <c r="N2307" s="112" t="s">
        <v>6953</v>
      </c>
      <c r="O2307" s="117"/>
      <c r="P2307" s="117"/>
      <c r="Q2307" s="117"/>
    </row>
    <row r="2308" spans="1:17" s="119" customFormat="1" ht="17.5" customHeight="1">
      <c r="A2308" s="109" t="s">
        <v>7315</v>
      </c>
      <c r="B2308" s="109" t="s">
        <v>7316</v>
      </c>
      <c r="C2308" s="111">
        <v>2012</v>
      </c>
      <c r="D2308" s="112" t="s">
        <v>6953</v>
      </c>
      <c r="E2308" s="112" t="s">
        <v>6953</v>
      </c>
      <c r="F2308" s="112" t="s">
        <v>6953</v>
      </c>
      <c r="G2308" s="112" t="s">
        <v>6953</v>
      </c>
      <c r="H2308" s="112" t="s">
        <v>6953</v>
      </c>
      <c r="I2308" s="112" t="s">
        <v>6953</v>
      </c>
      <c r="J2308" s="112" t="s">
        <v>6953</v>
      </c>
      <c r="K2308" s="112" t="s">
        <v>6953</v>
      </c>
      <c r="L2308" s="112" t="s">
        <v>6953</v>
      </c>
      <c r="M2308" s="112" t="s">
        <v>6953</v>
      </c>
      <c r="N2308" s="112" t="s">
        <v>6953</v>
      </c>
      <c r="O2308" s="117"/>
      <c r="P2308" s="117"/>
      <c r="Q2308" s="117"/>
    </row>
    <row r="2309" spans="1:17" s="119" customFormat="1" ht="17.5" customHeight="1">
      <c r="A2309" s="109" t="s">
        <v>7315</v>
      </c>
      <c r="B2309" s="109" t="s">
        <v>7316</v>
      </c>
      <c r="C2309" s="113">
        <v>2013</v>
      </c>
      <c r="D2309" s="112" t="s">
        <v>6953</v>
      </c>
      <c r="E2309" s="112" t="s">
        <v>6953</v>
      </c>
      <c r="F2309" s="112" t="s">
        <v>6953</v>
      </c>
      <c r="G2309" s="112" t="s">
        <v>6953</v>
      </c>
      <c r="H2309" s="112" t="s">
        <v>6953</v>
      </c>
      <c r="I2309" s="112" t="s">
        <v>6953</v>
      </c>
      <c r="J2309" s="112" t="s">
        <v>6953</v>
      </c>
      <c r="K2309" s="112" t="s">
        <v>6953</v>
      </c>
      <c r="L2309" s="112" t="s">
        <v>6953</v>
      </c>
      <c r="M2309" s="112" t="s">
        <v>6953</v>
      </c>
      <c r="N2309" s="112" t="s">
        <v>6953</v>
      </c>
      <c r="O2309" s="110"/>
      <c r="P2309" s="110"/>
      <c r="Q2309" s="110"/>
    </row>
    <row r="2310" spans="1:17" s="119" customFormat="1" ht="17.5" customHeight="1">
      <c r="A2310" s="109" t="s">
        <v>7315</v>
      </c>
      <c r="B2310" s="109" t="s">
        <v>7316</v>
      </c>
      <c r="C2310" s="113">
        <v>2014</v>
      </c>
      <c r="D2310" s="112" t="s">
        <v>6953</v>
      </c>
      <c r="E2310" s="112" t="s">
        <v>6953</v>
      </c>
      <c r="F2310" s="112" t="s">
        <v>6953</v>
      </c>
      <c r="G2310" s="112" t="s">
        <v>6953</v>
      </c>
      <c r="H2310" s="112" t="s">
        <v>6953</v>
      </c>
      <c r="I2310" s="112" t="s">
        <v>6953</v>
      </c>
      <c r="J2310" s="112" t="s">
        <v>6953</v>
      </c>
      <c r="K2310" s="112" t="s">
        <v>6953</v>
      </c>
      <c r="L2310" s="112" t="s">
        <v>6953</v>
      </c>
      <c r="M2310" s="112" t="s">
        <v>6953</v>
      </c>
      <c r="N2310" s="112" t="s">
        <v>6953</v>
      </c>
      <c r="O2310" s="110"/>
      <c r="P2310" s="110"/>
      <c r="Q2310" s="110"/>
    </row>
    <row r="2311" spans="1:17" s="119" customFormat="1" ht="17.5" customHeight="1">
      <c r="A2311" s="109" t="s">
        <v>7315</v>
      </c>
      <c r="B2311" s="109" t="s">
        <v>7316</v>
      </c>
      <c r="C2311" s="113">
        <v>2015</v>
      </c>
      <c r="D2311" s="112" t="s">
        <v>6953</v>
      </c>
      <c r="E2311" s="112" t="s">
        <v>6953</v>
      </c>
      <c r="F2311" s="112" t="s">
        <v>6953</v>
      </c>
      <c r="G2311" s="112" t="s">
        <v>6953</v>
      </c>
      <c r="H2311" s="112" t="s">
        <v>6953</v>
      </c>
      <c r="I2311" s="112" t="s">
        <v>6953</v>
      </c>
      <c r="J2311" s="112" t="s">
        <v>6953</v>
      </c>
      <c r="K2311" s="112" t="s">
        <v>6953</v>
      </c>
      <c r="L2311" s="112" t="s">
        <v>6953</v>
      </c>
      <c r="M2311" s="112" t="s">
        <v>6953</v>
      </c>
      <c r="N2311" s="112" t="s">
        <v>6953</v>
      </c>
      <c r="O2311" s="100"/>
      <c r="P2311" s="100"/>
      <c r="Q2311" s="100"/>
    </row>
    <row r="2312" spans="1:17" s="119" customFormat="1" ht="17.5" customHeight="1">
      <c r="A2312" s="109" t="s">
        <v>7315</v>
      </c>
      <c r="B2312" s="109" t="s">
        <v>7316</v>
      </c>
      <c r="C2312" s="113">
        <v>2016</v>
      </c>
      <c r="D2312" s="112" t="s">
        <v>6953</v>
      </c>
      <c r="E2312" s="112" t="s">
        <v>6953</v>
      </c>
      <c r="F2312" s="112" t="s">
        <v>6953</v>
      </c>
      <c r="G2312" s="112" t="s">
        <v>6953</v>
      </c>
      <c r="H2312" s="112" t="s">
        <v>6953</v>
      </c>
      <c r="I2312" s="112" t="s">
        <v>6953</v>
      </c>
      <c r="J2312" s="112" t="s">
        <v>6953</v>
      </c>
      <c r="K2312" s="112" t="s">
        <v>6953</v>
      </c>
      <c r="L2312" s="112" t="s">
        <v>6953</v>
      </c>
      <c r="M2312" s="112" t="s">
        <v>6953</v>
      </c>
      <c r="N2312" s="112" t="s">
        <v>6953</v>
      </c>
      <c r="O2312" s="110"/>
      <c r="P2312" s="110"/>
      <c r="Q2312" s="110"/>
    </row>
    <row r="2313" spans="1:17" s="119" customFormat="1" ht="17.5" customHeight="1">
      <c r="A2313" s="109" t="s">
        <v>7315</v>
      </c>
      <c r="B2313" s="109" t="s">
        <v>7316</v>
      </c>
      <c r="C2313" s="113">
        <v>2017</v>
      </c>
      <c r="D2313" s="112" t="s">
        <v>6953</v>
      </c>
      <c r="E2313" s="112" t="s">
        <v>6953</v>
      </c>
      <c r="F2313" s="112" t="s">
        <v>6953</v>
      </c>
      <c r="G2313" s="112" t="s">
        <v>6953</v>
      </c>
      <c r="H2313" s="112" t="s">
        <v>6953</v>
      </c>
      <c r="I2313" s="112" t="s">
        <v>6953</v>
      </c>
      <c r="J2313" s="112" t="s">
        <v>6953</v>
      </c>
      <c r="K2313" s="112" t="s">
        <v>6953</v>
      </c>
      <c r="L2313" s="112" t="s">
        <v>6953</v>
      </c>
      <c r="M2313" s="112" t="s">
        <v>6953</v>
      </c>
      <c r="N2313" s="112" t="s">
        <v>6953</v>
      </c>
      <c r="O2313" s="100"/>
      <c r="P2313" s="100"/>
      <c r="Q2313" s="100"/>
    </row>
    <row r="2314" spans="1:17" s="119" customFormat="1" ht="17.5" customHeight="1">
      <c r="A2314" s="109" t="s">
        <v>7315</v>
      </c>
      <c r="B2314" s="109" t="s">
        <v>7316</v>
      </c>
      <c r="C2314" s="113">
        <v>2018</v>
      </c>
      <c r="D2314" s="112" t="s">
        <v>6953</v>
      </c>
      <c r="E2314" s="112" t="s">
        <v>6953</v>
      </c>
      <c r="F2314" s="112" t="s">
        <v>6953</v>
      </c>
      <c r="G2314" s="112" t="s">
        <v>6953</v>
      </c>
      <c r="H2314" s="112" t="s">
        <v>6953</v>
      </c>
      <c r="I2314" s="112" t="s">
        <v>6953</v>
      </c>
      <c r="J2314" s="112" t="s">
        <v>6953</v>
      </c>
      <c r="K2314" s="112" t="s">
        <v>6953</v>
      </c>
      <c r="L2314" s="112" t="s">
        <v>6953</v>
      </c>
      <c r="M2314" s="112" t="s">
        <v>6953</v>
      </c>
      <c r="N2314" s="112" t="s">
        <v>6953</v>
      </c>
      <c r="O2314" s="100"/>
      <c r="P2314" s="100"/>
      <c r="Q2314" s="100"/>
    </row>
    <row r="2315" spans="1:17" s="119" customFormat="1" ht="17.5" customHeight="1">
      <c r="A2315" s="109" t="s">
        <v>7315</v>
      </c>
      <c r="B2315" s="109" t="s">
        <v>7316</v>
      </c>
      <c r="C2315" s="113">
        <v>2019</v>
      </c>
      <c r="D2315" s="112" t="s">
        <v>6953</v>
      </c>
      <c r="E2315" s="112" t="s">
        <v>6953</v>
      </c>
      <c r="F2315" s="112" t="s">
        <v>6953</v>
      </c>
      <c r="G2315" s="112" t="s">
        <v>6953</v>
      </c>
      <c r="H2315" s="112" t="s">
        <v>6953</v>
      </c>
      <c r="I2315" s="112" t="s">
        <v>6953</v>
      </c>
      <c r="J2315" s="112" t="s">
        <v>6953</v>
      </c>
      <c r="K2315" s="112" t="s">
        <v>6953</v>
      </c>
      <c r="L2315" s="112" t="s">
        <v>6953</v>
      </c>
      <c r="M2315" s="112" t="s">
        <v>6953</v>
      </c>
      <c r="N2315" s="112" t="s">
        <v>6953</v>
      </c>
      <c r="O2315" s="110"/>
      <c r="P2315" s="110"/>
      <c r="Q2315" s="110"/>
    </row>
    <row r="2316" spans="1:17" s="119" customFormat="1" ht="17.5" customHeight="1">
      <c r="A2316" s="114" t="s">
        <v>7315</v>
      </c>
      <c r="B2316" s="114" t="s">
        <v>7316</v>
      </c>
      <c r="C2316" s="113">
        <v>2020</v>
      </c>
      <c r="D2316" s="112" t="s">
        <v>6953</v>
      </c>
      <c r="E2316" s="112" t="s">
        <v>6953</v>
      </c>
      <c r="F2316" s="112" t="s">
        <v>6953</v>
      </c>
      <c r="G2316" s="112" t="s">
        <v>6953</v>
      </c>
      <c r="H2316" s="112" t="s">
        <v>6953</v>
      </c>
      <c r="I2316" s="112" t="s">
        <v>6953</v>
      </c>
      <c r="J2316" s="112" t="s">
        <v>6953</v>
      </c>
      <c r="K2316" s="112" t="s">
        <v>6953</v>
      </c>
      <c r="L2316" s="112" t="s">
        <v>6953</v>
      </c>
      <c r="M2316" s="112" t="s">
        <v>6953</v>
      </c>
      <c r="N2316" s="112" t="s">
        <v>6953</v>
      </c>
      <c r="O2316" s="110"/>
      <c r="P2316" s="110"/>
      <c r="Q2316" s="110"/>
    </row>
    <row r="2317" spans="1:17" s="119" customFormat="1" ht="17.5" customHeight="1">
      <c r="A2317" s="109" t="s">
        <v>7317</v>
      </c>
      <c r="B2317" s="109" t="s">
        <v>7318</v>
      </c>
      <c r="C2317" s="98">
        <v>2008</v>
      </c>
      <c r="D2317" s="99">
        <v>671</v>
      </c>
      <c r="E2317" s="99">
        <v>1469</v>
      </c>
      <c r="F2317" s="99">
        <v>589</v>
      </c>
      <c r="G2317" s="99">
        <v>881</v>
      </c>
      <c r="H2317" s="99">
        <v>401</v>
      </c>
      <c r="I2317" s="99">
        <v>49</v>
      </c>
      <c r="J2317" s="99">
        <v>57</v>
      </c>
      <c r="K2317" s="99">
        <v>8</v>
      </c>
      <c r="L2317" s="99">
        <v>130</v>
      </c>
      <c r="M2317" s="99">
        <v>130</v>
      </c>
      <c r="N2317" s="99">
        <v>1</v>
      </c>
      <c r="O2317" s="117"/>
      <c r="P2317" s="117"/>
      <c r="Q2317" s="117"/>
    </row>
    <row r="2318" spans="1:17" s="119" customFormat="1" ht="17.5" customHeight="1">
      <c r="A2318" s="109" t="s">
        <v>7317</v>
      </c>
      <c r="B2318" s="109" t="s">
        <v>7318</v>
      </c>
      <c r="C2318" s="98">
        <v>2009</v>
      </c>
      <c r="D2318" s="99">
        <v>617</v>
      </c>
      <c r="E2318" s="99">
        <v>1187</v>
      </c>
      <c r="F2318" s="99">
        <v>477</v>
      </c>
      <c r="G2318" s="99">
        <v>691</v>
      </c>
      <c r="H2318" s="99">
        <v>338</v>
      </c>
      <c r="I2318" s="99">
        <v>22</v>
      </c>
      <c r="J2318" s="99">
        <v>24</v>
      </c>
      <c r="K2318" s="99">
        <v>3</v>
      </c>
      <c r="L2318" s="99">
        <v>130</v>
      </c>
      <c r="M2318" s="99">
        <v>149</v>
      </c>
      <c r="N2318" s="99">
        <v>-19</v>
      </c>
      <c r="O2318" s="117"/>
      <c r="P2318" s="117"/>
      <c r="Q2318" s="117"/>
    </row>
    <row r="2319" spans="1:17" s="119" customFormat="1" ht="17.5" customHeight="1">
      <c r="A2319" s="109" t="s">
        <v>7317</v>
      </c>
      <c r="B2319" s="109" t="s">
        <v>7318</v>
      </c>
      <c r="C2319" s="98">
        <v>2010</v>
      </c>
      <c r="D2319" s="99">
        <v>565</v>
      </c>
      <c r="E2319" s="99">
        <v>1483</v>
      </c>
      <c r="F2319" s="99">
        <v>558</v>
      </c>
      <c r="G2319" s="99">
        <v>945</v>
      </c>
      <c r="H2319" s="99">
        <v>376</v>
      </c>
      <c r="I2319" s="99">
        <v>37</v>
      </c>
      <c r="J2319" s="99">
        <v>44</v>
      </c>
      <c r="K2319" s="99">
        <v>6</v>
      </c>
      <c r="L2319" s="99">
        <v>186</v>
      </c>
      <c r="M2319" s="99">
        <v>166</v>
      </c>
      <c r="N2319" s="99">
        <v>19</v>
      </c>
      <c r="O2319" s="117"/>
      <c r="P2319" s="117"/>
      <c r="Q2319" s="117"/>
    </row>
    <row r="2320" spans="1:17" s="119" customFormat="1" ht="17.5" customHeight="1">
      <c r="A2320" s="109" t="s">
        <v>7317</v>
      </c>
      <c r="B2320" s="109" t="s">
        <v>7318</v>
      </c>
      <c r="C2320" s="98">
        <v>2011</v>
      </c>
      <c r="D2320" s="99">
        <v>516</v>
      </c>
      <c r="E2320" s="99">
        <v>1576</v>
      </c>
      <c r="F2320" s="99">
        <v>612</v>
      </c>
      <c r="G2320" s="99">
        <v>986</v>
      </c>
      <c r="H2320" s="99">
        <v>402</v>
      </c>
      <c r="I2320" s="99">
        <v>42</v>
      </c>
      <c r="J2320" s="99">
        <v>48</v>
      </c>
      <c r="K2320" s="99">
        <v>6</v>
      </c>
      <c r="L2320" s="99">
        <v>170</v>
      </c>
      <c r="M2320" s="99">
        <v>148</v>
      </c>
      <c r="N2320" s="99">
        <v>23</v>
      </c>
      <c r="O2320" s="117"/>
      <c r="P2320" s="117"/>
      <c r="Q2320" s="117"/>
    </row>
    <row r="2321" spans="1:17" s="119" customFormat="1" ht="17.5" customHeight="1">
      <c r="A2321" s="109" t="s">
        <v>7317</v>
      </c>
      <c r="B2321" s="109" t="s">
        <v>7318</v>
      </c>
      <c r="C2321" s="111">
        <v>2012</v>
      </c>
      <c r="D2321" s="112">
        <v>496</v>
      </c>
      <c r="E2321" s="112">
        <v>1563</v>
      </c>
      <c r="F2321" s="112">
        <v>626</v>
      </c>
      <c r="G2321" s="112">
        <v>946</v>
      </c>
      <c r="H2321" s="112">
        <v>413</v>
      </c>
      <c r="I2321" s="112">
        <v>53</v>
      </c>
      <c r="J2321" s="112">
        <v>57</v>
      </c>
      <c r="K2321" s="112">
        <v>3</v>
      </c>
      <c r="L2321" s="112">
        <v>174</v>
      </c>
      <c r="M2321" s="112">
        <v>162</v>
      </c>
      <c r="N2321" s="112">
        <v>12</v>
      </c>
      <c r="O2321" s="110"/>
      <c r="P2321" s="110"/>
      <c r="Q2321" s="110"/>
    </row>
    <row r="2322" spans="1:17" s="119" customFormat="1" ht="17.5" customHeight="1">
      <c r="A2322" s="109" t="s">
        <v>7317</v>
      </c>
      <c r="B2322" s="109" t="s">
        <v>7318</v>
      </c>
      <c r="C2322" s="113">
        <v>2013</v>
      </c>
      <c r="D2322" s="112">
        <v>468</v>
      </c>
      <c r="E2322" s="112">
        <v>1613</v>
      </c>
      <c r="F2322" s="112">
        <v>615</v>
      </c>
      <c r="G2322" s="112">
        <v>1013</v>
      </c>
      <c r="H2322" s="112">
        <v>422</v>
      </c>
      <c r="I2322" s="112">
        <v>53</v>
      </c>
      <c r="J2322" s="112">
        <v>56</v>
      </c>
      <c r="K2322" s="112">
        <v>3</v>
      </c>
      <c r="L2322" s="112">
        <v>183</v>
      </c>
      <c r="M2322" s="112">
        <v>170</v>
      </c>
      <c r="N2322" s="112">
        <v>12</v>
      </c>
      <c r="O2322" s="110"/>
      <c r="P2322" s="110"/>
      <c r="Q2322" s="110"/>
    </row>
    <row r="2323" spans="1:17" s="119" customFormat="1" ht="17.5" customHeight="1">
      <c r="A2323" s="109" t="s">
        <v>7317</v>
      </c>
      <c r="B2323" s="109" t="s">
        <v>7318</v>
      </c>
      <c r="C2323" s="113">
        <v>2014</v>
      </c>
      <c r="D2323" s="99">
        <v>455</v>
      </c>
      <c r="E2323" s="99">
        <v>1619</v>
      </c>
      <c r="F2323" s="99">
        <v>636</v>
      </c>
      <c r="G2323" s="99">
        <v>1003</v>
      </c>
      <c r="H2323" s="99">
        <v>413</v>
      </c>
      <c r="I2323" s="99">
        <v>63</v>
      </c>
      <c r="J2323" s="99">
        <v>71</v>
      </c>
      <c r="K2323" s="99">
        <v>8</v>
      </c>
      <c r="L2323" s="99">
        <v>189</v>
      </c>
      <c r="M2323" s="99">
        <v>176</v>
      </c>
      <c r="N2323" s="99">
        <v>13</v>
      </c>
      <c r="O2323" s="100"/>
      <c r="P2323" s="100"/>
      <c r="Q2323" s="100"/>
    </row>
    <row r="2324" spans="1:17" s="119" customFormat="1" ht="17.5" customHeight="1">
      <c r="A2324" s="109" t="s">
        <v>7317</v>
      </c>
      <c r="B2324" s="109" t="s">
        <v>7318</v>
      </c>
      <c r="C2324" s="113">
        <v>2015</v>
      </c>
      <c r="D2324" s="112">
        <v>444</v>
      </c>
      <c r="E2324" s="112">
        <v>1421</v>
      </c>
      <c r="F2324" s="112">
        <v>543</v>
      </c>
      <c r="G2324" s="112">
        <v>891</v>
      </c>
      <c r="H2324" s="112">
        <v>357</v>
      </c>
      <c r="I2324" s="112">
        <v>50</v>
      </c>
      <c r="J2324" s="112">
        <v>62</v>
      </c>
      <c r="K2324" s="112">
        <v>12</v>
      </c>
      <c r="L2324" s="112">
        <v>184</v>
      </c>
      <c r="M2324" s="112">
        <v>179</v>
      </c>
      <c r="N2324" s="112">
        <v>5</v>
      </c>
      <c r="O2324" s="110"/>
      <c r="P2324" s="110"/>
      <c r="Q2324" s="110"/>
    </row>
    <row r="2325" spans="1:17" s="119" customFormat="1" ht="17.5" customHeight="1">
      <c r="A2325" s="109" t="s">
        <v>7317</v>
      </c>
      <c r="B2325" s="109" t="s">
        <v>7318</v>
      </c>
      <c r="C2325" s="113">
        <v>2016</v>
      </c>
      <c r="D2325" s="112">
        <v>422</v>
      </c>
      <c r="E2325" s="112">
        <v>1350</v>
      </c>
      <c r="F2325" s="112">
        <v>552</v>
      </c>
      <c r="G2325" s="112">
        <v>813</v>
      </c>
      <c r="H2325" s="112">
        <v>364</v>
      </c>
      <c r="I2325" s="112">
        <v>54</v>
      </c>
      <c r="J2325" s="112">
        <v>57</v>
      </c>
      <c r="K2325" s="112">
        <v>4</v>
      </c>
      <c r="L2325" s="112">
        <v>179</v>
      </c>
      <c r="M2325" s="112">
        <v>163</v>
      </c>
      <c r="N2325" s="112">
        <v>15</v>
      </c>
      <c r="O2325" s="100"/>
      <c r="P2325" s="100"/>
      <c r="Q2325" s="100"/>
    </row>
    <row r="2326" spans="1:17" s="119" customFormat="1" ht="17.5" customHeight="1">
      <c r="A2326" s="109" t="s">
        <v>7317</v>
      </c>
      <c r="B2326" s="109" t="s">
        <v>7318</v>
      </c>
      <c r="C2326" s="113">
        <v>2017</v>
      </c>
      <c r="D2326" s="112">
        <v>419</v>
      </c>
      <c r="E2326" s="112">
        <v>1384</v>
      </c>
      <c r="F2326" s="112">
        <v>538</v>
      </c>
      <c r="G2326" s="112">
        <v>869</v>
      </c>
      <c r="H2326" s="112">
        <v>361</v>
      </c>
      <c r="I2326" s="112">
        <v>90</v>
      </c>
      <c r="J2326" s="112">
        <v>93</v>
      </c>
      <c r="K2326" s="112">
        <v>3</v>
      </c>
      <c r="L2326" s="112">
        <v>155</v>
      </c>
      <c r="M2326" s="112">
        <v>139</v>
      </c>
      <c r="N2326" s="112">
        <v>16</v>
      </c>
      <c r="O2326" s="100"/>
      <c r="P2326" s="100"/>
      <c r="Q2326" s="100"/>
    </row>
    <row r="2327" spans="1:17" s="119" customFormat="1" ht="17.5" customHeight="1">
      <c r="A2327" s="109" t="s">
        <v>7317</v>
      </c>
      <c r="B2327" s="109" t="s">
        <v>7318</v>
      </c>
      <c r="C2327" s="113">
        <v>2018</v>
      </c>
      <c r="D2327" s="112">
        <v>399</v>
      </c>
      <c r="E2327" s="112">
        <v>1524</v>
      </c>
      <c r="F2327" s="112">
        <v>610</v>
      </c>
      <c r="G2327" s="112">
        <v>931</v>
      </c>
      <c r="H2327" s="112">
        <v>401</v>
      </c>
      <c r="I2327" s="112">
        <v>101</v>
      </c>
      <c r="J2327" s="112">
        <v>103</v>
      </c>
      <c r="K2327" s="112">
        <v>2</v>
      </c>
      <c r="L2327" s="112">
        <v>177</v>
      </c>
      <c r="M2327" s="112">
        <v>167</v>
      </c>
      <c r="N2327" s="112">
        <v>9</v>
      </c>
      <c r="O2327" s="110"/>
      <c r="P2327" s="110"/>
      <c r="Q2327" s="110"/>
    </row>
    <row r="2328" spans="1:17" s="119" customFormat="1" ht="17.5" customHeight="1">
      <c r="A2328" s="109" t="s">
        <v>7317</v>
      </c>
      <c r="B2328" s="109" t="s">
        <v>7318</v>
      </c>
      <c r="C2328" s="113">
        <v>2019</v>
      </c>
      <c r="D2328" s="112">
        <v>389</v>
      </c>
      <c r="E2328" s="112">
        <v>1522.178805</v>
      </c>
      <c r="F2328" s="112">
        <v>625.766211</v>
      </c>
      <c r="G2328" s="112">
        <v>901.36691900000005</v>
      </c>
      <c r="H2328" s="112">
        <v>387.22172399999999</v>
      </c>
      <c r="I2328" s="112">
        <v>60.488917999999998</v>
      </c>
      <c r="J2328" s="112">
        <v>61.520507000000002</v>
      </c>
      <c r="K2328" s="112">
        <v>1.0315890000000001</v>
      </c>
      <c r="L2328" s="112">
        <v>179.05811499999999</v>
      </c>
      <c r="M2328" s="112">
        <v>174.47019299999999</v>
      </c>
      <c r="N2328" s="112">
        <v>4.5879219999999998</v>
      </c>
      <c r="O2328" s="110"/>
      <c r="P2328" s="110"/>
      <c r="Q2328" s="110"/>
    </row>
    <row r="2329" spans="1:17" s="119" customFormat="1" ht="17.5" customHeight="1">
      <c r="A2329" s="114" t="s">
        <v>7317</v>
      </c>
      <c r="B2329" s="114" t="s">
        <v>7318</v>
      </c>
      <c r="C2329" s="113">
        <v>2020</v>
      </c>
      <c r="D2329" s="112">
        <v>381</v>
      </c>
      <c r="E2329" s="112">
        <v>1292.7686659999999</v>
      </c>
      <c r="F2329" s="112">
        <v>498.54096800000002</v>
      </c>
      <c r="G2329" s="112">
        <v>794.50272700000005</v>
      </c>
      <c r="H2329" s="112">
        <v>358.02672899999999</v>
      </c>
      <c r="I2329" s="112">
        <v>33.957579000000003</v>
      </c>
      <c r="J2329" s="112">
        <v>50.867142999999999</v>
      </c>
      <c r="K2329" s="112">
        <v>16.909564</v>
      </c>
      <c r="L2329" s="112">
        <v>185.88721899999999</v>
      </c>
      <c r="M2329" s="112">
        <v>189.53387000000001</v>
      </c>
      <c r="N2329" s="112">
        <v>-3.6466509999999999</v>
      </c>
      <c r="O2329" s="117"/>
      <c r="P2329" s="117"/>
      <c r="Q2329" s="117"/>
    </row>
    <row r="2330" spans="1:17" s="119" customFormat="1" ht="17.5" customHeight="1">
      <c r="A2330" s="109" t="s">
        <v>7319</v>
      </c>
      <c r="B2330" s="109" t="s">
        <v>7320</v>
      </c>
      <c r="C2330" s="98">
        <v>2008</v>
      </c>
      <c r="D2330" s="99">
        <v>175</v>
      </c>
      <c r="E2330" s="99">
        <v>579</v>
      </c>
      <c r="F2330" s="99">
        <v>219</v>
      </c>
      <c r="G2330" s="99">
        <v>359</v>
      </c>
      <c r="H2330" s="99">
        <v>161</v>
      </c>
      <c r="I2330" s="99">
        <v>29</v>
      </c>
      <c r="J2330" s="99">
        <v>32</v>
      </c>
      <c r="K2330" s="99">
        <v>3</v>
      </c>
      <c r="L2330" s="99">
        <v>56</v>
      </c>
      <c r="M2330" s="99">
        <v>56</v>
      </c>
      <c r="N2330" s="99" t="s">
        <v>6952</v>
      </c>
      <c r="O2330" s="117"/>
      <c r="P2330" s="117"/>
      <c r="Q2330" s="117"/>
    </row>
    <row r="2331" spans="1:17" s="119" customFormat="1" ht="17.5" customHeight="1">
      <c r="A2331" s="109" t="s">
        <v>7319</v>
      </c>
      <c r="B2331" s="109" t="s">
        <v>7320</v>
      </c>
      <c r="C2331" s="98">
        <v>2009</v>
      </c>
      <c r="D2331" s="99">
        <v>154</v>
      </c>
      <c r="E2331" s="99">
        <v>408</v>
      </c>
      <c r="F2331" s="99">
        <v>135</v>
      </c>
      <c r="G2331" s="99">
        <v>266</v>
      </c>
      <c r="H2331" s="99">
        <v>96</v>
      </c>
      <c r="I2331" s="99">
        <v>7</v>
      </c>
      <c r="J2331" s="99">
        <v>8</v>
      </c>
      <c r="K2331" s="99">
        <v>1</v>
      </c>
      <c r="L2331" s="99">
        <v>38</v>
      </c>
      <c r="M2331" s="99">
        <v>44</v>
      </c>
      <c r="N2331" s="99">
        <v>-6</v>
      </c>
      <c r="O2331" s="117"/>
      <c r="P2331" s="117"/>
      <c r="Q2331" s="117"/>
    </row>
    <row r="2332" spans="1:17" s="119" customFormat="1" ht="17.5" customHeight="1">
      <c r="A2332" s="109" t="s">
        <v>7319</v>
      </c>
      <c r="B2332" s="109" t="s">
        <v>7320</v>
      </c>
      <c r="C2332" s="98">
        <v>2010</v>
      </c>
      <c r="D2332" s="99">
        <v>142</v>
      </c>
      <c r="E2332" s="99">
        <v>554</v>
      </c>
      <c r="F2332" s="99">
        <v>193</v>
      </c>
      <c r="G2332" s="99">
        <v>356</v>
      </c>
      <c r="H2332" s="99">
        <v>132</v>
      </c>
      <c r="I2332" s="99">
        <v>7</v>
      </c>
      <c r="J2332" s="99">
        <v>10</v>
      </c>
      <c r="K2332" s="99">
        <v>3</v>
      </c>
      <c r="L2332" s="99">
        <v>60</v>
      </c>
      <c r="M2332" s="99">
        <v>65</v>
      </c>
      <c r="N2332" s="99">
        <v>-5</v>
      </c>
      <c r="O2332" s="117"/>
      <c r="P2332" s="117"/>
      <c r="Q2332" s="117"/>
    </row>
    <row r="2333" spans="1:17" s="119" customFormat="1" ht="17.5" customHeight="1">
      <c r="A2333" s="109" t="s">
        <v>7319</v>
      </c>
      <c r="B2333" s="109" t="s">
        <v>7320</v>
      </c>
      <c r="C2333" s="98">
        <v>2011</v>
      </c>
      <c r="D2333" s="99">
        <v>133</v>
      </c>
      <c r="E2333" s="99">
        <v>610</v>
      </c>
      <c r="F2333" s="99">
        <v>194</v>
      </c>
      <c r="G2333" s="99">
        <v>421</v>
      </c>
      <c r="H2333" s="99">
        <v>143</v>
      </c>
      <c r="I2333" s="99">
        <v>14</v>
      </c>
      <c r="J2333" s="99">
        <v>14</v>
      </c>
      <c r="K2333" s="99">
        <v>1</v>
      </c>
      <c r="L2333" s="99">
        <v>66</v>
      </c>
      <c r="M2333" s="99">
        <v>60</v>
      </c>
      <c r="N2333" s="99">
        <v>6</v>
      </c>
      <c r="O2333" s="110"/>
      <c r="P2333" s="110"/>
      <c r="Q2333" s="110"/>
    </row>
    <row r="2334" spans="1:17" s="119" customFormat="1" ht="17.5" customHeight="1">
      <c r="A2334" s="109" t="s">
        <v>7319</v>
      </c>
      <c r="B2334" s="109" t="s">
        <v>7320</v>
      </c>
      <c r="C2334" s="111">
        <v>2012</v>
      </c>
      <c r="D2334" s="112">
        <v>126</v>
      </c>
      <c r="E2334" s="112">
        <v>615</v>
      </c>
      <c r="F2334" s="112">
        <v>208</v>
      </c>
      <c r="G2334" s="112">
        <v>403</v>
      </c>
      <c r="H2334" s="112">
        <v>150</v>
      </c>
      <c r="I2334" s="112">
        <v>7</v>
      </c>
      <c r="J2334" s="112">
        <v>10</v>
      </c>
      <c r="K2334" s="112">
        <v>2</v>
      </c>
      <c r="L2334" s="112">
        <v>61</v>
      </c>
      <c r="M2334" s="112">
        <v>62</v>
      </c>
      <c r="N2334" s="112">
        <v>-1</v>
      </c>
      <c r="O2334" s="110"/>
      <c r="P2334" s="110"/>
      <c r="Q2334" s="110"/>
    </row>
    <row r="2335" spans="1:17" s="119" customFormat="1" ht="17.5" customHeight="1">
      <c r="A2335" s="109" t="s">
        <v>7319</v>
      </c>
      <c r="B2335" s="109" t="s">
        <v>7320</v>
      </c>
      <c r="C2335" s="113">
        <v>2013</v>
      </c>
      <c r="D2335" s="112">
        <v>120</v>
      </c>
      <c r="E2335" s="112">
        <v>507</v>
      </c>
      <c r="F2335" s="112">
        <v>190</v>
      </c>
      <c r="G2335" s="112">
        <v>320</v>
      </c>
      <c r="H2335" s="112">
        <v>137</v>
      </c>
      <c r="I2335" s="112">
        <v>12</v>
      </c>
      <c r="J2335" s="112">
        <v>13</v>
      </c>
      <c r="K2335" s="112">
        <v>2</v>
      </c>
      <c r="L2335" s="112">
        <v>44</v>
      </c>
      <c r="M2335" s="112">
        <v>41</v>
      </c>
      <c r="N2335" s="112">
        <v>3</v>
      </c>
      <c r="O2335" s="100"/>
      <c r="P2335" s="100"/>
      <c r="Q2335" s="100"/>
    </row>
    <row r="2336" spans="1:17" s="119" customFormat="1" ht="17.5" customHeight="1">
      <c r="A2336" s="109" t="s">
        <v>7319</v>
      </c>
      <c r="B2336" s="109" t="s">
        <v>7320</v>
      </c>
      <c r="C2336" s="113">
        <v>2014</v>
      </c>
      <c r="D2336" s="99">
        <v>112</v>
      </c>
      <c r="E2336" s="99">
        <v>513</v>
      </c>
      <c r="F2336" s="99">
        <v>217</v>
      </c>
      <c r="G2336" s="99">
        <v>301</v>
      </c>
      <c r="H2336" s="99">
        <v>123</v>
      </c>
      <c r="I2336" s="99">
        <v>12</v>
      </c>
      <c r="J2336" s="99">
        <v>14</v>
      </c>
      <c r="K2336" s="99">
        <v>2</v>
      </c>
      <c r="L2336" s="99">
        <v>49</v>
      </c>
      <c r="M2336" s="99">
        <v>47</v>
      </c>
      <c r="N2336" s="99">
        <v>2</v>
      </c>
      <c r="O2336" s="110"/>
      <c r="P2336" s="110"/>
      <c r="Q2336" s="110"/>
    </row>
    <row r="2337" spans="1:17" s="119" customFormat="1" ht="17.5" customHeight="1">
      <c r="A2337" s="109" t="s">
        <v>7319</v>
      </c>
      <c r="B2337" s="109" t="s">
        <v>7320</v>
      </c>
      <c r="C2337" s="113">
        <v>2015</v>
      </c>
      <c r="D2337" s="112">
        <v>111</v>
      </c>
      <c r="E2337" s="112">
        <v>445</v>
      </c>
      <c r="F2337" s="112">
        <v>164</v>
      </c>
      <c r="G2337" s="112">
        <v>277</v>
      </c>
      <c r="H2337" s="112">
        <v>116</v>
      </c>
      <c r="I2337" s="112">
        <v>9</v>
      </c>
      <c r="J2337" s="112">
        <v>10</v>
      </c>
      <c r="K2337" s="112">
        <v>1</v>
      </c>
      <c r="L2337" s="112">
        <v>68</v>
      </c>
      <c r="M2337" s="112">
        <v>71</v>
      </c>
      <c r="N2337" s="112">
        <v>-3</v>
      </c>
      <c r="O2337" s="100"/>
      <c r="P2337" s="100"/>
      <c r="Q2337" s="100"/>
    </row>
    <row r="2338" spans="1:17" s="119" customFormat="1" ht="17.5" customHeight="1">
      <c r="A2338" s="109" t="s">
        <v>7319</v>
      </c>
      <c r="B2338" s="109" t="s">
        <v>7320</v>
      </c>
      <c r="C2338" s="113">
        <v>2016</v>
      </c>
      <c r="D2338" s="112">
        <v>106</v>
      </c>
      <c r="E2338" s="112">
        <v>406</v>
      </c>
      <c r="F2338" s="112">
        <v>154</v>
      </c>
      <c r="G2338" s="112">
        <v>258</v>
      </c>
      <c r="H2338" s="112">
        <v>107</v>
      </c>
      <c r="I2338" s="112">
        <v>16</v>
      </c>
      <c r="J2338" s="112">
        <v>17</v>
      </c>
      <c r="K2338" s="112" t="s">
        <v>6952</v>
      </c>
      <c r="L2338" s="112">
        <v>49</v>
      </c>
      <c r="M2338" s="112">
        <v>43</v>
      </c>
      <c r="N2338" s="112">
        <v>6</v>
      </c>
      <c r="O2338" s="100"/>
      <c r="P2338" s="100"/>
      <c r="Q2338" s="100"/>
    </row>
    <row r="2339" spans="1:17" s="119" customFormat="1" ht="17.5" customHeight="1">
      <c r="A2339" s="109" t="s">
        <v>7319</v>
      </c>
      <c r="B2339" s="109" t="s">
        <v>7320</v>
      </c>
      <c r="C2339" s="113">
        <v>2017</v>
      </c>
      <c r="D2339" s="112">
        <v>103</v>
      </c>
      <c r="E2339" s="112">
        <v>454</v>
      </c>
      <c r="F2339" s="112">
        <v>151</v>
      </c>
      <c r="G2339" s="112">
        <v>309</v>
      </c>
      <c r="H2339" s="112">
        <v>115</v>
      </c>
      <c r="I2339" s="112">
        <v>12</v>
      </c>
      <c r="J2339" s="112">
        <v>12</v>
      </c>
      <c r="K2339" s="112" t="s">
        <v>6952</v>
      </c>
      <c r="L2339" s="112">
        <v>51</v>
      </c>
      <c r="M2339" s="112">
        <v>46</v>
      </c>
      <c r="N2339" s="112">
        <v>5</v>
      </c>
      <c r="O2339" s="110"/>
      <c r="P2339" s="110"/>
      <c r="Q2339" s="110"/>
    </row>
    <row r="2340" spans="1:17" s="119" customFormat="1" ht="17.5" customHeight="1">
      <c r="A2340" s="109" t="s">
        <v>7319</v>
      </c>
      <c r="B2340" s="109" t="s">
        <v>7320</v>
      </c>
      <c r="C2340" s="113">
        <v>2018</v>
      </c>
      <c r="D2340" s="112">
        <v>97</v>
      </c>
      <c r="E2340" s="112">
        <v>501</v>
      </c>
      <c r="F2340" s="112">
        <v>180</v>
      </c>
      <c r="G2340" s="112">
        <v>325</v>
      </c>
      <c r="H2340" s="112">
        <v>121</v>
      </c>
      <c r="I2340" s="112">
        <v>15</v>
      </c>
      <c r="J2340" s="112">
        <v>15</v>
      </c>
      <c r="K2340" s="112" t="s">
        <v>6952</v>
      </c>
      <c r="L2340" s="112">
        <v>59</v>
      </c>
      <c r="M2340" s="112">
        <v>55</v>
      </c>
      <c r="N2340" s="112">
        <v>3</v>
      </c>
      <c r="O2340" s="110"/>
      <c r="P2340" s="110"/>
      <c r="Q2340" s="110"/>
    </row>
    <row r="2341" spans="1:17" s="119" customFormat="1" ht="17.5" customHeight="1">
      <c r="A2341" s="109" t="s">
        <v>7319</v>
      </c>
      <c r="B2341" s="109" t="s">
        <v>7320</v>
      </c>
      <c r="C2341" s="113">
        <v>2019</v>
      </c>
      <c r="D2341" s="112">
        <v>95</v>
      </c>
      <c r="E2341" s="112">
        <v>455.37163399999997</v>
      </c>
      <c r="F2341" s="112">
        <v>172.039748</v>
      </c>
      <c r="G2341" s="112">
        <v>289.33088600000002</v>
      </c>
      <c r="H2341" s="112">
        <v>112.082247</v>
      </c>
      <c r="I2341" s="112">
        <v>29.762898</v>
      </c>
      <c r="J2341" s="112">
        <v>30.181822</v>
      </c>
      <c r="K2341" s="112" t="s">
        <v>6952</v>
      </c>
      <c r="L2341" s="112">
        <v>52.168852000000001</v>
      </c>
      <c r="M2341" s="112">
        <v>46.131005000000002</v>
      </c>
      <c r="N2341" s="112">
        <v>6.0378470000000002</v>
      </c>
      <c r="O2341" s="117"/>
      <c r="P2341" s="117"/>
      <c r="Q2341" s="117"/>
    </row>
    <row r="2342" spans="1:17" s="119" customFormat="1" ht="17.5" customHeight="1">
      <c r="A2342" s="114" t="s">
        <v>7319</v>
      </c>
      <c r="B2342" s="114" t="s">
        <v>7320</v>
      </c>
      <c r="C2342" s="113">
        <v>2020</v>
      </c>
      <c r="D2342" s="112">
        <v>90</v>
      </c>
      <c r="E2342" s="112">
        <v>352.03261400000002</v>
      </c>
      <c r="F2342" s="112">
        <v>99.264037999999999</v>
      </c>
      <c r="G2342" s="112">
        <v>250.12374700000001</v>
      </c>
      <c r="H2342" s="112">
        <v>90.017255000000006</v>
      </c>
      <c r="I2342" s="112" t="s">
        <v>6953</v>
      </c>
      <c r="J2342" s="112">
        <v>8.6791909999999994</v>
      </c>
      <c r="K2342" s="112" t="s">
        <v>6953</v>
      </c>
      <c r="L2342" s="112">
        <v>54.995947999999999</v>
      </c>
      <c r="M2342" s="112">
        <v>57.999218999999997</v>
      </c>
      <c r="N2342" s="112">
        <v>-3.0032709999999998</v>
      </c>
      <c r="O2342" s="117"/>
      <c r="P2342" s="117"/>
      <c r="Q2342" s="117"/>
    </row>
    <row r="2343" spans="1:17" s="119" customFormat="1" ht="17.5" customHeight="1">
      <c r="A2343" s="109" t="s">
        <v>7321</v>
      </c>
      <c r="B2343" s="109" t="s">
        <v>7322</v>
      </c>
      <c r="C2343" s="98">
        <v>2008</v>
      </c>
      <c r="D2343" s="99">
        <v>171</v>
      </c>
      <c r="E2343" s="99">
        <v>278</v>
      </c>
      <c r="F2343" s="99">
        <v>127</v>
      </c>
      <c r="G2343" s="99">
        <v>153</v>
      </c>
      <c r="H2343" s="99">
        <v>79</v>
      </c>
      <c r="I2343" s="99">
        <v>3</v>
      </c>
      <c r="J2343" s="99">
        <v>4</v>
      </c>
      <c r="K2343" s="99">
        <v>1</v>
      </c>
      <c r="L2343" s="99">
        <v>29</v>
      </c>
      <c r="M2343" s="99">
        <v>26</v>
      </c>
      <c r="N2343" s="99">
        <v>3</v>
      </c>
      <c r="O2343" s="117"/>
      <c r="P2343" s="117"/>
      <c r="Q2343" s="117"/>
    </row>
    <row r="2344" spans="1:17" s="119" customFormat="1" ht="17.5" customHeight="1">
      <c r="A2344" s="109" t="s">
        <v>7321</v>
      </c>
      <c r="B2344" s="109" t="s">
        <v>7322</v>
      </c>
      <c r="C2344" s="98">
        <v>2009</v>
      </c>
      <c r="D2344" s="99">
        <v>160</v>
      </c>
      <c r="E2344" s="99">
        <v>284</v>
      </c>
      <c r="F2344" s="99">
        <v>119</v>
      </c>
      <c r="G2344" s="99">
        <v>157</v>
      </c>
      <c r="H2344" s="99">
        <v>92</v>
      </c>
      <c r="I2344" s="99">
        <v>6</v>
      </c>
      <c r="J2344" s="99">
        <v>7</v>
      </c>
      <c r="K2344" s="99">
        <v>1</v>
      </c>
      <c r="L2344" s="99">
        <v>37</v>
      </c>
      <c r="M2344" s="99">
        <v>45</v>
      </c>
      <c r="N2344" s="99">
        <v>-8</v>
      </c>
      <c r="O2344" s="117"/>
      <c r="P2344" s="117"/>
      <c r="Q2344" s="117"/>
    </row>
    <row r="2345" spans="1:17" s="119" customFormat="1" ht="17.5" customHeight="1">
      <c r="A2345" s="109" t="s">
        <v>7321</v>
      </c>
      <c r="B2345" s="109" t="s">
        <v>7322</v>
      </c>
      <c r="C2345" s="98">
        <v>2010</v>
      </c>
      <c r="D2345" s="99">
        <v>143</v>
      </c>
      <c r="E2345" s="99">
        <v>288</v>
      </c>
      <c r="F2345" s="99">
        <v>130</v>
      </c>
      <c r="G2345" s="99">
        <v>167</v>
      </c>
      <c r="H2345" s="99">
        <v>79</v>
      </c>
      <c r="I2345" s="99">
        <v>5</v>
      </c>
      <c r="J2345" s="99">
        <v>6</v>
      </c>
      <c r="K2345" s="99">
        <v>1</v>
      </c>
      <c r="L2345" s="99">
        <v>49</v>
      </c>
      <c r="M2345" s="99">
        <v>39</v>
      </c>
      <c r="N2345" s="99">
        <v>9</v>
      </c>
      <c r="O2345" s="110"/>
      <c r="P2345" s="110"/>
      <c r="Q2345" s="110"/>
    </row>
    <row r="2346" spans="1:17" s="119" customFormat="1" ht="17.5" customHeight="1">
      <c r="A2346" s="109" t="s">
        <v>7321</v>
      </c>
      <c r="B2346" s="109" t="s">
        <v>7322</v>
      </c>
      <c r="C2346" s="98">
        <v>2011</v>
      </c>
      <c r="D2346" s="99">
        <v>134</v>
      </c>
      <c r="E2346" s="99">
        <v>350</v>
      </c>
      <c r="F2346" s="99">
        <v>169</v>
      </c>
      <c r="G2346" s="99">
        <v>193</v>
      </c>
      <c r="H2346" s="99">
        <v>97</v>
      </c>
      <c r="I2346" s="99">
        <v>12</v>
      </c>
      <c r="J2346" s="99">
        <v>14</v>
      </c>
      <c r="K2346" s="99">
        <v>2</v>
      </c>
      <c r="L2346" s="99">
        <v>51</v>
      </c>
      <c r="M2346" s="99">
        <v>39</v>
      </c>
      <c r="N2346" s="99">
        <v>13</v>
      </c>
      <c r="O2346" s="110"/>
      <c r="P2346" s="110"/>
      <c r="Q2346" s="110"/>
    </row>
    <row r="2347" spans="1:17" s="119" customFormat="1" ht="17.5" customHeight="1">
      <c r="A2347" s="109" t="s">
        <v>7321</v>
      </c>
      <c r="B2347" s="109" t="s">
        <v>7322</v>
      </c>
      <c r="C2347" s="111">
        <v>2012</v>
      </c>
      <c r="D2347" s="112">
        <v>124</v>
      </c>
      <c r="E2347" s="112">
        <v>303</v>
      </c>
      <c r="F2347" s="112">
        <v>143</v>
      </c>
      <c r="G2347" s="112">
        <v>168</v>
      </c>
      <c r="H2347" s="112">
        <v>83</v>
      </c>
      <c r="I2347" s="112">
        <v>10</v>
      </c>
      <c r="J2347" s="112">
        <v>10</v>
      </c>
      <c r="K2347" s="112" t="s">
        <v>6952</v>
      </c>
      <c r="L2347" s="112">
        <v>47</v>
      </c>
      <c r="M2347" s="112">
        <v>40</v>
      </c>
      <c r="N2347" s="112">
        <v>7</v>
      </c>
      <c r="O2347" s="100"/>
      <c r="P2347" s="100"/>
      <c r="Q2347" s="100"/>
    </row>
    <row r="2348" spans="1:17" s="119" customFormat="1" ht="17.5" customHeight="1">
      <c r="A2348" s="109" t="s">
        <v>7321</v>
      </c>
      <c r="B2348" s="109" t="s">
        <v>7322</v>
      </c>
      <c r="C2348" s="113">
        <v>2013</v>
      </c>
      <c r="D2348" s="112">
        <v>110</v>
      </c>
      <c r="E2348" s="112">
        <v>340</v>
      </c>
      <c r="F2348" s="112">
        <v>136</v>
      </c>
      <c r="G2348" s="112">
        <v>210</v>
      </c>
      <c r="H2348" s="112">
        <v>106</v>
      </c>
      <c r="I2348" s="112">
        <v>11</v>
      </c>
      <c r="J2348" s="112">
        <v>12</v>
      </c>
      <c r="K2348" s="112">
        <v>1</v>
      </c>
      <c r="L2348" s="112">
        <v>60</v>
      </c>
      <c r="M2348" s="112">
        <v>53</v>
      </c>
      <c r="N2348" s="112">
        <v>6</v>
      </c>
      <c r="O2348" s="110"/>
      <c r="P2348" s="110"/>
      <c r="Q2348" s="110"/>
    </row>
    <row r="2349" spans="1:17" s="119" customFormat="1" ht="17.5" customHeight="1">
      <c r="A2349" s="109" t="s">
        <v>7321</v>
      </c>
      <c r="B2349" s="109" t="s">
        <v>7322</v>
      </c>
      <c r="C2349" s="113">
        <v>2014</v>
      </c>
      <c r="D2349" s="99">
        <v>103</v>
      </c>
      <c r="E2349" s="99">
        <v>345</v>
      </c>
      <c r="F2349" s="99">
        <v>127</v>
      </c>
      <c r="G2349" s="99">
        <v>225</v>
      </c>
      <c r="H2349" s="99">
        <v>96</v>
      </c>
      <c r="I2349" s="99">
        <v>10</v>
      </c>
      <c r="J2349" s="99">
        <v>12</v>
      </c>
      <c r="K2349" s="99">
        <v>3</v>
      </c>
      <c r="L2349" s="99">
        <v>50</v>
      </c>
      <c r="M2349" s="99">
        <v>42</v>
      </c>
      <c r="N2349" s="99">
        <v>8</v>
      </c>
      <c r="O2349" s="100"/>
      <c r="P2349" s="100"/>
      <c r="Q2349" s="100"/>
    </row>
    <row r="2350" spans="1:17" s="119" customFormat="1" ht="17.5" customHeight="1">
      <c r="A2350" s="109" t="s">
        <v>7321</v>
      </c>
      <c r="B2350" s="109" t="s">
        <v>7322</v>
      </c>
      <c r="C2350" s="113">
        <v>2015</v>
      </c>
      <c r="D2350" s="112">
        <v>98</v>
      </c>
      <c r="E2350" s="112">
        <v>199</v>
      </c>
      <c r="F2350" s="112">
        <v>81</v>
      </c>
      <c r="G2350" s="112">
        <v>120</v>
      </c>
      <c r="H2350" s="112">
        <v>60</v>
      </c>
      <c r="I2350" s="112">
        <v>6</v>
      </c>
      <c r="J2350" s="112">
        <v>6</v>
      </c>
      <c r="K2350" s="112" t="s">
        <v>6952</v>
      </c>
      <c r="L2350" s="112">
        <v>30</v>
      </c>
      <c r="M2350" s="112">
        <v>27</v>
      </c>
      <c r="N2350" s="112">
        <v>3</v>
      </c>
      <c r="O2350" s="100"/>
      <c r="P2350" s="100"/>
      <c r="Q2350" s="100"/>
    </row>
    <row r="2351" spans="1:17" s="119" customFormat="1" ht="17.5" customHeight="1">
      <c r="A2351" s="109" t="s">
        <v>7321</v>
      </c>
      <c r="B2351" s="109" t="s">
        <v>7322</v>
      </c>
      <c r="C2351" s="113">
        <v>2016</v>
      </c>
      <c r="D2351" s="112">
        <v>87</v>
      </c>
      <c r="E2351" s="112">
        <v>182</v>
      </c>
      <c r="F2351" s="112">
        <v>64</v>
      </c>
      <c r="G2351" s="112">
        <v>113</v>
      </c>
      <c r="H2351" s="112">
        <v>57</v>
      </c>
      <c r="I2351" s="112">
        <v>4</v>
      </c>
      <c r="J2351" s="112">
        <v>4</v>
      </c>
      <c r="K2351" s="112" t="s">
        <v>6952</v>
      </c>
      <c r="L2351" s="112">
        <v>25</v>
      </c>
      <c r="M2351" s="112">
        <v>28</v>
      </c>
      <c r="N2351" s="112">
        <v>-4</v>
      </c>
      <c r="O2351" s="110"/>
      <c r="P2351" s="110"/>
      <c r="Q2351" s="110"/>
    </row>
    <row r="2352" spans="1:17" s="119" customFormat="1" ht="17.5" customHeight="1">
      <c r="A2352" s="109" t="s">
        <v>7321</v>
      </c>
      <c r="B2352" s="109" t="s">
        <v>7322</v>
      </c>
      <c r="C2352" s="113">
        <v>2017</v>
      </c>
      <c r="D2352" s="112">
        <v>80</v>
      </c>
      <c r="E2352" s="112">
        <v>132</v>
      </c>
      <c r="F2352" s="112">
        <v>57</v>
      </c>
      <c r="G2352" s="112">
        <v>74</v>
      </c>
      <c r="H2352" s="112">
        <v>41</v>
      </c>
      <c r="I2352" s="112">
        <v>9</v>
      </c>
      <c r="J2352" s="112">
        <v>9</v>
      </c>
      <c r="K2352" s="112" t="s">
        <v>6952</v>
      </c>
      <c r="L2352" s="112">
        <v>14</v>
      </c>
      <c r="M2352" s="112">
        <v>15</v>
      </c>
      <c r="N2352" s="112">
        <v>-1</v>
      </c>
      <c r="O2352" s="110"/>
      <c r="P2352" s="110"/>
      <c r="Q2352" s="110"/>
    </row>
    <row r="2353" spans="1:17" s="119" customFormat="1" ht="17.5" customHeight="1">
      <c r="A2353" s="109" t="s">
        <v>7321</v>
      </c>
      <c r="B2353" s="109" t="s">
        <v>7322</v>
      </c>
      <c r="C2353" s="113">
        <v>2018</v>
      </c>
      <c r="D2353" s="112">
        <v>74</v>
      </c>
      <c r="E2353" s="112">
        <v>159</v>
      </c>
      <c r="F2353" s="112">
        <v>60</v>
      </c>
      <c r="G2353" s="112">
        <v>97</v>
      </c>
      <c r="H2353" s="112">
        <v>48</v>
      </c>
      <c r="I2353" s="112">
        <v>2</v>
      </c>
      <c r="J2353" s="112">
        <v>3</v>
      </c>
      <c r="K2353" s="112" t="s">
        <v>6952</v>
      </c>
      <c r="L2353" s="112">
        <v>19</v>
      </c>
      <c r="M2353" s="112">
        <v>21</v>
      </c>
      <c r="N2353" s="112">
        <v>-2</v>
      </c>
      <c r="O2353" s="117"/>
      <c r="P2353" s="117"/>
      <c r="Q2353" s="117"/>
    </row>
    <row r="2354" spans="1:17" s="119" customFormat="1" ht="17.5" customHeight="1">
      <c r="A2354" s="109" t="s">
        <v>7321</v>
      </c>
      <c r="B2354" s="109" t="s">
        <v>7322</v>
      </c>
      <c r="C2354" s="113">
        <v>2019</v>
      </c>
      <c r="D2354" s="112">
        <v>73</v>
      </c>
      <c r="E2354" s="112">
        <v>176.81058400000001</v>
      </c>
      <c r="F2354" s="112">
        <v>72.346708000000007</v>
      </c>
      <c r="G2354" s="112">
        <v>103.793761</v>
      </c>
      <c r="H2354" s="112">
        <v>48.635361000000003</v>
      </c>
      <c r="I2354" s="112">
        <v>3.5325299999999999</v>
      </c>
      <c r="J2354" s="112">
        <v>3.7977789999999998</v>
      </c>
      <c r="K2354" s="112" t="s">
        <v>6952</v>
      </c>
      <c r="L2354" s="112">
        <v>25.666677</v>
      </c>
      <c r="M2354" s="112">
        <v>26.589876</v>
      </c>
      <c r="N2354" s="112">
        <v>-0.92319899999999999</v>
      </c>
      <c r="O2354" s="117"/>
      <c r="P2354" s="117"/>
      <c r="Q2354" s="117"/>
    </row>
    <row r="2355" spans="1:17" s="119" customFormat="1" ht="17.5" customHeight="1">
      <c r="A2355" s="114" t="s">
        <v>7321</v>
      </c>
      <c r="B2355" s="114" t="s">
        <v>7322</v>
      </c>
      <c r="C2355" s="113">
        <v>2020</v>
      </c>
      <c r="D2355" s="112">
        <v>72</v>
      </c>
      <c r="E2355" s="112">
        <v>151.37376699999999</v>
      </c>
      <c r="F2355" s="112">
        <v>66.087631999999999</v>
      </c>
      <c r="G2355" s="112">
        <v>88.077108999999993</v>
      </c>
      <c r="H2355" s="112">
        <v>49.558793999999999</v>
      </c>
      <c r="I2355" s="112" t="s">
        <v>6953</v>
      </c>
      <c r="J2355" s="112">
        <v>3.9726530000000002</v>
      </c>
      <c r="K2355" s="112" t="s">
        <v>6953</v>
      </c>
      <c r="L2355" s="112">
        <v>18.942848000000001</v>
      </c>
      <c r="M2355" s="112">
        <v>15.678076000000001</v>
      </c>
      <c r="N2355" s="112">
        <v>3.2647719999999998</v>
      </c>
      <c r="O2355" s="117"/>
      <c r="P2355" s="117"/>
      <c r="Q2355" s="117"/>
    </row>
    <row r="2356" spans="1:17" s="119" customFormat="1" ht="17.5" customHeight="1">
      <c r="A2356" s="109" t="s">
        <v>7323</v>
      </c>
      <c r="B2356" s="109" t="s">
        <v>7324</v>
      </c>
      <c r="C2356" s="98">
        <v>2008</v>
      </c>
      <c r="D2356" s="99">
        <v>177</v>
      </c>
      <c r="E2356" s="99">
        <v>376</v>
      </c>
      <c r="F2356" s="99">
        <v>139</v>
      </c>
      <c r="G2356" s="99">
        <v>235</v>
      </c>
      <c r="H2356" s="99">
        <v>97</v>
      </c>
      <c r="I2356" s="99">
        <v>9</v>
      </c>
      <c r="J2356" s="99">
        <v>11</v>
      </c>
      <c r="K2356" s="99">
        <v>2</v>
      </c>
      <c r="L2356" s="99">
        <v>23</v>
      </c>
      <c r="M2356" s="99">
        <v>25</v>
      </c>
      <c r="N2356" s="99">
        <v>-2</v>
      </c>
      <c r="O2356" s="117"/>
      <c r="P2356" s="117"/>
      <c r="Q2356" s="117"/>
    </row>
    <row r="2357" spans="1:17" s="119" customFormat="1" ht="17.5" customHeight="1">
      <c r="A2357" s="109" t="s">
        <v>7323</v>
      </c>
      <c r="B2357" s="109" t="s">
        <v>7324</v>
      </c>
      <c r="C2357" s="98">
        <v>2009</v>
      </c>
      <c r="D2357" s="99">
        <v>175</v>
      </c>
      <c r="E2357" s="99">
        <v>334</v>
      </c>
      <c r="F2357" s="99">
        <v>145</v>
      </c>
      <c r="G2357" s="99">
        <v>186</v>
      </c>
      <c r="H2357" s="99">
        <v>102</v>
      </c>
      <c r="I2357" s="99">
        <v>6</v>
      </c>
      <c r="J2357" s="99">
        <v>7</v>
      </c>
      <c r="K2357" s="99" t="s">
        <v>6952</v>
      </c>
      <c r="L2357" s="99">
        <v>37</v>
      </c>
      <c r="M2357" s="99">
        <v>40</v>
      </c>
      <c r="N2357" s="99">
        <v>-3</v>
      </c>
      <c r="O2357" s="110"/>
      <c r="P2357" s="110"/>
      <c r="Q2357" s="110"/>
    </row>
    <row r="2358" spans="1:17" s="119" customFormat="1" ht="17.5" customHeight="1">
      <c r="A2358" s="109" t="s">
        <v>7323</v>
      </c>
      <c r="B2358" s="109" t="s">
        <v>7324</v>
      </c>
      <c r="C2358" s="98">
        <v>2010</v>
      </c>
      <c r="D2358" s="99">
        <v>157</v>
      </c>
      <c r="E2358" s="99">
        <v>425</v>
      </c>
      <c r="F2358" s="99">
        <v>151</v>
      </c>
      <c r="G2358" s="99">
        <v>287</v>
      </c>
      <c r="H2358" s="99">
        <v>121</v>
      </c>
      <c r="I2358" s="99">
        <v>14</v>
      </c>
      <c r="J2358" s="99">
        <v>15</v>
      </c>
      <c r="K2358" s="99">
        <v>1</v>
      </c>
      <c r="L2358" s="99">
        <v>48</v>
      </c>
      <c r="M2358" s="99">
        <v>37</v>
      </c>
      <c r="N2358" s="99">
        <v>11</v>
      </c>
      <c r="O2358" s="110"/>
      <c r="P2358" s="110"/>
      <c r="Q2358" s="110"/>
    </row>
    <row r="2359" spans="1:17" s="119" customFormat="1" ht="17.5" customHeight="1">
      <c r="A2359" s="109" t="s">
        <v>7323</v>
      </c>
      <c r="B2359" s="109" t="s">
        <v>7324</v>
      </c>
      <c r="C2359" s="98">
        <v>2011</v>
      </c>
      <c r="D2359" s="99">
        <v>139</v>
      </c>
      <c r="E2359" s="99">
        <v>472</v>
      </c>
      <c r="F2359" s="99">
        <v>172</v>
      </c>
      <c r="G2359" s="99">
        <v>302</v>
      </c>
      <c r="H2359" s="99">
        <v>122</v>
      </c>
      <c r="I2359" s="99">
        <v>8</v>
      </c>
      <c r="J2359" s="99">
        <v>10</v>
      </c>
      <c r="K2359" s="99">
        <v>3</v>
      </c>
      <c r="L2359" s="99">
        <v>42</v>
      </c>
      <c r="M2359" s="99">
        <v>41</v>
      </c>
      <c r="N2359" s="99">
        <v>1</v>
      </c>
      <c r="O2359" s="100"/>
      <c r="P2359" s="100"/>
      <c r="Q2359" s="100"/>
    </row>
    <row r="2360" spans="1:17" s="119" customFormat="1" ht="17.5" customHeight="1">
      <c r="A2360" s="109" t="s">
        <v>7323</v>
      </c>
      <c r="B2360" s="109" t="s">
        <v>7324</v>
      </c>
      <c r="C2360" s="111">
        <v>2012</v>
      </c>
      <c r="D2360" s="112">
        <v>132</v>
      </c>
      <c r="E2360" s="112">
        <v>452</v>
      </c>
      <c r="F2360" s="112">
        <v>170</v>
      </c>
      <c r="G2360" s="112">
        <v>285</v>
      </c>
      <c r="H2360" s="112">
        <v>118</v>
      </c>
      <c r="I2360" s="112">
        <v>25</v>
      </c>
      <c r="J2360" s="112">
        <v>26</v>
      </c>
      <c r="K2360" s="112">
        <v>1</v>
      </c>
      <c r="L2360" s="112">
        <v>38</v>
      </c>
      <c r="M2360" s="112">
        <v>35</v>
      </c>
      <c r="N2360" s="112">
        <v>3</v>
      </c>
      <c r="O2360" s="110"/>
      <c r="P2360" s="110"/>
      <c r="Q2360" s="110"/>
    </row>
    <row r="2361" spans="1:17" s="119" customFormat="1" ht="17.5" customHeight="1">
      <c r="A2361" s="109" t="s">
        <v>7323</v>
      </c>
      <c r="B2361" s="109" t="s">
        <v>7324</v>
      </c>
      <c r="C2361" s="113">
        <v>2013</v>
      </c>
      <c r="D2361" s="112">
        <v>128</v>
      </c>
      <c r="E2361" s="112">
        <v>616</v>
      </c>
      <c r="F2361" s="112">
        <v>240</v>
      </c>
      <c r="G2361" s="112">
        <v>380</v>
      </c>
      <c r="H2361" s="112">
        <v>134</v>
      </c>
      <c r="I2361" s="112">
        <v>26</v>
      </c>
      <c r="J2361" s="112">
        <v>26</v>
      </c>
      <c r="K2361" s="112" t="s">
        <v>6952</v>
      </c>
      <c r="L2361" s="112">
        <v>55</v>
      </c>
      <c r="M2361" s="112">
        <v>54</v>
      </c>
      <c r="N2361" s="112">
        <v>1</v>
      </c>
      <c r="O2361" s="100"/>
      <c r="P2361" s="100"/>
      <c r="Q2361" s="100"/>
    </row>
    <row r="2362" spans="1:17" s="119" customFormat="1" ht="17.5" customHeight="1">
      <c r="A2362" s="109" t="s">
        <v>7323</v>
      </c>
      <c r="B2362" s="109" t="s">
        <v>7324</v>
      </c>
      <c r="C2362" s="113">
        <v>2014</v>
      </c>
      <c r="D2362" s="99">
        <v>130</v>
      </c>
      <c r="E2362" s="99">
        <v>610</v>
      </c>
      <c r="F2362" s="99">
        <v>232</v>
      </c>
      <c r="G2362" s="99">
        <v>385</v>
      </c>
      <c r="H2362" s="99">
        <v>151</v>
      </c>
      <c r="I2362" s="99">
        <v>30</v>
      </c>
      <c r="J2362" s="99">
        <v>34</v>
      </c>
      <c r="K2362" s="99">
        <v>4</v>
      </c>
      <c r="L2362" s="99">
        <v>67</v>
      </c>
      <c r="M2362" s="99">
        <v>65</v>
      </c>
      <c r="N2362" s="99">
        <v>3</v>
      </c>
      <c r="O2362" s="100"/>
      <c r="P2362" s="100"/>
      <c r="Q2362" s="100"/>
    </row>
    <row r="2363" spans="1:17" s="119" customFormat="1" ht="17.5" customHeight="1">
      <c r="A2363" s="109" t="s">
        <v>7323</v>
      </c>
      <c r="B2363" s="109" t="s">
        <v>7324</v>
      </c>
      <c r="C2363" s="113">
        <v>2015</v>
      </c>
      <c r="D2363" s="112">
        <v>129</v>
      </c>
      <c r="E2363" s="112">
        <v>569</v>
      </c>
      <c r="F2363" s="112">
        <v>227</v>
      </c>
      <c r="G2363" s="112">
        <v>352</v>
      </c>
      <c r="H2363" s="112">
        <v>141</v>
      </c>
      <c r="I2363" s="112">
        <v>21</v>
      </c>
      <c r="J2363" s="112" t="s">
        <v>6953</v>
      </c>
      <c r="K2363" s="112" t="s">
        <v>6953</v>
      </c>
      <c r="L2363" s="112">
        <v>66</v>
      </c>
      <c r="M2363" s="112">
        <v>64</v>
      </c>
      <c r="N2363" s="112">
        <v>2</v>
      </c>
      <c r="O2363" s="110"/>
      <c r="P2363" s="110"/>
      <c r="Q2363" s="110"/>
    </row>
    <row r="2364" spans="1:17" s="119" customFormat="1" ht="17.5" customHeight="1">
      <c r="A2364" s="109" t="s">
        <v>7323</v>
      </c>
      <c r="B2364" s="109" t="s">
        <v>7324</v>
      </c>
      <c r="C2364" s="113">
        <v>2016</v>
      </c>
      <c r="D2364" s="112">
        <v>129</v>
      </c>
      <c r="E2364" s="112">
        <v>585</v>
      </c>
      <c r="F2364" s="112">
        <v>257</v>
      </c>
      <c r="G2364" s="112">
        <v>338</v>
      </c>
      <c r="H2364" s="112">
        <v>153</v>
      </c>
      <c r="I2364" s="112">
        <v>23</v>
      </c>
      <c r="J2364" s="112">
        <v>27</v>
      </c>
      <c r="K2364" s="112">
        <v>3</v>
      </c>
      <c r="L2364" s="112">
        <v>85</v>
      </c>
      <c r="M2364" s="112">
        <v>75</v>
      </c>
      <c r="N2364" s="112">
        <v>10</v>
      </c>
      <c r="O2364" s="110"/>
      <c r="P2364" s="110"/>
      <c r="Q2364" s="110"/>
    </row>
    <row r="2365" spans="1:17" s="119" customFormat="1" ht="17.5" customHeight="1">
      <c r="A2365" s="109" t="s">
        <v>7323</v>
      </c>
      <c r="B2365" s="109" t="s">
        <v>7324</v>
      </c>
      <c r="C2365" s="113">
        <v>2017</v>
      </c>
      <c r="D2365" s="112">
        <v>133</v>
      </c>
      <c r="E2365" s="112">
        <v>586</v>
      </c>
      <c r="F2365" s="112">
        <v>240</v>
      </c>
      <c r="G2365" s="112">
        <v>361</v>
      </c>
      <c r="H2365" s="112">
        <v>152</v>
      </c>
      <c r="I2365" s="112">
        <v>64</v>
      </c>
      <c r="J2365" s="112">
        <v>65</v>
      </c>
      <c r="K2365" s="112">
        <v>1</v>
      </c>
      <c r="L2365" s="112">
        <v>62</v>
      </c>
      <c r="M2365" s="112">
        <v>52</v>
      </c>
      <c r="N2365" s="112">
        <v>10</v>
      </c>
      <c r="O2365" s="117"/>
      <c r="P2365" s="117"/>
      <c r="Q2365" s="117"/>
    </row>
    <row r="2366" spans="1:17" s="119" customFormat="1" ht="17.5" customHeight="1">
      <c r="A2366" s="109" t="s">
        <v>7323</v>
      </c>
      <c r="B2366" s="109" t="s">
        <v>7324</v>
      </c>
      <c r="C2366" s="113">
        <v>2018</v>
      </c>
      <c r="D2366" s="112">
        <v>130</v>
      </c>
      <c r="E2366" s="112">
        <v>608</v>
      </c>
      <c r="F2366" s="112">
        <v>245</v>
      </c>
      <c r="G2366" s="112">
        <v>367</v>
      </c>
      <c r="H2366" s="112">
        <v>171</v>
      </c>
      <c r="I2366" s="112">
        <v>69</v>
      </c>
      <c r="J2366" s="112">
        <v>69</v>
      </c>
      <c r="K2366" s="112">
        <v>1</v>
      </c>
      <c r="L2366" s="112">
        <v>64</v>
      </c>
      <c r="M2366" s="112">
        <v>61</v>
      </c>
      <c r="N2366" s="112">
        <v>3</v>
      </c>
      <c r="O2366" s="117"/>
      <c r="P2366" s="117"/>
      <c r="Q2366" s="117"/>
    </row>
    <row r="2367" spans="1:17" s="119" customFormat="1" ht="17.5" customHeight="1">
      <c r="A2367" s="109" t="s">
        <v>7323</v>
      </c>
      <c r="B2367" s="109" t="s">
        <v>7324</v>
      </c>
      <c r="C2367" s="113">
        <v>2019</v>
      </c>
      <c r="D2367" s="112">
        <v>128</v>
      </c>
      <c r="E2367" s="112">
        <v>642.46466499999997</v>
      </c>
      <c r="F2367" s="112">
        <v>274.304192</v>
      </c>
      <c r="G2367" s="112">
        <v>367.18031000000002</v>
      </c>
      <c r="H2367" s="112">
        <v>170.31388799999999</v>
      </c>
      <c r="I2367" s="112">
        <v>21.746776000000001</v>
      </c>
      <c r="J2367" s="112">
        <v>21.888860000000001</v>
      </c>
      <c r="K2367" s="112" t="s">
        <v>6952</v>
      </c>
      <c r="L2367" s="112">
        <v>61.263728</v>
      </c>
      <c r="M2367" s="112">
        <v>62.210393000000003</v>
      </c>
      <c r="N2367" s="112">
        <v>-0.94666499999999998</v>
      </c>
      <c r="O2367" s="117"/>
      <c r="P2367" s="117"/>
      <c r="Q2367" s="117"/>
    </row>
    <row r="2368" spans="1:17" s="119" customFormat="1" ht="17.5" customHeight="1">
      <c r="A2368" s="114" t="s">
        <v>7323</v>
      </c>
      <c r="B2368" s="114" t="s">
        <v>7324</v>
      </c>
      <c r="C2368" s="113">
        <v>2020</v>
      </c>
      <c r="D2368" s="112">
        <v>128</v>
      </c>
      <c r="E2368" s="112">
        <v>604.28530599999999</v>
      </c>
      <c r="F2368" s="112">
        <v>224.528031</v>
      </c>
      <c r="G2368" s="112">
        <v>379.46563800000001</v>
      </c>
      <c r="H2368" s="112">
        <v>162.40514200000001</v>
      </c>
      <c r="I2368" s="112">
        <v>23.095597000000001</v>
      </c>
      <c r="J2368" s="112">
        <v>23.306093000000001</v>
      </c>
      <c r="K2368" s="112" t="s">
        <v>6952</v>
      </c>
      <c r="L2368" s="112">
        <v>88.915734999999998</v>
      </c>
      <c r="M2368" s="112">
        <v>92.520182000000005</v>
      </c>
      <c r="N2368" s="112">
        <v>-3.6044459999999998</v>
      </c>
      <c r="O2368" s="117"/>
      <c r="P2368" s="117"/>
      <c r="Q2368" s="117"/>
    </row>
    <row r="2369" spans="1:17" s="119" customFormat="1" ht="17.5" customHeight="1">
      <c r="A2369" s="109" t="s">
        <v>7325</v>
      </c>
      <c r="B2369" s="109" t="s">
        <v>7326</v>
      </c>
      <c r="C2369" s="98">
        <v>2008</v>
      </c>
      <c r="D2369" s="99">
        <v>148</v>
      </c>
      <c r="E2369" s="99">
        <v>236</v>
      </c>
      <c r="F2369" s="99">
        <v>103</v>
      </c>
      <c r="G2369" s="99">
        <v>134</v>
      </c>
      <c r="H2369" s="99">
        <v>65</v>
      </c>
      <c r="I2369" s="99">
        <v>8</v>
      </c>
      <c r="J2369" s="99">
        <v>10</v>
      </c>
      <c r="K2369" s="99">
        <v>2</v>
      </c>
      <c r="L2369" s="99">
        <v>22</v>
      </c>
      <c r="M2369" s="99">
        <v>22</v>
      </c>
      <c r="N2369" s="99" t="s">
        <v>6952</v>
      </c>
      <c r="O2369" s="110"/>
      <c r="P2369" s="110"/>
      <c r="Q2369" s="110"/>
    </row>
    <row r="2370" spans="1:17" s="119" customFormat="1" ht="17.5" customHeight="1">
      <c r="A2370" s="109" t="s">
        <v>7325</v>
      </c>
      <c r="B2370" s="109" t="s">
        <v>7326</v>
      </c>
      <c r="C2370" s="98">
        <v>2009</v>
      </c>
      <c r="D2370" s="99">
        <v>128</v>
      </c>
      <c r="E2370" s="99">
        <v>160</v>
      </c>
      <c r="F2370" s="99">
        <v>77</v>
      </c>
      <c r="G2370" s="99">
        <v>82</v>
      </c>
      <c r="H2370" s="99">
        <v>47</v>
      </c>
      <c r="I2370" s="99">
        <v>2</v>
      </c>
      <c r="J2370" s="99">
        <v>2</v>
      </c>
      <c r="K2370" s="99" t="s">
        <v>6952</v>
      </c>
      <c r="L2370" s="99">
        <v>17</v>
      </c>
      <c r="M2370" s="99">
        <v>20</v>
      </c>
      <c r="N2370" s="99">
        <v>-2</v>
      </c>
      <c r="O2370" s="110"/>
      <c r="P2370" s="110"/>
      <c r="Q2370" s="110"/>
    </row>
    <row r="2371" spans="1:17" s="119" customFormat="1" ht="17.5" customHeight="1">
      <c r="A2371" s="109" t="s">
        <v>7325</v>
      </c>
      <c r="B2371" s="109" t="s">
        <v>7326</v>
      </c>
      <c r="C2371" s="98">
        <v>2010</v>
      </c>
      <c r="D2371" s="99">
        <v>123</v>
      </c>
      <c r="E2371" s="99">
        <v>215</v>
      </c>
      <c r="F2371" s="99">
        <v>84</v>
      </c>
      <c r="G2371" s="99">
        <v>135</v>
      </c>
      <c r="H2371" s="99">
        <v>45</v>
      </c>
      <c r="I2371" s="99">
        <v>12</v>
      </c>
      <c r="J2371" s="99">
        <v>13</v>
      </c>
      <c r="K2371" s="99">
        <v>1</v>
      </c>
      <c r="L2371" s="99">
        <v>29</v>
      </c>
      <c r="M2371" s="99">
        <v>25</v>
      </c>
      <c r="N2371" s="99">
        <v>4</v>
      </c>
      <c r="O2371" s="100"/>
      <c r="P2371" s="100"/>
      <c r="Q2371" s="100"/>
    </row>
    <row r="2372" spans="1:17" s="119" customFormat="1" ht="17.5" customHeight="1">
      <c r="A2372" s="109" t="s">
        <v>7325</v>
      </c>
      <c r="B2372" s="109" t="s">
        <v>7326</v>
      </c>
      <c r="C2372" s="98">
        <v>2011</v>
      </c>
      <c r="D2372" s="99">
        <v>110</v>
      </c>
      <c r="E2372" s="99">
        <v>143</v>
      </c>
      <c r="F2372" s="99">
        <v>77</v>
      </c>
      <c r="G2372" s="99">
        <v>69</v>
      </c>
      <c r="H2372" s="99">
        <v>40</v>
      </c>
      <c r="I2372" s="99">
        <v>9</v>
      </c>
      <c r="J2372" s="99">
        <v>9</v>
      </c>
      <c r="K2372" s="99" t="s">
        <v>6952</v>
      </c>
      <c r="L2372" s="99">
        <v>11</v>
      </c>
      <c r="M2372" s="99">
        <v>8</v>
      </c>
      <c r="N2372" s="99">
        <v>3</v>
      </c>
      <c r="O2372" s="110"/>
      <c r="P2372" s="110"/>
      <c r="Q2372" s="110"/>
    </row>
    <row r="2373" spans="1:17" s="119" customFormat="1" ht="17.5" customHeight="1">
      <c r="A2373" s="109" t="s">
        <v>7325</v>
      </c>
      <c r="B2373" s="109" t="s">
        <v>7326</v>
      </c>
      <c r="C2373" s="111">
        <v>2012</v>
      </c>
      <c r="D2373" s="112">
        <v>114</v>
      </c>
      <c r="E2373" s="112">
        <v>193</v>
      </c>
      <c r="F2373" s="112">
        <v>106</v>
      </c>
      <c r="G2373" s="112">
        <v>90</v>
      </c>
      <c r="H2373" s="112">
        <v>62</v>
      </c>
      <c r="I2373" s="112">
        <v>11</v>
      </c>
      <c r="J2373" s="112">
        <v>11</v>
      </c>
      <c r="K2373" s="99" t="s">
        <v>6952</v>
      </c>
      <c r="L2373" s="112">
        <v>27</v>
      </c>
      <c r="M2373" s="112">
        <v>25</v>
      </c>
      <c r="N2373" s="112">
        <v>3</v>
      </c>
      <c r="O2373" s="100"/>
      <c r="P2373" s="100"/>
      <c r="Q2373" s="100"/>
    </row>
    <row r="2374" spans="1:17" s="119" customFormat="1" ht="17.5" customHeight="1">
      <c r="A2374" s="109" t="s">
        <v>7325</v>
      </c>
      <c r="B2374" s="109" t="s">
        <v>7326</v>
      </c>
      <c r="C2374" s="113">
        <v>2013</v>
      </c>
      <c r="D2374" s="112">
        <v>110</v>
      </c>
      <c r="E2374" s="112">
        <v>151</v>
      </c>
      <c r="F2374" s="112">
        <v>50</v>
      </c>
      <c r="G2374" s="112">
        <v>103</v>
      </c>
      <c r="H2374" s="112">
        <v>45</v>
      </c>
      <c r="I2374" s="112">
        <v>5</v>
      </c>
      <c r="J2374" s="112">
        <v>5</v>
      </c>
      <c r="K2374" s="99" t="s">
        <v>6952</v>
      </c>
      <c r="L2374" s="112">
        <v>24</v>
      </c>
      <c r="M2374" s="112">
        <v>21</v>
      </c>
      <c r="N2374" s="112">
        <v>2</v>
      </c>
      <c r="O2374" s="100"/>
      <c r="P2374" s="100"/>
      <c r="Q2374" s="100"/>
    </row>
    <row r="2375" spans="1:17" s="119" customFormat="1" ht="17.5" customHeight="1">
      <c r="A2375" s="109" t="s">
        <v>7325</v>
      </c>
      <c r="B2375" s="109" t="s">
        <v>7326</v>
      </c>
      <c r="C2375" s="113">
        <v>2014</v>
      </c>
      <c r="D2375" s="99">
        <v>110</v>
      </c>
      <c r="E2375" s="99">
        <v>151</v>
      </c>
      <c r="F2375" s="99">
        <v>60</v>
      </c>
      <c r="G2375" s="99">
        <v>91</v>
      </c>
      <c r="H2375" s="99">
        <v>43</v>
      </c>
      <c r="I2375" s="99">
        <v>11</v>
      </c>
      <c r="J2375" s="99">
        <v>11</v>
      </c>
      <c r="K2375" s="99" t="s">
        <v>6952</v>
      </c>
      <c r="L2375" s="99">
        <v>23</v>
      </c>
      <c r="M2375" s="99">
        <v>23</v>
      </c>
      <c r="N2375" s="99" t="s">
        <v>6952</v>
      </c>
      <c r="O2375" s="110"/>
      <c r="P2375" s="110"/>
      <c r="Q2375" s="110"/>
    </row>
    <row r="2376" spans="1:17" s="119" customFormat="1" ht="17.5" customHeight="1">
      <c r="A2376" s="109" t="s">
        <v>7325</v>
      </c>
      <c r="B2376" s="109" t="s">
        <v>7326</v>
      </c>
      <c r="C2376" s="113">
        <v>2015</v>
      </c>
      <c r="D2376" s="112">
        <v>106</v>
      </c>
      <c r="E2376" s="112">
        <v>208</v>
      </c>
      <c r="F2376" s="112">
        <v>70</v>
      </c>
      <c r="G2376" s="112">
        <v>141</v>
      </c>
      <c r="H2376" s="112">
        <v>39</v>
      </c>
      <c r="I2376" s="112">
        <v>15</v>
      </c>
      <c r="J2376" s="112" t="s">
        <v>6953</v>
      </c>
      <c r="K2376" s="112" t="s">
        <v>6953</v>
      </c>
      <c r="L2376" s="112">
        <v>21</v>
      </c>
      <c r="M2376" s="112">
        <v>17</v>
      </c>
      <c r="N2376" s="112">
        <v>3</v>
      </c>
      <c r="O2376" s="110"/>
      <c r="P2376" s="110"/>
      <c r="Q2376" s="110"/>
    </row>
    <row r="2377" spans="1:17" s="119" customFormat="1" ht="17.5" customHeight="1">
      <c r="A2377" s="109" t="s">
        <v>7325</v>
      </c>
      <c r="B2377" s="109" t="s">
        <v>7326</v>
      </c>
      <c r="C2377" s="113">
        <v>2016</v>
      </c>
      <c r="D2377" s="112">
        <v>100</v>
      </c>
      <c r="E2377" s="112">
        <v>178</v>
      </c>
      <c r="F2377" s="112">
        <v>76</v>
      </c>
      <c r="G2377" s="112">
        <v>104</v>
      </c>
      <c r="H2377" s="112">
        <v>48</v>
      </c>
      <c r="I2377" s="112">
        <v>10</v>
      </c>
      <c r="J2377" s="112">
        <v>10</v>
      </c>
      <c r="K2377" s="112" t="s">
        <v>6952</v>
      </c>
      <c r="L2377" s="112">
        <v>20</v>
      </c>
      <c r="M2377" s="112">
        <v>18</v>
      </c>
      <c r="N2377" s="112">
        <v>2</v>
      </c>
      <c r="O2377" s="117"/>
      <c r="P2377" s="117"/>
      <c r="Q2377" s="117"/>
    </row>
    <row r="2378" spans="1:17" s="119" customFormat="1" ht="17.5" customHeight="1">
      <c r="A2378" s="109" t="s">
        <v>7325</v>
      </c>
      <c r="B2378" s="109" t="s">
        <v>7326</v>
      </c>
      <c r="C2378" s="113">
        <v>2017</v>
      </c>
      <c r="D2378" s="112">
        <v>103</v>
      </c>
      <c r="E2378" s="112">
        <v>212</v>
      </c>
      <c r="F2378" s="112">
        <v>90</v>
      </c>
      <c r="G2378" s="112">
        <v>125</v>
      </c>
      <c r="H2378" s="112">
        <v>53</v>
      </c>
      <c r="I2378" s="112">
        <v>5</v>
      </c>
      <c r="J2378" s="112">
        <v>7</v>
      </c>
      <c r="K2378" s="112">
        <v>2</v>
      </c>
      <c r="L2378" s="112">
        <v>28</v>
      </c>
      <c r="M2378" s="112">
        <v>26</v>
      </c>
      <c r="N2378" s="112">
        <v>2</v>
      </c>
      <c r="O2378" s="117"/>
      <c r="P2378" s="117"/>
      <c r="Q2378" s="117"/>
    </row>
    <row r="2379" spans="1:17" s="119" customFormat="1" ht="17.5" customHeight="1">
      <c r="A2379" s="109" t="s">
        <v>7325</v>
      </c>
      <c r="B2379" s="109" t="s">
        <v>7326</v>
      </c>
      <c r="C2379" s="113">
        <v>2018</v>
      </c>
      <c r="D2379" s="112">
        <v>98</v>
      </c>
      <c r="E2379" s="112">
        <v>255</v>
      </c>
      <c r="F2379" s="112">
        <v>125</v>
      </c>
      <c r="G2379" s="112">
        <v>142</v>
      </c>
      <c r="H2379" s="112">
        <v>62</v>
      </c>
      <c r="I2379" s="112">
        <v>15</v>
      </c>
      <c r="J2379" s="112">
        <v>16</v>
      </c>
      <c r="K2379" s="112" t="s">
        <v>6952</v>
      </c>
      <c r="L2379" s="112">
        <v>35</v>
      </c>
      <c r="M2379" s="112">
        <v>30</v>
      </c>
      <c r="N2379" s="112">
        <v>5</v>
      </c>
      <c r="O2379" s="117"/>
      <c r="P2379" s="117"/>
      <c r="Q2379" s="117"/>
    </row>
    <row r="2380" spans="1:17" s="119" customFormat="1" ht="17.5" customHeight="1">
      <c r="A2380" s="109" t="s">
        <v>7325</v>
      </c>
      <c r="B2380" s="109" t="s">
        <v>7326</v>
      </c>
      <c r="C2380" s="113">
        <v>2019</v>
      </c>
      <c r="D2380" s="112">
        <v>93</v>
      </c>
      <c r="E2380" s="112">
        <v>247.53192300000001</v>
      </c>
      <c r="F2380" s="112">
        <v>107.075563</v>
      </c>
      <c r="G2380" s="112">
        <v>141.06196199999999</v>
      </c>
      <c r="H2380" s="112">
        <v>56.190229000000002</v>
      </c>
      <c r="I2380" s="112">
        <v>5.4467129999999999</v>
      </c>
      <c r="J2380" s="112">
        <v>5.6520460000000003</v>
      </c>
      <c r="K2380" s="112" t="s">
        <v>6952</v>
      </c>
      <c r="L2380" s="112">
        <v>39.958857999999999</v>
      </c>
      <c r="M2380" s="112">
        <v>39.538918000000002</v>
      </c>
      <c r="N2380" s="112" t="s">
        <v>6952</v>
      </c>
      <c r="O2380" s="117"/>
      <c r="P2380" s="117"/>
      <c r="Q2380" s="117"/>
    </row>
    <row r="2381" spans="1:17" s="119" customFormat="1" ht="17.5" customHeight="1">
      <c r="A2381" s="114" t="s">
        <v>7325</v>
      </c>
      <c r="B2381" s="114" t="s">
        <v>7326</v>
      </c>
      <c r="C2381" s="113">
        <v>2020</v>
      </c>
      <c r="D2381" s="112">
        <v>91</v>
      </c>
      <c r="E2381" s="112">
        <v>185.07697899999999</v>
      </c>
      <c r="F2381" s="112">
        <v>108.66126800000001</v>
      </c>
      <c r="G2381" s="112">
        <v>76.836234000000005</v>
      </c>
      <c r="H2381" s="112">
        <v>56.045538000000001</v>
      </c>
      <c r="I2381" s="112">
        <v>10.076169999999999</v>
      </c>
      <c r="J2381" s="112">
        <v>14.909205999999999</v>
      </c>
      <c r="K2381" s="112">
        <v>4.8330359999999999</v>
      </c>
      <c r="L2381" s="112">
        <v>23.032688</v>
      </c>
      <c r="M2381" s="112">
        <v>23.336393000000001</v>
      </c>
      <c r="N2381" s="112" t="s">
        <v>6952</v>
      </c>
      <c r="O2381" s="110"/>
      <c r="P2381" s="110"/>
      <c r="Q2381" s="110"/>
    </row>
    <row r="2382" spans="1:17" s="119" customFormat="1" ht="31.75" customHeight="1">
      <c r="A2382" s="109" t="s">
        <v>7327</v>
      </c>
      <c r="B2382" s="109" t="s">
        <v>7328</v>
      </c>
      <c r="C2382" s="98">
        <v>2008</v>
      </c>
      <c r="D2382" s="99">
        <v>26607</v>
      </c>
      <c r="E2382" s="99">
        <v>34266</v>
      </c>
      <c r="F2382" s="99">
        <v>14221</v>
      </c>
      <c r="G2382" s="99">
        <v>20125</v>
      </c>
      <c r="H2382" s="99">
        <v>8556</v>
      </c>
      <c r="I2382" s="99">
        <v>652</v>
      </c>
      <c r="J2382" s="99">
        <v>960</v>
      </c>
      <c r="K2382" s="99">
        <v>308</v>
      </c>
      <c r="L2382" s="99">
        <v>3223</v>
      </c>
      <c r="M2382" s="99">
        <v>3154</v>
      </c>
      <c r="N2382" s="99">
        <v>69</v>
      </c>
      <c r="O2382" s="110"/>
      <c r="P2382" s="110"/>
      <c r="Q2382" s="110"/>
    </row>
    <row r="2383" spans="1:17" s="119" customFormat="1" ht="31.75" customHeight="1">
      <c r="A2383" s="109" t="s">
        <v>7327</v>
      </c>
      <c r="B2383" s="109" t="s">
        <v>7328</v>
      </c>
      <c r="C2383" s="98">
        <v>2009</v>
      </c>
      <c r="D2383" s="99">
        <v>26814</v>
      </c>
      <c r="E2383" s="99">
        <v>28880</v>
      </c>
      <c r="F2383" s="99">
        <v>12039</v>
      </c>
      <c r="G2383" s="99">
        <v>16505</v>
      </c>
      <c r="H2383" s="99">
        <v>7658</v>
      </c>
      <c r="I2383" s="99">
        <v>546</v>
      </c>
      <c r="J2383" s="99">
        <v>675</v>
      </c>
      <c r="K2383" s="99">
        <v>129</v>
      </c>
      <c r="L2383" s="99">
        <v>2849</v>
      </c>
      <c r="M2383" s="99">
        <v>3210</v>
      </c>
      <c r="N2383" s="99">
        <v>-361</v>
      </c>
      <c r="O2383" s="100"/>
      <c r="P2383" s="100"/>
      <c r="Q2383" s="100"/>
    </row>
    <row r="2384" spans="1:17" s="119" customFormat="1" ht="31.75" customHeight="1">
      <c r="A2384" s="109" t="s">
        <v>7327</v>
      </c>
      <c r="B2384" s="109" t="s">
        <v>7328</v>
      </c>
      <c r="C2384" s="98">
        <v>2010</v>
      </c>
      <c r="D2384" s="99">
        <v>25592</v>
      </c>
      <c r="E2384" s="99">
        <v>30335</v>
      </c>
      <c r="F2384" s="99">
        <v>12042</v>
      </c>
      <c r="G2384" s="99">
        <v>18554</v>
      </c>
      <c r="H2384" s="99">
        <v>7629</v>
      </c>
      <c r="I2384" s="99">
        <v>608</v>
      </c>
      <c r="J2384" s="99">
        <v>743</v>
      </c>
      <c r="K2384" s="99">
        <v>134</v>
      </c>
      <c r="L2384" s="99">
        <v>3322</v>
      </c>
      <c r="M2384" s="99">
        <v>3094</v>
      </c>
      <c r="N2384" s="99">
        <v>228</v>
      </c>
      <c r="O2384" s="110"/>
      <c r="P2384" s="110"/>
      <c r="Q2384" s="110"/>
    </row>
    <row r="2385" spans="1:17" s="119" customFormat="1" ht="31.75" customHeight="1">
      <c r="A2385" s="109" t="s">
        <v>7327</v>
      </c>
      <c r="B2385" s="109" t="s">
        <v>7328</v>
      </c>
      <c r="C2385" s="98">
        <v>2011</v>
      </c>
      <c r="D2385" s="99">
        <v>24801</v>
      </c>
      <c r="E2385" s="99">
        <v>31745</v>
      </c>
      <c r="F2385" s="99">
        <v>13170</v>
      </c>
      <c r="G2385" s="99">
        <v>18866</v>
      </c>
      <c r="H2385" s="99">
        <v>7809</v>
      </c>
      <c r="I2385" s="99">
        <v>908</v>
      </c>
      <c r="J2385" s="99">
        <v>1051</v>
      </c>
      <c r="K2385" s="99">
        <v>143</v>
      </c>
      <c r="L2385" s="99">
        <v>3511</v>
      </c>
      <c r="M2385" s="99">
        <v>3235</v>
      </c>
      <c r="N2385" s="99">
        <v>276</v>
      </c>
      <c r="O2385" s="100"/>
      <c r="P2385" s="100"/>
      <c r="Q2385" s="100"/>
    </row>
    <row r="2386" spans="1:17" s="119" customFormat="1" ht="31.75" customHeight="1">
      <c r="A2386" s="109" t="s">
        <v>7327</v>
      </c>
      <c r="B2386" s="109" t="s">
        <v>7328</v>
      </c>
      <c r="C2386" s="111">
        <v>2012</v>
      </c>
      <c r="D2386" s="112">
        <v>24050</v>
      </c>
      <c r="E2386" s="112">
        <v>33093</v>
      </c>
      <c r="F2386" s="112">
        <v>14483</v>
      </c>
      <c r="G2386" s="112">
        <v>18711</v>
      </c>
      <c r="H2386" s="112">
        <v>8287</v>
      </c>
      <c r="I2386" s="112">
        <v>896</v>
      </c>
      <c r="J2386" s="112">
        <v>1068</v>
      </c>
      <c r="K2386" s="112">
        <v>172</v>
      </c>
      <c r="L2386" s="112">
        <v>3596</v>
      </c>
      <c r="M2386" s="112">
        <v>3513</v>
      </c>
      <c r="N2386" s="112">
        <v>83</v>
      </c>
      <c r="O2386" s="100"/>
      <c r="P2386" s="100"/>
      <c r="Q2386" s="100"/>
    </row>
    <row r="2387" spans="1:17" s="119" customFormat="1" ht="31.75" customHeight="1">
      <c r="A2387" s="109" t="s">
        <v>7327</v>
      </c>
      <c r="B2387" s="109" t="s">
        <v>7328</v>
      </c>
      <c r="C2387" s="113">
        <v>2013</v>
      </c>
      <c r="D2387" s="112">
        <v>24364</v>
      </c>
      <c r="E2387" s="112">
        <v>33221</v>
      </c>
      <c r="F2387" s="112">
        <v>14259</v>
      </c>
      <c r="G2387" s="112">
        <v>19088</v>
      </c>
      <c r="H2387" s="112">
        <v>8169</v>
      </c>
      <c r="I2387" s="112">
        <v>849</v>
      </c>
      <c r="J2387" s="112">
        <v>988</v>
      </c>
      <c r="K2387" s="112">
        <v>139</v>
      </c>
      <c r="L2387" s="112">
        <v>3682</v>
      </c>
      <c r="M2387" s="112">
        <v>3566</v>
      </c>
      <c r="N2387" s="112">
        <v>116</v>
      </c>
      <c r="O2387" s="110"/>
      <c r="P2387" s="110"/>
      <c r="Q2387" s="110"/>
    </row>
    <row r="2388" spans="1:17" s="119" customFormat="1" ht="31.75" customHeight="1">
      <c r="A2388" s="109" t="s">
        <v>7327</v>
      </c>
      <c r="B2388" s="109" t="s">
        <v>7328</v>
      </c>
      <c r="C2388" s="113">
        <v>2014</v>
      </c>
      <c r="D2388" s="99">
        <v>24868</v>
      </c>
      <c r="E2388" s="99">
        <v>34345</v>
      </c>
      <c r="F2388" s="99">
        <v>15868</v>
      </c>
      <c r="G2388" s="99">
        <v>18907</v>
      </c>
      <c r="H2388" s="99">
        <v>8384</v>
      </c>
      <c r="I2388" s="99">
        <v>1541</v>
      </c>
      <c r="J2388" s="99">
        <v>1668</v>
      </c>
      <c r="K2388" s="99">
        <v>128</v>
      </c>
      <c r="L2388" s="99">
        <v>3697</v>
      </c>
      <c r="M2388" s="99">
        <v>3409</v>
      </c>
      <c r="N2388" s="99">
        <v>288</v>
      </c>
      <c r="O2388" s="110"/>
      <c r="P2388" s="110"/>
      <c r="Q2388" s="110"/>
    </row>
    <row r="2389" spans="1:17" s="119" customFormat="1" ht="31.75" customHeight="1">
      <c r="A2389" s="109" t="s">
        <v>7327</v>
      </c>
      <c r="B2389" s="109" t="s">
        <v>7328</v>
      </c>
      <c r="C2389" s="113">
        <v>2015</v>
      </c>
      <c r="D2389" s="112">
        <v>26467</v>
      </c>
      <c r="E2389" s="112">
        <v>35037</v>
      </c>
      <c r="F2389" s="112">
        <v>15606</v>
      </c>
      <c r="G2389" s="112">
        <v>19522</v>
      </c>
      <c r="H2389" s="112">
        <v>8684</v>
      </c>
      <c r="I2389" s="112">
        <v>2218</v>
      </c>
      <c r="J2389" s="112">
        <v>2324</v>
      </c>
      <c r="K2389" s="112">
        <v>106</v>
      </c>
      <c r="L2389" s="112">
        <v>3552</v>
      </c>
      <c r="M2389" s="112">
        <v>3511</v>
      </c>
      <c r="N2389" s="112">
        <v>41</v>
      </c>
      <c r="O2389" s="117"/>
      <c r="P2389" s="117"/>
      <c r="Q2389" s="117"/>
    </row>
    <row r="2390" spans="1:17" s="119" customFormat="1" ht="31.75" customHeight="1">
      <c r="A2390" s="109" t="s">
        <v>7327</v>
      </c>
      <c r="B2390" s="109" t="s">
        <v>7328</v>
      </c>
      <c r="C2390" s="113">
        <v>2016</v>
      </c>
      <c r="D2390" s="112">
        <v>27286</v>
      </c>
      <c r="E2390" s="112">
        <v>34753</v>
      </c>
      <c r="F2390" s="112">
        <v>16036</v>
      </c>
      <c r="G2390" s="112">
        <v>18805</v>
      </c>
      <c r="H2390" s="112">
        <v>8772</v>
      </c>
      <c r="I2390" s="112">
        <v>2112</v>
      </c>
      <c r="J2390" s="112">
        <v>2246</v>
      </c>
      <c r="K2390" s="112">
        <v>134</v>
      </c>
      <c r="L2390" s="112">
        <v>3791</v>
      </c>
      <c r="M2390" s="112">
        <v>3712</v>
      </c>
      <c r="N2390" s="112">
        <v>79</v>
      </c>
      <c r="O2390" s="117"/>
      <c r="P2390" s="117"/>
      <c r="Q2390" s="117"/>
    </row>
    <row r="2391" spans="1:17" s="119" customFormat="1" ht="31.75" customHeight="1">
      <c r="A2391" s="109" t="s">
        <v>7327</v>
      </c>
      <c r="B2391" s="109" t="s">
        <v>7328</v>
      </c>
      <c r="C2391" s="113">
        <v>2017</v>
      </c>
      <c r="D2391" s="112">
        <v>28290</v>
      </c>
      <c r="E2391" s="112">
        <v>36445</v>
      </c>
      <c r="F2391" s="112">
        <v>16430</v>
      </c>
      <c r="G2391" s="112">
        <v>20344</v>
      </c>
      <c r="H2391" s="112">
        <v>9157</v>
      </c>
      <c r="I2391" s="112">
        <v>1590</v>
      </c>
      <c r="J2391" s="112">
        <v>1766</v>
      </c>
      <c r="K2391" s="112">
        <v>176</v>
      </c>
      <c r="L2391" s="112">
        <v>3982</v>
      </c>
      <c r="M2391" s="112">
        <v>3686</v>
      </c>
      <c r="N2391" s="112">
        <v>296</v>
      </c>
      <c r="O2391" s="117"/>
      <c r="P2391" s="117"/>
      <c r="Q2391" s="117"/>
    </row>
    <row r="2392" spans="1:17" s="119" customFormat="1" ht="31.75" customHeight="1">
      <c r="A2392" s="109" t="s">
        <v>7327</v>
      </c>
      <c r="B2392" s="109" t="s">
        <v>7328</v>
      </c>
      <c r="C2392" s="113">
        <v>2018</v>
      </c>
      <c r="D2392" s="112">
        <v>28392</v>
      </c>
      <c r="E2392" s="112">
        <v>37483</v>
      </c>
      <c r="F2392" s="112">
        <v>16634</v>
      </c>
      <c r="G2392" s="112">
        <v>21437</v>
      </c>
      <c r="H2392" s="112">
        <v>9102</v>
      </c>
      <c r="I2392" s="112">
        <v>1313</v>
      </c>
      <c r="J2392" s="112" t="s">
        <v>6953</v>
      </c>
      <c r="K2392" s="112" t="s">
        <v>6953</v>
      </c>
      <c r="L2392" s="112">
        <v>4476</v>
      </c>
      <c r="M2392" s="112">
        <v>3931</v>
      </c>
      <c r="N2392" s="112">
        <v>545</v>
      </c>
      <c r="O2392" s="117"/>
      <c r="P2392" s="117"/>
      <c r="Q2392" s="117"/>
    </row>
    <row r="2393" spans="1:17" s="119" customFormat="1" ht="31.75" customHeight="1">
      <c r="A2393" s="109" t="s">
        <v>7327</v>
      </c>
      <c r="B2393" s="109" t="s">
        <v>7328</v>
      </c>
      <c r="C2393" s="113">
        <v>2019</v>
      </c>
      <c r="D2393" s="112">
        <v>26301</v>
      </c>
      <c r="E2393" s="112">
        <v>38343.012894</v>
      </c>
      <c r="F2393" s="112">
        <v>16898.029035</v>
      </c>
      <c r="G2393" s="112">
        <v>21912.683035999999</v>
      </c>
      <c r="H2393" s="112">
        <v>9621.8799670000008</v>
      </c>
      <c r="I2393" s="112">
        <v>1549.837767</v>
      </c>
      <c r="J2393" s="112">
        <v>1767.7330509999999</v>
      </c>
      <c r="K2393" s="112">
        <v>217.895284</v>
      </c>
      <c r="L2393" s="112">
        <v>4744.0513330000003</v>
      </c>
      <c r="M2393" s="112">
        <v>4349.9427640000004</v>
      </c>
      <c r="N2393" s="112">
        <v>394.10856899999999</v>
      </c>
      <c r="O2393" s="110"/>
      <c r="P2393" s="110"/>
      <c r="Q2393" s="110"/>
    </row>
    <row r="2394" spans="1:17" s="119" customFormat="1" ht="31.75" customHeight="1">
      <c r="A2394" s="114" t="s">
        <v>7327</v>
      </c>
      <c r="B2394" s="114" t="s">
        <v>7328</v>
      </c>
      <c r="C2394" s="113">
        <v>2020</v>
      </c>
      <c r="D2394" s="112">
        <v>26240</v>
      </c>
      <c r="E2394" s="112">
        <v>35251.029021000002</v>
      </c>
      <c r="F2394" s="112">
        <v>15476.705265000001</v>
      </c>
      <c r="G2394" s="112">
        <v>19896.700879</v>
      </c>
      <c r="H2394" s="112">
        <v>9366.4580960000003</v>
      </c>
      <c r="I2394" s="112">
        <v>1720.204506</v>
      </c>
      <c r="J2394" s="112">
        <v>1936.279063</v>
      </c>
      <c r="K2394" s="112">
        <v>216.074557</v>
      </c>
      <c r="L2394" s="112">
        <v>4690.0208169999996</v>
      </c>
      <c r="M2394" s="112">
        <v>4683.5286770000002</v>
      </c>
      <c r="N2394" s="112">
        <v>6.49214</v>
      </c>
      <c r="O2394" s="110"/>
      <c r="P2394" s="110"/>
      <c r="Q2394" s="110"/>
    </row>
    <row r="2395" spans="1:17" s="119" customFormat="1" ht="17.5" customHeight="1">
      <c r="A2395" s="109" t="s">
        <v>7329</v>
      </c>
      <c r="B2395" s="109" t="s">
        <v>7330</v>
      </c>
      <c r="C2395" s="98">
        <v>2008</v>
      </c>
      <c r="D2395" s="99">
        <v>4522</v>
      </c>
      <c r="E2395" s="99">
        <v>10128</v>
      </c>
      <c r="F2395" s="99">
        <v>3893</v>
      </c>
      <c r="G2395" s="99">
        <v>6258</v>
      </c>
      <c r="H2395" s="99">
        <v>2316</v>
      </c>
      <c r="I2395" s="99">
        <v>171</v>
      </c>
      <c r="J2395" s="99">
        <v>217</v>
      </c>
      <c r="K2395" s="99">
        <v>46</v>
      </c>
      <c r="L2395" s="99">
        <v>691</v>
      </c>
      <c r="M2395" s="99">
        <v>666</v>
      </c>
      <c r="N2395" s="99">
        <v>25</v>
      </c>
      <c r="O2395" s="100"/>
      <c r="P2395" s="100"/>
      <c r="Q2395" s="100"/>
    </row>
    <row r="2396" spans="1:17" s="119" customFormat="1" ht="17.5" customHeight="1">
      <c r="A2396" s="109" t="s">
        <v>7329</v>
      </c>
      <c r="B2396" s="109" t="s">
        <v>7330</v>
      </c>
      <c r="C2396" s="98">
        <v>2009</v>
      </c>
      <c r="D2396" s="99">
        <v>4373</v>
      </c>
      <c r="E2396" s="99">
        <v>7585</v>
      </c>
      <c r="F2396" s="99">
        <v>2971</v>
      </c>
      <c r="G2396" s="99">
        <v>4540</v>
      </c>
      <c r="H2396" s="99">
        <v>2134</v>
      </c>
      <c r="I2396" s="99">
        <v>143</v>
      </c>
      <c r="J2396" s="99">
        <v>195</v>
      </c>
      <c r="K2396" s="99">
        <v>51</v>
      </c>
      <c r="L2396" s="99">
        <v>558</v>
      </c>
      <c r="M2396" s="99">
        <v>634</v>
      </c>
      <c r="N2396" s="99">
        <v>-76</v>
      </c>
      <c r="O2396" s="110"/>
      <c r="P2396" s="110"/>
      <c r="Q2396" s="110"/>
    </row>
    <row r="2397" spans="1:17" s="119" customFormat="1" ht="17.5" customHeight="1">
      <c r="A2397" s="109" t="s">
        <v>7329</v>
      </c>
      <c r="B2397" s="109" t="s">
        <v>7330</v>
      </c>
      <c r="C2397" s="98">
        <v>2010</v>
      </c>
      <c r="D2397" s="99">
        <v>4302</v>
      </c>
      <c r="E2397" s="99">
        <v>7644</v>
      </c>
      <c r="F2397" s="99">
        <v>2431</v>
      </c>
      <c r="G2397" s="99">
        <v>5263</v>
      </c>
      <c r="H2397" s="99">
        <v>1833</v>
      </c>
      <c r="I2397" s="99">
        <v>87</v>
      </c>
      <c r="J2397" s="99">
        <v>115</v>
      </c>
      <c r="K2397" s="99">
        <v>29</v>
      </c>
      <c r="L2397" s="99">
        <v>583</v>
      </c>
      <c r="M2397" s="99">
        <v>540</v>
      </c>
      <c r="N2397" s="99">
        <v>44</v>
      </c>
      <c r="O2397" s="100"/>
      <c r="P2397" s="100"/>
      <c r="Q2397" s="100"/>
    </row>
    <row r="2398" spans="1:17" s="119" customFormat="1" ht="17.5" customHeight="1">
      <c r="A2398" s="109" t="s">
        <v>7329</v>
      </c>
      <c r="B2398" s="109" t="s">
        <v>7330</v>
      </c>
      <c r="C2398" s="98">
        <v>2011</v>
      </c>
      <c r="D2398" s="99">
        <v>4310</v>
      </c>
      <c r="E2398" s="99">
        <v>7844</v>
      </c>
      <c r="F2398" s="99">
        <v>2794</v>
      </c>
      <c r="G2398" s="99">
        <v>5000</v>
      </c>
      <c r="H2398" s="99">
        <v>1845</v>
      </c>
      <c r="I2398" s="99">
        <v>171</v>
      </c>
      <c r="J2398" s="99">
        <v>209</v>
      </c>
      <c r="K2398" s="99">
        <v>38</v>
      </c>
      <c r="L2398" s="99">
        <v>559</v>
      </c>
      <c r="M2398" s="99">
        <v>621</v>
      </c>
      <c r="N2398" s="99">
        <v>-62</v>
      </c>
      <c r="O2398" s="100"/>
      <c r="P2398" s="100"/>
      <c r="Q2398" s="100"/>
    </row>
    <row r="2399" spans="1:17" s="119" customFormat="1" ht="17.5" customHeight="1">
      <c r="A2399" s="109" t="s">
        <v>7329</v>
      </c>
      <c r="B2399" s="109" t="s">
        <v>7330</v>
      </c>
      <c r="C2399" s="111">
        <v>2012</v>
      </c>
      <c r="D2399" s="112">
        <v>4206</v>
      </c>
      <c r="E2399" s="112">
        <v>8180</v>
      </c>
      <c r="F2399" s="112">
        <v>3250</v>
      </c>
      <c r="G2399" s="112">
        <v>5016</v>
      </c>
      <c r="H2399" s="112">
        <v>1978</v>
      </c>
      <c r="I2399" s="112">
        <v>144</v>
      </c>
      <c r="J2399" s="112">
        <v>174</v>
      </c>
      <c r="K2399" s="112">
        <v>30</v>
      </c>
      <c r="L2399" s="112">
        <v>708</v>
      </c>
      <c r="M2399" s="112">
        <v>619</v>
      </c>
      <c r="N2399" s="112">
        <v>88</v>
      </c>
      <c r="O2399" s="110"/>
      <c r="P2399" s="110"/>
      <c r="Q2399" s="110"/>
    </row>
    <row r="2400" spans="1:17" s="119" customFormat="1" ht="17.5" customHeight="1">
      <c r="A2400" s="109" t="s">
        <v>7329</v>
      </c>
      <c r="B2400" s="109" t="s">
        <v>7330</v>
      </c>
      <c r="C2400" s="113">
        <v>2013</v>
      </c>
      <c r="D2400" s="112">
        <v>4249</v>
      </c>
      <c r="E2400" s="112">
        <v>8962</v>
      </c>
      <c r="F2400" s="112">
        <v>3467</v>
      </c>
      <c r="G2400" s="112">
        <v>5574</v>
      </c>
      <c r="H2400" s="112">
        <v>2002</v>
      </c>
      <c r="I2400" s="112">
        <v>132</v>
      </c>
      <c r="J2400" s="112">
        <v>158</v>
      </c>
      <c r="K2400" s="112">
        <v>26</v>
      </c>
      <c r="L2400" s="112">
        <v>956</v>
      </c>
      <c r="M2400" s="112">
        <v>876</v>
      </c>
      <c r="N2400" s="112">
        <v>80</v>
      </c>
      <c r="O2400" s="110"/>
      <c r="P2400" s="110"/>
      <c r="Q2400" s="110"/>
    </row>
    <row r="2401" spans="1:17" s="119" customFormat="1" ht="17.5" customHeight="1">
      <c r="A2401" s="109" t="s">
        <v>7329</v>
      </c>
      <c r="B2401" s="109" t="s">
        <v>7330</v>
      </c>
      <c r="C2401" s="113">
        <v>2014</v>
      </c>
      <c r="D2401" s="99">
        <v>4211</v>
      </c>
      <c r="E2401" s="99">
        <v>9516</v>
      </c>
      <c r="F2401" s="99">
        <v>3812</v>
      </c>
      <c r="G2401" s="99">
        <v>5793</v>
      </c>
      <c r="H2401" s="99">
        <v>2122</v>
      </c>
      <c r="I2401" s="99">
        <v>366</v>
      </c>
      <c r="J2401" s="99">
        <v>394</v>
      </c>
      <c r="K2401" s="99">
        <v>28</v>
      </c>
      <c r="L2401" s="99">
        <v>754</v>
      </c>
      <c r="M2401" s="99">
        <v>701</v>
      </c>
      <c r="N2401" s="99">
        <v>53</v>
      </c>
      <c r="O2401" s="117"/>
      <c r="P2401" s="117"/>
      <c r="Q2401" s="117"/>
    </row>
    <row r="2402" spans="1:17" s="119" customFormat="1" ht="17.5" customHeight="1">
      <c r="A2402" s="109" t="s">
        <v>7329</v>
      </c>
      <c r="B2402" s="109" t="s">
        <v>7330</v>
      </c>
      <c r="C2402" s="113">
        <v>2015</v>
      </c>
      <c r="D2402" s="112">
        <v>4272</v>
      </c>
      <c r="E2402" s="112">
        <v>10333</v>
      </c>
      <c r="F2402" s="112">
        <v>4137</v>
      </c>
      <c r="G2402" s="112">
        <v>6227</v>
      </c>
      <c r="H2402" s="112">
        <v>2370</v>
      </c>
      <c r="I2402" s="112">
        <v>941</v>
      </c>
      <c r="J2402" s="112">
        <v>960</v>
      </c>
      <c r="K2402" s="112">
        <v>19</v>
      </c>
      <c r="L2402" s="112">
        <v>741</v>
      </c>
      <c r="M2402" s="112">
        <v>745</v>
      </c>
      <c r="N2402" s="112">
        <v>-3</v>
      </c>
      <c r="O2402" s="117"/>
      <c r="P2402" s="117"/>
      <c r="Q2402" s="117"/>
    </row>
    <row r="2403" spans="1:17" s="119" customFormat="1" ht="17.5" customHeight="1">
      <c r="A2403" s="109" t="s">
        <v>7329</v>
      </c>
      <c r="B2403" s="109" t="s">
        <v>7330</v>
      </c>
      <c r="C2403" s="113">
        <v>2016</v>
      </c>
      <c r="D2403" s="112">
        <v>4411</v>
      </c>
      <c r="E2403" s="112">
        <v>10164</v>
      </c>
      <c r="F2403" s="112">
        <v>4023</v>
      </c>
      <c r="G2403" s="112">
        <v>6128</v>
      </c>
      <c r="H2403" s="112">
        <v>2262</v>
      </c>
      <c r="I2403" s="112">
        <v>841</v>
      </c>
      <c r="J2403" s="112">
        <v>866</v>
      </c>
      <c r="K2403" s="112">
        <v>25</v>
      </c>
      <c r="L2403" s="112">
        <v>868</v>
      </c>
      <c r="M2403" s="112">
        <v>881</v>
      </c>
      <c r="N2403" s="112">
        <v>-13</v>
      </c>
      <c r="O2403" s="117"/>
      <c r="P2403" s="117"/>
      <c r="Q2403" s="117"/>
    </row>
    <row r="2404" spans="1:17" s="119" customFormat="1" ht="17.5" customHeight="1">
      <c r="A2404" s="109" t="s">
        <v>7329</v>
      </c>
      <c r="B2404" s="109" t="s">
        <v>7330</v>
      </c>
      <c r="C2404" s="113">
        <v>2017</v>
      </c>
      <c r="D2404" s="112">
        <v>4563</v>
      </c>
      <c r="E2404" s="112">
        <v>10381</v>
      </c>
      <c r="F2404" s="112">
        <v>4276</v>
      </c>
      <c r="G2404" s="112">
        <v>6152</v>
      </c>
      <c r="H2404" s="112">
        <v>2349</v>
      </c>
      <c r="I2404" s="112">
        <v>351</v>
      </c>
      <c r="J2404" s="112">
        <v>369</v>
      </c>
      <c r="K2404" s="112">
        <v>18</v>
      </c>
      <c r="L2404" s="112">
        <v>801</v>
      </c>
      <c r="M2404" s="112">
        <v>763</v>
      </c>
      <c r="N2404" s="112">
        <v>38</v>
      </c>
      <c r="O2404" s="117"/>
      <c r="P2404" s="117"/>
      <c r="Q2404" s="117"/>
    </row>
    <row r="2405" spans="1:17" s="119" customFormat="1" ht="17.5" customHeight="1">
      <c r="A2405" s="109" t="s">
        <v>7329</v>
      </c>
      <c r="B2405" s="109" t="s">
        <v>7330</v>
      </c>
      <c r="C2405" s="113">
        <v>2018</v>
      </c>
      <c r="D2405" s="112">
        <v>4534</v>
      </c>
      <c r="E2405" s="112">
        <v>10893</v>
      </c>
      <c r="F2405" s="112">
        <v>4120</v>
      </c>
      <c r="G2405" s="112">
        <v>6906</v>
      </c>
      <c r="H2405" s="112">
        <v>2438</v>
      </c>
      <c r="I2405" s="112">
        <v>236</v>
      </c>
      <c r="J2405" s="112" t="s">
        <v>6953</v>
      </c>
      <c r="K2405" s="112" t="s">
        <v>6953</v>
      </c>
      <c r="L2405" s="112">
        <v>946</v>
      </c>
      <c r="M2405" s="112">
        <v>808</v>
      </c>
      <c r="N2405" s="112">
        <v>137</v>
      </c>
      <c r="O2405" s="110"/>
      <c r="P2405" s="110"/>
      <c r="Q2405" s="110"/>
    </row>
    <row r="2406" spans="1:17" s="119" customFormat="1" ht="17.5" customHeight="1">
      <c r="A2406" s="109" t="s">
        <v>7329</v>
      </c>
      <c r="B2406" s="109" t="s">
        <v>7330</v>
      </c>
      <c r="C2406" s="113">
        <v>2019</v>
      </c>
      <c r="D2406" s="112">
        <v>4609</v>
      </c>
      <c r="E2406" s="112">
        <v>10470.108663999999</v>
      </c>
      <c r="F2406" s="112">
        <v>4162.0204249999997</v>
      </c>
      <c r="G2406" s="112">
        <v>6377.5890220000001</v>
      </c>
      <c r="H2406" s="112">
        <v>2558.6521459999999</v>
      </c>
      <c r="I2406" s="112">
        <v>357.92237</v>
      </c>
      <c r="J2406" s="112">
        <v>397.16028899999998</v>
      </c>
      <c r="K2406" s="112">
        <v>39.237918999999998</v>
      </c>
      <c r="L2406" s="112">
        <v>887.16903400000001</v>
      </c>
      <c r="M2406" s="112">
        <v>871.52010399999995</v>
      </c>
      <c r="N2406" s="112">
        <v>15.64893</v>
      </c>
      <c r="O2406" s="110"/>
      <c r="P2406" s="110"/>
      <c r="Q2406" s="110"/>
    </row>
    <row r="2407" spans="1:17" s="119" customFormat="1" ht="17.5" customHeight="1">
      <c r="A2407" s="114" t="s">
        <v>7329</v>
      </c>
      <c r="B2407" s="114" t="s">
        <v>7330</v>
      </c>
      <c r="C2407" s="113">
        <v>2020</v>
      </c>
      <c r="D2407" s="112">
        <v>4621</v>
      </c>
      <c r="E2407" s="112">
        <v>10056.671711999999</v>
      </c>
      <c r="F2407" s="112">
        <v>4005.8242479999999</v>
      </c>
      <c r="G2407" s="112">
        <v>6085.0152680000001</v>
      </c>
      <c r="H2407" s="112">
        <v>2339.068139</v>
      </c>
      <c r="I2407" s="112">
        <v>312.70703600000002</v>
      </c>
      <c r="J2407" s="112">
        <v>358.63678199999998</v>
      </c>
      <c r="K2407" s="112">
        <v>45.929746000000002</v>
      </c>
      <c r="L2407" s="112">
        <v>876.825107</v>
      </c>
      <c r="M2407" s="112">
        <v>874.56941200000006</v>
      </c>
      <c r="N2407" s="112">
        <v>2.2556949999999998</v>
      </c>
      <c r="O2407" s="100"/>
      <c r="P2407" s="100"/>
      <c r="Q2407" s="100"/>
    </row>
    <row r="2408" spans="1:17" s="119" customFormat="1" ht="31.75" customHeight="1">
      <c r="A2408" s="109" t="s">
        <v>7331</v>
      </c>
      <c r="B2408" s="109" t="s">
        <v>7332</v>
      </c>
      <c r="C2408" s="98">
        <v>2008</v>
      </c>
      <c r="D2408" s="99">
        <v>3259</v>
      </c>
      <c r="E2408" s="99">
        <v>8275</v>
      </c>
      <c r="F2408" s="99">
        <v>3099</v>
      </c>
      <c r="G2408" s="99">
        <v>5196</v>
      </c>
      <c r="H2408" s="99">
        <v>1880</v>
      </c>
      <c r="I2408" s="99">
        <v>151</v>
      </c>
      <c r="J2408" s="99">
        <v>184</v>
      </c>
      <c r="K2408" s="99">
        <v>33</v>
      </c>
      <c r="L2408" s="99">
        <v>574</v>
      </c>
      <c r="M2408" s="99">
        <v>555</v>
      </c>
      <c r="N2408" s="99">
        <v>19</v>
      </c>
      <c r="O2408" s="110"/>
      <c r="P2408" s="110"/>
      <c r="Q2408" s="110"/>
    </row>
    <row r="2409" spans="1:17" s="119" customFormat="1" ht="31.75" customHeight="1">
      <c r="A2409" s="109" t="s">
        <v>7331</v>
      </c>
      <c r="B2409" s="109" t="s">
        <v>7332</v>
      </c>
      <c r="C2409" s="98">
        <v>2009</v>
      </c>
      <c r="D2409" s="99">
        <v>3105</v>
      </c>
      <c r="E2409" s="99">
        <v>5807</v>
      </c>
      <c r="F2409" s="99">
        <v>2301</v>
      </c>
      <c r="G2409" s="99">
        <v>3427</v>
      </c>
      <c r="H2409" s="99">
        <v>1707</v>
      </c>
      <c r="I2409" s="99">
        <v>124</v>
      </c>
      <c r="J2409" s="99">
        <v>169</v>
      </c>
      <c r="K2409" s="99">
        <v>45</v>
      </c>
      <c r="L2409" s="99">
        <v>459</v>
      </c>
      <c r="M2409" s="99">
        <v>539</v>
      </c>
      <c r="N2409" s="99">
        <v>-80</v>
      </c>
      <c r="O2409" s="100"/>
      <c r="P2409" s="100"/>
      <c r="Q2409" s="100"/>
    </row>
    <row r="2410" spans="1:17" s="119" customFormat="1" ht="31.75" customHeight="1">
      <c r="A2410" s="109" t="s">
        <v>7331</v>
      </c>
      <c r="B2410" s="109" t="s">
        <v>7332</v>
      </c>
      <c r="C2410" s="98">
        <v>2010</v>
      </c>
      <c r="D2410" s="99">
        <v>3085</v>
      </c>
      <c r="E2410" s="99">
        <v>6074</v>
      </c>
      <c r="F2410" s="99">
        <v>1906</v>
      </c>
      <c r="G2410" s="99">
        <v>4207</v>
      </c>
      <c r="H2410" s="99">
        <v>1415</v>
      </c>
      <c r="I2410" s="99">
        <v>73</v>
      </c>
      <c r="J2410" s="99">
        <v>96</v>
      </c>
      <c r="K2410" s="99">
        <v>24</v>
      </c>
      <c r="L2410" s="99">
        <v>480</v>
      </c>
      <c r="M2410" s="99">
        <v>447</v>
      </c>
      <c r="N2410" s="99">
        <v>33</v>
      </c>
      <c r="O2410" s="100"/>
      <c r="P2410" s="100"/>
      <c r="Q2410" s="100"/>
    </row>
    <row r="2411" spans="1:17" s="119" customFormat="1" ht="31.75" customHeight="1">
      <c r="A2411" s="109" t="s">
        <v>7331</v>
      </c>
      <c r="B2411" s="109" t="s">
        <v>7332</v>
      </c>
      <c r="C2411" s="98">
        <v>2011</v>
      </c>
      <c r="D2411" s="99">
        <v>3122</v>
      </c>
      <c r="E2411" s="99">
        <v>6292</v>
      </c>
      <c r="F2411" s="99">
        <v>2235</v>
      </c>
      <c r="G2411" s="99">
        <v>3998</v>
      </c>
      <c r="H2411" s="99">
        <v>1469</v>
      </c>
      <c r="I2411" s="99">
        <v>152</v>
      </c>
      <c r="J2411" s="99">
        <v>186</v>
      </c>
      <c r="K2411" s="99">
        <v>34</v>
      </c>
      <c r="L2411" s="99">
        <v>425</v>
      </c>
      <c r="M2411" s="99">
        <v>495</v>
      </c>
      <c r="N2411" s="99">
        <v>-70</v>
      </c>
      <c r="O2411" s="110"/>
      <c r="P2411" s="110"/>
      <c r="Q2411" s="110"/>
    </row>
    <row r="2412" spans="1:17" s="119" customFormat="1" ht="31.75" customHeight="1">
      <c r="A2412" s="109" t="s">
        <v>7331</v>
      </c>
      <c r="B2412" s="109" t="s">
        <v>7332</v>
      </c>
      <c r="C2412" s="111">
        <v>2012</v>
      </c>
      <c r="D2412" s="112">
        <v>3063</v>
      </c>
      <c r="E2412" s="112">
        <v>6378</v>
      </c>
      <c r="F2412" s="112">
        <v>2735</v>
      </c>
      <c r="G2412" s="112">
        <v>3729</v>
      </c>
      <c r="H2412" s="112">
        <v>1571</v>
      </c>
      <c r="I2412" s="112">
        <v>118</v>
      </c>
      <c r="J2412" s="112">
        <v>139</v>
      </c>
      <c r="K2412" s="112">
        <v>21</v>
      </c>
      <c r="L2412" s="112">
        <v>561</v>
      </c>
      <c r="M2412" s="112">
        <v>473</v>
      </c>
      <c r="N2412" s="112">
        <v>88</v>
      </c>
      <c r="O2412" s="110"/>
      <c r="P2412" s="110"/>
      <c r="Q2412" s="110"/>
    </row>
    <row r="2413" spans="1:17" s="119" customFormat="1" ht="31.75" customHeight="1">
      <c r="A2413" s="109" t="s">
        <v>7331</v>
      </c>
      <c r="B2413" s="109" t="s">
        <v>7332</v>
      </c>
      <c r="C2413" s="113">
        <v>2013</v>
      </c>
      <c r="D2413" s="112">
        <v>3090</v>
      </c>
      <c r="E2413" s="112">
        <v>7141</v>
      </c>
      <c r="F2413" s="112">
        <v>2846</v>
      </c>
      <c r="G2413" s="112">
        <v>4363</v>
      </c>
      <c r="H2413" s="112">
        <v>1635</v>
      </c>
      <c r="I2413" s="112">
        <v>121</v>
      </c>
      <c r="J2413" s="112">
        <v>143</v>
      </c>
      <c r="K2413" s="112">
        <v>22</v>
      </c>
      <c r="L2413" s="112">
        <v>735</v>
      </c>
      <c r="M2413" s="112">
        <v>668</v>
      </c>
      <c r="N2413" s="112">
        <v>68</v>
      </c>
      <c r="O2413" s="117"/>
      <c r="P2413" s="117"/>
      <c r="Q2413" s="117"/>
    </row>
    <row r="2414" spans="1:17" s="119" customFormat="1" ht="31.75" customHeight="1">
      <c r="A2414" s="109" t="s">
        <v>7331</v>
      </c>
      <c r="B2414" s="109" t="s">
        <v>7332</v>
      </c>
      <c r="C2414" s="113">
        <v>2014</v>
      </c>
      <c r="D2414" s="99">
        <v>3068</v>
      </c>
      <c r="E2414" s="99">
        <v>7585</v>
      </c>
      <c r="F2414" s="99">
        <v>3002</v>
      </c>
      <c r="G2414" s="99">
        <v>4674</v>
      </c>
      <c r="H2414" s="99">
        <v>1713</v>
      </c>
      <c r="I2414" s="99">
        <v>306</v>
      </c>
      <c r="J2414" s="99">
        <v>331</v>
      </c>
      <c r="K2414" s="99">
        <v>25</v>
      </c>
      <c r="L2414" s="99">
        <v>635</v>
      </c>
      <c r="M2414" s="99">
        <v>579</v>
      </c>
      <c r="N2414" s="99">
        <v>55</v>
      </c>
      <c r="O2414" s="117"/>
      <c r="P2414" s="117"/>
      <c r="Q2414" s="117"/>
    </row>
    <row r="2415" spans="1:17" s="119" customFormat="1" ht="31.75" customHeight="1">
      <c r="A2415" s="109" t="s">
        <v>7331</v>
      </c>
      <c r="B2415" s="109" t="s">
        <v>7332</v>
      </c>
      <c r="C2415" s="113">
        <v>2015</v>
      </c>
      <c r="D2415" s="112">
        <v>3055</v>
      </c>
      <c r="E2415" s="112">
        <v>8291</v>
      </c>
      <c r="F2415" s="112">
        <v>3322</v>
      </c>
      <c r="G2415" s="112">
        <v>4996</v>
      </c>
      <c r="H2415" s="112">
        <v>1945</v>
      </c>
      <c r="I2415" s="112">
        <v>878</v>
      </c>
      <c r="J2415" s="112">
        <v>896</v>
      </c>
      <c r="K2415" s="112">
        <v>18</v>
      </c>
      <c r="L2415" s="112">
        <v>625</v>
      </c>
      <c r="M2415" s="112">
        <v>632</v>
      </c>
      <c r="N2415" s="112">
        <v>-7</v>
      </c>
      <c r="O2415" s="117"/>
      <c r="P2415" s="117"/>
      <c r="Q2415" s="117"/>
    </row>
    <row r="2416" spans="1:17" s="119" customFormat="1" ht="31.75" customHeight="1">
      <c r="A2416" s="109" t="s">
        <v>7331</v>
      </c>
      <c r="B2416" s="109" t="s">
        <v>7332</v>
      </c>
      <c r="C2416" s="113">
        <v>2016</v>
      </c>
      <c r="D2416" s="112">
        <v>3109</v>
      </c>
      <c r="E2416" s="112">
        <v>7906</v>
      </c>
      <c r="F2416" s="112">
        <v>3042</v>
      </c>
      <c r="G2416" s="112">
        <v>4833</v>
      </c>
      <c r="H2416" s="112">
        <v>1779</v>
      </c>
      <c r="I2416" s="112">
        <v>740</v>
      </c>
      <c r="J2416" s="112">
        <v>758</v>
      </c>
      <c r="K2416" s="112">
        <v>18</v>
      </c>
      <c r="L2416" s="112">
        <v>708</v>
      </c>
      <c r="M2416" s="112">
        <v>740</v>
      </c>
      <c r="N2416" s="112">
        <v>-32</v>
      </c>
      <c r="O2416" s="117"/>
      <c r="P2416" s="117"/>
      <c r="Q2416" s="117"/>
    </row>
    <row r="2417" spans="1:17" s="119" customFormat="1" ht="31.75" customHeight="1">
      <c r="A2417" s="109" t="s">
        <v>7331</v>
      </c>
      <c r="B2417" s="109" t="s">
        <v>7332</v>
      </c>
      <c r="C2417" s="113">
        <v>2017</v>
      </c>
      <c r="D2417" s="112">
        <v>3156</v>
      </c>
      <c r="E2417" s="112">
        <v>8107</v>
      </c>
      <c r="F2417" s="112">
        <v>3341</v>
      </c>
      <c r="G2417" s="112">
        <v>4791</v>
      </c>
      <c r="H2417" s="112">
        <v>1846</v>
      </c>
      <c r="I2417" s="112">
        <v>247</v>
      </c>
      <c r="J2417" s="112">
        <v>261</v>
      </c>
      <c r="K2417" s="112">
        <v>14</v>
      </c>
      <c r="L2417" s="112">
        <v>632</v>
      </c>
      <c r="M2417" s="112">
        <v>615</v>
      </c>
      <c r="N2417" s="112">
        <v>17</v>
      </c>
      <c r="O2417" s="110"/>
      <c r="P2417" s="110"/>
      <c r="Q2417" s="110"/>
    </row>
    <row r="2418" spans="1:17" s="119" customFormat="1" ht="31.75" customHeight="1">
      <c r="A2418" s="109" t="s">
        <v>7331</v>
      </c>
      <c r="B2418" s="109" t="s">
        <v>7332</v>
      </c>
      <c r="C2418" s="113">
        <v>2018</v>
      </c>
      <c r="D2418" s="112">
        <v>3166</v>
      </c>
      <c r="E2418" s="112">
        <v>8504</v>
      </c>
      <c r="F2418" s="112">
        <v>3100</v>
      </c>
      <c r="G2418" s="112">
        <v>5514</v>
      </c>
      <c r="H2418" s="112">
        <v>1928</v>
      </c>
      <c r="I2418" s="112">
        <v>163</v>
      </c>
      <c r="J2418" s="112" t="s">
        <v>6953</v>
      </c>
      <c r="K2418" s="112" t="s">
        <v>6953</v>
      </c>
      <c r="L2418" s="112">
        <v>732</v>
      </c>
      <c r="M2418" s="112">
        <v>614</v>
      </c>
      <c r="N2418" s="112">
        <v>118</v>
      </c>
      <c r="O2418" s="110"/>
      <c r="P2418" s="110"/>
      <c r="Q2418" s="110"/>
    </row>
    <row r="2419" spans="1:17" s="119" customFormat="1" ht="31.75" customHeight="1">
      <c r="A2419" s="109" t="s">
        <v>7331</v>
      </c>
      <c r="B2419" s="109" t="s">
        <v>7332</v>
      </c>
      <c r="C2419" s="113">
        <v>2019</v>
      </c>
      <c r="D2419" s="112">
        <v>3269</v>
      </c>
      <c r="E2419" s="112">
        <v>7835.7288449999996</v>
      </c>
      <c r="F2419" s="112">
        <v>3087.9748049999998</v>
      </c>
      <c r="G2419" s="112">
        <v>4811.3129559999998</v>
      </c>
      <c r="H2419" s="112">
        <v>1933.750906</v>
      </c>
      <c r="I2419" s="112">
        <v>294.02057400000001</v>
      </c>
      <c r="J2419" s="112">
        <v>326.73655600000001</v>
      </c>
      <c r="K2419" s="112">
        <v>32.715981999999997</v>
      </c>
      <c r="L2419" s="112">
        <v>680.91667900000004</v>
      </c>
      <c r="M2419" s="112">
        <v>666.99019099999998</v>
      </c>
      <c r="N2419" s="112">
        <v>13.926488000000001</v>
      </c>
      <c r="O2419" s="100"/>
      <c r="P2419" s="100"/>
      <c r="Q2419" s="100"/>
    </row>
    <row r="2420" spans="1:17" s="119" customFormat="1" ht="31.75" customHeight="1">
      <c r="A2420" s="114" t="s">
        <v>7331</v>
      </c>
      <c r="B2420" s="114" t="s">
        <v>7332</v>
      </c>
      <c r="C2420" s="113">
        <v>2020</v>
      </c>
      <c r="D2420" s="112">
        <v>3254</v>
      </c>
      <c r="E2420" s="112">
        <v>7722.4529130000001</v>
      </c>
      <c r="F2420" s="112">
        <v>3151.7320540000001</v>
      </c>
      <c r="G2420" s="112">
        <v>4590.942814</v>
      </c>
      <c r="H2420" s="112">
        <v>1840.432341</v>
      </c>
      <c r="I2420" s="112">
        <v>282.55341900000002</v>
      </c>
      <c r="J2420" s="112">
        <v>324.252115</v>
      </c>
      <c r="K2420" s="112">
        <v>41.698697000000003</v>
      </c>
      <c r="L2420" s="112">
        <v>689.64353800000004</v>
      </c>
      <c r="M2420" s="112">
        <v>699.93581700000004</v>
      </c>
      <c r="N2420" s="112">
        <v>-10.292279000000001</v>
      </c>
      <c r="O2420" s="110"/>
      <c r="P2420" s="110"/>
      <c r="Q2420" s="110"/>
    </row>
    <row r="2421" spans="1:17" s="119" customFormat="1" ht="17.5" customHeight="1">
      <c r="A2421" s="109" t="s">
        <v>7333</v>
      </c>
      <c r="B2421" s="109" t="s">
        <v>7334</v>
      </c>
      <c r="C2421" s="98">
        <v>2008</v>
      </c>
      <c r="D2421" s="99">
        <v>1263</v>
      </c>
      <c r="E2421" s="99">
        <v>1853</v>
      </c>
      <c r="F2421" s="99">
        <v>794</v>
      </c>
      <c r="G2421" s="99">
        <v>1062</v>
      </c>
      <c r="H2421" s="99">
        <v>436</v>
      </c>
      <c r="I2421" s="99">
        <v>20</v>
      </c>
      <c r="J2421" s="99">
        <v>33</v>
      </c>
      <c r="K2421" s="99">
        <v>13</v>
      </c>
      <c r="L2421" s="99">
        <v>117</v>
      </c>
      <c r="M2421" s="99">
        <v>111</v>
      </c>
      <c r="N2421" s="99">
        <v>6</v>
      </c>
      <c r="O2421" s="100"/>
      <c r="P2421" s="100"/>
      <c r="Q2421" s="100"/>
    </row>
    <row r="2422" spans="1:17" s="119" customFormat="1" ht="17.5" customHeight="1">
      <c r="A2422" s="109" t="s">
        <v>7333</v>
      </c>
      <c r="B2422" s="109" t="s">
        <v>7334</v>
      </c>
      <c r="C2422" s="98">
        <v>2009</v>
      </c>
      <c r="D2422" s="99">
        <v>1268</v>
      </c>
      <c r="E2422" s="99">
        <v>1778</v>
      </c>
      <c r="F2422" s="99">
        <v>670</v>
      </c>
      <c r="G2422" s="99">
        <v>1112</v>
      </c>
      <c r="H2422" s="99">
        <v>427</v>
      </c>
      <c r="I2422" s="99">
        <v>19</v>
      </c>
      <c r="J2422" s="99">
        <v>25</v>
      </c>
      <c r="K2422" s="99">
        <v>6</v>
      </c>
      <c r="L2422" s="99">
        <v>100</v>
      </c>
      <c r="M2422" s="99">
        <v>95</v>
      </c>
      <c r="N2422" s="99">
        <v>4</v>
      </c>
      <c r="O2422" s="100"/>
      <c r="P2422" s="100"/>
      <c r="Q2422" s="100"/>
    </row>
    <row r="2423" spans="1:17" s="119" customFormat="1" ht="17.5" customHeight="1">
      <c r="A2423" s="109" t="s">
        <v>7333</v>
      </c>
      <c r="B2423" s="109" t="s">
        <v>7334</v>
      </c>
      <c r="C2423" s="98">
        <v>2010</v>
      </c>
      <c r="D2423" s="99">
        <v>1217</v>
      </c>
      <c r="E2423" s="99">
        <v>1570</v>
      </c>
      <c r="F2423" s="99">
        <v>525</v>
      </c>
      <c r="G2423" s="99">
        <v>1056</v>
      </c>
      <c r="H2423" s="99">
        <v>418</v>
      </c>
      <c r="I2423" s="99">
        <v>14</v>
      </c>
      <c r="J2423" s="99">
        <v>19</v>
      </c>
      <c r="K2423" s="99">
        <v>5</v>
      </c>
      <c r="L2423" s="99">
        <v>104</v>
      </c>
      <c r="M2423" s="99">
        <v>93</v>
      </c>
      <c r="N2423" s="99">
        <v>11</v>
      </c>
      <c r="O2423" s="110"/>
      <c r="P2423" s="110"/>
      <c r="Q2423" s="110"/>
    </row>
    <row r="2424" spans="1:17" s="119" customFormat="1" ht="17.5" customHeight="1">
      <c r="A2424" s="109" t="s">
        <v>7333</v>
      </c>
      <c r="B2424" s="109" t="s">
        <v>7334</v>
      </c>
      <c r="C2424" s="98">
        <v>2011</v>
      </c>
      <c r="D2424" s="99">
        <v>1188</v>
      </c>
      <c r="E2424" s="99">
        <v>1553</v>
      </c>
      <c r="F2424" s="99">
        <v>559</v>
      </c>
      <c r="G2424" s="99">
        <v>1002</v>
      </c>
      <c r="H2424" s="99">
        <v>376</v>
      </c>
      <c r="I2424" s="99">
        <v>19</v>
      </c>
      <c r="J2424" s="99">
        <v>22</v>
      </c>
      <c r="K2424" s="99">
        <v>4</v>
      </c>
      <c r="L2424" s="99">
        <v>134</v>
      </c>
      <c r="M2424" s="99">
        <v>126</v>
      </c>
      <c r="N2424" s="99">
        <v>8</v>
      </c>
      <c r="O2424" s="110"/>
      <c r="P2424" s="110"/>
      <c r="Q2424" s="110"/>
    </row>
    <row r="2425" spans="1:17" s="119" customFormat="1" ht="17.5" customHeight="1">
      <c r="A2425" s="109" t="s">
        <v>7333</v>
      </c>
      <c r="B2425" s="109" t="s">
        <v>7334</v>
      </c>
      <c r="C2425" s="111">
        <v>2012</v>
      </c>
      <c r="D2425" s="112">
        <v>1143</v>
      </c>
      <c r="E2425" s="112">
        <v>1802</v>
      </c>
      <c r="F2425" s="112">
        <v>515</v>
      </c>
      <c r="G2425" s="112">
        <v>1287</v>
      </c>
      <c r="H2425" s="112">
        <v>407</v>
      </c>
      <c r="I2425" s="112">
        <v>26</v>
      </c>
      <c r="J2425" s="112">
        <v>34</v>
      </c>
      <c r="K2425" s="112">
        <v>8</v>
      </c>
      <c r="L2425" s="112">
        <v>146</v>
      </c>
      <c r="M2425" s="112">
        <v>146</v>
      </c>
      <c r="N2425" s="112" t="s">
        <v>6952</v>
      </c>
      <c r="O2425" s="117"/>
      <c r="P2425" s="117"/>
      <c r="Q2425" s="117"/>
    </row>
    <row r="2426" spans="1:17" s="119" customFormat="1" ht="17.5" customHeight="1">
      <c r="A2426" s="109" t="s">
        <v>7333</v>
      </c>
      <c r="B2426" s="109" t="s">
        <v>7334</v>
      </c>
      <c r="C2426" s="113">
        <v>2013</v>
      </c>
      <c r="D2426" s="112">
        <v>1159</v>
      </c>
      <c r="E2426" s="112">
        <v>1820</v>
      </c>
      <c r="F2426" s="112">
        <v>621</v>
      </c>
      <c r="G2426" s="112">
        <v>1210</v>
      </c>
      <c r="H2426" s="112">
        <v>367</v>
      </c>
      <c r="I2426" s="112">
        <v>12</v>
      </c>
      <c r="J2426" s="112">
        <v>15</v>
      </c>
      <c r="K2426" s="112">
        <v>4</v>
      </c>
      <c r="L2426" s="112">
        <v>220</v>
      </c>
      <c r="M2426" s="112">
        <v>208</v>
      </c>
      <c r="N2426" s="112">
        <v>12</v>
      </c>
      <c r="O2426" s="117"/>
      <c r="P2426" s="117"/>
      <c r="Q2426" s="117"/>
    </row>
    <row r="2427" spans="1:17" s="119" customFormat="1" ht="17.5" customHeight="1">
      <c r="A2427" s="109" t="s">
        <v>7333</v>
      </c>
      <c r="B2427" s="109" t="s">
        <v>7334</v>
      </c>
      <c r="C2427" s="113">
        <v>2014</v>
      </c>
      <c r="D2427" s="99">
        <v>1143</v>
      </c>
      <c r="E2427" s="99">
        <v>1931</v>
      </c>
      <c r="F2427" s="99">
        <v>810</v>
      </c>
      <c r="G2427" s="99">
        <v>1119</v>
      </c>
      <c r="H2427" s="99">
        <v>409</v>
      </c>
      <c r="I2427" s="99">
        <v>61</v>
      </c>
      <c r="J2427" s="99">
        <v>64</v>
      </c>
      <c r="K2427" s="99">
        <v>3</v>
      </c>
      <c r="L2427" s="99">
        <v>120</v>
      </c>
      <c r="M2427" s="99">
        <v>122</v>
      </c>
      <c r="N2427" s="99">
        <v>-2</v>
      </c>
      <c r="O2427" s="117"/>
      <c r="P2427" s="117"/>
      <c r="Q2427" s="117"/>
    </row>
    <row r="2428" spans="1:17" s="119" customFormat="1" ht="17.5" customHeight="1">
      <c r="A2428" s="109" t="s">
        <v>7333</v>
      </c>
      <c r="B2428" s="109" t="s">
        <v>7334</v>
      </c>
      <c r="C2428" s="113">
        <v>2015</v>
      </c>
      <c r="D2428" s="112">
        <v>1217</v>
      </c>
      <c r="E2428" s="112">
        <v>2042</v>
      </c>
      <c r="F2428" s="112">
        <v>814</v>
      </c>
      <c r="G2428" s="112">
        <v>1231</v>
      </c>
      <c r="H2428" s="112">
        <v>425</v>
      </c>
      <c r="I2428" s="112">
        <v>63</v>
      </c>
      <c r="J2428" s="112">
        <v>64</v>
      </c>
      <c r="K2428" s="112">
        <v>1</v>
      </c>
      <c r="L2428" s="112">
        <v>117</v>
      </c>
      <c r="M2428" s="112">
        <v>113</v>
      </c>
      <c r="N2428" s="112">
        <v>4</v>
      </c>
      <c r="O2428" s="117"/>
      <c r="P2428" s="117"/>
      <c r="Q2428" s="117"/>
    </row>
    <row r="2429" spans="1:17" s="119" customFormat="1" ht="17.5" customHeight="1">
      <c r="A2429" s="109" t="s">
        <v>7333</v>
      </c>
      <c r="B2429" s="109" t="s">
        <v>7334</v>
      </c>
      <c r="C2429" s="113">
        <v>2016</v>
      </c>
      <c r="D2429" s="112">
        <v>1302</v>
      </c>
      <c r="E2429" s="112">
        <v>2257</v>
      </c>
      <c r="F2429" s="112">
        <v>980</v>
      </c>
      <c r="G2429" s="112">
        <v>1295</v>
      </c>
      <c r="H2429" s="112">
        <v>483</v>
      </c>
      <c r="I2429" s="112">
        <v>101</v>
      </c>
      <c r="J2429" s="112">
        <v>107</v>
      </c>
      <c r="K2429" s="112">
        <v>6</v>
      </c>
      <c r="L2429" s="112">
        <v>160</v>
      </c>
      <c r="M2429" s="112">
        <v>141</v>
      </c>
      <c r="N2429" s="112">
        <v>19</v>
      </c>
      <c r="O2429" s="110"/>
      <c r="P2429" s="110"/>
      <c r="Q2429" s="110"/>
    </row>
    <row r="2430" spans="1:17" s="119" customFormat="1" ht="17.5" customHeight="1">
      <c r="A2430" s="109" t="s">
        <v>7333</v>
      </c>
      <c r="B2430" s="109" t="s">
        <v>7334</v>
      </c>
      <c r="C2430" s="113">
        <v>2017</v>
      </c>
      <c r="D2430" s="112">
        <v>1407</v>
      </c>
      <c r="E2430" s="112">
        <v>2274</v>
      </c>
      <c r="F2430" s="112">
        <v>935</v>
      </c>
      <c r="G2430" s="112">
        <v>1361</v>
      </c>
      <c r="H2430" s="112">
        <v>503</v>
      </c>
      <c r="I2430" s="112">
        <v>104</v>
      </c>
      <c r="J2430" s="112">
        <v>108</v>
      </c>
      <c r="K2430" s="112">
        <v>4</v>
      </c>
      <c r="L2430" s="112">
        <v>169</v>
      </c>
      <c r="M2430" s="112">
        <v>148</v>
      </c>
      <c r="N2430" s="112">
        <v>22</v>
      </c>
      <c r="O2430" s="110"/>
      <c r="P2430" s="110"/>
      <c r="Q2430" s="110"/>
    </row>
    <row r="2431" spans="1:17" s="119" customFormat="1" ht="17.5" customHeight="1">
      <c r="A2431" s="109" t="s">
        <v>7333</v>
      </c>
      <c r="B2431" s="109" t="s">
        <v>7334</v>
      </c>
      <c r="C2431" s="113">
        <v>2018</v>
      </c>
      <c r="D2431" s="112">
        <v>1368</v>
      </c>
      <c r="E2431" s="112">
        <v>2389</v>
      </c>
      <c r="F2431" s="112">
        <v>1020</v>
      </c>
      <c r="G2431" s="112">
        <v>1392</v>
      </c>
      <c r="H2431" s="112">
        <v>511</v>
      </c>
      <c r="I2431" s="112">
        <v>73</v>
      </c>
      <c r="J2431" s="112">
        <v>80</v>
      </c>
      <c r="K2431" s="112">
        <v>7</v>
      </c>
      <c r="L2431" s="112">
        <v>214</v>
      </c>
      <c r="M2431" s="112">
        <v>194</v>
      </c>
      <c r="N2431" s="112">
        <v>20</v>
      </c>
      <c r="O2431" s="100"/>
      <c r="P2431" s="100"/>
      <c r="Q2431" s="100"/>
    </row>
    <row r="2432" spans="1:17" s="119" customFormat="1" ht="17.5" customHeight="1">
      <c r="A2432" s="109" t="s">
        <v>7333</v>
      </c>
      <c r="B2432" s="109" t="s">
        <v>7334</v>
      </c>
      <c r="C2432" s="113">
        <v>2019</v>
      </c>
      <c r="D2432" s="112">
        <v>1340</v>
      </c>
      <c r="E2432" s="112">
        <v>2634.3798190000002</v>
      </c>
      <c r="F2432" s="112">
        <v>1074.045619</v>
      </c>
      <c r="G2432" s="112">
        <v>1566.2760659999999</v>
      </c>
      <c r="H2432" s="112">
        <v>624.90123900000003</v>
      </c>
      <c r="I2432" s="112">
        <v>63.901795999999997</v>
      </c>
      <c r="J2432" s="112">
        <v>70.423732999999999</v>
      </c>
      <c r="K2432" s="112">
        <v>6.5219370000000003</v>
      </c>
      <c r="L2432" s="112">
        <v>206.25235499999999</v>
      </c>
      <c r="M2432" s="112">
        <v>204.52991299999999</v>
      </c>
      <c r="N2432" s="112">
        <v>1.722442</v>
      </c>
      <c r="O2432" s="110"/>
      <c r="P2432" s="110"/>
      <c r="Q2432" s="110"/>
    </row>
    <row r="2433" spans="1:17" s="119" customFormat="1" ht="17.5" customHeight="1">
      <c r="A2433" s="114" t="s">
        <v>7333</v>
      </c>
      <c r="B2433" s="114" t="s">
        <v>7334</v>
      </c>
      <c r="C2433" s="113">
        <v>2020</v>
      </c>
      <c r="D2433" s="112">
        <v>1367</v>
      </c>
      <c r="E2433" s="112">
        <v>2334.2187990000002</v>
      </c>
      <c r="F2433" s="112">
        <v>854.09219299999995</v>
      </c>
      <c r="G2433" s="112">
        <v>1494.0724540000001</v>
      </c>
      <c r="H2433" s="112">
        <v>498.63579700000003</v>
      </c>
      <c r="I2433" s="112">
        <v>30.153618000000002</v>
      </c>
      <c r="J2433" s="112">
        <v>34.384667</v>
      </c>
      <c r="K2433" s="112">
        <v>4.2310489999999996</v>
      </c>
      <c r="L2433" s="112">
        <v>187.181569</v>
      </c>
      <c r="M2433" s="112">
        <v>174.63359399999999</v>
      </c>
      <c r="N2433" s="112">
        <v>12.547974999999999</v>
      </c>
      <c r="O2433" s="100"/>
      <c r="P2433" s="100"/>
      <c r="Q2433" s="100"/>
    </row>
    <row r="2434" spans="1:17" s="119" customFormat="1" ht="31.75" customHeight="1">
      <c r="A2434" s="109" t="s">
        <v>7335</v>
      </c>
      <c r="B2434" s="109" t="s">
        <v>7336</v>
      </c>
      <c r="C2434" s="98">
        <v>2008</v>
      </c>
      <c r="D2434" s="99">
        <v>381</v>
      </c>
      <c r="E2434" s="99">
        <v>1530</v>
      </c>
      <c r="F2434" s="99">
        <v>557</v>
      </c>
      <c r="G2434" s="99">
        <v>977</v>
      </c>
      <c r="H2434" s="99">
        <v>350</v>
      </c>
      <c r="I2434" s="99">
        <v>30</v>
      </c>
      <c r="J2434" s="99">
        <v>47</v>
      </c>
      <c r="K2434" s="99">
        <v>18</v>
      </c>
      <c r="L2434" s="99">
        <v>140</v>
      </c>
      <c r="M2434" s="99">
        <v>135</v>
      </c>
      <c r="N2434" s="99">
        <v>4</v>
      </c>
      <c r="O2434" s="100"/>
      <c r="P2434" s="100"/>
      <c r="Q2434" s="100"/>
    </row>
    <row r="2435" spans="1:17" s="119" customFormat="1" ht="31.75" customHeight="1">
      <c r="A2435" s="109" t="s">
        <v>7335</v>
      </c>
      <c r="B2435" s="109" t="s">
        <v>7336</v>
      </c>
      <c r="C2435" s="98">
        <v>2009</v>
      </c>
      <c r="D2435" s="99">
        <v>351</v>
      </c>
      <c r="E2435" s="99">
        <v>1641</v>
      </c>
      <c r="F2435" s="99">
        <v>611</v>
      </c>
      <c r="G2435" s="99">
        <v>1014</v>
      </c>
      <c r="H2435" s="99">
        <v>327</v>
      </c>
      <c r="I2435" s="99">
        <v>44</v>
      </c>
      <c r="J2435" s="99">
        <v>51</v>
      </c>
      <c r="K2435" s="99">
        <v>6</v>
      </c>
      <c r="L2435" s="99">
        <v>150</v>
      </c>
      <c r="M2435" s="99">
        <v>188</v>
      </c>
      <c r="N2435" s="99">
        <v>-38</v>
      </c>
      <c r="O2435" s="110"/>
      <c r="P2435" s="110"/>
      <c r="Q2435" s="110"/>
    </row>
    <row r="2436" spans="1:17" s="119" customFormat="1" ht="31.75" customHeight="1">
      <c r="A2436" s="109" t="s">
        <v>7335</v>
      </c>
      <c r="B2436" s="109" t="s">
        <v>7336</v>
      </c>
      <c r="C2436" s="98">
        <v>2010</v>
      </c>
      <c r="D2436" s="99">
        <v>311</v>
      </c>
      <c r="E2436" s="99">
        <v>1567</v>
      </c>
      <c r="F2436" s="99">
        <v>526</v>
      </c>
      <c r="G2436" s="99">
        <v>1057</v>
      </c>
      <c r="H2436" s="99">
        <v>269</v>
      </c>
      <c r="I2436" s="99">
        <v>44</v>
      </c>
      <c r="J2436" s="99">
        <v>56</v>
      </c>
      <c r="K2436" s="99">
        <v>13</v>
      </c>
      <c r="L2436" s="99">
        <v>156</v>
      </c>
      <c r="M2436" s="99">
        <v>164</v>
      </c>
      <c r="N2436" s="99">
        <v>-7</v>
      </c>
      <c r="O2436" s="110"/>
      <c r="P2436" s="110"/>
      <c r="Q2436" s="110"/>
    </row>
    <row r="2437" spans="1:17" s="119" customFormat="1" ht="31.75" customHeight="1">
      <c r="A2437" s="109" t="s">
        <v>7335</v>
      </c>
      <c r="B2437" s="109" t="s">
        <v>7336</v>
      </c>
      <c r="C2437" s="98">
        <v>2011</v>
      </c>
      <c r="D2437" s="99">
        <v>298</v>
      </c>
      <c r="E2437" s="99">
        <v>1458</v>
      </c>
      <c r="F2437" s="99">
        <v>490</v>
      </c>
      <c r="G2437" s="99">
        <v>986</v>
      </c>
      <c r="H2437" s="99">
        <v>240</v>
      </c>
      <c r="I2437" s="99">
        <v>25</v>
      </c>
      <c r="J2437" s="99">
        <v>28</v>
      </c>
      <c r="K2437" s="99">
        <v>3</v>
      </c>
      <c r="L2437" s="99">
        <v>154</v>
      </c>
      <c r="M2437" s="99">
        <v>136</v>
      </c>
      <c r="N2437" s="99">
        <v>18</v>
      </c>
      <c r="O2437" s="117"/>
      <c r="P2437" s="117"/>
      <c r="Q2437" s="117"/>
    </row>
    <row r="2438" spans="1:17" s="119" customFormat="1" ht="31.75" customHeight="1">
      <c r="A2438" s="109" t="s">
        <v>7335</v>
      </c>
      <c r="B2438" s="109" t="s">
        <v>7336</v>
      </c>
      <c r="C2438" s="111">
        <v>2012</v>
      </c>
      <c r="D2438" s="112">
        <v>285</v>
      </c>
      <c r="E2438" s="112">
        <v>1531</v>
      </c>
      <c r="F2438" s="112">
        <v>527</v>
      </c>
      <c r="G2438" s="112">
        <v>981</v>
      </c>
      <c r="H2438" s="112">
        <v>317</v>
      </c>
      <c r="I2438" s="112">
        <v>23</v>
      </c>
      <c r="J2438" s="112">
        <v>26</v>
      </c>
      <c r="K2438" s="112">
        <v>3</v>
      </c>
      <c r="L2438" s="112">
        <v>152</v>
      </c>
      <c r="M2438" s="112">
        <v>177</v>
      </c>
      <c r="N2438" s="112">
        <v>-24</v>
      </c>
      <c r="O2438" s="117"/>
      <c r="P2438" s="117"/>
      <c r="Q2438" s="117"/>
    </row>
    <row r="2439" spans="1:17" s="119" customFormat="1" ht="31.75" customHeight="1">
      <c r="A2439" s="109" t="s">
        <v>7335</v>
      </c>
      <c r="B2439" s="109" t="s">
        <v>7336</v>
      </c>
      <c r="C2439" s="113">
        <v>2013</v>
      </c>
      <c r="D2439" s="112">
        <v>268</v>
      </c>
      <c r="E2439" s="112">
        <v>1803</v>
      </c>
      <c r="F2439" s="112">
        <v>631</v>
      </c>
      <c r="G2439" s="112">
        <v>1188</v>
      </c>
      <c r="H2439" s="112">
        <v>300</v>
      </c>
      <c r="I2439" s="112">
        <v>18</v>
      </c>
      <c r="J2439" s="112">
        <v>23</v>
      </c>
      <c r="K2439" s="112">
        <v>5</v>
      </c>
      <c r="L2439" s="112">
        <v>186</v>
      </c>
      <c r="M2439" s="112">
        <v>170</v>
      </c>
      <c r="N2439" s="112">
        <v>16</v>
      </c>
      <c r="O2439" s="117"/>
      <c r="P2439" s="117"/>
      <c r="Q2439" s="117"/>
    </row>
    <row r="2440" spans="1:17" s="119" customFormat="1" ht="31.75" customHeight="1">
      <c r="A2440" s="109" t="s">
        <v>7335</v>
      </c>
      <c r="B2440" s="109" t="s">
        <v>7336</v>
      </c>
      <c r="C2440" s="113">
        <v>2014</v>
      </c>
      <c r="D2440" s="99">
        <v>266</v>
      </c>
      <c r="E2440" s="99">
        <v>1857</v>
      </c>
      <c r="F2440" s="99">
        <v>689</v>
      </c>
      <c r="G2440" s="99">
        <v>1167</v>
      </c>
      <c r="H2440" s="99">
        <v>319</v>
      </c>
      <c r="I2440" s="99">
        <v>32</v>
      </c>
      <c r="J2440" s="99">
        <v>35</v>
      </c>
      <c r="K2440" s="99">
        <v>4</v>
      </c>
      <c r="L2440" s="99">
        <v>169</v>
      </c>
      <c r="M2440" s="99">
        <v>170</v>
      </c>
      <c r="N2440" s="99">
        <v>-1</v>
      </c>
      <c r="O2440" s="117"/>
      <c r="P2440" s="117"/>
      <c r="Q2440" s="117"/>
    </row>
    <row r="2441" spans="1:17" s="119" customFormat="1" ht="31.75" customHeight="1">
      <c r="A2441" s="109" t="s">
        <v>7335</v>
      </c>
      <c r="B2441" s="109" t="s">
        <v>7336</v>
      </c>
      <c r="C2441" s="113">
        <v>2015</v>
      </c>
      <c r="D2441" s="112">
        <v>279</v>
      </c>
      <c r="E2441" s="112">
        <v>2048</v>
      </c>
      <c r="F2441" s="112">
        <v>784</v>
      </c>
      <c r="G2441" s="112">
        <v>1271</v>
      </c>
      <c r="H2441" s="112">
        <v>308</v>
      </c>
      <c r="I2441" s="112">
        <v>65</v>
      </c>
      <c r="J2441" s="112">
        <v>69</v>
      </c>
      <c r="K2441" s="112">
        <v>3</v>
      </c>
      <c r="L2441" s="112">
        <v>165</v>
      </c>
      <c r="M2441" s="112">
        <v>158</v>
      </c>
      <c r="N2441" s="112">
        <v>7</v>
      </c>
      <c r="O2441" s="110"/>
      <c r="P2441" s="110"/>
      <c r="Q2441" s="110"/>
    </row>
    <row r="2442" spans="1:17" s="119" customFormat="1" ht="31.75" customHeight="1">
      <c r="A2442" s="109" t="s">
        <v>7335</v>
      </c>
      <c r="B2442" s="109" t="s">
        <v>7336</v>
      </c>
      <c r="C2442" s="113">
        <v>2016</v>
      </c>
      <c r="D2442" s="112">
        <v>286</v>
      </c>
      <c r="E2442" s="112">
        <v>1864</v>
      </c>
      <c r="F2442" s="112">
        <v>754</v>
      </c>
      <c r="G2442" s="112">
        <v>1125</v>
      </c>
      <c r="H2442" s="112">
        <v>318</v>
      </c>
      <c r="I2442" s="112">
        <v>35</v>
      </c>
      <c r="J2442" s="112">
        <v>38</v>
      </c>
      <c r="K2442" s="112">
        <v>3</v>
      </c>
      <c r="L2442" s="112">
        <v>167</v>
      </c>
      <c r="M2442" s="112">
        <v>153</v>
      </c>
      <c r="N2442" s="112">
        <v>14</v>
      </c>
      <c r="O2442" s="110"/>
      <c r="P2442" s="110"/>
      <c r="Q2442" s="110"/>
    </row>
    <row r="2443" spans="1:17" s="119" customFormat="1" ht="31.75" customHeight="1">
      <c r="A2443" s="109" t="s">
        <v>7335</v>
      </c>
      <c r="B2443" s="109" t="s">
        <v>7336</v>
      </c>
      <c r="C2443" s="113">
        <v>2017</v>
      </c>
      <c r="D2443" s="112">
        <v>266</v>
      </c>
      <c r="E2443" s="112">
        <v>2018</v>
      </c>
      <c r="F2443" s="112">
        <v>802</v>
      </c>
      <c r="G2443" s="112">
        <v>1229</v>
      </c>
      <c r="H2443" s="112">
        <v>300</v>
      </c>
      <c r="I2443" s="112">
        <v>32</v>
      </c>
      <c r="J2443" s="112">
        <v>42</v>
      </c>
      <c r="K2443" s="112">
        <v>10</v>
      </c>
      <c r="L2443" s="112">
        <v>190</v>
      </c>
      <c r="M2443" s="112">
        <v>178</v>
      </c>
      <c r="N2443" s="112">
        <v>12</v>
      </c>
      <c r="O2443" s="100"/>
      <c r="P2443" s="100"/>
      <c r="Q2443" s="100"/>
    </row>
    <row r="2444" spans="1:17" s="119" customFormat="1" ht="31.75" customHeight="1">
      <c r="A2444" s="109" t="s">
        <v>7335</v>
      </c>
      <c r="B2444" s="109" t="s">
        <v>7336</v>
      </c>
      <c r="C2444" s="113">
        <v>2018</v>
      </c>
      <c r="D2444" s="112">
        <v>260</v>
      </c>
      <c r="E2444" s="112">
        <v>2089</v>
      </c>
      <c r="F2444" s="112">
        <v>895</v>
      </c>
      <c r="G2444" s="112">
        <v>1218</v>
      </c>
      <c r="H2444" s="112">
        <v>302</v>
      </c>
      <c r="I2444" s="112">
        <v>37</v>
      </c>
      <c r="J2444" s="112">
        <v>48</v>
      </c>
      <c r="K2444" s="112">
        <v>11</v>
      </c>
      <c r="L2444" s="112">
        <v>220</v>
      </c>
      <c r="M2444" s="112">
        <v>195</v>
      </c>
      <c r="N2444" s="112">
        <v>24</v>
      </c>
      <c r="O2444" s="110"/>
      <c r="P2444" s="110"/>
      <c r="Q2444" s="110"/>
    </row>
    <row r="2445" spans="1:17" s="119" customFormat="1" ht="31.75" customHeight="1">
      <c r="A2445" s="109" t="s">
        <v>7335</v>
      </c>
      <c r="B2445" s="109" t="s">
        <v>7336</v>
      </c>
      <c r="C2445" s="113">
        <v>2019</v>
      </c>
      <c r="D2445" s="112">
        <v>240</v>
      </c>
      <c r="E2445" s="112">
        <v>1964.3414849999999</v>
      </c>
      <c r="F2445" s="112">
        <v>678.55305999999996</v>
      </c>
      <c r="G2445" s="112">
        <v>1309.2752620000001</v>
      </c>
      <c r="H2445" s="112">
        <v>321.70289500000001</v>
      </c>
      <c r="I2445" s="112">
        <v>47.227915000000003</v>
      </c>
      <c r="J2445" s="112">
        <v>51.649223999999997</v>
      </c>
      <c r="K2445" s="112">
        <v>4.4213089999999999</v>
      </c>
      <c r="L2445" s="112">
        <v>214.154076</v>
      </c>
      <c r="M2445" s="112">
        <v>190.09895599999999</v>
      </c>
      <c r="N2445" s="112">
        <v>24.055119999999999</v>
      </c>
      <c r="O2445" s="100"/>
      <c r="P2445" s="100"/>
      <c r="Q2445" s="100"/>
    </row>
    <row r="2446" spans="1:17" s="119" customFormat="1" ht="31.75" customHeight="1">
      <c r="A2446" s="114" t="s">
        <v>7335</v>
      </c>
      <c r="B2446" s="114" t="s">
        <v>7336</v>
      </c>
      <c r="C2446" s="113">
        <v>2020</v>
      </c>
      <c r="D2446" s="112">
        <v>248</v>
      </c>
      <c r="E2446" s="112">
        <v>1867.0514969999999</v>
      </c>
      <c r="F2446" s="112">
        <v>685.95406500000001</v>
      </c>
      <c r="G2446" s="112">
        <v>1193.165227</v>
      </c>
      <c r="H2446" s="112">
        <v>330.41137199999997</v>
      </c>
      <c r="I2446" s="112">
        <v>40.43318</v>
      </c>
      <c r="J2446" s="112">
        <v>44.846919999999997</v>
      </c>
      <c r="K2446" s="112">
        <v>4.4137399999999998</v>
      </c>
      <c r="L2446" s="112">
        <v>213.84571199999999</v>
      </c>
      <c r="M2446" s="112">
        <v>207.49254300000001</v>
      </c>
      <c r="N2446" s="112">
        <v>6.3531690000000003</v>
      </c>
      <c r="O2446" s="100"/>
      <c r="P2446" s="100"/>
      <c r="Q2446" s="100"/>
    </row>
    <row r="2447" spans="1:17" s="119" customFormat="1" ht="31.75" customHeight="1">
      <c r="A2447" s="109" t="s">
        <v>7337</v>
      </c>
      <c r="B2447" s="109" t="s">
        <v>7338</v>
      </c>
      <c r="C2447" s="98">
        <v>2008</v>
      </c>
      <c r="D2447" s="99">
        <v>190</v>
      </c>
      <c r="E2447" s="99">
        <v>841</v>
      </c>
      <c r="F2447" s="99">
        <v>285</v>
      </c>
      <c r="G2447" s="99">
        <v>562</v>
      </c>
      <c r="H2447" s="99">
        <v>159</v>
      </c>
      <c r="I2447" s="99">
        <v>29</v>
      </c>
      <c r="J2447" s="99">
        <v>36</v>
      </c>
      <c r="K2447" s="99">
        <v>7</v>
      </c>
      <c r="L2447" s="99">
        <v>96</v>
      </c>
      <c r="M2447" s="99">
        <v>89</v>
      </c>
      <c r="N2447" s="99">
        <v>6</v>
      </c>
      <c r="O2447" s="110"/>
      <c r="P2447" s="110"/>
      <c r="Q2447" s="110"/>
    </row>
    <row r="2448" spans="1:17" s="119" customFormat="1" ht="31.75" customHeight="1">
      <c r="A2448" s="109" t="s">
        <v>7337</v>
      </c>
      <c r="B2448" s="109" t="s">
        <v>7338</v>
      </c>
      <c r="C2448" s="98">
        <v>2009</v>
      </c>
      <c r="D2448" s="99">
        <v>181</v>
      </c>
      <c r="E2448" s="99">
        <v>973</v>
      </c>
      <c r="F2448" s="99">
        <v>322</v>
      </c>
      <c r="G2448" s="99">
        <v>659</v>
      </c>
      <c r="H2448" s="99">
        <v>143</v>
      </c>
      <c r="I2448" s="99">
        <v>34</v>
      </c>
      <c r="J2448" s="99">
        <v>36</v>
      </c>
      <c r="K2448" s="99">
        <v>2</v>
      </c>
      <c r="L2448" s="99">
        <v>101</v>
      </c>
      <c r="M2448" s="99">
        <v>115</v>
      </c>
      <c r="N2448" s="99">
        <v>-14</v>
      </c>
      <c r="O2448" s="110"/>
      <c r="P2448" s="110"/>
      <c r="Q2448" s="110"/>
    </row>
    <row r="2449" spans="1:17" s="119" customFormat="1" ht="31.75" customHeight="1">
      <c r="A2449" s="109" t="s">
        <v>7337</v>
      </c>
      <c r="B2449" s="109" t="s">
        <v>7338</v>
      </c>
      <c r="C2449" s="98">
        <v>2010</v>
      </c>
      <c r="D2449" s="99">
        <v>151</v>
      </c>
      <c r="E2449" s="99">
        <v>1016</v>
      </c>
      <c r="F2449" s="99">
        <v>313</v>
      </c>
      <c r="G2449" s="99">
        <v>726</v>
      </c>
      <c r="H2449" s="99">
        <v>152</v>
      </c>
      <c r="I2449" s="99">
        <v>32</v>
      </c>
      <c r="J2449" s="99">
        <v>42</v>
      </c>
      <c r="K2449" s="99">
        <v>10</v>
      </c>
      <c r="L2449" s="99">
        <v>97</v>
      </c>
      <c r="M2449" s="99">
        <v>98</v>
      </c>
      <c r="N2449" s="99">
        <v>-1</v>
      </c>
      <c r="O2449" s="117"/>
      <c r="P2449" s="117"/>
      <c r="Q2449" s="117"/>
    </row>
    <row r="2450" spans="1:17" s="119" customFormat="1" ht="31.75" customHeight="1">
      <c r="A2450" s="109" t="s">
        <v>7337</v>
      </c>
      <c r="B2450" s="109" t="s">
        <v>7338</v>
      </c>
      <c r="C2450" s="98">
        <v>2011</v>
      </c>
      <c r="D2450" s="99">
        <v>147</v>
      </c>
      <c r="E2450" s="99">
        <v>1104</v>
      </c>
      <c r="F2450" s="99">
        <v>351</v>
      </c>
      <c r="G2450" s="99">
        <v>765</v>
      </c>
      <c r="H2450" s="99">
        <v>157</v>
      </c>
      <c r="I2450" s="99">
        <v>22</v>
      </c>
      <c r="J2450" s="99">
        <v>23</v>
      </c>
      <c r="K2450" s="99">
        <v>1</v>
      </c>
      <c r="L2450" s="99">
        <v>109</v>
      </c>
      <c r="M2450" s="99">
        <v>97</v>
      </c>
      <c r="N2450" s="99">
        <v>11</v>
      </c>
      <c r="O2450" s="117"/>
      <c r="P2450" s="117"/>
      <c r="Q2450" s="117"/>
    </row>
    <row r="2451" spans="1:17" s="119" customFormat="1" ht="31.75" customHeight="1">
      <c r="A2451" s="109" t="s">
        <v>7337</v>
      </c>
      <c r="B2451" s="109" t="s">
        <v>7338</v>
      </c>
      <c r="C2451" s="111">
        <v>2012</v>
      </c>
      <c r="D2451" s="112">
        <v>126</v>
      </c>
      <c r="E2451" s="112">
        <v>1109</v>
      </c>
      <c r="F2451" s="112">
        <v>326</v>
      </c>
      <c r="G2451" s="112">
        <v>767</v>
      </c>
      <c r="H2451" s="112">
        <v>175</v>
      </c>
      <c r="I2451" s="112">
        <v>14</v>
      </c>
      <c r="J2451" s="112">
        <v>17</v>
      </c>
      <c r="K2451" s="112">
        <v>2</v>
      </c>
      <c r="L2451" s="112">
        <v>97</v>
      </c>
      <c r="M2451" s="112">
        <v>114</v>
      </c>
      <c r="N2451" s="112">
        <v>-17</v>
      </c>
      <c r="O2451" s="117"/>
      <c r="P2451" s="117"/>
      <c r="Q2451" s="117"/>
    </row>
    <row r="2452" spans="1:17" s="119" customFormat="1" ht="31.75" customHeight="1">
      <c r="A2452" s="109" t="s">
        <v>7337</v>
      </c>
      <c r="B2452" s="109" t="s">
        <v>7338</v>
      </c>
      <c r="C2452" s="113">
        <v>2013</v>
      </c>
      <c r="D2452" s="112">
        <v>115</v>
      </c>
      <c r="E2452" s="112">
        <v>1245</v>
      </c>
      <c r="F2452" s="112">
        <v>412</v>
      </c>
      <c r="G2452" s="112">
        <v>846</v>
      </c>
      <c r="H2452" s="112">
        <v>166</v>
      </c>
      <c r="I2452" s="112">
        <v>11</v>
      </c>
      <c r="J2452" s="112" t="s">
        <v>6953</v>
      </c>
      <c r="K2452" s="112" t="s">
        <v>6953</v>
      </c>
      <c r="L2452" s="112">
        <v>113</v>
      </c>
      <c r="M2452" s="112">
        <v>101</v>
      </c>
      <c r="N2452" s="112">
        <v>13</v>
      </c>
      <c r="O2452" s="117"/>
      <c r="P2452" s="117"/>
      <c r="Q2452" s="117"/>
    </row>
    <row r="2453" spans="1:17" s="119" customFormat="1" ht="31.75" customHeight="1">
      <c r="A2453" s="109" t="s">
        <v>7337</v>
      </c>
      <c r="B2453" s="109" t="s">
        <v>7338</v>
      </c>
      <c r="C2453" s="113">
        <v>2014</v>
      </c>
      <c r="D2453" s="99">
        <v>121</v>
      </c>
      <c r="E2453" s="99">
        <v>1292</v>
      </c>
      <c r="F2453" s="99">
        <v>468</v>
      </c>
      <c r="G2453" s="99">
        <v>819</v>
      </c>
      <c r="H2453" s="99">
        <v>175</v>
      </c>
      <c r="I2453" s="99">
        <v>24</v>
      </c>
      <c r="J2453" s="99">
        <v>26</v>
      </c>
      <c r="K2453" s="99">
        <v>1</v>
      </c>
      <c r="L2453" s="99">
        <v>101</v>
      </c>
      <c r="M2453" s="99">
        <v>106</v>
      </c>
      <c r="N2453" s="99">
        <v>-5</v>
      </c>
      <c r="O2453" s="110"/>
      <c r="P2453" s="110"/>
      <c r="Q2453" s="110"/>
    </row>
    <row r="2454" spans="1:17" s="119" customFormat="1" ht="31.75" customHeight="1">
      <c r="A2454" s="109" t="s">
        <v>7337</v>
      </c>
      <c r="B2454" s="109" t="s">
        <v>7338</v>
      </c>
      <c r="C2454" s="113">
        <v>2015</v>
      </c>
      <c r="D2454" s="112">
        <v>136</v>
      </c>
      <c r="E2454" s="112">
        <v>1360</v>
      </c>
      <c r="F2454" s="112">
        <v>525</v>
      </c>
      <c r="G2454" s="112">
        <v>838</v>
      </c>
      <c r="H2454" s="112">
        <v>164</v>
      </c>
      <c r="I2454" s="112">
        <v>25</v>
      </c>
      <c r="J2454" s="112">
        <v>26</v>
      </c>
      <c r="K2454" s="112">
        <v>1</v>
      </c>
      <c r="L2454" s="112">
        <v>106</v>
      </c>
      <c r="M2454" s="112">
        <v>103</v>
      </c>
      <c r="N2454" s="112">
        <v>3</v>
      </c>
      <c r="O2454" s="110"/>
      <c r="P2454" s="110"/>
      <c r="Q2454" s="110"/>
    </row>
    <row r="2455" spans="1:17" s="119" customFormat="1" ht="31.75" customHeight="1">
      <c r="A2455" s="109" t="s">
        <v>7337</v>
      </c>
      <c r="B2455" s="109" t="s">
        <v>7338</v>
      </c>
      <c r="C2455" s="113">
        <v>2016</v>
      </c>
      <c r="D2455" s="112">
        <v>139</v>
      </c>
      <c r="E2455" s="112">
        <v>1334</v>
      </c>
      <c r="F2455" s="112">
        <v>519</v>
      </c>
      <c r="G2455" s="112">
        <v>826</v>
      </c>
      <c r="H2455" s="112">
        <v>171</v>
      </c>
      <c r="I2455" s="112">
        <v>26</v>
      </c>
      <c r="J2455" s="112">
        <v>27</v>
      </c>
      <c r="K2455" s="112">
        <v>1</v>
      </c>
      <c r="L2455" s="112">
        <v>115</v>
      </c>
      <c r="M2455" s="112">
        <v>104</v>
      </c>
      <c r="N2455" s="112">
        <v>11</v>
      </c>
      <c r="O2455" s="100"/>
      <c r="P2455" s="100"/>
      <c r="Q2455" s="100"/>
    </row>
    <row r="2456" spans="1:17" s="119" customFormat="1" ht="31.75" customHeight="1">
      <c r="A2456" s="109" t="s">
        <v>7337</v>
      </c>
      <c r="B2456" s="109" t="s">
        <v>7338</v>
      </c>
      <c r="C2456" s="113">
        <v>2017</v>
      </c>
      <c r="D2456" s="112">
        <v>125</v>
      </c>
      <c r="E2456" s="112">
        <v>1484</v>
      </c>
      <c r="F2456" s="112">
        <v>606</v>
      </c>
      <c r="G2456" s="112">
        <v>890</v>
      </c>
      <c r="H2456" s="112">
        <v>171</v>
      </c>
      <c r="I2456" s="112">
        <v>22</v>
      </c>
      <c r="J2456" s="112">
        <v>31</v>
      </c>
      <c r="K2456" s="112">
        <v>10</v>
      </c>
      <c r="L2456" s="112">
        <v>133</v>
      </c>
      <c r="M2456" s="112">
        <v>121</v>
      </c>
      <c r="N2456" s="112">
        <v>12</v>
      </c>
      <c r="O2456" s="110"/>
      <c r="P2456" s="110"/>
      <c r="Q2456" s="110"/>
    </row>
    <row r="2457" spans="1:17" s="119" customFormat="1" ht="31.75" customHeight="1">
      <c r="A2457" s="109" t="s">
        <v>7337</v>
      </c>
      <c r="B2457" s="109" t="s">
        <v>7338</v>
      </c>
      <c r="C2457" s="113">
        <v>2018</v>
      </c>
      <c r="D2457" s="112">
        <v>122</v>
      </c>
      <c r="E2457" s="112">
        <v>1599</v>
      </c>
      <c r="F2457" s="112">
        <v>692</v>
      </c>
      <c r="G2457" s="112">
        <v>930</v>
      </c>
      <c r="H2457" s="112">
        <v>182</v>
      </c>
      <c r="I2457" s="112">
        <v>30</v>
      </c>
      <c r="J2457" s="112">
        <v>31</v>
      </c>
      <c r="K2457" s="112">
        <v>1</v>
      </c>
      <c r="L2457" s="112">
        <v>151</v>
      </c>
      <c r="M2457" s="112">
        <v>127</v>
      </c>
      <c r="N2457" s="112">
        <v>24</v>
      </c>
      <c r="O2457" s="100"/>
      <c r="P2457" s="100"/>
      <c r="Q2457" s="100"/>
    </row>
    <row r="2458" spans="1:17" s="119" customFormat="1" ht="31.75" customHeight="1">
      <c r="A2458" s="109" t="s">
        <v>7337</v>
      </c>
      <c r="B2458" s="109" t="s">
        <v>7338</v>
      </c>
      <c r="C2458" s="113">
        <v>2019</v>
      </c>
      <c r="D2458" s="112">
        <v>110</v>
      </c>
      <c r="E2458" s="112">
        <v>1404.5555320000001</v>
      </c>
      <c r="F2458" s="112">
        <v>443.92965400000003</v>
      </c>
      <c r="G2458" s="112">
        <v>970.93146100000001</v>
      </c>
      <c r="H2458" s="112">
        <v>180.05196699999999</v>
      </c>
      <c r="I2458" s="112">
        <v>36.404668000000001</v>
      </c>
      <c r="J2458" s="112">
        <v>36.718299999999999</v>
      </c>
      <c r="K2458" s="112" t="s">
        <v>6952</v>
      </c>
      <c r="L2458" s="112">
        <v>144.699579</v>
      </c>
      <c r="M2458" s="112">
        <v>133.89427599999999</v>
      </c>
      <c r="N2458" s="112">
        <v>10.805303</v>
      </c>
      <c r="O2458" s="100"/>
      <c r="P2458" s="100"/>
      <c r="Q2458" s="100"/>
    </row>
    <row r="2459" spans="1:17" s="119" customFormat="1" ht="31.75" customHeight="1">
      <c r="A2459" s="114" t="s">
        <v>7337</v>
      </c>
      <c r="B2459" s="114" t="s">
        <v>7338</v>
      </c>
      <c r="C2459" s="113">
        <v>2020</v>
      </c>
      <c r="D2459" s="112">
        <v>112</v>
      </c>
      <c r="E2459" s="112">
        <v>1298.0396880000001</v>
      </c>
      <c r="F2459" s="112">
        <v>439.28432700000002</v>
      </c>
      <c r="G2459" s="112">
        <v>868.64552700000002</v>
      </c>
      <c r="H2459" s="112">
        <v>174.21230800000001</v>
      </c>
      <c r="I2459" s="112">
        <v>28.082194000000001</v>
      </c>
      <c r="J2459" s="112">
        <v>29.120169000000001</v>
      </c>
      <c r="K2459" s="112">
        <v>1.037976</v>
      </c>
      <c r="L2459" s="112">
        <v>155.18469899999999</v>
      </c>
      <c r="M2459" s="112">
        <v>145.66480300000001</v>
      </c>
      <c r="N2459" s="112">
        <v>9.5198959999999992</v>
      </c>
      <c r="O2459" s="110"/>
      <c r="P2459" s="110"/>
      <c r="Q2459" s="110"/>
    </row>
    <row r="2460" spans="1:17" s="119" customFormat="1" ht="31.75" customHeight="1">
      <c r="A2460" s="109" t="s">
        <v>7339</v>
      </c>
      <c r="B2460" s="109" t="s">
        <v>7340</v>
      </c>
      <c r="C2460" s="98">
        <v>2008</v>
      </c>
      <c r="D2460" s="99">
        <v>191</v>
      </c>
      <c r="E2460" s="99">
        <v>688</v>
      </c>
      <c r="F2460" s="99">
        <v>272</v>
      </c>
      <c r="G2460" s="99">
        <v>415</v>
      </c>
      <c r="H2460" s="99">
        <v>190</v>
      </c>
      <c r="I2460" s="99">
        <v>1</v>
      </c>
      <c r="J2460" s="99">
        <v>12</v>
      </c>
      <c r="K2460" s="99">
        <v>11</v>
      </c>
      <c r="L2460" s="99">
        <v>44</v>
      </c>
      <c r="M2460" s="99">
        <v>46</v>
      </c>
      <c r="N2460" s="99">
        <v>-2</v>
      </c>
      <c r="O2460" s="110"/>
      <c r="P2460" s="110"/>
      <c r="Q2460" s="110"/>
    </row>
    <row r="2461" spans="1:17" s="119" customFormat="1" ht="31.75" customHeight="1">
      <c r="A2461" s="109" t="s">
        <v>7339</v>
      </c>
      <c r="B2461" s="109" t="s">
        <v>7340</v>
      </c>
      <c r="C2461" s="98">
        <v>2009</v>
      </c>
      <c r="D2461" s="99">
        <v>170</v>
      </c>
      <c r="E2461" s="99">
        <v>669</v>
      </c>
      <c r="F2461" s="99">
        <v>289</v>
      </c>
      <c r="G2461" s="99">
        <v>354</v>
      </c>
      <c r="H2461" s="99">
        <v>184</v>
      </c>
      <c r="I2461" s="99">
        <v>11</v>
      </c>
      <c r="J2461" s="99">
        <v>15</v>
      </c>
      <c r="K2461" s="99">
        <v>4</v>
      </c>
      <c r="L2461" s="99">
        <v>50</v>
      </c>
      <c r="M2461" s="99">
        <v>73</v>
      </c>
      <c r="N2461" s="99">
        <v>-24</v>
      </c>
      <c r="O2461" s="117"/>
      <c r="P2461" s="117"/>
      <c r="Q2461" s="117"/>
    </row>
    <row r="2462" spans="1:17" s="119" customFormat="1" ht="31.75" customHeight="1">
      <c r="A2462" s="109" t="s">
        <v>7339</v>
      </c>
      <c r="B2462" s="109" t="s">
        <v>7340</v>
      </c>
      <c r="C2462" s="98">
        <v>2010</v>
      </c>
      <c r="D2462" s="99">
        <v>160</v>
      </c>
      <c r="E2462" s="99">
        <v>551</v>
      </c>
      <c r="F2462" s="99">
        <v>214</v>
      </c>
      <c r="G2462" s="99">
        <v>331</v>
      </c>
      <c r="H2462" s="99">
        <v>117</v>
      </c>
      <c r="I2462" s="99">
        <v>12</v>
      </c>
      <c r="J2462" s="99">
        <v>14</v>
      </c>
      <c r="K2462" s="99">
        <v>2</v>
      </c>
      <c r="L2462" s="99">
        <v>60</v>
      </c>
      <c r="M2462" s="99">
        <v>66</v>
      </c>
      <c r="N2462" s="99">
        <v>-6</v>
      </c>
      <c r="O2462" s="117"/>
      <c r="P2462" s="117"/>
      <c r="Q2462" s="117"/>
    </row>
    <row r="2463" spans="1:17" s="119" customFormat="1" ht="31.75" customHeight="1">
      <c r="A2463" s="109" t="s">
        <v>7339</v>
      </c>
      <c r="B2463" s="109" t="s">
        <v>7340</v>
      </c>
      <c r="C2463" s="98">
        <v>2011</v>
      </c>
      <c r="D2463" s="99">
        <v>151</v>
      </c>
      <c r="E2463" s="99">
        <v>354</v>
      </c>
      <c r="F2463" s="99">
        <v>140</v>
      </c>
      <c r="G2463" s="99">
        <v>221</v>
      </c>
      <c r="H2463" s="99">
        <v>83</v>
      </c>
      <c r="I2463" s="99">
        <v>4</v>
      </c>
      <c r="J2463" s="99">
        <v>5</v>
      </c>
      <c r="K2463" s="99">
        <v>1</v>
      </c>
      <c r="L2463" s="99">
        <v>45</v>
      </c>
      <c r="M2463" s="99">
        <v>39</v>
      </c>
      <c r="N2463" s="99">
        <v>6</v>
      </c>
      <c r="O2463" s="117"/>
      <c r="P2463" s="117"/>
      <c r="Q2463" s="117"/>
    </row>
    <row r="2464" spans="1:17" s="119" customFormat="1" ht="31.75" customHeight="1">
      <c r="A2464" s="109" t="s">
        <v>7339</v>
      </c>
      <c r="B2464" s="109" t="s">
        <v>7340</v>
      </c>
      <c r="C2464" s="111">
        <v>2012</v>
      </c>
      <c r="D2464" s="112">
        <v>159</v>
      </c>
      <c r="E2464" s="112">
        <v>422</v>
      </c>
      <c r="F2464" s="112">
        <v>201</v>
      </c>
      <c r="G2464" s="112">
        <v>214</v>
      </c>
      <c r="H2464" s="112">
        <v>143</v>
      </c>
      <c r="I2464" s="112">
        <v>8</v>
      </c>
      <c r="J2464" s="112">
        <v>9</v>
      </c>
      <c r="K2464" s="112" t="s">
        <v>6952</v>
      </c>
      <c r="L2464" s="112">
        <v>55</v>
      </c>
      <c r="M2464" s="112">
        <v>63</v>
      </c>
      <c r="N2464" s="112">
        <v>-8</v>
      </c>
      <c r="O2464" s="117"/>
      <c r="P2464" s="117"/>
      <c r="Q2464" s="117"/>
    </row>
    <row r="2465" spans="1:17" s="119" customFormat="1" ht="31.75" customHeight="1">
      <c r="A2465" s="109" t="s">
        <v>7339</v>
      </c>
      <c r="B2465" s="109" t="s">
        <v>7340</v>
      </c>
      <c r="C2465" s="113">
        <v>2013</v>
      </c>
      <c r="D2465" s="112">
        <v>153</v>
      </c>
      <c r="E2465" s="112">
        <v>557</v>
      </c>
      <c r="F2465" s="112">
        <v>219</v>
      </c>
      <c r="G2465" s="112">
        <v>342</v>
      </c>
      <c r="H2465" s="112">
        <v>135</v>
      </c>
      <c r="I2465" s="112">
        <v>7</v>
      </c>
      <c r="J2465" s="112" t="s">
        <v>6953</v>
      </c>
      <c r="K2465" s="112" t="s">
        <v>6953</v>
      </c>
      <c r="L2465" s="112">
        <v>73</v>
      </c>
      <c r="M2465" s="112">
        <v>70</v>
      </c>
      <c r="N2465" s="112">
        <v>3</v>
      </c>
      <c r="O2465" s="110"/>
      <c r="P2465" s="110"/>
      <c r="Q2465" s="110"/>
    </row>
    <row r="2466" spans="1:17" s="119" customFormat="1" ht="31.75" customHeight="1">
      <c r="A2466" s="109" t="s">
        <v>7339</v>
      </c>
      <c r="B2466" s="109" t="s">
        <v>7340</v>
      </c>
      <c r="C2466" s="113">
        <v>2014</v>
      </c>
      <c r="D2466" s="99">
        <v>145</v>
      </c>
      <c r="E2466" s="99">
        <v>565</v>
      </c>
      <c r="F2466" s="99">
        <v>221</v>
      </c>
      <c r="G2466" s="99">
        <v>348</v>
      </c>
      <c r="H2466" s="99">
        <v>144</v>
      </c>
      <c r="I2466" s="99">
        <v>7</v>
      </c>
      <c r="J2466" s="99">
        <v>10</v>
      </c>
      <c r="K2466" s="99">
        <v>3</v>
      </c>
      <c r="L2466" s="99">
        <v>68</v>
      </c>
      <c r="M2466" s="99">
        <v>64</v>
      </c>
      <c r="N2466" s="99">
        <v>4</v>
      </c>
      <c r="O2466" s="110"/>
      <c r="P2466" s="110"/>
      <c r="Q2466" s="110"/>
    </row>
    <row r="2467" spans="1:17" s="119" customFormat="1" ht="31.75" customHeight="1">
      <c r="A2467" s="109" t="s">
        <v>7339</v>
      </c>
      <c r="B2467" s="109" t="s">
        <v>7340</v>
      </c>
      <c r="C2467" s="113">
        <v>2015</v>
      </c>
      <c r="D2467" s="112">
        <v>143</v>
      </c>
      <c r="E2467" s="112">
        <v>688</v>
      </c>
      <c r="F2467" s="112">
        <v>259</v>
      </c>
      <c r="G2467" s="112">
        <v>433</v>
      </c>
      <c r="H2467" s="112">
        <v>144</v>
      </c>
      <c r="I2467" s="112">
        <v>40</v>
      </c>
      <c r="J2467" s="112">
        <v>42</v>
      </c>
      <c r="K2467" s="112">
        <v>2</v>
      </c>
      <c r="L2467" s="112">
        <v>59</v>
      </c>
      <c r="M2467" s="112">
        <v>56</v>
      </c>
      <c r="N2467" s="112">
        <v>3</v>
      </c>
      <c r="O2467" s="100"/>
      <c r="P2467" s="100"/>
      <c r="Q2467" s="100"/>
    </row>
    <row r="2468" spans="1:17" s="119" customFormat="1" ht="31.75" customHeight="1">
      <c r="A2468" s="109" t="s">
        <v>7339</v>
      </c>
      <c r="B2468" s="109" t="s">
        <v>7340</v>
      </c>
      <c r="C2468" s="113">
        <v>2016</v>
      </c>
      <c r="D2468" s="112">
        <v>147</v>
      </c>
      <c r="E2468" s="112">
        <v>530</v>
      </c>
      <c r="F2468" s="112">
        <v>235</v>
      </c>
      <c r="G2468" s="112">
        <v>299</v>
      </c>
      <c r="H2468" s="112">
        <v>147</v>
      </c>
      <c r="I2468" s="112">
        <v>9</v>
      </c>
      <c r="J2468" s="112">
        <v>11</v>
      </c>
      <c r="K2468" s="112">
        <v>2</v>
      </c>
      <c r="L2468" s="112">
        <v>52</v>
      </c>
      <c r="M2468" s="112">
        <v>49</v>
      </c>
      <c r="N2468" s="112">
        <v>3</v>
      </c>
      <c r="O2468" s="110"/>
      <c r="P2468" s="110"/>
      <c r="Q2468" s="110"/>
    </row>
    <row r="2469" spans="1:17" s="119" customFormat="1" ht="31.75" customHeight="1">
      <c r="A2469" s="109" t="s">
        <v>7339</v>
      </c>
      <c r="B2469" s="109" t="s">
        <v>7340</v>
      </c>
      <c r="C2469" s="113">
        <v>2017</v>
      </c>
      <c r="D2469" s="112">
        <v>141</v>
      </c>
      <c r="E2469" s="112">
        <v>535</v>
      </c>
      <c r="F2469" s="112">
        <v>196</v>
      </c>
      <c r="G2469" s="112">
        <v>339</v>
      </c>
      <c r="H2469" s="112">
        <v>129</v>
      </c>
      <c r="I2469" s="112">
        <v>10</v>
      </c>
      <c r="J2469" s="112">
        <v>11</v>
      </c>
      <c r="K2469" s="112">
        <v>1</v>
      </c>
      <c r="L2469" s="112">
        <v>57</v>
      </c>
      <c r="M2469" s="112">
        <v>57</v>
      </c>
      <c r="N2469" s="112" t="s">
        <v>6952</v>
      </c>
      <c r="O2469" s="100"/>
      <c r="P2469" s="100"/>
      <c r="Q2469" s="100"/>
    </row>
    <row r="2470" spans="1:17" s="119" customFormat="1" ht="31.75" customHeight="1">
      <c r="A2470" s="109" t="s">
        <v>7339</v>
      </c>
      <c r="B2470" s="109" t="s">
        <v>7340</v>
      </c>
      <c r="C2470" s="113">
        <v>2018</v>
      </c>
      <c r="D2470" s="112">
        <v>138</v>
      </c>
      <c r="E2470" s="112">
        <v>490</v>
      </c>
      <c r="F2470" s="112">
        <v>203</v>
      </c>
      <c r="G2470" s="112">
        <v>288</v>
      </c>
      <c r="H2470" s="112">
        <v>121</v>
      </c>
      <c r="I2470" s="112">
        <v>7</v>
      </c>
      <c r="J2470" s="112">
        <v>17</v>
      </c>
      <c r="K2470" s="112">
        <v>10</v>
      </c>
      <c r="L2470" s="112">
        <v>69</v>
      </c>
      <c r="M2470" s="112">
        <v>69</v>
      </c>
      <c r="N2470" s="112">
        <v>1</v>
      </c>
      <c r="O2470" s="100"/>
      <c r="P2470" s="100"/>
      <c r="Q2470" s="100"/>
    </row>
    <row r="2471" spans="1:17" s="119" customFormat="1" ht="31.75" customHeight="1">
      <c r="A2471" s="109" t="s">
        <v>7339</v>
      </c>
      <c r="B2471" s="109" t="s">
        <v>7340</v>
      </c>
      <c r="C2471" s="113">
        <v>2019</v>
      </c>
      <c r="D2471" s="112">
        <v>130</v>
      </c>
      <c r="E2471" s="112">
        <v>559.78595299999995</v>
      </c>
      <c r="F2471" s="112">
        <v>234.62340599999999</v>
      </c>
      <c r="G2471" s="112">
        <v>338.34380099999998</v>
      </c>
      <c r="H2471" s="112">
        <v>141.65092799999999</v>
      </c>
      <c r="I2471" s="112">
        <v>10.823247</v>
      </c>
      <c r="J2471" s="112">
        <v>14.930923999999999</v>
      </c>
      <c r="K2471" s="112">
        <v>4.1076779999999999</v>
      </c>
      <c r="L2471" s="112">
        <v>69.454497000000003</v>
      </c>
      <c r="M2471" s="112">
        <v>56.204680000000003</v>
      </c>
      <c r="N2471" s="112">
        <v>13.249817</v>
      </c>
      <c r="O2471" s="110"/>
      <c r="P2471" s="110"/>
      <c r="Q2471" s="110"/>
    </row>
    <row r="2472" spans="1:17" s="119" customFormat="1" ht="31.75" customHeight="1">
      <c r="A2472" s="114" t="s">
        <v>7339</v>
      </c>
      <c r="B2472" s="114" t="s">
        <v>7340</v>
      </c>
      <c r="C2472" s="113">
        <v>2020</v>
      </c>
      <c r="D2472" s="112">
        <v>136</v>
      </c>
      <c r="E2472" s="112">
        <v>569.01180899999997</v>
      </c>
      <c r="F2472" s="112">
        <v>246.669738</v>
      </c>
      <c r="G2472" s="112">
        <v>324.519701</v>
      </c>
      <c r="H2472" s="112">
        <v>156.19906399999999</v>
      </c>
      <c r="I2472" s="112">
        <v>12.350986000000001</v>
      </c>
      <c r="J2472" s="112">
        <v>15.726751</v>
      </c>
      <c r="K2472" s="112">
        <v>3.3757649999999999</v>
      </c>
      <c r="L2472" s="112">
        <v>58.661012999999997</v>
      </c>
      <c r="M2472" s="112">
        <v>61.827741000000003</v>
      </c>
      <c r="N2472" s="112">
        <v>-3.166728</v>
      </c>
      <c r="O2472" s="110"/>
      <c r="P2472" s="110"/>
      <c r="Q2472" s="110"/>
    </row>
    <row r="2473" spans="1:17" s="119" customFormat="1" ht="31.75" customHeight="1">
      <c r="A2473" s="109" t="s">
        <v>7341</v>
      </c>
      <c r="B2473" s="109" t="s">
        <v>7342</v>
      </c>
      <c r="C2473" s="98">
        <v>2008</v>
      </c>
      <c r="D2473" s="99">
        <v>91</v>
      </c>
      <c r="E2473" s="99">
        <v>176</v>
      </c>
      <c r="F2473" s="99">
        <v>69</v>
      </c>
      <c r="G2473" s="99">
        <v>109</v>
      </c>
      <c r="H2473" s="99">
        <v>45</v>
      </c>
      <c r="I2473" s="99">
        <v>2</v>
      </c>
      <c r="J2473" s="99">
        <v>3</v>
      </c>
      <c r="K2473" s="99">
        <v>1</v>
      </c>
      <c r="L2473" s="99">
        <v>15</v>
      </c>
      <c r="M2473" s="99">
        <v>12</v>
      </c>
      <c r="N2473" s="99">
        <v>3</v>
      </c>
      <c r="O2473" s="117"/>
      <c r="P2473" s="117"/>
      <c r="Q2473" s="117"/>
    </row>
    <row r="2474" spans="1:17" s="119" customFormat="1" ht="31.75" customHeight="1">
      <c r="A2474" s="109" t="s">
        <v>7341</v>
      </c>
      <c r="B2474" s="109" t="s">
        <v>7342</v>
      </c>
      <c r="C2474" s="98">
        <v>2009</v>
      </c>
      <c r="D2474" s="99">
        <v>93</v>
      </c>
      <c r="E2474" s="99">
        <v>245</v>
      </c>
      <c r="F2474" s="99">
        <v>114</v>
      </c>
      <c r="G2474" s="99">
        <v>130</v>
      </c>
      <c r="H2474" s="99">
        <v>62</v>
      </c>
      <c r="I2474" s="99">
        <v>8</v>
      </c>
      <c r="J2474" s="99">
        <v>10</v>
      </c>
      <c r="K2474" s="99">
        <v>2</v>
      </c>
      <c r="L2474" s="99">
        <v>34</v>
      </c>
      <c r="M2474" s="99">
        <v>34</v>
      </c>
      <c r="N2474" s="99" t="s">
        <v>6952</v>
      </c>
      <c r="O2474" s="117"/>
      <c r="P2474" s="117"/>
      <c r="Q2474" s="117"/>
    </row>
    <row r="2475" spans="1:17" s="119" customFormat="1" ht="31.75" customHeight="1">
      <c r="A2475" s="109" t="s">
        <v>7341</v>
      </c>
      <c r="B2475" s="109" t="s">
        <v>7342</v>
      </c>
      <c r="C2475" s="98">
        <v>2010</v>
      </c>
      <c r="D2475" s="99">
        <v>87</v>
      </c>
      <c r="E2475" s="99">
        <v>178</v>
      </c>
      <c r="F2475" s="99">
        <v>102</v>
      </c>
      <c r="G2475" s="99">
        <v>85</v>
      </c>
      <c r="H2475" s="99">
        <v>48</v>
      </c>
      <c r="I2475" s="99">
        <v>20</v>
      </c>
      <c r="J2475" s="99">
        <v>22</v>
      </c>
      <c r="K2475" s="99">
        <v>2</v>
      </c>
      <c r="L2475" s="99">
        <v>21</v>
      </c>
      <c r="M2475" s="99">
        <v>15</v>
      </c>
      <c r="N2475" s="99">
        <v>6</v>
      </c>
      <c r="O2475" s="117"/>
      <c r="P2475" s="117"/>
      <c r="Q2475" s="117"/>
    </row>
    <row r="2476" spans="1:17" s="119" customFormat="1" ht="31.75" customHeight="1">
      <c r="A2476" s="109" t="s">
        <v>7341</v>
      </c>
      <c r="B2476" s="109" t="s">
        <v>7342</v>
      </c>
      <c r="C2476" s="98">
        <v>2011</v>
      </c>
      <c r="D2476" s="99">
        <v>83</v>
      </c>
      <c r="E2476" s="99">
        <v>218</v>
      </c>
      <c r="F2476" s="99">
        <v>82</v>
      </c>
      <c r="G2476" s="99">
        <v>143</v>
      </c>
      <c r="H2476" s="99">
        <v>68</v>
      </c>
      <c r="I2476" s="99">
        <v>30</v>
      </c>
      <c r="J2476" s="99">
        <v>31</v>
      </c>
      <c r="K2476" s="99">
        <v>1</v>
      </c>
      <c r="L2476" s="99">
        <v>27</v>
      </c>
      <c r="M2476" s="99">
        <v>21</v>
      </c>
      <c r="N2476" s="99">
        <v>6</v>
      </c>
      <c r="O2476" s="117"/>
      <c r="P2476" s="117"/>
      <c r="Q2476" s="117"/>
    </row>
    <row r="2477" spans="1:17" s="119" customFormat="1" ht="31.75" customHeight="1">
      <c r="A2477" s="109" t="s">
        <v>7341</v>
      </c>
      <c r="B2477" s="109" t="s">
        <v>7342</v>
      </c>
      <c r="C2477" s="111">
        <v>2012</v>
      </c>
      <c r="D2477" s="112">
        <v>75</v>
      </c>
      <c r="E2477" s="112">
        <v>208</v>
      </c>
      <c r="F2477" s="112">
        <v>89</v>
      </c>
      <c r="G2477" s="112">
        <v>122</v>
      </c>
      <c r="H2477" s="112">
        <v>55</v>
      </c>
      <c r="I2477" s="112">
        <v>22</v>
      </c>
      <c r="J2477" s="112" t="s">
        <v>6953</v>
      </c>
      <c r="K2477" s="112" t="s">
        <v>6953</v>
      </c>
      <c r="L2477" s="112">
        <v>32</v>
      </c>
      <c r="M2477" s="112">
        <v>32</v>
      </c>
      <c r="N2477" s="112" t="s">
        <v>6952</v>
      </c>
      <c r="O2477" s="110"/>
      <c r="P2477" s="110"/>
      <c r="Q2477" s="110"/>
    </row>
    <row r="2478" spans="1:17" s="119" customFormat="1" ht="31.75" customHeight="1">
      <c r="A2478" s="109" t="s">
        <v>7341</v>
      </c>
      <c r="B2478" s="109" t="s">
        <v>7342</v>
      </c>
      <c r="C2478" s="113">
        <v>2013</v>
      </c>
      <c r="D2478" s="112">
        <v>83</v>
      </c>
      <c r="E2478" s="112">
        <v>179</v>
      </c>
      <c r="F2478" s="112">
        <v>70</v>
      </c>
      <c r="G2478" s="112">
        <v>114</v>
      </c>
      <c r="H2478" s="112">
        <v>50</v>
      </c>
      <c r="I2478" s="112" t="s">
        <v>6953</v>
      </c>
      <c r="J2478" s="112">
        <v>4</v>
      </c>
      <c r="K2478" s="112" t="s">
        <v>6953</v>
      </c>
      <c r="L2478" s="112">
        <v>21</v>
      </c>
      <c r="M2478" s="112">
        <v>20</v>
      </c>
      <c r="N2478" s="112">
        <v>1</v>
      </c>
      <c r="O2478" s="110"/>
      <c r="P2478" s="110"/>
      <c r="Q2478" s="110"/>
    </row>
    <row r="2479" spans="1:17" s="119" customFormat="1" ht="31.75" customHeight="1">
      <c r="A2479" s="109" t="s">
        <v>7341</v>
      </c>
      <c r="B2479" s="109" t="s">
        <v>7342</v>
      </c>
      <c r="C2479" s="113">
        <v>2014</v>
      </c>
      <c r="D2479" s="99">
        <v>86</v>
      </c>
      <c r="E2479" s="99">
        <v>250</v>
      </c>
      <c r="F2479" s="99">
        <v>102</v>
      </c>
      <c r="G2479" s="99">
        <v>150</v>
      </c>
      <c r="H2479" s="99">
        <v>70</v>
      </c>
      <c r="I2479" s="99">
        <v>10</v>
      </c>
      <c r="J2479" s="99">
        <v>10</v>
      </c>
      <c r="K2479" s="99" t="s">
        <v>6952</v>
      </c>
      <c r="L2479" s="99">
        <v>37</v>
      </c>
      <c r="M2479" s="99">
        <v>36</v>
      </c>
      <c r="N2479" s="99">
        <v>1</v>
      </c>
      <c r="O2479" s="100"/>
      <c r="P2479" s="100"/>
      <c r="Q2479" s="100"/>
    </row>
    <row r="2480" spans="1:17" s="119" customFormat="1" ht="31.75" customHeight="1">
      <c r="A2480" s="109" t="s">
        <v>7341</v>
      </c>
      <c r="B2480" s="109" t="s">
        <v>7342</v>
      </c>
      <c r="C2480" s="113">
        <v>2015</v>
      </c>
      <c r="D2480" s="112">
        <v>93</v>
      </c>
      <c r="E2480" s="112">
        <v>291</v>
      </c>
      <c r="F2480" s="112">
        <v>103</v>
      </c>
      <c r="G2480" s="112">
        <v>184</v>
      </c>
      <c r="H2480" s="112">
        <v>94</v>
      </c>
      <c r="I2480" s="112">
        <v>5</v>
      </c>
      <c r="J2480" s="112">
        <v>5</v>
      </c>
      <c r="K2480" s="112" t="s">
        <v>6952</v>
      </c>
      <c r="L2480" s="112">
        <v>42</v>
      </c>
      <c r="M2480" s="112">
        <v>46</v>
      </c>
      <c r="N2480" s="112">
        <v>-4</v>
      </c>
      <c r="O2480" s="110"/>
      <c r="P2480" s="110"/>
      <c r="Q2480" s="110"/>
    </row>
    <row r="2481" spans="1:17" s="119" customFormat="1" ht="31.75" customHeight="1">
      <c r="A2481" s="109" t="s">
        <v>7341</v>
      </c>
      <c r="B2481" s="109" t="s">
        <v>7342</v>
      </c>
      <c r="C2481" s="113">
        <v>2016</v>
      </c>
      <c r="D2481" s="112">
        <v>97</v>
      </c>
      <c r="E2481" s="112">
        <v>288</v>
      </c>
      <c r="F2481" s="112">
        <v>107</v>
      </c>
      <c r="G2481" s="112">
        <v>183</v>
      </c>
      <c r="H2481" s="112">
        <v>72</v>
      </c>
      <c r="I2481" s="112">
        <v>3</v>
      </c>
      <c r="J2481" s="112">
        <v>4</v>
      </c>
      <c r="K2481" s="112">
        <v>1</v>
      </c>
      <c r="L2481" s="112">
        <v>35</v>
      </c>
      <c r="M2481" s="112">
        <v>33</v>
      </c>
      <c r="N2481" s="112">
        <v>2</v>
      </c>
      <c r="O2481" s="100"/>
      <c r="P2481" s="100"/>
      <c r="Q2481" s="100"/>
    </row>
    <row r="2482" spans="1:17" s="119" customFormat="1" ht="31.75" customHeight="1">
      <c r="A2482" s="109" t="s">
        <v>7341</v>
      </c>
      <c r="B2482" s="109" t="s">
        <v>7342</v>
      </c>
      <c r="C2482" s="113">
        <v>2017</v>
      </c>
      <c r="D2482" s="112">
        <v>84</v>
      </c>
      <c r="E2482" s="112">
        <v>328</v>
      </c>
      <c r="F2482" s="112">
        <v>129</v>
      </c>
      <c r="G2482" s="112">
        <v>197</v>
      </c>
      <c r="H2482" s="112">
        <v>91</v>
      </c>
      <c r="I2482" s="112">
        <v>4</v>
      </c>
      <c r="J2482" s="112">
        <v>5</v>
      </c>
      <c r="K2482" s="112">
        <v>1</v>
      </c>
      <c r="L2482" s="112">
        <v>36</v>
      </c>
      <c r="M2482" s="112">
        <v>41</v>
      </c>
      <c r="N2482" s="112">
        <v>-4</v>
      </c>
      <c r="O2482" s="100"/>
      <c r="P2482" s="100"/>
      <c r="Q2482" s="100"/>
    </row>
    <row r="2483" spans="1:17" s="119" customFormat="1" ht="31.75" customHeight="1">
      <c r="A2483" s="109" t="s">
        <v>7341</v>
      </c>
      <c r="B2483" s="109" t="s">
        <v>7342</v>
      </c>
      <c r="C2483" s="113">
        <v>2018</v>
      </c>
      <c r="D2483" s="112">
        <v>84</v>
      </c>
      <c r="E2483" s="112">
        <v>348</v>
      </c>
      <c r="F2483" s="112">
        <v>126</v>
      </c>
      <c r="G2483" s="112">
        <v>221</v>
      </c>
      <c r="H2483" s="112">
        <v>107</v>
      </c>
      <c r="I2483" s="112">
        <v>6</v>
      </c>
      <c r="J2483" s="112">
        <v>6</v>
      </c>
      <c r="K2483" s="112" t="s">
        <v>6952</v>
      </c>
      <c r="L2483" s="112">
        <v>43</v>
      </c>
      <c r="M2483" s="112">
        <v>44</v>
      </c>
      <c r="N2483" s="112">
        <v>-2</v>
      </c>
      <c r="O2483" s="110"/>
      <c r="P2483" s="110"/>
      <c r="Q2483" s="110"/>
    </row>
    <row r="2484" spans="1:17" s="119" customFormat="1" ht="31.75" customHeight="1">
      <c r="A2484" s="109" t="s">
        <v>7341</v>
      </c>
      <c r="B2484" s="109" t="s">
        <v>7342</v>
      </c>
      <c r="C2484" s="113">
        <v>2019</v>
      </c>
      <c r="D2484" s="112">
        <v>79</v>
      </c>
      <c r="E2484" s="112">
        <v>890.413138</v>
      </c>
      <c r="F2484" s="112">
        <v>211.680938</v>
      </c>
      <c r="G2484" s="112">
        <v>683.09220500000004</v>
      </c>
      <c r="H2484" s="112">
        <v>101.288071</v>
      </c>
      <c r="I2484" s="112">
        <v>15.071338000000001</v>
      </c>
      <c r="J2484" s="112">
        <v>15.106797</v>
      </c>
      <c r="K2484" s="112" t="s">
        <v>6952</v>
      </c>
      <c r="L2484" s="112">
        <v>39.763421999999998</v>
      </c>
      <c r="M2484" s="112">
        <v>35.779068000000002</v>
      </c>
      <c r="N2484" s="112">
        <v>3.9843549999999999</v>
      </c>
      <c r="O2484" s="110"/>
      <c r="P2484" s="110"/>
      <c r="Q2484" s="110"/>
    </row>
    <row r="2485" spans="1:17" s="119" customFormat="1" ht="31.75" customHeight="1">
      <c r="A2485" s="114" t="s">
        <v>7341</v>
      </c>
      <c r="B2485" s="114" t="s">
        <v>7342</v>
      </c>
      <c r="C2485" s="113">
        <v>2020</v>
      </c>
      <c r="D2485" s="112">
        <v>83</v>
      </c>
      <c r="E2485" s="112">
        <v>798.38768100000004</v>
      </c>
      <c r="F2485" s="112">
        <v>183.27225000000001</v>
      </c>
      <c r="G2485" s="112">
        <v>619.12389199999996</v>
      </c>
      <c r="H2485" s="112">
        <v>84.502287999999993</v>
      </c>
      <c r="I2485" s="112">
        <v>10.930194999999999</v>
      </c>
      <c r="J2485" s="112">
        <v>11.208045</v>
      </c>
      <c r="K2485" s="112" t="s">
        <v>6952</v>
      </c>
      <c r="L2485" s="112">
        <v>38.609586</v>
      </c>
      <c r="M2485" s="112">
        <v>34.809956</v>
      </c>
      <c r="N2485" s="112">
        <v>3.7996300000000001</v>
      </c>
      <c r="O2485" s="117"/>
      <c r="P2485" s="117"/>
      <c r="Q2485" s="117"/>
    </row>
    <row r="2486" spans="1:17" s="119" customFormat="1" ht="17.5" customHeight="1">
      <c r="A2486" s="109" t="s">
        <v>7343</v>
      </c>
      <c r="B2486" s="109" t="s">
        <v>7344</v>
      </c>
      <c r="C2486" s="98">
        <v>2008</v>
      </c>
      <c r="D2486" s="99">
        <v>138</v>
      </c>
      <c r="E2486" s="99">
        <v>2300</v>
      </c>
      <c r="F2486" s="99">
        <v>928</v>
      </c>
      <c r="G2486" s="99">
        <v>1305</v>
      </c>
      <c r="H2486" s="99">
        <v>554</v>
      </c>
      <c r="I2486" s="99">
        <v>41</v>
      </c>
      <c r="J2486" s="99">
        <v>42</v>
      </c>
      <c r="K2486" s="99">
        <v>1</v>
      </c>
      <c r="L2486" s="99">
        <v>640</v>
      </c>
      <c r="M2486" s="99">
        <v>710</v>
      </c>
      <c r="N2486" s="99">
        <v>-70</v>
      </c>
      <c r="O2486" s="117"/>
      <c r="P2486" s="117"/>
      <c r="Q2486" s="117"/>
    </row>
    <row r="2487" spans="1:17" s="119" customFormat="1" ht="17.5" customHeight="1">
      <c r="A2487" s="109" t="s">
        <v>7343</v>
      </c>
      <c r="B2487" s="109" t="s">
        <v>7344</v>
      </c>
      <c r="C2487" s="98">
        <v>2009</v>
      </c>
      <c r="D2487" s="99">
        <v>131</v>
      </c>
      <c r="E2487" s="99">
        <v>2516</v>
      </c>
      <c r="F2487" s="99">
        <v>960</v>
      </c>
      <c r="G2487" s="99">
        <v>1515</v>
      </c>
      <c r="H2487" s="99">
        <v>582</v>
      </c>
      <c r="I2487" s="99">
        <v>47</v>
      </c>
      <c r="J2487" s="99">
        <v>48</v>
      </c>
      <c r="K2487" s="99">
        <v>1</v>
      </c>
      <c r="L2487" s="99">
        <v>604</v>
      </c>
      <c r="M2487" s="99">
        <v>647</v>
      </c>
      <c r="N2487" s="99">
        <v>-42</v>
      </c>
      <c r="O2487" s="117"/>
      <c r="P2487" s="117"/>
      <c r="Q2487" s="117"/>
    </row>
    <row r="2488" spans="1:17" s="119" customFormat="1" ht="17.5" customHeight="1">
      <c r="A2488" s="109" t="s">
        <v>7343</v>
      </c>
      <c r="B2488" s="109" t="s">
        <v>7344</v>
      </c>
      <c r="C2488" s="98">
        <v>2010</v>
      </c>
      <c r="D2488" s="99">
        <v>127</v>
      </c>
      <c r="E2488" s="99">
        <v>2694</v>
      </c>
      <c r="F2488" s="99">
        <v>1100</v>
      </c>
      <c r="G2488" s="99">
        <v>1630</v>
      </c>
      <c r="H2488" s="99">
        <v>700</v>
      </c>
      <c r="I2488" s="99">
        <v>46</v>
      </c>
      <c r="J2488" s="99">
        <v>51</v>
      </c>
      <c r="K2488" s="99">
        <v>5</v>
      </c>
      <c r="L2488" s="99">
        <v>818</v>
      </c>
      <c r="M2488" s="99">
        <v>783</v>
      </c>
      <c r="N2488" s="99">
        <v>35</v>
      </c>
      <c r="O2488" s="117"/>
      <c r="P2488" s="117"/>
      <c r="Q2488" s="117"/>
    </row>
    <row r="2489" spans="1:17" s="119" customFormat="1" ht="17.5" customHeight="1">
      <c r="A2489" s="109" t="s">
        <v>7343</v>
      </c>
      <c r="B2489" s="109" t="s">
        <v>7344</v>
      </c>
      <c r="C2489" s="98">
        <v>2011</v>
      </c>
      <c r="D2489" s="99">
        <v>123</v>
      </c>
      <c r="E2489" s="99">
        <v>2640</v>
      </c>
      <c r="F2489" s="99">
        <v>1083</v>
      </c>
      <c r="G2489" s="99">
        <v>1667</v>
      </c>
      <c r="H2489" s="99">
        <v>678</v>
      </c>
      <c r="I2489" s="99">
        <v>50</v>
      </c>
      <c r="J2489" s="99">
        <v>51</v>
      </c>
      <c r="K2489" s="99">
        <v>1</v>
      </c>
      <c r="L2489" s="99">
        <v>894</v>
      </c>
      <c r="M2489" s="99">
        <v>784</v>
      </c>
      <c r="N2489" s="99">
        <v>110</v>
      </c>
      <c r="O2489" s="110"/>
      <c r="P2489" s="110"/>
      <c r="Q2489" s="110"/>
    </row>
    <row r="2490" spans="1:17" s="119" customFormat="1" ht="17.5" customHeight="1">
      <c r="A2490" s="109" t="s">
        <v>7343</v>
      </c>
      <c r="B2490" s="109" t="s">
        <v>7344</v>
      </c>
      <c r="C2490" s="111">
        <v>2012</v>
      </c>
      <c r="D2490" s="112">
        <v>122</v>
      </c>
      <c r="E2490" s="112">
        <v>3087</v>
      </c>
      <c r="F2490" s="112">
        <v>1100</v>
      </c>
      <c r="G2490" s="112">
        <v>1915</v>
      </c>
      <c r="H2490" s="112">
        <v>721</v>
      </c>
      <c r="I2490" s="112">
        <v>39</v>
      </c>
      <c r="J2490" s="112" t="s">
        <v>6953</v>
      </c>
      <c r="K2490" s="112" t="s">
        <v>6953</v>
      </c>
      <c r="L2490" s="112">
        <v>855</v>
      </c>
      <c r="M2490" s="112">
        <v>930</v>
      </c>
      <c r="N2490" s="112">
        <v>-75</v>
      </c>
      <c r="O2490" s="110"/>
      <c r="P2490" s="110"/>
      <c r="Q2490" s="110"/>
    </row>
    <row r="2491" spans="1:17" s="119" customFormat="1" ht="17.5" customHeight="1">
      <c r="A2491" s="109" t="s">
        <v>7343</v>
      </c>
      <c r="B2491" s="109" t="s">
        <v>7344</v>
      </c>
      <c r="C2491" s="113">
        <v>2013</v>
      </c>
      <c r="D2491" s="112">
        <v>120</v>
      </c>
      <c r="E2491" s="112">
        <v>2959</v>
      </c>
      <c r="F2491" s="112">
        <v>1023</v>
      </c>
      <c r="G2491" s="112">
        <v>1867</v>
      </c>
      <c r="H2491" s="112">
        <v>657</v>
      </c>
      <c r="I2491" s="112" t="s">
        <v>6953</v>
      </c>
      <c r="J2491" s="112">
        <v>42</v>
      </c>
      <c r="K2491" s="112" t="s">
        <v>6953</v>
      </c>
      <c r="L2491" s="112">
        <v>734</v>
      </c>
      <c r="M2491" s="112">
        <v>803</v>
      </c>
      <c r="N2491" s="112">
        <v>-69</v>
      </c>
      <c r="O2491" s="100"/>
      <c r="P2491" s="100"/>
      <c r="Q2491" s="100"/>
    </row>
    <row r="2492" spans="1:17" s="119" customFormat="1" ht="17.5" customHeight="1">
      <c r="A2492" s="109" t="s">
        <v>7343</v>
      </c>
      <c r="B2492" s="109" t="s">
        <v>7344</v>
      </c>
      <c r="C2492" s="113">
        <v>2014</v>
      </c>
      <c r="D2492" s="99">
        <v>124</v>
      </c>
      <c r="E2492" s="99">
        <v>2670</v>
      </c>
      <c r="F2492" s="99">
        <v>1038</v>
      </c>
      <c r="G2492" s="99">
        <v>1717</v>
      </c>
      <c r="H2492" s="99">
        <v>657</v>
      </c>
      <c r="I2492" s="99">
        <v>47</v>
      </c>
      <c r="J2492" s="99">
        <v>48</v>
      </c>
      <c r="K2492" s="99">
        <v>1</v>
      </c>
      <c r="L2492" s="99">
        <v>875</v>
      </c>
      <c r="M2492" s="99">
        <v>792</v>
      </c>
      <c r="N2492" s="99">
        <v>84</v>
      </c>
      <c r="O2492" s="110"/>
      <c r="P2492" s="110"/>
      <c r="Q2492" s="110"/>
    </row>
    <row r="2493" spans="1:17" s="119" customFormat="1" ht="17.5" customHeight="1">
      <c r="A2493" s="109" t="s">
        <v>7343</v>
      </c>
      <c r="B2493" s="109" t="s">
        <v>7344</v>
      </c>
      <c r="C2493" s="113">
        <v>2015</v>
      </c>
      <c r="D2493" s="112">
        <v>113</v>
      </c>
      <c r="E2493" s="112">
        <v>2604</v>
      </c>
      <c r="F2493" s="112">
        <v>1000</v>
      </c>
      <c r="G2493" s="112">
        <v>1622</v>
      </c>
      <c r="H2493" s="112">
        <v>671</v>
      </c>
      <c r="I2493" s="112">
        <v>68</v>
      </c>
      <c r="J2493" s="112">
        <v>68</v>
      </c>
      <c r="K2493" s="112" t="s">
        <v>6952</v>
      </c>
      <c r="L2493" s="112">
        <v>846</v>
      </c>
      <c r="M2493" s="112">
        <v>828</v>
      </c>
      <c r="N2493" s="112">
        <v>18</v>
      </c>
      <c r="O2493" s="100"/>
      <c r="P2493" s="100"/>
      <c r="Q2493" s="100"/>
    </row>
    <row r="2494" spans="1:17" s="119" customFormat="1" ht="17.5" customHeight="1">
      <c r="A2494" s="109" t="s">
        <v>7343</v>
      </c>
      <c r="B2494" s="109" t="s">
        <v>7344</v>
      </c>
      <c r="C2494" s="113">
        <v>2016</v>
      </c>
      <c r="D2494" s="112">
        <v>105</v>
      </c>
      <c r="E2494" s="112">
        <v>2619</v>
      </c>
      <c r="F2494" s="112">
        <v>1060</v>
      </c>
      <c r="G2494" s="112">
        <v>1570</v>
      </c>
      <c r="H2494" s="112">
        <v>678</v>
      </c>
      <c r="I2494" s="112">
        <v>53</v>
      </c>
      <c r="J2494" s="112">
        <v>54</v>
      </c>
      <c r="K2494" s="112">
        <v>1</v>
      </c>
      <c r="L2494" s="112">
        <v>826</v>
      </c>
      <c r="M2494" s="112">
        <v>820</v>
      </c>
      <c r="N2494" s="112">
        <v>5</v>
      </c>
      <c r="O2494" s="100"/>
      <c r="P2494" s="100"/>
      <c r="Q2494" s="100"/>
    </row>
    <row r="2495" spans="1:17" s="119" customFormat="1" ht="17.5" customHeight="1">
      <c r="A2495" s="109" t="s">
        <v>7343</v>
      </c>
      <c r="B2495" s="109" t="s">
        <v>7344</v>
      </c>
      <c r="C2495" s="113">
        <v>2017</v>
      </c>
      <c r="D2495" s="112">
        <v>105</v>
      </c>
      <c r="E2495" s="112">
        <v>2840</v>
      </c>
      <c r="F2495" s="112">
        <v>1071</v>
      </c>
      <c r="G2495" s="112">
        <v>1831</v>
      </c>
      <c r="H2495" s="112">
        <v>735</v>
      </c>
      <c r="I2495" s="112">
        <v>62</v>
      </c>
      <c r="J2495" s="112">
        <v>63</v>
      </c>
      <c r="K2495" s="112">
        <v>1</v>
      </c>
      <c r="L2495" s="112">
        <v>881</v>
      </c>
      <c r="M2495" s="112">
        <v>825</v>
      </c>
      <c r="N2495" s="112">
        <v>56</v>
      </c>
      <c r="O2495" s="110"/>
      <c r="P2495" s="110"/>
      <c r="Q2495" s="110"/>
    </row>
    <row r="2496" spans="1:17" s="119" customFormat="1" ht="17.5" customHeight="1">
      <c r="A2496" s="109" t="s">
        <v>7343</v>
      </c>
      <c r="B2496" s="109" t="s">
        <v>7344</v>
      </c>
      <c r="C2496" s="113">
        <v>2018</v>
      </c>
      <c r="D2496" s="112">
        <v>104</v>
      </c>
      <c r="E2496" s="112">
        <v>2770</v>
      </c>
      <c r="F2496" s="112">
        <v>1127</v>
      </c>
      <c r="G2496" s="112">
        <v>1843</v>
      </c>
      <c r="H2496" s="112">
        <v>791</v>
      </c>
      <c r="I2496" s="112">
        <v>46</v>
      </c>
      <c r="J2496" s="112">
        <v>52</v>
      </c>
      <c r="K2496" s="112">
        <v>6</v>
      </c>
      <c r="L2496" s="112">
        <v>1069</v>
      </c>
      <c r="M2496" s="112">
        <v>871</v>
      </c>
      <c r="N2496" s="112">
        <v>197</v>
      </c>
      <c r="O2496" s="110"/>
      <c r="P2496" s="110"/>
      <c r="Q2496" s="110"/>
    </row>
    <row r="2497" spans="1:17" s="119" customFormat="1" ht="17.5" customHeight="1">
      <c r="A2497" s="109" t="s">
        <v>7343</v>
      </c>
      <c r="B2497" s="109" t="s">
        <v>7344</v>
      </c>
      <c r="C2497" s="113">
        <v>2019</v>
      </c>
      <c r="D2497" s="112">
        <v>101</v>
      </c>
      <c r="E2497" s="112">
        <v>2749.0834620000001</v>
      </c>
      <c r="F2497" s="112">
        <v>1133.72919</v>
      </c>
      <c r="G2497" s="112">
        <v>1842.1575869999999</v>
      </c>
      <c r="H2497" s="112">
        <v>832.73725400000001</v>
      </c>
      <c r="I2497" s="112">
        <v>49.756453</v>
      </c>
      <c r="J2497" s="112">
        <v>56.922707000000003</v>
      </c>
      <c r="K2497" s="112">
        <v>7.1662540000000003</v>
      </c>
      <c r="L2497" s="112">
        <v>1294.060037</v>
      </c>
      <c r="M2497" s="112">
        <v>1077.759789</v>
      </c>
      <c r="N2497" s="112">
        <v>216.30024800000001</v>
      </c>
      <c r="O2497" s="117"/>
      <c r="P2497" s="117"/>
      <c r="Q2497" s="117"/>
    </row>
    <row r="2498" spans="1:17" s="119" customFormat="1" ht="17.5" customHeight="1">
      <c r="A2498" s="114" t="s">
        <v>7343</v>
      </c>
      <c r="B2498" s="114" t="s">
        <v>7344</v>
      </c>
      <c r="C2498" s="113">
        <v>2020</v>
      </c>
      <c r="D2498" s="112">
        <v>106</v>
      </c>
      <c r="E2498" s="112">
        <v>2738.4145360000002</v>
      </c>
      <c r="F2498" s="112">
        <v>1142.783138</v>
      </c>
      <c r="G2498" s="112">
        <v>1677.536053</v>
      </c>
      <c r="H2498" s="112">
        <v>859.76623900000004</v>
      </c>
      <c r="I2498" s="112">
        <v>39.027565000000003</v>
      </c>
      <c r="J2498" s="112">
        <v>39.222016000000004</v>
      </c>
      <c r="K2498" s="112" t="s">
        <v>6952</v>
      </c>
      <c r="L2498" s="112">
        <v>1365.311293</v>
      </c>
      <c r="M2498" s="112">
        <v>1283.726721</v>
      </c>
      <c r="N2498" s="112">
        <v>81.584571999999994</v>
      </c>
      <c r="O2498" s="117"/>
      <c r="P2498" s="117"/>
      <c r="Q2498" s="117"/>
    </row>
    <row r="2499" spans="1:17" s="119" customFormat="1" ht="31.75" customHeight="1">
      <c r="A2499" s="109" t="s">
        <v>7345</v>
      </c>
      <c r="B2499" s="109" t="s">
        <v>7346</v>
      </c>
      <c r="C2499" s="98">
        <v>2008</v>
      </c>
      <c r="D2499" s="99">
        <v>918</v>
      </c>
      <c r="E2499" s="99">
        <v>2700</v>
      </c>
      <c r="F2499" s="99">
        <v>941</v>
      </c>
      <c r="G2499" s="99">
        <v>1788</v>
      </c>
      <c r="H2499" s="99">
        <v>649</v>
      </c>
      <c r="I2499" s="99">
        <v>34</v>
      </c>
      <c r="J2499" s="99">
        <v>63</v>
      </c>
      <c r="K2499" s="99">
        <v>28</v>
      </c>
      <c r="L2499" s="99">
        <v>264</v>
      </c>
      <c r="M2499" s="99">
        <v>232</v>
      </c>
      <c r="N2499" s="99">
        <v>32</v>
      </c>
      <c r="O2499" s="117"/>
      <c r="P2499" s="117"/>
      <c r="Q2499" s="117"/>
    </row>
    <row r="2500" spans="1:17" s="119" customFormat="1" ht="31.75" customHeight="1">
      <c r="A2500" s="109" t="s">
        <v>7345</v>
      </c>
      <c r="B2500" s="109" t="s">
        <v>7346</v>
      </c>
      <c r="C2500" s="98">
        <v>2009</v>
      </c>
      <c r="D2500" s="99">
        <v>895</v>
      </c>
      <c r="E2500" s="99">
        <v>1760</v>
      </c>
      <c r="F2500" s="99">
        <v>524</v>
      </c>
      <c r="G2500" s="99">
        <v>1172</v>
      </c>
      <c r="H2500" s="99">
        <v>465</v>
      </c>
      <c r="I2500" s="99">
        <v>44</v>
      </c>
      <c r="J2500" s="99">
        <v>45</v>
      </c>
      <c r="K2500" s="99">
        <v>1</v>
      </c>
      <c r="L2500" s="99">
        <v>198</v>
      </c>
      <c r="M2500" s="99">
        <v>263</v>
      </c>
      <c r="N2500" s="99">
        <v>-65</v>
      </c>
      <c r="O2500" s="117"/>
      <c r="P2500" s="117"/>
      <c r="Q2500" s="117"/>
    </row>
    <row r="2501" spans="1:17" s="119" customFormat="1" ht="31.75" customHeight="1">
      <c r="A2501" s="109" t="s">
        <v>7345</v>
      </c>
      <c r="B2501" s="109" t="s">
        <v>7346</v>
      </c>
      <c r="C2501" s="98">
        <v>2010</v>
      </c>
      <c r="D2501" s="99">
        <v>798</v>
      </c>
      <c r="E2501" s="99">
        <v>1671</v>
      </c>
      <c r="F2501" s="99">
        <v>701</v>
      </c>
      <c r="G2501" s="99">
        <v>983</v>
      </c>
      <c r="H2501" s="99">
        <v>488</v>
      </c>
      <c r="I2501" s="99">
        <v>57</v>
      </c>
      <c r="J2501" s="99">
        <v>62</v>
      </c>
      <c r="K2501" s="99">
        <v>5</v>
      </c>
      <c r="L2501" s="99">
        <v>158</v>
      </c>
      <c r="M2501" s="99">
        <v>145</v>
      </c>
      <c r="N2501" s="99">
        <v>13</v>
      </c>
      <c r="O2501" s="110"/>
      <c r="P2501" s="110"/>
      <c r="Q2501" s="110"/>
    </row>
    <row r="2502" spans="1:17" s="119" customFormat="1" ht="31.75" customHeight="1">
      <c r="A2502" s="109" t="s">
        <v>7345</v>
      </c>
      <c r="B2502" s="109" t="s">
        <v>7346</v>
      </c>
      <c r="C2502" s="98">
        <v>2011</v>
      </c>
      <c r="D2502" s="99">
        <v>790</v>
      </c>
      <c r="E2502" s="99">
        <v>2145</v>
      </c>
      <c r="F2502" s="99">
        <v>916</v>
      </c>
      <c r="G2502" s="99">
        <v>1274</v>
      </c>
      <c r="H2502" s="99">
        <v>490</v>
      </c>
      <c r="I2502" s="99">
        <v>48</v>
      </c>
      <c r="J2502" s="99">
        <v>79</v>
      </c>
      <c r="K2502" s="99">
        <v>32</v>
      </c>
      <c r="L2502" s="99">
        <v>203</v>
      </c>
      <c r="M2502" s="99">
        <v>158</v>
      </c>
      <c r="N2502" s="99">
        <v>46</v>
      </c>
      <c r="O2502" s="110"/>
      <c r="P2502" s="110"/>
      <c r="Q2502" s="110"/>
    </row>
    <row r="2503" spans="1:17" s="119" customFormat="1" ht="31.75" customHeight="1">
      <c r="A2503" s="109" t="s">
        <v>7345</v>
      </c>
      <c r="B2503" s="109" t="s">
        <v>7346</v>
      </c>
      <c r="C2503" s="111">
        <v>2012</v>
      </c>
      <c r="D2503" s="112">
        <v>739</v>
      </c>
      <c r="E2503" s="112">
        <v>2402</v>
      </c>
      <c r="F2503" s="112">
        <v>925</v>
      </c>
      <c r="G2503" s="112">
        <v>1490</v>
      </c>
      <c r="H2503" s="112">
        <v>497</v>
      </c>
      <c r="I2503" s="112">
        <v>101</v>
      </c>
      <c r="J2503" s="112">
        <v>110</v>
      </c>
      <c r="K2503" s="112">
        <v>10</v>
      </c>
      <c r="L2503" s="112">
        <v>212</v>
      </c>
      <c r="M2503" s="112">
        <v>198</v>
      </c>
      <c r="N2503" s="112">
        <v>14</v>
      </c>
      <c r="O2503" s="100"/>
      <c r="P2503" s="100"/>
      <c r="Q2503" s="100"/>
    </row>
    <row r="2504" spans="1:17" s="119" customFormat="1" ht="31.75" customHeight="1">
      <c r="A2504" s="109" t="s">
        <v>7345</v>
      </c>
      <c r="B2504" s="109" t="s">
        <v>7346</v>
      </c>
      <c r="C2504" s="113">
        <v>2013</v>
      </c>
      <c r="D2504" s="112">
        <v>727</v>
      </c>
      <c r="E2504" s="112">
        <v>2267</v>
      </c>
      <c r="F2504" s="112">
        <v>840</v>
      </c>
      <c r="G2504" s="112">
        <v>1464</v>
      </c>
      <c r="H2504" s="112">
        <v>551</v>
      </c>
      <c r="I2504" s="112">
        <v>79</v>
      </c>
      <c r="J2504" s="112">
        <v>84</v>
      </c>
      <c r="K2504" s="112">
        <v>5</v>
      </c>
      <c r="L2504" s="112">
        <v>210</v>
      </c>
      <c r="M2504" s="112">
        <v>174</v>
      </c>
      <c r="N2504" s="112">
        <v>36</v>
      </c>
      <c r="O2504" s="110"/>
      <c r="P2504" s="110"/>
      <c r="Q2504" s="110"/>
    </row>
    <row r="2505" spans="1:17" s="119" customFormat="1" ht="31.75" customHeight="1">
      <c r="A2505" s="109" t="s">
        <v>7345</v>
      </c>
      <c r="B2505" s="109" t="s">
        <v>7346</v>
      </c>
      <c r="C2505" s="113">
        <v>2014</v>
      </c>
      <c r="D2505" s="99">
        <v>694</v>
      </c>
      <c r="E2505" s="99">
        <v>2258</v>
      </c>
      <c r="F2505" s="99">
        <v>1014</v>
      </c>
      <c r="G2505" s="99">
        <v>1261</v>
      </c>
      <c r="H2505" s="99">
        <v>503</v>
      </c>
      <c r="I2505" s="99">
        <v>112</v>
      </c>
      <c r="J2505" s="99">
        <v>115</v>
      </c>
      <c r="K2505" s="99">
        <v>2</v>
      </c>
      <c r="L2505" s="99">
        <v>179</v>
      </c>
      <c r="M2505" s="99">
        <v>163</v>
      </c>
      <c r="N2505" s="99">
        <v>16</v>
      </c>
      <c r="O2505" s="100"/>
      <c r="P2505" s="100"/>
      <c r="Q2505" s="100"/>
    </row>
    <row r="2506" spans="1:17" s="119" customFormat="1" ht="31.75" customHeight="1">
      <c r="A2506" s="109" t="s">
        <v>7345</v>
      </c>
      <c r="B2506" s="109" t="s">
        <v>7346</v>
      </c>
      <c r="C2506" s="113">
        <v>2015</v>
      </c>
      <c r="D2506" s="112">
        <v>631</v>
      </c>
      <c r="E2506" s="112">
        <v>2177</v>
      </c>
      <c r="F2506" s="112">
        <v>770</v>
      </c>
      <c r="G2506" s="112">
        <v>1398</v>
      </c>
      <c r="H2506" s="112">
        <v>536</v>
      </c>
      <c r="I2506" s="112">
        <v>105</v>
      </c>
      <c r="J2506" s="112">
        <v>114</v>
      </c>
      <c r="K2506" s="112">
        <v>10</v>
      </c>
      <c r="L2506" s="112">
        <v>205</v>
      </c>
      <c r="M2506" s="112">
        <v>214</v>
      </c>
      <c r="N2506" s="112">
        <v>-9</v>
      </c>
      <c r="O2506" s="100"/>
      <c r="P2506" s="100"/>
      <c r="Q2506" s="100"/>
    </row>
    <row r="2507" spans="1:17" s="119" customFormat="1" ht="31.75" customHeight="1">
      <c r="A2507" s="109" t="s">
        <v>7345</v>
      </c>
      <c r="B2507" s="109" t="s">
        <v>7346</v>
      </c>
      <c r="C2507" s="113">
        <v>2016</v>
      </c>
      <c r="D2507" s="112">
        <v>604</v>
      </c>
      <c r="E2507" s="112">
        <v>2218</v>
      </c>
      <c r="F2507" s="112">
        <v>830</v>
      </c>
      <c r="G2507" s="112">
        <v>1404</v>
      </c>
      <c r="H2507" s="112">
        <v>503</v>
      </c>
      <c r="I2507" s="112">
        <v>78</v>
      </c>
      <c r="J2507" s="112">
        <v>89</v>
      </c>
      <c r="K2507" s="112">
        <v>11</v>
      </c>
      <c r="L2507" s="112">
        <v>189</v>
      </c>
      <c r="M2507" s="112">
        <v>179</v>
      </c>
      <c r="N2507" s="112">
        <v>10</v>
      </c>
      <c r="O2507" s="110"/>
      <c r="P2507" s="110"/>
      <c r="Q2507" s="110"/>
    </row>
    <row r="2508" spans="1:17" s="119" customFormat="1" ht="31.75" customHeight="1">
      <c r="A2508" s="109" t="s">
        <v>7345</v>
      </c>
      <c r="B2508" s="109" t="s">
        <v>7346</v>
      </c>
      <c r="C2508" s="113">
        <v>2017</v>
      </c>
      <c r="D2508" s="112">
        <v>595</v>
      </c>
      <c r="E2508" s="112">
        <v>2512</v>
      </c>
      <c r="F2508" s="112">
        <v>952</v>
      </c>
      <c r="G2508" s="112">
        <v>1591</v>
      </c>
      <c r="H2508" s="112">
        <v>573</v>
      </c>
      <c r="I2508" s="112">
        <v>97</v>
      </c>
      <c r="J2508" s="112">
        <v>112</v>
      </c>
      <c r="K2508" s="112">
        <v>15</v>
      </c>
      <c r="L2508" s="112">
        <v>270</v>
      </c>
      <c r="M2508" s="112">
        <v>241</v>
      </c>
      <c r="N2508" s="112">
        <v>29</v>
      </c>
      <c r="O2508" s="110"/>
      <c r="P2508" s="110"/>
      <c r="Q2508" s="110"/>
    </row>
    <row r="2509" spans="1:17" s="119" customFormat="1" ht="31.75" customHeight="1">
      <c r="A2509" s="109" t="s">
        <v>7345</v>
      </c>
      <c r="B2509" s="109" t="s">
        <v>7346</v>
      </c>
      <c r="C2509" s="113">
        <v>2018</v>
      </c>
      <c r="D2509" s="112">
        <v>559</v>
      </c>
      <c r="E2509" s="112">
        <v>2254</v>
      </c>
      <c r="F2509" s="112">
        <v>833</v>
      </c>
      <c r="G2509" s="112">
        <v>1459</v>
      </c>
      <c r="H2509" s="112">
        <v>540</v>
      </c>
      <c r="I2509" s="112">
        <v>132</v>
      </c>
      <c r="J2509" s="112">
        <v>152</v>
      </c>
      <c r="K2509" s="112">
        <v>20</v>
      </c>
      <c r="L2509" s="112">
        <v>278</v>
      </c>
      <c r="M2509" s="112">
        <v>245</v>
      </c>
      <c r="N2509" s="112">
        <v>33</v>
      </c>
      <c r="O2509" s="117"/>
      <c r="P2509" s="117"/>
      <c r="Q2509" s="117"/>
    </row>
    <row r="2510" spans="1:17" s="119" customFormat="1" ht="31.75" customHeight="1">
      <c r="A2510" s="109" t="s">
        <v>7345</v>
      </c>
      <c r="B2510" s="109" t="s">
        <v>7346</v>
      </c>
      <c r="C2510" s="113">
        <v>2019</v>
      </c>
      <c r="D2510" s="112">
        <v>543</v>
      </c>
      <c r="E2510" s="112">
        <v>2207.6799179999998</v>
      </c>
      <c r="F2510" s="112">
        <v>830.64018199999998</v>
      </c>
      <c r="G2510" s="112">
        <v>1370.405131</v>
      </c>
      <c r="H2510" s="112">
        <v>536.72872600000005</v>
      </c>
      <c r="I2510" s="112">
        <v>94.581295999999995</v>
      </c>
      <c r="J2510" s="112">
        <v>96.332013000000003</v>
      </c>
      <c r="K2510" s="112">
        <v>1.7507170000000001</v>
      </c>
      <c r="L2510" s="112">
        <v>275.33139599999998</v>
      </c>
      <c r="M2510" s="112">
        <v>283.78170999999998</v>
      </c>
      <c r="N2510" s="112">
        <v>-8.4503129999999995</v>
      </c>
      <c r="O2510" s="117"/>
      <c r="P2510" s="117"/>
      <c r="Q2510" s="117"/>
    </row>
    <row r="2511" spans="1:17" s="119" customFormat="1" ht="31.75" customHeight="1">
      <c r="A2511" s="114" t="s">
        <v>7345</v>
      </c>
      <c r="B2511" s="109" t="s">
        <v>7346</v>
      </c>
      <c r="C2511" s="113">
        <v>2020</v>
      </c>
      <c r="D2511" s="112">
        <v>527</v>
      </c>
      <c r="E2511" s="112">
        <v>1840.336137</v>
      </c>
      <c r="F2511" s="112">
        <v>659.42148099999997</v>
      </c>
      <c r="G2511" s="112">
        <v>1162.5768350000001</v>
      </c>
      <c r="H2511" s="112">
        <v>470.50319400000001</v>
      </c>
      <c r="I2511" s="112">
        <v>66.642998000000006</v>
      </c>
      <c r="J2511" s="112">
        <v>68.891096000000005</v>
      </c>
      <c r="K2511" s="112">
        <v>2.2480980000000002</v>
      </c>
      <c r="L2511" s="112">
        <v>282.59058299999998</v>
      </c>
      <c r="M2511" s="112">
        <v>307.92423600000001</v>
      </c>
      <c r="N2511" s="112">
        <v>-25.333653000000002</v>
      </c>
      <c r="O2511" s="117"/>
      <c r="P2511" s="117"/>
      <c r="Q2511" s="117"/>
    </row>
    <row r="2512" spans="1:17" s="119" customFormat="1" ht="17.5" customHeight="1">
      <c r="A2512" s="109" t="s">
        <v>7347</v>
      </c>
      <c r="B2512" s="109" t="s">
        <v>7348</v>
      </c>
      <c r="C2512" s="98">
        <v>2008</v>
      </c>
      <c r="D2512" s="99">
        <v>13516</v>
      </c>
      <c r="E2512" s="99">
        <v>9027</v>
      </c>
      <c r="F2512" s="99">
        <v>4635</v>
      </c>
      <c r="G2512" s="99">
        <v>4403</v>
      </c>
      <c r="H2512" s="99">
        <v>2578</v>
      </c>
      <c r="I2512" s="99">
        <v>185</v>
      </c>
      <c r="J2512" s="99">
        <v>328</v>
      </c>
      <c r="K2512" s="99">
        <v>143</v>
      </c>
      <c r="L2512" s="99">
        <v>553</v>
      </c>
      <c r="M2512" s="99">
        <v>545</v>
      </c>
      <c r="N2512" s="99">
        <v>8</v>
      </c>
      <c r="O2512" s="117"/>
      <c r="P2512" s="117"/>
      <c r="Q2512" s="117"/>
    </row>
    <row r="2513" spans="1:17" s="119" customFormat="1" ht="17.5" customHeight="1">
      <c r="A2513" s="109" t="s">
        <v>7347</v>
      </c>
      <c r="B2513" s="109" t="s">
        <v>7348</v>
      </c>
      <c r="C2513" s="98">
        <v>2009</v>
      </c>
      <c r="D2513" s="99">
        <v>14114</v>
      </c>
      <c r="E2513" s="99">
        <v>7966</v>
      </c>
      <c r="F2513" s="99">
        <v>4101</v>
      </c>
      <c r="G2513" s="99">
        <v>3820</v>
      </c>
      <c r="H2513" s="99">
        <v>2512</v>
      </c>
      <c r="I2513" s="99">
        <v>119</v>
      </c>
      <c r="J2513" s="99">
        <v>142</v>
      </c>
      <c r="K2513" s="99">
        <v>23</v>
      </c>
      <c r="L2513" s="99">
        <v>499</v>
      </c>
      <c r="M2513" s="99">
        <v>548</v>
      </c>
      <c r="N2513" s="99">
        <v>-49</v>
      </c>
      <c r="O2513" s="110"/>
      <c r="P2513" s="110"/>
      <c r="Q2513" s="110"/>
    </row>
    <row r="2514" spans="1:17" s="119" customFormat="1" ht="17.5" customHeight="1">
      <c r="A2514" s="109" t="s">
        <v>7347</v>
      </c>
      <c r="B2514" s="109" t="s">
        <v>7348</v>
      </c>
      <c r="C2514" s="98">
        <v>2010</v>
      </c>
      <c r="D2514" s="99">
        <v>13371</v>
      </c>
      <c r="E2514" s="99">
        <v>8490</v>
      </c>
      <c r="F2514" s="99">
        <v>4181</v>
      </c>
      <c r="G2514" s="99">
        <v>4345</v>
      </c>
      <c r="H2514" s="99">
        <v>2537</v>
      </c>
      <c r="I2514" s="99">
        <v>252</v>
      </c>
      <c r="J2514" s="99">
        <v>284</v>
      </c>
      <c r="K2514" s="99">
        <v>32</v>
      </c>
      <c r="L2514" s="99">
        <v>687</v>
      </c>
      <c r="M2514" s="99">
        <v>646</v>
      </c>
      <c r="N2514" s="99">
        <v>41</v>
      </c>
      <c r="O2514" s="110"/>
      <c r="P2514" s="110"/>
      <c r="Q2514" s="110"/>
    </row>
    <row r="2515" spans="1:17" s="119" customFormat="1" ht="17.5" customHeight="1">
      <c r="A2515" s="109" t="s">
        <v>7347</v>
      </c>
      <c r="B2515" s="109" t="s">
        <v>7348</v>
      </c>
      <c r="C2515" s="98">
        <v>2011</v>
      </c>
      <c r="D2515" s="99">
        <v>12663</v>
      </c>
      <c r="E2515" s="99">
        <v>9329</v>
      </c>
      <c r="F2515" s="99">
        <v>4743</v>
      </c>
      <c r="G2515" s="99">
        <v>4667</v>
      </c>
      <c r="H2515" s="99">
        <v>2683</v>
      </c>
      <c r="I2515" s="99">
        <v>336</v>
      </c>
      <c r="J2515" s="99">
        <v>382</v>
      </c>
      <c r="K2515" s="99">
        <v>47</v>
      </c>
      <c r="L2515" s="99">
        <v>766</v>
      </c>
      <c r="M2515" s="99">
        <v>693</v>
      </c>
      <c r="N2515" s="99">
        <v>73</v>
      </c>
      <c r="O2515" s="100"/>
      <c r="P2515" s="100"/>
      <c r="Q2515" s="100"/>
    </row>
    <row r="2516" spans="1:17" s="119" customFormat="1" ht="17.5" customHeight="1">
      <c r="A2516" s="109" t="s">
        <v>7347</v>
      </c>
      <c r="B2516" s="109" t="s">
        <v>7348</v>
      </c>
      <c r="C2516" s="111">
        <v>2012</v>
      </c>
      <c r="D2516" s="112">
        <v>12141</v>
      </c>
      <c r="E2516" s="112">
        <v>9321</v>
      </c>
      <c r="F2516" s="112">
        <v>5214</v>
      </c>
      <c r="G2516" s="112">
        <v>4198</v>
      </c>
      <c r="H2516" s="112">
        <v>2784</v>
      </c>
      <c r="I2516" s="112">
        <v>268</v>
      </c>
      <c r="J2516" s="112">
        <v>347</v>
      </c>
      <c r="K2516" s="112">
        <v>79</v>
      </c>
      <c r="L2516" s="112">
        <v>842</v>
      </c>
      <c r="M2516" s="112">
        <v>749</v>
      </c>
      <c r="N2516" s="112">
        <v>93</v>
      </c>
      <c r="O2516" s="110"/>
      <c r="P2516" s="110"/>
      <c r="Q2516" s="110"/>
    </row>
    <row r="2517" spans="1:17" s="119" customFormat="1" ht="17.5" customHeight="1">
      <c r="A2517" s="109" t="s">
        <v>7347</v>
      </c>
      <c r="B2517" s="109" t="s">
        <v>7348</v>
      </c>
      <c r="C2517" s="113">
        <v>2013</v>
      </c>
      <c r="D2517" s="112">
        <v>12602</v>
      </c>
      <c r="E2517" s="112">
        <v>9315</v>
      </c>
      <c r="F2517" s="112">
        <v>5103</v>
      </c>
      <c r="G2517" s="112">
        <v>4251</v>
      </c>
      <c r="H2517" s="112">
        <v>2694</v>
      </c>
      <c r="I2517" s="112">
        <v>345</v>
      </c>
      <c r="J2517" s="112">
        <v>410</v>
      </c>
      <c r="K2517" s="112">
        <v>66</v>
      </c>
      <c r="L2517" s="112">
        <v>658</v>
      </c>
      <c r="M2517" s="112">
        <v>629</v>
      </c>
      <c r="N2517" s="112">
        <v>29</v>
      </c>
      <c r="O2517" s="100"/>
      <c r="P2517" s="100"/>
      <c r="Q2517" s="100"/>
    </row>
    <row r="2518" spans="1:17" s="119" customFormat="1" ht="17.5" customHeight="1">
      <c r="A2518" s="109" t="s">
        <v>7347</v>
      </c>
      <c r="B2518" s="109" t="s">
        <v>7348</v>
      </c>
      <c r="C2518" s="113">
        <v>2014</v>
      </c>
      <c r="D2518" s="99">
        <v>13311</v>
      </c>
      <c r="E2518" s="99">
        <v>9585</v>
      </c>
      <c r="F2518" s="99">
        <v>5651</v>
      </c>
      <c r="G2518" s="99">
        <v>4073</v>
      </c>
      <c r="H2518" s="99">
        <v>2660</v>
      </c>
      <c r="I2518" s="99">
        <v>698</v>
      </c>
      <c r="J2518" s="99">
        <v>745</v>
      </c>
      <c r="K2518" s="99">
        <v>47</v>
      </c>
      <c r="L2518" s="99">
        <v>660</v>
      </c>
      <c r="M2518" s="99">
        <v>631</v>
      </c>
      <c r="N2518" s="99">
        <v>29</v>
      </c>
      <c r="O2518" s="100"/>
      <c r="P2518" s="100"/>
      <c r="Q2518" s="100"/>
    </row>
    <row r="2519" spans="1:17" s="119" customFormat="1" ht="17.5" customHeight="1">
      <c r="A2519" s="109" t="s">
        <v>7347</v>
      </c>
      <c r="B2519" s="109" t="s">
        <v>7348</v>
      </c>
      <c r="C2519" s="113">
        <v>2015</v>
      </c>
      <c r="D2519" s="112">
        <v>15092</v>
      </c>
      <c r="E2519" s="112">
        <v>9701</v>
      </c>
      <c r="F2519" s="112">
        <v>5423</v>
      </c>
      <c r="G2519" s="112">
        <v>4302</v>
      </c>
      <c r="H2519" s="112">
        <v>2808</v>
      </c>
      <c r="I2519" s="112">
        <v>682</v>
      </c>
      <c r="J2519" s="112">
        <v>731</v>
      </c>
      <c r="K2519" s="112">
        <v>49</v>
      </c>
      <c r="L2519" s="112">
        <v>602</v>
      </c>
      <c r="M2519" s="112">
        <v>596</v>
      </c>
      <c r="N2519" s="112">
        <v>6</v>
      </c>
      <c r="O2519" s="110"/>
      <c r="P2519" s="110"/>
      <c r="Q2519" s="110"/>
    </row>
    <row r="2520" spans="1:17" s="119" customFormat="1" ht="17.5" customHeight="1">
      <c r="A2520" s="109" t="s">
        <v>7347</v>
      </c>
      <c r="B2520" s="109" t="s">
        <v>7348</v>
      </c>
      <c r="C2520" s="113">
        <v>2016</v>
      </c>
      <c r="D2520" s="112">
        <v>15806</v>
      </c>
      <c r="E2520" s="112">
        <v>9892</v>
      </c>
      <c r="F2520" s="112">
        <v>5454</v>
      </c>
      <c r="G2520" s="112">
        <v>4449</v>
      </c>
      <c r="H2520" s="112">
        <v>2905</v>
      </c>
      <c r="I2520" s="112">
        <v>730</v>
      </c>
      <c r="J2520" s="112">
        <v>777</v>
      </c>
      <c r="K2520" s="112">
        <v>47</v>
      </c>
      <c r="L2520" s="112">
        <v>701</v>
      </c>
      <c r="M2520" s="112">
        <v>695</v>
      </c>
      <c r="N2520" s="112">
        <v>6</v>
      </c>
      <c r="O2520" s="110"/>
      <c r="P2520" s="110"/>
      <c r="Q2520" s="110"/>
    </row>
    <row r="2521" spans="1:17" s="119" customFormat="1" ht="17.5" customHeight="1">
      <c r="A2521" s="109" t="s">
        <v>7347</v>
      </c>
      <c r="B2521" s="109" t="s">
        <v>7348</v>
      </c>
      <c r="C2521" s="113">
        <v>2017</v>
      </c>
      <c r="D2521" s="112">
        <v>16815</v>
      </c>
      <c r="E2521" s="112">
        <v>10099</v>
      </c>
      <c r="F2521" s="112">
        <v>5576</v>
      </c>
      <c r="G2521" s="112">
        <v>4625</v>
      </c>
      <c r="H2521" s="112">
        <v>3168</v>
      </c>
      <c r="I2521" s="112">
        <v>617</v>
      </c>
      <c r="J2521" s="112">
        <v>680</v>
      </c>
      <c r="K2521" s="112">
        <v>64</v>
      </c>
      <c r="L2521" s="112">
        <v>746</v>
      </c>
      <c r="M2521" s="112">
        <v>647</v>
      </c>
      <c r="N2521" s="112">
        <v>99</v>
      </c>
      <c r="O2521" s="117"/>
      <c r="P2521" s="117"/>
      <c r="Q2521" s="117"/>
    </row>
    <row r="2522" spans="1:17" s="119" customFormat="1" ht="17.5" customHeight="1">
      <c r="A2522" s="109" t="s">
        <v>7347</v>
      </c>
      <c r="B2522" s="109" t="s">
        <v>7348</v>
      </c>
      <c r="C2522" s="113">
        <v>2018</v>
      </c>
      <c r="D2522" s="112">
        <v>17080</v>
      </c>
      <c r="E2522" s="112">
        <v>10547</v>
      </c>
      <c r="F2522" s="112">
        <v>5796</v>
      </c>
      <c r="G2522" s="112">
        <v>4840</v>
      </c>
      <c r="H2522" s="112">
        <v>2988</v>
      </c>
      <c r="I2522" s="112">
        <v>550</v>
      </c>
      <c r="J2522" s="112">
        <v>611</v>
      </c>
      <c r="K2522" s="112">
        <v>61</v>
      </c>
      <c r="L2522" s="112">
        <v>798</v>
      </c>
      <c r="M2522" s="112">
        <v>714</v>
      </c>
      <c r="N2522" s="112">
        <v>84</v>
      </c>
      <c r="O2522" s="117"/>
      <c r="P2522" s="117"/>
      <c r="Q2522" s="117"/>
    </row>
    <row r="2523" spans="1:17" s="119" customFormat="1" ht="17.5" customHeight="1">
      <c r="A2523" s="109" t="s">
        <v>7347</v>
      </c>
      <c r="B2523" s="109" t="s">
        <v>7348</v>
      </c>
      <c r="C2523" s="113">
        <v>2019</v>
      </c>
      <c r="D2523" s="112">
        <v>15050</v>
      </c>
      <c r="E2523" s="112">
        <v>11244.443743</v>
      </c>
      <c r="F2523" s="112">
        <v>6001.3567110000004</v>
      </c>
      <c r="G2523" s="112">
        <v>5325.3681200000001</v>
      </c>
      <c r="H2523" s="112">
        <v>3242.9108099999999</v>
      </c>
      <c r="I2523" s="112">
        <v>714.12484199999994</v>
      </c>
      <c r="J2523" s="112">
        <v>839.58095900000001</v>
      </c>
      <c r="K2523" s="112">
        <v>125.45611700000001</v>
      </c>
      <c r="L2523" s="112">
        <v>894.540211</v>
      </c>
      <c r="M2523" s="112">
        <v>826.27996499999995</v>
      </c>
      <c r="N2523" s="112">
        <v>68.260245999999995</v>
      </c>
      <c r="O2523" s="117"/>
      <c r="P2523" s="117"/>
      <c r="Q2523" s="117"/>
    </row>
    <row r="2524" spans="1:17" s="119" customFormat="1" ht="17.5" customHeight="1">
      <c r="A2524" s="114" t="s">
        <v>7347</v>
      </c>
      <c r="B2524" s="114" t="s">
        <v>7348</v>
      </c>
      <c r="C2524" s="113">
        <v>2020</v>
      </c>
      <c r="D2524" s="112">
        <v>14969</v>
      </c>
      <c r="E2524" s="112">
        <v>9792.5712569999996</v>
      </c>
      <c r="F2524" s="112">
        <v>5340.2495019999997</v>
      </c>
      <c r="G2524" s="112">
        <v>4477.1540999999997</v>
      </c>
      <c r="H2524" s="112">
        <v>3247.885366</v>
      </c>
      <c r="I2524" s="112">
        <v>846.629233</v>
      </c>
      <c r="J2524" s="112">
        <v>905.558132</v>
      </c>
      <c r="K2524" s="112">
        <v>58.928899000000001</v>
      </c>
      <c r="L2524" s="112">
        <v>842.83059000000003</v>
      </c>
      <c r="M2524" s="112">
        <v>853.65722200000005</v>
      </c>
      <c r="N2524" s="112">
        <v>-10.826632999999999</v>
      </c>
      <c r="O2524" s="117"/>
      <c r="P2524" s="117"/>
      <c r="Q2524" s="117"/>
    </row>
    <row r="2525" spans="1:17" s="119" customFormat="1" ht="17.5" customHeight="1">
      <c r="A2525" s="109" t="s">
        <v>7349</v>
      </c>
      <c r="B2525" s="109" t="s">
        <v>7350</v>
      </c>
      <c r="C2525" s="98">
        <v>2008</v>
      </c>
      <c r="D2525" s="99">
        <v>1380</v>
      </c>
      <c r="E2525" s="99">
        <v>1267</v>
      </c>
      <c r="F2525" s="99">
        <v>662</v>
      </c>
      <c r="G2525" s="99">
        <v>621</v>
      </c>
      <c r="H2525" s="99">
        <v>432</v>
      </c>
      <c r="I2525" s="99">
        <v>61</v>
      </c>
      <c r="J2525" s="99">
        <v>71</v>
      </c>
      <c r="K2525" s="99">
        <v>10</v>
      </c>
      <c r="L2525" s="99">
        <v>62</v>
      </c>
      <c r="M2525" s="99">
        <v>56</v>
      </c>
      <c r="N2525" s="99">
        <v>6</v>
      </c>
      <c r="O2525" s="110"/>
      <c r="P2525" s="110"/>
      <c r="Q2525" s="110"/>
    </row>
    <row r="2526" spans="1:17" s="119" customFormat="1" ht="17.5" customHeight="1">
      <c r="A2526" s="109" t="s">
        <v>7349</v>
      </c>
      <c r="B2526" s="109" t="s">
        <v>7350</v>
      </c>
      <c r="C2526" s="98">
        <v>2009</v>
      </c>
      <c r="D2526" s="99">
        <v>1339</v>
      </c>
      <c r="E2526" s="99">
        <v>1684</v>
      </c>
      <c r="F2526" s="99">
        <v>867</v>
      </c>
      <c r="G2526" s="99">
        <v>823</v>
      </c>
      <c r="H2526" s="99">
        <v>552</v>
      </c>
      <c r="I2526" s="99">
        <v>36</v>
      </c>
      <c r="J2526" s="99">
        <v>44</v>
      </c>
      <c r="K2526" s="99">
        <v>8</v>
      </c>
      <c r="L2526" s="99">
        <v>107</v>
      </c>
      <c r="M2526" s="99">
        <v>106</v>
      </c>
      <c r="N2526" s="99">
        <v>1</v>
      </c>
      <c r="O2526" s="110"/>
      <c r="P2526" s="110"/>
      <c r="Q2526" s="110"/>
    </row>
    <row r="2527" spans="1:17" s="119" customFormat="1" ht="17.5" customHeight="1">
      <c r="A2527" s="109" t="s">
        <v>7349</v>
      </c>
      <c r="B2527" s="109" t="s">
        <v>7350</v>
      </c>
      <c r="C2527" s="98">
        <v>2010</v>
      </c>
      <c r="D2527" s="99">
        <v>1315</v>
      </c>
      <c r="E2527" s="99">
        <v>1596</v>
      </c>
      <c r="F2527" s="99">
        <v>668</v>
      </c>
      <c r="G2527" s="99">
        <v>941</v>
      </c>
      <c r="H2527" s="99">
        <v>489</v>
      </c>
      <c r="I2527" s="99">
        <v>33</v>
      </c>
      <c r="J2527" s="99">
        <v>39</v>
      </c>
      <c r="K2527" s="99">
        <v>7</v>
      </c>
      <c r="L2527" s="99">
        <v>133</v>
      </c>
      <c r="M2527" s="99">
        <v>118</v>
      </c>
      <c r="N2527" s="99">
        <v>15</v>
      </c>
      <c r="O2527" s="100"/>
      <c r="P2527" s="100"/>
      <c r="Q2527" s="100"/>
    </row>
    <row r="2528" spans="1:17" s="119" customFormat="1" ht="17.5" customHeight="1">
      <c r="A2528" s="109" t="s">
        <v>7349</v>
      </c>
      <c r="B2528" s="109" t="s">
        <v>7350</v>
      </c>
      <c r="C2528" s="98">
        <v>2011</v>
      </c>
      <c r="D2528" s="99">
        <v>1319</v>
      </c>
      <c r="E2528" s="99">
        <v>1758</v>
      </c>
      <c r="F2528" s="99">
        <v>823</v>
      </c>
      <c r="G2528" s="99">
        <v>954</v>
      </c>
      <c r="H2528" s="99">
        <v>488</v>
      </c>
      <c r="I2528" s="99">
        <v>67</v>
      </c>
      <c r="J2528" s="99">
        <v>69</v>
      </c>
      <c r="K2528" s="99">
        <v>2</v>
      </c>
      <c r="L2528" s="99">
        <v>115</v>
      </c>
      <c r="M2528" s="99">
        <v>95</v>
      </c>
      <c r="N2528" s="99">
        <v>20</v>
      </c>
      <c r="O2528" s="110"/>
      <c r="P2528" s="110"/>
      <c r="Q2528" s="110"/>
    </row>
    <row r="2529" spans="1:17" s="119" customFormat="1" ht="17.5" customHeight="1">
      <c r="A2529" s="109" t="s">
        <v>7349</v>
      </c>
      <c r="B2529" s="109" t="s">
        <v>7350</v>
      </c>
      <c r="C2529" s="111">
        <v>2012</v>
      </c>
      <c r="D2529" s="112">
        <v>1265</v>
      </c>
      <c r="E2529" s="112">
        <v>1646</v>
      </c>
      <c r="F2529" s="112">
        <v>905</v>
      </c>
      <c r="G2529" s="112">
        <v>744</v>
      </c>
      <c r="H2529" s="112">
        <v>482</v>
      </c>
      <c r="I2529" s="112">
        <v>79</v>
      </c>
      <c r="J2529" s="112">
        <v>84</v>
      </c>
      <c r="K2529" s="112">
        <v>5</v>
      </c>
      <c r="L2529" s="112">
        <v>69</v>
      </c>
      <c r="M2529" s="112">
        <v>64</v>
      </c>
      <c r="N2529" s="112">
        <v>4</v>
      </c>
      <c r="O2529" s="100"/>
      <c r="P2529" s="100"/>
      <c r="Q2529" s="100"/>
    </row>
    <row r="2530" spans="1:17" s="119" customFormat="1" ht="17.5" customHeight="1">
      <c r="A2530" s="109" t="s">
        <v>7349</v>
      </c>
      <c r="B2530" s="109" t="s">
        <v>7350</v>
      </c>
      <c r="C2530" s="113">
        <v>2013</v>
      </c>
      <c r="D2530" s="112">
        <v>1274</v>
      </c>
      <c r="E2530" s="112">
        <v>1691</v>
      </c>
      <c r="F2530" s="112">
        <v>884</v>
      </c>
      <c r="G2530" s="112">
        <v>825</v>
      </c>
      <c r="H2530" s="112">
        <v>538</v>
      </c>
      <c r="I2530" s="112">
        <v>51</v>
      </c>
      <c r="J2530" s="112">
        <v>58</v>
      </c>
      <c r="K2530" s="112">
        <v>7</v>
      </c>
      <c r="L2530" s="112">
        <v>100</v>
      </c>
      <c r="M2530" s="112">
        <v>83</v>
      </c>
      <c r="N2530" s="112">
        <v>17</v>
      </c>
      <c r="O2530" s="100"/>
      <c r="P2530" s="100"/>
      <c r="Q2530" s="100"/>
    </row>
    <row r="2531" spans="1:17" s="119" customFormat="1" ht="17.5" customHeight="1">
      <c r="A2531" s="109" t="s">
        <v>7349</v>
      </c>
      <c r="B2531" s="109" t="s">
        <v>7350</v>
      </c>
      <c r="C2531" s="113">
        <v>2014</v>
      </c>
      <c r="D2531" s="99">
        <v>1305</v>
      </c>
      <c r="E2531" s="99">
        <v>1622</v>
      </c>
      <c r="F2531" s="99">
        <v>1048</v>
      </c>
      <c r="G2531" s="99">
        <v>587</v>
      </c>
      <c r="H2531" s="99">
        <v>482</v>
      </c>
      <c r="I2531" s="99">
        <v>76</v>
      </c>
      <c r="J2531" s="99">
        <v>88</v>
      </c>
      <c r="K2531" s="99">
        <v>11</v>
      </c>
      <c r="L2531" s="99">
        <v>67</v>
      </c>
      <c r="M2531" s="99">
        <v>58</v>
      </c>
      <c r="N2531" s="99">
        <v>9</v>
      </c>
      <c r="O2531" s="110"/>
      <c r="P2531" s="110"/>
      <c r="Q2531" s="110"/>
    </row>
    <row r="2532" spans="1:17" s="119" customFormat="1" ht="17.5" customHeight="1">
      <c r="A2532" s="109" t="s">
        <v>7349</v>
      </c>
      <c r="B2532" s="109" t="s">
        <v>7350</v>
      </c>
      <c r="C2532" s="113">
        <v>2015</v>
      </c>
      <c r="D2532" s="112">
        <v>1308</v>
      </c>
      <c r="E2532" s="112">
        <v>1613</v>
      </c>
      <c r="F2532" s="112">
        <v>959</v>
      </c>
      <c r="G2532" s="112">
        <v>659</v>
      </c>
      <c r="H2532" s="112">
        <v>513</v>
      </c>
      <c r="I2532" s="112">
        <v>64</v>
      </c>
      <c r="J2532" s="112">
        <v>69</v>
      </c>
      <c r="K2532" s="112">
        <v>5</v>
      </c>
      <c r="L2532" s="112">
        <v>76</v>
      </c>
      <c r="M2532" s="112">
        <v>71</v>
      </c>
      <c r="N2532" s="112">
        <v>5</v>
      </c>
      <c r="O2532" s="110"/>
      <c r="P2532" s="110"/>
      <c r="Q2532" s="110"/>
    </row>
    <row r="2533" spans="1:17" s="119" customFormat="1" ht="17.5" customHeight="1">
      <c r="A2533" s="109" t="s">
        <v>7349</v>
      </c>
      <c r="B2533" s="109" t="s">
        <v>7350</v>
      </c>
      <c r="C2533" s="113">
        <v>2016</v>
      </c>
      <c r="D2533" s="112">
        <v>1324</v>
      </c>
      <c r="E2533" s="112">
        <v>1687</v>
      </c>
      <c r="F2533" s="112">
        <v>951</v>
      </c>
      <c r="G2533" s="112">
        <v>743</v>
      </c>
      <c r="H2533" s="112">
        <v>569</v>
      </c>
      <c r="I2533" s="112">
        <v>86</v>
      </c>
      <c r="J2533" s="112">
        <v>102</v>
      </c>
      <c r="K2533" s="112">
        <v>16</v>
      </c>
      <c r="L2533" s="112">
        <v>73</v>
      </c>
      <c r="M2533" s="112">
        <v>69</v>
      </c>
      <c r="N2533" s="112">
        <v>4</v>
      </c>
      <c r="O2533" s="117"/>
      <c r="P2533" s="117"/>
      <c r="Q2533" s="117"/>
    </row>
    <row r="2534" spans="1:17" s="119" customFormat="1" ht="17.5" customHeight="1">
      <c r="A2534" s="109" t="s">
        <v>7349</v>
      </c>
      <c r="B2534" s="109" t="s">
        <v>7350</v>
      </c>
      <c r="C2534" s="113">
        <v>2017</v>
      </c>
      <c r="D2534" s="112">
        <v>1276</v>
      </c>
      <c r="E2534" s="112">
        <v>1615</v>
      </c>
      <c r="F2534" s="112">
        <v>936</v>
      </c>
      <c r="G2534" s="112">
        <v>688</v>
      </c>
      <c r="H2534" s="112">
        <v>571</v>
      </c>
      <c r="I2534" s="112">
        <v>82</v>
      </c>
      <c r="J2534" s="112">
        <v>90</v>
      </c>
      <c r="K2534" s="112">
        <v>8</v>
      </c>
      <c r="L2534" s="112">
        <v>82</v>
      </c>
      <c r="M2534" s="112">
        <v>72</v>
      </c>
      <c r="N2534" s="112">
        <v>10</v>
      </c>
      <c r="O2534" s="117"/>
      <c r="P2534" s="117"/>
      <c r="Q2534" s="117"/>
    </row>
    <row r="2535" spans="1:17" s="119" customFormat="1" ht="17.5" customHeight="1">
      <c r="A2535" s="109" t="s">
        <v>7349</v>
      </c>
      <c r="B2535" s="109" t="s">
        <v>7350</v>
      </c>
      <c r="C2535" s="113">
        <v>2018</v>
      </c>
      <c r="D2535" s="112">
        <v>1297</v>
      </c>
      <c r="E2535" s="112">
        <v>1761</v>
      </c>
      <c r="F2535" s="112">
        <v>993</v>
      </c>
      <c r="G2535" s="112">
        <v>779</v>
      </c>
      <c r="H2535" s="112">
        <v>588</v>
      </c>
      <c r="I2535" s="112">
        <v>103</v>
      </c>
      <c r="J2535" s="112">
        <v>123</v>
      </c>
      <c r="K2535" s="112">
        <v>20</v>
      </c>
      <c r="L2535" s="112">
        <v>97</v>
      </c>
      <c r="M2535" s="112">
        <v>87</v>
      </c>
      <c r="N2535" s="112">
        <v>10</v>
      </c>
      <c r="O2535" s="117"/>
      <c r="P2535" s="117"/>
      <c r="Q2535" s="117"/>
    </row>
    <row r="2536" spans="1:17" s="119" customFormat="1" ht="17.5" customHeight="1">
      <c r="A2536" s="109" t="s">
        <v>7349</v>
      </c>
      <c r="B2536" s="109" t="s">
        <v>7350</v>
      </c>
      <c r="C2536" s="113">
        <v>2019</v>
      </c>
      <c r="D2536" s="112">
        <v>1303</v>
      </c>
      <c r="E2536" s="112">
        <v>1739.335544</v>
      </c>
      <c r="F2536" s="112">
        <v>959.50553100000002</v>
      </c>
      <c r="G2536" s="112">
        <v>775.05244300000004</v>
      </c>
      <c r="H2536" s="112">
        <v>602.54604600000005</v>
      </c>
      <c r="I2536" s="112">
        <v>117.067278</v>
      </c>
      <c r="J2536" s="112">
        <v>129.05986899999999</v>
      </c>
      <c r="K2536" s="112">
        <v>11.992590999999999</v>
      </c>
      <c r="L2536" s="112">
        <v>96.623253000000005</v>
      </c>
      <c r="M2536" s="112">
        <v>103.519159</v>
      </c>
      <c r="N2536" s="112">
        <v>-6.8959070000000002</v>
      </c>
      <c r="O2536" s="117"/>
      <c r="P2536" s="117"/>
      <c r="Q2536" s="117"/>
    </row>
    <row r="2537" spans="1:17" s="119" customFormat="1" ht="17.5" customHeight="1">
      <c r="A2537" s="114" t="s">
        <v>7349</v>
      </c>
      <c r="B2537" s="114" t="s">
        <v>7350</v>
      </c>
      <c r="C2537" s="113">
        <v>2020</v>
      </c>
      <c r="D2537" s="112">
        <v>1298</v>
      </c>
      <c r="E2537" s="112">
        <v>1459.58492</v>
      </c>
      <c r="F2537" s="112">
        <v>822.59389899999996</v>
      </c>
      <c r="G2537" s="112">
        <v>641.32924400000002</v>
      </c>
      <c r="H2537" s="112">
        <v>553.14125100000001</v>
      </c>
      <c r="I2537" s="112">
        <v>101.522355</v>
      </c>
      <c r="J2537" s="112">
        <v>106.85004600000001</v>
      </c>
      <c r="K2537" s="112">
        <v>5.3276909999999997</v>
      </c>
      <c r="L2537" s="112">
        <v>73.997669999999999</v>
      </c>
      <c r="M2537" s="112">
        <v>73.524929</v>
      </c>
      <c r="N2537" s="112" t="s">
        <v>6952</v>
      </c>
      <c r="O2537" s="110"/>
      <c r="P2537" s="110"/>
      <c r="Q2537" s="110"/>
    </row>
    <row r="2538" spans="1:17" s="119" customFormat="1" ht="17.5" customHeight="1">
      <c r="A2538" s="109" t="s">
        <v>7351</v>
      </c>
      <c r="B2538" s="109" t="s">
        <v>7352</v>
      </c>
      <c r="C2538" s="98">
        <v>2008</v>
      </c>
      <c r="D2538" s="99">
        <v>12136</v>
      </c>
      <c r="E2538" s="99">
        <v>7760</v>
      </c>
      <c r="F2538" s="99">
        <v>3974</v>
      </c>
      <c r="G2538" s="99">
        <v>3782</v>
      </c>
      <c r="H2538" s="99">
        <v>2146</v>
      </c>
      <c r="I2538" s="99">
        <v>124</v>
      </c>
      <c r="J2538" s="99">
        <v>257</v>
      </c>
      <c r="K2538" s="99">
        <v>133</v>
      </c>
      <c r="L2538" s="99">
        <v>491</v>
      </c>
      <c r="M2538" s="99">
        <v>489</v>
      </c>
      <c r="N2538" s="99">
        <v>2</v>
      </c>
      <c r="O2538" s="110"/>
      <c r="P2538" s="110"/>
      <c r="Q2538" s="110"/>
    </row>
    <row r="2539" spans="1:17" s="119" customFormat="1" ht="17.5" customHeight="1">
      <c r="A2539" s="109" t="s">
        <v>7351</v>
      </c>
      <c r="B2539" s="109" t="s">
        <v>7352</v>
      </c>
      <c r="C2539" s="98">
        <v>2009</v>
      </c>
      <c r="D2539" s="99">
        <v>12775</v>
      </c>
      <c r="E2539" s="99">
        <v>6282</v>
      </c>
      <c r="F2539" s="99">
        <v>3235</v>
      </c>
      <c r="G2539" s="99">
        <v>2997</v>
      </c>
      <c r="H2539" s="99">
        <v>1960</v>
      </c>
      <c r="I2539" s="99">
        <v>83</v>
      </c>
      <c r="J2539" s="99">
        <v>98</v>
      </c>
      <c r="K2539" s="99">
        <v>15</v>
      </c>
      <c r="L2539" s="99">
        <v>392</v>
      </c>
      <c r="M2539" s="99">
        <v>442</v>
      </c>
      <c r="N2539" s="99">
        <v>-50</v>
      </c>
      <c r="O2539" s="100"/>
      <c r="P2539" s="100"/>
      <c r="Q2539" s="100"/>
    </row>
    <row r="2540" spans="1:17" s="119" customFormat="1" ht="17.5" customHeight="1">
      <c r="A2540" s="109" t="s">
        <v>7351</v>
      </c>
      <c r="B2540" s="109" t="s">
        <v>7352</v>
      </c>
      <c r="C2540" s="98">
        <v>2010</v>
      </c>
      <c r="D2540" s="99">
        <v>12056</v>
      </c>
      <c r="E2540" s="99">
        <v>6894</v>
      </c>
      <c r="F2540" s="99">
        <v>3513</v>
      </c>
      <c r="G2540" s="99">
        <v>3404</v>
      </c>
      <c r="H2540" s="99">
        <v>2049</v>
      </c>
      <c r="I2540" s="99">
        <v>219</v>
      </c>
      <c r="J2540" s="99">
        <v>244</v>
      </c>
      <c r="K2540" s="99">
        <v>25</v>
      </c>
      <c r="L2540" s="99">
        <v>554</v>
      </c>
      <c r="M2540" s="99">
        <v>528</v>
      </c>
      <c r="N2540" s="99">
        <v>27</v>
      </c>
      <c r="O2540" s="110"/>
      <c r="P2540" s="110"/>
      <c r="Q2540" s="110"/>
    </row>
    <row r="2541" spans="1:17" s="119" customFormat="1" ht="17.5" customHeight="1">
      <c r="A2541" s="109" t="s">
        <v>7351</v>
      </c>
      <c r="B2541" s="109" t="s">
        <v>7352</v>
      </c>
      <c r="C2541" s="98">
        <v>2011</v>
      </c>
      <c r="D2541" s="99">
        <v>11344</v>
      </c>
      <c r="E2541" s="99">
        <v>7572</v>
      </c>
      <c r="F2541" s="99">
        <v>3920</v>
      </c>
      <c r="G2541" s="99">
        <v>3713</v>
      </c>
      <c r="H2541" s="99">
        <v>2195</v>
      </c>
      <c r="I2541" s="99">
        <v>269</v>
      </c>
      <c r="J2541" s="99">
        <v>313</v>
      </c>
      <c r="K2541" s="99">
        <v>44</v>
      </c>
      <c r="L2541" s="99">
        <v>651</v>
      </c>
      <c r="M2541" s="99">
        <v>598</v>
      </c>
      <c r="N2541" s="99">
        <v>53</v>
      </c>
      <c r="O2541" s="100"/>
      <c r="P2541" s="100"/>
      <c r="Q2541" s="100"/>
    </row>
    <row r="2542" spans="1:17" s="119" customFormat="1" ht="17.5" customHeight="1">
      <c r="A2542" s="109" t="s">
        <v>7351</v>
      </c>
      <c r="B2542" s="109" t="s">
        <v>7352</v>
      </c>
      <c r="C2542" s="111">
        <v>2012</v>
      </c>
      <c r="D2542" s="112">
        <v>10876</v>
      </c>
      <c r="E2542" s="112">
        <v>7675</v>
      </c>
      <c r="F2542" s="112">
        <v>4309</v>
      </c>
      <c r="G2542" s="112">
        <v>3454</v>
      </c>
      <c r="H2542" s="112">
        <v>2301</v>
      </c>
      <c r="I2542" s="112">
        <v>189</v>
      </c>
      <c r="J2542" s="112">
        <v>263</v>
      </c>
      <c r="K2542" s="112">
        <v>74</v>
      </c>
      <c r="L2542" s="112">
        <v>773</v>
      </c>
      <c r="M2542" s="112">
        <v>685</v>
      </c>
      <c r="N2542" s="112">
        <v>88</v>
      </c>
      <c r="O2542" s="100"/>
      <c r="P2542" s="100"/>
      <c r="Q2542" s="100"/>
    </row>
    <row r="2543" spans="1:17" s="119" customFormat="1" ht="17.5" customHeight="1">
      <c r="A2543" s="109" t="s">
        <v>7351</v>
      </c>
      <c r="B2543" s="109" t="s">
        <v>7352</v>
      </c>
      <c r="C2543" s="113">
        <v>2013</v>
      </c>
      <c r="D2543" s="112">
        <v>11328</v>
      </c>
      <c r="E2543" s="112">
        <v>7624</v>
      </c>
      <c r="F2543" s="112">
        <v>4219</v>
      </c>
      <c r="G2543" s="112">
        <v>3426</v>
      </c>
      <c r="H2543" s="112">
        <v>2156</v>
      </c>
      <c r="I2543" s="112">
        <v>293</v>
      </c>
      <c r="J2543" s="112">
        <v>352</v>
      </c>
      <c r="K2543" s="112">
        <v>59</v>
      </c>
      <c r="L2543" s="112">
        <v>558</v>
      </c>
      <c r="M2543" s="112">
        <v>546</v>
      </c>
      <c r="N2543" s="112">
        <v>12</v>
      </c>
      <c r="O2543" s="110"/>
      <c r="P2543" s="110"/>
      <c r="Q2543" s="110"/>
    </row>
    <row r="2544" spans="1:17" s="119" customFormat="1" ht="17.5" customHeight="1">
      <c r="A2544" s="109" t="s">
        <v>7351</v>
      </c>
      <c r="B2544" s="109" t="s">
        <v>7352</v>
      </c>
      <c r="C2544" s="113">
        <v>2014</v>
      </c>
      <c r="D2544" s="99">
        <v>12006</v>
      </c>
      <c r="E2544" s="99">
        <v>7963</v>
      </c>
      <c r="F2544" s="99">
        <v>4604</v>
      </c>
      <c r="G2544" s="99">
        <v>3486</v>
      </c>
      <c r="H2544" s="99">
        <v>2178</v>
      </c>
      <c r="I2544" s="99">
        <v>621</v>
      </c>
      <c r="J2544" s="99">
        <v>657</v>
      </c>
      <c r="K2544" s="99">
        <v>36</v>
      </c>
      <c r="L2544" s="99">
        <v>593</v>
      </c>
      <c r="M2544" s="99">
        <v>573</v>
      </c>
      <c r="N2544" s="99">
        <v>20</v>
      </c>
      <c r="O2544" s="110"/>
      <c r="P2544" s="110"/>
      <c r="Q2544" s="110"/>
    </row>
    <row r="2545" spans="1:17" s="119" customFormat="1" ht="17.5" customHeight="1">
      <c r="A2545" s="109" t="s">
        <v>7351</v>
      </c>
      <c r="B2545" s="109" t="s">
        <v>7352</v>
      </c>
      <c r="C2545" s="113">
        <v>2015</v>
      </c>
      <c r="D2545" s="112">
        <v>13784</v>
      </c>
      <c r="E2545" s="112">
        <v>8089</v>
      </c>
      <c r="F2545" s="112">
        <v>4464</v>
      </c>
      <c r="G2545" s="112">
        <v>3642</v>
      </c>
      <c r="H2545" s="112">
        <v>2294</v>
      </c>
      <c r="I2545" s="112">
        <v>618</v>
      </c>
      <c r="J2545" s="112">
        <v>662</v>
      </c>
      <c r="K2545" s="112">
        <v>44</v>
      </c>
      <c r="L2545" s="112">
        <v>526</v>
      </c>
      <c r="M2545" s="112">
        <v>524</v>
      </c>
      <c r="N2545" s="112">
        <v>2</v>
      </c>
      <c r="O2545" s="117"/>
      <c r="P2545" s="117"/>
      <c r="Q2545" s="117"/>
    </row>
    <row r="2546" spans="1:17" s="119" customFormat="1" ht="17.5" customHeight="1">
      <c r="A2546" s="109" t="s">
        <v>7351</v>
      </c>
      <c r="B2546" s="109" t="s">
        <v>7352</v>
      </c>
      <c r="C2546" s="113">
        <v>2016</v>
      </c>
      <c r="D2546" s="112">
        <v>14482</v>
      </c>
      <c r="E2546" s="112">
        <v>8205</v>
      </c>
      <c r="F2546" s="112">
        <v>4503</v>
      </c>
      <c r="G2546" s="112">
        <v>3706</v>
      </c>
      <c r="H2546" s="112">
        <v>2337</v>
      </c>
      <c r="I2546" s="112">
        <v>644</v>
      </c>
      <c r="J2546" s="112">
        <v>674</v>
      </c>
      <c r="K2546" s="112">
        <v>31</v>
      </c>
      <c r="L2546" s="112">
        <v>628</v>
      </c>
      <c r="M2546" s="112">
        <v>626</v>
      </c>
      <c r="N2546" s="112">
        <v>2</v>
      </c>
      <c r="O2546" s="117"/>
      <c r="P2546" s="117"/>
      <c r="Q2546" s="117"/>
    </row>
    <row r="2547" spans="1:17" s="119" customFormat="1" ht="17.5" customHeight="1">
      <c r="A2547" s="109" t="s">
        <v>7351</v>
      </c>
      <c r="B2547" s="109" t="s">
        <v>7352</v>
      </c>
      <c r="C2547" s="113">
        <v>2017</v>
      </c>
      <c r="D2547" s="112">
        <v>15539</v>
      </c>
      <c r="E2547" s="112">
        <v>8484</v>
      </c>
      <c r="F2547" s="112">
        <v>4640</v>
      </c>
      <c r="G2547" s="112">
        <v>3937</v>
      </c>
      <c r="H2547" s="112">
        <v>2597</v>
      </c>
      <c r="I2547" s="112">
        <v>535</v>
      </c>
      <c r="J2547" s="112">
        <v>590</v>
      </c>
      <c r="K2547" s="112">
        <v>55</v>
      </c>
      <c r="L2547" s="112">
        <v>664</v>
      </c>
      <c r="M2547" s="112">
        <v>575</v>
      </c>
      <c r="N2547" s="112">
        <v>89</v>
      </c>
      <c r="O2547" s="117"/>
      <c r="P2547" s="117"/>
      <c r="Q2547" s="117"/>
    </row>
    <row r="2548" spans="1:17" s="119" customFormat="1" ht="17.5" customHeight="1">
      <c r="A2548" s="109" t="s">
        <v>7351</v>
      </c>
      <c r="B2548" s="109" t="s">
        <v>7352</v>
      </c>
      <c r="C2548" s="113">
        <v>2018</v>
      </c>
      <c r="D2548" s="112">
        <v>15783</v>
      </c>
      <c r="E2548" s="112">
        <v>8786</v>
      </c>
      <c r="F2548" s="112">
        <v>4803</v>
      </c>
      <c r="G2548" s="112">
        <v>4061</v>
      </c>
      <c r="H2548" s="112">
        <v>2399</v>
      </c>
      <c r="I2548" s="112">
        <v>446</v>
      </c>
      <c r="J2548" s="112">
        <v>488</v>
      </c>
      <c r="K2548" s="112">
        <v>42</v>
      </c>
      <c r="L2548" s="112">
        <v>700</v>
      </c>
      <c r="M2548" s="112">
        <v>627</v>
      </c>
      <c r="N2548" s="112">
        <v>73</v>
      </c>
      <c r="O2548" s="117"/>
      <c r="P2548" s="117"/>
      <c r="Q2548" s="117"/>
    </row>
    <row r="2549" spans="1:17" s="119" customFormat="1" ht="17.5" customHeight="1">
      <c r="A2549" s="109" t="s">
        <v>7351</v>
      </c>
      <c r="B2549" s="109" t="s">
        <v>7352</v>
      </c>
      <c r="C2549" s="113">
        <v>2019</v>
      </c>
      <c r="D2549" s="112">
        <v>13747</v>
      </c>
      <c r="E2549" s="112">
        <v>9505.1081990000002</v>
      </c>
      <c r="F2549" s="112">
        <v>5041.851181</v>
      </c>
      <c r="G2549" s="112">
        <v>4550.3156769999996</v>
      </c>
      <c r="H2549" s="112">
        <v>2640.3647639999999</v>
      </c>
      <c r="I2549" s="112">
        <v>597.05756399999996</v>
      </c>
      <c r="J2549" s="112">
        <v>710.52108999999996</v>
      </c>
      <c r="K2549" s="112">
        <v>113.463526</v>
      </c>
      <c r="L2549" s="112">
        <v>797.91695800000002</v>
      </c>
      <c r="M2549" s="112">
        <v>722.760806</v>
      </c>
      <c r="N2549" s="112">
        <v>75.156152000000006</v>
      </c>
      <c r="O2549" s="110"/>
      <c r="P2549" s="110"/>
      <c r="Q2549" s="110"/>
    </row>
    <row r="2550" spans="1:17" s="119" customFormat="1" ht="17.5" customHeight="1">
      <c r="A2550" s="114" t="s">
        <v>7351</v>
      </c>
      <c r="B2550" s="114" t="s">
        <v>7352</v>
      </c>
      <c r="C2550" s="113">
        <v>2020</v>
      </c>
      <c r="D2550" s="112">
        <v>13671</v>
      </c>
      <c r="E2550" s="112">
        <v>8332.9863370000003</v>
      </c>
      <c r="F2550" s="112">
        <v>4517.6556019999998</v>
      </c>
      <c r="G2550" s="112">
        <v>3835.8248549999998</v>
      </c>
      <c r="H2550" s="112">
        <v>2694.744115</v>
      </c>
      <c r="I2550" s="112">
        <v>745.10687800000005</v>
      </c>
      <c r="J2550" s="112">
        <v>798.70808599999998</v>
      </c>
      <c r="K2550" s="112">
        <v>53.601208</v>
      </c>
      <c r="L2550" s="112">
        <v>768.83291999999994</v>
      </c>
      <c r="M2550" s="112">
        <v>780.132293</v>
      </c>
      <c r="N2550" s="112">
        <v>-11.299372999999999</v>
      </c>
      <c r="O2550" s="110"/>
      <c r="P2550" s="110"/>
      <c r="Q2550" s="110"/>
    </row>
    <row r="2551" spans="1:17" s="119" customFormat="1" ht="17.5" customHeight="1">
      <c r="A2551" s="109" t="s">
        <v>7353</v>
      </c>
      <c r="B2551" s="109" t="s">
        <v>7354</v>
      </c>
      <c r="C2551" s="98">
        <v>2008</v>
      </c>
      <c r="D2551" s="99">
        <v>2027</v>
      </c>
      <c r="E2551" s="99">
        <v>1990</v>
      </c>
      <c r="F2551" s="99">
        <v>926</v>
      </c>
      <c r="G2551" s="99">
        <v>1067</v>
      </c>
      <c r="H2551" s="99">
        <v>592</v>
      </c>
      <c r="I2551" s="99">
        <v>62</v>
      </c>
      <c r="J2551" s="99">
        <v>80</v>
      </c>
      <c r="K2551" s="99">
        <v>17</v>
      </c>
      <c r="L2551" s="99">
        <v>239</v>
      </c>
      <c r="M2551" s="99">
        <v>239</v>
      </c>
      <c r="N2551" s="99" t="s">
        <v>6952</v>
      </c>
      <c r="O2551" s="100"/>
      <c r="P2551" s="100"/>
      <c r="Q2551" s="100"/>
    </row>
    <row r="2552" spans="1:17" s="119" customFormat="1" ht="17.5" customHeight="1">
      <c r="A2552" s="109" t="s">
        <v>7353</v>
      </c>
      <c r="B2552" s="109" t="s">
        <v>7354</v>
      </c>
      <c r="C2552" s="98">
        <v>2009</v>
      </c>
      <c r="D2552" s="99">
        <v>1937</v>
      </c>
      <c r="E2552" s="99">
        <v>1716</v>
      </c>
      <c r="F2552" s="99">
        <v>771</v>
      </c>
      <c r="G2552" s="99">
        <v>918</v>
      </c>
      <c r="H2552" s="99">
        <v>445</v>
      </c>
      <c r="I2552" s="99">
        <v>29</v>
      </c>
      <c r="J2552" s="99">
        <v>39</v>
      </c>
      <c r="K2552" s="99">
        <v>9</v>
      </c>
      <c r="L2552" s="99">
        <v>259</v>
      </c>
      <c r="M2552" s="99">
        <v>282</v>
      </c>
      <c r="N2552" s="99">
        <v>-23</v>
      </c>
      <c r="O2552" s="110"/>
      <c r="P2552" s="110"/>
      <c r="Q2552" s="110"/>
    </row>
    <row r="2553" spans="1:17" s="119" customFormat="1" ht="17.5" customHeight="1">
      <c r="A2553" s="109" t="s">
        <v>7353</v>
      </c>
      <c r="B2553" s="109" t="s">
        <v>7354</v>
      </c>
      <c r="C2553" s="98">
        <v>2010</v>
      </c>
      <c r="D2553" s="99">
        <v>1831</v>
      </c>
      <c r="E2553" s="99">
        <v>2078</v>
      </c>
      <c r="F2553" s="99">
        <v>931</v>
      </c>
      <c r="G2553" s="99">
        <v>1220</v>
      </c>
      <c r="H2553" s="99">
        <v>569</v>
      </c>
      <c r="I2553" s="99">
        <v>1</v>
      </c>
      <c r="J2553" s="99">
        <v>27</v>
      </c>
      <c r="K2553" s="99">
        <v>27</v>
      </c>
      <c r="L2553" s="99">
        <v>330</v>
      </c>
      <c r="M2553" s="99">
        <v>268</v>
      </c>
      <c r="N2553" s="99">
        <v>62</v>
      </c>
      <c r="O2553" s="100"/>
      <c r="P2553" s="100"/>
      <c r="Q2553" s="100"/>
    </row>
    <row r="2554" spans="1:17" s="119" customFormat="1" ht="17.5" customHeight="1">
      <c r="A2554" s="109" t="s">
        <v>7353</v>
      </c>
      <c r="B2554" s="109" t="s">
        <v>7354</v>
      </c>
      <c r="C2554" s="98">
        <v>2011</v>
      </c>
      <c r="D2554" s="99">
        <v>1730</v>
      </c>
      <c r="E2554" s="99">
        <v>1963</v>
      </c>
      <c r="F2554" s="99">
        <v>899</v>
      </c>
      <c r="G2554" s="99">
        <v>1091</v>
      </c>
      <c r="H2554" s="99">
        <v>526</v>
      </c>
      <c r="I2554" s="99">
        <v>102</v>
      </c>
      <c r="J2554" s="99">
        <v>112</v>
      </c>
      <c r="K2554" s="99">
        <v>10</v>
      </c>
      <c r="L2554" s="99">
        <v>255</v>
      </c>
      <c r="M2554" s="99">
        <v>227</v>
      </c>
      <c r="N2554" s="99">
        <v>29</v>
      </c>
      <c r="O2554" s="100"/>
      <c r="P2554" s="100"/>
      <c r="Q2554" s="100"/>
    </row>
    <row r="2555" spans="1:17" s="119" customFormat="1" ht="17.5" customHeight="1">
      <c r="A2555" s="109" t="s">
        <v>7353</v>
      </c>
      <c r="B2555" s="109" t="s">
        <v>7354</v>
      </c>
      <c r="C2555" s="111">
        <v>2012</v>
      </c>
      <c r="D2555" s="112">
        <v>1706</v>
      </c>
      <c r="E2555" s="112">
        <v>2229</v>
      </c>
      <c r="F2555" s="112">
        <v>1046</v>
      </c>
      <c r="G2555" s="112">
        <v>1176</v>
      </c>
      <c r="H2555" s="112">
        <v>619</v>
      </c>
      <c r="I2555" s="112">
        <v>81</v>
      </c>
      <c r="J2555" s="112">
        <v>87</v>
      </c>
      <c r="K2555" s="112">
        <v>6</v>
      </c>
      <c r="L2555" s="112">
        <v>247</v>
      </c>
      <c r="M2555" s="112">
        <v>252</v>
      </c>
      <c r="N2555" s="112">
        <v>-5</v>
      </c>
      <c r="O2555" s="110"/>
      <c r="P2555" s="110"/>
      <c r="Q2555" s="110"/>
    </row>
    <row r="2556" spans="1:17" s="119" customFormat="1" ht="17.5" customHeight="1">
      <c r="A2556" s="109" t="s">
        <v>7353</v>
      </c>
      <c r="B2556" s="109" t="s">
        <v>7354</v>
      </c>
      <c r="C2556" s="113">
        <v>2013</v>
      </c>
      <c r="D2556" s="112">
        <v>1728</v>
      </c>
      <c r="E2556" s="112">
        <v>2074</v>
      </c>
      <c r="F2556" s="112">
        <v>893</v>
      </c>
      <c r="G2556" s="112">
        <v>1190</v>
      </c>
      <c r="H2556" s="112">
        <v>614</v>
      </c>
      <c r="I2556" s="112">
        <v>98</v>
      </c>
      <c r="J2556" s="112">
        <v>103</v>
      </c>
      <c r="K2556" s="112">
        <v>5</v>
      </c>
      <c r="L2556" s="112">
        <v>311</v>
      </c>
      <c r="M2556" s="112">
        <v>299</v>
      </c>
      <c r="N2556" s="112">
        <v>12</v>
      </c>
      <c r="O2556" s="110"/>
      <c r="P2556" s="110"/>
      <c r="Q2556" s="110"/>
    </row>
    <row r="2557" spans="1:17" s="119" customFormat="1" ht="17.5" customHeight="1">
      <c r="A2557" s="109" t="s">
        <v>7353</v>
      </c>
      <c r="B2557" s="109" t="s">
        <v>7354</v>
      </c>
      <c r="C2557" s="113">
        <v>2014</v>
      </c>
      <c r="D2557" s="99">
        <v>1760</v>
      </c>
      <c r="E2557" s="99">
        <v>2231</v>
      </c>
      <c r="F2557" s="99">
        <v>1099</v>
      </c>
      <c r="G2557" s="99">
        <v>1166</v>
      </c>
      <c r="H2557" s="99">
        <v>682</v>
      </c>
      <c r="I2557" s="99">
        <v>68</v>
      </c>
      <c r="J2557" s="99">
        <v>99</v>
      </c>
      <c r="K2557" s="99">
        <v>31</v>
      </c>
      <c r="L2557" s="99">
        <v>339</v>
      </c>
      <c r="M2557" s="99">
        <v>298</v>
      </c>
      <c r="N2557" s="99">
        <v>41</v>
      </c>
      <c r="O2557" s="117"/>
      <c r="P2557" s="117"/>
      <c r="Q2557" s="117"/>
    </row>
    <row r="2558" spans="1:17" s="119" customFormat="1" ht="17.5" customHeight="1">
      <c r="A2558" s="109" t="s">
        <v>7353</v>
      </c>
      <c r="B2558" s="109" t="s">
        <v>7354</v>
      </c>
      <c r="C2558" s="113">
        <v>2015</v>
      </c>
      <c r="D2558" s="112">
        <v>1741</v>
      </c>
      <c r="E2558" s="112">
        <v>2124</v>
      </c>
      <c r="F2558" s="112">
        <v>1038</v>
      </c>
      <c r="G2558" s="112">
        <v>1100</v>
      </c>
      <c r="H2558" s="112">
        <v>545</v>
      </c>
      <c r="I2558" s="112">
        <v>112</v>
      </c>
      <c r="J2558" s="112">
        <v>118</v>
      </c>
      <c r="K2558" s="112">
        <v>5</v>
      </c>
      <c r="L2558" s="112">
        <v>287</v>
      </c>
      <c r="M2558" s="112">
        <v>274</v>
      </c>
      <c r="N2558" s="112">
        <v>13</v>
      </c>
      <c r="O2558" s="117"/>
      <c r="P2558" s="117"/>
      <c r="Q2558" s="117"/>
    </row>
    <row r="2559" spans="1:17" s="119" customFormat="1" ht="17.5" customHeight="1">
      <c r="A2559" s="109" t="s">
        <v>7353</v>
      </c>
      <c r="B2559" s="109" t="s">
        <v>7354</v>
      </c>
      <c r="C2559" s="113">
        <v>2016</v>
      </c>
      <c r="D2559" s="112">
        <v>1750</v>
      </c>
      <c r="E2559" s="112">
        <v>1896</v>
      </c>
      <c r="F2559" s="112">
        <v>983</v>
      </c>
      <c r="G2559" s="112">
        <v>909</v>
      </c>
      <c r="H2559" s="112">
        <v>529</v>
      </c>
      <c r="I2559" s="112">
        <v>111</v>
      </c>
      <c r="J2559" s="112">
        <v>144</v>
      </c>
      <c r="K2559" s="112">
        <v>33</v>
      </c>
      <c r="L2559" s="112">
        <v>275</v>
      </c>
      <c r="M2559" s="112">
        <v>285</v>
      </c>
      <c r="N2559" s="112">
        <v>-10</v>
      </c>
      <c r="O2559" s="117"/>
      <c r="P2559" s="117"/>
      <c r="Q2559" s="117"/>
    </row>
    <row r="2560" spans="1:17" s="119" customFormat="1" ht="17.5" customHeight="1">
      <c r="A2560" s="109" t="s">
        <v>7353</v>
      </c>
      <c r="B2560" s="109" t="s">
        <v>7354</v>
      </c>
      <c r="C2560" s="113">
        <v>2017</v>
      </c>
      <c r="D2560" s="112">
        <v>1716</v>
      </c>
      <c r="E2560" s="112">
        <v>2093</v>
      </c>
      <c r="F2560" s="112">
        <v>1002</v>
      </c>
      <c r="G2560" s="112">
        <v>1120</v>
      </c>
      <c r="H2560" s="112">
        <v>543</v>
      </c>
      <c r="I2560" s="112">
        <v>88</v>
      </c>
      <c r="J2560" s="112">
        <v>92</v>
      </c>
      <c r="K2560" s="112">
        <v>4</v>
      </c>
      <c r="L2560" s="112">
        <v>286</v>
      </c>
      <c r="M2560" s="112">
        <v>256</v>
      </c>
      <c r="N2560" s="112">
        <v>30</v>
      </c>
      <c r="O2560" s="117"/>
      <c r="P2560" s="117"/>
      <c r="Q2560" s="117"/>
    </row>
    <row r="2561" spans="1:17" s="119" customFormat="1" ht="17.5" customHeight="1">
      <c r="A2561" s="109" t="s">
        <v>7353</v>
      </c>
      <c r="B2561" s="109" t="s">
        <v>7354</v>
      </c>
      <c r="C2561" s="113">
        <v>2018</v>
      </c>
      <c r="D2561" s="112">
        <v>1739</v>
      </c>
      <c r="E2561" s="112">
        <v>2191</v>
      </c>
      <c r="F2561" s="112">
        <v>1165</v>
      </c>
      <c r="G2561" s="112">
        <v>1045</v>
      </c>
      <c r="H2561" s="112">
        <v>565</v>
      </c>
      <c r="I2561" s="112">
        <v>73</v>
      </c>
      <c r="J2561" s="112">
        <v>81</v>
      </c>
      <c r="K2561" s="112">
        <v>8</v>
      </c>
      <c r="L2561" s="112">
        <v>296</v>
      </c>
      <c r="M2561" s="112">
        <v>280</v>
      </c>
      <c r="N2561" s="112">
        <v>16</v>
      </c>
      <c r="O2561" s="110"/>
      <c r="P2561" s="110"/>
      <c r="Q2561" s="110"/>
    </row>
    <row r="2562" spans="1:17" s="119" customFormat="1" ht="17.5" customHeight="1">
      <c r="A2562" s="109" t="s">
        <v>7353</v>
      </c>
      <c r="B2562" s="109" t="s">
        <v>7354</v>
      </c>
      <c r="C2562" s="113">
        <v>2019</v>
      </c>
      <c r="D2562" s="112">
        <v>1671</v>
      </c>
      <c r="E2562" s="112">
        <v>2392.0516040000002</v>
      </c>
      <c r="F2562" s="112">
        <v>1181.332985</v>
      </c>
      <c r="G2562" s="112">
        <v>1234.1490060000001</v>
      </c>
      <c r="H2562" s="112">
        <v>582.22067800000002</v>
      </c>
      <c r="I2562" s="112">
        <v>68.942098000000001</v>
      </c>
      <c r="J2562" s="112">
        <v>79.470320999999998</v>
      </c>
      <c r="K2562" s="112">
        <v>10.528223000000001</v>
      </c>
      <c r="L2562" s="112">
        <v>347.973907</v>
      </c>
      <c r="M2562" s="112">
        <v>321.33679699999999</v>
      </c>
      <c r="N2562" s="112">
        <v>26.637111000000001</v>
      </c>
      <c r="O2562" s="110"/>
      <c r="P2562" s="110"/>
      <c r="Q2562" s="110"/>
    </row>
    <row r="2563" spans="1:17" s="119" customFormat="1" ht="17.5" customHeight="1">
      <c r="A2563" s="114" t="s">
        <v>7353</v>
      </c>
      <c r="B2563" s="114" t="s">
        <v>7354</v>
      </c>
      <c r="C2563" s="113">
        <v>2020</v>
      </c>
      <c r="D2563" s="112">
        <v>1675</v>
      </c>
      <c r="E2563" s="112">
        <v>2051.1650049999998</v>
      </c>
      <c r="F2563" s="112">
        <v>945.07845899999995</v>
      </c>
      <c r="G2563" s="112">
        <v>1100.8218199999999</v>
      </c>
      <c r="H2563" s="112">
        <v>555.07639600000005</v>
      </c>
      <c r="I2563" s="112">
        <v>100.565871</v>
      </c>
      <c r="J2563" s="112">
        <v>102.58796</v>
      </c>
      <c r="K2563" s="112">
        <v>2.0220899999999999</v>
      </c>
      <c r="L2563" s="112">
        <v>344.15194400000001</v>
      </c>
      <c r="M2563" s="112">
        <v>357.570899</v>
      </c>
      <c r="N2563" s="112">
        <v>-13.418953999999999</v>
      </c>
      <c r="O2563" s="100"/>
      <c r="P2563" s="100"/>
      <c r="Q2563" s="100"/>
    </row>
    <row r="2564" spans="1:17" s="119" customFormat="1" ht="17.5" customHeight="1">
      <c r="A2564" s="109" t="s">
        <v>7355</v>
      </c>
      <c r="B2564" s="109" t="s">
        <v>7356</v>
      </c>
      <c r="C2564" s="98">
        <v>2008</v>
      </c>
      <c r="D2564" s="99">
        <v>35</v>
      </c>
      <c r="E2564" s="99">
        <v>27</v>
      </c>
      <c r="F2564" s="99">
        <v>13</v>
      </c>
      <c r="G2564" s="99">
        <v>14</v>
      </c>
      <c r="H2564" s="99">
        <v>8</v>
      </c>
      <c r="I2564" s="99" t="s">
        <v>6952</v>
      </c>
      <c r="J2564" s="99" t="s">
        <v>6952</v>
      </c>
      <c r="K2564" s="99" t="s">
        <v>6952</v>
      </c>
      <c r="L2564" s="99">
        <v>6</v>
      </c>
      <c r="M2564" s="99">
        <v>5</v>
      </c>
      <c r="N2564" s="99" t="s">
        <v>6952</v>
      </c>
      <c r="O2564" s="110"/>
      <c r="P2564" s="110"/>
      <c r="Q2564" s="110"/>
    </row>
    <row r="2565" spans="1:17" s="119" customFormat="1" ht="17.5" customHeight="1">
      <c r="A2565" s="109" t="s">
        <v>7355</v>
      </c>
      <c r="B2565" s="109" t="s">
        <v>7356</v>
      </c>
      <c r="C2565" s="98">
        <v>2009</v>
      </c>
      <c r="D2565" s="99">
        <v>31</v>
      </c>
      <c r="E2565" s="99">
        <v>14</v>
      </c>
      <c r="F2565" s="99">
        <v>5</v>
      </c>
      <c r="G2565" s="99">
        <v>9</v>
      </c>
      <c r="H2565" s="99">
        <v>4</v>
      </c>
      <c r="I2565" s="99" t="s">
        <v>6952</v>
      </c>
      <c r="J2565" s="99" t="s">
        <v>6952</v>
      </c>
      <c r="K2565" s="99">
        <v>0</v>
      </c>
      <c r="L2565" s="99">
        <v>4</v>
      </c>
      <c r="M2565" s="99">
        <v>4</v>
      </c>
      <c r="N2565" s="99" t="s">
        <v>6952</v>
      </c>
      <c r="O2565" s="100"/>
      <c r="P2565" s="100"/>
      <c r="Q2565" s="100"/>
    </row>
    <row r="2566" spans="1:17" s="119" customFormat="1" ht="17.5" customHeight="1">
      <c r="A2566" s="109" t="s">
        <v>7355</v>
      </c>
      <c r="B2566" s="109" t="s">
        <v>7356</v>
      </c>
      <c r="C2566" s="98">
        <v>2010</v>
      </c>
      <c r="D2566" s="99">
        <v>29</v>
      </c>
      <c r="E2566" s="99">
        <v>18</v>
      </c>
      <c r="F2566" s="99">
        <v>7</v>
      </c>
      <c r="G2566" s="99">
        <v>11</v>
      </c>
      <c r="H2566" s="99">
        <v>5</v>
      </c>
      <c r="I2566" s="99" t="s">
        <v>6952</v>
      </c>
      <c r="J2566" s="99" t="s">
        <v>6952</v>
      </c>
      <c r="K2566" s="99" t="s">
        <v>6952</v>
      </c>
      <c r="L2566" s="99">
        <v>4</v>
      </c>
      <c r="M2566" s="99">
        <v>4</v>
      </c>
      <c r="N2566" s="99" t="s">
        <v>6952</v>
      </c>
      <c r="O2566" s="100"/>
      <c r="P2566" s="100"/>
      <c r="Q2566" s="100"/>
    </row>
    <row r="2567" spans="1:17" s="119" customFormat="1" ht="17.5" customHeight="1">
      <c r="A2567" s="109" t="s">
        <v>7355</v>
      </c>
      <c r="B2567" s="109" t="s">
        <v>7356</v>
      </c>
      <c r="C2567" s="98">
        <v>2011</v>
      </c>
      <c r="D2567" s="99">
        <v>34</v>
      </c>
      <c r="E2567" s="99">
        <v>20</v>
      </c>
      <c r="F2567" s="99">
        <v>4</v>
      </c>
      <c r="G2567" s="99">
        <v>16</v>
      </c>
      <c r="H2567" s="99">
        <v>7</v>
      </c>
      <c r="I2567" s="99">
        <v>1</v>
      </c>
      <c r="J2567" s="99">
        <v>1</v>
      </c>
      <c r="K2567" s="99" t="s">
        <v>6952</v>
      </c>
      <c r="L2567" s="99">
        <v>3</v>
      </c>
      <c r="M2567" s="99">
        <v>3</v>
      </c>
      <c r="N2567" s="99" t="s">
        <v>6952</v>
      </c>
      <c r="O2567" s="110"/>
      <c r="P2567" s="110"/>
      <c r="Q2567" s="110"/>
    </row>
    <row r="2568" spans="1:17" s="119" customFormat="1" ht="17.5" customHeight="1">
      <c r="A2568" s="109" t="s">
        <v>7355</v>
      </c>
      <c r="B2568" s="109" t="s">
        <v>7356</v>
      </c>
      <c r="C2568" s="111">
        <v>2012</v>
      </c>
      <c r="D2568" s="112">
        <v>35</v>
      </c>
      <c r="E2568" s="112">
        <v>23</v>
      </c>
      <c r="F2568" s="112">
        <v>12</v>
      </c>
      <c r="G2568" s="112">
        <v>10</v>
      </c>
      <c r="H2568" s="112">
        <v>6</v>
      </c>
      <c r="I2568" s="99" t="s">
        <v>6952</v>
      </c>
      <c r="J2568" s="99" t="s">
        <v>6952</v>
      </c>
      <c r="K2568" s="99" t="s">
        <v>6952</v>
      </c>
      <c r="L2568" s="112">
        <v>3</v>
      </c>
      <c r="M2568" s="112">
        <v>3</v>
      </c>
      <c r="N2568" s="112">
        <v>-1</v>
      </c>
      <c r="O2568" s="110"/>
      <c r="P2568" s="110"/>
      <c r="Q2568" s="110"/>
    </row>
    <row r="2569" spans="1:17" s="119" customFormat="1" ht="17.5" customHeight="1">
      <c r="A2569" s="109" t="s">
        <v>7355</v>
      </c>
      <c r="B2569" s="109" t="s">
        <v>7356</v>
      </c>
      <c r="C2569" s="113">
        <v>2013</v>
      </c>
      <c r="D2569" s="112">
        <v>36</v>
      </c>
      <c r="E2569" s="112">
        <v>21</v>
      </c>
      <c r="F2569" s="112">
        <v>9</v>
      </c>
      <c r="G2569" s="112">
        <v>12</v>
      </c>
      <c r="H2569" s="112">
        <v>4</v>
      </c>
      <c r="I2569" s="112">
        <v>1</v>
      </c>
      <c r="J2569" s="112">
        <v>1</v>
      </c>
      <c r="K2569" s="99" t="s">
        <v>6952</v>
      </c>
      <c r="L2569" s="112">
        <v>3</v>
      </c>
      <c r="M2569" s="112">
        <v>3</v>
      </c>
      <c r="N2569" s="112" t="s">
        <v>6952</v>
      </c>
      <c r="O2569" s="117"/>
      <c r="P2569" s="117"/>
      <c r="Q2569" s="117"/>
    </row>
    <row r="2570" spans="1:17" s="119" customFormat="1" ht="17.5" customHeight="1">
      <c r="A2570" s="109" t="s">
        <v>7355</v>
      </c>
      <c r="B2570" s="109" t="s">
        <v>7356</v>
      </c>
      <c r="C2570" s="113">
        <v>2014</v>
      </c>
      <c r="D2570" s="99">
        <v>32</v>
      </c>
      <c r="E2570" s="99">
        <v>24</v>
      </c>
      <c r="F2570" s="99">
        <v>11</v>
      </c>
      <c r="G2570" s="99">
        <v>13</v>
      </c>
      <c r="H2570" s="99">
        <v>5</v>
      </c>
      <c r="I2570" s="99" t="s">
        <v>6952</v>
      </c>
      <c r="J2570" s="99" t="s">
        <v>6952</v>
      </c>
      <c r="K2570" s="99" t="s">
        <v>6952</v>
      </c>
      <c r="L2570" s="99">
        <v>6</v>
      </c>
      <c r="M2570" s="99">
        <v>5</v>
      </c>
      <c r="N2570" s="99">
        <v>1</v>
      </c>
      <c r="O2570" s="117"/>
      <c r="P2570" s="117"/>
      <c r="Q2570" s="117"/>
    </row>
    <row r="2571" spans="1:17" s="119" customFormat="1" ht="17.5" customHeight="1">
      <c r="A2571" s="109" t="s">
        <v>7355</v>
      </c>
      <c r="B2571" s="109" t="s">
        <v>7356</v>
      </c>
      <c r="C2571" s="113">
        <v>2015</v>
      </c>
      <c r="D2571" s="112">
        <v>32</v>
      </c>
      <c r="E2571" s="112">
        <v>25</v>
      </c>
      <c r="F2571" s="112">
        <v>7</v>
      </c>
      <c r="G2571" s="112">
        <v>16</v>
      </c>
      <c r="H2571" s="112">
        <v>7</v>
      </c>
      <c r="I2571" s="112">
        <v>2</v>
      </c>
      <c r="J2571" s="99" t="s">
        <v>6953</v>
      </c>
      <c r="K2571" s="99" t="s">
        <v>6953</v>
      </c>
      <c r="L2571" s="112">
        <v>6</v>
      </c>
      <c r="M2571" s="112">
        <v>7</v>
      </c>
      <c r="N2571" s="112">
        <v>-1</v>
      </c>
      <c r="O2571" s="117"/>
      <c r="P2571" s="117"/>
      <c r="Q2571" s="117"/>
    </row>
    <row r="2572" spans="1:17" s="119" customFormat="1" ht="17.5" customHeight="1">
      <c r="A2572" s="109" t="s">
        <v>7355</v>
      </c>
      <c r="B2572" s="109" t="s">
        <v>7356</v>
      </c>
      <c r="C2572" s="113">
        <v>2016</v>
      </c>
      <c r="D2572" s="112">
        <v>32</v>
      </c>
      <c r="E2572" s="112">
        <v>25</v>
      </c>
      <c r="F2572" s="112">
        <v>9</v>
      </c>
      <c r="G2572" s="112">
        <v>17</v>
      </c>
      <c r="H2572" s="112">
        <v>6</v>
      </c>
      <c r="I2572" s="112">
        <v>1</v>
      </c>
      <c r="J2572" s="112">
        <v>1</v>
      </c>
      <c r="K2572" s="112" t="s">
        <v>6952</v>
      </c>
      <c r="L2572" s="112">
        <v>7</v>
      </c>
      <c r="M2572" s="112">
        <v>6</v>
      </c>
      <c r="N2572" s="112">
        <v>1</v>
      </c>
      <c r="O2572" s="117"/>
      <c r="P2572" s="117"/>
      <c r="Q2572" s="117"/>
    </row>
    <row r="2573" spans="1:17" s="119" customFormat="1" ht="17.5" customHeight="1">
      <c r="A2573" s="109" t="s">
        <v>7355</v>
      </c>
      <c r="B2573" s="109" t="s">
        <v>7356</v>
      </c>
      <c r="C2573" s="113">
        <v>2017</v>
      </c>
      <c r="D2573" s="112">
        <v>32</v>
      </c>
      <c r="E2573" s="112">
        <v>18</v>
      </c>
      <c r="F2573" s="112">
        <v>8</v>
      </c>
      <c r="G2573" s="112">
        <v>10</v>
      </c>
      <c r="H2573" s="112">
        <v>5</v>
      </c>
      <c r="I2573" s="112" t="s">
        <v>6952</v>
      </c>
      <c r="J2573" s="112" t="s">
        <v>6952</v>
      </c>
      <c r="K2573" s="112" t="s">
        <v>6952</v>
      </c>
      <c r="L2573" s="112">
        <v>5</v>
      </c>
      <c r="M2573" s="112">
        <v>5</v>
      </c>
      <c r="N2573" s="112" t="s">
        <v>6952</v>
      </c>
      <c r="O2573" s="110"/>
      <c r="P2573" s="110"/>
      <c r="Q2573" s="110"/>
    </row>
    <row r="2574" spans="1:17" s="119" customFormat="1" ht="17.5" customHeight="1">
      <c r="A2574" s="109" t="s">
        <v>7355</v>
      </c>
      <c r="B2574" s="109" t="s">
        <v>7356</v>
      </c>
      <c r="C2574" s="113">
        <v>2018</v>
      </c>
      <c r="D2574" s="112">
        <v>35</v>
      </c>
      <c r="E2574" s="112">
        <v>29</v>
      </c>
      <c r="F2574" s="112">
        <v>11</v>
      </c>
      <c r="G2574" s="112">
        <v>19</v>
      </c>
      <c r="H2574" s="112">
        <v>7</v>
      </c>
      <c r="I2574" s="112" t="s">
        <v>6952</v>
      </c>
      <c r="J2574" s="112" t="s">
        <v>6952</v>
      </c>
      <c r="K2574" s="112" t="s">
        <v>6952</v>
      </c>
      <c r="L2574" s="112">
        <v>10</v>
      </c>
      <c r="M2574" s="112">
        <v>8</v>
      </c>
      <c r="N2574" s="112">
        <v>2</v>
      </c>
      <c r="O2574" s="110"/>
      <c r="P2574" s="110"/>
      <c r="Q2574" s="110"/>
    </row>
    <row r="2575" spans="1:17" s="119" customFormat="1" ht="17.5" customHeight="1">
      <c r="A2575" s="109" t="s">
        <v>7355</v>
      </c>
      <c r="B2575" s="109" t="s">
        <v>7356</v>
      </c>
      <c r="C2575" s="113">
        <v>2019</v>
      </c>
      <c r="D2575" s="112">
        <v>35</v>
      </c>
      <c r="E2575" s="112">
        <v>27.57752</v>
      </c>
      <c r="F2575" s="112">
        <v>8.4674659999999999</v>
      </c>
      <c r="G2575" s="112">
        <v>19.009633999999998</v>
      </c>
      <c r="H2575" s="112">
        <v>5.2679239999999998</v>
      </c>
      <c r="I2575" s="112" t="s">
        <v>6952</v>
      </c>
      <c r="J2575" s="112" t="s">
        <v>6952</v>
      </c>
      <c r="K2575" s="112" t="s">
        <v>6952</v>
      </c>
      <c r="L2575" s="112">
        <v>8.9624849999999991</v>
      </c>
      <c r="M2575" s="112">
        <v>8.9219310000000007</v>
      </c>
      <c r="N2575" s="112" t="s">
        <v>6952</v>
      </c>
      <c r="O2575" s="100"/>
      <c r="P2575" s="100"/>
      <c r="Q2575" s="100"/>
    </row>
    <row r="2576" spans="1:17" s="119" customFormat="1" ht="17.5" customHeight="1">
      <c r="A2576" s="114" t="s">
        <v>7355</v>
      </c>
      <c r="B2576" s="114" t="s">
        <v>7356</v>
      </c>
      <c r="C2576" s="113">
        <v>2020</v>
      </c>
      <c r="D2576" s="112">
        <v>33</v>
      </c>
      <c r="E2576" s="112">
        <v>32.595247000000001</v>
      </c>
      <c r="F2576" s="112">
        <v>17.768737999999999</v>
      </c>
      <c r="G2576" s="112">
        <v>14.907548999999999</v>
      </c>
      <c r="H2576" s="112">
        <v>5.4126760000000003</v>
      </c>
      <c r="I2576" s="112" t="s">
        <v>6952</v>
      </c>
      <c r="J2576" s="112" t="s">
        <v>6952</v>
      </c>
      <c r="K2576" s="112" t="s">
        <v>6952</v>
      </c>
      <c r="L2576" s="112">
        <v>11.311279000000001</v>
      </c>
      <c r="M2576" s="112">
        <v>11.284584000000001</v>
      </c>
      <c r="N2576" s="112" t="s">
        <v>6952</v>
      </c>
      <c r="O2576" s="110"/>
      <c r="P2576" s="110"/>
      <c r="Q2576" s="110"/>
    </row>
    <row r="2577" spans="1:17" s="119" customFormat="1" ht="17.5" customHeight="1">
      <c r="A2577" s="109" t="s">
        <v>7357</v>
      </c>
      <c r="B2577" s="109" t="s">
        <v>7358</v>
      </c>
      <c r="C2577" s="98">
        <v>2008</v>
      </c>
      <c r="D2577" s="99">
        <v>683</v>
      </c>
      <c r="E2577" s="99">
        <v>924</v>
      </c>
      <c r="F2577" s="99">
        <v>373</v>
      </c>
      <c r="G2577" s="99">
        <v>553</v>
      </c>
      <c r="H2577" s="99">
        <v>221</v>
      </c>
      <c r="I2577" s="99">
        <v>18</v>
      </c>
      <c r="J2577" s="99">
        <v>24</v>
      </c>
      <c r="K2577" s="99">
        <v>7</v>
      </c>
      <c r="L2577" s="99">
        <v>120</v>
      </c>
      <c r="M2577" s="99">
        <v>117</v>
      </c>
      <c r="N2577" s="99">
        <v>3</v>
      </c>
      <c r="O2577" s="100"/>
      <c r="P2577" s="100"/>
      <c r="Q2577" s="100"/>
    </row>
    <row r="2578" spans="1:17" s="119" customFormat="1" ht="17.5" customHeight="1">
      <c r="A2578" s="109" t="s">
        <v>7357</v>
      </c>
      <c r="B2578" s="109" t="s">
        <v>7358</v>
      </c>
      <c r="C2578" s="98">
        <v>2009</v>
      </c>
      <c r="D2578" s="99">
        <v>660</v>
      </c>
      <c r="E2578" s="99">
        <v>814</v>
      </c>
      <c r="F2578" s="99">
        <v>286</v>
      </c>
      <c r="G2578" s="99">
        <v>515</v>
      </c>
      <c r="H2578" s="99">
        <v>158</v>
      </c>
      <c r="I2578" s="99">
        <v>12</v>
      </c>
      <c r="J2578" s="99">
        <v>16</v>
      </c>
      <c r="K2578" s="99">
        <v>4</v>
      </c>
      <c r="L2578" s="99">
        <v>114</v>
      </c>
      <c r="M2578" s="99">
        <v>125</v>
      </c>
      <c r="N2578" s="99">
        <v>-12</v>
      </c>
      <c r="O2578" s="100"/>
      <c r="P2578" s="100"/>
      <c r="Q2578" s="100"/>
    </row>
    <row r="2579" spans="1:17" s="119" customFormat="1" ht="17.5" customHeight="1">
      <c r="A2579" s="109" t="s">
        <v>7357</v>
      </c>
      <c r="B2579" s="109" t="s">
        <v>7358</v>
      </c>
      <c r="C2579" s="98">
        <v>2010</v>
      </c>
      <c r="D2579" s="99">
        <v>627</v>
      </c>
      <c r="E2579" s="99">
        <v>844</v>
      </c>
      <c r="F2579" s="99">
        <v>298</v>
      </c>
      <c r="G2579" s="99">
        <v>552</v>
      </c>
      <c r="H2579" s="99">
        <v>178</v>
      </c>
      <c r="I2579" s="99">
        <v>-8</v>
      </c>
      <c r="J2579" s="99">
        <v>10</v>
      </c>
      <c r="K2579" s="99">
        <v>18</v>
      </c>
      <c r="L2579" s="99">
        <v>133</v>
      </c>
      <c r="M2579" s="99">
        <v>124</v>
      </c>
      <c r="N2579" s="99">
        <v>9</v>
      </c>
      <c r="O2579" s="110"/>
      <c r="P2579" s="110"/>
      <c r="Q2579" s="110"/>
    </row>
    <row r="2580" spans="1:17" s="119" customFormat="1" ht="17.5" customHeight="1">
      <c r="A2580" s="109" t="s">
        <v>7357</v>
      </c>
      <c r="B2580" s="109" t="s">
        <v>7358</v>
      </c>
      <c r="C2580" s="98">
        <v>2011</v>
      </c>
      <c r="D2580" s="99">
        <v>572</v>
      </c>
      <c r="E2580" s="99">
        <v>811</v>
      </c>
      <c r="F2580" s="99">
        <v>317</v>
      </c>
      <c r="G2580" s="99">
        <v>498</v>
      </c>
      <c r="H2580" s="99">
        <v>178</v>
      </c>
      <c r="I2580" s="99">
        <v>29</v>
      </c>
      <c r="J2580" s="99">
        <v>33</v>
      </c>
      <c r="K2580" s="99">
        <v>5</v>
      </c>
      <c r="L2580" s="99">
        <v>122</v>
      </c>
      <c r="M2580" s="99">
        <v>119</v>
      </c>
      <c r="N2580" s="99">
        <v>3</v>
      </c>
      <c r="O2580" s="110"/>
      <c r="P2580" s="110"/>
      <c r="Q2580" s="110"/>
    </row>
    <row r="2581" spans="1:17" s="119" customFormat="1" ht="17.5" customHeight="1">
      <c r="A2581" s="109" t="s">
        <v>7357</v>
      </c>
      <c r="B2581" s="109" t="s">
        <v>7358</v>
      </c>
      <c r="C2581" s="111">
        <v>2012</v>
      </c>
      <c r="D2581" s="112">
        <v>562</v>
      </c>
      <c r="E2581" s="112">
        <v>745</v>
      </c>
      <c r="F2581" s="112">
        <v>302</v>
      </c>
      <c r="G2581" s="112">
        <v>431</v>
      </c>
      <c r="H2581" s="112">
        <v>178</v>
      </c>
      <c r="I2581" s="112">
        <v>18</v>
      </c>
      <c r="J2581" s="112">
        <v>19</v>
      </c>
      <c r="K2581" s="112">
        <v>1</v>
      </c>
      <c r="L2581" s="112">
        <v>94</v>
      </c>
      <c r="M2581" s="112">
        <v>105</v>
      </c>
      <c r="N2581" s="112">
        <v>-11</v>
      </c>
      <c r="O2581" s="117"/>
      <c r="P2581" s="117"/>
      <c r="Q2581" s="117"/>
    </row>
    <row r="2582" spans="1:17" s="119" customFormat="1" ht="17.5" customHeight="1">
      <c r="A2582" s="109" t="s">
        <v>7357</v>
      </c>
      <c r="B2582" s="109" t="s">
        <v>7358</v>
      </c>
      <c r="C2582" s="113">
        <v>2013</v>
      </c>
      <c r="D2582" s="112">
        <v>585</v>
      </c>
      <c r="E2582" s="112">
        <v>719</v>
      </c>
      <c r="F2582" s="112">
        <v>336</v>
      </c>
      <c r="G2582" s="112">
        <v>404</v>
      </c>
      <c r="H2582" s="112">
        <v>164</v>
      </c>
      <c r="I2582" s="112">
        <v>37</v>
      </c>
      <c r="J2582" s="112">
        <v>38</v>
      </c>
      <c r="K2582" s="112">
        <v>2</v>
      </c>
      <c r="L2582" s="112">
        <v>125</v>
      </c>
      <c r="M2582" s="112">
        <v>102</v>
      </c>
      <c r="N2582" s="112">
        <v>23</v>
      </c>
      <c r="O2582" s="117"/>
      <c r="P2582" s="117"/>
      <c r="Q2582" s="117"/>
    </row>
    <row r="2583" spans="1:17" s="119" customFormat="1" ht="17.5" customHeight="1">
      <c r="A2583" s="109" t="s">
        <v>7357</v>
      </c>
      <c r="B2583" s="109" t="s">
        <v>7358</v>
      </c>
      <c r="C2583" s="113">
        <v>2014</v>
      </c>
      <c r="D2583" s="99">
        <v>623</v>
      </c>
      <c r="E2583" s="99">
        <v>893</v>
      </c>
      <c r="F2583" s="99">
        <v>405</v>
      </c>
      <c r="G2583" s="99">
        <v>502</v>
      </c>
      <c r="H2583" s="99">
        <v>201</v>
      </c>
      <c r="I2583" s="99">
        <v>17</v>
      </c>
      <c r="J2583" s="99">
        <v>21</v>
      </c>
      <c r="K2583" s="99">
        <v>5</v>
      </c>
      <c r="L2583" s="99">
        <v>130</v>
      </c>
      <c r="M2583" s="99">
        <v>111</v>
      </c>
      <c r="N2583" s="99">
        <v>19</v>
      </c>
      <c r="O2583" s="117"/>
      <c r="P2583" s="117"/>
      <c r="Q2583" s="117"/>
    </row>
    <row r="2584" spans="1:17" s="119" customFormat="1" ht="17.5" customHeight="1">
      <c r="A2584" s="109" t="s">
        <v>7357</v>
      </c>
      <c r="B2584" s="109" t="s">
        <v>7358</v>
      </c>
      <c r="C2584" s="113">
        <v>2015</v>
      </c>
      <c r="D2584" s="112">
        <v>623</v>
      </c>
      <c r="E2584" s="112">
        <v>886</v>
      </c>
      <c r="F2584" s="112">
        <v>353</v>
      </c>
      <c r="G2584" s="112">
        <v>536</v>
      </c>
      <c r="H2584" s="112">
        <v>192</v>
      </c>
      <c r="I2584" s="112">
        <v>15</v>
      </c>
      <c r="J2584" s="99" t="s">
        <v>6953</v>
      </c>
      <c r="K2584" s="99" t="s">
        <v>6953</v>
      </c>
      <c r="L2584" s="112">
        <v>138</v>
      </c>
      <c r="M2584" s="112">
        <v>133</v>
      </c>
      <c r="N2584" s="112">
        <v>5</v>
      </c>
      <c r="O2584" s="117"/>
      <c r="P2584" s="117"/>
      <c r="Q2584" s="117"/>
    </row>
    <row r="2585" spans="1:17" s="119" customFormat="1" ht="17.5" customHeight="1">
      <c r="A2585" s="109" t="s">
        <v>7357</v>
      </c>
      <c r="B2585" s="109" t="s">
        <v>7358</v>
      </c>
      <c r="C2585" s="113">
        <v>2016</v>
      </c>
      <c r="D2585" s="112">
        <v>661</v>
      </c>
      <c r="E2585" s="112">
        <v>780</v>
      </c>
      <c r="F2585" s="112">
        <v>366</v>
      </c>
      <c r="G2585" s="112">
        <v>418</v>
      </c>
      <c r="H2585" s="112">
        <v>178</v>
      </c>
      <c r="I2585" s="112">
        <v>15</v>
      </c>
      <c r="J2585" s="112">
        <v>32</v>
      </c>
      <c r="K2585" s="112">
        <v>17</v>
      </c>
      <c r="L2585" s="112">
        <v>111</v>
      </c>
      <c r="M2585" s="112">
        <v>104</v>
      </c>
      <c r="N2585" s="112">
        <v>7</v>
      </c>
      <c r="O2585" s="110"/>
      <c r="P2585" s="110"/>
      <c r="Q2585" s="110"/>
    </row>
    <row r="2586" spans="1:17" s="119" customFormat="1" ht="17.5" customHeight="1">
      <c r="A2586" s="109" t="s">
        <v>7357</v>
      </c>
      <c r="B2586" s="109" t="s">
        <v>7358</v>
      </c>
      <c r="C2586" s="113">
        <v>2017</v>
      </c>
      <c r="D2586" s="112">
        <v>646</v>
      </c>
      <c r="E2586" s="112">
        <v>893</v>
      </c>
      <c r="F2586" s="112">
        <v>401</v>
      </c>
      <c r="G2586" s="112">
        <v>502</v>
      </c>
      <c r="H2586" s="112">
        <v>184</v>
      </c>
      <c r="I2586" s="112">
        <v>22</v>
      </c>
      <c r="J2586" s="112">
        <v>23</v>
      </c>
      <c r="K2586" s="112">
        <v>1</v>
      </c>
      <c r="L2586" s="112">
        <v>136</v>
      </c>
      <c r="M2586" s="112">
        <v>123</v>
      </c>
      <c r="N2586" s="112">
        <v>12</v>
      </c>
      <c r="O2586" s="110"/>
      <c r="P2586" s="110"/>
      <c r="Q2586" s="110"/>
    </row>
    <row r="2587" spans="1:17" s="119" customFormat="1" ht="17.5" customHeight="1">
      <c r="A2587" s="109" t="s">
        <v>7357</v>
      </c>
      <c r="B2587" s="109" t="s">
        <v>7358</v>
      </c>
      <c r="C2587" s="113">
        <v>2018</v>
      </c>
      <c r="D2587" s="112">
        <v>669</v>
      </c>
      <c r="E2587" s="112">
        <v>954</v>
      </c>
      <c r="F2587" s="112">
        <v>433</v>
      </c>
      <c r="G2587" s="112">
        <v>530</v>
      </c>
      <c r="H2587" s="112">
        <v>198</v>
      </c>
      <c r="I2587" s="112">
        <v>13</v>
      </c>
      <c r="J2587" s="112">
        <v>16</v>
      </c>
      <c r="K2587" s="112">
        <v>3</v>
      </c>
      <c r="L2587" s="112">
        <v>143</v>
      </c>
      <c r="M2587" s="112">
        <v>133</v>
      </c>
      <c r="N2587" s="112">
        <v>11</v>
      </c>
      <c r="O2587" s="100"/>
      <c r="P2587" s="100"/>
      <c r="Q2587" s="100"/>
    </row>
    <row r="2588" spans="1:17" s="119" customFormat="1" ht="17.5" customHeight="1">
      <c r="A2588" s="109" t="s">
        <v>7357</v>
      </c>
      <c r="B2588" s="109" t="s">
        <v>7358</v>
      </c>
      <c r="C2588" s="113">
        <v>2019</v>
      </c>
      <c r="D2588" s="112">
        <v>638</v>
      </c>
      <c r="E2588" s="112">
        <v>1062.500192</v>
      </c>
      <c r="F2588" s="112">
        <v>489.91436599999997</v>
      </c>
      <c r="G2588" s="112">
        <v>581.05334300000004</v>
      </c>
      <c r="H2588" s="112">
        <v>211.717029</v>
      </c>
      <c r="I2588" s="112">
        <v>18.940283000000001</v>
      </c>
      <c r="J2588" s="112">
        <v>20.245380000000001</v>
      </c>
      <c r="K2588" s="112">
        <v>1.305097</v>
      </c>
      <c r="L2588" s="112">
        <v>152.038996</v>
      </c>
      <c r="M2588" s="112">
        <v>141.496104</v>
      </c>
      <c r="N2588" s="112">
        <v>10.542892</v>
      </c>
      <c r="O2588" s="110"/>
      <c r="P2588" s="110"/>
      <c r="Q2588" s="110"/>
    </row>
    <row r="2589" spans="1:17" s="119" customFormat="1" ht="17.5" customHeight="1">
      <c r="A2589" s="114" t="s">
        <v>7357</v>
      </c>
      <c r="B2589" s="114" t="s">
        <v>7358</v>
      </c>
      <c r="C2589" s="113">
        <v>2020</v>
      </c>
      <c r="D2589" s="112">
        <v>664</v>
      </c>
      <c r="E2589" s="112">
        <v>872.70061499999997</v>
      </c>
      <c r="F2589" s="112">
        <v>363.36186900000001</v>
      </c>
      <c r="G2589" s="112">
        <v>506.57351499999999</v>
      </c>
      <c r="H2589" s="112">
        <v>199.67682600000001</v>
      </c>
      <c r="I2589" s="112">
        <v>35.534770999999999</v>
      </c>
      <c r="J2589" s="112">
        <v>35.684704000000004</v>
      </c>
      <c r="K2589" s="112" t="s">
        <v>6952</v>
      </c>
      <c r="L2589" s="112">
        <v>158.73357200000001</v>
      </c>
      <c r="M2589" s="112">
        <v>166.23663199999999</v>
      </c>
      <c r="N2589" s="112">
        <v>-7.5030599999999996</v>
      </c>
      <c r="O2589" s="100"/>
      <c r="P2589" s="100"/>
      <c r="Q2589" s="100"/>
    </row>
    <row r="2590" spans="1:17" s="119" customFormat="1" ht="17.5" customHeight="1">
      <c r="A2590" s="109" t="s">
        <v>7359</v>
      </c>
      <c r="B2590" s="109" t="s">
        <v>7360</v>
      </c>
      <c r="C2590" s="98">
        <v>2008</v>
      </c>
      <c r="D2590" s="99">
        <v>1309</v>
      </c>
      <c r="E2590" s="99">
        <v>1040</v>
      </c>
      <c r="F2590" s="99">
        <v>541</v>
      </c>
      <c r="G2590" s="99">
        <v>499</v>
      </c>
      <c r="H2590" s="99">
        <v>363</v>
      </c>
      <c r="I2590" s="99">
        <v>44</v>
      </c>
      <c r="J2590" s="99">
        <v>55</v>
      </c>
      <c r="K2590" s="99">
        <v>10</v>
      </c>
      <c r="L2590" s="99">
        <v>114</v>
      </c>
      <c r="M2590" s="99">
        <v>117</v>
      </c>
      <c r="N2590" s="99">
        <v>-4</v>
      </c>
      <c r="O2590" s="100"/>
      <c r="P2590" s="100"/>
      <c r="Q2590" s="100"/>
    </row>
    <row r="2591" spans="1:17" s="119" customFormat="1" ht="17.5" customHeight="1">
      <c r="A2591" s="109" t="s">
        <v>7359</v>
      </c>
      <c r="B2591" s="109" t="s">
        <v>7360</v>
      </c>
      <c r="C2591" s="98">
        <v>2009</v>
      </c>
      <c r="D2591" s="99">
        <v>1246</v>
      </c>
      <c r="E2591" s="99">
        <v>888</v>
      </c>
      <c r="F2591" s="99">
        <v>480</v>
      </c>
      <c r="G2591" s="99">
        <v>394</v>
      </c>
      <c r="H2591" s="99">
        <v>283</v>
      </c>
      <c r="I2591" s="99">
        <v>18</v>
      </c>
      <c r="J2591" s="99">
        <v>23</v>
      </c>
      <c r="K2591" s="99">
        <v>5</v>
      </c>
      <c r="L2591" s="99">
        <v>141</v>
      </c>
      <c r="M2591" s="99">
        <v>152</v>
      </c>
      <c r="N2591" s="99">
        <v>-11</v>
      </c>
      <c r="O2591" s="110"/>
      <c r="P2591" s="110"/>
      <c r="Q2591" s="110"/>
    </row>
    <row r="2592" spans="1:17" s="119" customFormat="1" ht="17.5" customHeight="1">
      <c r="A2592" s="109" t="s">
        <v>7359</v>
      </c>
      <c r="B2592" s="109" t="s">
        <v>7360</v>
      </c>
      <c r="C2592" s="98">
        <v>2010</v>
      </c>
      <c r="D2592" s="99">
        <v>1175</v>
      </c>
      <c r="E2592" s="99">
        <v>1217</v>
      </c>
      <c r="F2592" s="99">
        <v>626</v>
      </c>
      <c r="G2592" s="99">
        <v>657</v>
      </c>
      <c r="H2592" s="99">
        <v>387</v>
      </c>
      <c r="I2592" s="99">
        <v>9</v>
      </c>
      <c r="J2592" s="99">
        <v>17</v>
      </c>
      <c r="K2592" s="99">
        <v>9</v>
      </c>
      <c r="L2592" s="99">
        <v>192</v>
      </c>
      <c r="M2592" s="99">
        <v>139</v>
      </c>
      <c r="N2592" s="99">
        <v>53</v>
      </c>
      <c r="O2592" s="110"/>
      <c r="P2592" s="110"/>
      <c r="Q2592" s="110"/>
    </row>
    <row r="2593" spans="1:17" s="119" customFormat="1" ht="17.5" customHeight="1">
      <c r="A2593" s="109" t="s">
        <v>7359</v>
      </c>
      <c r="B2593" s="109" t="s">
        <v>7360</v>
      </c>
      <c r="C2593" s="98">
        <v>2011</v>
      </c>
      <c r="D2593" s="99">
        <v>1124</v>
      </c>
      <c r="E2593" s="99">
        <v>1132</v>
      </c>
      <c r="F2593" s="99">
        <v>578</v>
      </c>
      <c r="G2593" s="99">
        <v>578</v>
      </c>
      <c r="H2593" s="99">
        <v>341</v>
      </c>
      <c r="I2593" s="99">
        <v>72</v>
      </c>
      <c r="J2593" s="99">
        <v>77</v>
      </c>
      <c r="K2593" s="99">
        <v>5</v>
      </c>
      <c r="L2593" s="99">
        <v>130</v>
      </c>
      <c r="M2593" s="99">
        <v>105</v>
      </c>
      <c r="N2593" s="99">
        <v>25</v>
      </c>
      <c r="O2593" s="117"/>
      <c r="P2593" s="117"/>
      <c r="Q2593" s="117"/>
    </row>
    <row r="2594" spans="1:17" s="119" customFormat="1" ht="17.5" customHeight="1">
      <c r="A2594" s="109" t="s">
        <v>7359</v>
      </c>
      <c r="B2594" s="109" t="s">
        <v>7360</v>
      </c>
      <c r="C2594" s="111">
        <v>2012</v>
      </c>
      <c r="D2594" s="112">
        <v>1109</v>
      </c>
      <c r="E2594" s="112">
        <v>1461</v>
      </c>
      <c r="F2594" s="112">
        <v>733</v>
      </c>
      <c r="G2594" s="112">
        <v>735</v>
      </c>
      <c r="H2594" s="112">
        <v>435</v>
      </c>
      <c r="I2594" s="112">
        <v>63</v>
      </c>
      <c r="J2594" s="112">
        <v>68</v>
      </c>
      <c r="K2594" s="112">
        <v>4</v>
      </c>
      <c r="L2594" s="112">
        <v>150</v>
      </c>
      <c r="M2594" s="112">
        <v>143</v>
      </c>
      <c r="N2594" s="112">
        <v>7</v>
      </c>
      <c r="O2594" s="117"/>
      <c r="P2594" s="117"/>
      <c r="Q2594" s="117"/>
    </row>
    <row r="2595" spans="1:17" s="119" customFormat="1" ht="17.5" customHeight="1">
      <c r="A2595" s="109" t="s">
        <v>7359</v>
      </c>
      <c r="B2595" s="109" t="s">
        <v>7360</v>
      </c>
      <c r="C2595" s="113">
        <v>2013</v>
      </c>
      <c r="D2595" s="112">
        <v>1107</v>
      </c>
      <c r="E2595" s="112">
        <v>1334</v>
      </c>
      <c r="F2595" s="112">
        <v>548</v>
      </c>
      <c r="G2595" s="112">
        <v>774</v>
      </c>
      <c r="H2595" s="112">
        <v>445</v>
      </c>
      <c r="I2595" s="112">
        <v>60</v>
      </c>
      <c r="J2595" s="112">
        <v>64</v>
      </c>
      <c r="K2595" s="112">
        <v>4</v>
      </c>
      <c r="L2595" s="112">
        <v>183</v>
      </c>
      <c r="M2595" s="112">
        <v>193</v>
      </c>
      <c r="N2595" s="112">
        <v>-11</v>
      </c>
      <c r="O2595" s="117"/>
      <c r="P2595" s="117"/>
      <c r="Q2595" s="117"/>
    </row>
    <row r="2596" spans="1:17" s="119" customFormat="1" ht="17.5" customHeight="1">
      <c r="A2596" s="109" t="s">
        <v>7359</v>
      </c>
      <c r="B2596" s="109" t="s">
        <v>7360</v>
      </c>
      <c r="C2596" s="113">
        <v>2014</v>
      </c>
      <c r="D2596" s="99">
        <v>1105</v>
      </c>
      <c r="E2596" s="99">
        <v>1315</v>
      </c>
      <c r="F2596" s="99">
        <v>682</v>
      </c>
      <c r="G2596" s="99">
        <v>651</v>
      </c>
      <c r="H2596" s="99">
        <v>475</v>
      </c>
      <c r="I2596" s="99">
        <v>52</v>
      </c>
      <c r="J2596" s="99">
        <v>78</v>
      </c>
      <c r="K2596" s="99">
        <v>26</v>
      </c>
      <c r="L2596" s="99">
        <v>203</v>
      </c>
      <c r="M2596" s="99">
        <v>182</v>
      </c>
      <c r="N2596" s="99">
        <v>21</v>
      </c>
      <c r="O2596" s="117"/>
      <c r="P2596" s="117"/>
      <c r="Q2596" s="117"/>
    </row>
    <row r="2597" spans="1:17" s="119" customFormat="1" ht="17.5" customHeight="1">
      <c r="A2597" s="109" t="s">
        <v>7359</v>
      </c>
      <c r="B2597" s="109" t="s">
        <v>7360</v>
      </c>
      <c r="C2597" s="113">
        <v>2015</v>
      </c>
      <c r="D2597" s="112">
        <v>1086</v>
      </c>
      <c r="E2597" s="112">
        <v>1213</v>
      </c>
      <c r="F2597" s="112">
        <v>677</v>
      </c>
      <c r="G2597" s="112">
        <v>548</v>
      </c>
      <c r="H2597" s="112">
        <v>346</v>
      </c>
      <c r="I2597" s="112">
        <v>95</v>
      </c>
      <c r="J2597" s="112">
        <v>99</v>
      </c>
      <c r="K2597" s="112">
        <v>4</v>
      </c>
      <c r="L2597" s="112">
        <v>143</v>
      </c>
      <c r="M2597" s="112">
        <v>134</v>
      </c>
      <c r="N2597" s="112">
        <v>10</v>
      </c>
      <c r="O2597" s="110"/>
      <c r="P2597" s="110"/>
      <c r="Q2597" s="110"/>
    </row>
    <row r="2598" spans="1:17" s="119" customFormat="1" ht="17.5" customHeight="1">
      <c r="A2598" s="109" t="s">
        <v>7359</v>
      </c>
      <c r="B2598" s="109" t="s">
        <v>7360</v>
      </c>
      <c r="C2598" s="113">
        <v>2016</v>
      </c>
      <c r="D2598" s="112">
        <v>1057</v>
      </c>
      <c r="E2598" s="112">
        <v>1091</v>
      </c>
      <c r="F2598" s="112">
        <v>608</v>
      </c>
      <c r="G2598" s="112">
        <v>473</v>
      </c>
      <c r="H2598" s="112">
        <v>345</v>
      </c>
      <c r="I2598" s="112">
        <v>95</v>
      </c>
      <c r="J2598" s="112">
        <v>111</v>
      </c>
      <c r="K2598" s="112">
        <v>16</v>
      </c>
      <c r="L2598" s="112">
        <v>157</v>
      </c>
      <c r="M2598" s="112">
        <v>175</v>
      </c>
      <c r="N2598" s="112">
        <v>-18</v>
      </c>
      <c r="O2598" s="110"/>
      <c r="P2598" s="110"/>
      <c r="Q2598" s="110"/>
    </row>
    <row r="2599" spans="1:17" s="119" customFormat="1" ht="17.5" customHeight="1">
      <c r="A2599" s="109" t="s">
        <v>7359</v>
      </c>
      <c r="B2599" s="109" t="s">
        <v>7360</v>
      </c>
      <c r="C2599" s="113">
        <v>2017</v>
      </c>
      <c r="D2599" s="112">
        <v>1038</v>
      </c>
      <c r="E2599" s="112">
        <v>1182</v>
      </c>
      <c r="F2599" s="112">
        <v>593</v>
      </c>
      <c r="G2599" s="112">
        <v>607</v>
      </c>
      <c r="H2599" s="112">
        <v>354</v>
      </c>
      <c r="I2599" s="112">
        <v>66</v>
      </c>
      <c r="J2599" s="112">
        <v>69</v>
      </c>
      <c r="K2599" s="112">
        <v>3</v>
      </c>
      <c r="L2599" s="112">
        <v>145</v>
      </c>
      <c r="M2599" s="112">
        <v>128</v>
      </c>
      <c r="N2599" s="112">
        <v>17</v>
      </c>
      <c r="O2599" s="100"/>
      <c r="P2599" s="100"/>
      <c r="Q2599" s="100"/>
    </row>
    <row r="2600" spans="1:17" s="119" customFormat="1" ht="17.5" customHeight="1">
      <c r="A2600" s="109" t="s">
        <v>7359</v>
      </c>
      <c r="B2600" s="109" t="s">
        <v>7360</v>
      </c>
      <c r="C2600" s="113">
        <v>2018</v>
      </c>
      <c r="D2600" s="112">
        <v>1035</v>
      </c>
      <c r="E2600" s="112">
        <v>1209</v>
      </c>
      <c r="F2600" s="112">
        <v>720</v>
      </c>
      <c r="G2600" s="112">
        <v>497</v>
      </c>
      <c r="H2600" s="112">
        <v>360</v>
      </c>
      <c r="I2600" s="112">
        <v>59</v>
      </c>
      <c r="J2600" s="112">
        <v>64</v>
      </c>
      <c r="K2600" s="112">
        <v>5</v>
      </c>
      <c r="L2600" s="112">
        <v>143</v>
      </c>
      <c r="M2600" s="112">
        <v>140</v>
      </c>
      <c r="N2600" s="112">
        <v>4</v>
      </c>
      <c r="O2600" s="110"/>
      <c r="P2600" s="110"/>
      <c r="Q2600" s="110"/>
    </row>
    <row r="2601" spans="1:17" s="119" customFormat="1" ht="17.5" customHeight="1">
      <c r="A2601" s="109" t="s">
        <v>7359</v>
      </c>
      <c r="B2601" s="109" t="s">
        <v>7360</v>
      </c>
      <c r="C2601" s="113">
        <v>2019</v>
      </c>
      <c r="D2601" s="112">
        <v>998</v>
      </c>
      <c r="E2601" s="112">
        <v>1301.973892</v>
      </c>
      <c r="F2601" s="112">
        <v>682.95115299999998</v>
      </c>
      <c r="G2601" s="112">
        <v>634.08602800000006</v>
      </c>
      <c r="H2601" s="112">
        <v>365.235725</v>
      </c>
      <c r="I2601" s="112">
        <v>49.768144999999997</v>
      </c>
      <c r="J2601" s="112">
        <v>58.908875000000002</v>
      </c>
      <c r="K2601" s="112">
        <v>9.1407299999999996</v>
      </c>
      <c r="L2601" s="112">
        <v>186.97242700000001</v>
      </c>
      <c r="M2601" s="112">
        <v>170.91876199999999</v>
      </c>
      <c r="N2601" s="112">
        <v>16.053664999999999</v>
      </c>
      <c r="O2601" s="100"/>
      <c r="P2601" s="100"/>
      <c r="Q2601" s="100"/>
    </row>
    <row r="2602" spans="1:17" s="119" customFormat="1" ht="17.5" customHeight="1">
      <c r="A2602" s="114" t="s">
        <v>7359</v>
      </c>
      <c r="B2602" s="114" t="s">
        <v>7360</v>
      </c>
      <c r="C2602" s="113">
        <v>2020</v>
      </c>
      <c r="D2602" s="112">
        <v>978</v>
      </c>
      <c r="E2602" s="112">
        <v>1145.8691429999999</v>
      </c>
      <c r="F2602" s="112">
        <v>563.94785100000001</v>
      </c>
      <c r="G2602" s="112">
        <v>579.34075700000005</v>
      </c>
      <c r="H2602" s="112">
        <v>349.98689400000001</v>
      </c>
      <c r="I2602" s="112">
        <v>65.000590000000003</v>
      </c>
      <c r="J2602" s="112">
        <v>66.853679</v>
      </c>
      <c r="K2602" s="112">
        <v>1.853089</v>
      </c>
      <c r="L2602" s="112">
        <v>174.10709299999999</v>
      </c>
      <c r="M2602" s="112">
        <v>180.04968299999999</v>
      </c>
      <c r="N2602" s="112">
        <v>-5.94259</v>
      </c>
      <c r="O2602" s="100"/>
      <c r="P2602" s="100"/>
      <c r="Q2602" s="100"/>
    </row>
    <row r="2603" spans="1:17" s="119" customFormat="1" ht="17.5" customHeight="1">
      <c r="A2603" s="109" t="s">
        <v>7361</v>
      </c>
      <c r="B2603" s="109" t="s">
        <v>7362</v>
      </c>
      <c r="C2603" s="98">
        <v>2008</v>
      </c>
      <c r="D2603" s="99">
        <v>5014</v>
      </c>
      <c r="E2603" s="99">
        <v>6416</v>
      </c>
      <c r="F2603" s="99">
        <v>2271</v>
      </c>
      <c r="G2603" s="99">
        <v>4217</v>
      </c>
      <c r="H2603" s="99">
        <v>1473</v>
      </c>
      <c r="I2603" s="99">
        <v>125</v>
      </c>
      <c r="J2603" s="99">
        <v>179</v>
      </c>
      <c r="K2603" s="99">
        <v>54</v>
      </c>
      <c r="L2603" s="99">
        <v>681</v>
      </c>
      <c r="M2603" s="99">
        <v>614</v>
      </c>
      <c r="N2603" s="99">
        <v>66</v>
      </c>
      <c r="O2603" s="110"/>
      <c r="P2603" s="110"/>
      <c r="Q2603" s="110"/>
    </row>
    <row r="2604" spans="1:17" s="119" customFormat="1" ht="17.5" customHeight="1">
      <c r="A2604" s="109" t="s">
        <v>7361</v>
      </c>
      <c r="B2604" s="109" t="s">
        <v>7362</v>
      </c>
      <c r="C2604" s="98">
        <v>2009</v>
      </c>
      <c r="D2604" s="99">
        <v>4920</v>
      </c>
      <c r="E2604" s="99">
        <v>5451</v>
      </c>
      <c r="F2604" s="99">
        <v>1987</v>
      </c>
      <c r="G2604" s="99">
        <v>3397</v>
      </c>
      <c r="H2604" s="99">
        <v>1130</v>
      </c>
      <c r="I2604" s="99">
        <v>110</v>
      </c>
      <c r="J2604" s="99">
        <v>145</v>
      </c>
      <c r="K2604" s="99">
        <v>35</v>
      </c>
      <c r="L2604" s="99">
        <v>546</v>
      </c>
      <c r="M2604" s="99">
        <v>614</v>
      </c>
      <c r="N2604" s="99">
        <v>-68</v>
      </c>
      <c r="O2604" s="110"/>
      <c r="P2604" s="110"/>
      <c r="Q2604" s="110"/>
    </row>
    <row r="2605" spans="1:17" s="119" customFormat="1" ht="17.5" customHeight="1">
      <c r="A2605" s="109" t="s">
        <v>7361</v>
      </c>
      <c r="B2605" s="109" t="s">
        <v>7362</v>
      </c>
      <c r="C2605" s="98">
        <v>2010</v>
      </c>
      <c r="D2605" s="99">
        <v>4765</v>
      </c>
      <c r="E2605" s="99">
        <v>6012</v>
      </c>
      <c r="F2605" s="99">
        <v>2069</v>
      </c>
      <c r="G2605" s="99">
        <v>3971</v>
      </c>
      <c r="H2605" s="99">
        <v>1183</v>
      </c>
      <c r="I2605" s="99">
        <v>102</v>
      </c>
      <c r="J2605" s="99">
        <v>126</v>
      </c>
      <c r="K2605" s="99">
        <v>23</v>
      </c>
      <c r="L2605" s="99">
        <v>569</v>
      </c>
      <c r="M2605" s="99">
        <v>535</v>
      </c>
      <c r="N2605" s="99">
        <v>34</v>
      </c>
      <c r="O2605" s="117"/>
      <c r="P2605" s="117"/>
      <c r="Q2605" s="117"/>
    </row>
    <row r="2606" spans="1:17" s="119" customFormat="1" ht="17.5" customHeight="1">
      <c r="A2606" s="109" t="s">
        <v>7361</v>
      </c>
      <c r="B2606" s="109" t="s">
        <v>7362</v>
      </c>
      <c r="C2606" s="98">
        <v>2011</v>
      </c>
      <c r="D2606" s="99">
        <v>4804</v>
      </c>
      <c r="E2606" s="99">
        <v>6146</v>
      </c>
      <c r="F2606" s="99">
        <v>2163</v>
      </c>
      <c r="G2606" s="99">
        <v>4038</v>
      </c>
      <c r="H2606" s="99">
        <v>1279</v>
      </c>
      <c r="I2606" s="99">
        <v>146</v>
      </c>
      <c r="J2606" s="99">
        <v>159</v>
      </c>
      <c r="K2606" s="99">
        <v>13</v>
      </c>
      <c r="L2606" s="99">
        <v>652</v>
      </c>
      <c r="M2606" s="99">
        <v>595</v>
      </c>
      <c r="N2606" s="99">
        <v>57</v>
      </c>
      <c r="O2606" s="117"/>
      <c r="P2606" s="117"/>
      <c r="Q2606" s="117"/>
    </row>
    <row r="2607" spans="1:17" s="119" customFormat="1" ht="17.5" customHeight="1">
      <c r="A2607" s="109" t="s">
        <v>7361</v>
      </c>
      <c r="B2607" s="109" t="s">
        <v>7362</v>
      </c>
      <c r="C2607" s="111">
        <v>2012</v>
      </c>
      <c r="D2607" s="112">
        <v>4776</v>
      </c>
      <c r="E2607" s="112">
        <v>6136</v>
      </c>
      <c r="F2607" s="112">
        <v>2331</v>
      </c>
      <c r="G2607" s="112">
        <v>3813</v>
      </c>
      <c r="H2607" s="112">
        <v>1316</v>
      </c>
      <c r="I2607" s="112">
        <v>218</v>
      </c>
      <c r="J2607" s="112">
        <v>243</v>
      </c>
      <c r="K2607" s="112">
        <v>25</v>
      </c>
      <c r="L2607" s="112">
        <v>549</v>
      </c>
      <c r="M2607" s="112">
        <v>556</v>
      </c>
      <c r="N2607" s="112">
        <v>-7</v>
      </c>
      <c r="O2607" s="117"/>
      <c r="P2607" s="117"/>
      <c r="Q2607" s="117"/>
    </row>
    <row r="2608" spans="1:17" s="119" customFormat="1" ht="17.5" customHeight="1">
      <c r="A2608" s="109" t="s">
        <v>7361</v>
      </c>
      <c r="B2608" s="109" t="s">
        <v>7362</v>
      </c>
      <c r="C2608" s="113">
        <v>2013</v>
      </c>
      <c r="D2608" s="112">
        <v>4587</v>
      </c>
      <c r="E2608" s="112">
        <v>5662</v>
      </c>
      <c r="F2608" s="112">
        <v>2232</v>
      </c>
      <c r="G2608" s="112">
        <v>3440</v>
      </c>
      <c r="H2608" s="112">
        <v>1301</v>
      </c>
      <c r="I2608" s="112">
        <v>136</v>
      </c>
      <c r="J2608" s="112">
        <v>164</v>
      </c>
      <c r="K2608" s="112">
        <v>28</v>
      </c>
      <c r="L2608" s="112">
        <v>607</v>
      </c>
      <c r="M2608" s="112">
        <v>596</v>
      </c>
      <c r="N2608" s="112">
        <v>11</v>
      </c>
      <c r="O2608" s="117"/>
      <c r="P2608" s="117"/>
      <c r="Q2608" s="117"/>
    </row>
    <row r="2609" spans="1:17" s="119" customFormat="1" ht="17.5" customHeight="1">
      <c r="A2609" s="109" t="s">
        <v>7361</v>
      </c>
      <c r="B2609" s="109" t="s">
        <v>7362</v>
      </c>
      <c r="C2609" s="113">
        <v>2014</v>
      </c>
      <c r="D2609" s="99">
        <v>4416</v>
      </c>
      <c r="E2609" s="99">
        <v>5978</v>
      </c>
      <c r="F2609" s="99">
        <v>2463</v>
      </c>
      <c r="G2609" s="99">
        <v>3581</v>
      </c>
      <c r="H2609" s="99">
        <v>1371</v>
      </c>
      <c r="I2609" s="99">
        <v>207</v>
      </c>
      <c r="J2609" s="99">
        <v>222</v>
      </c>
      <c r="K2609" s="99">
        <v>14</v>
      </c>
      <c r="L2609" s="99">
        <v>683</v>
      </c>
      <c r="M2609" s="99">
        <v>617</v>
      </c>
      <c r="N2609" s="99">
        <v>65</v>
      </c>
      <c r="O2609" s="110"/>
      <c r="P2609" s="110"/>
      <c r="Q2609" s="110"/>
    </row>
    <row r="2610" spans="1:17" s="119" customFormat="1" ht="17.5" customHeight="1">
      <c r="A2610" s="109" t="s">
        <v>7361</v>
      </c>
      <c r="B2610" s="109" t="s">
        <v>7362</v>
      </c>
      <c r="C2610" s="113">
        <v>2015</v>
      </c>
      <c r="D2610" s="112">
        <v>4246</v>
      </c>
      <c r="E2610" s="112">
        <v>5758</v>
      </c>
      <c r="F2610" s="112">
        <v>2352</v>
      </c>
      <c r="G2610" s="112">
        <v>3419</v>
      </c>
      <c r="H2610" s="112">
        <v>1353</v>
      </c>
      <c r="I2610" s="112">
        <v>240</v>
      </c>
      <c r="J2610" s="112">
        <v>258</v>
      </c>
      <c r="K2610" s="112">
        <v>19</v>
      </c>
      <c r="L2610" s="112">
        <v>664</v>
      </c>
      <c r="M2610" s="112">
        <v>651</v>
      </c>
      <c r="N2610" s="112">
        <v>13</v>
      </c>
      <c r="O2610" s="110"/>
      <c r="P2610" s="110"/>
      <c r="Q2610" s="110"/>
    </row>
    <row r="2611" spans="1:17" s="119" customFormat="1" ht="17.5" customHeight="1">
      <c r="A2611" s="109" t="s">
        <v>7361</v>
      </c>
      <c r="B2611" s="109" t="s">
        <v>7362</v>
      </c>
      <c r="C2611" s="113">
        <v>2016</v>
      </c>
      <c r="D2611" s="112">
        <v>4227</v>
      </c>
      <c r="E2611" s="112">
        <v>5812</v>
      </c>
      <c r="F2611" s="112">
        <v>2825</v>
      </c>
      <c r="G2611" s="112">
        <v>3039</v>
      </c>
      <c r="H2611" s="112">
        <v>1505</v>
      </c>
      <c r="I2611" s="112">
        <v>260</v>
      </c>
      <c r="J2611" s="112">
        <v>275</v>
      </c>
      <c r="K2611" s="112">
        <v>15</v>
      </c>
      <c r="L2611" s="112">
        <v>729</v>
      </c>
      <c r="M2611" s="112">
        <v>664</v>
      </c>
      <c r="N2611" s="112">
        <v>65</v>
      </c>
      <c r="O2611" s="100"/>
      <c r="P2611" s="100"/>
      <c r="Q2611" s="100"/>
    </row>
    <row r="2612" spans="1:17" s="119" customFormat="1" ht="17.5" customHeight="1">
      <c r="A2612" s="109" t="s">
        <v>7361</v>
      </c>
      <c r="B2612" s="109" t="s">
        <v>7362</v>
      </c>
      <c r="C2612" s="113">
        <v>2017</v>
      </c>
      <c r="D2612" s="112">
        <v>4146</v>
      </c>
      <c r="E2612" s="112">
        <v>6173</v>
      </c>
      <c r="F2612" s="112">
        <v>2622</v>
      </c>
      <c r="G2612" s="112">
        <v>3599</v>
      </c>
      <c r="H2612" s="112">
        <v>1398</v>
      </c>
      <c r="I2612" s="112">
        <v>340</v>
      </c>
      <c r="J2612" s="112">
        <v>402</v>
      </c>
      <c r="K2612" s="112">
        <v>62</v>
      </c>
      <c r="L2612" s="112">
        <v>771</v>
      </c>
      <c r="M2612" s="112">
        <v>736</v>
      </c>
      <c r="N2612" s="112">
        <v>35</v>
      </c>
      <c r="O2612" s="110"/>
      <c r="P2612" s="110"/>
      <c r="Q2612" s="110"/>
    </row>
    <row r="2613" spans="1:17" s="119" customFormat="1" ht="17.5" customHeight="1">
      <c r="A2613" s="109" t="s">
        <v>7361</v>
      </c>
      <c r="B2613" s="109" t="s">
        <v>7362</v>
      </c>
      <c r="C2613" s="113">
        <v>2018</v>
      </c>
      <c r="D2613" s="112">
        <v>4032</v>
      </c>
      <c r="E2613" s="112">
        <v>6392</v>
      </c>
      <c r="F2613" s="112">
        <v>2572</v>
      </c>
      <c r="G2613" s="112">
        <v>3904</v>
      </c>
      <c r="H2613" s="112">
        <v>1371</v>
      </c>
      <c r="I2613" s="112">
        <v>235</v>
      </c>
      <c r="J2613" s="112">
        <v>252</v>
      </c>
      <c r="K2613" s="112">
        <v>17</v>
      </c>
      <c r="L2613" s="112">
        <v>827</v>
      </c>
      <c r="M2613" s="112">
        <v>773</v>
      </c>
      <c r="N2613" s="112">
        <v>54</v>
      </c>
      <c r="O2613" s="100"/>
      <c r="P2613" s="100"/>
      <c r="Q2613" s="100"/>
    </row>
    <row r="2614" spans="1:17" s="119" customFormat="1" ht="17.5" customHeight="1">
      <c r="A2614" s="109" t="s">
        <v>7361</v>
      </c>
      <c r="B2614" s="109" t="s">
        <v>7362</v>
      </c>
      <c r="C2614" s="113">
        <v>2019</v>
      </c>
      <c r="D2614" s="112">
        <v>4008</v>
      </c>
      <c r="E2614" s="112">
        <v>6424.8908789999996</v>
      </c>
      <c r="F2614" s="112">
        <v>2698.715545</v>
      </c>
      <c r="G2614" s="112">
        <v>3770.6467040000002</v>
      </c>
      <c r="H2614" s="112">
        <v>1445.6393889999999</v>
      </c>
      <c r="I2614" s="112">
        <v>202.211456</v>
      </c>
      <c r="J2614" s="112">
        <v>231.51074199999999</v>
      </c>
      <c r="K2614" s="112">
        <v>29.299285999999999</v>
      </c>
      <c r="L2614" s="112">
        <v>791.05925000000002</v>
      </c>
      <c r="M2614" s="112">
        <v>743.38637600000004</v>
      </c>
      <c r="N2614" s="112">
        <v>47.672874</v>
      </c>
      <c r="O2614" s="100"/>
      <c r="P2614" s="100"/>
      <c r="Q2614" s="100"/>
    </row>
    <row r="2615" spans="1:17" s="119" customFormat="1" ht="17.5" customHeight="1">
      <c r="A2615" s="114" t="s">
        <v>7361</v>
      </c>
      <c r="B2615" s="114" t="s">
        <v>7362</v>
      </c>
      <c r="C2615" s="113">
        <v>2020</v>
      </c>
      <c r="D2615" s="112">
        <v>4011</v>
      </c>
      <c r="E2615" s="112">
        <v>6106.4311950000001</v>
      </c>
      <c r="F2615" s="112">
        <v>2514.1221230000001</v>
      </c>
      <c r="G2615" s="112">
        <v>3581.307683</v>
      </c>
      <c r="H2615" s="112">
        <v>1479.245101</v>
      </c>
      <c r="I2615" s="112">
        <v>303.26842799999997</v>
      </c>
      <c r="J2615" s="112">
        <v>405.32811199999998</v>
      </c>
      <c r="K2615" s="112">
        <v>102.059684</v>
      </c>
      <c r="L2615" s="112">
        <v>725.85600199999999</v>
      </c>
      <c r="M2615" s="112">
        <v>763.77768800000001</v>
      </c>
      <c r="N2615" s="112">
        <v>-37.921686000000001</v>
      </c>
      <c r="O2615" s="110"/>
      <c r="P2615" s="110"/>
      <c r="Q2615" s="110"/>
    </row>
    <row r="2616" spans="1:17" s="119" customFormat="1" ht="17.5" customHeight="1">
      <c r="A2616" s="109" t="s">
        <v>7363</v>
      </c>
      <c r="B2616" s="109" t="s">
        <v>7364</v>
      </c>
      <c r="C2616" s="98">
        <v>2008</v>
      </c>
      <c r="D2616" s="99">
        <v>51</v>
      </c>
      <c r="E2616" s="99">
        <v>158</v>
      </c>
      <c r="F2616" s="99">
        <v>58</v>
      </c>
      <c r="G2616" s="99">
        <v>103</v>
      </c>
      <c r="H2616" s="99">
        <v>31</v>
      </c>
      <c r="I2616" s="99">
        <v>4</v>
      </c>
      <c r="J2616" s="99">
        <v>5</v>
      </c>
      <c r="K2616" s="99">
        <v>1</v>
      </c>
      <c r="L2616" s="99">
        <v>10</v>
      </c>
      <c r="M2616" s="99">
        <v>8</v>
      </c>
      <c r="N2616" s="99">
        <v>2</v>
      </c>
      <c r="O2616" s="110"/>
      <c r="P2616" s="110"/>
      <c r="Q2616" s="110"/>
    </row>
    <row r="2617" spans="1:17" s="119" customFormat="1" ht="17.5" customHeight="1">
      <c r="A2617" s="109" t="s">
        <v>7363</v>
      </c>
      <c r="B2617" s="109" t="s">
        <v>7364</v>
      </c>
      <c r="C2617" s="98">
        <v>2009</v>
      </c>
      <c r="D2617" s="99">
        <v>47</v>
      </c>
      <c r="E2617" s="99">
        <v>119</v>
      </c>
      <c r="F2617" s="99">
        <v>34</v>
      </c>
      <c r="G2617" s="99">
        <v>85</v>
      </c>
      <c r="H2617" s="99">
        <v>26</v>
      </c>
      <c r="I2617" s="99">
        <v>2</v>
      </c>
      <c r="J2617" s="99">
        <v>3</v>
      </c>
      <c r="K2617" s="99">
        <v>1</v>
      </c>
      <c r="L2617" s="99">
        <v>7</v>
      </c>
      <c r="M2617" s="99">
        <v>8</v>
      </c>
      <c r="N2617" s="99">
        <v>-1</v>
      </c>
      <c r="O2617" s="117"/>
      <c r="P2617" s="117"/>
      <c r="Q2617" s="117"/>
    </row>
    <row r="2618" spans="1:17" s="119" customFormat="1" ht="17.5" customHeight="1">
      <c r="A2618" s="109" t="s">
        <v>7363</v>
      </c>
      <c r="B2618" s="109" t="s">
        <v>7364</v>
      </c>
      <c r="C2618" s="98">
        <v>2010</v>
      </c>
      <c r="D2618" s="99">
        <v>37</v>
      </c>
      <c r="E2618" s="99">
        <v>118</v>
      </c>
      <c r="F2618" s="99">
        <v>37</v>
      </c>
      <c r="G2618" s="99">
        <v>82</v>
      </c>
      <c r="H2618" s="99">
        <v>21</v>
      </c>
      <c r="I2618" s="99" t="s">
        <v>6953</v>
      </c>
      <c r="J2618" s="99">
        <v>4</v>
      </c>
      <c r="K2618" s="99" t="s">
        <v>6953</v>
      </c>
      <c r="L2618" s="99">
        <v>7</v>
      </c>
      <c r="M2618" s="99">
        <v>6</v>
      </c>
      <c r="N2618" s="99">
        <v>1</v>
      </c>
      <c r="O2618" s="117"/>
      <c r="P2618" s="117"/>
      <c r="Q2618" s="117"/>
    </row>
    <row r="2619" spans="1:17" s="119" customFormat="1" ht="17.5" customHeight="1">
      <c r="A2619" s="109" t="s">
        <v>7363</v>
      </c>
      <c r="B2619" s="109" t="s">
        <v>7364</v>
      </c>
      <c r="C2619" s="98">
        <v>2011</v>
      </c>
      <c r="D2619" s="99">
        <v>43</v>
      </c>
      <c r="E2619" s="99">
        <v>125</v>
      </c>
      <c r="F2619" s="99">
        <v>41</v>
      </c>
      <c r="G2619" s="99">
        <v>83</v>
      </c>
      <c r="H2619" s="99">
        <v>21</v>
      </c>
      <c r="I2619" s="99">
        <v>5</v>
      </c>
      <c r="J2619" s="99">
        <v>6</v>
      </c>
      <c r="K2619" s="99">
        <v>1</v>
      </c>
      <c r="L2619" s="99">
        <v>6</v>
      </c>
      <c r="M2619" s="99">
        <v>7</v>
      </c>
      <c r="N2619" s="99">
        <v>-1</v>
      </c>
      <c r="O2619" s="117"/>
      <c r="P2619" s="117"/>
      <c r="Q2619" s="117"/>
    </row>
    <row r="2620" spans="1:17" s="119" customFormat="1" ht="17.5" customHeight="1">
      <c r="A2620" s="109" t="s">
        <v>7363</v>
      </c>
      <c r="B2620" s="109" t="s">
        <v>7364</v>
      </c>
      <c r="C2620" s="111">
        <v>2012</v>
      </c>
      <c r="D2620" s="112">
        <v>37</v>
      </c>
      <c r="E2620" s="112">
        <v>113</v>
      </c>
      <c r="F2620" s="112">
        <v>26</v>
      </c>
      <c r="G2620" s="112">
        <v>86</v>
      </c>
      <c r="H2620" s="112">
        <v>21</v>
      </c>
      <c r="I2620" s="112" t="s">
        <v>6952</v>
      </c>
      <c r="J2620" s="99" t="s">
        <v>6953</v>
      </c>
      <c r="K2620" s="99" t="s">
        <v>6953</v>
      </c>
      <c r="L2620" s="112">
        <v>6</v>
      </c>
      <c r="M2620" s="112">
        <v>7</v>
      </c>
      <c r="N2620" s="112">
        <v>-1</v>
      </c>
      <c r="O2620" s="117"/>
      <c r="P2620" s="117"/>
      <c r="Q2620" s="117"/>
    </row>
    <row r="2621" spans="1:17" s="119" customFormat="1" ht="17.5" customHeight="1">
      <c r="A2621" s="109" t="s">
        <v>7363</v>
      </c>
      <c r="B2621" s="109" t="s">
        <v>7364</v>
      </c>
      <c r="C2621" s="113">
        <v>2013</v>
      </c>
      <c r="D2621" s="112">
        <v>34</v>
      </c>
      <c r="E2621" s="112">
        <v>117</v>
      </c>
      <c r="F2621" s="112">
        <v>37</v>
      </c>
      <c r="G2621" s="112">
        <v>80</v>
      </c>
      <c r="H2621" s="112">
        <v>23</v>
      </c>
      <c r="I2621" s="112" t="s">
        <v>6952</v>
      </c>
      <c r="J2621" s="112" t="s">
        <v>6952</v>
      </c>
      <c r="K2621" s="112" t="s">
        <v>6952</v>
      </c>
      <c r="L2621" s="112">
        <v>8</v>
      </c>
      <c r="M2621" s="112">
        <v>8</v>
      </c>
      <c r="N2621" s="112" t="s">
        <v>6952</v>
      </c>
      <c r="O2621" s="110"/>
      <c r="P2621" s="110"/>
      <c r="Q2621" s="110"/>
    </row>
    <row r="2622" spans="1:17" s="119" customFormat="1" ht="17.5" customHeight="1">
      <c r="A2622" s="109" t="s">
        <v>7363</v>
      </c>
      <c r="B2622" s="109" t="s">
        <v>7364</v>
      </c>
      <c r="C2622" s="113">
        <v>2014</v>
      </c>
      <c r="D2622" s="99">
        <v>34</v>
      </c>
      <c r="E2622" s="99">
        <v>109</v>
      </c>
      <c r="F2622" s="99">
        <v>27</v>
      </c>
      <c r="G2622" s="99">
        <v>82</v>
      </c>
      <c r="H2622" s="99">
        <v>24</v>
      </c>
      <c r="I2622" s="99" t="s">
        <v>6953</v>
      </c>
      <c r="J2622" s="99" t="s">
        <v>6953</v>
      </c>
      <c r="K2622" s="112" t="s">
        <v>6952</v>
      </c>
      <c r="L2622" s="99">
        <v>5</v>
      </c>
      <c r="M2622" s="99">
        <v>5</v>
      </c>
      <c r="N2622" s="112" t="s">
        <v>6952</v>
      </c>
      <c r="O2622" s="110"/>
      <c r="P2622" s="110"/>
      <c r="Q2622" s="110"/>
    </row>
    <row r="2623" spans="1:17" s="119" customFormat="1" ht="17.5" customHeight="1">
      <c r="A2623" s="109" t="s">
        <v>7363</v>
      </c>
      <c r="B2623" s="109" t="s">
        <v>7364</v>
      </c>
      <c r="C2623" s="113">
        <v>2015</v>
      </c>
      <c r="D2623" s="112">
        <v>26</v>
      </c>
      <c r="E2623" s="112">
        <v>89</v>
      </c>
      <c r="F2623" s="112">
        <v>20</v>
      </c>
      <c r="G2623" s="112">
        <v>68</v>
      </c>
      <c r="H2623" s="112">
        <v>21</v>
      </c>
      <c r="I2623" s="112">
        <v>2</v>
      </c>
      <c r="J2623" s="112">
        <v>2</v>
      </c>
      <c r="K2623" s="112" t="s">
        <v>6952</v>
      </c>
      <c r="L2623" s="112">
        <v>4</v>
      </c>
      <c r="M2623" s="112">
        <v>5</v>
      </c>
      <c r="N2623" s="112" t="s">
        <v>6952</v>
      </c>
      <c r="O2623" s="100"/>
      <c r="P2623" s="100"/>
      <c r="Q2623" s="100"/>
    </row>
    <row r="2624" spans="1:17" s="119" customFormat="1" ht="17.5" customHeight="1">
      <c r="A2624" s="109" t="s">
        <v>7363</v>
      </c>
      <c r="B2624" s="109" t="s">
        <v>7364</v>
      </c>
      <c r="C2624" s="113">
        <v>2016</v>
      </c>
      <c r="D2624" s="112">
        <v>31</v>
      </c>
      <c r="E2624" s="112">
        <v>94</v>
      </c>
      <c r="F2624" s="112">
        <v>23</v>
      </c>
      <c r="G2624" s="112">
        <v>72</v>
      </c>
      <c r="H2624" s="112">
        <v>28</v>
      </c>
      <c r="I2624" s="112">
        <v>1</v>
      </c>
      <c r="J2624" s="112">
        <v>1</v>
      </c>
      <c r="K2624" s="112" t="s">
        <v>6952</v>
      </c>
      <c r="L2624" s="112">
        <v>5</v>
      </c>
      <c r="M2624" s="112">
        <v>4</v>
      </c>
      <c r="N2624" s="112">
        <v>1</v>
      </c>
      <c r="O2624" s="110"/>
      <c r="P2624" s="110"/>
      <c r="Q2624" s="110"/>
    </row>
    <row r="2625" spans="1:17" s="119" customFormat="1" ht="17.5" customHeight="1">
      <c r="A2625" s="109" t="s">
        <v>7363</v>
      </c>
      <c r="B2625" s="109" t="s">
        <v>7364</v>
      </c>
      <c r="C2625" s="113">
        <v>2017</v>
      </c>
      <c r="D2625" s="112">
        <v>28</v>
      </c>
      <c r="E2625" s="112">
        <v>156</v>
      </c>
      <c r="F2625" s="112">
        <v>55</v>
      </c>
      <c r="G2625" s="112">
        <v>101</v>
      </c>
      <c r="H2625" s="112">
        <v>34</v>
      </c>
      <c r="I2625" s="112">
        <v>2</v>
      </c>
      <c r="J2625" s="112">
        <v>2</v>
      </c>
      <c r="K2625" s="112" t="s">
        <v>6952</v>
      </c>
      <c r="L2625" s="112">
        <v>9</v>
      </c>
      <c r="M2625" s="112">
        <v>8</v>
      </c>
      <c r="N2625" s="112">
        <v>1</v>
      </c>
      <c r="O2625" s="100"/>
      <c r="P2625" s="100"/>
      <c r="Q2625" s="100"/>
    </row>
    <row r="2626" spans="1:17" s="119" customFormat="1" ht="17.5" customHeight="1">
      <c r="A2626" s="109" t="s">
        <v>7363</v>
      </c>
      <c r="B2626" s="109" t="s">
        <v>7364</v>
      </c>
      <c r="C2626" s="113">
        <v>2018</v>
      </c>
      <c r="D2626" s="112">
        <v>26</v>
      </c>
      <c r="E2626" s="112">
        <v>176</v>
      </c>
      <c r="F2626" s="112">
        <v>54</v>
      </c>
      <c r="G2626" s="112">
        <v>123</v>
      </c>
      <c r="H2626" s="112">
        <v>37</v>
      </c>
      <c r="I2626" s="112">
        <v>4</v>
      </c>
      <c r="J2626" s="112">
        <v>4</v>
      </c>
      <c r="K2626" s="112" t="s">
        <v>6952</v>
      </c>
      <c r="L2626" s="112">
        <v>12</v>
      </c>
      <c r="M2626" s="112">
        <v>11</v>
      </c>
      <c r="N2626" s="112">
        <v>1</v>
      </c>
      <c r="O2626" s="100"/>
      <c r="P2626" s="100"/>
      <c r="Q2626" s="100"/>
    </row>
    <row r="2627" spans="1:17" s="119" customFormat="1" ht="17.5" customHeight="1">
      <c r="A2627" s="109" t="s">
        <v>7363</v>
      </c>
      <c r="B2627" s="109" t="s">
        <v>7364</v>
      </c>
      <c r="C2627" s="113">
        <v>2019</v>
      </c>
      <c r="D2627" s="112">
        <v>27</v>
      </c>
      <c r="E2627" s="112">
        <v>183.795412</v>
      </c>
      <c r="F2627" s="112">
        <v>45.491911999999999</v>
      </c>
      <c r="G2627" s="112">
        <v>136.28110100000001</v>
      </c>
      <c r="H2627" s="112">
        <v>36.263193000000001</v>
      </c>
      <c r="I2627" s="112">
        <v>7.4503700000000004</v>
      </c>
      <c r="J2627" s="112">
        <v>7.6312889999999998</v>
      </c>
      <c r="K2627" s="112" t="s">
        <v>6952</v>
      </c>
      <c r="L2627" s="112">
        <v>11.185822</v>
      </c>
      <c r="M2627" s="112">
        <v>13.13593</v>
      </c>
      <c r="N2627" s="112">
        <v>-1.9501090000000001</v>
      </c>
      <c r="O2627" s="110"/>
      <c r="P2627" s="110"/>
      <c r="Q2627" s="110"/>
    </row>
    <row r="2628" spans="1:17" s="119" customFormat="1" ht="17.5" customHeight="1">
      <c r="A2628" s="114" t="s">
        <v>7363</v>
      </c>
      <c r="B2628" s="114" t="s">
        <v>7364</v>
      </c>
      <c r="C2628" s="113">
        <v>2020</v>
      </c>
      <c r="D2628" s="112">
        <v>24</v>
      </c>
      <c r="E2628" s="112">
        <v>143.38174599999999</v>
      </c>
      <c r="F2628" s="112">
        <v>42.196072999999998</v>
      </c>
      <c r="G2628" s="112">
        <v>100.237442</v>
      </c>
      <c r="H2628" s="112">
        <v>29.291456</v>
      </c>
      <c r="I2628" s="112">
        <v>1.929049</v>
      </c>
      <c r="J2628" s="112">
        <v>2.090992</v>
      </c>
      <c r="K2628" s="112" t="s">
        <v>6952</v>
      </c>
      <c r="L2628" s="112">
        <v>11.923832000000001</v>
      </c>
      <c r="M2628" s="112">
        <v>12.864171000000001</v>
      </c>
      <c r="N2628" s="112">
        <v>-0.94033900000000004</v>
      </c>
      <c r="O2628" s="110"/>
      <c r="P2628" s="110"/>
      <c r="Q2628" s="110"/>
    </row>
    <row r="2629" spans="1:17" s="119" customFormat="1" ht="17.5" customHeight="1">
      <c r="A2629" s="109" t="s">
        <v>7365</v>
      </c>
      <c r="B2629" s="109" t="s">
        <v>7366</v>
      </c>
      <c r="C2629" s="98">
        <v>2008</v>
      </c>
      <c r="D2629" s="99">
        <v>64</v>
      </c>
      <c r="E2629" s="99">
        <v>1305</v>
      </c>
      <c r="F2629" s="99">
        <v>308</v>
      </c>
      <c r="G2629" s="99">
        <v>1007</v>
      </c>
      <c r="H2629" s="99">
        <v>260</v>
      </c>
      <c r="I2629" s="99">
        <v>27</v>
      </c>
      <c r="J2629" s="99">
        <v>33</v>
      </c>
      <c r="K2629" s="99">
        <v>6</v>
      </c>
      <c r="L2629" s="99">
        <v>134</v>
      </c>
      <c r="M2629" s="99">
        <v>125</v>
      </c>
      <c r="N2629" s="99">
        <v>9</v>
      </c>
      <c r="O2629" s="117"/>
      <c r="P2629" s="117"/>
      <c r="Q2629" s="117"/>
    </row>
    <row r="2630" spans="1:17" s="119" customFormat="1" ht="17.5" customHeight="1">
      <c r="A2630" s="109" t="s">
        <v>7365</v>
      </c>
      <c r="B2630" s="109" t="s">
        <v>7366</v>
      </c>
      <c r="C2630" s="98">
        <v>2009</v>
      </c>
      <c r="D2630" s="99">
        <v>63</v>
      </c>
      <c r="E2630" s="99">
        <v>1382</v>
      </c>
      <c r="F2630" s="99">
        <v>293</v>
      </c>
      <c r="G2630" s="99">
        <v>1078</v>
      </c>
      <c r="H2630" s="99">
        <v>237</v>
      </c>
      <c r="I2630" s="99">
        <v>19</v>
      </c>
      <c r="J2630" s="99">
        <v>23</v>
      </c>
      <c r="K2630" s="99">
        <v>4</v>
      </c>
      <c r="L2630" s="99">
        <v>121</v>
      </c>
      <c r="M2630" s="99">
        <v>132</v>
      </c>
      <c r="N2630" s="99">
        <v>-11</v>
      </c>
      <c r="O2630" s="117"/>
      <c r="P2630" s="117"/>
      <c r="Q2630" s="117"/>
    </row>
    <row r="2631" spans="1:17" s="119" customFormat="1" ht="17.5" customHeight="1">
      <c r="A2631" s="109" t="s">
        <v>7365</v>
      </c>
      <c r="B2631" s="109" t="s">
        <v>7366</v>
      </c>
      <c r="C2631" s="98">
        <v>2010</v>
      </c>
      <c r="D2631" s="99">
        <v>63</v>
      </c>
      <c r="E2631" s="99">
        <v>1506</v>
      </c>
      <c r="F2631" s="99">
        <v>260</v>
      </c>
      <c r="G2631" s="99">
        <v>1238</v>
      </c>
      <c r="H2631" s="99">
        <v>218</v>
      </c>
      <c r="I2631" s="99">
        <v>46</v>
      </c>
      <c r="J2631" s="99">
        <v>50</v>
      </c>
      <c r="K2631" s="99">
        <v>3</v>
      </c>
      <c r="L2631" s="99">
        <v>123</v>
      </c>
      <c r="M2631" s="99">
        <v>129</v>
      </c>
      <c r="N2631" s="99">
        <v>-6</v>
      </c>
      <c r="O2631" s="117"/>
      <c r="P2631" s="117"/>
      <c r="Q2631" s="117"/>
    </row>
    <row r="2632" spans="1:17" s="119" customFormat="1" ht="17.5" customHeight="1">
      <c r="A2632" s="109" t="s">
        <v>7365</v>
      </c>
      <c r="B2632" s="109" t="s">
        <v>7366</v>
      </c>
      <c r="C2632" s="98">
        <v>2011</v>
      </c>
      <c r="D2632" s="99">
        <v>65</v>
      </c>
      <c r="E2632" s="99">
        <v>1551</v>
      </c>
      <c r="F2632" s="99">
        <v>267</v>
      </c>
      <c r="G2632" s="99">
        <v>1300</v>
      </c>
      <c r="H2632" s="99">
        <v>253</v>
      </c>
      <c r="I2632" s="99">
        <v>49</v>
      </c>
      <c r="J2632" s="99">
        <v>51</v>
      </c>
      <c r="K2632" s="99">
        <v>3</v>
      </c>
      <c r="L2632" s="99">
        <v>145</v>
      </c>
      <c r="M2632" s="99">
        <v>130</v>
      </c>
      <c r="N2632" s="99">
        <v>15</v>
      </c>
      <c r="O2632" s="117"/>
      <c r="P2632" s="117"/>
      <c r="Q2632" s="117"/>
    </row>
    <row r="2633" spans="1:17" s="119" customFormat="1" ht="17.5" customHeight="1">
      <c r="A2633" s="109" t="s">
        <v>7365</v>
      </c>
      <c r="B2633" s="109" t="s">
        <v>7366</v>
      </c>
      <c r="C2633" s="111">
        <v>2012</v>
      </c>
      <c r="D2633" s="112">
        <v>60</v>
      </c>
      <c r="E2633" s="112">
        <v>1515</v>
      </c>
      <c r="F2633" s="112">
        <v>262</v>
      </c>
      <c r="G2633" s="112">
        <v>1241</v>
      </c>
      <c r="H2633" s="112">
        <v>281</v>
      </c>
      <c r="I2633" s="112">
        <v>32</v>
      </c>
      <c r="J2633" s="112">
        <v>34</v>
      </c>
      <c r="K2633" s="112">
        <v>3</v>
      </c>
      <c r="L2633" s="112">
        <v>132</v>
      </c>
      <c r="M2633" s="112">
        <v>144</v>
      </c>
      <c r="N2633" s="112">
        <v>-12</v>
      </c>
      <c r="O2633" s="110"/>
      <c r="P2633" s="110"/>
      <c r="Q2633" s="110"/>
    </row>
    <row r="2634" spans="1:17" s="119" customFormat="1" ht="17.5" customHeight="1">
      <c r="A2634" s="109" t="s">
        <v>7365</v>
      </c>
      <c r="B2634" s="109" t="s">
        <v>7366</v>
      </c>
      <c r="C2634" s="113">
        <v>2013</v>
      </c>
      <c r="D2634" s="112">
        <v>59</v>
      </c>
      <c r="E2634" s="112">
        <v>1192</v>
      </c>
      <c r="F2634" s="112">
        <v>327</v>
      </c>
      <c r="G2634" s="112">
        <v>863</v>
      </c>
      <c r="H2634" s="112">
        <v>277</v>
      </c>
      <c r="I2634" s="112">
        <v>50</v>
      </c>
      <c r="J2634" s="112">
        <v>51</v>
      </c>
      <c r="K2634" s="112" t="s">
        <v>6952</v>
      </c>
      <c r="L2634" s="112">
        <v>118</v>
      </c>
      <c r="M2634" s="112">
        <v>121</v>
      </c>
      <c r="N2634" s="112">
        <v>-2</v>
      </c>
      <c r="O2634" s="110"/>
      <c r="P2634" s="110"/>
      <c r="Q2634" s="110"/>
    </row>
    <row r="2635" spans="1:17" s="119" customFormat="1" ht="17.5" customHeight="1">
      <c r="A2635" s="109" t="s">
        <v>7365</v>
      </c>
      <c r="B2635" s="109" t="s">
        <v>7366</v>
      </c>
      <c r="C2635" s="113">
        <v>2014</v>
      </c>
      <c r="D2635" s="99">
        <v>59</v>
      </c>
      <c r="E2635" s="99">
        <v>1383</v>
      </c>
      <c r="F2635" s="99">
        <v>405</v>
      </c>
      <c r="G2635" s="99">
        <v>990</v>
      </c>
      <c r="H2635" s="99">
        <v>271</v>
      </c>
      <c r="I2635" s="99">
        <v>74</v>
      </c>
      <c r="J2635" s="99">
        <v>77</v>
      </c>
      <c r="K2635" s="99">
        <v>4</v>
      </c>
      <c r="L2635" s="99">
        <v>144</v>
      </c>
      <c r="M2635" s="99">
        <v>132</v>
      </c>
      <c r="N2635" s="99">
        <v>12</v>
      </c>
      <c r="O2635" s="100"/>
      <c r="P2635" s="100"/>
      <c r="Q2635" s="100"/>
    </row>
    <row r="2636" spans="1:17" s="119" customFormat="1" ht="17.5" customHeight="1">
      <c r="A2636" s="109" t="s">
        <v>7365</v>
      </c>
      <c r="B2636" s="109" t="s">
        <v>7366</v>
      </c>
      <c r="C2636" s="113">
        <v>2015</v>
      </c>
      <c r="D2636" s="112">
        <v>55</v>
      </c>
      <c r="E2636" s="112">
        <v>1317</v>
      </c>
      <c r="F2636" s="112">
        <v>480</v>
      </c>
      <c r="G2636" s="112">
        <v>825</v>
      </c>
      <c r="H2636" s="112">
        <v>251</v>
      </c>
      <c r="I2636" s="112">
        <v>37</v>
      </c>
      <c r="J2636" s="99" t="s">
        <v>6953</v>
      </c>
      <c r="K2636" s="99" t="s">
        <v>6953</v>
      </c>
      <c r="L2636" s="112">
        <v>123</v>
      </c>
      <c r="M2636" s="112">
        <v>135</v>
      </c>
      <c r="N2636" s="112">
        <v>-12</v>
      </c>
      <c r="O2636" s="110"/>
      <c r="P2636" s="110"/>
      <c r="Q2636" s="110"/>
    </row>
    <row r="2637" spans="1:17" s="119" customFormat="1" ht="17.5" customHeight="1">
      <c r="A2637" s="109" t="s">
        <v>7365</v>
      </c>
      <c r="B2637" s="109" t="s">
        <v>7366</v>
      </c>
      <c r="C2637" s="113">
        <v>2016</v>
      </c>
      <c r="D2637" s="112">
        <v>98</v>
      </c>
      <c r="E2637" s="112">
        <v>1185</v>
      </c>
      <c r="F2637" s="112">
        <v>464</v>
      </c>
      <c r="G2637" s="112">
        <v>733</v>
      </c>
      <c r="H2637" s="112">
        <v>221</v>
      </c>
      <c r="I2637" s="112">
        <v>45</v>
      </c>
      <c r="J2637" s="112">
        <v>48</v>
      </c>
      <c r="K2637" s="112">
        <v>3</v>
      </c>
      <c r="L2637" s="112">
        <v>148</v>
      </c>
      <c r="M2637" s="112">
        <v>137</v>
      </c>
      <c r="N2637" s="112">
        <v>12</v>
      </c>
      <c r="O2637" s="100"/>
      <c r="P2637" s="100"/>
      <c r="Q2637" s="100"/>
    </row>
    <row r="2638" spans="1:17" s="119" customFormat="1" ht="17.5" customHeight="1">
      <c r="A2638" s="109" t="s">
        <v>7365</v>
      </c>
      <c r="B2638" s="109" t="s">
        <v>7366</v>
      </c>
      <c r="C2638" s="113">
        <v>2017</v>
      </c>
      <c r="D2638" s="112">
        <v>107</v>
      </c>
      <c r="E2638" s="112">
        <v>1356</v>
      </c>
      <c r="F2638" s="112">
        <v>462</v>
      </c>
      <c r="G2638" s="112">
        <v>897</v>
      </c>
      <c r="H2638" s="112">
        <v>248</v>
      </c>
      <c r="I2638" s="112">
        <v>106</v>
      </c>
      <c r="J2638" s="112">
        <v>111</v>
      </c>
      <c r="K2638" s="112">
        <v>5</v>
      </c>
      <c r="L2638" s="112">
        <v>152</v>
      </c>
      <c r="M2638" s="112">
        <v>151</v>
      </c>
      <c r="N2638" s="112">
        <v>1</v>
      </c>
      <c r="O2638" s="100"/>
      <c r="P2638" s="100"/>
      <c r="Q2638" s="100"/>
    </row>
    <row r="2639" spans="1:17" s="119" customFormat="1" ht="17.5" customHeight="1">
      <c r="A2639" s="109" t="s">
        <v>7365</v>
      </c>
      <c r="B2639" s="109" t="s">
        <v>7366</v>
      </c>
      <c r="C2639" s="113">
        <v>2018</v>
      </c>
      <c r="D2639" s="112">
        <v>59</v>
      </c>
      <c r="E2639" s="112">
        <v>1431</v>
      </c>
      <c r="F2639" s="112">
        <v>490</v>
      </c>
      <c r="G2639" s="112">
        <v>954</v>
      </c>
      <c r="H2639" s="112">
        <v>244</v>
      </c>
      <c r="I2639" s="112">
        <v>77</v>
      </c>
      <c r="J2639" s="112">
        <v>79</v>
      </c>
      <c r="K2639" s="112">
        <v>2</v>
      </c>
      <c r="L2639" s="112">
        <v>161</v>
      </c>
      <c r="M2639" s="112">
        <v>154</v>
      </c>
      <c r="N2639" s="112">
        <v>7</v>
      </c>
      <c r="O2639" s="110"/>
      <c r="P2639" s="110"/>
      <c r="Q2639" s="110"/>
    </row>
    <row r="2640" spans="1:17" s="119" customFormat="1" ht="17.5" customHeight="1">
      <c r="A2640" s="109" t="s">
        <v>7365</v>
      </c>
      <c r="B2640" s="109" t="s">
        <v>7366</v>
      </c>
      <c r="C2640" s="113">
        <v>2019</v>
      </c>
      <c r="D2640" s="112">
        <v>60</v>
      </c>
      <c r="E2640" s="112">
        <v>1437.6487810000001</v>
      </c>
      <c r="F2640" s="112">
        <v>514.83947000000001</v>
      </c>
      <c r="G2640" s="112">
        <v>945.907242</v>
      </c>
      <c r="H2640" s="112">
        <v>249.40646000000001</v>
      </c>
      <c r="I2640" s="112">
        <v>46.296560999999997</v>
      </c>
      <c r="J2640" s="112">
        <v>53.291305999999999</v>
      </c>
      <c r="K2640" s="112">
        <v>6.994745</v>
      </c>
      <c r="L2640" s="112">
        <v>177.73633899999999</v>
      </c>
      <c r="M2640" s="112">
        <v>156.307964</v>
      </c>
      <c r="N2640" s="112">
        <v>21.428374999999999</v>
      </c>
      <c r="O2640" s="110"/>
      <c r="P2640" s="110"/>
      <c r="Q2640" s="110"/>
    </row>
    <row r="2641" spans="1:17" s="119" customFormat="1" ht="17.5" customHeight="1">
      <c r="A2641" s="114" t="s">
        <v>7365</v>
      </c>
      <c r="B2641" s="114" t="s">
        <v>7366</v>
      </c>
      <c r="C2641" s="113">
        <v>2020</v>
      </c>
      <c r="D2641" s="112">
        <v>59</v>
      </c>
      <c r="E2641" s="112">
        <v>1489.7985000000001</v>
      </c>
      <c r="F2641" s="112">
        <v>532.69462299999998</v>
      </c>
      <c r="G2641" s="112">
        <v>950.96511599999997</v>
      </c>
      <c r="H2641" s="112">
        <v>257.18500799999998</v>
      </c>
      <c r="I2641" s="112">
        <v>102.81522699999999</v>
      </c>
      <c r="J2641" s="112">
        <v>103.90535300000001</v>
      </c>
      <c r="K2641" s="112">
        <v>1.0901259999999999</v>
      </c>
      <c r="L2641" s="112">
        <v>175.11122499999999</v>
      </c>
      <c r="M2641" s="112">
        <v>181.27919199999999</v>
      </c>
      <c r="N2641" s="112">
        <v>-6.167967</v>
      </c>
      <c r="O2641" s="117"/>
      <c r="P2641" s="117"/>
      <c r="Q2641" s="117"/>
    </row>
    <row r="2642" spans="1:17" s="119" customFormat="1" ht="17.5" customHeight="1">
      <c r="A2642" s="109" t="s">
        <v>7367</v>
      </c>
      <c r="B2642" s="109" t="s">
        <v>7368</v>
      </c>
      <c r="C2642" s="98">
        <v>2008</v>
      </c>
      <c r="D2642" s="99">
        <v>514</v>
      </c>
      <c r="E2642" s="99">
        <v>1728</v>
      </c>
      <c r="F2642" s="99">
        <v>497</v>
      </c>
      <c r="G2642" s="99">
        <v>1240</v>
      </c>
      <c r="H2642" s="99">
        <v>352</v>
      </c>
      <c r="I2642" s="99">
        <v>-1</v>
      </c>
      <c r="J2642" s="99">
        <v>25</v>
      </c>
      <c r="K2642" s="99">
        <v>26</v>
      </c>
      <c r="L2642" s="99">
        <v>201</v>
      </c>
      <c r="M2642" s="99">
        <v>192</v>
      </c>
      <c r="N2642" s="99">
        <v>9</v>
      </c>
      <c r="O2642" s="117"/>
      <c r="P2642" s="117"/>
      <c r="Q2642" s="117"/>
    </row>
    <row r="2643" spans="1:17" s="119" customFormat="1" ht="17.5" customHeight="1">
      <c r="A2643" s="109" t="s">
        <v>7367</v>
      </c>
      <c r="B2643" s="109" t="s">
        <v>7368</v>
      </c>
      <c r="C2643" s="98">
        <v>2009</v>
      </c>
      <c r="D2643" s="99">
        <v>484</v>
      </c>
      <c r="E2643" s="99">
        <v>1095</v>
      </c>
      <c r="F2643" s="99">
        <v>349</v>
      </c>
      <c r="G2643" s="99">
        <v>705</v>
      </c>
      <c r="H2643" s="99">
        <v>208</v>
      </c>
      <c r="I2643" s="99">
        <v>35</v>
      </c>
      <c r="J2643" s="99">
        <v>46</v>
      </c>
      <c r="K2643" s="99">
        <v>10</v>
      </c>
      <c r="L2643" s="99">
        <v>111</v>
      </c>
      <c r="M2643" s="99">
        <v>152</v>
      </c>
      <c r="N2643" s="99">
        <v>-41</v>
      </c>
      <c r="O2643" s="117"/>
      <c r="P2643" s="117"/>
      <c r="Q2643" s="117"/>
    </row>
    <row r="2644" spans="1:17" s="119" customFormat="1" ht="17.5" customHeight="1">
      <c r="A2644" s="109" t="s">
        <v>7367</v>
      </c>
      <c r="B2644" s="109" t="s">
        <v>7368</v>
      </c>
      <c r="C2644" s="98">
        <v>2010</v>
      </c>
      <c r="D2644" s="99">
        <v>457</v>
      </c>
      <c r="E2644" s="99">
        <v>1377</v>
      </c>
      <c r="F2644" s="99">
        <v>498</v>
      </c>
      <c r="G2644" s="99">
        <v>882</v>
      </c>
      <c r="H2644" s="99">
        <v>255</v>
      </c>
      <c r="I2644" s="99">
        <v>5</v>
      </c>
      <c r="J2644" s="99">
        <v>7</v>
      </c>
      <c r="K2644" s="99">
        <v>2</v>
      </c>
      <c r="L2644" s="99">
        <v>155</v>
      </c>
      <c r="M2644" s="99">
        <v>150</v>
      </c>
      <c r="N2644" s="99">
        <v>5</v>
      </c>
      <c r="O2644" s="117"/>
      <c r="P2644" s="117"/>
      <c r="Q2644" s="117"/>
    </row>
    <row r="2645" spans="1:17" s="119" customFormat="1" ht="17.5" customHeight="1">
      <c r="A2645" s="109" t="s">
        <v>7367</v>
      </c>
      <c r="B2645" s="109" t="s">
        <v>7368</v>
      </c>
      <c r="C2645" s="98">
        <v>2011</v>
      </c>
      <c r="D2645" s="99">
        <v>456</v>
      </c>
      <c r="E2645" s="99">
        <v>1348</v>
      </c>
      <c r="F2645" s="99">
        <v>518</v>
      </c>
      <c r="G2645" s="99">
        <v>845</v>
      </c>
      <c r="H2645" s="99">
        <v>298</v>
      </c>
      <c r="I2645" s="99">
        <v>22</v>
      </c>
      <c r="J2645" s="99">
        <v>23</v>
      </c>
      <c r="K2645" s="99">
        <v>1</v>
      </c>
      <c r="L2645" s="99">
        <v>149</v>
      </c>
      <c r="M2645" s="99">
        <v>133</v>
      </c>
      <c r="N2645" s="99">
        <v>17</v>
      </c>
      <c r="O2645" s="110"/>
      <c r="P2645" s="110"/>
      <c r="Q2645" s="110"/>
    </row>
    <row r="2646" spans="1:17" s="119" customFormat="1" ht="17.5" customHeight="1">
      <c r="A2646" s="109" t="s">
        <v>7367</v>
      </c>
      <c r="B2646" s="109" t="s">
        <v>7368</v>
      </c>
      <c r="C2646" s="111">
        <v>2012</v>
      </c>
      <c r="D2646" s="112">
        <v>430</v>
      </c>
      <c r="E2646" s="112">
        <v>1193</v>
      </c>
      <c r="F2646" s="112">
        <v>419</v>
      </c>
      <c r="G2646" s="112">
        <v>768</v>
      </c>
      <c r="H2646" s="112">
        <v>264</v>
      </c>
      <c r="I2646" s="112">
        <v>56</v>
      </c>
      <c r="J2646" s="112">
        <v>58</v>
      </c>
      <c r="K2646" s="112">
        <v>2</v>
      </c>
      <c r="L2646" s="112">
        <v>136</v>
      </c>
      <c r="M2646" s="112">
        <v>139</v>
      </c>
      <c r="N2646" s="112">
        <v>-3</v>
      </c>
      <c r="O2646" s="110"/>
      <c r="P2646" s="110"/>
      <c r="Q2646" s="110"/>
    </row>
    <row r="2647" spans="1:17" s="119" customFormat="1" ht="17.5" customHeight="1">
      <c r="A2647" s="109" t="s">
        <v>7367</v>
      </c>
      <c r="B2647" s="109" t="s">
        <v>7368</v>
      </c>
      <c r="C2647" s="113">
        <v>2013</v>
      </c>
      <c r="D2647" s="112">
        <v>412</v>
      </c>
      <c r="E2647" s="112">
        <v>1091</v>
      </c>
      <c r="F2647" s="112">
        <v>328</v>
      </c>
      <c r="G2647" s="112">
        <v>757</v>
      </c>
      <c r="H2647" s="112">
        <v>232</v>
      </c>
      <c r="I2647" s="112">
        <v>20</v>
      </c>
      <c r="J2647" s="112">
        <v>23</v>
      </c>
      <c r="K2647" s="112">
        <v>4</v>
      </c>
      <c r="L2647" s="112">
        <v>151</v>
      </c>
      <c r="M2647" s="112">
        <v>157</v>
      </c>
      <c r="N2647" s="112">
        <v>-6</v>
      </c>
      <c r="O2647" s="100"/>
      <c r="P2647" s="100"/>
      <c r="Q2647" s="100"/>
    </row>
    <row r="2648" spans="1:17" s="119" customFormat="1" ht="17.5" customHeight="1">
      <c r="A2648" s="109" t="s">
        <v>7367</v>
      </c>
      <c r="B2648" s="109" t="s">
        <v>7368</v>
      </c>
      <c r="C2648" s="113">
        <v>2014</v>
      </c>
      <c r="D2648" s="99">
        <v>405</v>
      </c>
      <c r="E2648" s="99">
        <v>912</v>
      </c>
      <c r="F2648" s="99">
        <v>303</v>
      </c>
      <c r="G2648" s="99">
        <v>610</v>
      </c>
      <c r="H2648" s="99">
        <v>206</v>
      </c>
      <c r="I2648" s="99">
        <v>30</v>
      </c>
      <c r="J2648" s="99">
        <v>31</v>
      </c>
      <c r="K2648" s="99">
        <v>1</v>
      </c>
      <c r="L2648" s="99">
        <v>115</v>
      </c>
      <c r="M2648" s="99">
        <v>114</v>
      </c>
      <c r="N2648" s="99">
        <v>1</v>
      </c>
      <c r="O2648" s="110"/>
      <c r="P2648" s="110"/>
      <c r="Q2648" s="110"/>
    </row>
    <row r="2649" spans="1:17" s="119" customFormat="1" ht="17.5" customHeight="1">
      <c r="A2649" s="109" t="s">
        <v>7367</v>
      </c>
      <c r="B2649" s="109" t="s">
        <v>7368</v>
      </c>
      <c r="C2649" s="113">
        <v>2015</v>
      </c>
      <c r="D2649" s="112">
        <v>413</v>
      </c>
      <c r="E2649" s="112">
        <v>892</v>
      </c>
      <c r="F2649" s="112">
        <v>297</v>
      </c>
      <c r="G2649" s="112">
        <v>594</v>
      </c>
      <c r="H2649" s="112">
        <v>220</v>
      </c>
      <c r="I2649" s="112">
        <v>40</v>
      </c>
      <c r="J2649" s="112">
        <v>42</v>
      </c>
      <c r="K2649" s="112">
        <v>2</v>
      </c>
      <c r="L2649" s="112">
        <v>112</v>
      </c>
      <c r="M2649" s="112">
        <v>113</v>
      </c>
      <c r="N2649" s="112">
        <v>-1</v>
      </c>
      <c r="O2649" s="100"/>
      <c r="P2649" s="100"/>
      <c r="Q2649" s="100"/>
    </row>
    <row r="2650" spans="1:17" s="119" customFormat="1" ht="17.5" customHeight="1">
      <c r="A2650" s="109" t="s">
        <v>7367</v>
      </c>
      <c r="B2650" s="109" t="s">
        <v>7368</v>
      </c>
      <c r="C2650" s="113">
        <v>2016</v>
      </c>
      <c r="D2650" s="112">
        <v>410</v>
      </c>
      <c r="E2650" s="112">
        <v>921</v>
      </c>
      <c r="F2650" s="112">
        <v>385</v>
      </c>
      <c r="G2650" s="112">
        <v>539</v>
      </c>
      <c r="H2650" s="112">
        <v>209</v>
      </c>
      <c r="I2650" s="112">
        <v>67</v>
      </c>
      <c r="J2650" s="112">
        <v>70</v>
      </c>
      <c r="K2650" s="112">
        <v>2</v>
      </c>
      <c r="L2650" s="112">
        <v>162</v>
      </c>
      <c r="M2650" s="112">
        <v>152</v>
      </c>
      <c r="N2650" s="112">
        <v>10</v>
      </c>
      <c r="O2650" s="100"/>
      <c r="P2650" s="100"/>
      <c r="Q2650" s="100"/>
    </row>
    <row r="2651" spans="1:17" s="119" customFormat="1" ht="17.5" customHeight="1">
      <c r="A2651" s="109" t="s">
        <v>7367</v>
      </c>
      <c r="B2651" s="109" t="s">
        <v>7368</v>
      </c>
      <c r="C2651" s="113">
        <v>2017</v>
      </c>
      <c r="D2651" s="112">
        <v>388</v>
      </c>
      <c r="E2651" s="112">
        <v>998</v>
      </c>
      <c r="F2651" s="112">
        <v>399</v>
      </c>
      <c r="G2651" s="112">
        <v>614</v>
      </c>
      <c r="H2651" s="112">
        <v>210</v>
      </c>
      <c r="I2651" s="112">
        <v>53</v>
      </c>
      <c r="J2651" s="112">
        <v>56</v>
      </c>
      <c r="K2651" s="112">
        <v>2</v>
      </c>
      <c r="L2651" s="112">
        <v>157</v>
      </c>
      <c r="M2651" s="112">
        <v>142</v>
      </c>
      <c r="N2651" s="112">
        <v>15</v>
      </c>
      <c r="O2651" s="110"/>
      <c r="P2651" s="110"/>
      <c r="Q2651" s="110"/>
    </row>
    <row r="2652" spans="1:17" s="119" customFormat="1" ht="17.5" customHeight="1">
      <c r="A2652" s="109" t="s">
        <v>7367</v>
      </c>
      <c r="B2652" s="109" t="s">
        <v>7368</v>
      </c>
      <c r="C2652" s="113">
        <v>2018</v>
      </c>
      <c r="D2652" s="112">
        <v>381</v>
      </c>
      <c r="E2652" s="112">
        <v>950</v>
      </c>
      <c r="F2652" s="112">
        <v>361</v>
      </c>
      <c r="G2652" s="112">
        <v>614</v>
      </c>
      <c r="H2652" s="112">
        <v>220</v>
      </c>
      <c r="I2652" s="112">
        <v>35</v>
      </c>
      <c r="J2652" s="112">
        <v>39</v>
      </c>
      <c r="K2652" s="112">
        <v>4</v>
      </c>
      <c r="L2652" s="112">
        <v>158</v>
      </c>
      <c r="M2652" s="112">
        <v>138</v>
      </c>
      <c r="N2652" s="112">
        <v>20</v>
      </c>
      <c r="O2652" s="110"/>
      <c r="P2652" s="110"/>
      <c r="Q2652" s="110"/>
    </row>
    <row r="2653" spans="1:17" s="119" customFormat="1" ht="17.5" customHeight="1">
      <c r="A2653" s="109" t="s">
        <v>7367</v>
      </c>
      <c r="B2653" s="109" t="s">
        <v>7368</v>
      </c>
      <c r="C2653" s="113">
        <v>2019</v>
      </c>
      <c r="D2653" s="112">
        <v>367</v>
      </c>
      <c r="E2653" s="112">
        <v>1005.5849920000001</v>
      </c>
      <c r="F2653" s="112">
        <v>339.44843300000002</v>
      </c>
      <c r="G2653" s="112">
        <v>662.53708600000004</v>
      </c>
      <c r="H2653" s="112">
        <v>233.04889600000001</v>
      </c>
      <c r="I2653" s="112">
        <v>34.013297999999999</v>
      </c>
      <c r="J2653" s="112">
        <v>43.524745000000003</v>
      </c>
      <c r="K2653" s="112">
        <v>9.5114470000000004</v>
      </c>
      <c r="L2653" s="112">
        <v>153.299859</v>
      </c>
      <c r="M2653" s="112">
        <v>154.21377200000001</v>
      </c>
      <c r="N2653" s="112">
        <v>-0.91391299999999998</v>
      </c>
      <c r="O2653" s="117"/>
      <c r="P2653" s="117"/>
      <c r="Q2653" s="117"/>
    </row>
    <row r="2654" spans="1:17" s="119" customFormat="1" ht="17.5" customHeight="1">
      <c r="A2654" s="114" t="s">
        <v>7367</v>
      </c>
      <c r="B2654" s="114" t="s">
        <v>7368</v>
      </c>
      <c r="C2654" s="113">
        <v>2020</v>
      </c>
      <c r="D2654" s="112">
        <v>376</v>
      </c>
      <c r="E2654" s="112">
        <v>1005.41371</v>
      </c>
      <c r="F2654" s="112">
        <v>421.09362800000002</v>
      </c>
      <c r="G2654" s="112">
        <v>590.28185699999995</v>
      </c>
      <c r="H2654" s="112">
        <v>289.72887500000002</v>
      </c>
      <c r="I2654" s="112">
        <v>94.581023000000002</v>
      </c>
      <c r="J2654" s="112">
        <v>99.823559000000003</v>
      </c>
      <c r="K2654" s="112">
        <v>5.2425360000000003</v>
      </c>
      <c r="L2654" s="112">
        <v>148.843535</v>
      </c>
      <c r="M2654" s="112">
        <v>151.74685299999999</v>
      </c>
      <c r="N2654" s="112">
        <v>-2.9033180000000001</v>
      </c>
      <c r="O2654" s="117"/>
      <c r="P2654" s="117"/>
      <c r="Q2654" s="117"/>
    </row>
    <row r="2655" spans="1:17" s="119" customFormat="1" ht="31.75" customHeight="1">
      <c r="A2655" s="109" t="s">
        <v>7369</v>
      </c>
      <c r="B2655" s="109" t="s">
        <v>7370</v>
      </c>
      <c r="C2655" s="98">
        <v>2008</v>
      </c>
      <c r="D2655" s="99">
        <v>180</v>
      </c>
      <c r="E2655" s="99">
        <v>427</v>
      </c>
      <c r="F2655" s="99">
        <v>233</v>
      </c>
      <c r="G2655" s="99">
        <v>204</v>
      </c>
      <c r="H2655" s="99">
        <v>104</v>
      </c>
      <c r="I2655" s="99">
        <v>11</v>
      </c>
      <c r="J2655" s="99">
        <v>11</v>
      </c>
      <c r="K2655" s="99" t="s">
        <v>6952</v>
      </c>
      <c r="L2655" s="99">
        <v>68</v>
      </c>
      <c r="M2655" s="99">
        <v>59</v>
      </c>
      <c r="N2655" s="99">
        <v>9</v>
      </c>
      <c r="O2655" s="117"/>
      <c r="P2655" s="117"/>
      <c r="Q2655" s="117"/>
    </row>
    <row r="2656" spans="1:17" s="119" customFormat="1" ht="31.75" customHeight="1">
      <c r="A2656" s="109" t="s">
        <v>7369</v>
      </c>
      <c r="B2656" s="109" t="s">
        <v>7370</v>
      </c>
      <c r="C2656" s="98">
        <v>2009</v>
      </c>
      <c r="D2656" s="99">
        <v>167</v>
      </c>
      <c r="E2656" s="99">
        <v>451</v>
      </c>
      <c r="F2656" s="99">
        <v>183</v>
      </c>
      <c r="G2656" s="99">
        <v>261</v>
      </c>
      <c r="H2656" s="99">
        <v>124</v>
      </c>
      <c r="I2656" s="99">
        <v>9</v>
      </c>
      <c r="J2656" s="99">
        <v>11</v>
      </c>
      <c r="K2656" s="99">
        <v>2</v>
      </c>
      <c r="L2656" s="99">
        <v>65</v>
      </c>
      <c r="M2656" s="99">
        <v>74</v>
      </c>
      <c r="N2656" s="99">
        <v>-9</v>
      </c>
      <c r="O2656" s="117"/>
      <c r="P2656" s="117"/>
      <c r="Q2656" s="117"/>
    </row>
    <row r="2657" spans="1:17" s="119" customFormat="1" ht="31.75" customHeight="1">
      <c r="A2657" s="109" t="s">
        <v>7369</v>
      </c>
      <c r="B2657" s="109" t="s">
        <v>7370</v>
      </c>
      <c r="C2657" s="98">
        <v>2010</v>
      </c>
      <c r="D2657" s="99">
        <v>165</v>
      </c>
      <c r="E2657" s="99">
        <v>410</v>
      </c>
      <c r="F2657" s="99">
        <v>192</v>
      </c>
      <c r="G2657" s="99">
        <v>224</v>
      </c>
      <c r="H2657" s="99">
        <v>102</v>
      </c>
      <c r="I2657" s="99" t="s">
        <v>6953</v>
      </c>
      <c r="J2657" s="99">
        <v>5</v>
      </c>
      <c r="K2657" s="99" t="s">
        <v>6953</v>
      </c>
      <c r="L2657" s="99">
        <v>64</v>
      </c>
      <c r="M2657" s="99">
        <v>57</v>
      </c>
      <c r="N2657" s="99">
        <v>7</v>
      </c>
      <c r="O2657" s="110"/>
      <c r="P2657" s="110"/>
      <c r="Q2657" s="110"/>
    </row>
    <row r="2658" spans="1:17" s="119" customFormat="1" ht="31.75" customHeight="1">
      <c r="A2658" s="109" t="s">
        <v>7369</v>
      </c>
      <c r="B2658" s="109" t="s">
        <v>7370</v>
      </c>
      <c r="C2658" s="98">
        <v>2011</v>
      </c>
      <c r="D2658" s="99">
        <v>157</v>
      </c>
      <c r="E2658" s="99">
        <v>490</v>
      </c>
      <c r="F2658" s="99">
        <v>226</v>
      </c>
      <c r="G2658" s="99">
        <v>280</v>
      </c>
      <c r="H2658" s="99">
        <v>116</v>
      </c>
      <c r="I2658" s="99">
        <v>8</v>
      </c>
      <c r="J2658" s="99">
        <v>9</v>
      </c>
      <c r="K2658" s="99">
        <v>1</v>
      </c>
      <c r="L2658" s="99">
        <v>80</v>
      </c>
      <c r="M2658" s="99">
        <v>64</v>
      </c>
      <c r="N2658" s="99">
        <v>15</v>
      </c>
      <c r="O2658" s="110"/>
      <c r="P2658" s="110"/>
      <c r="Q2658" s="110"/>
    </row>
    <row r="2659" spans="1:17" s="119" customFormat="1" ht="31.75" customHeight="1">
      <c r="A2659" s="109" t="s">
        <v>7369</v>
      </c>
      <c r="B2659" s="109" t="s">
        <v>7370</v>
      </c>
      <c r="C2659" s="111">
        <v>2012</v>
      </c>
      <c r="D2659" s="112">
        <v>155</v>
      </c>
      <c r="E2659" s="112">
        <v>519</v>
      </c>
      <c r="F2659" s="112">
        <v>269</v>
      </c>
      <c r="G2659" s="112">
        <v>245</v>
      </c>
      <c r="H2659" s="112">
        <v>121</v>
      </c>
      <c r="I2659" s="112">
        <v>11</v>
      </c>
      <c r="J2659" s="99" t="s">
        <v>6953</v>
      </c>
      <c r="K2659" s="99" t="s">
        <v>6953</v>
      </c>
      <c r="L2659" s="112">
        <v>90</v>
      </c>
      <c r="M2659" s="112">
        <v>95</v>
      </c>
      <c r="N2659" s="112">
        <v>-5</v>
      </c>
      <c r="O2659" s="100"/>
      <c r="P2659" s="100"/>
      <c r="Q2659" s="100"/>
    </row>
    <row r="2660" spans="1:17" s="119" customFormat="1" ht="31.75" customHeight="1">
      <c r="A2660" s="109" t="s">
        <v>7369</v>
      </c>
      <c r="B2660" s="109" t="s">
        <v>7370</v>
      </c>
      <c r="C2660" s="113">
        <v>2013</v>
      </c>
      <c r="D2660" s="112">
        <v>169</v>
      </c>
      <c r="E2660" s="112">
        <v>617</v>
      </c>
      <c r="F2660" s="112">
        <v>298</v>
      </c>
      <c r="G2660" s="112">
        <v>319</v>
      </c>
      <c r="H2660" s="112">
        <v>152</v>
      </c>
      <c r="I2660" s="112">
        <v>9</v>
      </c>
      <c r="J2660" s="112">
        <v>22</v>
      </c>
      <c r="K2660" s="112">
        <v>13</v>
      </c>
      <c r="L2660" s="112">
        <v>96</v>
      </c>
      <c r="M2660" s="112">
        <v>96</v>
      </c>
      <c r="N2660" s="112" t="s">
        <v>6952</v>
      </c>
      <c r="O2660" s="110"/>
      <c r="P2660" s="110"/>
      <c r="Q2660" s="110"/>
    </row>
    <row r="2661" spans="1:17" s="119" customFormat="1" ht="31.75" customHeight="1">
      <c r="A2661" s="109" t="s">
        <v>7369</v>
      </c>
      <c r="B2661" s="109" t="s">
        <v>7370</v>
      </c>
      <c r="C2661" s="113">
        <v>2014</v>
      </c>
      <c r="D2661" s="99">
        <v>177</v>
      </c>
      <c r="E2661" s="99">
        <v>723</v>
      </c>
      <c r="F2661" s="99">
        <v>344</v>
      </c>
      <c r="G2661" s="99">
        <v>397</v>
      </c>
      <c r="H2661" s="99">
        <v>185</v>
      </c>
      <c r="I2661" s="99" t="s">
        <v>6953</v>
      </c>
      <c r="J2661" s="99" t="s">
        <v>6953</v>
      </c>
      <c r="K2661" s="99" t="s">
        <v>6952</v>
      </c>
      <c r="L2661" s="99">
        <v>122</v>
      </c>
      <c r="M2661" s="99">
        <v>103</v>
      </c>
      <c r="N2661" s="99">
        <v>18</v>
      </c>
      <c r="O2661" s="100"/>
      <c r="P2661" s="100"/>
      <c r="Q2661" s="100"/>
    </row>
    <row r="2662" spans="1:17" s="119" customFormat="1" ht="31.75" customHeight="1">
      <c r="A2662" s="109" t="s">
        <v>7369</v>
      </c>
      <c r="B2662" s="109" t="s">
        <v>7370</v>
      </c>
      <c r="C2662" s="113">
        <v>2015</v>
      </c>
      <c r="D2662" s="112">
        <v>179</v>
      </c>
      <c r="E2662" s="112">
        <v>633</v>
      </c>
      <c r="F2662" s="112">
        <v>255</v>
      </c>
      <c r="G2662" s="112">
        <v>384</v>
      </c>
      <c r="H2662" s="112">
        <v>184</v>
      </c>
      <c r="I2662" s="112">
        <v>40</v>
      </c>
      <c r="J2662" s="99" t="s">
        <v>6953</v>
      </c>
      <c r="K2662" s="99" t="s">
        <v>6953</v>
      </c>
      <c r="L2662" s="112">
        <v>111</v>
      </c>
      <c r="M2662" s="112">
        <v>104</v>
      </c>
      <c r="N2662" s="112">
        <v>7</v>
      </c>
      <c r="O2662" s="100"/>
      <c r="P2662" s="100"/>
      <c r="Q2662" s="100"/>
    </row>
    <row r="2663" spans="1:17" s="119" customFormat="1" ht="31.75" customHeight="1">
      <c r="A2663" s="109" t="s">
        <v>7369</v>
      </c>
      <c r="B2663" s="109" t="s">
        <v>7370</v>
      </c>
      <c r="C2663" s="113">
        <v>2016</v>
      </c>
      <c r="D2663" s="112">
        <v>190</v>
      </c>
      <c r="E2663" s="112">
        <v>655</v>
      </c>
      <c r="F2663" s="112">
        <v>308</v>
      </c>
      <c r="G2663" s="112">
        <v>334</v>
      </c>
      <c r="H2663" s="112">
        <v>241</v>
      </c>
      <c r="I2663" s="112">
        <v>24</v>
      </c>
      <c r="J2663" s="112">
        <v>26</v>
      </c>
      <c r="K2663" s="112">
        <v>1</v>
      </c>
      <c r="L2663" s="112">
        <v>112</v>
      </c>
      <c r="M2663" s="112">
        <v>123</v>
      </c>
      <c r="N2663" s="112">
        <v>-11</v>
      </c>
      <c r="O2663" s="110"/>
      <c r="P2663" s="110"/>
      <c r="Q2663" s="110"/>
    </row>
    <row r="2664" spans="1:17" s="119" customFormat="1" ht="31.75" customHeight="1">
      <c r="A2664" s="109" t="s">
        <v>7369</v>
      </c>
      <c r="B2664" s="109" t="s">
        <v>7370</v>
      </c>
      <c r="C2664" s="113">
        <v>2017</v>
      </c>
      <c r="D2664" s="112">
        <v>173</v>
      </c>
      <c r="E2664" s="112">
        <v>657</v>
      </c>
      <c r="F2664" s="112">
        <v>295</v>
      </c>
      <c r="G2664" s="112">
        <v>366</v>
      </c>
      <c r="H2664" s="112">
        <v>174</v>
      </c>
      <c r="I2664" s="112">
        <v>16</v>
      </c>
      <c r="J2664" s="112">
        <v>20</v>
      </c>
      <c r="K2664" s="112">
        <v>3</v>
      </c>
      <c r="L2664" s="112">
        <v>112</v>
      </c>
      <c r="M2664" s="112">
        <v>108</v>
      </c>
      <c r="N2664" s="112">
        <v>5</v>
      </c>
      <c r="O2664" s="110"/>
      <c r="P2664" s="110"/>
      <c r="Q2664" s="110"/>
    </row>
    <row r="2665" spans="1:17" s="119" customFormat="1" ht="31.75" customHeight="1">
      <c r="A2665" s="109" t="s">
        <v>7369</v>
      </c>
      <c r="B2665" s="109" t="s">
        <v>7370</v>
      </c>
      <c r="C2665" s="113">
        <v>2018</v>
      </c>
      <c r="D2665" s="112">
        <v>178</v>
      </c>
      <c r="E2665" s="112">
        <v>665</v>
      </c>
      <c r="F2665" s="112">
        <v>295</v>
      </c>
      <c r="G2665" s="112">
        <v>392</v>
      </c>
      <c r="H2665" s="112">
        <v>176</v>
      </c>
      <c r="I2665" s="112">
        <v>23</v>
      </c>
      <c r="J2665" s="112">
        <v>23</v>
      </c>
      <c r="K2665" s="112">
        <v>1</v>
      </c>
      <c r="L2665" s="112">
        <v>133</v>
      </c>
      <c r="M2665" s="112">
        <v>114</v>
      </c>
      <c r="N2665" s="112">
        <v>19</v>
      </c>
      <c r="O2665" s="117"/>
      <c r="P2665" s="117"/>
      <c r="Q2665" s="117"/>
    </row>
    <row r="2666" spans="1:17" s="119" customFormat="1" ht="31.75" customHeight="1">
      <c r="A2666" s="109" t="s">
        <v>7369</v>
      </c>
      <c r="B2666" s="109" t="s">
        <v>7370</v>
      </c>
      <c r="C2666" s="113">
        <v>2019</v>
      </c>
      <c r="D2666" s="112">
        <v>168</v>
      </c>
      <c r="E2666" s="112">
        <v>688.64573199999995</v>
      </c>
      <c r="F2666" s="112">
        <v>306.74602900000002</v>
      </c>
      <c r="G2666" s="112">
        <v>398.34168699999998</v>
      </c>
      <c r="H2666" s="112">
        <v>182.43070399999999</v>
      </c>
      <c r="I2666" s="112">
        <v>17.005015</v>
      </c>
      <c r="J2666" s="112">
        <v>17.963911</v>
      </c>
      <c r="K2666" s="112">
        <v>0.95889500000000005</v>
      </c>
      <c r="L2666" s="112">
        <v>131.82716500000001</v>
      </c>
      <c r="M2666" s="112">
        <v>114.877212</v>
      </c>
      <c r="N2666" s="112">
        <v>16.949953000000001</v>
      </c>
      <c r="O2666" s="117"/>
      <c r="P2666" s="117"/>
      <c r="Q2666" s="117"/>
    </row>
    <row r="2667" spans="1:17" s="119" customFormat="1" ht="31.75" customHeight="1">
      <c r="A2667" s="114" t="s">
        <v>7369</v>
      </c>
      <c r="B2667" s="114" t="s">
        <v>7370</v>
      </c>
      <c r="C2667" s="113">
        <v>2020</v>
      </c>
      <c r="D2667" s="112">
        <v>172</v>
      </c>
      <c r="E2667" s="112">
        <v>610.39149299999997</v>
      </c>
      <c r="F2667" s="112">
        <v>225.17089300000001</v>
      </c>
      <c r="G2667" s="112">
        <v>369.00386500000002</v>
      </c>
      <c r="H2667" s="112">
        <v>157.954455</v>
      </c>
      <c r="I2667" s="112">
        <v>23.390414</v>
      </c>
      <c r="J2667" s="112">
        <v>23.678927999999999</v>
      </c>
      <c r="K2667" s="112" t="s">
        <v>6952</v>
      </c>
      <c r="L2667" s="112">
        <v>138.176602</v>
      </c>
      <c r="M2667" s="112">
        <v>155.87258600000001</v>
      </c>
      <c r="N2667" s="112">
        <v>-17.695983999999999</v>
      </c>
      <c r="O2667" s="117"/>
      <c r="P2667" s="117"/>
      <c r="Q2667" s="117"/>
    </row>
    <row r="2668" spans="1:17" s="119" customFormat="1" ht="31.75" customHeight="1">
      <c r="A2668" s="109" t="s">
        <v>7371</v>
      </c>
      <c r="B2668" s="109" t="s">
        <v>7372</v>
      </c>
      <c r="C2668" s="98">
        <v>2008</v>
      </c>
      <c r="D2668" s="99">
        <v>4205</v>
      </c>
      <c r="E2668" s="99">
        <v>2799</v>
      </c>
      <c r="F2668" s="99">
        <v>1175</v>
      </c>
      <c r="G2668" s="99">
        <v>1662</v>
      </c>
      <c r="H2668" s="99">
        <v>726</v>
      </c>
      <c r="I2668" s="99">
        <v>84</v>
      </c>
      <c r="J2668" s="99">
        <v>104</v>
      </c>
      <c r="K2668" s="99">
        <v>21</v>
      </c>
      <c r="L2668" s="99">
        <v>268</v>
      </c>
      <c r="M2668" s="99">
        <v>230</v>
      </c>
      <c r="N2668" s="99">
        <v>37</v>
      </c>
      <c r="O2668" s="117"/>
      <c r="P2668" s="117"/>
      <c r="Q2668" s="117"/>
    </row>
    <row r="2669" spans="1:17" s="119" customFormat="1" ht="31.75" customHeight="1">
      <c r="A2669" s="109" t="s">
        <v>7371</v>
      </c>
      <c r="B2669" s="109" t="s">
        <v>7372</v>
      </c>
      <c r="C2669" s="98">
        <v>2009</v>
      </c>
      <c r="D2669" s="99">
        <v>4159</v>
      </c>
      <c r="E2669" s="99">
        <v>2403</v>
      </c>
      <c r="F2669" s="99">
        <v>1128</v>
      </c>
      <c r="G2669" s="99">
        <v>1268</v>
      </c>
      <c r="H2669" s="99">
        <v>535</v>
      </c>
      <c r="I2669" s="99">
        <v>45</v>
      </c>
      <c r="J2669" s="99">
        <v>63</v>
      </c>
      <c r="K2669" s="99">
        <v>18</v>
      </c>
      <c r="L2669" s="99">
        <v>242</v>
      </c>
      <c r="M2669" s="99">
        <v>248</v>
      </c>
      <c r="N2669" s="99">
        <v>-6</v>
      </c>
      <c r="O2669" s="110"/>
      <c r="P2669" s="110"/>
      <c r="Q2669" s="110"/>
    </row>
    <row r="2670" spans="1:17" s="119" customFormat="1" ht="31.75" customHeight="1">
      <c r="A2670" s="109" t="s">
        <v>7371</v>
      </c>
      <c r="B2670" s="109" t="s">
        <v>7372</v>
      </c>
      <c r="C2670" s="98">
        <v>2010</v>
      </c>
      <c r="D2670" s="99">
        <v>4043</v>
      </c>
      <c r="E2670" s="99">
        <v>2601</v>
      </c>
      <c r="F2670" s="99">
        <v>1081</v>
      </c>
      <c r="G2670" s="99">
        <v>1544</v>
      </c>
      <c r="H2670" s="99">
        <v>587</v>
      </c>
      <c r="I2670" s="99">
        <v>49</v>
      </c>
      <c r="J2670" s="99">
        <v>59</v>
      </c>
      <c r="K2670" s="99">
        <v>11</v>
      </c>
      <c r="L2670" s="99">
        <v>219</v>
      </c>
      <c r="M2670" s="99">
        <v>192</v>
      </c>
      <c r="N2670" s="99">
        <v>27</v>
      </c>
      <c r="O2670" s="110"/>
      <c r="P2670" s="110"/>
      <c r="Q2670" s="110"/>
    </row>
    <row r="2671" spans="1:17" s="119" customFormat="1" ht="31.75" customHeight="1">
      <c r="A2671" s="109" t="s">
        <v>7371</v>
      </c>
      <c r="B2671" s="109" t="s">
        <v>7372</v>
      </c>
      <c r="C2671" s="98">
        <v>2011</v>
      </c>
      <c r="D2671" s="99">
        <v>4083</v>
      </c>
      <c r="E2671" s="99">
        <v>2632</v>
      </c>
      <c r="F2671" s="99">
        <v>1110</v>
      </c>
      <c r="G2671" s="99">
        <v>1531</v>
      </c>
      <c r="H2671" s="99">
        <v>591</v>
      </c>
      <c r="I2671" s="99">
        <v>63</v>
      </c>
      <c r="J2671" s="99">
        <v>71</v>
      </c>
      <c r="K2671" s="99">
        <v>8</v>
      </c>
      <c r="L2671" s="99">
        <v>272</v>
      </c>
      <c r="M2671" s="99">
        <v>262</v>
      </c>
      <c r="N2671" s="99">
        <v>10</v>
      </c>
      <c r="O2671" s="100"/>
      <c r="P2671" s="100"/>
      <c r="Q2671" s="100"/>
    </row>
    <row r="2672" spans="1:17" s="119" customFormat="1" ht="31.75" customHeight="1">
      <c r="A2672" s="109" t="s">
        <v>7371</v>
      </c>
      <c r="B2672" s="109" t="s">
        <v>7372</v>
      </c>
      <c r="C2672" s="111">
        <v>2012</v>
      </c>
      <c r="D2672" s="112">
        <v>4094</v>
      </c>
      <c r="E2672" s="112">
        <v>2796</v>
      </c>
      <c r="F2672" s="112">
        <v>1354</v>
      </c>
      <c r="G2672" s="112">
        <v>1474</v>
      </c>
      <c r="H2672" s="112">
        <v>629</v>
      </c>
      <c r="I2672" s="112">
        <v>119</v>
      </c>
      <c r="J2672" s="112">
        <v>137</v>
      </c>
      <c r="K2672" s="112">
        <v>18</v>
      </c>
      <c r="L2672" s="112">
        <v>184</v>
      </c>
      <c r="M2672" s="112">
        <v>171</v>
      </c>
      <c r="N2672" s="112">
        <v>14</v>
      </c>
      <c r="O2672" s="110"/>
      <c r="P2672" s="110"/>
      <c r="Q2672" s="110"/>
    </row>
    <row r="2673" spans="1:17" s="119" customFormat="1" ht="31.75" customHeight="1">
      <c r="A2673" s="109" t="s">
        <v>7371</v>
      </c>
      <c r="B2673" s="109" t="s">
        <v>7372</v>
      </c>
      <c r="C2673" s="113">
        <v>2013</v>
      </c>
      <c r="D2673" s="112">
        <v>3913</v>
      </c>
      <c r="E2673" s="112">
        <v>2645</v>
      </c>
      <c r="F2673" s="112">
        <v>1242</v>
      </c>
      <c r="G2673" s="112">
        <v>1420</v>
      </c>
      <c r="H2673" s="112">
        <v>616</v>
      </c>
      <c r="I2673" s="112">
        <v>56</v>
      </c>
      <c r="J2673" s="112">
        <v>67</v>
      </c>
      <c r="K2673" s="112">
        <v>10</v>
      </c>
      <c r="L2673" s="112">
        <v>233</v>
      </c>
      <c r="M2673" s="112">
        <v>214</v>
      </c>
      <c r="N2673" s="112">
        <v>19</v>
      </c>
      <c r="O2673" s="100"/>
      <c r="P2673" s="100"/>
      <c r="Q2673" s="100"/>
    </row>
    <row r="2674" spans="1:17" s="119" customFormat="1" ht="31.75" customHeight="1">
      <c r="A2674" s="109" t="s">
        <v>7371</v>
      </c>
      <c r="B2674" s="109" t="s">
        <v>7372</v>
      </c>
      <c r="C2674" s="113">
        <v>2014</v>
      </c>
      <c r="D2674" s="99">
        <v>3741</v>
      </c>
      <c r="E2674" s="99">
        <v>2852</v>
      </c>
      <c r="F2674" s="99">
        <v>1384</v>
      </c>
      <c r="G2674" s="99">
        <v>1502</v>
      </c>
      <c r="H2674" s="99">
        <v>685</v>
      </c>
      <c r="I2674" s="99">
        <v>77</v>
      </c>
      <c r="J2674" s="99">
        <v>86</v>
      </c>
      <c r="K2674" s="99">
        <v>9</v>
      </c>
      <c r="L2674" s="99">
        <v>297</v>
      </c>
      <c r="M2674" s="99">
        <v>263</v>
      </c>
      <c r="N2674" s="99">
        <v>34</v>
      </c>
      <c r="O2674" s="100"/>
      <c r="P2674" s="100"/>
      <c r="Q2674" s="100"/>
    </row>
    <row r="2675" spans="1:17" s="119" customFormat="1" ht="31.75" customHeight="1">
      <c r="A2675" s="109" t="s">
        <v>7371</v>
      </c>
      <c r="B2675" s="109" t="s">
        <v>7372</v>
      </c>
      <c r="C2675" s="113">
        <v>2015</v>
      </c>
      <c r="D2675" s="112">
        <v>3573</v>
      </c>
      <c r="E2675" s="112">
        <v>2827</v>
      </c>
      <c r="F2675" s="112">
        <v>1300</v>
      </c>
      <c r="G2675" s="112">
        <v>1547</v>
      </c>
      <c r="H2675" s="112">
        <v>677</v>
      </c>
      <c r="I2675" s="112">
        <v>121</v>
      </c>
      <c r="J2675" s="112">
        <v>128</v>
      </c>
      <c r="K2675" s="112">
        <v>7</v>
      </c>
      <c r="L2675" s="112">
        <v>314</v>
      </c>
      <c r="M2675" s="112">
        <v>294</v>
      </c>
      <c r="N2675" s="112">
        <v>20</v>
      </c>
      <c r="O2675" s="110"/>
      <c r="P2675" s="110"/>
      <c r="Q2675" s="110"/>
    </row>
    <row r="2676" spans="1:17" s="119" customFormat="1" ht="31.75" customHeight="1">
      <c r="A2676" s="109" t="s">
        <v>7371</v>
      </c>
      <c r="B2676" s="109" t="s">
        <v>7372</v>
      </c>
      <c r="C2676" s="113">
        <v>2016</v>
      </c>
      <c r="D2676" s="112">
        <v>3498</v>
      </c>
      <c r="E2676" s="112">
        <v>2957</v>
      </c>
      <c r="F2676" s="112">
        <v>1646</v>
      </c>
      <c r="G2676" s="112">
        <v>1361</v>
      </c>
      <c r="H2676" s="112">
        <v>806</v>
      </c>
      <c r="I2676" s="112">
        <v>122</v>
      </c>
      <c r="J2676" s="112">
        <v>130</v>
      </c>
      <c r="K2676" s="112">
        <v>8</v>
      </c>
      <c r="L2676" s="112">
        <v>302</v>
      </c>
      <c r="M2676" s="112">
        <v>249</v>
      </c>
      <c r="N2676" s="112">
        <v>53</v>
      </c>
      <c r="O2676" s="110"/>
      <c r="P2676" s="110"/>
      <c r="Q2676" s="110"/>
    </row>
    <row r="2677" spans="1:17" s="119" customFormat="1" ht="31.75" customHeight="1">
      <c r="A2677" s="109" t="s">
        <v>7371</v>
      </c>
      <c r="B2677" s="109" t="s">
        <v>7372</v>
      </c>
      <c r="C2677" s="113">
        <v>2017</v>
      </c>
      <c r="D2677" s="112">
        <v>3450</v>
      </c>
      <c r="E2677" s="112">
        <v>3007</v>
      </c>
      <c r="F2677" s="112">
        <v>1411</v>
      </c>
      <c r="G2677" s="112">
        <v>1620</v>
      </c>
      <c r="H2677" s="112">
        <v>732</v>
      </c>
      <c r="I2677" s="112">
        <v>162</v>
      </c>
      <c r="J2677" s="112">
        <v>214</v>
      </c>
      <c r="K2677" s="112">
        <v>52</v>
      </c>
      <c r="L2677" s="112">
        <v>341</v>
      </c>
      <c r="M2677" s="112">
        <v>327</v>
      </c>
      <c r="N2677" s="112">
        <v>14</v>
      </c>
      <c r="O2677" s="117"/>
      <c r="P2677" s="117"/>
      <c r="Q2677" s="117"/>
    </row>
    <row r="2678" spans="1:17" s="119" customFormat="1" ht="31.75" customHeight="1">
      <c r="A2678" s="109" t="s">
        <v>7371</v>
      </c>
      <c r="B2678" s="109" t="s">
        <v>7372</v>
      </c>
      <c r="C2678" s="113">
        <v>2018</v>
      </c>
      <c r="D2678" s="112">
        <v>3388</v>
      </c>
      <c r="E2678" s="112">
        <v>3170</v>
      </c>
      <c r="F2678" s="112">
        <v>1371</v>
      </c>
      <c r="G2678" s="112">
        <v>1821</v>
      </c>
      <c r="H2678" s="112">
        <v>694</v>
      </c>
      <c r="I2678" s="112">
        <v>98</v>
      </c>
      <c r="J2678" s="112">
        <v>107</v>
      </c>
      <c r="K2678" s="112">
        <v>9</v>
      </c>
      <c r="L2678" s="112">
        <v>363</v>
      </c>
      <c r="M2678" s="112">
        <v>356</v>
      </c>
      <c r="N2678" s="112">
        <v>7</v>
      </c>
      <c r="O2678" s="117"/>
      <c r="P2678" s="117"/>
      <c r="Q2678" s="117"/>
    </row>
    <row r="2679" spans="1:17" s="119" customFormat="1" ht="31.75" customHeight="1">
      <c r="A2679" s="109" t="s">
        <v>7371</v>
      </c>
      <c r="B2679" s="109" t="s">
        <v>7372</v>
      </c>
      <c r="C2679" s="113">
        <v>2019</v>
      </c>
      <c r="D2679" s="112">
        <v>3386</v>
      </c>
      <c r="E2679" s="112">
        <v>3109.2159630000001</v>
      </c>
      <c r="F2679" s="112">
        <v>1492.1897019999999</v>
      </c>
      <c r="G2679" s="112">
        <v>1627.5795880000001</v>
      </c>
      <c r="H2679" s="112">
        <v>744.490137</v>
      </c>
      <c r="I2679" s="112">
        <v>97.446211000000005</v>
      </c>
      <c r="J2679" s="112">
        <v>109.099491</v>
      </c>
      <c r="K2679" s="112">
        <v>11.653280000000001</v>
      </c>
      <c r="L2679" s="112">
        <v>317.010065</v>
      </c>
      <c r="M2679" s="112">
        <v>304.85149799999999</v>
      </c>
      <c r="N2679" s="112">
        <v>12.158566</v>
      </c>
      <c r="O2679" s="117"/>
      <c r="P2679" s="117"/>
      <c r="Q2679" s="117"/>
    </row>
    <row r="2680" spans="1:17" s="119" customFormat="1" ht="31.75" customHeight="1">
      <c r="A2680" s="114" t="s">
        <v>7371</v>
      </c>
      <c r="B2680" s="109" t="s">
        <v>7372</v>
      </c>
      <c r="C2680" s="113">
        <v>2020</v>
      </c>
      <c r="D2680" s="112">
        <v>3380</v>
      </c>
      <c r="E2680" s="112">
        <v>2857.4457459999999</v>
      </c>
      <c r="F2680" s="112">
        <v>1292.9669060000001</v>
      </c>
      <c r="G2680" s="112">
        <v>1570.819403</v>
      </c>
      <c r="H2680" s="112">
        <v>745.08530699999994</v>
      </c>
      <c r="I2680" s="112">
        <v>80.552713999999995</v>
      </c>
      <c r="J2680" s="112">
        <v>175.82927900000001</v>
      </c>
      <c r="K2680" s="112">
        <v>95.276565000000005</v>
      </c>
      <c r="L2680" s="112">
        <v>251.80080799999999</v>
      </c>
      <c r="M2680" s="112">
        <v>262.01488599999999</v>
      </c>
      <c r="N2680" s="112">
        <v>-10.214078000000001</v>
      </c>
      <c r="O2680" s="117"/>
      <c r="P2680" s="117"/>
      <c r="Q2680" s="117"/>
    </row>
    <row r="2681" spans="1:17" s="119" customFormat="1" ht="31.75" customHeight="1">
      <c r="A2681" s="109" t="s">
        <v>7373</v>
      </c>
      <c r="B2681" s="109" t="s">
        <v>7374</v>
      </c>
      <c r="C2681" s="98">
        <v>2008</v>
      </c>
      <c r="D2681" s="99">
        <v>7097</v>
      </c>
      <c r="E2681" s="99">
        <v>21343</v>
      </c>
      <c r="F2681" s="99">
        <v>8620</v>
      </c>
      <c r="G2681" s="99">
        <v>13077</v>
      </c>
      <c r="H2681" s="99">
        <v>4570</v>
      </c>
      <c r="I2681" s="99">
        <v>376</v>
      </c>
      <c r="J2681" s="99">
        <v>507</v>
      </c>
      <c r="K2681" s="99">
        <v>131</v>
      </c>
      <c r="L2681" s="99">
        <v>2719</v>
      </c>
      <c r="M2681" s="99">
        <v>2348</v>
      </c>
      <c r="N2681" s="99">
        <v>370</v>
      </c>
      <c r="O2681" s="110"/>
      <c r="P2681" s="110"/>
      <c r="Q2681" s="110"/>
    </row>
    <row r="2682" spans="1:17" s="119" customFormat="1" ht="31.75" customHeight="1">
      <c r="A2682" s="109" t="s">
        <v>7373</v>
      </c>
      <c r="B2682" s="109" t="s">
        <v>7374</v>
      </c>
      <c r="C2682" s="98">
        <v>2009</v>
      </c>
      <c r="D2682" s="99">
        <v>6968</v>
      </c>
      <c r="E2682" s="99">
        <v>17802</v>
      </c>
      <c r="F2682" s="99">
        <v>7453</v>
      </c>
      <c r="G2682" s="99">
        <v>10277</v>
      </c>
      <c r="H2682" s="99">
        <v>3955</v>
      </c>
      <c r="I2682" s="99">
        <v>294</v>
      </c>
      <c r="J2682" s="99">
        <v>384</v>
      </c>
      <c r="K2682" s="99">
        <v>90</v>
      </c>
      <c r="L2682" s="99">
        <v>2674</v>
      </c>
      <c r="M2682" s="99">
        <v>2732</v>
      </c>
      <c r="N2682" s="99">
        <v>-58</v>
      </c>
      <c r="O2682" s="110"/>
      <c r="P2682" s="110"/>
      <c r="Q2682" s="110"/>
    </row>
    <row r="2683" spans="1:17" s="119" customFormat="1" ht="31.75" customHeight="1">
      <c r="A2683" s="109" t="s">
        <v>7373</v>
      </c>
      <c r="B2683" s="109" t="s">
        <v>7374</v>
      </c>
      <c r="C2683" s="98">
        <v>2010</v>
      </c>
      <c r="D2683" s="99">
        <v>6384</v>
      </c>
      <c r="E2683" s="99">
        <v>20033</v>
      </c>
      <c r="F2683" s="99">
        <v>8314</v>
      </c>
      <c r="G2683" s="99">
        <v>11781</v>
      </c>
      <c r="H2683" s="99">
        <v>4037</v>
      </c>
      <c r="I2683" s="99">
        <v>416</v>
      </c>
      <c r="J2683" s="99">
        <v>492</v>
      </c>
      <c r="K2683" s="99">
        <v>75</v>
      </c>
      <c r="L2683" s="99">
        <v>2441</v>
      </c>
      <c r="M2683" s="99">
        <v>2356</v>
      </c>
      <c r="N2683" s="99">
        <v>85</v>
      </c>
      <c r="O2683" s="100"/>
      <c r="P2683" s="100"/>
      <c r="Q2683" s="100"/>
    </row>
    <row r="2684" spans="1:17" s="119" customFormat="1" ht="31.75" customHeight="1">
      <c r="A2684" s="109" t="s">
        <v>7373</v>
      </c>
      <c r="B2684" s="109" t="s">
        <v>7374</v>
      </c>
      <c r="C2684" s="98">
        <v>2011</v>
      </c>
      <c r="D2684" s="99">
        <v>6117</v>
      </c>
      <c r="E2684" s="99">
        <v>19592</v>
      </c>
      <c r="F2684" s="99">
        <v>8560</v>
      </c>
      <c r="G2684" s="99">
        <v>11289</v>
      </c>
      <c r="H2684" s="99">
        <v>4168</v>
      </c>
      <c r="I2684" s="99">
        <v>480</v>
      </c>
      <c r="J2684" s="99">
        <v>553</v>
      </c>
      <c r="K2684" s="99">
        <v>73</v>
      </c>
      <c r="L2684" s="99">
        <v>2601</v>
      </c>
      <c r="M2684" s="99">
        <v>2338</v>
      </c>
      <c r="N2684" s="99">
        <v>263</v>
      </c>
      <c r="O2684" s="110"/>
      <c r="P2684" s="110"/>
      <c r="Q2684" s="110"/>
    </row>
    <row r="2685" spans="1:17" s="119" customFormat="1" ht="31.75" customHeight="1">
      <c r="A2685" s="109" t="s">
        <v>7373</v>
      </c>
      <c r="B2685" s="109" t="s">
        <v>7374</v>
      </c>
      <c r="C2685" s="111">
        <v>2012</v>
      </c>
      <c r="D2685" s="112">
        <v>5874</v>
      </c>
      <c r="E2685" s="112">
        <v>18358</v>
      </c>
      <c r="F2685" s="112">
        <v>8025</v>
      </c>
      <c r="G2685" s="112">
        <v>10403</v>
      </c>
      <c r="H2685" s="112">
        <v>4138</v>
      </c>
      <c r="I2685" s="112">
        <v>542</v>
      </c>
      <c r="J2685" s="112">
        <v>610</v>
      </c>
      <c r="K2685" s="112">
        <v>68</v>
      </c>
      <c r="L2685" s="112">
        <v>2623</v>
      </c>
      <c r="M2685" s="112">
        <v>2563</v>
      </c>
      <c r="N2685" s="112">
        <v>60</v>
      </c>
      <c r="O2685" s="100"/>
      <c r="P2685" s="100"/>
      <c r="Q2685" s="100"/>
    </row>
    <row r="2686" spans="1:17" s="119" customFormat="1" ht="31.75" customHeight="1">
      <c r="A2686" s="109" t="s">
        <v>7373</v>
      </c>
      <c r="B2686" s="109" t="s">
        <v>7374</v>
      </c>
      <c r="C2686" s="113">
        <v>2013</v>
      </c>
      <c r="D2686" s="112">
        <v>6009</v>
      </c>
      <c r="E2686" s="112">
        <v>19642</v>
      </c>
      <c r="F2686" s="112">
        <v>7808</v>
      </c>
      <c r="G2686" s="112">
        <v>11683</v>
      </c>
      <c r="H2686" s="112">
        <v>4629</v>
      </c>
      <c r="I2686" s="112">
        <v>442</v>
      </c>
      <c r="J2686" s="112">
        <v>527</v>
      </c>
      <c r="K2686" s="112">
        <v>85</v>
      </c>
      <c r="L2686" s="112">
        <v>2632</v>
      </c>
      <c r="M2686" s="112">
        <v>2803</v>
      </c>
      <c r="N2686" s="112">
        <v>-172</v>
      </c>
      <c r="O2686" s="100"/>
      <c r="P2686" s="100"/>
      <c r="Q2686" s="100"/>
    </row>
    <row r="2687" spans="1:17" s="119" customFormat="1" ht="31.75" customHeight="1">
      <c r="A2687" s="109" t="s">
        <v>7373</v>
      </c>
      <c r="B2687" s="109" t="s">
        <v>7374</v>
      </c>
      <c r="C2687" s="113">
        <v>2014</v>
      </c>
      <c r="D2687" s="99">
        <v>5952</v>
      </c>
      <c r="E2687" s="99">
        <v>19225</v>
      </c>
      <c r="F2687" s="99">
        <v>7748</v>
      </c>
      <c r="G2687" s="99">
        <v>11428</v>
      </c>
      <c r="H2687" s="99">
        <v>4597</v>
      </c>
      <c r="I2687" s="99">
        <v>600</v>
      </c>
      <c r="J2687" s="99">
        <v>660</v>
      </c>
      <c r="K2687" s="99">
        <v>60</v>
      </c>
      <c r="L2687" s="99">
        <v>3026</v>
      </c>
      <c r="M2687" s="99">
        <v>3128</v>
      </c>
      <c r="N2687" s="99">
        <v>-103</v>
      </c>
      <c r="O2687" s="110"/>
      <c r="P2687" s="110"/>
      <c r="Q2687" s="110"/>
    </row>
    <row r="2688" spans="1:17" s="119" customFormat="1" ht="31.75" customHeight="1">
      <c r="A2688" s="109" t="s">
        <v>7373</v>
      </c>
      <c r="B2688" s="109" t="s">
        <v>7374</v>
      </c>
      <c r="C2688" s="113">
        <v>2015</v>
      </c>
      <c r="D2688" s="112">
        <v>6075</v>
      </c>
      <c r="E2688" s="112">
        <v>18773</v>
      </c>
      <c r="F2688" s="112">
        <v>8042</v>
      </c>
      <c r="G2688" s="112">
        <v>10848</v>
      </c>
      <c r="H2688" s="112">
        <v>4555</v>
      </c>
      <c r="I2688" s="112">
        <v>527</v>
      </c>
      <c r="J2688" s="112">
        <v>579</v>
      </c>
      <c r="K2688" s="112">
        <v>53</v>
      </c>
      <c r="L2688" s="112">
        <v>3069</v>
      </c>
      <c r="M2688" s="112">
        <v>3041</v>
      </c>
      <c r="N2688" s="112">
        <v>28</v>
      </c>
      <c r="O2688" s="110"/>
      <c r="P2688" s="110"/>
      <c r="Q2688" s="110"/>
    </row>
    <row r="2689" spans="1:17" s="119" customFormat="1" ht="31.75" customHeight="1">
      <c r="A2689" s="109" t="s">
        <v>7373</v>
      </c>
      <c r="B2689" s="109" t="s">
        <v>7374</v>
      </c>
      <c r="C2689" s="113">
        <v>2016</v>
      </c>
      <c r="D2689" s="112">
        <v>6100</v>
      </c>
      <c r="E2689" s="112">
        <v>20379</v>
      </c>
      <c r="F2689" s="112">
        <v>8439</v>
      </c>
      <c r="G2689" s="112">
        <v>12111</v>
      </c>
      <c r="H2689" s="112">
        <v>4971</v>
      </c>
      <c r="I2689" s="112">
        <v>553</v>
      </c>
      <c r="J2689" s="112">
        <v>625</v>
      </c>
      <c r="K2689" s="112">
        <v>72</v>
      </c>
      <c r="L2689" s="112">
        <v>3287</v>
      </c>
      <c r="M2689" s="112">
        <v>3184</v>
      </c>
      <c r="N2689" s="112">
        <v>103</v>
      </c>
      <c r="O2689" s="117"/>
      <c r="P2689" s="117"/>
      <c r="Q2689" s="117"/>
    </row>
    <row r="2690" spans="1:17" s="119" customFormat="1" ht="31.75" customHeight="1">
      <c r="A2690" s="109" t="s">
        <v>7373</v>
      </c>
      <c r="B2690" s="109" t="s">
        <v>7374</v>
      </c>
      <c r="C2690" s="113">
        <v>2017</v>
      </c>
      <c r="D2690" s="112">
        <v>6130</v>
      </c>
      <c r="E2690" s="112">
        <v>22451</v>
      </c>
      <c r="F2690" s="112">
        <v>9779</v>
      </c>
      <c r="G2690" s="112">
        <v>13019</v>
      </c>
      <c r="H2690" s="112">
        <v>5213</v>
      </c>
      <c r="I2690" s="112">
        <v>572</v>
      </c>
      <c r="J2690" s="112">
        <v>626</v>
      </c>
      <c r="K2690" s="112">
        <v>54</v>
      </c>
      <c r="L2690" s="112">
        <v>3230</v>
      </c>
      <c r="M2690" s="112">
        <v>2953</v>
      </c>
      <c r="N2690" s="112">
        <v>277</v>
      </c>
      <c r="O2690" s="117"/>
      <c r="P2690" s="117"/>
      <c r="Q2690" s="117"/>
    </row>
    <row r="2691" spans="1:17" s="119" customFormat="1" ht="31.75" customHeight="1">
      <c r="A2691" s="109" t="s">
        <v>7373</v>
      </c>
      <c r="B2691" s="109" t="s">
        <v>7374</v>
      </c>
      <c r="C2691" s="113">
        <v>2018</v>
      </c>
      <c r="D2691" s="112">
        <v>6031</v>
      </c>
      <c r="E2691" s="112">
        <v>23059</v>
      </c>
      <c r="F2691" s="112">
        <v>9745</v>
      </c>
      <c r="G2691" s="112">
        <v>13581</v>
      </c>
      <c r="H2691" s="112">
        <v>5214</v>
      </c>
      <c r="I2691" s="112">
        <v>645</v>
      </c>
      <c r="J2691" s="112">
        <v>683</v>
      </c>
      <c r="K2691" s="112">
        <v>38</v>
      </c>
      <c r="L2691" s="112">
        <v>3401</v>
      </c>
      <c r="M2691" s="112">
        <v>3153</v>
      </c>
      <c r="N2691" s="112">
        <v>248</v>
      </c>
      <c r="O2691" s="117"/>
      <c r="P2691" s="117"/>
      <c r="Q2691" s="117"/>
    </row>
    <row r="2692" spans="1:17" s="119" customFormat="1" ht="31.75" customHeight="1">
      <c r="A2692" s="109" t="s">
        <v>7373</v>
      </c>
      <c r="B2692" s="109" t="s">
        <v>7374</v>
      </c>
      <c r="C2692" s="113">
        <v>2019</v>
      </c>
      <c r="D2692" s="112">
        <v>5879</v>
      </c>
      <c r="E2692" s="112">
        <v>23388.998129</v>
      </c>
      <c r="F2692" s="112">
        <v>9953.3650519999992</v>
      </c>
      <c r="G2692" s="112">
        <v>13918.00462</v>
      </c>
      <c r="H2692" s="112">
        <v>5347.8287659999996</v>
      </c>
      <c r="I2692" s="112">
        <v>789.14722300000005</v>
      </c>
      <c r="J2692" s="112">
        <v>823.32072800000003</v>
      </c>
      <c r="K2692" s="112">
        <v>34.173504999999999</v>
      </c>
      <c r="L2692" s="112">
        <v>3730.2062940000001</v>
      </c>
      <c r="M2692" s="112">
        <v>3373.5769500000001</v>
      </c>
      <c r="N2692" s="112">
        <v>356.629344</v>
      </c>
      <c r="O2692" s="117"/>
      <c r="P2692" s="117"/>
      <c r="Q2692" s="117"/>
    </row>
    <row r="2693" spans="1:17" s="119" customFormat="1" ht="31.75" customHeight="1">
      <c r="A2693" s="114" t="s">
        <v>7373</v>
      </c>
      <c r="B2693" s="114" t="s">
        <v>7374</v>
      </c>
      <c r="C2693" s="113">
        <v>2020</v>
      </c>
      <c r="D2693" s="112">
        <v>5759</v>
      </c>
      <c r="E2693" s="112">
        <v>20312.308956000001</v>
      </c>
      <c r="F2693" s="112">
        <v>8171.0576060000003</v>
      </c>
      <c r="G2693" s="112">
        <v>12143.360619999999</v>
      </c>
      <c r="H2693" s="112">
        <v>5038.2842049999999</v>
      </c>
      <c r="I2693" s="112">
        <v>598.31228899999996</v>
      </c>
      <c r="J2693" s="112">
        <v>637.54036599999995</v>
      </c>
      <c r="K2693" s="112">
        <v>39.228076999999999</v>
      </c>
      <c r="L2693" s="112">
        <v>3552.1341069999999</v>
      </c>
      <c r="M2693" s="112">
        <v>3620.0183729999999</v>
      </c>
      <c r="N2693" s="112">
        <v>-67.884265999999997</v>
      </c>
      <c r="O2693" s="110"/>
      <c r="P2693" s="110"/>
      <c r="Q2693" s="110"/>
    </row>
    <row r="2694" spans="1:17" s="119" customFormat="1" ht="17.5" customHeight="1">
      <c r="A2694" s="109" t="s">
        <v>7375</v>
      </c>
      <c r="B2694" s="109" t="s">
        <v>7376</v>
      </c>
      <c r="C2694" s="98">
        <v>2008</v>
      </c>
      <c r="D2694" s="99">
        <v>1119</v>
      </c>
      <c r="E2694" s="99">
        <v>4009</v>
      </c>
      <c r="F2694" s="99">
        <v>1665</v>
      </c>
      <c r="G2694" s="99">
        <v>2382</v>
      </c>
      <c r="H2694" s="99">
        <v>820</v>
      </c>
      <c r="I2694" s="99">
        <v>78</v>
      </c>
      <c r="J2694" s="99">
        <v>107</v>
      </c>
      <c r="K2694" s="99">
        <v>28</v>
      </c>
      <c r="L2694" s="99">
        <v>465</v>
      </c>
      <c r="M2694" s="99">
        <v>425</v>
      </c>
      <c r="N2694" s="99">
        <v>40</v>
      </c>
      <c r="O2694" s="110"/>
      <c r="P2694" s="110"/>
      <c r="Q2694" s="110"/>
    </row>
    <row r="2695" spans="1:17" s="119" customFormat="1" ht="17.5" customHeight="1">
      <c r="A2695" s="109" t="s">
        <v>7375</v>
      </c>
      <c r="B2695" s="109" t="s">
        <v>7376</v>
      </c>
      <c r="C2695" s="98">
        <v>2009</v>
      </c>
      <c r="D2695" s="99">
        <v>965</v>
      </c>
      <c r="E2695" s="99">
        <v>2894</v>
      </c>
      <c r="F2695" s="99">
        <v>985</v>
      </c>
      <c r="G2695" s="99">
        <v>1865</v>
      </c>
      <c r="H2695" s="99">
        <v>649</v>
      </c>
      <c r="I2695" s="99">
        <v>39</v>
      </c>
      <c r="J2695" s="99">
        <v>56</v>
      </c>
      <c r="K2695" s="99">
        <v>18</v>
      </c>
      <c r="L2695" s="99">
        <v>348</v>
      </c>
      <c r="M2695" s="99">
        <v>389</v>
      </c>
      <c r="N2695" s="99">
        <v>-42</v>
      </c>
      <c r="O2695" s="100"/>
      <c r="P2695" s="100"/>
      <c r="Q2695" s="100"/>
    </row>
    <row r="2696" spans="1:17" s="119" customFormat="1" ht="17.5" customHeight="1">
      <c r="A2696" s="109" t="s">
        <v>7375</v>
      </c>
      <c r="B2696" s="109" t="s">
        <v>7376</v>
      </c>
      <c r="C2696" s="98">
        <v>2010</v>
      </c>
      <c r="D2696" s="99">
        <v>943</v>
      </c>
      <c r="E2696" s="99">
        <v>3679</v>
      </c>
      <c r="F2696" s="99">
        <v>1423</v>
      </c>
      <c r="G2696" s="99">
        <v>2278</v>
      </c>
      <c r="H2696" s="99">
        <v>699</v>
      </c>
      <c r="I2696" s="99">
        <v>88</v>
      </c>
      <c r="J2696" s="99">
        <v>111</v>
      </c>
      <c r="K2696" s="99">
        <v>23</v>
      </c>
      <c r="L2696" s="99">
        <v>395</v>
      </c>
      <c r="M2696" s="99">
        <v>376</v>
      </c>
      <c r="N2696" s="99">
        <v>19</v>
      </c>
      <c r="O2696" s="110"/>
      <c r="P2696" s="110"/>
      <c r="Q2696" s="110"/>
    </row>
    <row r="2697" spans="1:17" s="119" customFormat="1" ht="17.5" customHeight="1">
      <c r="A2697" s="109" t="s">
        <v>7375</v>
      </c>
      <c r="B2697" s="109" t="s">
        <v>7376</v>
      </c>
      <c r="C2697" s="98">
        <v>2011</v>
      </c>
      <c r="D2697" s="99">
        <v>925</v>
      </c>
      <c r="E2697" s="99">
        <v>3756</v>
      </c>
      <c r="F2697" s="99">
        <v>1431</v>
      </c>
      <c r="G2697" s="99">
        <v>2361</v>
      </c>
      <c r="H2697" s="99">
        <v>698</v>
      </c>
      <c r="I2697" s="99">
        <v>100</v>
      </c>
      <c r="J2697" s="99">
        <v>123</v>
      </c>
      <c r="K2697" s="99">
        <v>23</v>
      </c>
      <c r="L2697" s="99">
        <v>450</v>
      </c>
      <c r="M2697" s="99">
        <v>412</v>
      </c>
      <c r="N2697" s="99">
        <v>37</v>
      </c>
      <c r="O2697" s="100"/>
      <c r="P2697" s="100"/>
      <c r="Q2697" s="100"/>
    </row>
    <row r="2698" spans="1:17" s="119" customFormat="1" ht="17.5" customHeight="1">
      <c r="A2698" s="109" t="s">
        <v>7375</v>
      </c>
      <c r="B2698" s="109" t="s">
        <v>7376</v>
      </c>
      <c r="C2698" s="111">
        <v>2012</v>
      </c>
      <c r="D2698" s="112">
        <v>902</v>
      </c>
      <c r="E2698" s="112">
        <v>3376</v>
      </c>
      <c r="F2698" s="112">
        <v>1381</v>
      </c>
      <c r="G2698" s="112">
        <v>1943</v>
      </c>
      <c r="H2698" s="112">
        <v>807</v>
      </c>
      <c r="I2698" s="112">
        <v>104</v>
      </c>
      <c r="J2698" s="112">
        <v>137</v>
      </c>
      <c r="K2698" s="112">
        <v>33</v>
      </c>
      <c r="L2698" s="112">
        <v>391</v>
      </c>
      <c r="M2698" s="112">
        <v>446</v>
      </c>
      <c r="N2698" s="112">
        <v>-55</v>
      </c>
      <c r="O2698" s="100"/>
      <c r="P2698" s="100"/>
      <c r="Q2698" s="100"/>
    </row>
    <row r="2699" spans="1:17" s="119" customFormat="1" ht="17.5" customHeight="1">
      <c r="A2699" s="109" t="s">
        <v>7375</v>
      </c>
      <c r="B2699" s="109" t="s">
        <v>7376</v>
      </c>
      <c r="C2699" s="113">
        <v>2013</v>
      </c>
      <c r="D2699" s="112">
        <v>929</v>
      </c>
      <c r="E2699" s="112">
        <v>3312</v>
      </c>
      <c r="F2699" s="112">
        <v>1251</v>
      </c>
      <c r="G2699" s="112">
        <v>2030</v>
      </c>
      <c r="H2699" s="112">
        <v>721</v>
      </c>
      <c r="I2699" s="112">
        <v>41</v>
      </c>
      <c r="J2699" s="112">
        <v>70</v>
      </c>
      <c r="K2699" s="112">
        <v>28</v>
      </c>
      <c r="L2699" s="112">
        <v>379</v>
      </c>
      <c r="M2699" s="112">
        <v>412</v>
      </c>
      <c r="N2699" s="112">
        <v>-33</v>
      </c>
      <c r="O2699" s="110"/>
      <c r="P2699" s="110"/>
      <c r="Q2699" s="110"/>
    </row>
    <row r="2700" spans="1:17" s="119" customFormat="1" ht="17.5" customHeight="1">
      <c r="A2700" s="109" t="s">
        <v>7375</v>
      </c>
      <c r="B2700" s="109" t="s">
        <v>7376</v>
      </c>
      <c r="C2700" s="113">
        <v>2014</v>
      </c>
      <c r="D2700" s="99">
        <v>926</v>
      </c>
      <c r="E2700" s="99">
        <v>2393</v>
      </c>
      <c r="F2700" s="99">
        <v>846</v>
      </c>
      <c r="G2700" s="99">
        <v>1556</v>
      </c>
      <c r="H2700" s="99">
        <v>734</v>
      </c>
      <c r="I2700" s="99">
        <v>65</v>
      </c>
      <c r="J2700" s="99">
        <v>73</v>
      </c>
      <c r="K2700" s="99">
        <v>9</v>
      </c>
      <c r="L2700" s="99">
        <v>333</v>
      </c>
      <c r="M2700" s="99">
        <v>329</v>
      </c>
      <c r="N2700" s="99">
        <v>4</v>
      </c>
      <c r="O2700" s="110"/>
      <c r="P2700" s="110"/>
      <c r="Q2700" s="110"/>
    </row>
    <row r="2701" spans="1:17" s="119" customFormat="1" ht="17.5" customHeight="1">
      <c r="A2701" s="109" t="s">
        <v>7375</v>
      </c>
      <c r="B2701" s="109" t="s">
        <v>7376</v>
      </c>
      <c r="C2701" s="113">
        <v>2015</v>
      </c>
      <c r="D2701" s="112">
        <v>919</v>
      </c>
      <c r="E2701" s="112">
        <v>2396</v>
      </c>
      <c r="F2701" s="112">
        <v>954</v>
      </c>
      <c r="G2701" s="112">
        <v>1447</v>
      </c>
      <c r="H2701" s="112">
        <v>595</v>
      </c>
      <c r="I2701" s="112">
        <v>84</v>
      </c>
      <c r="J2701" s="112">
        <v>88</v>
      </c>
      <c r="K2701" s="112">
        <v>3</v>
      </c>
      <c r="L2701" s="112">
        <v>318</v>
      </c>
      <c r="M2701" s="112">
        <v>327</v>
      </c>
      <c r="N2701" s="112">
        <v>-9</v>
      </c>
      <c r="O2701" s="117"/>
      <c r="P2701" s="117"/>
      <c r="Q2701" s="117"/>
    </row>
    <row r="2702" spans="1:17" s="119" customFormat="1" ht="17.5" customHeight="1">
      <c r="A2702" s="109" t="s">
        <v>7375</v>
      </c>
      <c r="B2702" s="109" t="s">
        <v>7376</v>
      </c>
      <c r="C2702" s="113">
        <v>2016</v>
      </c>
      <c r="D2702" s="112">
        <v>914</v>
      </c>
      <c r="E2702" s="112">
        <v>2688</v>
      </c>
      <c r="F2702" s="112">
        <v>1205</v>
      </c>
      <c r="G2702" s="112">
        <v>1537</v>
      </c>
      <c r="H2702" s="112">
        <v>660</v>
      </c>
      <c r="I2702" s="112">
        <v>119</v>
      </c>
      <c r="J2702" s="112">
        <v>127</v>
      </c>
      <c r="K2702" s="112">
        <v>8</v>
      </c>
      <c r="L2702" s="112">
        <v>420</v>
      </c>
      <c r="M2702" s="112">
        <v>385</v>
      </c>
      <c r="N2702" s="112">
        <v>35</v>
      </c>
      <c r="O2702" s="117"/>
      <c r="P2702" s="117"/>
      <c r="Q2702" s="117"/>
    </row>
    <row r="2703" spans="1:17" s="119" customFormat="1" ht="17.5" customHeight="1">
      <c r="A2703" s="109" t="s">
        <v>7375</v>
      </c>
      <c r="B2703" s="109" t="s">
        <v>7376</v>
      </c>
      <c r="C2703" s="113">
        <v>2017</v>
      </c>
      <c r="D2703" s="112">
        <v>895</v>
      </c>
      <c r="E2703" s="112">
        <v>2878</v>
      </c>
      <c r="F2703" s="112">
        <v>1269</v>
      </c>
      <c r="G2703" s="112">
        <v>1654</v>
      </c>
      <c r="H2703" s="112">
        <v>641</v>
      </c>
      <c r="I2703" s="112">
        <v>116</v>
      </c>
      <c r="J2703" s="112">
        <v>123</v>
      </c>
      <c r="K2703" s="112">
        <v>7</v>
      </c>
      <c r="L2703" s="112">
        <v>405</v>
      </c>
      <c r="M2703" s="112">
        <v>389</v>
      </c>
      <c r="N2703" s="112">
        <v>16</v>
      </c>
      <c r="O2703" s="117"/>
      <c r="P2703" s="117"/>
      <c r="Q2703" s="117"/>
    </row>
    <row r="2704" spans="1:17" s="119" customFormat="1" ht="17.5" customHeight="1">
      <c r="A2704" s="109" t="s">
        <v>7375</v>
      </c>
      <c r="B2704" s="109" t="s">
        <v>7376</v>
      </c>
      <c r="C2704" s="113">
        <v>2018</v>
      </c>
      <c r="D2704" s="112">
        <v>889</v>
      </c>
      <c r="E2704" s="112">
        <v>2925</v>
      </c>
      <c r="F2704" s="112">
        <v>1278</v>
      </c>
      <c r="G2704" s="112">
        <v>1704</v>
      </c>
      <c r="H2704" s="112">
        <v>643</v>
      </c>
      <c r="I2704" s="112">
        <v>127</v>
      </c>
      <c r="J2704" s="112">
        <v>136</v>
      </c>
      <c r="K2704" s="112">
        <v>9</v>
      </c>
      <c r="L2704" s="112">
        <v>464</v>
      </c>
      <c r="M2704" s="112">
        <v>410</v>
      </c>
      <c r="N2704" s="112">
        <v>54</v>
      </c>
      <c r="O2704" s="117"/>
      <c r="P2704" s="117"/>
      <c r="Q2704" s="117"/>
    </row>
    <row r="2705" spans="1:17" s="119" customFormat="1" ht="17.5" customHeight="1">
      <c r="A2705" s="109" t="s">
        <v>7375</v>
      </c>
      <c r="B2705" s="109" t="s">
        <v>7376</v>
      </c>
      <c r="C2705" s="113">
        <v>2019</v>
      </c>
      <c r="D2705" s="112">
        <v>883</v>
      </c>
      <c r="E2705" s="112">
        <v>3057.5920569999998</v>
      </c>
      <c r="F2705" s="112">
        <v>1377.343922</v>
      </c>
      <c r="G2705" s="112">
        <v>1797.8102200000001</v>
      </c>
      <c r="H2705" s="112">
        <v>691.54790300000002</v>
      </c>
      <c r="I2705" s="112">
        <v>166.804405</v>
      </c>
      <c r="J2705" s="112">
        <v>175.52934200000001</v>
      </c>
      <c r="K2705" s="112">
        <v>8.7249370000000006</v>
      </c>
      <c r="L2705" s="112">
        <v>508.94069100000002</v>
      </c>
      <c r="M2705" s="112">
        <v>467.40559500000001</v>
      </c>
      <c r="N2705" s="112">
        <v>41.535096000000003</v>
      </c>
      <c r="O2705" s="110"/>
      <c r="P2705" s="110"/>
      <c r="Q2705" s="110"/>
    </row>
    <row r="2706" spans="1:17" s="119" customFormat="1" ht="17.5" customHeight="1">
      <c r="A2706" s="114" t="s">
        <v>7375</v>
      </c>
      <c r="B2706" s="114" t="s">
        <v>7376</v>
      </c>
      <c r="C2706" s="113">
        <v>2020</v>
      </c>
      <c r="D2706" s="112">
        <v>858</v>
      </c>
      <c r="E2706" s="112">
        <v>2732.1450070000001</v>
      </c>
      <c r="F2706" s="112">
        <v>1061.5311139999999</v>
      </c>
      <c r="G2706" s="112">
        <v>1693.527114</v>
      </c>
      <c r="H2706" s="112">
        <v>675.04085899999995</v>
      </c>
      <c r="I2706" s="112">
        <v>187.36307300000001</v>
      </c>
      <c r="J2706" s="112">
        <v>189.66649699999999</v>
      </c>
      <c r="K2706" s="112">
        <v>2.3034249999999998</v>
      </c>
      <c r="L2706" s="112">
        <v>457.17389400000002</v>
      </c>
      <c r="M2706" s="112">
        <v>449.14944400000002</v>
      </c>
      <c r="N2706" s="112">
        <v>8.0244499999999999</v>
      </c>
      <c r="O2706" s="110"/>
      <c r="P2706" s="110"/>
      <c r="Q2706" s="110"/>
    </row>
    <row r="2707" spans="1:17" s="119" customFormat="1" ht="17.5" customHeight="1">
      <c r="A2707" s="109" t="s">
        <v>7377</v>
      </c>
      <c r="B2707" s="109" t="s">
        <v>7378</v>
      </c>
      <c r="C2707" s="98">
        <v>2008</v>
      </c>
      <c r="D2707" s="99">
        <v>659</v>
      </c>
      <c r="E2707" s="99">
        <v>2627</v>
      </c>
      <c r="F2707" s="99">
        <v>1012</v>
      </c>
      <c r="G2707" s="99">
        <v>1636</v>
      </c>
      <c r="H2707" s="99">
        <v>486</v>
      </c>
      <c r="I2707" s="99">
        <v>70</v>
      </c>
      <c r="J2707" s="99">
        <v>86</v>
      </c>
      <c r="K2707" s="99">
        <v>16</v>
      </c>
      <c r="L2707" s="99">
        <v>316</v>
      </c>
      <c r="M2707" s="99">
        <v>294</v>
      </c>
      <c r="N2707" s="99">
        <v>23</v>
      </c>
      <c r="O2707" s="100"/>
      <c r="P2707" s="100"/>
      <c r="Q2707" s="100"/>
    </row>
    <row r="2708" spans="1:17" s="119" customFormat="1" ht="17.5" customHeight="1">
      <c r="A2708" s="109" t="s">
        <v>7377</v>
      </c>
      <c r="B2708" s="109" t="s">
        <v>7378</v>
      </c>
      <c r="C2708" s="98">
        <v>2009</v>
      </c>
      <c r="D2708" s="99">
        <v>626</v>
      </c>
      <c r="E2708" s="99">
        <v>2137</v>
      </c>
      <c r="F2708" s="99">
        <v>645</v>
      </c>
      <c r="G2708" s="99">
        <v>1457</v>
      </c>
      <c r="H2708" s="99">
        <v>483</v>
      </c>
      <c r="I2708" s="99">
        <v>27</v>
      </c>
      <c r="J2708" s="99">
        <v>40</v>
      </c>
      <c r="K2708" s="99">
        <v>13</v>
      </c>
      <c r="L2708" s="99">
        <v>274</v>
      </c>
      <c r="M2708" s="99">
        <v>308</v>
      </c>
      <c r="N2708" s="99">
        <v>-34</v>
      </c>
      <c r="O2708" s="110"/>
      <c r="P2708" s="110"/>
      <c r="Q2708" s="110"/>
    </row>
    <row r="2709" spans="1:17" s="119" customFormat="1" ht="17.5" customHeight="1">
      <c r="A2709" s="109" t="s">
        <v>7377</v>
      </c>
      <c r="B2709" s="109" t="s">
        <v>7378</v>
      </c>
      <c r="C2709" s="98">
        <v>2010</v>
      </c>
      <c r="D2709" s="99">
        <v>595</v>
      </c>
      <c r="E2709" s="99">
        <v>2625</v>
      </c>
      <c r="F2709" s="99">
        <v>1030</v>
      </c>
      <c r="G2709" s="99">
        <v>1603</v>
      </c>
      <c r="H2709" s="99">
        <v>471</v>
      </c>
      <c r="I2709" s="99">
        <v>77</v>
      </c>
      <c r="J2709" s="99">
        <v>92</v>
      </c>
      <c r="K2709" s="99">
        <v>14</v>
      </c>
      <c r="L2709" s="99">
        <v>283</v>
      </c>
      <c r="M2709" s="99">
        <v>278</v>
      </c>
      <c r="N2709" s="99">
        <v>5</v>
      </c>
      <c r="O2709" s="100"/>
      <c r="P2709" s="100"/>
      <c r="Q2709" s="100"/>
    </row>
    <row r="2710" spans="1:17" s="119" customFormat="1" ht="17.5" customHeight="1">
      <c r="A2710" s="109" t="s">
        <v>7377</v>
      </c>
      <c r="B2710" s="109" t="s">
        <v>7378</v>
      </c>
      <c r="C2710" s="98">
        <v>2011</v>
      </c>
      <c r="D2710" s="99">
        <v>570</v>
      </c>
      <c r="E2710" s="99">
        <v>2594</v>
      </c>
      <c r="F2710" s="99">
        <v>991</v>
      </c>
      <c r="G2710" s="99">
        <v>1632</v>
      </c>
      <c r="H2710" s="99">
        <v>433</v>
      </c>
      <c r="I2710" s="99">
        <v>94</v>
      </c>
      <c r="J2710" s="99">
        <v>108</v>
      </c>
      <c r="K2710" s="99">
        <v>13</v>
      </c>
      <c r="L2710" s="99">
        <v>319</v>
      </c>
      <c r="M2710" s="99">
        <v>289</v>
      </c>
      <c r="N2710" s="99">
        <v>30</v>
      </c>
      <c r="O2710" s="100"/>
      <c r="P2710" s="100"/>
      <c r="Q2710" s="100"/>
    </row>
    <row r="2711" spans="1:17" s="119" customFormat="1" ht="17.5" customHeight="1">
      <c r="A2711" s="109" t="s">
        <v>7377</v>
      </c>
      <c r="B2711" s="109" t="s">
        <v>7378</v>
      </c>
      <c r="C2711" s="111">
        <v>2012</v>
      </c>
      <c r="D2711" s="112">
        <v>567</v>
      </c>
      <c r="E2711" s="112">
        <v>2113</v>
      </c>
      <c r="F2711" s="112">
        <v>940</v>
      </c>
      <c r="G2711" s="112">
        <v>1131</v>
      </c>
      <c r="H2711" s="112">
        <v>570</v>
      </c>
      <c r="I2711" s="112">
        <v>90</v>
      </c>
      <c r="J2711" s="112">
        <v>117</v>
      </c>
      <c r="K2711" s="112">
        <v>26</v>
      </c>
      <c r="L2711" s="112">
        <v>255</v>
      </c>
      <c r="M2711" s="112">
        <v>296</v>
      </c>
      <c r="N2711" s="112">
        <v>-40</v>
      </c>
      <c r="O2711" s="110"/>
      <c r="P2711" s="110"/>
      <c r="Q2711" s="110"/>
    </row>
    <row r="2712" spans="1:17" s="119" customFormat="1" ht="17.5" customHeight="1">
      <c r="A2712" s="109" t="s">
        <v>7377</v>
      </c>
      <c r="B2712" s="109" t="s">
        <v>7378</v>
      </c>
      <c r="C2712" s="113">
        <v>2013</v>
      </c>
      <c r="D2712" s="112">
        <v>592</v>
      </c>
      <c r="E2712" s="112">
        <v>2119</v>
      </c>
      <c r="F2712" s="112">
        <v>845</v>
      </c>
      <c r="G2712" s="112">
        <v>1245</v>
      </c>
      <c r="H2712" s="112">
        <v>487</v>
      </c>
      <c r="I2712" s="112">
        <v>27</v>
      </c>
      <c r="J2712" s="112">
        <v>49</v>
      </c>
      <c r="K2712" s="112">
        <v>22</v>
      </c>
      <c r="L2712" s="112">
        <v>226</v>
      </c>
      <c r="M2712" s="112">
        <v>256</v>
      </c>
      <c r="N2712" s="112">
        <v>-30</v>
      </c>
      <c r="O2712" s="110"/>
      <c r="P2712" s="110"/>
      <c r="Q2712" s="110"/>
    </row>
    <row r="2713" spans="1:17" s="119" customFormat="1" ht="17.5" customHeight="1">
      <c r="A2713" s="109" t="s">
        <v>7377</v>
      </c>
      <c r="B2713" s="109" t="s">
        <v>7378</v>
      </c>
      <c r="C2713" s="113">
        <v>2014</v>
      </c>
      <c r="D2713" s="99">
        <v>593</v>
      </c>
      <c r="E2713" s="99">
        <v>1514</v>
      </c>
      <c r="F2713" s="99">
        <v>574</v>
      </c>
      <c r="G2713" s="99">
        <v>953</v>
      </c>
      <c r="H2713" s="99">
        <v>450</v>
      </c>
      <c r="I2713" s="99">
        <v>45</v>
      </c>
      <c r="J2713" s="99">
        <v>53</v>
      </c>
      <c r="K2713" s="99">
        <v>8</v>
      </c>
      <c r="L2713" s="99">
        <v>211</v>
      </c>
      <c r="M2713" s="99">
        <v>202</v>
      </c>
      <c r="N2713" s="99">
        <v>10</v>
      </c>
      <c r="O2713" s="117"/>
      <c r="P2713" s="117"/>
      <c r="Q2713" s="117"/>
    </row>
    <row r="2714" spans="1:17" s="119" customFormat="1" ht="17.5" customHeight="1">
      <c r="A2714" s="109" t="s">
        <v>7377</v>
      </c>
      <c r="B2714" s="109" t="s">
        <v>7378</v>
      </c>
      <c r="C2714" s="113">
        <v>2015</v>
      </c>
      <c r="D2714" s="112">
        <v>599</v>
      </c>
      <c r="E2714" s="112">
        <v>1564</v>
      </c>
      <c r="F2714" s="112">
        <v>595</v>
      </c>
      <c r="G2714" s="112">
        <v>974</v>
      </c>
      <c r="H2714" s="112">
        <v>404</v>
      </c>
      <c r="I2714" s="112">
        <v>60</v>
      </c>
      <c r="J2714" s="112">
        <v>63</v>
      </c>
      <c r="K2714" s="112">
        <v>3</v>
      </c>
      <c r="L2714" s="112">
        <v>199</v>
      </c>
      <c r="M2714" s="112">
        <v>200</v>
      </c>
      <c r="N2714" s="112">
        <v>-2</v>
      </c>
      <c r="O2714" s="117"/>
      <c r="P2714" s="117"/>
      <c r="Q2714" s="117"/>
    </row>
    <row r="2715" spans="1:17" s="119" customFormat="1" ht="17.5" customHeight="1">
      <c r="A2715" s="109" t="s">
        <v>7377</v>
      </c>
      <c r="B2715" s="109" t="s">
        <v>7378</v>
      </c>
      <c r="C2715" s="113">
        <v>2016</v>
      </c>
      <c r="D2715" s="112">
        <v>604</v>
      </c>
      <c r="E2715" s="112">
        <v>1768</v>
      </c>
      <c r="F2715" s="112">
        <v>859</v>
      </c>
      <c r="G2715" s="112">
        <v>941</v>
      </c>
      <c r="H2715" s="112">
        <v>443</v>
      </c>
      <c r="I2715" s="112">
        <v>75</v>
      </c>
      <c r="J2715" s="112">
        <v>82</v>
      </c>
      <c r="K2715" s="112">
        <v>7</v>
      </c>
      <c r="L2715" s="112">
        <v>303</v>
      </c>
      <c r="M2715" s="112">
        <v>275</v>
      </c>
      <c r="N2715" s="112">
        <v>28</v>
      </c>
      <c r="O2715" s="117"/>
      <c r="P2715" s="117"/>
      <c r="Q2715" s="117"/>
    </row>
    <row r="2716" spans="1:17" s="119" customFormat="1" ht="17.5" customHeight="1">
      <c r="A2716" s="109" t="s">
        <v>7377</v>
      </c>
      <c r="B2716" s="109" t="s">
        <v>7378</v>
      </c>
      <c r="C2716" s="113">
        <v>2017</v>
      </c>
      <c r="D2716" s="112">
        <v>591</v>
      </c>
      <c r="E2716" s="112">
        <v>1840</v>
      </c>
      <c r="F2716" s="112">
        <v>839</v>
      </c>
      <c r="G2716" s="112">
        <v>1005</v>
      </c>
      <c r="H2716" s="112">
        <v>436</v>
      </c>
      <c r="I2716" s="112">
        <v>74</v>
      </c>
      <c r="J2716" s="112">
        <v>79</v>
      </c>
      <c r="K2716" s="112">
        <v>5</v>
      </c>
      <c r="L2716" s="112">
        <v>250</v>
      </c>
      <c r="M2716" s="112">
        <v>251</v>
      </c>
      <c r="N2716" s="112">
        <v>-1</v>
      </c>
      <c r="O2716" s="117"/>
      <c r="P2716" s="117"/>
      <c r="Q2716" s="117"/>
    </row>
    <row r="2717" spans="1:17" s="119" customFormat="1" ht="17.5" customHeight="1">
      <c r="A2717" s="109" t="s">
        <v>7377</v>
      </c>
      <c r="B2717" s="109" t="s">
        <v>7378</v>
      </c>
      <c r="C2717" s="113">
        <v>2018</v>
      </c>
      <c r="D2717" s="112">
        <v>588</v>
      </c>
      <c r="E2717" s="112">
        <v>1944</v>
      </c>
      <c r="F2717" s="112">
        <v>892</v>
      </c>
      <c r="G2717" s="112">
        <v>1081</v>
      </c>
      <c r="H2717" s="112">
        <v>436</v>
      </c>
      <c r="I2717" s="112">
        <v>96</v>
      </c>
      <c r="J2717" s="112">
        <v>102</v>
      </c>
      <c r="K2717" s="112">
        <v>6</v>
      </c>
      <c r="L2717" s="112">
        <v>282</v>
      </c>
      <c r="M2717" s="112">
        <v>256</v>
      </c>
      <c r="N2717" s="112">
        <v>26</v>
      </c>
      <c r="O2717" s="110"/>
      <c r="P2717" s="110"/>
      <c r="Q2717" s="110"/>
    </row>
    <row r="2718" spans="1:17" s="119" customFormat="1" ht="17.5" customHeight="1">
      <c r="A2718" s="109" t="s">
        <v>7377</v>
      </c>
      <c r="B2718" s="109" t="s">
        <v>7378</v>
      </c>
      <c r="C2718" s="113">
        <v>2019</v>
      </c>
      <c r="D2718" s="112">
        <v>583</v>
      </c>
      <c r="E2718" s="112">
        <v>2112.6019860000001</v>
      </c>
      <c r="F2718" s="112">
        <v>988.25656800000002</v>
      </c>
      <c r="G2718" s="112">
        <v>1189.7220460000001</v>
      </c>
      <c r="H2718" s="112">
        <v>486.53527500000001</v>
      </c>
      <c r="I2718" s="112">
        <v>125.49255700000001</v>
      </c>
      <c r="J2718" s="112">
        <v>126.77222500000001</v>
      </c>
      <c r="K2718" s="112">
        <v>1.279668</v>
      </c>
      <c r="L2718" s="112">
        <v>360.60674399999999</v>
      </c>
      <c r="M2718" s="112">
        <v>306.18486899999999</v>
      </c>
      <c r="N2718" s="112">
        <v>54.421875</v>
      </c>
      <c r="O2718" s="110"/>
      <c r="P2718" s="110"/>
      <c r="Q2718" s="110"/>
    </row>
    <row r="2719" spans="1:17" s="119" customFormat="1" ht="17.5" customHeight="1">
      <c r="A2719" s="114" t="s">
        <v>7377</v>
      </c>
      <c r="B2719" s="114" t="s">
        <v>7378</v>
      </c>
      <c r="C2719" s="113">
        <v>2020</v>
      </c>
      <c r="D2719" s="112">
        <v>555</v>
      </c>
      <c r="E2719" s="112">
        <v>1596.8313049999999</v>
      </c>
      <c r="F2719" s="112">
        <v>613.57468900000003</v>
      </c>
      <c r="G2719" s="112">
        <v>1000.003551</v>
      </c>
      <c r="H2719" s="112">
        <v>429.96597000000003</v>
      </c>
      <c r="I2719" s="112">
        <v>143.73524399999999</v>
      </c>
      <c r="J2719" s="112">
        <v>145.20052000000001</v>
      </c>
      <c r="K2719" s="112">
        <v>1.465276</v>
      </c>
      <c r="L2719" s="112">
        <v>281.19221199999998</v>
      </c>
      <c r="M2719" s="112">
        <v>277.91262799999998</v>
      </c>
      <c r="N2719" s="112">
        <v>3.2795839999999998</v>
      </c>
      <c r="O2719" s="100"/>
      <c r="P2719" s="100"/>
      <c r="Q2719" s="100"/>
    </row>
    <row r="2720" spans="1:17" s="119" customFormat="1" ht="17.5" customHeight="1">
      <c r="A2720" s="109" t="s">
        <v>7379</v>
      </c>
      <c r="B2720" s="109" t="s">
        <v>7380</v>
      </c>
      <c r="C2720" s="98">
        <v>2008</v>
      </c>
      <c r="D2720" s="99">
        <v>460</v>
      </c>
      <c r="E2720" s="99">
        <v>1382</v>
      </c>
      <c r="F2720" s="99">
        <v>653</v>
      </c>
      <c r="G2720" s="99">
        <v>746</v>
      </c>
      <c r="H2720" s="99">
        <v>335</v>
      </c>
      <c r="I2720" s="99">
        <v>9</v>
      </c>
      <c r="J2720" s="99">
        <v>21</v>
      </c>
      <c r="K2720" s="99">
        <v>12</v>
      </c>
      <c r="L2720" s="99">
        <v>149</v>
      </c>
      <c r="M2720" s="99">
        <v>131</v>
      </c>
      <c r="N2720" s="99">
        <v>18</v>
      </c>
      <c r="O2720" s="110"/>
      <c r="P2720" s="110"/>
      <c r="Q2720" s="110"/>
    </row>
    <row r="2721" spans="1:17" s="119" customFormat="1" ht="17.5" customHeight="1">
      <c r="A2721" s="109" t="s">
        <v>7379</v>
      </c>
      <c r="B2721" s="109" t="s">
        <v>7380</v>
      </c>
      <c r="C2721" s="98">
        <v>2009</v>
      </c>
      <c r="D2721" s="99">
        <v>339</v>
      </c>
      <c r="E2721" s="99">
        <v>757</v>
      </c>
      <c r="F2721" s="99">
        <v>341</v>
      </c>
      <c r="G2721" s="99">
        <v>408</v>
      </c>
      <c r="H2721" s="99">
        <v>166</v>
      </c>
      <c r="I2721" s="99">
        <v>12</v>
      </c>
      <c r="J2721" s="99">
        <v>16</v>
      </c>
      <c r="K2721" s="99">
        <v>4</v>
      </c>
      <c r="L2721" s="99">
        <v>74</v>
      </c>
      <c r="M2721" s="99">
        <v>82</v>
      </c>
      <c r="N2721" s="99">
        <v>-8</v>
      </c>
      <c r="O2721" s="100"/>
      <c r="P2721" s="100"/>
      <c r="Q2721" s="100"/>
    </row>
    <row r="2722" spans="1:17" s="119" customFormat="1" ht="17.5" customHeight="1">
      <c r="A2722" s="109" t="s">
        <v>7379</v>
      </c>
      <c r="B2722" s="109" t="s">
        <v>7380</v>
      </c>
      <c r="C2722" s="98">
        <v>2010</v>
      </c>
      <c r="D2722" s="99">
        <v>348</v>
      </c>
      <c r="E2722" s="99">
        <v>1054</v>
      </c>
      <c r="F2722" s="99">
        <v>394</v>
      </c>
      <c r="G2722" s="99">
        <v>675</v>
      </c>
      <c r="H2722" s="99">
        <v>228</v>
      </c>
      <c r="I2722" s="99">
        <v>11</v>
      </c>
      <c r="J2722" s="99">
        <v>19</v>
      </c>
      <c r="K2722" s="99">
        <v>8</v>
      </c>
      <c r="L2722" s="99">
        <v>113</v>
      </c>
      <c r="M2722" s="99">
        <v>98</v>
      </c>
      <c r="N2722" s="99">
        <v>15</v>
      </c>
      <c r="O2722" s="100"/>
      <c r="P2722" s="100"/>
      <c r="Q2722" s="100"/>
    </row>
    <row r="2723" spans="1:17" s="119" customFormat="1" ht="17.5" customHeight="1">
      <c r="A2723" s="109" t="s">
        <v>7379</v>
      </c>
      <c r="B2723" s="109" t="s">
        <v>7380</v>
      </c>
      <c r="C2723" s="98">
        <v>2011</v>
      </c>
      <c r="D2723" s="99">
        <v>355</v>
      </c>
      <c r="E2723" s="99">
        <v>1162</v>
      </c>
      <c r="F2723" s="99">
        <v>439</v>
      </c>
      <c r="G2723" s="99">
        <v>729</v>
      </c>
      <c r="H2723" s="99">
        <v>265</v>
      </c>
      <c r="I2723" s="99">
        <v>6</v>
      </c>
      <c r="J2723" s="99">
        <v>15</v>
      </c>
      <c r="K2723" s="99">
        <v>10</v>
      </c>
      <c r="L2723" s="99">
        <v>130</v>
      </c>
      <c r="M2723" s="99">
        <v>123</v>
      </c>
      <c r="N2723" s="99">
        <v>7</v>
      </c>
      <c r="O2723" s="110"/>
      <c r="P2723" s="110"/>
      <c r="Q2723" s="110"/>
    </row>
    <row r="2724" spans="1:17" s="119" customFormat="1" ht="17.5" customHeight="1">
      <c r="A2724" s="109" t="s">
        <v>7379</v>
      </c>
      <c r="B2724" s="109" t="s">
        <v>7380</v>
      </c>
      <c r="C2724" s="111">
        <v>2012</v>
      </c>
      <c r="D2724" s="112">
        <v>335</v>
      </c>
      <c r="E2724" s="112">
        <v>1264</v>
      </c>
      <c r="F2724" s="112">
        <v>440</v>
      </c>
      <c r="G2724" s="112">
        <v>812</v>
      </c>
      <c r="H2724" s="112">
        <v>238</v>
      </c>
      <c r="I2724" s="112">
        <v>14</v>
      </c>
      <c r="J2724" s="112">
        <v>20</v>
      </c>
      <c r="K2724" s="112">
        <v>7</v>
      </c>
      <c r="L2724" s="112">
        <v>136</v>
      </c>
      <c r="M2724" s="112">
        <v>150</v>
      </c>
      <c r="N2724" s="112">
        <v>-14</v>
      </c>
      <c r="O2724" s="110"/>
      <c r="P2724" s="110"/>
      <c r="Q2724" s="110"/>
    </row>
    <row r="2725" spans="1:17" s="119" customFormat="1" ht="17.5" customHeight="1">
      <c r="A2725" s="109" t="s">
        <v>7379</v>
      </c>
      <c r="B2725" s="109" t="s">
        <v>7380</v>
      </c>
      <c r="C2725" s="113">
        <v>2013</v>
      </c>
      <c r="D2725" s="112">
        <v>337</v>
      </c>
      <c r="E2725" s="112">
        <v>1194</v>
      </c>
      <c r="F2725" s="112">
        <v>406</v>
      </c>
      <c r="G2725" s="112">
        <v>785</v>
      </c>
      <c r="H2725" s="112">
        <v>234</v>
      </c>
      <c r="I2725" s="112">
        <v>15</v>
      </c>
      <c r="J2725" s="112">
        <v>21</v>
      </c>
      <c r="K2725" s="112">
        <v>6</v>
      </c>
      <c r="L2725" s="112">
        <v>153</v>
      </c>
      <c r="M2725" s="112">
        <v>155</v>
      </c>
      <c r="N2725" s="112">
        <v>-2</v>
      </c>
      <c r="O2725" s="117"/>
      <c r="P2725" s="117"/>
      <c r="Q2725" s="117"/>
    </row>
    <row r="2726" spans="1:17" s="119" customFormat="1" ht="17.5" customHeight="1">
      <c r="A2726" s="109" t="s">
        <v>7379</v>
      </c>
      <c r="B2726" s="109" t="s">
        <v>7380</v>
      </c>
      <c r="C2726" s="113">
        <v>2014</v>
      </c>
      <c r="D2726" s="99">
        <v>333</v>
      </c>
      <c r="E2726" s="99">
        <v>879</v>
      </c>
      <c r="F2726" s="99">
        <v>272</v>
      </c>
      <c r="G2726" s="99">
        <v>602</v>
      </c>
      <c r="H2726" s="99">
        <v>284</v>
      </c>
      <c r="I2726" s="99">
        <v>20</v>
      </c>
      <c r="J2726" s="99">
        <v>21</v>
      </c>
      <c r="K2726" s="99">
        <v>1</v>
      </c>
      <c r="L2726" s="99">
        <v>122</v>
      </c>
      <c r="M2726" s="99">
        <v>127</v>
      </c>
      <c r="N2726" s="99">
        <v>-6</v>
      </c>
      <c r="O2726" s="117"/>
      <c r="P2726" s="117"/>
      <c r="Q2726" s="117"/>
    </row>
    <row r="2727" spans="1:17" s="119" customFormat="1" ht="17.5" customHeight="1">
      <c r="A2727" s="109" t="s">
        <v>7379</v>
      </c>
      <c r="B2727" s="109" t="s">
        <v>7380</v>
      </c>
      <c r="C2727" s="113">
        <v>2015</v>
      </c>
      <c r="D2727" s="112">
        <v>320</v>
      </c>
      <c r="E2727" s="112">
        <v>832</v>
      </c>
      <c r="F2727" s="112">
        <v>360</v>
      </c>
      <c r="G2727" s="112">
        <v>473</v>
      </c>
      <c r="H2727" s="112">
        <v>191</v>
      </c>
      <c r="I2727" s="112">
        <v>25</v>
      </c>
      <c r="J2727" s="112">
        <v>25</v>
      </c>
      <c r="K2727" s="112">
        <v>1</v>
      </c>
      <c r="L2727" s="112">
        <v>120</v>
      </c>
      <c r="M2727" s="112">
        <v>127</v>
      </c>
      <c r="N2727" s="112">
        <v>-7</v>
      </c>
      <c r="O2727" s="117"/>
      <c r="P2727" s="117"/>
      <c r="Q2727" s="117"/>
    </row>
    <row r="2728" spans="1:17" s="119" customFormat="1" ht="17.5" customHeight="1">
      <c r="A2728" s="109" t="s">
        <v>7379</v>
      </c>
      <c r="B2728" s="109" t="s">
        <v>7380</v>
      </c>
      <c r="C2728" s="113">
        <v>2016</v>
      </c>
      <c r="D2728" s="112">
        <v>310</v>
      </c>
      <c r="E2728" s="112">
        <v>920</v>
      </c>
      <c r="F2728" s="112">
        <v>345</v>
      </c>
      <c r="G2728" s="112">
        <v>596</v>
      </c>
      <c r="H2728" s="112">
        <v>217</v>
      </c>
      <c r="I2728" s="112">
        <v>43</v>
      </c>
      <c r="J2728" s="112">
        <v>45</v>
      </c>
      <c r="K2728" s="112">
        <v>1</v>
      </c>
      <c r="L2728" s="112">
        <v>117</v>
      </c>
      <c r="M2728" s="112">
        <v>110</v>
      </c>
      <c r="N2728" s="112">
        <v>7</v>
      </c>
      <c r="O2728" s="117"/>
      <c r="P2728" s="117"/>
      <c r="Q2728" s="117"/>
    </row>
    <row r="2729" spans="1:17" s="119" customFormat="1" ht="17.5" customHeight="1">
      <c r="A2729" s="109" t="s">
        <v>7379</v>
      </c>
      <c r="B2729" s="109" t="s">
        <v>7380</v>
      </c>
      <c r="C2729" s="113">
        <v>2017</v>
      </c>
      <c r="D2729" s="112">
        <v>304</v>
      </c>
      <c r="E2729" s="112">
        <v>1037</v>
      </c>
      <c r="F2729" s="112">
        <v>430</v>
      </c>
      <c r="G2729" s="112">
        <v>650</v>
      </c>
      <c r="H2729" s="112">
        <v>205</v>
      </c>
      <c r="I2729" s="112">
        <v>42</v>
      </c>
      <c r="J2729" s="112">
        <v>44</v>
      </c>
      <c r="K2729" s="112">
        <v>2</v>
      </c>
      <c r="L2729" s="112">
        <v>155</v>
      </c>
      <c r="M2729" s="112">
        <v>138</v>
      </c>
      <c r="N2729" s="112">
        <v>17</v>
      </c>
      <c r="O2729" s="110"/>
      <c r="P2729" s="110"/>
      <c r="Q2729" s="110"/>
    </row>
    <row r="2730" spans="1:17" s="119" customFormat="1" ht="17.5" customHeight="1">
      <c r="A2730" s="109" t="s">
        <v>7379</v>
      </c>
      <c r="B2730" s="109" t="s">
        <v>7380</v>
      </c>
      <c r="C2730" s="113">
        <v>2018</v>
      </c>
      <c r="D2730" s="112">
        <v>301</v>
      </c>
      <c r="E2730" s="112">
        <v>980</v>
      </c>
      <c r="F2730" s="112">
        <v>385</v>
      </c>
      <c r="G2730" s="112">
        <v>622</v>
      </c>
      <c r="H2730" s="112">
        <v>207</v>
      </c>
      <c r="I2730" s="112">
        <v>31</v>
      </c>
      <c r="J2730" s="112">
        <v>34</v>
      </c>
      <c r="K2730" s="112">
        <v>3</v>
      </c>
      <c r="L2730" s="112">
        <v>182</v>
      </c>
      <c r="M2730" s="112">
        <v>154</v>
      </c>
      <c r="N2730" s="112">
        <v>28</v>
      </c>
      <c r="O2730" s="110"/>
      <c r="P2730" s="110"/>
      <c r="Q2730" s="110"/>
    </row>
    <row r="2731" spans="1:17" s="119" customFormat="1" ht="17.5" customHeight="1">
      <c r="A2731" s="109" t="s">
        <v>7379</v>
      </c>
      <c r="B2731" s="109" t="s">
        <v>7380</v>
      </c>
      <c r="C2731" s="113">
        <v>2019</v>
      </c>
      <c r="D2731" s="112">
        <v>300</v>
      </c>
      <c r="E2731" s="112">
        <v>944.99006999999995</v>
      </c>
      <c r="F2731" s="112">
        <v>389.087354</v>
      </c>
      <c r="G2731" s="112">
        <v>608.08817399999998</v>
      </c>
      <c r="H2731" s="112">
        <v>205.01262800000001</v>
      </c>
      <c r="I2731" s="112">
        <v>41.311847999999998</v>
      </c>
      <c r="J2731" s="112">
        <v>48.757117000000001</v>
      </c>
      <c r="K2731" s="112">
        <v>7.4452680000000004</v>
      </c>
      <c r="L2731" s="112">
        <v>148.33394699999999</v>
      </c>
      <c r="M2731" s="112">
        <v>161.22072600000001</v>
      </c>
      <c r="N2731" s="112">
        <v>-12.886779000000001</v>
      </c>
      <c r="O2731" s="100"/>
      <c r="P2731" s="100"/>
      <c r="Q2731" s="100"/>
    </row>
    <row r="2732" spans="1:17" s="119" customFormat="1" ht="17.5" customHeight="1">
      <c r="A2732" s="114" t="s">
        <v>7379</v>
      </c>
      <c r="B2732" s="114" t="s">
        <v>7380</v>
      </c>
      <c r="C2732" s="113">
        <v>2020</v>
      </c>
      <c r="D2732" s="112">
        <v>303</v>
      </c>
      <c r="E2732" s="112">
        <v>1135.3137019999999</v>
      </c>
      <c r="F2732" s="112">
        <v>447.95642500000002</v>
      </c>
      <c r="G2732" s="112">
        <v>693.52356299999997</v>
      </c>
      <c r="H2732" s="112">
        <v>245.07488900000001</v>
      </c>
      <c r="I2732" s="112">
        <v>43.627828999999998</v>
      </c>
      <c r="J2732" s="112">
        <v>44.465978</v>
      </c>
      <c r="K2732" s="112">
        <v>0.83814900000000003</v>
      </c>
      <c r="L2732" s="112">
        <v>175.981683</v>
      </c>
      <c r="M2732" s="112">
        <v>171.236816</v>
      </c>
      <c r="N2732" s="112">
        <v>4.7448670000000002</v>
      </c>
      <c r="O2732" s="110"/>
      <c r="P2732" s="110"/>
      <c r="Q2732" s="110"/>
    </row>
    <row r="2733" spans="1:17" s="119" customFormat="1" ht="31.75" customHeight="1">
      <c r="A2733" s="109" t="s">
        <v>7381</v>
      </c>
      <c r="B2733" s="109" t="s">
        <v>7382</v>
      </c>
      <c r="C2733" s="98">
        <v>2008</v>
      </c>
      <c r="D2733" s="99">
        <v>801</v>
      </c>
      <c r="E2733" s="99">
        <v>2424</v>
      </c>
      <c r="F2733" s="99">
        <v>689</v>
      </c>
      <c r="G2733" s="99">
        <v>1781</v>
      </c>
      <c r="H2733" s="99">
        <v>463</v>
      </c>
      <c r="I2733" s="99">
        <v>61</v>
      </c>
      <c r="J2733" s="99">
        <v>74</v>
      </c>
      <c r="K2733" s="99">
        <v>13</v>
      </c>
      <c r="L2733" s="99">
        <v>222</v>
      </c>
      <c r="M2733" s="99">
        <v>172</v>
      </c>
      <c r="N2733" s="99">
        <v>51</v>
      </c>
      <c r="O2733" s="100"/>
      <c r="P2733" s="100"/>
      <c r="Q2733" s="100"/>
    </row>
    <row r="2734" spans="1:17" s="119" customFormat="1" ht="31.75" customHeight="1">
      <c r="A2734" s="109" t="s">
        <v>7381</v>
      </c>
      <c r="B2734" s="109" t="s">
        <v>7382</v>
      </c>
      <c r="C2734" s="98">
        <v>2009</v>
      </c>
      <c r="D2734" s="99">
        <v>947</v>
      </c>
      <c r="E2734" s="99">
        <v>1745</v>
      </c>
      <c r="F2734" s="99">
        <v>597</v>
      </c>
      <c r="G2734" s="99">
        <v>1147</v>
      </c>
      <c r="H2734" s="99">
        <v>344</v>
      </c>
      <c r="I2734" s="99">
        <v>73</v>
      </c>
      <c r="J2734" s="99">
        <v>88</v>
      </c>
      <c r="K2734" s="99">
        <v>15</v>
      </c>
      <c r="L2734" s="99">
        <v>170</v>
      </c>
      <c r="M2734" s="99">
        <v>162</v>
      </c>
      <c r="N2734" s="99">
        <v>7</v>
      </c>
      <c r="O2734" s="100"/>
      <c r="P2734" s="100"/>
      <c r="Q2734" s="100"/>
    </row>
    <row r="2735" spans="1:17" s="119" customFormat="1" ht="31.75" customHeight="1">
      <c r="A2735" s="109" t="s">
        <v>7381</v>
      </c>
      <c r="B2735" s="109" t="s">
        <v>7382</v>
      </c>
      <c r="C2735" s="98">
        <v>2010</v>
      </c>
      <c r="D2735" s="99">
        <v>828</v>
      </c>
      <c r="E2735" s="99">
        <v>2630</v>
      </c>
      <c r="F2735" s="99">
        <v>992</v>
      </c>
      <c r="G2735" s="99">
        <v>1660</v>
      </c>
      <c r="H2735" s="99">
        <v>356</v>
      </c>
      <c r="I2735" s="99">
        <v>98</v>
      </c>
      <c r="J2735" s="99">
        <v>104</v>
      </c>
      <c r="K2735" s="99">
        <v>5</v>
      </c>
      <c r="L2735" s="99">
        <v>248</v>
      </c>
      <c r="M2735" s="99">
        <v>207</v>
      </c>
      <c r="N2735" s="99">
        <v>41</v>
      </c>
      <c r="O2735" s="110"/>
      <c r="P2735" s="110"/>
      <c r="Q2735" s="110"/>
    </row>
    <row r="2736" spans="1:17" s="119" customFormat="1" ht="31.75" customHeight="1">
      <c r="A2736" s="109" t="s">
        <v>7381</v>
      </c>
      <c r="B2736" s="109" t="s">
        <v>7382</v>
      </c>
      <c r="C2736" s="98">
        <v>2011</v>
      </c>
      <c r="D2736" s="99">
        <v>793</v>
      </c>
      <c r="E2736" s="99">
        <v>2231</v>
      </c>
      <c r="F2736" s="99">
        <v>900</v>
      </c>
      <c r="G2736" s="99">
        <v>1305</v>
      </c>
      <c r="H2736" s="99">
        <v>336</v>
      </c>
      <c r="I2736" s="99">
        <v>131</v>
      </c>
      <c r="J2736" s="99">
        <v>135</v>
      </c>
      <c r="K2736" s="99">
        <v>4</v>
      </c>
      <c r="L2736" s="99">
        <v>157</v>
      </c>
      <c r="M2736" s="99">
        <v>182</v>
      </c>
      <c r="N2736" s="99">
        <v>-25</v>
      </c>
      <c r="O2736" s="110"/>
      <c r="P2736" s="110"/>
      <c r="Q2736" s="110"/>
    </row>
    <row r="2737" spans="1:17" s="119" customFormat="1" ht="31.75" customHeight="1">
      <c r="A2737" s="109" t="s">
        <v>7381</v>
      </c>
      <c r="B2737" s="109" t="s">
        <v>7382</v>
      </c>
      <c r="C2737" s="111">
        <v>2012</v>
      </c>
      <c r="D2737" s="112">
        <v>727</v>
      </c>
      <c r="E2737" s="112">
        <v>2114</v>
      </c>
      <c r="F2737" s="112">
        <v>903</v>
      </c>
      <c r="G2737" s="112">
        <v>1211</v>
      </c>
      <c r="H2737" s="112">
        <v>322</v>
      </c>
      <c r="I2737" s="112">
        <v>20</v>
      </c>
      <c r="J2737" s="112">
        <v>25</v>
      </c>
      <c r="K2737" s="112">
        <v>5</v>
      </c>
      <c r="L2737" s="112">
        <v>179</v>
      </c>
      <c r="M2737" s="112">
        <v>180</v>
      </c>
      <c r="N2737" s="112">
        <v>-1</v>
      </c>
      <c r="O2737" s="117"/>
      <c r="P2737" s="117"/>
      <c r="Q2737" s="117"/>
    </row>
    <row r="2738" spans="1:17" s="119" customFormat="1" ht="31.75" customHeight="1">
      <c r="A2738" s="109" t="s">
        <v>7381</v>
      </c>
      <c r="B2738" s="109" t="s">
        <v>7382</v>
      </c>
      <c r="C2738" s="113">
        <v>2013</v>
      </c>
      <c r="D2738" s="112">
        <v>731</v>
      </c>
      <c r="E2738" s="112">
        <v>2035</v>
      </c>
      <c r="F2738" s="112">
        <v>909</v>
      </c>
      <c r="G2738" s="112">
        <v>1123</v>
      </c>
      <c r="H2738" s="112">
        <v>372</v>
      </c>
      <c r="I2738" s="112">
        <v>47</v>
      </c>
      <c r="J2738" s="112">
        <v>53</v>
      </c>
      <c r="K2738" s="112">
        <v>6</v>
      </c>
      <c r="L2738" s="112">
        <v>159</v>
      </c>
      <c r="M2738" s="112">
        <v>164</v>
      </c>
      <c r="N2738" s="112">
        <v>-5</v>
      </c>
      <c r="O2738" s="117"/>
      <c r="P2738" s="117"/>
      <c r="Q2738" s="117"/>
    </row>
    <row r="2739" spans="1:17" s="119" customFormat="1" ht="31.75" customHeight="1">
      <c r="A2739" s="109" t="s">
        <v>7381</v>
      </c>
      <c r="B2739" s="109" t="s">
        <v>7382</v>
      </c>
      <c r="C2739" s="113">
        <v>2014</v>
      </c>
      <c r="D2739" s="99">
        <v>703</v>
      </c>
      <c r="E2739" s="99">
        <v>1715</v>
      </c>
      <c r="F2739" s="99">
        <v>815</v>
      </c>
      <c r="G2739" s="99">
        <v>883</v>
      </c>
      <c r="H2739" s="99">
        <v>333</v>
      </c>
      <c r="I2739" s="99">
        <v>74</v>
      </c>
      <c r="J2739" s="99">
        <v>75</v>
      </c>
      <c r="K2739" s="99">
        <v>2</v>
      </c>
      <c r="L2739" s="99">
        <v>143</v>
      </c>
      <c r="M2739" s="99">
        <v>163</v>
      </c>
      <c r="N2739" s="99">
        <v>-20</v>
      </c>
      <c r="O2739" s="117"/>
      <c r="P2739" s="117"/>
      <c r="Q2739" s="117"/>
    </row>
    <row r="2740" spans="1:17" s="119" customFormat="1" ht="31.75" customHeight="1">
      <c r="A2740" s="109" t="s">
        <v>7381</v>
      </c>
      <c r="B2740" s="109" t="s">
        <v>7382</v>
      </c>
      <c r="C2740" s="113">
        <v>2015</v>
      </c>
      <c r="D2740" s="112">
        <v>870</v>
      </c>
      <c r="E2740" s="112">
        <v>1442</v>
      </c>
      <c r="F2740" s="112">
        <v>671</v>
      </c>
      <c r="G2740" s="112">
        <v>787</v>
      </c>
      <c r="H2740" s="112">
        <v>289</v>
      </c>
      <c r="I2740" s="112">
        <v>40</v>
      </c>
      <c r="J2740" s="112">
        <v>41</v>
      </c>
      <c r="K2740" s="112" t="s">
        <v>6952</v>
      </c>
      <c r="L2740" s="112">
        <v>208</v>
      </c>
      <c r="M2740" s="112">
        <v>193</v>
      </c>
      <c r="N2740" s="112">
        <v>16</v>
      </c>
      <c r="O2740" s="117"/>
      <c r="P2740" s="117"/>
      <c r="Q2740" s="117"/>
    </row>
    <row r="2741" spans="1:17" s="119" customFormat="1" ht="31.75" customHeight="1">
      <c r="A2741" s="109" t="s">
        <v>7381</v>
      </c>
      <c r="B2741" s="109" t="s">
        <v>7382</v>
      </c>
      <c r="C2741" s="113">
        <v>2016</v>
      </c>
      <c r="D2741" s="112">
        <v>867</v>
      </c>
      <c r="E2741" s="112">
        <v>1802</v>
      </c>
      <c r="F2741" s="112">
        <v>642</v>
      </c>
      <c r="G2741" s="112">
        <v>1228</v>
      </c>
      <c r="H2741" s="112">
        <v>273</v>
      </c>
      <c r="I2741" s="112">
        <v>23</v>
      </c>
      <c r="J2741" s="112">
        <v>26</v>
      </c>
      <c r="K2741" s="112">
        <v>3</v>
      </c>
      <c r="L2741" s="112">
        <v>294</v>
      </c>
      <c r="M2741" s="112">
        <v>228</v>
      </c>
      <c r="N2741" s="112">
        <v>66</v>
      </c>
      <c r="O2741" s="110"/>
      <c r="P2741" s="110"/>
      <c r="Q2741" s="110"/>
    </row>
    <row r="2742" spans="1:17" s="119" customFormat="1" ht="31.75" customHeight="1">
      <c r="A2742" s="109" t="s">
        <v>7381</v>
      </c>
      <c r="B2742" s="109" t="s">
        <v>7382</v>
      </c>
      <c r="C2742" s="113">
        <v>2017</v>
      </c>
      <c r="D2742" s="112">
        <v>850</v>
      </c>
      <c r="E2742" s="112">
        <v>1979</v>
      </c>
      <c r="F2742" s="112">
        <v>603</v>
      </c>
      <c r="G2742" s="112">
        <v>1413</v>
      </c>
      <c r="H2742" s="112">
        <v>296</v>
      </c>
      <c r="I2742" s="112">
        <v>71</v>
      </c>
      <c r="J2742" s="112">
        <v>77</v>
      </c>
      <c r="K2742" s="112">
        <v>6</v>
      </c>
      <c r="L2742" s="112">
        <v>296</v>
      </c>
      <c r="M2742" s="112">
        <v>264</v>
      </c>
      <c r="N2742" s="112">
        <v>32</v>
      </c>
      <c r="O2742" s="110"/>
      <c r="P2742" s="110"/>
      <c r="Q2742" s="110"/>
    </row>
    <row r="2743" spans="1:17" s="119" customFormat="1" ht="31.75" customHeight="1">
      <c r="A2743" s="109" t="s">
        <v>7381</v>
      </c>
      <c r="B2743" s="109" t="s">
        <v>7382</v>
      </c>
      <c r="C2743" s="113">
        <v>2018</v>
      </c>
      <c r="D2743" s="112">
        <v>827</v>
      </c>
      <c r="E2743" s="112">
        <v>2464</v>
      </c>
      <c r="F2743" s="112">
        <v>647</v>
      </c>
      <c r="G2743" s="112">
        <v>1847</v>
      </c>
      <c r="H2743" s="112">
        <v>315</v>
      </c>
      <c r="I2743" s="112">
        <v>56</v>
      </c>
      <c r="J2743" s="112">
        <v>60</v>
      </c>
      <c r="K2743" s="112">
        <v>5</v>
      </c>
      <c r="L2743" s="112">
        <v>333</v>
      </c>
      <c r="M2743" s="112">
        <v>301</v>
      </c>
      <c r="N2743" s="112">
        <v>32</v>
      </c>
      <c r="O2743" s="100"/>
      <c r="P2743" s="100"/>
      <c r="Q2743" s="100"/>
    </row>
    <row r="2744" spans="1:17" s="119" customFormat="1" ht="31.75" customHeight="1">
      <c r="A2744" s="109" t="s">
        <v>7381</v>
      </c>
      <c r="B2744" s="109" t="s">
        <v>7382</v>
      </c>
      <c r="C2744" s="113">
        <v>2019</v>
      </c>
      <c r="D2744" s="112">
        <v>758</v>
      </c>
      <c r="E2744" s="112">
        <v>2109.3837789999998</v>
      </c>
      <c r="F2744" s="112">
        <v>669.42866200000003</v>
      </c>
      <c r="G2744" s="112">
        <v>1486.7112030000001</v>
      </c>
      <c r="H2744" s="112">
        <v>329.29848700000002</v>
      </c>
      <c r="I2744" s="112">
        <v>72.864322999999999</v>
      </c>
      <c r="J2744" s="112">
        <v>73.252908000000005</v>
      </c>
      <c r="K2744" s="112" t="s">
        <v>6952</v>
      </c>
      <c r="L2744" s="112">
        <v>347.85711800000001</v>
      </c>
      <c r="M2744" s="112">
        <v>310.94572399999998</v>
      </c>
      <c r="N2744" s="112">
        <v>36.911394000000001</v>
      </c>
      <c r="O2744" s="110"/>
      <c r="P2744" s="110"/>
      <c r="Q2744" s="110"/>
    </row>
    <row r="2745" spans="1:17" s="119" customFormat="1" ht="31.75" customHeight="1">
      <c r="A2745" s="114" t="s">
        <v>7381</v>
      </c>
      <c r="B2745" s="114" t="s">
        <v>7382</v>
      </c>
      <c r="C2745" s="113">
        <v>2020</v>
      </c>
      <c r="D2745" s="112">
        <v>741</v>
      </c>
      <c r="E2745" s="112">
        <v>1917.5034920000001</v>
      </c>
      <c r="F2745" s="112">
        <v>441.48279300000002</v>
      </c>
      <c r="G2745" s="112">
        <v>1496.633793</v>
      </c>
      <c r="H2745" s="112">
        <v>349.902468</v>
      </c>
      <c r="I2745" s="112">
        <v>37.256594</v>
      </c>
      <c r="J2745" s="112">
        <v>41.489994000000003</v>
      </c>
      <c r="K2745" s="112">
        <v>4.2334009999999997</v>
      </c>
      <c r="L2745" s="112">
        <v>376.90143499999999</v>
      </c>
      <c r="M2745" s="112">
        <v>357.62463500000001</v>
      </c>
      <c r="N2745" s="112">
        <v>19.276800000000001</v>
      </c>
      <c r="O2745" s="100"/>
      <c r="P2745" s="100"/>
      <c r="Q2745" s="100"/>
    </row>
    <row r="2746" spans="1:17" s="119" customFormat="1" ht="17.5" customHeight="1">
      <c r="A2746" s="109" t="s">
        <v>7383</v>
      </c>
      <c r="B2746" s="109" t="s">
        <v>7384</v>
      </c>
      <c r="C2746" s="98">
        <v>2008</v>
      </c>
      <c r="D2746" s="99">
        <v>1668</v>
      </c>
      <c r="E2746" s="99">
        <v>3477</v>
      </c>
      <c r="F2746" s="99">
        <v>1310</v>
      </c>
      <c r="G2746" s="99">
        <v>2267</v>
      </c>
      <c r="H2746" s="99">
        <v>756</v>
      </c>
      <c r="I2746" s="99">
        <v>45</v>
      </c>
      <c r="J2746" s="99">
        <v>75</v>
      </c>
      <c r="K2746" s="99">
        <v>30</v>
      </c>
      <c r="L2746" s="99">
        <v>513</v>
      </c>
      <c r="M2746" s="99">
        <v>407</v>
      </c>
      <c r="N2746" s="99">
        <v>106</v>
      </c>
      <c r="O2746" s="100"/>
      <c r="P2746" s="100"/>
      <c r="Q2746" s="100"/>
    </row>
    <row r="2747" spans="1:17" s="119" customFormat="1" ht="17.5" customHeight="1">
      <c r="A2747" s="109" t="s">
        <v>7383</v>
      </c>
      <c r="B2747" s="109" t="s">
        <v>7384</v>
      </c>
      <c r="C2747" s="98">
        <v>2009</v>
      </c>
      <c r="D2747" s="99">
        <v>1681</v>
      </c>
      <c r="E2747" s="99">
        <v>2606</v>
      </c>
      <c r="F2747" s="99">
        <v>1034</v>
      </c>
      <c r="G2747" s="99">
        <v>1575</v>
      </c>
      <c r="H2747" s="99">
        <v>571</v>
      </c>
      <c r="I2747" s="99">
        <v>21</v>
      </c>
      <c r="J2747" s="99">
        <v>37</v>
      </c>
      <c r="K2747" s="99">
        <v>16</v>
      </c>
      <c r="L2747" s="99">
        <v>328</v>
      </c>
      <c r="M2747" s="99">
        <v>319</v>
      </c>
      <c r="N2747" s="99">
        <v>8</v>
      </c>
      <c r="O2747" s="110"/>
      <c r="P2747" s="110"/>
      <c r="Q2747" s="110"/>
    </row>
    <row r="2748" spans="1:17" s="119" customFormat="1" ht="17.5" customHeight="1">
      <c r="A2748" s="109" t="s">
        <v>7383</v>
      </c>
      <c r="B2748" s="109" t="s">
        <v>7384</v>
      </c>
      <c r="C2748" s="98">
        <v>2010</v>
      </c>
      <c r="D2748" s="99">
        <v>1494</v>
      </c>
      <c r="E2748" s="99">
        <v>3379</v>
      </c>
      <c r="F2748" s="99">
        <v>1559</v>
      </c>
      <c r="G2748" s="99">
        <v>1819</v>
      </c>
      <c r="H2748" s="99">
        <v>606</v>
      </c>
      <c r="I2748" s="99">
        <v>35</v>
      </c>
      <c r="J2748" s="99">
        <v>48</v>
      </c>
      <c r="K2748" s="99">
        <v>13</v>
      </c>
      <c r="L2748" s="99">
        <v>398</v>
      </c>
      <c r="M2748" s="99">
        <v>402</v>
      </c>
      <c r="N2748" s="99">
        <v>-4</v>
      </c>
      <c r="O2748" s="110"/>
      <c r="P2748" s="110"/>
      <c r="Q2748" s="110"/>
    </row>
    <row r="2749" spans="1:17" s="119" customFormat="1" ht="17.5" customHeight="1">
      <c r="A2749" s="109" t="s">
        <v>7383</v>
      </c>
      <c r="B2749" s="109" t="s">
        <v>7384</v>
      </c>
      <c r="C2749" s="98">
        <v>2011</v>
      </c>
      <c r="D2749" s="99">
        <v>1405</v>
      </c>
      <c r="E2749" s="99">
        <v>3123</v>
      </c>
      <c r="F2749" s="99">
        <v>1552</v>
      </c>
      <c r="G2749" s="99">
        <v>1613</v>
      </c>
      <c r="H2749" s="99">
        <v>683</v>
      </c>
      <c r="I2749" s="99">
        <v>41</v>
      </c>
      <c r="J2749" s="99">
        <v>47</v>
      </c>
      <c r="K2749" s="99">
        <v>6</v>
      </c>
      <c r="L2749" s="99">
        <v>377</v>
      </c>
      <c r="M2749" s="99">
        <v>333</v>
      </c>
      <c r="N2749" s="99">
        <v>44</v>
      </c>
      <c r="O2749" s="117"/>
      <c r="P2749" s="117"/>
      <c r="Q2749" s="117"/>
    </row>
    <row r="2750" spans="1:17" s="119" customFormat="1" ht="17.5" customHeight="1">
      <c r="A2750" s="109" t="s">
        <v>7383</v>
      </c>
      <c r="B2750" s="109" t="s">
        <v>7384</v>
      </c>
      <c r="C2750" s="111">
        <v>2012</v>
      </c>
      <c r="D2750" s="112">
        <v>1328</v>
      </c>
      <c r="E2750" s="112">
        <v>2652</v>
      </c>
      <c r="F2750" s="112">
        <v>1265</v>
      </c>
      <c r="G2750" s="112">
        <v>1366</v>
      </c>
      <c r="H2750" s="112">
        <v>543</v>
      </c>
      <c r="I2750" s="112">
        <v>90</v>
      </c>
      <c r="J2750" s="112">
        <v>97</v>
      </c>
      <c r="K2750" s="112">
        <v>7</v>
      </c>
      <c r="L2750" s="112">
        <v>318</v>
      </c>
      <c r="M2750" s="112">
        <v>340</v>
      </c>
      <c r="N2750" s="112">
        <v>-22</v>
      </c>
      <c r="O2750" s="117"/>
      <c r="P2750" s="117"/>
      <c r="Q2750" s="117"/>
    </row>
    <row r="2751" spans="1:17" s="119" customFormat="1" ht="17.5" customHeight="1">
      <c r="A2751" s="109" t="s">
        <v>7383</v>
      </c>
      <c r="B2751" s="109" t="s">
        <v>7384</v>
      </c>
      <c r="C2751" s="113">
        <v>2013</v>
      </c>
      <c r="D2751" s="112">
        <v>1317</v>
      </c>
      <c r="E2751" s="112">
        <v>2854</v>
      </c>
      <c r="F2751" s="112">
        <v>1200</v>
      </c>
      <c r="G2751" s="112">
        <v>1592</v>
      </c>
      <c r="H2751" s="112">
        <v>648</v>
      </c>
      <c r="I2751" s="112">
        <v>99</v>
      </c>
      <c r="J2751" s="112">
        <v>128</v>
      </c>
      <c r="K2751" s="112">
        <v>29</v>
      </c>
      <c r="L2751" s="112">
        <v>324</v>
      </c>
      <c r="M2751" s="112">
        <v>393</v>
      </c>
      <c r="N2751" s="112">
        <v>-69</v>
      </c>
      <c r="O2751" s="117"/>
      <c r="P2751" s="117"/>
      <c r="Q2751" s="117"/>
    </row>
    <row r="2752" spans="1:17" s="119" customFormat="1" ht="17.5" customHeight="1">
      <c r="A2752" s="109" t="s">
        <v>7383</v>
      </c>
      <c r="B2752" s="109" t="s">
        <v>7384</v>
      </c>
      <c r="C2752" s="113">
        <v>2014</v>
      </c>
      <c r="D2752" s="99">
        <v>1285</v>
      </c>
      <c r="E2752" s="99">
        <v>2473</v>
      </c>
      <c r="F2752" s="99">
        <v>1060</v>
      </c>
      <c r="G2752" s="99">
        <v>1445</v>
      </c>
      <c r="H2752" s="99">
        <v>583</v>
      </c>
      <c r="I2752" s="99">
        <v>98</v>
      </c>
      <c r="J2752" s="99">
        <v>112</v>
      </c>
      <c r="K2752" s="99">
        <v>13</v>
      </c>
      <c r="L2752" s="99">
        <v>320</v>
      </c>
      <c r="M2752" s="99">
        <v>299</v>
      </c>
      <c r="N2752" s="99">
        <v>21</v>
      </c>
      <c r="O2752" s="117"/>
      <c r="P2752" s="117"/>
      <c r="Q2752" s="117"/>
    </row>
    <row r="2753" spans="1:17" s="119" customFormat="1" ht="17.5" customHeight="1">
      <c r="A2753" s="109" t="s">
        <v>7383</v>
      </c>
      <c r="B2753" s="109" t="s">
        <v>7384</v>
      </c>
      <c r="C2753" s="113">
        <v>2015</v>
      </c>
      <c r="D2753" s="112">
        <v>1203</v>
      </c>
      <c r="E2753" s="112">
        <v>2603</v>
      </c>
      <c r="F2753" s="112">
        <v>1264</v>
      </c>
      <c r="G2753" s="112">
        <v>1422</v>
      </c>
      <c r="H2753" s="112">
        <v>562</v>
      </c>
      <c r="I2753" s="112">
        <v>67</v>
      </c>
      <c r="J2753" s="112">
        <v>72</v>
      </c>
      <c r="K2753" s="112">
        <v>5</v>
      </c>
      <c r="L2753" s="112">
        <v>392</v>
      </c>
      <c r="M2753" s="112">
        <v>318</v>
      </c>
      <c r="N2753" s="112">
        <v>75</v>
      </c>
      <c r="O2753" s="110"/>
      <c r="P2753" s="110"/>
      <c r="Q2753" s="110"/>
    </row>
    <row r="2754" spans="1:17" s="119" customFormat="1" ht="17.5" customHeight="1">
      <c r="A2754" s="109" t="s">
        <v>7383</v>
      </c>
      <c r="B2754" s="109" t="s">
        <v>7384</v>
      </c>
      <c r="C2754" s="113">
        <v>2016</v>
      </c>
      <c r="D2754" s="112">
        <v>1192</v>
      </c>
      <c r="E2754" s="112">
        <v>2689</v>
      </c>
      <c r="F2754" s="112">
        <v>1351</v>
      </c>
      <c r="G2754" s="112">
        <v>1409</v>
      </c>
      <c r="H2754" s="112">
        <v>597</v>
      </c>
      <c r="I2754" s="112">
        <v>95</v>
      </c>
      <c r="J2754" s="112">
        <v>105</v>
      </c>
      <c r="K2754" s="112">
        <v>10</v>
      </c>
      <c r="L2754" s="112">
        <v>455</v>
      </c>
      <c r="M2754" s="112">
        <v>397</v>
      </c>
      <c r="N2754" s="112">
        <v>58</v>
      </c>
      <c r="O2754" s="110"/>
      <c r="P2754" s="110"/>
      <c r="Q2754" s="110"/>
    </row>
    <row r="2755" spans="1:17" s="119" customFormat="1" ht="17.5" customHeight="1">
      <c r="A2755" s="109" t="s">
        <v>7383</v>
      </c>
      <c r="B2755" s="109" t="s">
        <v>7384</v>
      </c>
      <c r="C2755" s="113">
        <v>2017</v>
      </c>
      <c r="D2755" s="112">
        <v>1268</v>
      </c>
      <c r="E2755" s="112">
        <v>2902</v>
      </c>
      <c r="F2755" s="112">
        <v>1640</v>
      </c>
      <c r="G2755" s="112">
        <v>1405</v>
      </c>
      <c r="H2755" s="112">
        <v>527</v>
      </c>
      <c r="I2755" s="112">
        <v>72</v>
      </c>
      <c r="J2755" s="112">
        <v>82</v>
      </c>
      <c r="K2755" s="112">
        <v>10</v>
      </c>
      <c r="L2755" s="112">
        <v>574</v>
      </c>
      <c r="M2755" s="112">
        <v>437</v>
      </c>
      <c r="N2755" s="112">
        <v>136</v>
      </c>
      <c r="O2755" s="100"/>
      <c r="P2755" s="100"/>
      <c r="Q2755" s="100"/>
    </row>
    <row r="2756" spans="1:17" s="119" customFormat="1" ht="17.5" customHeight="1">
      <c r="A2756" s="109" t="s">
        <v>7383</v>
      </c>
      <c r="B2756" s="109" t="s">
        <v>7384</v>
      </c>
      <c r="C2756" s="113">
        <v>2018</v>
      </c>
      <c r="D2756" s="112">
        <v>1221</v>
      </c>
      <c r="E2756" s="112">
        <v>3085</v>
      </c>
      <c r="F2756" s="112">
        <v>1661</v>
      </c>
      <c r="G2756" s="112">
        <v>1493</v>
      </c>
      <c r="H2756" s="112">
        <v>599</v>
      </c>
      <c r="I2756" s="112">
        <v>60</v>
      </c>
      <c r="J2756" s="112">
        <v>65</v>
      </c>
      <c r="K2756" s="112">
        <v>5</v>
      </c>
      <c r="L2756" s="112">
        <v>630</v>
      </c>
      <c r="M2756" s="112">
        <v>561</v>
      </c>
      <c r="N2756" s="112">
        <v>69</v>
      </c>
      <c r="O2756" s="110"/>
      <c r="P2756" s="110"/>
      <c r="Q2756" s="110"/>
    </row>
    <row r="2757" spans="1:17" s="119" customFormat="1" ht="17.5" customHeight="1">
      <c r="A2757" s="109" t="s">
        <v>7383</v>
      </c>
      <c r="B2757" s="109" t="s">
        <v>7384</v>
      </c>
      <c r="C2757" s="113">
        <v>2019</v>
      </c>
      <c r="D2757" s="112">
        <v>1184</v>
      </c>
      <c r="E2757" s="112">
        <v>3214.3053380000001</v>
      </c>
      <c r="F2757" s="112">
        <v>1532.629214</v>
      </c>
      <c r="G2757" s="112">
        <v>1752.580547</v>
      </c>
      <c r="H2757" s="112">
        <v>633.28268200000002</v>
      </c>
      <c r="I2757" s="112">
        <v>114.52824</v>
      </c>
      <c r="J2757" s="112">
        <v>118.42946000000001</v>
      </c>
      <c r="K2757" s="112">
        <v>3.901221</v>
      </c>
      <c r="L2757" s="112">
        <v>669.93272400000001</v>
      </c>
      <c r="M2757" s="112">
        <v>612.67571699999996</v>
      </c>
      <c r="N2757" s="112">
        <v>57.257007000000002</v>
      </c>
      <c r="O2757" s="100"/>
      <c r="P2757" s="100"/>
      <c r="Q2757" s="100"/>
    </row>
    <row r="2758" spans="1:17" s="119" customFormat="1" ht="17.5" customHeight="1">
      <c r="A2758" s="114" t="s">
        <v>7383</v>
      </c>
      <c r="B2758" s="114" t="s">
        <v>7384</v>
      </c>
      <c r="C2758" s="113">
        <v>2020</v>
      </c>
      <c r="D2758" s="112">
        <v>1110</v>
      </c>
      <c r="E2758" s="112">
        <v>2844.7480420000002</v>
      </c>
      <c r="F2758" s="112">
        <v>1379.4986690000001</v>
      </c>
      <c r="G2758" s="112">
        <v>1458.254514</v>
      </c>
      <c r="H2758" s="112">
        <v>561.23762299999999</v>
      </c>
      <c r="I2758" s="112">
        <v>51.059317</v>
      </c>
      <c r="J2758" s="112">
        <v>58.927757999999997</v>
      </c>
      <c r="K2758" s="112">
        <v>7.8684399999999997</v>
      </c>
      <c r="L2758" s="112">
        <v>635.23164799999995</v>
      </c>
      <c r="M2758" s="112">
        <v>648.37327200000004</v>
      </c>
      <c r="N2758" s="112">
        <v>-13.141624</v>
      </c>
      <c r="O2758" s="100"/>
      <c r="P2758" s="100"/>
      <c r="Q2758" s="100"/>
    </row>
    <row r="2759" spans="1:17" s="119" customFormat="1" ht="17.5" customHeight="1">
      <c r="A2759" s="109" t="s">
        <v>7385</v>
      </c>
      <c r="B2759" s="109" t="s">
        <v>7386</v>
      </c>
      <c r="C2759" s="98">
        <v>2008</v>
      </c>
      <c r="D2759" s="99">
        <v>758</v>
      </c>
      <c r="E2759" s="99">
        <v>2206</v>
      </c>
      <c r="F2759" s="99">
        <v>928</v>
      </c>
      <c r="G2759" s="99">
        <v>1319</v>
      </c>
      <c r="H2759" s="99">
        <v>315</v>
      </c>
      <c r="I2759" s="99" t="s">
        <v>6953</v>
      </c>
      <c r="J2759" s="99" t="s">
        <v>6953</v>
      </c>
      <c r="K2759" s="99" t="s">
        <v>6953</v>
      </c>
      <c r="L2759" s="99">
        <v>248</v>
      </c>
      <c r="M2759" s="99">
        <v>204</v>
      </c>
      <c r="N2759" s="99">
        <v>44</v>
      </c>
      <c r="O2759" s="110"/>
      <c r="P2759" s="110"/>
      <c r="Q2759" s="110"/>
    </row>
    <row r="2760" spans="1:17" s="119" customFormat="1" ht="17.5" customHeight="1">
      <c r="A2760" s="109" t="s">
        <v>7385</v>
      </c>
      <c r="B2760" s="109" t="s">
        <v>7386</v>
      </c>
      <c r="C2760" s="98">
        <v>2009</v>
      </c>
      <c r="D2760" s="99">
        <v>697</v>
      </c>
      <c r="E2760" s="99">
        <v>1852</v>
      </c>
      <c r="F2760" s="99">
        <v>1286</v>
      </c>
      <c r="G2760" s="99">
        <v>565</v>
      </c>
      <c r="H2760" s="99">
        <v>242</v>
      </c>
      <c r="I2760" s="99">
        <v>39</v>
      </c>
      <c r="J2760" s="99">
        <v>41</v>
      </c>
      <c r="K2760" s="99">
        <v>2</v>
      </c>
      <c r="L2760" s="99">
        <v>194</v>
      </c>
      <c r="M2760" s="99">
        <v>193</v>
      </c>
      <c r="N2760" s="99">
        <v>1</v>
      </c>
      <c r="O2760" s="110"/>
      <c r="P2760" s="110"/>
      <c r="Q2760" s="110"/>
    </row>
    <row r="2761" spans="1:17" s="119" customFormat="1" ht="17.5" customHeight="1">
      <c r="A2761" s="109" t="s">
        <v>7385</v>
      </c>
      <c r="B2761" s="109" t="s">
        <v>7386</v>
      </c>
      <c r="C2761" s="98">
        <v>2010</v>
      </c>
      <c r="D2761" s="99">
        <v>630</v>
      </c>
      <c r="E2761" s="99">
        <v>998</v>
      </c>
      <c r="F2761" s="99">
        <v>434</v>
      </c>
      <c r="G2761" s="99">
        <v>569</v>
      </c>
      <c r="H2761" s="99">
        <v>196</v>
      </c>
      <c r="I2761" s="99">
        <v>10</v>
      </c>
      <c r="J2761" s="99" t="s">
        <v>6953</v>
      </c>
      <c r="K2761" s="99" t="s">
        <v>6953</v>
      </c>
      <c r="L2761" s="99">
        <v>144</v>
      </c>
      <c r="M2761" s="99">
        <v>138</v>
      </c>
      <c r="N2761" s="99">
        <v>6</v>
      </c>
      <c r="O2761" s="117"/>
      <c r="P2761" s="117"/>
      <c r="Q2761" s="117"/>
    </row>
    <row r="2762" spans="1:17" s="119" customFormat="1" ht="17.5" customHeight="1">
      <c r="A2762" s="109" t="s">
        <v>7385</v>
      </c>
      <c r="B2762" s="109" t="s">
        <v>7386</v>
      </c>
      <c r="C2762" s="98">
        <v>2011</v>
      </c>
      <c r="D2762" s="99">
        <v>593</v>
      </c>
      <c r="E2762" s="99">
        <v>898</v>
      </c>
      <c r="F2762" s="99">
        <v>339</v>
      </c>
      <c r="G2762" s="99">
        <v>575</v>
      </c>
      <c r="H2762" s="99">
        <v>172</v>
      </c>
      <c r="I2762" s="99">
        <v>7</v>
      </c>
      <c r="J2762" s="99">
        <v>10</v>
      </c>
      <c r="K2762" s="99">
        <v>3</v>
      </c>
      <c r="L2762" s="99">
        <v>179</v>
      </c>
      <c r="M2762" s="99">
        <v>162</v>
      </c>
      <c r="N2762" s="99">
        <v>17</v>
      </c>
      <c r="O2762" s="117"/>
      <c r="P2762" s="117"/>
      <c r="Q2762" s="117"/>
    </row>
    <row r="2763" spans="1:17" s="119" customFormat="1" ht="17.5" customHeight="1">
      <c r="A2763" s="109" t="s">
        <v>7385</v>
      </c>
      <c r="B2763" s="109" t="s">
        <v>7386</v>
      </c>
      <c r="C2763" s="111">
        <v>2012</v>
      </c>
      <c r="D2763" s="112">
        <v>561</v>
      </c>
      <c r="E2763" s="112">
        <v>637</v>
      </c>
      <c r="F2763" s="112">
        <v>249</v>
      </c>
      <c r="G2763" s="112">
        <v>385</v>
      </c>
      <c r="H2763" s="112">
        <v>157</v>
      </c>
      <c r="I2763" s="112">
        <v>9</v>
      </c>
      <c r="J2763" s="112">
        <v>10</v>
      </c>
      <c r="K2763" s="112">
        <v>1</v>
      </c>
      <c r="L2763" s="112">
        <v>103</v>
      </c>
      <c r="M2763" s="112">
        <v>107</v>
      </c>
      <c r="N2763" s="112">
        <v>-4</v>
      </c>
      <c r="O2763" s="117"/>
      <c r="P2763" s="117"/>
      <c r="Q2763" s="117"/>
    </row>
    <row r="2764" spans="1:17" s="119" customFormat="1" ht="17.5" customHeight="1">
      <c r="A2764" s="109" t="s">
        <v>7385</v>
      </c>
      <c r="B2764" s="109" t="s">
        <v>7386</v>
      </c>
      <c r="C2764" s="113">
        <v>2013</v>
      </c>
      <c r="D2764" s="112">
        <v>519</v>
      </c>
      <c r="E2764" s="112">
        <v>547</v>
      </c>
      <c r="F2764" s="112">
        <v>233</v>
      </c>
      <c r="G2764" s="112">
        <v>321</v>
      </c>
      <c r="H2764" s="112">
        <v>123</v>
      </c>
      <c r="I2764" s="112">
        <v>3</v>
      </c>
      <c r="J2764" s="112">
        <v>6</v>
      </c>
      <c r="K2764" s="112">
        <v>3</v>
      </c>
      <c r="L2764" s="112">
        <v>98</v>
      </c>
      <c r="M2764" s="112">
        <v>91</v>
      </c>
      <c r="N2764" s="112">
        <v>7</v>
      </c>
      <c r="O2764" s="117"/>
      <c r="P2764" s="117"/>
      <c r="Q2764" s="117"/>
    </row>
    <row r="2765" spans="1:17" s="119" customFormat="1" ht="17.5" customHeight="1">
      <c r="A2765" s="109" t="s">
        <v>7385</v>
      </c>
      <c r="B2765" s="109" t="s">
        <v>7386</v>
      </c>
      <c r="C2765" s="113">
        <v>2014</v>
      </c>
      <c r="D2765" s="99">
        <v>512</v>
      </c>
      <c r="E2765" s="99">
        <v>657</v>
      </c>
      <c r="F2765" s="99">
        <v>270</v>
      </c>
      <c r="G2765" s="99">
        <v>383</v>
      </c>
      <c r="H2765" s="99">
        <v>147</v>
      </c>
      <c r="I2765" s="99">
        <v>18</v>
      </c>
      <c r="J2765" s="99">
        <v>24</v>
      </c>
      <c r="K2765" s="99">
        <v>6</v>
      </c>
      <c r="L2765" s="99">
        <v>111</v>
      </c>
      <c r="M2765" s="99">
        <v>115</v>
      </c>
      <c r="N2765" s="99">
        <v>-5</v>
      </c>
      <c r="O2765" s="110"/>
      <c r="P2765" s="110"/>
      <c r="Q2765" s="110"/>
    </row>
    <row r="2766" spans="1:17" s="119" customFormat="1" ht="17.5" customHeight="1">
      <c r="A2766" s="109" t="s">
        <v>7385</v>
      </c>
      <c r="B2766" s="109" t="s">
        <v>7386</v>
      </c>
      <c r="C2766" s="113">
        <v>2015</v>
      </c>
      <c r="D2766" s="112">
        <v>508</v>
      </c>
      <c r="E2766" s="112">
        <v>515</v>
      </c>
      <c r="F2766" s="112">
        <v>206</v>
      </c>
      <c r="G2766" s="112">
        <v>307</v>
      </c>
      <c r="H2766" s="112">
        <v>146</v>
      </c>
      <c r="I2766" s="112">
        <v>9</v>
      </c>
      <c r="J2766" s="112">
        <v>10</v>
      </c>
      <c r="K2766" s="112" t="s">
        <v>6952</v>
      </c>
      <c r="L2766" s="112">
        <v>86</v>
      </c>
      <c r="M2766" s="112">
        <v>84</v>
      </c>
      <c r="N2766" s="112">
        <v>1</v>
      </c>
      <c r="O2766" s="110"/>
      <c r="P2766" s="110"/>
      <c r="Q2766" s="110"/>
    </row>
    <row r="2767" spans="1:17" s="119" customFormat="1" ht="17.5" customHeight="1">
      <c r="A2767" s="109" t="s">
        <v>7385</v>
      </c>
      <c r="B2767" s="109" t="s">
        <v>7386</v>
      </c>
      <c r="C2767" s="113">
        <v>2016</v>
      </c>
      <c r="D2767" s="112">
        <v>513</v>
      </c>
      <c r="E2767" s="112">
        <v>672</v>
      </c>
      <c r="F2767" s="112">
        <v>287</v>
      </c>
      <c r="G2767" s="112">
        <v>403</v>
      </c>
      <c r="H2767" s="112">
        <v>144</v>
      </c>
      <c r="I2767" s="112">
        <v>17</v>
      </c>
      <c r="J2767" s="112">
        <v>19</v>
      </c>
      <c r="K2767" s="112">
        <v>2</v>
      </c>
      <c r="L2767" s="112">
        <v>144</v>
      </c>
      <c r="M2767" s="112">
        <v>125</v>
      </c>
      <c r="N2767" s="112">
        <v>18</v>
      </c>
      <c r="O2767" s="100"/>
      <c r="P2767" s="100"/>
      <c r="Q2767" s="100"/>
    </row>
    <row r="2768" spans="1:17" s="119" customFormat="1" ht="17.5" customHeight="1">
      <c r="A2768" s="109" t="s">
        <v>7385</v>
      </c>
      <c r="B2768" s="109" t="s">
        <v>7386</v>
      </c>
      <c r="C2768" s="113">
        <v>2017</v>
      </c>
      <c r="D2768" s="112">
        <v>521</v>
      </c>
      <c r="E2768" s="112">
        <v>694</v>
      </c>
      <c r="F2768" s="112">
        <v>295</v>
      </c>
      <c r="G2768" s="112">
        <v>417</v>
      </c>
      <c r="H2768" s="112">
        <v>155</v>
      </c>
      <c r="I2768" s="112">
        <v>9</v>
      </c>
      <c r="J2768" s="112">
        <v>10</v>
      </c>
      <c r="K2768" s="112">
        <v>1</v>
      </c>
      <c r="L2768" s="112">
        <v>159</v>
      </c>
      <c r="M2768" s="112">
        <v>139</v>
      </c>
      <c r="N2768" s="112">
        <v>19</v>
      </c>
      <c r="O2768" s="110"/>
      <c r="P2768" s="110"/>
      <c r="Q2768" s="110"/>
    </row>
    <row r="2769" spans="1:17" s="119" customFormat="1" ht="17.5" customHeight="1">
      <c r="A2769" s="109" t="s">
        <v>7385</v>
      </c>
      <c r="B2769" s="109" t="s">
        <v>7386</v>
      </c>
      <c r="C2769" s="113">
        <v>2018</v>
      </c>
      <c r="D2769" s="112">
        <v>497</v>
      </c>
      <c r="E2769" s="112">
        <v>638</v>
      </c>
      <c r="F2769" s="112">
        <v>208</v>
      </c>
      <c r="G2769" s="112">
        <v>412</v>
      </c>
      <c r="H2769" s="112">
        <v>177</v>
      </c>
      <c r="I2769" s="112">
        <v>16</v>
      </c>
      <c r="J2769" s="112">
        <v>17</v>
      </c>
      <c r="K2769" s="112">
        <v>1</v>
      </c>
      <c r="L2769" s="112">
        <v>110</v>
      </c>
      <c r="M2769" s="112">
        <v>127</v>
      </c>
      <c r="N2769" s="112">
        <v>-18</v>
      </c>
      <c r="O2769" s="100"/>
      <c r="P2769" s="100"/>
      <c r="Q2769" s="100"/>
    </row>
    <row r="2770" spans="1:17" s="119" customFormat="1" ht="17.5" customHeight="1">
      <c r="A2770" s="109" t="s">
        <v>7385</v>
      </c>
      <c r="B2770" s="109" t="s">
        <v>7386</v>
      </c>
      <c r="C2770" s="113">
        <v>2019</v>
      </c>
      <c r="D2770" s="112">
        <v>499</v>
      </c>
      <c r="E2770" s="112">
        <v>715.09447399999999</v>
      </c>
      <c r="F2770" s="112">
        <v>300.65092499999997</v>
      </c>
      <c r="G2770" s="112">
        <v>420.26264300000003</v>
      </c>
      <c r="H2770" s="112">
        <v>130.33327800000001</v>
      </c>
      <c r="I2770" s="112">
        <v>8.2873610000000006</v>
      </c>
      <c r="J2770" s="112">
        <v>9.7703009999999999</v>
      </c>
      <c r="K2770" s="112">
        <v>1.482939</v>
      </c>
      <c r="L2770" s="112">
        <v>143.271829</v>
      </c>
      <c r="M2770" s="112">
        <v>137.10099</v>
      </c>
      <c r="N2770" s="112">
        <v>6.170839</v>
      </c>
      <c r="O2770" s="100"/>
      <c r="P2770" s="100"/>
      <c r="Q2770" s="100"/>
    </row>
    <row r="2771" spans="1:17" s="119" customFormat="1" ht="17.5" customHeight="1">
      <c r="A2771" s="114" t="s">
        <v>7385</v>
      </c>
      <c r="B2771" s="114" t="s">
        <v>7386</v>
      </c>
      <c r="C2771" s="113">
        <v>2020</v>
      </c>
      <c r="D2771" s="112">
        <v>509</v>
      </c>
      <c r="E2771" s="112">
        <v>498.585037</v>
      </c>
      <c r="F2771" s="112">
        <v>211.89593600000001</v>
      </c>
      <c r="G2771" s="112">
        <v>279.48077699999999</v>
      </c>
      <c r="H2771" s="112">
        <v>128.116108</v>
      </c>
      <c r="I2771" s="112">
        <v>9.1867529999999995</v>
      </c>
      <c r="J2771" s="112">
        <v>9.2255880000000001</v>
      </c>
      <c r="K2771" s="112" t="s">
        <v>6952</v>
      </c>
      <c r="L2771" s="112">
        <v>101.363417</v>
      </c>
      <c r="M2771" s="112">
        <v>110.726989</v>
      </c>
      <c r="N2771" s="112">
        <v>-9.3635710000000003</v>
      </c>
      <c r="O2771" s="110"/>
      <c r="P2771" s="110"/>
      <c r="Q2771" s="110"/>
    </row>
    <row r="2772" spans="1:17" s="119" customFormat="1" ht="48" customHeight="1">
      <c r="A2772" s="109" t="s">
        <v>7387</v>
      </c>
      <c r="B2772" s="109" t="s">
        <v>7388</v>
      </c>
      <c r="C2772" s="98">
        <v>2008</v>
      </c>
      <c r="D2772" s="99">
        <v>2463</v>
      </c>
      <c r="E2772" s="99">
        <v>8391</v>
      </c>
      <c r="F2772" s="99">
        <v>3651</v>
      </c>
      <c r="G2772" s="99">
        <v>4842</v>
      </c>
      <c r="H2772" s="99">
        <v>2041</v>
      </c>
      <c r="I2772" s="99">
        <v>126</v>
      </c>
      <c r="J2772" s="99">
        <v>172</v>
      </c>
      <c r="K2772" s="99">
        <v>47</v>
      </c>
      <c r="L2772" s="99">
        <v>1129</v>
      </c>
      <c r="M2772" s="99">
        <v>1027</v>
      </c>
      <c r="N2772" s="99">
        <v>102</v>
      </c>
      <c r="O2772" s="110"/>
      <c r="P2772" s="110"/>
      <c r="Q2772" s="110"/>
    </row>
    <row r="2773" spans="1:17" s="119" customFormat="1" ht="48" customHeight="1">
      <c r="A2773" s="109" t="s">
        <v>7387</v>
      </c>
      <c r="B2773" s="109" t="s">
        <v>7388</v>
      </c>
      <c r="C2773" s="98">
        <v>2009</v>
      </c>
      <c r="D2773" s="99">
        <v>2329</v>
      </c>
      <c r="E2773" s="99">
        <v>7222</v>
      </c>
      <c r="F2773" s="99">
        <v>2921</v>
      </c>
      <c r="G2773" s="99">
        <v>4269</v>
      </c>
      <c r="H2773" s="99">
        <v>1871</v>
      </c>
      <c r="I2773" s="99">
        <v>105</v>
      </c>
      <c r="J2773" s="99">
        <v>124</v>
      </c>
      <c r="K2773" s="99">
        <v>19</v>
      </c>
      <c r="L2773" s="99">
        <v>1393</v>
      </c>
      <c r="M2773" s="99">
        <v>1429</v>
      </c>
      <c r="N2773" s="99">
        <v>-36</v>
      </c>
      <c r="O2773" s="117"/>
      <c r="P2773" s="117"/>
      <c r="Q2773" s="117"/>
    </row>
    <row r="2774" spans="1:17" s="119" customFormat="1" ht="48" customHeight="1">
      <c r="A2774" s="109" t="s">
        <v>7387</v>
      </c>
      <c r="B2774" s="109" t="s">
        <v>7388</v>
      </c>
      <c r="C2774" s="98">
        <v>2010</v>
      </c>
      <c r="D2774" s="99">
        <v>2188</v>
      </c>
      <c r="E2774" s="99">
        <v>7484</v>
      </c>
      <c r="F2774" s="99">
        <v>3293</v>
      </c>
      <c r="G2774" s="99">
        <v>4173</v>
      </c>
      <c r="H2774" s="99">
        <v>1852</v>
      </c>
      <c r="I2774" s="99">
        <v>155</v>
      </c>
      <c r="J2774" s="99">
        <v>174</v>
      </c>
      <c r="K2774" s="99">
        <v>19</v>
      </c>
      <c r="L2774" s="99">
        <v>961</v>
      </c>
      <c r="M2774" s="99">
        <v>970</v>
      </c>
      <c r="N2774" s="99">
        <v>-9</v>
      </c>
      <c r="O2774" s="117"/>
      <c r="P2774" s="117"/>
      <c r="Q2774" s="117"/>
    </row>
    <row r="2775" spans="1:17" s="119" customFormat="1" ht="48" customHeight="1">
      <c r="A2775" s="109" t="s">
        <v>7387</v>
      </c>
      <c r="B2775" s="109" t="s">
        <v>7388</v>
      </c>
      <c r="C2775" s="98">
        <v>2011</v>
      </c>
      <c r="D2775" s="99">
        <v>2086</v>
      </c>
      <c r="E2775" s="99">
        <v>7908</v>
      </c>
      <c r="F2775" s="99">
        <v>3739</v>
      </c>
      <c r="G2775" s="99">
        <v>4322</v>
      </c>
      <c r="H2775" s="99">
        <v>1987</v>
      </c>
      <c r="I2775" s="99">
        <v>159</v>
      </c>
      <c r="J2775" s="99">
        <v>187</v>
      </c>
      <c r="K2775" s="99">
        <v>28</v>
      </c>
      <c r="L2775" s="99">
        <v>1154</v>
      </c>
      <c r="M2775" s="99">
        <v>1002</v>
      </c>
      <c r="N2775" s="99">
        <v>152</v>
      </c>
      <c r="O2775" s="117"/>
      <c r="P2775" s="117"/>
      <c r="Q2775" s="117"/>
    </row>
    <row r="2776" spans="1:17" s="119" customFormat="1" ht="48" customHeight="1">
      <c r="A2776" s="109" t="s">
        <v>7387</v>
      </c>
      <c r="B2776" s="109" t="s">
        <v>7388</v>
      </c>
      <c r="C2776" s="111">
        <v>2012</v>
      </c>
      <c r="D2776" s="112">
        <v>2017</v>
      </c>
      <c r="E2776" s="112">
        <v>7602</v>
      </c>
      <c r="F2776" s="112">
        <v>3498</v>
      </c>
      <c r="G2776" s="112">
        <v>4198</v>
      </c>
      <c r="H2776" s="112">
        <v>1939</v>
      </c>
      <c r="I2776" s="112">
        <v>284</v>
      </c>
      <c r="J2776" s="112">
        <v>302</v>
      </c>
      <c r="K2776" s="112">
        <v>18</v>
      </c>
      <c r="L2776" s="112">
        <v>1231</v>
      </c>
      <c r="M2776" s="112">
        <v>1151</v>
      </c>
      <c r="N2776" s="112">
        <v>81</v>
      </c>
      <c r="O2776" s="117"/>
      <c r="P2776" s="117"/>
      <c r="Q2776" s="117"/>
    </row>
    <row r="2777" spans="1:17" s="119" customFormat="1" ht="48" customHeight="1">
      <c r="A2777" s="109" t="s">
        <v>7387</v>
      </c>
      <c r="B2777" s="109" t="s">
        <v>7388</v>
      </c>
      <c r="C2777" s="113">
        <v>2013</v>
      </c>
      <c r="D2777" s="112">
        <v>2099</v>
      </c>
      <c r="E2777" s="112">
        <v>8804</v>
      </c>
      <c r="F2777" s="112">
        <v>3624</v>
      </c>
      <c r="G2777" s="112">
        <v>5111</v>
      </c>
      <c r="H2777" s="112">
        <v>2377</v>
      </c>
      <c r="I2777" s="112">
        <v>215</v>
      </c>
      <c r="J2777" s="112">
        <v>228</v>
      </c>
      <c r="K2777" s="112">
        <v>13</v>
      </c>
      <c r="L2777" s="112">
        <v>1347</v>
      </c>
      <c r="M2777" s="112">
        <v>1435</v>
      </c>
      <c r="N2777" s="112">
        <v>-88</v>
      </c>
      <c r="O2777" s="110"/>
      <c r="P2777" s="110"/>
      <c r="Q2777" s="110"/>
    </row>
    <row r="2778" spans="1:17" s="119" customFormat="1" ht="48" customHeight="1">
      <c r="A2778" s="109" t="s">
        <v>7387</v>
      </c>
      <c r="B2778" s="109" t="s">
        <v>7388</v>
      </c>
      <c r="C2778" s="113">
        <v>2014</v>
      </c>
      <c r="D2778" s="99">
        <v>2117</v>
      </c>
      <c r="E2778" s="99">
        <v>9827</v>
      </c>
      <c r="F2778" s="99">
        <v>4115</v>
      </c>
      <c r="G2778" s="99">
        <v>5621</v>
      </c>
      <c r="H2778" s="99">
        <v>2391</v>
      </c>
      <c r="I2778" s="99">
        <v>291</v>
      </c>
      <c r="J2778" s="99">
        <v>317</v>
      </c>
      <c r="K2778" s="99">
        <v>26</v>
      </c>
      <c r="L2778" s="99">
        <v>1762</v>
      </c>
      <c r="M2778" s="99">
        <v>1892</v>
      </c>
      <c r="N2778" s="99">
        <v>-130</v>
      </c>
      <c r="O2778" s="110"/>
      <c r="P2778" s="110"/>
      <c r="Q2778" s="110"/>
    </row>
    <row r="2779" spans="1:17" s="119" customFormat="1" ht="48" customHeight="1">
      <c r="A2779" s="109" t="s">
        <v>7387</v>
      </c>
      <c r="B2779" s="109" t="s">
        <v>7388</v>
      </c>
      <c r="C2779" s="113">
        <v>2015</v>
      </c>
      <c r="D2779" s="112">
        <v>2144</v>
      </c>
      <c r="E2779" s="112">
        <v>9622</v>
      </c>
      <c r="F2779" s="112">
        <v>4146</v>
      </c>
      <c r="G2779" s="112">
        <v>5501</v>
      </c>
      <c r="H2779" s="112">
        <v>2547</v>
      </c>
      <c r="I2779" s="112">
        <v>264</v>
      </c>
      <c r="J2779" s="112">
        <v>306</v>
      </c>
      <c r="K2779" s="112">
        <v>42</v>
      </c>
      <c r="L2779" s="112">
        <v>1706</v>
      </c>
      <c r="M2779" s="112">
        <v>1759</v>
      </c>
      <c r="N2779" s="112">
        <v>-52</v>
      </c>
      <c r="O2779" s="100"/>
      <c r="P2779" s="100"/>
      <c r="Q2779" s="100"/>
    </row>
    <row r="2780" spans="1:17" s="119" customFormat="1" ht="48" customHeight="1">
      <c r="A2780" s="109" t="s">
        <v>7387</v>
      </c>
      <c r="B2780" s="109" t="s">
        <v>7388</v>
      </c>
      <c r="C2780" s="113">
        <v>2016</v>
      </c>
      <c r="D2780" s="112">
        <v>2148</v>
      </c>
      <c r="E2780" s="112">
        <v>10419</v>
      </c>
      <c r="F2780" s="112">
        <v>4173</v>
      </c>
      <c r="G2780" s="112">
        <v>6150</v>
      </c>
      <c r="H2780" s="112">
        <v>2909</v>
      </c>
      <c r="I2780" s="112">
        <v>228</v>
      </c>
      <c r="J2780" s="112">
        <v>268</v>
      </c>
      <c r="K2780" s="112">
        <v>40</v>
      </c>
      <c r="L2780" s="112">
        <v>1630</v>
      </c>
      <c r="M2780" s="112">
        <v>1754</v>
      </c>
      <c r="N2780" s="112">
        <v>-124</v>
      </c>
      <c r="O2780" s="110"/>
      <c r="P2780" s="110"/>
      <c r="Q2780" s="110"/>
    </row>
    <row r="2781" spans="1:17" s="119" customFormat="1" ht="48" customHeight="1">
      <c r="A2781" s="109" t="s">
        <v>7387</v>
      </c>
      <c r="B2781" s="109" t="s">
        <v>7388</v>
      </c>
      <c r="C2781" s="113">
        <v>2017</v>
      </c>
      <c r="D2781" s="112">
        <v>2132</v>
      </c>
      <c r="E2781" s="112">
        <v>11773</v>
      </c>
      <c r="F2781" s="112">
        <v>5213</v>
      </c>
      <c r="G2781" s="112">
        <v>6671</v>
      </c>
      <c r="H2781" s="112">
        <v>3175</v>
      </c>
      <c r="I2781" s="112">
        <v>251</v>
      </c>
      <c r="J2781" s="112">
        <v>277</v>
      </c>
      <c r="K2781" s="112">
        <v>26</v>
      </c>
      <c r="L2781" s="112">
        <v>1458</v>
      </c>
      <c r="M2781" s="112">
        <v>1383</v>
      </c>
      <c r="N2781" s="112">
        <v>75</v>
      </c>
      <c r="O2781" s="100"/>
      <c r="P2781" s="100"/>
      <c r="Q2781" s="100"/>
    </row>
    <row r="2782" spans="1:17" s="119" customFormat="1" ht="48" customHeight="1">
      <c r="A2782" s="109" t="s">
        <v>7387</v>
      </c>
      <c r="B2782" s="109" t="s">
        <v>7388</v>
      </c>
      <c r="C2782" s="113">
        <v>2018</v>
      </c>
      <c r="D2782" s="112">
        <v>2127</v>
      </c>
      <c r="E2782" s="112">
        <v>11628</v>
      </c>
      <c r="F2782" s="112">
        <v>5138</v>
      </c>
      <c r="G2782" s="112">
        <v>6573</v>
      </c>
      <c r="H2782" s="112">
        <v>3041</v>
      </c>
      <c r="I2782" s="112">
        <v>316</v>
      </c>
      <c r="J2782" s="112">
        <v>333</v>
      </c>
      <c r="K2782" s="112">
        <v>17</v>
      </c>
      <c r="L2782" s="112">
        <v>1452</v>
      </c>
      <c r="M2782" s="112">
        <v>1390</v>
      </c>
      <c r="N2782" s="112">
        <v>62</v>
      </c>
      <c r="O2782" s="100"/>
      <c r="P2782" s="100"/>
      <c r="Q2782" s="100"/>
    </row>
    <row r="2783" spans="1:17" s="119" customFormat="1" ht="48" customHeight="1">
      <c r="A2783" s="109" t="s">
        <v>7387</v>
      </c>
      <c r="B2783" s="109" t="s">
        <v>7388</v>
      </c>
      <c r="C2783" s="113">
        <v>2019</v>
      </c>
      <c r="D2783" s="112">
        <v>2046</v>
      </c>
      <c r="E2783" s="112">
        <v>11628.405669</v>
      </c>
      <c r="F2783" s="112">
        <v>5020.276175</v>
      </c>
      <c r="G2783" s="112">
        <v>6811.1692590000002</v>
      </c>
      <c r="H2783" s="112">
        <v>3033.620617</v>
      </c>
      <c r="I2783" s="112">
        <v>348.19398899999999</v>
      </c>
      <c r="J2783" s="112">
        <v>366.03849100000002</v>
      </c>
      <c r="K2783" s="112">
        <v>17.844501000000001</v>
      </c>
      <c r="L2783" s="112">
        <v>1575.4863809999999</v>
      </c>
      <c r="M2783" s="112">
        <v>1390.216919</v>
      </c>
      <c r="N2783" s="112">
        <v>185.269462</v>
      </c>
      <c r="O2783" s="110"/>
      <c r="P2783" s="110"/>
      <c r="Q2783" s="110"/>
    </row>
    <row r="2784" spans="1:17" s="119" customFormat="1" ht="48" customHeight="1">
      <c r="A2784" s="114" t="s">
        <v>7387</v>
      </c>
      <c r="B2784" s="114" t="s">
        <v>7388</v>
      </c>
      <c r="C2784" s="113">
        <v>2020</v>
      </c>
      <c r="D2784" s="112">
        <v>2019</v>
      </c>
      <c r="E2784" s="112">
        <v>9744.2190009999995</v>
      </c>
      <c r="F2784" s="112">
        <v>4263.3549039999998</v>
      </c>
      <c r="G2784" s="112">
        <v>5492.3250269999999</v>
      </c>
      <c r="H2784" s="112">
        <v>2811.3697689999999</v>
      </c>
      <c r="I2784" s="112">
        <v>221.30790500000001</v>
      </c>
      <c r="J2784" s="112">
        <v>241.17285799999999</v>
      </c>
      <c r="K2784" s="112">
        <v>19.864951999999999</v>
      </c>
      <c r="L2784" s="112">
        <v>1583.871611</v>
      </c>
      <c r="M2784" s="112">
        <v>1629.5889340000001</v>
      </c>
      <c r="N2784" s="112">
        <v>-45.717323</v>
      </c>
      <c r="O2784" s="110"/>
      <c r="P2784" s="110"/>
      <c r="Q2784" s="110"/>
    </row>
    <row r="2785" spans="1:17" s="119" customFormat="1" ht="31.75" customHeight="1">
      <c r="A2785" s="109" t="s">
        <v>7389</v>
      </c>
      <c r="B2785" s="109" t="s">
        <v>7390</v>
      </c>
      <c r="C2785" s="98">
        <v>2008</v>
      </c>
      <c r="D2785" s="99">
        <v>2382</v>
      </c>
      <c r="E2785" s="99">
        <v>8313</v>
      </c>
      <c r="F2785" s="99">
        <v>3617</v>
      </c>
      <c r="G2785" s="99">
        <v>4796</v>
      </c>
      <c r="H2785" s="99">
        <v>2025</v>
      </c>
      <c r="I2785" s="99">
        <v>125</v>
      </c>
      <c r="J2785" s="99">
        <v>172</v>
      </c>
      <c r="K2785" s="99">
        <v>46</v>
      </c>
      <c r="L2785" s="99">
        <v>1114</v>
      </c>
      <c r="M2785" s="99">
        <v>1014</v>
      </c>
      <c r="N2785" s="99">
        <v>100</v>
      </c>
      <c r="O2785" s="117"/>
      <c r="P2785" s="117"/>
      <c r="Q2785" s="117"/>
    </row>
    <row r="2786" spans="1:17" s="119" customFormat="1" ht="31.75" customHeight="1">
      <c r="A2786" s="109" t="s">
        <v>7389</v>
      </c>
      <c r="B2786" s="109" t="s">
        <v>7390</v>
      </c>
      <c r="C2786" s="98">
        <v>2009</v>
      </c>
      <c r="D2786" s="99">
        <v>2259</v>
      </c>
      <c r="E2786" s="99">
        <v>7148</v>
      </c>
      <c r="F2786" s="99">
        <v>2894</v>
      </c>
      <c r="G2786" s="99">
        <v>4222</v>
      </c>
      <c r="H2786" s="99">
        <v>1855</v>
      </c>
      <c r="I2786" s="99">
        <v>104</v>
      </c>
      <c r="J2786" s="99">
        <v>123</v>
      </c>
      <c r="K2786" s="99">
        <v>19</v>
      </c>
      <c r="L2786" s="99">
        <v>1384</v>
      </c>
      <c r="M2786" s="99">
        <v>1420</v>
      </c>
      <c r="N2786" s="99">
        <v>-36</v>
      </c>
      <c r="O2786" s="117"/>
      <c r="P2786" s="117"/>
      <c r="Q2786" s="117"/>
    </row>
    <row r="2787" spans="1:17" s="119" customFormat="1" ht="31.75" customHeight="1">
      <c r="A2787" s="109" t="s">
        <v>7389</v>
      </c>
      <c r="B2787" s="109" t="s">
        <v>7390</v>
      </c>
      <c r="C2787" s="98">
        <v>2010</v>
      </c>
      <c r="D2787" s="99">
        <v>2117</v>
      </c>
      <c r="E2787" s="99">
        <v>7395</v>
      </c>
      <c r="F2787" s="99">
        <v>3250</v>
      </c>
      <c r="G2787" s="99">
        <v>4124</v>
      </c>
      <c r="H2787" s="99">
        <v>1829</v>
      </c>
      <c r="I2787" s="99">
        <v>155</v>
      </c>
      <c r="J2787" s="99">
        <v>174</v>
      </c>
      <c r="K2787" s="99">
        <v>19</v>
      </c>
      <c r="L2787" s="99">
        <v>947</v>
      </c>
      <c r="M2787" s="99">
        <v>958</v>
      </c>
      <c r="N2787" s="99">
        <v>-11</v>
      </c>
      <c r="O2787" s="117"/>
      <c r="P2787" s="117"/>
      <c r="Q2787" s="117"/>
    </row>
    <row r="2788" spans="1:17" s="119" customFormat="1" ht="31.75" customHeight="1">
      <c r="A2788" s="109" t="s">
        <v>7389</v>
      </c>
      <c r="B2788" s="109" t="s">
        <v>7390</v>
      </c>
      <c r="C2788" s="98">
        <v>2011</v>
      </c>
      <c r="D2788" s="99">
        <v>2020</v>
      </c>
      <c r="E2788" s="99">
        <v>7830</v>
      </c>
      <c r="F2788" s="99">
        <v>3704</v>
      </c>
      <c r="G2788" s="99">
        <v>4278</v>
      </c>
      <c r="H2788" s="99">
        <v>1961</v>
      </c>
      <c r="I2788" s="99">
        <v>158</v>
      </c>
      <c r="J2788" s="99">
        <v>186</v>
      </c>
      <c r="K2788" s="99">
        <v>28</v>
      </c>
      <c r="L2788" s="99">
        <v>1143</v>
      </c>
      <c r="M2788" s="99">
        <v>993</v>
      </c>
      <c r="N2788" s="99">
        <v>150</v>
      </c>
      <c r="O2788" s="117"/>
      <c r="P2788" s="117"/>
      <c r="Q2788" s="117"/>
    </row>
    <row r="2789" spans="1:17" s="119" customFormat="1" ht="31.75" customHeight="1">
      <c r="A2789" s="109" t="s">
        <v>7389</v>
      </c>
      <c r="B2789" s="109" t="s">
        <v>7390</v>
      </c>
      <c r="C2789" s="111">
        <v>2012</v>
      </c>
      <c r="D2789" s="112">
        <v>1955</v>
      </c>
      <c r="E2789" s="112">
        <v>7545</v>
      </c>
      <c r="F2789" s="112">
        <v>3471</v>
      </c>
      <c r="G2789" s="112">
        <v>4166</v>
      </c>
      <c r="H2789" s="112">
        <v>1926</v>
      </c>
      <c r="I2789" s="112">
        <v>284</v>
      </c>
      <c r="J2789" s="112">
        <v>301</v>
      </c>
      <c r="K2789" s="112">
        <v>18</v>
      </c>
      <c r="L2789" s="112">
        <v>1214</v>
      </c>
      <c r="M2789" s="112">
        <v>1136</v>
      </c>
      <c r="N2789" s="112">
        <v>78</v>
      </c>
      <c r="O2789" s="110"/>
      <c r="P2789" s="110"/>
      <c r="Q2789" s="110"/>
    </row>
    <row r="2790" spans="1:17" s="119" customFormat="1" ht="31.75" customHeight="1">
      <c r="A2790" s="109" t="s">
        <v>7389</v>
      </c>
      <c r="B2790" s="109" t="s">
        <v>7390</v>
      </c>
      <c r="C2790" s="113">
        <v>2013</v>
      </c>
      <c r="D2790" s="112">
        <v>2032</v>
      </c>
      <c r="E2790" s="112">
        <v>8786</v>
      </c>
      <c r="F2790" s="112">
        <v>3611</v>
      </c>
      <c r="G2790" s="112">
        <v>5106</v>
      </c>
      <c r="H2790" s="112">
        <v>2370</v>
      </c>
      <c r="I2790" s="112">
        <v>215</v>
      </c>
      <c r="J2790" s="112">
        <v>228</v>
      </c>
      <c r="K2790" s="112">
        <v>13</v>
      </c>
      <c r="L2790" s="112">
        <v>1345</v>
      </c>
      <c r="M2790" s="112">
        <v>1433</v>
      </c>
      <c r="N2790" s="112">
        <v>-88</v>
      </c>
      <c r="O2790" s="110"/>
      <c r="P2790" s="110"/>
      <c r="Q2790" s="110"/>
    </row>
    <row r="2791" spans="1:17" s="119" customFormat="1" ht="31.75" customHeight="1">
      <c r="A2791" s="109" t="s">
        <v>7389</v>
      </c>
      <c r="B2791" s="109" t="s">
        <v>7390</v>
      </c>
      <c r="C2791" s="113">
        <v>2014</v>
      </c>
      <c r="D2791" s="99">
        <v>2051</v>
      </c>
      <c r="E2791" s="99">
        <v>9795</v>
      </c>
      <c r="F2791" s="99">
        <v>4102</v>
      </c>
      <c r="G2791" s="99">
        <v>5600</v>
      </c>
      <c r="H2791" s="99">
        <v>2378</v>
      </c>
      <c r="I2791" s="99">
        <v>291</v>
      </c>
      <c r="J2791" s="99">
        <v>316</v>
      </c>
      <c r="K2791" s="99">
        <v>26</v>
      </c>
      <c r="L2791" s="99">
        <v>1734</v>
      </c>
      <c r="M2791" s="99">
        <v>1867</v>
      </c>
      <c r="N2791" s="99">
        <v>-133</v>
      </c>
      <c r="O2791" s="100"/>
      <c r="P2791" s="100"/>
      <c r="Q2791" s="100"/>
    </row>
    <row r="2792" spans="1:17" s="119" customFormat="1" ht="31.75" customHeight="1">
      <c r="A2792" s="109" t="s">
        <v>7389</v>
      </c>
      <c r="B2792" s="109" t="s">
        <v>7390</v>
      </c>
      <c r="C2792" s="113">
        <v>2015</v>
      </c>
      <c r="D2792" s="112">
        <v>2069</v>
      </c>
      <c r="E2792" s="112">
        <v>9577</v>
      </c>
      <c r="F2792" s="112">
        <v>4114</v>
      </c>
      <c r="G2792" s="112">
        <v>5486</v>
      </c>
      <c r="H2792" s="112">
        <v>2538</v>
      </c>
      <c r="I2792" s="112">
        <v>263</v>
      </c>
      <c r="J2792" s="112">
        <v>305</v>
      </c>
      <c r="K2792" s="112">
        <v>42</v>
      </c>
      <c r="L2792" s="112">
        <v>1697</v>
      </c>
      <c r="M2792" s="112">
        <v>1750</v>
      </c>
      <c r="N2792" s="112">
        <v>-53</v>
      </c>
      <c r="O2792" s="110"/>
      <c r="P2792" s="110"/>
      <c r="Q2792" s="110"/>
    </row>
    <row r="2793" spans="1:17" s="119" customFormat="1" ht="31.75" customHeight="1">
      <c r="A2793" s="109" t="s">
        <v>7389</v>
      </c>
      <c r="B2793" s="109" t="s">
        <v>7390</v>
      </c>
      <c r="C2793" s="113">
        <v>2016</v>
      </c>
      <c r="D2793" s="112">
        <v>2074</v>
      </c>
      <c r="E2793" s="112">
        <v>10404</v>
      </c>
      <c r="F2793" s="112">
        <v>4165</v>
      </c>
      <c r="G2793" s="112">
        <v>6142</v>
      </c>
      <c r="H2793" s="112">
        <v>2903</v>
      </c>
      <c r="I2793" s="99" t="s">
        <v>6953</v>
      </c>
      <c r="J2793" s="99" t="s">
        <v>6953</v>
      </c>
      <c r="K2793" s="112">
        <v>40</v>
      </c>
      <c r="L2793" s="112">
        <v>1625</v>
      </c>
      <c r="M2793" s="112">
        <v>1749</v>
      </c>
      <c r="N2793" s="112">
        <v>-125</v>
      </c>
      <c r="O2793" s="100"/>
      <c r="P2793" s="100"/>
      <c r="Q2793" s="100"/>
    </row>
    <row r="2794" spans="1:17" s="119" customFormat="1" ht="31.75" customHeight="1">
      <c r="A2794" s="109" t="s">
        <v>7389</v>
      </c>
      <c r="B2794" s="109" t="s">
        <v>7390</v>
      </c>
      <c r="C2794" s="113">
        <v>2017</v>
      </c>
      <c r="D2794" s="112">
        <v>2054</v>
      </c>
      <c r="E2794" s="112">
        <v>11748</v>
      </c>
      <c r="F2794" s="112">
        <v>5200</v>
      </c>
      <c r="G2794" s="112">
        <v>6658</v>
      </c>
      <c r="H2794" s="112">
        <v>3166</v>
      </c>
      <c r="I2794" s="112">
        <v>250</v>
      </c>
      <c r="J2794" s="112">
        <v>276</v>
      </c>
      <c r="K2794" s="112">
        <v>26</v>
      </c>
      <c r="L2794" s="112">
        <v>1452</v>
      </c>
      <c r="M2794" s="112">
        <v>1379</v>
      </c>
      <c r="N2794" s="112">
        <v>73</v>
      </c>
      <c r="O2794" s="100"/>
      <c r="P2794" s="100"/>
      <c r="Q2794" s="100"/>
    </row>
    <row r="2795" spans="1:17" s="119" customFormat="1" ht="31.75" customHeight="1">
      <c r="A2795" s="109" t="s">
        <v>7389</v>
      </c>
      <c r="B2795" s="109" t="s">
        <v>7390</v>
      </c>
      <c r="C2795" s="113">
        <v>2018</v>
      </c>
      <c r="D2795" s="112">
        <v>2054</v>
      </c>
      <c r="E2795" s="112">
        <v>11605</v>
      </c>
      <c r="F2795" s="112">
        <v>5129</v>
      </c>
      <c r="G2795" s="112">
        <v>6560</v>
      </c>
      <c r="H2795" s="112">
        <v>3027</v>
      </c>
      <c r="I2795" s="112">
        <v>316</v>
      </c>
      <c r="J2795" s="112">
        <v>332</v>
      </c>
      <c r="K2795" s="112">
        <v>17</v>
      </c>
      <c r="L2795" s="112">
        <v>1449</v>
      </c>
      <c r="M2795" s="112">
        <v>1386</v>
      </c>
      <c r="N2795" s="112">
        <v>63</v>
      </c>
      <c r="O2795" s="110"/>
      <c r="P2795" s="110"/>
      <c r="Q2795" s="110"/>
    </row>
    <row r="2796" spans="1:17" s="119" customFormat="1" ht="31.75" customHeight="1">
      <c r="A2796" s="109" t="s">
        <v>7389</v>
      </c>
      <c r="B2796" s="109" t="s">
        <v>7390</v>
      </c>
      <c r="C2796" s="113">
        <v>2019</v>
      </c>
      <c r="D2796" s="112">
        <v>1974</v>
      </c>
      <c r="E2796" s="112">
        <v>11558.825579</v>
      </c>
      <c r="F2796" s="112">
        <v>5003.8667969999997</v>
      </c>
      <c r="G2796" s="112">
        <v>6759.6259330000003</v>
      </c>
      <c r="H2796" s="112">
        <v>3017.3371750000001</v>
      </c>
      <c r="I2796" s="112">
        <v>346.37635599999999</v>
      </c>
      <c r="J2796" s="112">
        <v>364.03927099999999</v>
      </c>
      <c r="K2796" s="112">
        <v>17.662915000000002</v>
      </c>
      <c r="L2796" s="112">
        <v>1565.7221770000001</v>
      </c>
      <c r="M2796" s="112">
        <v>1378.8253299999999</v>
      </c>
      <c r="N2796" s="112">
        <v>186.89684600000001</v>
      </c>
      <c r="O2796" s="110"/>
      <c r="P2796" s="110"/>
      <c r="Q2796" s="110"/>
    </row>
    <row r="2797" spans="1:17" s="119" customFormat="1" ht="31.75" customHeight="1">
      <c r="A2797" s="114" t="s">
        <v>7389</v>
      </c>
      <c r="B2797" s="114" t="s">
        <v>7390</v>
      </c>
      <c r="C2797" s="113">
        <v>2020</v>
      </c>
      <c r="D2797" s="112">
        <v>1956</v>
      </c>
      <c r="E2797" s="112">
        <v>9682.2919899999997</v>
      </c>
      <c r="F2797" s="112">
        <v>4247.8426239999999</v>
      </c>
      <c r="G2797" s="112">
        <v>5445.9321300000001</v>
      </c>
      <c r="H2797" s="112">
        <v>2797.4987099999998</v>
      </c>
      <c r="I2797" s="112">
        <v>220.30349799999999</v>
      </c>
      <c r="J2797" s="112">
        <v>240.05972600000001</v>
      </c>
      <c r="K2797" s="112">
        <v>19.756228</v>
      </c>
      <c r="L2797" s="112">
        <v>1573.2281989999999</v>
      </c>
      <c r="M2797" s="112">
        <v>1618.8615689999999</v>
      </c>
      <c r="N2797" s="112">
        <v>-45.633369999999999</v>
      </c>
      <c r="O2797" s="117"/>
      <c r="P2797" s="117"/>
      <c r="Q2797" s="117"/>
    </row>
    <row r="2798" spans="1:17" s="119" customFormat="1" ht="17.5" customHeight="1">
      <c r="A2798" s="109" t="s">
        <v>7391</v>
      </c>
      <c r="B2798" s="109" t="s">
        <v>7392</v>
      </c>
      <c r="C2798" s="98">
        <v>2008</v>
      </c>
      <c r="D2798" s="99">
        <v>81</v>
      </c>
      <c r="E2798" s="99">
        <v>78</v>
      </c>
      <c r="F2798" s="99">
        <v>34</v>
      </c>
      <c r="G2798" s="99">
        <v>46</v>
      </c>
      <c r="H2798" s="99">
        <v>16</v>
      </c>
      <c r="I2798" s="99">
        <v>1</v>
      </c>
      <c r="J2798" s="99">
        <v>1</v>
      </c>
      <c r="K2798" s="99" t="s">
        <v>6952</v>
      </c>
      <c r="L2798" s="99">
        <v>14</v>
      </c>
      <c r="M2798" s="99">
        <v>13</v>
      </c>
      <c r="N2798" s="99">
        <v>2</v>
      </c>
      <c r="O2798" s="117"/>
      <c r="P2798" s="117"/>
      <c r="Q2798" s="117"/>
    </row>
    <row r="2799" spans="1:17" s="119" customFormat="1" ht="17.5" customHeight="1">
      <c r="A2799" s="109" t="s">
        <v>7391</v>
      </c>
      <c r="B2799" s="109" t="s">
        <v>7392</v>
      </c>
      <c r="C2799" s="98">
        <v>2009</v>
      </c>
      <c r="D2799" s="99">
        <v>70</v>
      </c>
      <c r="E2799" s="99">
        <v>74</v>
      </c>
      <c r="F2799" s="99">
        <v>27</v>
      </c>
      <c r="G2799" s="99">
        <v>47</v>
      </c>
      <c r="H2799" s="99">
        <v>16</v>
      </c>
      <c r="I2799" s="99">
        <v>1</v>
      </c>
      <c r="J2799" s="99">
        <v>1</v>
      </c>
      <c r="K2799" s="99">
        <v>0</v>
      </c>
      <c r="L2799" s="99">
        <v>9</v>
      </c>
      <c r="M2799" s="99">
        <v>9</v>
      </c>
      <c r="N2799" s="99" t="s">
        <v>6952</v>
      </c>
      <c r="O2799" s="117"/>
      <c r="P2799" s="117"/>
      <c r="Q2799" s="117"/>
    </row>
    <row r="2800" spans="1:17" s="119" customFormat="1" ht="17.5" customHeight="1">
      <c r="A2800" s="109" t="s">
        <v>7391</v>
      </c>
      <c r="B2800" s="109" t="s">
        <v>7392</v>
      </c>
      <c r="C2800" s="98">
        <v>2010</v>
      </c>
      <c r="D2800" s="99">
        <v>71</v>
      </c>
      <c r="E2800" s="99">
        <v>90</v>
      </c>
      <c r="F2800" s="99">
        <v>43</v>
      </c>
      <c r="G2800" s="99">
        <v>49</v>
      </c>
      <c r="H2800" s="99">
        <v>23</v>
      </c>
      <c r="I2800" s="99">
        <v>1</v>
      </c>
      <c r="J2800" s="99">
        <v>1</v>
      </c>
      <c r="K2800" s="99" t="s">
        <v>6952</v>
      </c>
      <c r="L2800" s="99">
        <v>14</v>
      </c>
      <c r="M2800" s="99">
        <v>12</v>
      </c>
      <c r="N2800" s="99">
        <v>2</v>
      </c>
      <c r="O2800" s="117"/>
      <c r="P2800" s="117"/>
      <c r="Q2800" s="117"/>
    </row>
    <row r="2801" spans="1:17" s="119" customFormat="1" ht="17.5" customHeight="1">
      <c r="A2801" s="109" t="s">
        <v>7391</v>
      </c>
      <c r="B2801" s="109" t="s">
        <v>7392</v>
      </c>
      <c r="C2801" s="98">
        <v>2011</v>
      </c>
      <c r="D2801" s="99">
        <v>66</v>
      </c>
      <c r="E2801" s="99">
        <v>78</v>
      </c>
      <c r="F2801" s="99">
        <v>36</v>
      </c>
      <c r="G2801" s="99">
        <v>44</v>
      </c>
      <c r="H2801" s="99">
        <v>26</v>
      </c>
      <c r="I2801" s="99">
        <v>1</v>
      </c>
      <c r="J2801" s="99">
        <v>1</v>
      </c>
      <c r="K2801" s="99" t="s">
        <v>6952</v>
      </c>
      <c r="L2801" s="99">
        <v>12</v>
      </c>
      <c r="M2801" s="99">
        <v>10</v>
      </c>
      <c r="N2801" s="99">
        <v>2</v>
      </c>
      <c r="O2801" s="110"/>
      <c r="P2801" s="110"/>
      <c r="Q2801" s="110"/>
    </row>
    <row r="2802" spans="1:17" s="119" customFormat="1" ht="17.5" customHeight="1">
      <c r="A2802" s="109" t="s">
        <v>7391</v>
      </c>
      <c r="B2802" s="109" t="s">
        <v>7392</v>
      </c>
      <c r="C2802" s="111">
        <v>2012</v>
      </c>
      <c r="D2802" s="112">
        <v>62</v>
      </c>
      <c r="E2802" s="112">
        <v>57</v>
      </c>
      <c r="F2802" s="112">
        <v>27</v>
      </c>
      <c r="G2802" s="112">
        <v>33</v>
      </c>
      <c r="H2802" s="112">
        <v>13</v>
      </c>
      <c r="I2802" s="112" t="s">
        <v>6952</v>
      </c>
      <c r="J2802" s="112" t="s">
        <v>6952</v>
      </c>
      <c r="K2802" s="99" t="s">
        <v>6952</v>
      </c>
      <c r="L2802" s="112">
        <v>17</v>
      </c>
      <c r="M2802" s="112">
        <v>14</v>
      </c>
      <c r="N2802" s="112">
        <v>3</v>
      </c>
      <c r="O2802" s="110"/>
      <c r="P2802" s="110"/>
      <c r="Q2802" s="110"/>
    </row>
    <row r="2803" spans="1:17" s="119" customFormat="1" ht="17.5" customHeight="1">
      <c r="A2803" s="109" t="s">
        <v>7391</v>
      </c>
      <c r="B2803" s="109" t="s">
        <v>7392</v>
      </c>
      <c r="C2803" s="113">
        <v>2013</v>
      </c>
      <c r="D2803" s="112">
        <v>67</v>
      </c>
      <c r="E2803" s="112">
        <v>19</v>
      </c>
      <c r="F2803" s="112">
        <v>13</v>
      </c>
      <c r="G2803" s="112">
        <v>5</v>
      </c>
      <c r="H2803" s="112">
        <v>7</v>
      </c>
      <c r="I2803" s="112" t="s">
        <v>6952</v>
      </c>
      <c r="J2803" s="112" t="s">
        <v>6952</v>
      </c>
      <c r="K2803" s="99" t="s">
        <v>6952</v>
      </c>
      <c r="L2803" s="112">
        <v>2</v>
      </c>
      <c r="M2803" s="112">
        <v>2</v>
      </c>
      <c r="N2803" s="112" t="s">
        <v>6952</v>
      </c>
      <c r="O2803" s="100"/>
      <c r="P2803" s="100"/>
      <c r="Q2803" s="100"/>
    </row>
    <row r="2804" spans="1:17" s="119" customFormat="1" ht="17.5" customHeight="1">
      <c r="A2804" s="109" t="s">
        <v>7391</v>
      </c>
      <c r="B2804" s="109" t="s">
        <v>7392</v>
      </c>
      <c r="C2804" s="113">
        <v>2014</v>
      </c>
      <c r="D2804" s="99">
        <v>66</v>
      </c>
      <c r="E2804" s="99">
        <v>32</v>
      </c>
      <c r="F2804" s="99">
        <v>13</v>
      </c>
      <c r="G2804" s="99">
        <v>21</v>
      </c>
      <c r="H2804" s="99">
        <v>12</v>
      </c>
      <c r="I2804" s="112" t="s">
        <v>6952</v>
      </c>
      <c r="J2804" s="99">
        <v>1</v>
      </c>
      <c r="K2804" s="99" t="s">
        <v>6952</v>
      </c>
      <c r="L2804" s="99">
        <v>27</v>
      </c>
      <c r="M2804" s="99">
        <v>25</v>
      </c>
      <c r="N2804" s="99">
        <v>3</v>
      </c>
      <c r="O2804" s="110"/>
      <c r="P2804" s="110"/>
      <c r="Q2804" s="110"/>
    </row>
    <row r="2805" spans="1:17" s="119" customFormat="1" ht="17.5" customHeight="1">
      <c r="A2805" s="109" t="s">
        <v>7391</v>
      </c>
      <c r="B2805" s="109" t="s">
        <v>7392</v>
      </c>
      <c r="C2805" s="113">
        <v>2015</v>
      </c>
      <c r="D2805" s="112">
        <v>75</v>
      </c>
      <c r="E2805" s="112">
        <v>45</v>
      </c>
      <c r="F2805" s="112">
        <v>31</v>
      </c>
      <c r="G2805" s="112">
        <v>14</v>
      </c>
      <c r="H2805" s="112">
        <v>10</v>
      </c>
      <c r="I2805" s="112">
        <v>1</v>
      </c>
      <c r="J2805" s="112">
        <v>1</v>
      </c>
      <c r="K2805" s="99" t="s">
        <v>6952</v>
      </c>
      <c r="L2805" s="112">
        <v>9</v>
      </c>
      <c r="M2805" s="112">
        <v>9</v>
      </c>
      <c r="N2805" s="112" t="s">
        <v>6952</v>
      </c>
      <c r="O2805" s="100"/>
      <c r="P2805" s="100"/>
      <c r="Q2805" s="100"/>
    </row>
    <row r="2806" spans="1:17" s="119" customFormat="1" ht="17.5" customHeight="1">
      <c r="A2806" s="109" t="s">
        <v>7391</v>
      </c>
      <c r="B2806" s="109" t="s">
        <v>7392</v>
      </c>
      <c r="C2806" s="113">
        <v>2016</v>
      </c>
      <c r="D2806" s="112">
        <v>74</v>
      </c>
      <c r="E2806" s="112">
        <v>15</v>
      </c>
      <c r="F2806" s="112">
        <v>8</v>
      </c>
      <c r="G2806" s="112">
        <v>8</v>
      </c>
      <c r="H2806" s="112">
        <v>6</v>
      </c>
      <c r="I2806" s="99" t="s">
        <v>6953</v>
      </c>
      <c r="J2806" s="99" t="s">
        <v>6953</v>
      </c>
      <c r="K2806" s="99" t="s">
        <v>6952</v>
      </c>
      <c r="L2806" s="112">
        <v>5</v>
      </c>
      <c r="M2806" s="112">
        <v>5</v>
      </c>
      <c r="N2806" s="112" t="s">
        <v>6952</v>
      </c>
      <c r="O2806" s="100"/>
      <c r="P2806" s="100"/>
      <c r="Q2806" s="100"/>
    </row>
    <row r="2807" spans="1:17" s="119" customFormat="1" ht="17.5" customHeight="1">
      <c r="A2807" s="109" t="s">
        <v>7391</v>
      </c>
      <c r="B2807" s="109" t="s">
        <v>7392</v>
      </c>
      <c r="C2807" s="113">
        <v>2017</v>
      </c>
      <c r="D2807" s="112">
        <v>78</v>
      </c>
      <c r="E2807" s="112">
        <v>24</v>
      </c>
      <c r="F2807" s="112">
        <v>13</v>
      </c>
      <c r="G2807" s="112">
        <v>13</v>
      </c>
      <c r="H2807" s="112">
        <v>9</v>
      </c>
      <c r="I2807" s="112" t="s">
        <v>6952</v>
      </c>
      <c r="J2807" s="112">
        <v>1</v>
      </c>
      <c r="K2807" s="99" t="s">
        <v>6952</v>
      </c>
      <c r="L2807" s="112">
        <v>6</v>
      </c>
      <c r="M2807" s="112">
        <v>5</v>
      </c>
      <c r="N2807" s="112">
        <v>1</v>
      </c>
      <c r="O2807" s="110"/>
      <c r="P2807" s="110"/>
      <c r="Q2807" s="110"/>
    </row>
    <row r="2808" spans="1:17" s="119" customFormat="1" ht="17.5" customHeight="1">
      <c r="A2808" s="109" t="s">
        <v>7391</v>
      </c>
      <c r="B2808" s="109" t="s">
        <v>7392</v>
      </c>
      <c r="C2808" s="113">
        <v>2018</v>
      </c>
      <c r="D2808" s="112">
        <v>73</v>
      </c>
      <c r="E2808" s="112">
        <v>22</v>
      </c>
      <c r="F2808" s="112">
        <v>9</v>
      </c>
      <c r="G2808" s="112">
        <v>13</v>
      </c>
      <c r="H2808" s="112">
        <v>14</v>
      </c>
      <c r="I2808" s="112">
        <v>1</v>
      </c>
      <c r="J2808" s="112">
        <v>1</v>
      </c>
      <c r="K2808" s="99" t="s">
        <v>6952</v>
      </c>
      <c r="L2808" s="112">
        <v>4</v>
      </c>
      <c r="M2808" s="112">
        <v>5</v>
      </c>
      <c r="N2808" s="112">
        <v>-1</v>
      </c>
      <c r="O2808" s="110"/>
      <c r="P2808" s="110"/>
      <c r="Q2808" s="110"/>
    </row>
    <row r="2809" spans="1:17" s="119" customFormat="1" ht="17.5" customHeight="1">
      <c r="A2809" s="109" t="s">
        <v>7391</v>
      </c>
      <c r="B2809" s="109" t="s">
        <v>7392</v>
      </c>
      <c r="C2809" s="113">
        <v>2019</v>
      </c>
      <c r="D2809" s="112">
        <v>72</v>
      </c>
      <c r="E2809" s="112">
        <v>69.580089999999998</v>
      </c>
      <c r="F2809" s="112">
        <v>16.409378</v>
      </c>
      <c r="G2809" s="112">
        <v>51.543326999999998</v>
      </c>
      <c r="H2809" s="112">
        <v>16.283442000000001</v>
      </c>
      <c r="I2809" s="112">
        <v>1.8176330000000001</v>
      </c>
      <c r="J2809" s="112">
        <v>1.99922</v>
      </c>
      <c r="K2809" s="112" t="s">
        <v>6952</v>
      </c>
      <c r="L2809" s="112">
        <v>9.7642039999999994</v>
      </c>
      <c r="M2809" s="112">
        <v>11.391589</v>
      </c>
      <c r="N2809" s="112">
        <v>-1.6273839999999999</v>
      </c>
      <c r="O2809" s="117"/>
      <c r="P2809" s="117"/>
      <c r="Q2809" s="117"/>
    </row>
    <row r="2810" spans="1:17" s="119" customFormat="1" ht="17.5" customHeight="1">
      <c r="A2810" s="114" t="s">
        <v>7391</v>
      </c>
      <c r="B2810" s="114" t="s">
        <v>7392</v>
      </c>
      <c r="C2810" s="113">
        <v>2020</v>
      </c>
      <c r="D2810" s="112">
        <v>63</v>
      </c>
      <c r="E2810" s="112">
        <v>61.927011</v>
      </c>
      <c r="F2810" s="112">
        <v>15.512280000000001</v>
      </c>
      <c r="G2810" s="112">
        <v>46.392896999999998</v>
      </c>
      <c r="H2810" s="112">
        <v>13.87106</v>
      </c>
      <c r="I2810" s="112">
        <v>1.004407</v>
      </c>
      <c r="J2810" s="112">
        <v>1.1131310000000001</v>
      </c>
      <c r="K2810" s="112" t="s">
        <v>6952</v>
      </c>
      <c r="L2810" s="112">
        <v>10.643412</v>
      </c>
      <c r="M2810" s="112">
        <v>10.727365000000001</v>
      </c>
      <c r="N2810" s="112" t="s">
        <v>6952</v>
      </c>
      <c r="O2810" s="117"/>
      <c r="P2810" s="117"/>
      <c r="Q2810" s="117"/>
    </row>
    <row r="2811" spans="1:17" s="119" customFormat="1" ht="31.75" customHeight="1">
      <c r="A2811" s="109" t="s">
        <v>7393</v>
      </c>
      <c r="B2811" s="109" t="s">
        <v>7394</v>
      </c>
      <c r="C2811" s="98">
        <v>2008</v>
      </c>
      <c r="D2811" s="99">
        <v>81</v>
      </c>
      <c r="E2811" s="99">
        <v>368</v>
      </c>
      <c r="F2811" s="99">
        <v>127</v>
      </c>
      <c r="G2811" s="99">
        <v>256</v>
      </c>
      <c r="H2811" s="99">
        <v>70</v>
      </c>
      <c r="I2811" s="99">
        <v>4</v>
      </c>
      <c r="J2811" s="99">
        <v>5</v>
      </c>
      <c r="K2811" s="99">
        <v>1</v>
      </c>
      <c r="L2811" s="99">
        <v>47</v>
      </c>
      <c r="M2811" s="99">
        <v>32</v>
      </c>
      <c r="N2811" s="99">
        <v>15</v>
      </c>
      <c r="O2811" s="117"/>
      <c r="P2811" s="117"/>
      <c r="Q2811" s="117"/>
    </row>
    <row r="2812" spans="1:17" s="119" customFormat="1" ht="31.75" customHeight="1">
      <c r="A2812" s="109" t="s">
        <v>7393</v>
      </c>
      <c r="B2812" s="109" t="s">
        <v>7394</v>
      </c>
      <c r="C2812" s="98">
        <v>2009</v>
      </c>
      <c r="D2812" s="99">
        <v>81</v>
      </c>
      <c r="E2812" s="99">
        <v>928</v>
      </c>
      <c r="F2812" s="99">
        <v>294</v>
      </c>
      <c r="G2812" s="99">
        <v>619</v>
      </c>
      <c r="H2812" s="99">
        <v>164</v>
      </c>
      <c r="I2812" s="99" t="s">
        <v>6953</v>
      </c>
      <c r="J2812" s="99">
        <v>10</v>
      </c>
      <c r="K2812" s="99" t="s">
        <v>6953</v>
      </c>
      <c r="L2812" s="99">
        <v>127</v>
      </c>
      <c r="M2812" s="99">
        <v>141</v>
      </c>
      <c r="N2812" s="99">
        <v>-15</v>
      </c>
      <c r="O2812" s="117"/>
      <c r="P2812" s="117"/>
      <c r="Q2812" s="117"/>
    </row>
    <row r="2813" spans="1:17" s="119" customFormat="1" ht="31.75" customHeight="1">
      <c r="A2813" s="109" t="s">
        <v>7393</v>
      </c>
      <c r="B2813" s="109" t="s">
        <v>7394</v>
      </c>
      <c r="C2813" s="98">
        <v>2010</v>
      </c>
      <c r="D2813" s="99">
        <v>83</v>
      </c>
      <c r="E2813" s="99">
        <v>1233</v>
      </c>
      <c r="F2813" s="99">
        <v>384</v>
      </c>
      <c r="G2813" s="99">
        <v>872</v>
      </c>
      <c r="H2813" s="99">
        <v>185</v>
      </c>
      <c r="I2813" s="99">
        <v>9</v>
      </c>
      <c r="J2813" s="99">
        <v>13</v>
      </c>
      <c r="K2813" s="99">
        <v>4</v>
      </c>
      <c r="L2813" s="99">
        <v>165</v>
      </c>
      <c r="M2813" s="99">
        <v>141</v>
      </c>
      <c r="N2813" s="99">
        <v>24</v>
      </c>
      <c r="O2813" s="110"/>
      <c r="P2813" s="110"/>
      <c r="Q2813" s="110"/>
    </row>
    <row r="2814" spans="1:17" s="119" customFormat="1" ht="31.75" customHeight="1">
      <c r="A2814" s="109" t="s">
        <v>7393</v>
      </c>
      <c r="B2814" s="109" t="s">
        <v>7394</v>
      </c>
      <c r="C2814" s="98">
        <v>2011</v>
      </c>
      <c r="D2814" s="99">
        <v>71</v>
      </c>
      <c r="E2814" s="99">
        <v>930</v>
      </c>
      <c r="F2814" s="99">
        <v>304</v>
      </c>
      <c r="G2814" s="99">
        <v>652</v>
      </c>
      <c r="H2814" s="99">
        <v>134</v>
      </c>
      <c r="I2814" s="99">
        <v>8</v>
      </c>
      <c r="J2814" s="99">
        <v>14</v>
      </c>
      <c r="K2814" s="99">
        <v>6</v>
      </c>
      <c r="L2814" s="99">
        <v>138</v>
      </c>
      <c r="M2814" s="99">
        <v>111</v>
      </c>
      <c r="N2814" s="99">
        <v>27</v>
      </c>
      <c r="O2814" s="110"/>
      <c r="P2814" s="110"/>
      <c r="Q2814" s="110"/>
    </row>
    <row r="2815" spans="1:17" s="119" customFormat="1" ht="31.75" customHeight="1">
      <c r="A2815" s="109" t="s">
        <v>7393</v>
      </c>
      <c r="B2815" s="109" t="s">
        <v>7394</v>
      </c>
      <c r="C2815" s="111">
        <v>2012</v>
      </c>
      <c r="D2815" s="112">
        <v>79</v>
      </c>
      <c r="E2815" s="112">
        <v>1059</v>
      </c>
      <c r="F2815" s="112">
        <v>332</v>
      </c>
      <c r="G2815" s="112">
        <v>783</v>
      </c>
      <c r="H2815" s="112">
        <v>143</v>
      </c>
      <c r="I2815" s="112">
        <v>12</v>
      </c>
      <c r="J2815" s="112">
        <v>14</v>
      </c>
      <c r="K2815" s="112">
        <v>2</v>
      </c>
      <c r="L2815" s="112">
        <v>221</v>
      </c>
      <c r="M2815" s="112">
        <v>163</v>
      </c>
      <c r="N2815" s="112">
        <v>58</v>
      </c>
      <c r="O2815" s="100"/>
      <c r="P2815" s="100"/>
      <c r="Q2815" s="100"/>
    </row>
    <row r="2816" spans="1:17" s="119" customFormat="1" ht="31.75" customHeight="1">
      <c r="A2816" s="109" t="s">
        <v>7393</v>
      </c>
      <c r="B2816" s="109" t="s">
        <v>7394</v>
      </c>
      <c r="C2816" s="113">
        <v>2013</v>
      </c>
      <c r="D2816" s="112">
        <v>92</v>
      </c>
      <c r="E2816" s="112">
        <v>1301</v>
      </c>
      <c r="F2816" s="112">
        <v>278</v>
      </c>
      <c r="G2816" s="112">
        <v>1024</v>
      </c>
      <c r="H2816" s="112">
        <v>172</v>
      </c>
      <c r="I2816" s="112">
        <v>22</v>
      </c>
      <c r="J2816" s="112">
        <v>23</v>
      </c>
      <c r="K2816" s="112">
        <v>2</v>
      </c>
      <c r="L2816" s="112">
        <v>166</v>
      </c>
      <c r="M2816" s="112">
        <v>162</v>
      </c>
      <c r="N2816" s="112">
        <v>3</v>
      </c>
      <c r="O2816" s="110"/>
      <c r="P2816" s="110"/>
      <c r="Q2816" s="110"/>
    </row>
    <row r="2817" spans="1:17" s="119" customFormat="1" ht="31.75" customHeight="1">
      <c r="A2817" s="109" t="s">
        <v>7393</v>
      </c>
      <c r="B2817" s="109" t="s">
        <v>7394</v>
      </c>
      <c r="C2817" s="113">
        <v>2014</v>
      </c>
      <c r="D2817" s="99">
        <v>104</v>
      </c>
      <c r="E2817" s="99">
        <v>1215</v>
      </c>
      <c r="F2817" s="99">
        <v>328</v>
      </c>
      <c r="G2817" s="99">
        <v>905</v>
      </c>
      <c r="H2817" s="99">
        <v>184</v>
      </c>
      <c r="I2817" s="99">
        <v>28</v>
      </c>
      <c r="J2817" s="99" t="s">
        <v>6953</v>
      </c>
      <c r="K2817" s="99" t="s">
        <v>6953</v>
      </c>
      <c r="L2817" s="99">
        <v>169</v>
      </c>
      <c r="M2817" s="99">
        <v>149</v>
      </c>
      <c r="N2817" s="99">
        <v>20</v>
      </c>
      <c r="O2817" s="100"/>
      <c r="P2817" s="100"/>
      <c r="Q2817" s="100"/>
    </row>
    <row r="2818" spans="1:17" s="119" customFormat="1" ht="31.75" customHeight="1">
      <c r="A2818" s="109" t="s">
        <v>7393</v>
      </c>
      <c r="B2818" s="109" t="s">
        <v>7394</v>
      </c>
      <c r="C2818" s="113">
        <v>2015</v>
      </c>
      <c r="D2818" s="112">
        <v>124</v>
      </c>
      <c r="E2818" s="112">
        <v>1368</v>
      </c>
      <c r="F2818" s="112">
        <v>475</v>
      </c>
      <c r="G2818" s="112">
        <v>885</v>
      </c>
      <c r="H2818" s="112">
        <v>223</v>
      </c>
      <c r="I2818" s="112">
        <v>36</v>
      </c>
      <c r="J2818" s="112">
        <v>37</v>
      </c>
      <c r="K2818" s="112">
        <v>1</v>
      </c>
      <c r="L2818" s="112">
        <v>202</v>
      </c>
      <c r="M2818" s="112">
        <v>206</v>
      </c>
      <c r="N2818" s="112">
        <v>-4</v>
      </c>
      <c r="O2818" s="100"/>
      <c r="P2818" s="100"/>
      <c r="Q2818" s="100"/>
    </row>
    <row r="2819" spans="1:17" s="119" customFormat="1" ht="31.75" customHeight="1">
      <c r="A2819" s="109" t="s">
        <v>7393</v>
      </c>
      <c r="B2819" s="109" t="s">
        <v>7394</v>
      </c>
      <c r="C2819" s="113">
        <v>2016</v>
      </c>
      <c r="D2819" s="112">
        <v>133</v>
      </c>
      <c r="E2819" s="112">
        <v>1311</v>
      </c>
      <c r="F2819" s="112">
        <v>452</v>
      </c>
      <c r="G2819" s="112">
        <v>896</v>
      </c>
      <c r="H2819" s="112">
        <v>226</v>
      </c>
      <c r="I2819" s="112">
        <v>38</v>
      </c>
      <c r="J2819" s="112">
        <v>43</v>
      </c>
      <c r="K2819" s="112">
        <v>6</v>
      </c>
      <c r="L2819" s="112">
        <v>234</v>
      </c>
      <c r="M2819" s="112">
        <v>196</v>
      </c>
      <c r="N2819" s="112">
        <v>38</v>
      </c>
      <c r="O2819" s="110"/>
      <c r="P2819" s="110"/>
      <c r="Q2819" s="110"/>
    </row>
    <row r="2820" spans="1:17" s="119" customFormat="1" ht="31.75" customHeight="1">
      <c r="A2820" s="109" t="s">
        <v>7393</v>
      </c>
      <c r="B2820" s="109" t="s">
        <v>7394</v>
      </c>
      <c r="C2820" s="113">
        <v>2017</v>
      </c>
      <c r="D2820" s="112">
        <v>130</v>
      </c>
      <c r="E2820" s="112">
        <v>1416</v>
      </c>
      <c r="F2820" s="112">
        <v>420</v>
      </c>
      <c r="G2820" s="112">
        <v>971</v>
      </c>
      <c r="H2820" s="112">
        <v>233</v>
      </c>
      <c r="I2820" s="112">
        <v>30</v>
      </c>
      <c r="J2820" s="112">
        <v>30</v>
      </c>
      <c r="K2820" s="112">
        <v>1</v>
      </c>
      <c r="L2820" s="112">
        <v>208</v>
      </c>
      <c r="M2820" s="112">
        <v>229</v>
      </c>
      <c r="N2820" s="112">
        <v>-21</v>
      </c>
      <c r="O2820" s="110"/>
      <c r="P2820" s="110"/>
      <c r="Q2820" s="110"/>
    </row>
    <row r="2821" spans="1:17" s="119" customFormat="1" ht="31.75" customHeight="1">
      <c r="A2821" s="109" t="s">
        <v>7393</v>
      </c>
      <c r="B2821" s="109" t="s">
        <v>7394</v>
      </c>
      <c r="C2821" s="113">
        <v>2018</v>
      </c>
      <c r="D2821" s="112">
        <v>138</v>
      </c>
      <c r="E2821" s="112">
        <v>1477</v>
      </c>
      <c r="F2821" s="112">
        <v>456</v>
      </c>
      <c r="G2821" s="112">
        <v>1047</v>
      </c>
      <c r="H2821" s="112">
        <v>235</v>
      </c>
      <c r="I2821" s="112">
        <v>46</v>
      </c>
      <c r="J2821" s="112">
        <v>47</v>
      </c>
      <c r="K2821" s="112">
        <v>1</v>
      </c>
      <c r="L2821" s="112">
        <v>247</v>
      </c>
      <c r="M2821" s="112">
        <v>218</v>
      </c>
      <c r="N2821" s="112">
        <v>29</v>
      </c>
      <c r="O2821" s="117"/>
      <c r="P2821" s="117"/>
      <c r="Q2821" s="117"/>
    </row>
    <row r="2822" spans="1:17" s="119" customFormat="1" ht="31.75" customHeight="1">
      <c r="A2822" s="109" t="s">
        <v>7393</v>
      </c>
      <c r="B2822" s="109" t="s">
        <v>7394</v>
      </c>
      <c r="C2822" s="113">
        <v>2019</v>
      </c>
      <c r="D2822" s="112">
        <v>140</v>
      </c>
      <c r="E2822" s="112">
        <v>1681.601709</v>
      </c>
      <c r="F2822" s="112">
        <v>551.374863</v>
      </c>
      <c r="G2822" s="112">
        <v>1160.6598759999999</v>
      </c>
      <c r="H2822" s="112">
        <v>283.96837099999999</v>
      </c>
      <c r="I2822" s="112">
        <v>33.745348</v>
      </c>
      <c r="J2822" s="112">
        <v>34.714401000000002</v>
      </c>
      <c r="K2822" s="112">
        <v>0.96905300000000005</v>
      </c>
      <c r="L2822" s="112">
        <v>279.13531499999999</v>
      </c>
      <c r="M2822" s="112">
        <v>258.69650999999999</v>
      </c>
      <c r="N2822" s="112">
        <v>20.438804999999999</v>
      </c>
      <c r="O2822" s="117"/>
      <c r="P2822" s="117"/>
      <c r="Q2822" s="117"/>
    </row>
    <row r="2823" spans="1:17" s="119" customFormat="1" ht="31.75" customHeight="1">
      <c r="A2823" s="114" t="s">
        <v>7393</v>
      </c>
      <c r="B2823" s="114" t="s">
        <v>7394</v>
      </c>
      <c r="C2823" s="113">
        <v>2020</v>
      </c>
      <c r="D2823" s="112">
        <v>147</v>
      </c>
      <c r="E2823" s="112">
        <v>1815.47543</v>
      </c>
      <c r="F2823" s="112">
        <v>510.21286800000001</v>
      </c>
      <c r="G2823" s="112">
        <v>1273.426226</v>
      </c>
      <c r="H2823" s="112">
        <v>301.73702100000003</v>
      </c>
      <c r="I2823" s="112">
        <v>28.838317</v>
      </c>
      <c r="J2823" s="112">
        <v>31.606618000000001</v>
      </c>
      <c r="K2823" s="112">
        <v>2.7683010000000001</v>
      </c>
      <c r="L2823" s="112">
        <v>237.55950899999999</v>
      </c>
      <c r="M2823" s="112">
        <v>256.873423</v>
      </c>
      <c r="N2823" s="112">
        <v>-19.313915000000001</v>
      </c>
      <c r="O2823" s="117"/>
      <c r="P2823" s="117"/>
      <c r="Q2823" s="117"/>
    </row>
    <row r="2824" spans="1:17" s="119" customFormat="1" ht="31.75" customHeight="1">
      <c r="A2824" s="109" t="s">
        <v>7395</v>
      </c>
      <c r="B2824" s="109" t="s">
        <v>7396</v>
      </c>
      <c r="C2824" s="98">
        <v>2008</v>
      </c>
      <c r="D2824" s="99">
        <v>166</v>
      </c>
      <c r="E2824" s="99">
        <v>464</v>
      </c>
      <c r="F2824" s="99">
        <v>248</v>
      </c>
      <c r="G2824" s="99">
        <v>229</v>
      </c>
      <c r="H2824" s="99">
        <v>103</v>
      </c>
      <c r="I2824" s="99" t="s">
        <v>6953</v>
      </c>
      <c r="J2824" s="99" t="s">
        <v>6953</v>
      </c>
      <c r="K2824" s="99" t="s">
        <v>6953</v>
      </c>
      <c r="L2824" s="99">
        <v>95</v>
      </c>
      <c r="M2824" s="99">
        <v>82</v>
      </c>
      <c r="N2824" s="99">
        <v>13</v>
      </c>
      <c r="O2824" s="117"/>
      <c r="P2824" s="117"/>
      <c r="Q2824" s="117"/>
    </row>
    <row r="2825" spans="1:17" s="119" customFormat="1" ht="31.75" customHeight="1">
      <c r="A2825" s="109" t="s">
        <v>7395</v>
      </c>
      <c r="B2825" s="109" t="s">
        <v>7396</v>
      </c>
      <c r="C2825" s="98">
        <v>2009</v>
      </c>
      <c r="D2825" s="99" t="s">
        <v>6953</v>
      </c>
      <c r="E2825" s="99" t="s">
        <v>6953</v>
      </c>
      <c r="F2825" s="99" t="s">
        <v>6953</v>
      </c>
      <c r="G2825" s="99" t="s">
        <v>6953</v>
      </c>
      <c r="H2825" s="99" t="s">
        <v>6953</v>
      </c>
      <c r="I2825" s="99" t="s">
        <v>6953</v>
      </c>
      <c r="J2825" s="99" t="s">
        <v>6953</v>
      </c>
      <c r="K2825" s="99" t="s">
        <v>6953</v>
      </c>
      <c r="L2825" s="99" t="s">
        <v>6953</v>
      </c>
      <c r="M2825" s="99" t="s">
        <v>6953</v>
      </c>
      <c r="N2825" s="99" t="s">
        <v>6953</v>
      </c>
      <c r="O2825" s="110"/>
      <c r="P2825" s="110"/>
      <c r="Q2825" s="110"/>
    </row>
    <row r="2826" spans="1:17" s="119" customFormat="1" ht="31.75" customHeight="1">
      <c r="A2826" s="109" t="s">
        <v>7395</v>
      </c>
      <c r="B2826" s="109" t="s">
        <v>7396</v>
      </c>
      <c r="C2826" s="98">
        <v>2010</v>
      </c>
      <c r="D2826" s="99">
        <v>218</v>
      </c>
      <c r="E2826" s="99">
        <v>630</v>
      </c>
      <c r="F2826" s="99">
        <v>227</v>
      </c>
      <c r="G2826" s="99">
        <v>409</v>
      </c>
      <c r="H2826" s="99">
        <v>143</v>
      </c>
      <c r="I2826" s="99">
        <v>21</v>
      </c>
      <c r="J2826" s="99" t="s">
        <v>6953</v>
      </c>
      <c r="K2826" s="99" t="s">
        <v>6953</v>
      </c>
      <c r="L2826" s="99">
        <v>130</v>
      </c>
      <c r="M2826" s="99">
        <v>123</v>
      </c>
      <c r="N2826" s="99">
        <v>7</v>
      </c>
      <c r="O2826" s="110"/>
      <c r="P2826" s="110"/>
      <c r="Q2826" s="110"/>
    </row>
    <row r="2827" spans="1:17" s="119" customFormat="1" ht="31.75" customHeight="1">
      <c r="A2827" s="109" t="s">
        <v>7395</v>
      </c>
      <c r="B2827" s="109" t="s">
        <v>7396</v>
      </c>
      <c r="C2827" s="98">
        <v>2011</v>
      </c>
      <c r="D2827" s="99" t="s">
        <v>6953</v>
      </c>
      <c r="E2827" s="99" t="s">
        <v>6953</v>
      </c>
      <c r="F2827" s="99" t="s">
        <v>6953</v>
      </c>
      <c r="G2827" s="99" t="s">
        <v>6953</v>
      </c>
      <c r="H2827" s="99" t="s">
        <v>6953</v>
      </c>
      <c r="I2827" s="99" t="s">
        <v>6953</v>
      </c>
      <c r="J2827" s="99" t="s">
        <v>6953</v>
      </c>
      <c r="K2827" s="99" t="s">
        <v>6953</v>
      </c>
      <c r="L2827" s="99" t="s">
        <v>6953</v>
      </c>
      <c r="M2827" s="99" t="s">
        <v>6953</v>
      </c>
      <c r="N2827" s="99" t="s">
        <v>6953</v>
      </c>
      <c r="O2827" s="100"/>
      <c r="P2827" s="100"/>
      <c r="Q2827" s="100"/>
    </row>
    <row r="2828" spans="1:17" s="119" customFormat="1" ht="31.75" customHeight="1">
      <c r="A2828" s="109" t="s">
        <v>7395</v>
      </c>
      <c r="B2828" s="109" t="s">
        <v>7396</v>
      </c>
      <c r="C2828" s="111">
        <v>2012</v>
      </c>
      <c r="D2828" s="99" t="s">
        <v>6953</v>
      </c>
      <c r="E2828" s="99" t="s">
        <v>6953</v>
      </c>
      <c r="F2828" s="99" t="s">
        <v>6953</v>
      </c>
      <c r="G2828" s="99" t="s">
        <v>6953</v>
      </c>
      <c r="H2828" s="99" t="s">
        <v>6953</v>
      </c>
      <c r="I2828" s="99" t="s">
        <v>6953</v>
      </c>
      <c r="J2828" s="99" t="s">
        <v>6953</v>
      </c>
      <c r="K2828" s="99" t="s">
        <v>6953</v>
      </c>
      <c r="L2828" s="99" t="s">
        <v>6953</v>
      </c>
      <c r="M2828" s="99" t="s">
        <v>6953</v>
      </c>
      <c r="N2828" s="99" t="s">
        <v>6953</v>
      </c>
      <c r="O2828" s="110"/>
      <c r="P2828" s="110"/>
      <c r="Q2828" s="110"/>
    </row>
    <row r="2829" spans="1:17" s="119" customFormat="1" ht="31.75" customHeight="1">
      <c r="A2829" s="109" t="s">
        <v>7395</v>
      </c>
      <c r="B2829" s="109" t="s">
        <v>7396</v>
      </c>
      <c r="C2829" s="113">
        <v>2013</v>
      </c>
      <c r="D2829" s="112">
        <v>291</v>
      </c>
      <c r="E2829" s="112">
        <v>778</v>
      </c>
      <c r="F2829" s="112">
        <v>309</v>
      </c>
      <c r="G2829" s="112">
        <v>477</v>
      </c>
      <c r="H2829" s="112">
        <v>216</v>
      </c>
      <c r="I2829" s="112">
        <v>14</v>
      </c>
      <c r="J2829" s="112">
        <v>19</v>
      </c>
      <c r="K2829" s="112">
        <v>5</v>
      </c>
      <c r="L2829" s="112">
        <v>156</v>
      </c>
      <c r="M2829" s="112">
        <v>145</v>
      </c>
      <c r="N2829" s="112">
        <v>12</v>
      </c>
      <c r="O2829" s="100"/>
      <c r="P2829" s="100"/>
      <c r="Q2829" s="100"/>
    </row>
    <row r="2830" spans="1:17" s="119" customFormat="1" ht="31.75" customHeight="1">
      <c r="A2830" s="109" t="s">
        <v>7395</v>
      </c>
      <c r="B2830" s="109" t="s">
        <v>7396</v>
      </c>
      <c r="C2830" s="113">
        <v>2014</v>
      </c>
      <c r="D2830" s="99">
        <v>276</v>
      </c>
      <c r="E2830" s="99">
        <v>936</v>
      </c>
      <c r="F2830" s="99">
        <v>311</v>
      </c>
      <c r="G2830" s="99">
        <v>631</v>
      </c>
      <c r="H2830" s="99">
        <v>224</v>
      </c>
      <c r="I2830" s="99">
        <v>25</v>
      </c>
      <c r="J2830" s="99" t="s">
        <v>6953</v>
      </c>
      <c r="K2830" s="99" t="s">
        <v>6953</v>
      </c>
      <c r="L2830" s="99">
        <v>187</v>
      </c>
      <c r="M2830" s="99">
        <v>181</v>
      </c>
      <c r="N2830" s="99">
        <v>6</v>
      </c>
      <c r="O2830" s="100"/>
      <c r="P2830" s="100"/>
      <c r="Q2830" s="100"/>
    </row>
    <row r="2831" spans="1:17" s="119" customFormat="1" ht="31.75" customHeight="1">
      <c r="A2831" s="109" t="s">
        <v>7395</v>
      </c>
      <c r="B2831" s="109" t="s">
        <v>7396</v>
      </c>
      <c r="C2831" s="113">
        <v>2015</v>
      </c>
      <c r="D2831" s="112">
        <v>276</v>
      </c>
      <c r="E2831" s="112">
        <v>814</v>
      </c>
      <c r="F2831" s="112">
        <v>320</v>
      </c>
      <c r="G2831" s="112">
        <v>492</v>
      </c>
      <c r="H2831" s="112">
        <v>191</v>
      </c>
      <c r="I2831" s="112">
        <v>26</v>
      </c>
      <c r="J2831" s="112">
        <v>26</v>
      </c>
      <c r="K2831" s="112" t="s">
        <v>6952</v>
      </c>
      <c r="L2831" s="112">
        <v>155</v>
      </c>
      <c r="M2831" s="112">
        <v>154</v>
      </c>
      <c r="N2831" s="112">
        <v>2</v>
      </c>
      <c r="O2831" s="110"/>
      <c r="P2831" s="110"/>
      <c r="Q2831" s="110"/>
    </row>
    <row r="2832" spans="1:17" s="119" customFormat="1" ht="31.75" customHeight="1">
      <c r="A2832" s="109" t="s">
        <v>7395</v>
      </c>
      <c r="B2832" s="109" t="s">
        <v>7396</v>
      </c>
      <c r="C2832" s="113">
        <v>2016</v>
      </c>
      <c r="D2832" s="112">
        <v>298</v>
      </c>
      <c r="E2832" s="112">
        <v>788</v>
      </c>
      <c r="F2832" s="112">
        <v>325</v>
      </c>
      <c r="G2832" s="112">
        <v>483</v>
      </c>
      <c r="H2832" s="112">
        <v>159</v>
      </c>
      <c r="I2832" s="112">
        <v>34</v>
      </c>
      <c r="J2832" s="112">
        <v>36</v>
      </c>
      <c r="K2832" s="112">
        <v>3</v>
      </c>
      <c r="L2832" s="112">
        <v>109</v>
      </c>
      <c r="M2832" s="112">
        <v>98</v>
      </c>
      <c r="N2832" s="112">
        <v>11</v>
      </c>
      <c r="O2832" s="110"/>
      <c r="P2832" s="110"/>
      <c r="Q2832" s="110"/>
    </row>
    <row r="2833" spans="1:17" s="119" customFormat="1" ht="31.75" customHeight="1">
      <c r="A2833" s="109" t="s">
        <v>7395</v>
      </c>
      <c r="B2833" s="109" t="s">
        <v>7396</v>
      </c>
      <c r="C2833" s="113">
        <v>2017</v>
      </c>
      <c r="D2833" s="99" t="s">
        <v>6953</v>
      </c>
      <c r="E2833" s="99" t="s">
        <v>6953</v>
      </c>
      <c r="F2833" s="99" t="s">
        <v>6953</v>
      </c>
      <c r="G2833" s="99" t="s">
        <v>6953</v>
      </c>
      <c r="H2833" s="99" t="s">
        <v>6953</v>
      </c>
      <c r="I2833" s="99" t="s">
        <v>6953</v>
      </c>
      <c r="J2833" s="99" t="s">
        <v>6953</v>
      </c>
      <c r="K2833" s="99" t="s">
        <v>6953</v>
      </c>
      <c r="L2833" s="99" t="s">
        <v>6953</v>
      </c>
      <c r="M2833" s="99" t="s">
        <v>6953</v>
      </c>
      <c r="N2833" s="99" t="s">
        <v>6953</v>
      </c>
      <c r="O2833" s="117"/>
      <c r="P2833" s="117"/>
      <c r="Q2833" s="117"/>
    </row>
    <row r="2834" spans="1:17" s="119" customFormat="1" ht="31.75" customHeight="1">
      <c r="A2834" s="109" t="s">
        <v>7395</v>
      </c>
      <c r="B2834" s="109" t="s">
        <v>7396</v>
      </c>
      <c r="C2834" s="113">
        <v>2018</v>
      </c>
      <c r="D2834" s="112">
        <v>305</v>
      </c>
      <c r="E2834" s="112">
        <v>833</v>
      </c>
      <c r="F2834" s="112">
        <v>354</v>
      </c>
      <c r="G2834" s="112">
        <v>498</v>
      </c>
      <c r="H2834" s="112">
        <v>201</v>
      </c>
      <c r="I2834" s="112">
        <v>25</v>
      </c>
      <c r="J2834" s="112">
        <v>25</v>
      </c>
      <c r="K2834" s="112">
        <v>1</v>
      </c>
      <c r="L2834" s="112">
        <v>164</v>
      </c>
      <c r="M2834" s="112">
        <v>144</v>
      </c>
      <c r="N2834" s="112">
        <v>20</v>
      </c>
      <c r="O2834" s="117"/>
      <c r="P2834" s="117"/>
      <c r="Q2834" s="117"/>
    </row>
    <row r="2835" spans="1:17" s="119" customFormat="1" ht="31.75" customHeight="1">
      <c r="A2835" s="109" t="s">
        <v>7395</v>
      </c>
      <c r="B2835" s="109" t="s">
        <v>7396</v>
      </c>
      <c r="C2835" s="113">
        <v>2019</v>
      </c>
      <c r="D2835" s="112">
        <v>346</v>
      </c>
      <c r="E2835" s="112">
        <v>964.94882199999995</v>
      </c>
      <c r="F2835" s="112">
        <v>487.67792200000002</v>
      </c>
      <c r="G2835" s="112">
        <v>485.12795899999998</v>
      </c>
      <c r="H2835" s="112">
        <v>243.28308999999999</v>
      </c>
      <c r="I2835" s="112">
        <v>44.626058999999998</v>
      </c>
      <c r="J2835" s="112">
        <v>45.434707000000003</v>
      </c>
      <c r="K2835" s="112">
        <v>0.80864800000000003</v>
      </c>
      <c r="L2835" s="112">
        <v>203.895556</v>
      </c>
      <c r="M2835" s="112">
        <v>194.848815</v>
      </c>
      <c r="N2835" s="112">
        <v>9.0467410000000008</v>
      </c>
      <c r="O2835" s="117"/>
      <c r="P2835" s="117"/>
      <c r="Q2835" s="117"/>
    </row>
    <row r="2836" spans="1:17" s="119" customFormat="1" ht="31.75" customHeight="1">
      <c r="A2836" s="114" t="s">
        <v>7395</v>
      </c>
      <c r="B2836" s="114" t="s">
        <v>7396</v>
      </c>
      <c r="C2836" s="113">
        <v>2020</v>
      </c>
      <c r="D2836" s="112">
        <v>351</v>
      </c>
      <c r="E2836" s="112">
        <v>734.10120700000004</v>
      </c>
      <c r="F2836" s="112" t="s">
        <v>6953</v>
      </c>
      <c r="G2836" s="112" t="s">
        <v>6953</v>
      </c>
      <c r="H2836" s="112" t="s">
        <v>6953</v>
      </c>
      <c r="I2836" s="112" t="s">
        <v>6953</v>
      </c>
      <c r="J2836" s="112" t="s">
        <v>6953</v>
      </c>
      <c r="K2836" s="112" t="s">
        <v>6953</v>
      </c>
      <c r="L2836" s="112" t="s">
        <v>6953</v>
      </c>
      <c r="M2836" s="112" t="s">
        <v>6953</v>
      </c>
      <c r="N2836" s="112" t="s">
        <v>6953</v>
      </c>
      <c r="O2836" s="117"/>
      <c r="P2836" s="117"/>
      <c r="Q2836" s="117"/>
    </row>
    <row r="2837" spans="1:17" s="119" customFormat="1" ht="17.5" customHeight="1">
      <c r="A2837" s="109" t="s">
        <v>7397</v>
      </c>
      <c r="B2837" s="109" t="s">
        <v>7398</v>
      </c>
      <c r="C2837" s="98">
        <v>2008</v>
      </c>
      <c r="D2837" s="99">
        <v>41</v>
      </c>
      <c r="E2837" s="99">
        <v>4</v>
      </c>
      <c r="F2837" s="99">
        <v>2</v>
      </c>
      <c r="G2837" s="99">
        <v>2</v>
      </c>
      <c r="H2837" s="99">
        <v>2</v>
      </c>
      <c r="I2837" s="99" t="s">
        <v>6952</v>
      </c>
      <c r="J2837" s="99" t="s">
        <v>6952</v>
      </c>
      <c r="K2837" s="99">
        <v>0</v>
      </c>
      <c r="L2837" s="99" t="s">
        <v>6952</v>
      </c>
      <c r="M2837" s="99" t="s">
        <v>6952</v>
      </c>
      <c r="N2837" s="99" t="s">
        <v>6952</v>
      </c>
      <c r="O2837" s="110"/>
      <c r="P2837" s="110"/>
      <c r="Q2837" s="110"/>
    </row>
    <row r="2838" spans="1:17" s="119" customFormat="1" ht="17.5" customHeight="1">
      <c r="A2838" s="109" t="s">
        <v>7397</v>
      </c>
      <c r="B2838" s="109" t="s">
        <v>7398</v>
      </c>
      <c r="C2838" s="98">
        <v>2009</v>
      </c>
      <c r="D2838" s="99" t="s">
        <v>6953</v>
      </c>
      <c r="E2838" s="99" t="s">
        <v>6953</v>
      </c>
      <c r="F2838" s="99" t="s">
        <v>6953</v>
      </c>
      <c r="G2838" s="99" t="s">
        <v>6953</v>
      </c>
      <c r="H2838" s="99" t="s">
        <v>6953</v>
      </c>
      <c r="I2838" s="99" t="s">
        <v>6953</v>
      </c>
      <c r="J2838" s="99" t="s">
        <v>6953</v>
      </c>
      <c r="K2838" s="99" t="s">
        <v>6953</v>
      </c>
      <c r="L2838" s="99" t="s">
        <v>6953</v>
      </c>
      <c r="M2838" s="99" t="s">
        <v>6953</v>
      </c>
      <c r="N2838" s="99" t="s">
        <v>6953</v>
      </c>
      <c r="O2838" s="110"/>
      <c r="P2838" s="110"/>
      <c r="Q2838" s="110"/>
    </row>
    <row r="2839" spans="1:17" s="119" customFormat="1" ht="17.5" customHeight="1">
      <c r="A2839" s="109" t="s">
        <v>7397</v>
      </c>
      <c r="B2839" s="109" t="s">
        <v>7398</v>
      </c>
      <c r="C2839" s="98">
        <v>2010</v>
      </c>
      <c r="D2839" s="99">
        <v>0</v>
      </c>
      <c r="E2839" s="99">
        <v>0</v>
      </c>
      <c r="F2839" s="99">
        <v>0</v>
      </c>
      <c r="G2839" s="99">
        <v>0</v>
      </c>
      <c r="H2839" s="99">
        <v>0</v>
      </c>
      <c r="I2839" s="99">
        <v>0</v>
      </c>
      <c r="J2839" s="99">
        <v>0</v>
      </c>
      <c r="K2839" s="99">
        <v>0</v>
      </c>
      <c r="L2839" s="99">
        <v>0</v>
      </c>
      <c r="M2839" s="99">
        <v>0</v>
      </c>
      <c r="N2839" s="99">
        <v>0</v>
      </c>
      <c r="O2839" s="100"/>
      <c r="P2839" s="100"/>
      <c r="Q2839" s="100"/>
    </row>
    <row r="2840" spans="1:17" s="119" customFormat="1" ht="17.5" customHeight="1">
      <c r="A2840" s="109" t="s">
        <v>7397</v>
      </c>
      <c r="B2840" s="109" t="s">
        <v>7398</v>
      </c>
      <c r="C2840" s="98">
        <v>2011</v>
      </c>
      <c r="D2840" s="99" t="s">
        <v>6953</v>
      </c>
      <c r="E2840" s="99" t="s">
        <v>6953</v>
      </c>
      <c r="F2840" s="99" t="s">
        <v>6953</v>
      </c>
      <c r="G2840" s="99" t="s">
        <v>6953</v>
      </c>
      <c r="H2840" s="99" t="s">
        <v>6953</v>
      </c>
      <c r="I2840" s="99" t="s">
        <v>6953</v>
      </c>
      <c r="J2840" s="99" t="s">
        <v>6953</v>
      </c>
      <c r="K2840" s="99" t="s">
        <v>6953</v>
      </c>
      <c r="L2840" s="99" t="s">
        <v>6953</v>
      </c>
      <c r="M2840" s="99" t="s">
        <v>6953</v>
      </c>
      <c r="N2840" s="99" t="s">
        <v>6953</v>
      </c>
      <c r="O2840" s="110"/>
      <c r="P2840" s="110"/>
      <c r="Q2840" s="110"/>
    </row>
    <row r="2841" spans="1:17" s="119" customFormat="1" ht="17.5" customHeight="1">
      <c r="A2841" s="109" t="s">
        <v>7397</v>
      </c>
      <c r="B2841" s="109" t="s">
        <v>7398</v>
      </c>
      <c r="C2841" s="111">
        <v>2012</v>
      </c>
      <c r="D2841" s="99" t="s">
        <v>6953</v>
      </c>
      <c r="E2841" s="99" t="s">
        <v>6953</v>
      </c>
      <c r="F2841" s="99" t="s">
        <v>6953</v>
      </c>
      <c r="G2841" s="99" t="s">
        <v>6953</v>
      </c>
      <c r="H2841" s="99" t="s">
        <v>6953</v>
      </c>
      <c r="I2841" s="99" t="s">
        <v>6953</v>
      </c>
      <c r="J2841" s="99" t="s">
        <v>6953</v>
      </c>
      <c r="K2841" s="99" t="s">
        <v>6953</v>
      </c>
      <c r="L2841" s="99" t="s">
        <v>6953</v>
      </c>
      <c r="M2841" s="99" t="s">
        <v>6953</v>
      </c>
      <c r="N2841" s="99" t="s">
        <v>6953</v>
      </c>
      <c r="O2841" s="100"/>
      <c r="P2841" s="100"/>
      <c r="Q2841" s="100"/>
    </row>
    <row r="2842" spans="1:17" s="119" customFormat="1" ht="17.5" customHeight="1">
      <c r="A2842" s="109" t="s">
        <v>7397</v>
      </c>
      <c r="B2842" s="109" t="s">
        <v>7398</v>
      </c>
      <c r="C2842" s="113">
        <v>2013</v>
      </c>
      <c r="D2842" s="112">
        <v>31</v>
      </c>
      <c r="E2842" s="112">
        <v>11</v>
      </c>
      <c r="F2842" s="112">
        <v>5</v>
      </c>
      <c r="G2842" s="112">
        <v>6</v>
      </c>
      <c r="H2842" s="112">
        <v>1</v>
      </c>
      <c r="I2842" s="112" t="s">
        <v>6952</v>
      </c>
      <c r="J2842" s="112" t="s">
        <v>6952</v>
      </c>
      <c r="K2842" s="112" t="s">
        <v>6952</v>
      </c>
      <c r="L2842" s="112">
        <v>2</v>
      </c>
      <c r="M2842" s="112">
        <v>1</v>
      </c>
      <c r="N2842" s="112">
        <v>1</v>
      </c>
      <c r="O2842" s="100"/>
      <c r="P2842" s="100"/>
      <c r="Q2842" s="100"/>
    </row>
    <row r="2843" spans="1:17" s="119" customFormat="1" ht="17.5" customHeight="1">
      <c r="A2843" s="109" t="s">
        <v>7397</v>
      </c>
      <c r="B2843" s="109" t="s">
        <v>7398</v>
      </c>
      <c r="C2843" s="113">
        <v>2014</v>
      </c>
      <c r="D2843" s="99">
        <v>29</v>
      </c>
      <c r="E2843" s="99">
        <v>9</v>
      </c>
      <c r="F2843" s="99">
        <v>3</v>
      </c>
      <c r="G2843" s="99">
        <v>6</v>
      </c>
      <c r="H2843" s="99">
        <v>2</v>
      </c>
      <c r="I2843" s="112" t="s">
        <v>6952</v>
      </c>
      <c r="J2843" s="112" t="s">
        <v>6952</v>
      </c>
      <c r="K2843" s="112" t="s">
        <v>6952</v>
      </c>
      <c r="L2843" s="99">
        <v>2</v>
      </c>
      <c r="M2843" s="99">
        <v>2</v>
      </c>
      <c r="N2843" s="99" t="s">
        <v>6952</v>
      </c>
      <c r="O2843" s="110"/>
      <c r="P2843" s="110"/>
      <c r="Q2843" s="110"/>
    </row>
    <row r="2844" spans="1:17" s="119" customFormat="1" ht="17.5" customHeight="1">
      <c r="A2844" s="109" t="s">
        <v>7397</v>
      </c>
      <c r="B2844" s="109" t="s">
        <v>7398</v>
      </c>
      <c r="C2844" s="113">
        <v>2015</v>
      </c>
      <c r="D2844" s="112">
        <v>31</v>
      </c>
      <c r="E2844" s="112">
        <v>13</v>
      </c>
      <c r="F2844" s="112">
        <v>5</v>
      </c>
      <c r="G2844" s="112">
        <v>8</v>
      </c>
      <c r="H2844" s="112">
        <v>3</v>
      </c>
      <c r="I2844" s="112" t="s">
        <v>6952</v>
      </c>
      <c r="J2844" s="112" t="s">
        <v>6952</v>
      </c>
      <c r="K2844" s="112" t="s">
        <v>6952</v>
      </c>
      <c r="L2844" s="112">
        <v>1</v>
      </c>
      <c r="M2844" s="112">
        <v>1</v>
      </c>
      <c r="N2844" s="99" t="s">
        <v>6952</v>
      </c>
      <c r="O2844" s="110"/>
      <c r="P2844" s="110"/>
      <c r="Q2844" s="110"/>
    </row>
    <row r="2845" spans="1:17" s="119" customFormat="1" ht="17.5" customHeight="1">
      <c r="A2845" s="109" t="s">
        <v>7397</v>
      </c>
      <c r="B2845" s="109" t="s">
        <v>7398</v>
      </c>
      <c r="C2845" s="113">
        <v>2016</v>
      </c>
      <c r="D2845" s="112">
        <v>35</v>
      </c>
      <c r="E2845" s="112">
        <v>11</v>
      </c>
      <c r="F2845" s="112">
        <v>5</v>
      </c>
      <c r="G2845" s="112">
        <v>5</v>
      </c>
      <c r="H2845" s="112">
        <v>3</v>
      </c>
      <c r="I2845" s="112">
        <v>0</v>
      </c>
      <c r="J2845" s="112" t="s">
        <v>6952</v>
      </c>
      <c r="K2845" s="112" t="s">
        <v>6952</v>
      </c>
      <c r="L2845" s="112" t="s">
        <v>6952</v>
      </c>
      <c r="M2845" s="112" t="s">
        <v>6952</v>
      </c>
      <c r="N2845" s="112" t="s">
        <v>6952</v>
      </c>
      <c r="O2845" s="117"/>
      <c r="P2845" s="117"/>
      <c r="Q2845" s="117"/>
    </row>
    <row r="2846" spans="1:17" s="119" customFormat="1" ht="17.5" customHeight="1">
      <c r="A2846" s="109" t="s">
        <v>7397</v>
      </c>
      <c r="B2846" s="109" t="s">
        <v>7398</v>
      </c>
      <c r="C2846" s="113">
        <v>2017</v>
      </c>
      <c r="D2846" s="99" t="s">
        <v>6953</v>
      </c>
      <c r="E2846" s="99" t="s">
        <v>6953</v>
      </c>
      <c r="F2846" s="99" t="s">
        <v>6953</v>
      </c>
      <c r="G2846" s="99" t="s">
        <v>6953</v>
      </c>
      <c r="H2846" s="99" t="s">
        <v>6953</v>
      </c>
      <c r="I2846" s="99" t="s">
        <v>6953</v>
      </c>
      <c r="J2846" s="99" t="s">
        <v>6953</v>
      </c>
      <c r="K2846" s="99" t="s">
        <v>6953</v>
      </c>
      <c r="L2846" s="99" t="s">
        <v>6953</v>
      </c>
      <c r="M2846" s="99" t="s">
        <v>6953</v>
      </c>
      <c r="N2846" s="99" t="s">
        <v>6953</v>
      </c>
      <c r="O2846" s="117"/>
      <c r="P2846" s="117"/>
      <c r="Q2846" s="117"/>
    </row>
    <row r="2847" spans="1:17" s="119" customFormat="1" ht="17.5" customHeight="1">
      <c r="A2847" s="109" t="s">
        <v>7397</v>
      </c>
      <c r="B2847" s="109" t="s">
        <v>7398</v>
      </c>
      <c r="C2847" s="113">
        <v>2018</v>
      </c>
      <c r="D2847" s="112">
        <v>27</v>
      </c>
      <c r="E2847" s="112">
        <v>10</v>
      </c>
      <c r="F2847" s="112">
        <v>3</v>
      </c>
      <c r="G2847" s="112">
        <v>8</v>
      </c>
      <c r="H2847" s="112">
        <v>2</v>
      </c>
      <c r="I2847" s="112">
        <v>0</v>
      </c>
      <c r="J2847" s="112" t="s">
        <v>6952</v>
      </c>
      <c r="K2847" s="112" t="s">
        <v>6952</v>
      </c>
      <c r="L2847" s="112" t="s">
        <v>6952</v>
      </c>
      <c r="M2847" s="112" t="s">
        <v>6952</v>
      </c>
      <c r="N2847" s="112" t="s">
        <v>6952</v>
      </c>
      <c r="O2847" s="117"/>
      <c r="P2847" s="117"/>
      <c r="Q2847" s="117"/>
    </row>
    <row r="2848" spans="1:17" s="119" customFormat="1" ht="17.5" customHeight="1">
      <c r="A2848" s="109" t="s">
        <v>7397</v>
      </c>
      <c r="B2848" s="109" t="s">
        <v>7398</v>
      </c>
      <c r="C2848" s="113">
        <v>2019</v>
      </c>
      <c r="D2848" s="112">
        <v>23</v>
      </c>
      <c r="E2848" s="112">
        <v>17.666281000000001</v>
      </c>
      <c r="F2848" s="112">
        <v>13.983368</v>
      </c>
      <c r="G2848" s="112">
        <v>3.6829130000000001</v>
      </c>
      <c r="H2848" s="112">
        <v>2.4943369999999998</v>
      </c>
      <c r="I2848" s="112" t="s">
        <v>6952</v>
      </c>
      <c r="J2848" s="112" t="s">
        <v>6952</v>
      </c>
      <c r="K2848" s="112" t="s">
        <v>6952</v>
      </c>
      <c r="L2848" s="112">
        <v>1.6866810000000001</v>
      </c>
      <c r="M2848" s="112">
        <v>1.6866810000000001</v>
      </c>
      <c r="N2848" s="112">
        <v>0</v>
      </c>
      <c r="O2848" s="117"/>
      <c r="P2848" s="117"/>
      <c r="Q2848" s="117"/>
    </row>
    <row r="2849" spans="1:17" s="119" customFormat="1" ht="17.5" customHeight="1">
      <c r="A2849" s="114" t="s">
        <v>7397</v>
      </c>
      <c r="B2849" s="114" t="s">
        <v>7398</v>
      </c>
      <c r="C2849" s="113">
        <v>2020</v>
      </c>
      <c r="D2849" s="112">
        <v>24</v>
      </c>
      <c r="E2849" s="112">
        <v>25.531739999999999</v>
      </c>
      <c r="F2849" s="112" t="s">
        <v>6953</v>
      </c>
      <c r="G2849" s="112" t="s">
        <v>6953</v>
      </c>
      <c r="H2849" s="112" t="s">
        <v>6953</v>
      </c>
      <c r="I2849" s="112" t="s">
        <v>6953</v>
      </c>
      <c r="J2849" s="112" t="s">
        <v>6953</v>
      </c>
      <c r="K2849" s="112" t="s">
        <v>6953</v>
      </c>
      <c r="L2849" s="112" t="s">
        <v>6953</v>
      </c>
      <c r="M2849" s="112" t="s">
        <v>6953</v>
      </c>
      <c r="N2849" s="112" t="s">
        <v>6953</v>
      </c>
      <c r="O2849" s="110"/>
      <c r="P2849" s="110"/>
      <c r="Q2849" s="110"/>
    </row>
    <row r="2850" spans="1:17" s="110" customFormat="1" ht="17.5" customHeight="1">
      <c r="A2850" s="109" t="s">
        <v>7399</v>
      </c>
      <c r="B2850" s="109" t="s">
        <v>7400</v>
      </c>
      <c r="C2850" s="98">
        <v>2008</v>
      </c>
      <c r="D2850" s="99">
        <v>3288</v>
      </c>
      <c r="E2850" s="99">
        <v>13467</v>
      </c>
      <c r="F2850" s="99">
        <v>4351</v>
      </c>
      <c r="G2850" s="99">
        <v>9167</v>
      </c>
      <c r="H2850" s="99">
        <v>2755</v>
      </c>
      <c r="I2850" s="99">
        <v>224</v>
      </c>
      <c r="J2850" s="99">
        <v>296</v>
      </c>
      <c r="K2850" s="99">
        <v>72</v>
      </c>
      <c r="L2850" s="99">
        <v>1353</v>
      </c>
      <c r="M2850" s="99">
        <v>1292</v>
      </c>
      <c r="N2850" s="99">
        <v>61</v>
      </c>
    </row>
    <row r="2851" spans="1:17" s="110" customFormat="1" ht="17.5" customHeight="1">
      <c r="A2851" s="109" t="s">
        <v>7399</v>
      </c>
      <c r="B2851" s="109" t="s">
        <v>7400</v>
      </c>
      <c r="C2851" s="98">
        <v>2009</v>
      </c>
      <c r="D2851" s="99">
        <v>2960</v>
      </c>
      <c r="E2851" s="99">
        <v>13086</v>
      </c>
      <c r="F2851" s="99">
        <v>4156</v>
      </c>
      <c r="G2851" s="99">
        <v>8734</v>
      </c>
      <c r="H2851" s="99">
        <v>2742</v>
      </c>
      <c r="I2851" s="99">
        <v>161</v>
      </c>
      <c r="J2851" s="99">
        <v>241</v>
      </c>
      <c r="K2851" s="99">
        <v>80</v>
      </c>
      <c r="L2851" s="99">
        <v>1428</v>
      </c>
      <c r="M2851" s="99">
        <v>1605</v>
      </c>
      <c r="N2851" s="99">
        <v>-177</v>
      </c>
      <c r="O2851" s="100"/>
      <c r="P2851" s="100"/>
      <c r="Q2851" s="100"/>
    </row>
    <row r="2852" spans="1:17" s="110" customFormat="1" ht="17.5" customHeight="1">
      <c r="A2852" s="109" t="s">
        <v>7399</v>
      </c>
      <c r="B2852" s="109" t="s">
        <v>7400</v>
      </c>
      <c r="C2852" s="98">
        <v>2010</v>
      </c>
      <c r="D2852" s="99">
        <v>2928</v>
      </c>
      <c r="E2852" s="99">
        <v>12824</v>
      </c>
      <c r="F2852" s="99">
        <v>4503</v>
      </c>
      <c r="G2852" s="99">
        <v>8580</v>
      </c>
      <c r="H2852" s="99">
        <v>2568</v>
      </c>
      <c r="I2852" s="99">
        <v>224</v>
      </c>
      <c r="J2852" s="99">
        <v>299</v>
      </c>
      <c r="K2852" s="99">
        <v>75</v>
      </c>
      <c r="L2852" s="99">
        <v>1619</v>
      </c>
      <c r="M2852" s="99">
        <v>1356</v>
      </c>
      <c r="N2852" s="99">
        <v>263</v>
      </c>
    </row>
    <row r="2853" spans="1:17" s="110" customFormat="1" ht="17.5" customHeight="1">
      <c r="A2853" s="109" t="s">
        <v>7399</v>
      </c>
      <c r="B2853" s="109" t="s">
        <v>7400</v>
      </c>
      <c r="C2853" s="98">
        <v>2011</v>
      </c>
      <c r="D2853" s="99">
        <v>2951</v>
      </c>
      <c r="E2853" s="99">
        <v>14016</v>
      </c>
      <c r="F2853" s="99">
        <v>4450</v>
      </c>
      <c r="G2853" s="99">
        <v>9561</v>
      </c>
      <c r="H2853" s="99">
        <v>2545</v>
      </c>
      <c r="I2853" s="99">
        <v>158</v>
      </c>
      <c r="J2853" s="99">
        <v>236</v>
      </c>
      <c r="K2853" s="99">
        <v>78</v>
      </c>
      <c r="L2853" s="99">
        <v>1743</v>
      </c>
      <c r="M2853" s="99">
        <v>1730</v>
      </c>
      <c r="N2853" s="99">
        <v>13</v>
      </c>
      <c r="O2853" s="100"/>
      <c r="P2853" s="100"/>
      <c r="Q2853" s="100"/>
    </row>
    <row r="2854" spans="1:17" s="110" customFormat="1" ht="17.5" customHeight="1">
      <c r="A2854" s="109" t="s">
        <v>7399</v>
      </c>
      <c r="B2854" s="109" t="s">
        <v>7400</v>
      </c>
      <c r="C2854" s="111">
        <v>2012</v>
      </c>
      <c r="D2854" s="112">
        <v>2971</v>
      </c>
      <c r="E2854" s="112">
        <v>14446</v>
      </c>
      <c r="F2854" s="112">
        <v>4869</v>
      </c>
      <c r="G2854" s="112">
        <v>9567</v>
      </c>
      <c r="H2854" s="112">
        <v>2727</v>
      </c>
      <c r="I2854" s="112">
        <v>190</v>
      </c>
      <c r="J2854" s="112">
        <v>297</v>
      </c>
      <c r="K2854" s="112">
        <v>107</v>
      </c>
      <c r="L2854" s="112">
        <v>1729</v>
      </c>
      <c r="M2854" s="112">
        <v>1722</v>
      </c>
      <c r="N2854" s="112">
        <v>7</v>
      </c>
      <c r="O2854" s="100"/>
      <c r="P2854" s="100"/>
      <c r="Q2854" s="100"/>
    </row>
    <row r="2855" spans="1:17" s="110" customFormat="1" ht="17.5" customHeight="1">
      <c r="A2855" s="109" t="s">
        <v>7399</v>
      </c>
      <c r="B2855" s="109" t="s">
        <v>7400</v>
      </c>
      <c r="C2855" s="113">
        <v>2013</v>
      </c>
      <c r="D2855" s="112">
        <v>3017</v>
      </c>
      <c r="E2855" s="112">
        <v>13561</v>
      </c>
      <c r="F2855" s="112">
        <v>4551</v>
      </c>
      <c r="G2855" s="112">
        <v>9051</v>
      </c>
      <c r="H2855" s="112">
        <v>2821</v>
      </c>
      <c r="I2855" s="112">
        <v>312</v>
      </c>
      <c r="J2855" s="112">
        <v>357</v>
      </c>
      <c r="K2855" s="112">
        <v>45</v>
      </c>
      <c r="L2855" s="112">
        <v>1767</v>
      </c>
      <c r="M2855" s="112">
        <v>1748</v>
      </c>
      <c r="N2855" s="112">
        <v>19</v>
      </c>
    </row>
    <row r="2856" spans="1:17" s="110" customFormat="1" ht="17.5" customHeight="1">
      <c r="A2856" s="109" t="s">
        <v>7399</v>
      </c>
      <c r="B2856" s="109" t="s">
        <v>7400</v>
      </c>
      <c r="C2856" s="113">
        <v>2014</v>
      </c>
      <c r="D2856" s="99">
        <v>3055</v>
      </c>
      <c r="E2856" s="99">
        <v>13597</v>
      </c>
      <c r="F2856" s="99">
        <v>4669</v>
      </c>
      <c r="G2856" s="99">
        <v>9023</v>
      </c>
      <c r="H2856" s="99">
        <v>2898</v>
      </c>
      <c r="I2856" s="99">
        <v>337</v>
      </c>
      <c r="J2856" s="99">
        <v>377</v>
      </c>
      <c r="K2856" s="99">
        <v>40</v>
      </c>
      <c r="L2856" s="99">
        <v>1729</v>
      </c>
      <c r="M2856" s="99">
        <v>1639</v>
      </c>
      <c r="N2856" s="99">
        <v>90</v>
      </c>
    </row>
    <row r="2857" spans="1:17" s="110" customFormat="1" ht="17.5" customHeight="1">
      <c r="A2857" s="109" t="s">
        <v>7399</v>
      </c>
      <c r="B2857" s="109" t="s">
        <v>7400</v>
      </c>
      <c r="C2857" s="113">
        <v>2015</v>
      </c>
      <c r="D2857" s="112">
        <v>3023</v>
      </c>
      <c r="E2857" s="112">
        <v>13380</v>
      </c>
      <c r="F2857" s="112">
        <v>4443</v>
      </c>
      <c r="G2857" s="112">
        <v>8931</v>
      </c>
      <c r="H2857" s="112">
        <v>2809</v>
      </c>
      <c r="I2857" s="112">
        <v>371</v>
      </c>
      <c r="J2857" s="112">
        <v>436</v>
      </c>
      <c r="K2857" s="112">
        <v>64</v>
      </c>
      <c r="L2857" s="112">
        <v>1777</v>
      </c>
      <c r="M2857" s="112">
        <v>1779</v>
      </c>
      <c r="N2857" s="112">
        <v>-3</v>
      </c>
      <c r="O2857" s="117"/>
      <c r="P2857" s="117"/>
      <c r="Q2857" s="117"/>
    </row>
    <row r="2858" spans="1:17" s="110" customFormat="1" ht="17.5" customHeight="1">
      <c r="A2858" s="109" t="s">
        <v>7399</v>
      </c>
      <c r="B2858" s="109" t="s">
        <v>7400</v>
      </c>
      <c r="C2858" s="113">
        <v>2016</v>
      </c>
      <c r="D2858" s="112">
        <v>3070</v>
      </c>
      <c r="E2858" s="112">
        <v>13258</v>
      </c>
      <c r="F2858" s="112">
        <v>4667</v>
      </c>
      <c r="G2858" s="112">
        <v>8642</v>
      </c>
      <c r="H2858" s="112">
        <v>2837</v>
      </c>
      <c r="I2858" s="112">
        <v>411</v>
      </c>
      <c r="J2858" s="112">
        <v>441</v>
      </c>
      <c r="K2858" s="112">
        <v>29</v>
      </c>
      <c r="L2858" s="112">
        <v>1919</v>
      </c>
      <c r="M2858" s="112">
        <v>1884</v>
      </c>
      <c r="N2858" s="112">
        <v>36</v>
      </c>
      <c r="O2858" s="117"/>
      <c r="P2858" s="117"/>
      <c r="Q2858" s="117"/>
    </row>
    <row r="2859" spans="1:17" s="110" customFormat="1" ht="17.5" customHeight="1">
      <c r="A2859" s="109" t="s">
        <v>7399</v>
      </c>
      <c r="B2859" s="109" t="s">
        <v>7400</v>
      </c>
      <c r="C2859" s="113">
        <v>2017</v>
      </c>
      <c r="D2859" s="112">
        <v>3043</v>
      </c>
      <c r="E2859" s="112">
        <v>13310</v>
      </c>
      <c r="F2859" s="112">
        <v>4562</v>
      </c>
      <c r="G2859" s="112">
        <v>8943</v>
      </c>
      <c r="H2859" s="112">
        <v>2899</v>
      </c>
      <c r="I2859" s="112">
        <v>266</v>
      </c>
      <c r="J2859" s="112">
        <v>333</v>
      </c>
      <c r="K2859" s="112">
        <v>67</v>
      </c>
      <c r="L2859" s="112">
        <v>1934</v>
      </c>
      <c r="M2859" s="112">
        <v>1759</v>
      </c>
      <c r="N2859" s="112">
        <v>174</v>
      </c>
      <c r="O2859" s="117"/>
      <c r="P2859" s="117"/>
      <c r="Q2859" s="117"/>
    </row>
    <row r="2860" spans="1:17" s="110" customFormat="1" ht="17.5" customHeight="1">
      <c r="A2860" s="109" t="s">
        <v>7399</v>
      </c>
      <c r="B2860" s="109" t="s">
        <v>7400</v>
      </c>
      <c r="C2860" s="113">
        <v>2018</v>
      </c>
      <c r="D2860" s="112">
        <v>2997</v>
      </c>
      <c r="E2860" s="112">
        <v>13261</v>
      </c>
      <c r="F2860" s="112">
        <v>4711</v>
      </c>
      <c r="G2860" s="112">
        <v>8731</v>
      </c>
      <c r="H2860" s="112">
        <v>2725</v>
      </c>
      <c r="I2860" s="112">
        <v>301</v>
      </c>
      <c r="J2860" s="112">
        <v>332</v>
      </c>
      <c r="K2860" s="112">
        <v>31</v>
      </c>
      <c r="L2860" s="112">
        <v>1929</v>
      </c>
      <c r="M2860" s="112">
        <v>1820</v>
      </c>
      <c r="N2860" s="112">
        <v>110</v>
      </c>
      <c r="O2860" s="117"/>
      <c r="P2860" s="117"/>
      <c r="Q2860" s="117"/>
    </row>
    <row r="2861" spans="1:17" s="110" customFormat="1" ht="17.5" customHeight="1">
      <c r="A2861" s="109" t="s">
        <v>7399</v>
      </c>
      <c r="B2861" s="109" t="s">
        <v>7400</v>
      </c>
      <c r="C2861" s="113">
        <v>2019</v>
      </c>
      <c r="D2861" s="112">
        <v>3018</v>
      </c>
      <c r="E2861" s="112">
        <v>13610.434254</v>
      </c>
      <c r="F2861" s="112">
        <v>4626.6832899999999</v>
      </c>
      <c r="G2861" s="112">
        <v>9211.3873980000008</v>
      </c>
      <c r="H2861" s="112">
        <v>3041.1770769999998</v>
      </c>
      <c r="I2861" s="112">
        <v>338.96270800000002</v>
      </c>
      <c r="J2861" s="112">
        <v>366.26807100000002</v>
      </c>
      <c r="K2861" s="112">
        <v>27.305363</v>
      </c>
      <c r="L2861" s="112">
        <v>1956.269121</v>
      </c>
      <c r="M2861" s="112">
        <v>1833.1315090000001</v>
      </c>
      <c r="N2861" s="112">
        <v>123.137612</v>
      </c>
    </row>
    <row r="2862" spans="1:17" s="110" customFormat="1" ht="17.5" customHeight="1">
      <c r="A2862" s="114" t="s">
        <v>7399</v>
      </c>
      <c r="B2862" s="114" t="s">
        <v>7400</v>
      </c>
      <c r="C2862" s="113">
        <v>2020</v>
      </c>
      <c r="D2862" s="112">
        <v>3110</v>
      </c>
      <c r="E2862" s="112">
        <v>12891.131273000001</v>
      </c>
      <c r="F2862" s="112">
        <v>4325.4108319999996</v>
      </c>
      <c r="G2862" s="112">
        <v>8491.3184459999993</v>
      </c>
      <c r="H2862" s="112">
        <v>3151.2150329999999</v>
      </c>
      <c r="I2862" s="112">
        <v>272.25366200000002</v>
      </c>
      <c r="J2862" s="112">
        <v>286.52455200000003</v>
      </c>
      <c r="K2862" s="112">
        <v>14.27089</v>
      </c>
      <c r="L2862" s="112">
        <v>1861.673882</v>
      </c>
      <c r="M2862" s="112">
        <v>1956.2433109999999</v>
      </c>
      <c r="N2862" s="112">
        <v>-94.569429999999997</v>
      </c>
    </row>
    <row r="2863" spans="1:17" s="110" customFormat="1" ht="31.75" customHeight="1">
      <c r="A2863" s="109" t="s">
        <v>7401</v>
      </c>
      <c r="B2863" s="109" t="s">
        <v>7402</v>
      </c>
      <c r="C2863" s="98">
        <v>2008</v>
      </c>
      <c r="D2863" s="99">
        <v>1065</v>
      </c>
      <c r="E2863" s="99">
        <v>5683</v>
      </c>
      <c r="F2863" s="99">
        <v>2112</v>
      </c>
      <c r="G2863" s="99">
        <v>3597</v>
      </c>
      <c r="H2863" s="99">
        <v>1170</v>
      </c>
      <c r="I2863" s="99">
        <v>92</v>
      </c>
      <c r="J2863" s="99">
        <v>106</v>
      </c>
      <c r="K2863" s="99">
        <v>14</v>
      </c>
      <c r="L2863" s="99">
        <v>517</v>
      </c>
      <c r="M2863" s="99">
        <v>490</v>
      </c>
      <c r="N2863" s="99">
        <v>27</v>
      </c>
      <c r="O2863" s="100"/>
      <c r="P2863" s="100"/>
      <c r="Q2863" s="100"/>
    </row>
    <row r="2864" spans="1:17" s="110" customFormat="1" ht="31.75" customHeight="1">
      <c r="A2864" s="109" t="s">
        <v>7401</v>
      </c>
      <c r="B2864" s="109" t="s">
        <v>7402</v>
      </c>
      <c r="C2864" s="98">
        <v>2009</v>
      </c>
      <c r="D2864" s="99">
        <v>1044</v>
      </c>
      <c r="E2864" s="99">
        <v>5109</v>
      </c>
      <c r="F2864" s="99">
        <v>1775</v>
      </c>
      <c r="G2864" s="99">
        <v>3226</v>
      </c>
      <c r="H2864" s="99">
        <v>1162</v>
      </c>
      <c r="I2864" s="99">
        <v>60</v>
      </c>
      <c r="J2864" s="99">
        <v>110</v>
      </c>
      <c r="K2864" s="99">
        <v>49</v>
      </c>
      <c r="L2864" s="99">
        <v>571</v>
      </c>
      <c r="M2864" s="99">
        <v>671</v>
      </c>
      <c r="N2864" s="99">
        <v>-100</v>
      </c>
    </row>
    <row r="2865" spans="1:17" s="110" customFormat="1" ht="31.75" customHeight="1">
      <c r="A2865" s="109" t="s">
        <v>7401</v>
      </c>
      <c r="B2865" s="109" t="s">
        <v>7402</v>
      </c>
      <c r="C2865" s="98">
        <v>2010</v>
      </c>
      <c r="D2865" s="99">
        <v>989</v>
      </c>
      <c r="E2865" s="99">
        <v>5612</v>
      </c>
      <c r="F2865" s="99">
        <v>1940</v>
      </c>
      <c r="G2865" s="99">
        <v>3831</v>
      </c>
      <c r="H2865" s="99">
        <v>1061</v>
      </c>
      <c r="I2865" s="99">
        <v>143</v>
      </c>
      <c r="J2865" s="99">
        <v>156</v>
      </c>
      <c r="K2865" s="99">
        <v>14</v>
      </c>
      <c r="L2865" s="99">
        <v>736</v>
      </c>
      <c r="M2865" s="99">
        <v>577</v>
      </c>
      <c r="N2865" s="99">
        <v>159</v>
      </c>
      <c r="O2865" s="100"/>
      <c r="P2865" s="100"/>
      <c r="Q2865" s="100"/>
    </row>
    <row r="2866" spans="1:17" s="110" customFormat="1" ht="31.75" customHeight="1">
      <c r="A2866" s="109" t="s">
        <v>7401</v>
      </c>
      <c r="B2866" s="109" t="s">
        <v>7402</v>
      </c>
      <c r="C2866" s="98">
        <v>2011</v>
      </c>
      <c r="D2866" s="99">
        <v>986</v>
      </c>
      <c r="E2866" s="99">
        <v>6000</v>
      </c>
      <c r="F2866" s="99">
        <v>1775</v>
      </c>
      <c r="G2866" s="99">
        <v>4226</v>
      </c>
      <c r="H2866" s="99">
        <v>1019</v>
      </c>
      <c r="I2866" s="99">
        <v>58</v>
      </c>
      <c r="J2866" s="99">
        <v>74</v>
      </c>
      <c r="K2866" s="99">
        <v>16</v>
      </c>
      <c r="L2866" s="99">
        <v>690</v>
      </c>
      <c r="M2866" s="99">
        <v>689</v>
      </c>
      <c r="N2866" s="99">
        <v>1</v>
      </c>
      <c r="O2866" s="100"/>
      <c r="P2866" s="100"/>
      <c r="Q2866" s="100"/>
    </row>
    <row r="2867" spans="1:17" s="110" customFormat="1" ht="31.75" customHeight="1">
      <c r="A2867" s="109" t="s">
        <v>7401</v>
      </c>
      <c r="B2867" s="109" t="s">
        <v>7402</v>
      </c>
      <c r="C2867" s="111">
        <v>2012</v>
      </c>
      <c r="D2867" s="112">
        <v>970</v>
      </c>
      <c r="E2867" s="112">
        <v>6448</v>
      </c>
      <c r="F2867" s="112">
        <v>2144</v>
      </c>
      <c r="G2867" s="112">
        <v>4328</v>
      </c>
      <c r="H2867" s="112">
        <v>1119</v>
      </c>
      <c r="I2867" s="112">
        <v>29</v>
      </c>
      <c r="J2867" s="112">
        <v>94</v>
      </c>
      <c r="K2867" s="112">
        <v>66</v>
      </c>
      <c r="L2867" s="112">
        <v>780</v>
      </c>
      <c r="M2867" s="112">
        <v>748</v>
      </c>
      <c r="N2867" s="112">
        <v>32</v>
      </c>
    </row>
    <row r="2868" spans="1:17" s="110" customFormat="1" ht="31.75" customHeight="1">
      <c r="A2868" s="109" t="s">
        <v>7401</v>
      </c>
      <c r="B2868" s="109" t="s">
        <v>7402</v>
      </c>
      <c r="C2868" s="113">
        <v>2013</v>
      </c>
      <c r="D2868" s="112">
        <v>953</v>
      </c>
      <c r="E2868" s="112">
        <v>6273</v>
      </c>
      <c r="F2868" s="112">
        <v>2080</v>
      </c>
      <c r="G2868" s="112">
        <v>4172</v>
      </c>
      <c r="H2868" s="112">
        <v>1184</v>
      </c>
      <c r="I2868" s="112">
        <v>94</v>
      </c>
      <c r="J2868" s="112">
        <v>106</v>
      </c>
      <c r="K2868" s="112">
        <v>12</v>
      </c>
      <c r="L2868" s="112">
        <v>889</v>
      </c>
      <c r="M2868" s="112">
        <v>928</v>
      </c>
      <c r="N2868" s="112">
        <v>-39</v>
      </c>
    </row>
    <row r="2869" spans="1:17" s="110" customFormat="1" ht="31.75" customHeight="1">
      <c r="A2869" s="109" t="s">
        <v>7401</v>
      </c>
      <c r="B2869" s="109" t="s">
        <v>7402</v>
      </c>
      <c r="C2869" s="113">
        <v>2014</v>
      </c>
      <c r="D2869" s="99">
        <v>960</v>
      </c>
      <c r="E2869" s="99">
        <v>5807</v>
      </c>
      <c r="F2869" s="99">
        <v>1938</v>
      </c>
      <c r="G2869" s="99">
        <v>3920</v>
      </c>
      <c r="H2869" s="99">
        <v>1227</v>
      </c>
      <c r="I2869" s="99">
        <v>184</v>
      </c>
      <c r="J2869" s="99">
        <v>188</v>
      </c>
      <c r="K2869" s="99">
        <v>4</v>
      </c>
      <c r="L2869" s="99">
        <v>786</v>
      </c>
      <c r="M2869" s="99">
        <v>735</v>
      </c>
      <c r="N2869" s="99">
        <v>51</v>
      </c>
      <c r="O2869" s="117"/>
      <c r="P2869" s="117"/>
      <c r="Q2869" s="117"/>
    </row>
    <row r="2870" spans="1:17" s="110" customFormat="1" ht="31.75" customHeight="1">
      <c r="A2870" s="109" t="s">
        <v>7401</v>
      </c>
      <c r="B2870" s="109" t="s">
        <v>7402</v>
      </c>
      <c r="C2870" s="113">
        <v>2015</v>
      </c>
      <c r="D2870" s="112">
        <v>948</v>
      </c>
      <c r="E2870" s="112">
        <v>5555</v>
      </c>
      <c r="F2870" s="112">
        <v>1664</v>
      </c>
      <c r="G2870" s="112">
        <v>3869</v>
      </c>
      <c r="H2870" s="112">
        <v>1170</v>
      </c>
      <c r="I2870" s="112">
        <v>153</v>
      </c>
      <c r="J2870" s="112">
        <v>170</v>
      </c>
      <c r="K2870" s="112">
        <v>17</v>
      </c>
      <c r="L2870" s="112">
        <v>719</v>
      </c>
      <c r="M2870" s="112">
        <v>745</v>
      </c>
      <c r="N2870" s="112">
        <v>-27</v>
      </c>
      <c r="O2870" s="117"/>
      <c r="P2870" s="117"/>
      <c r="Q2870" s="117"/>
    </row>
    <row r="2871" spans="1:17" s="110" customFormat="1" ht="31.75" customHeight="1">
      <c r="A2871" s="109" t="s">
        <v>7401</v>
      </c>
      <c r="B2871" s="109" t="s">
        <v>7402</v>
      </c>
      <c r="C2871" s="113">
        <v>2016</v>
      </c>
      <c r="D2871" s="112">
        <v>913</v>
      </c>
      <c r="E2871" s="112">
        <v>5351</v>
      </c>
      <c r="F2871" s="112">
        <v>1827</v>
      </c>
      <c r="G2871" s="112">
        <v>3590</v>
      </c>
      <c r="H2871" s="112">
        <v>1152</v>
      </c>
      <c r="I2871" s="112">
        <v>171</v>
      </c>
      <c r="J2871" s="112">
        <v>186</v>
      </c>
      <c r="K2871" s="112">
        <v>15</v>
      </c>
      <c r="L2871" s="112">
        <v>804</v>
      </c>
      <c r="M2871" s="112">
        <v>746</v>
      </c>
      <c r="N2871" s="112">
        <v>58</v>
      </c>
      <c r="O2871" s="117"/>
      <c r="P2871" s="117"/>
      <c r="Q2871" s="117"/>
    </row>
    <row r="2872" spans="1:17" s="110" customFormat="1" ht="31.75" customHeight="1">
      <c r="A2872" s="109" t="s">
        <v>7401</v>
      </c>
      <c r="B2872" s="109" t="s">
        <v>7402</v>
      </c>
      <c r="C2872" s="113">
        <v>2017</v>
      </c>
      <c r="D2872" s="112">
        <v>892</v>
      </c>
      <c r="E2872" s="112">
        <v>4985</v>
      </c>
      <c r="F2872" s="112">
        <v>1613</v>
      </c>
      <c r="G2872" s="112">
        <v>3445</v>
      </c>
      <c r="H2872" s="112">
        <v>1167</v>
      </c>
      <c r="I2872" s="112">
        <v>89</v>
      </c>
      <c r="J2872" s="112">
        <v>100</v>
      </c>
      <c r="K2872" s="112">
        <v>11</v>
      </c>
      <c r="L2872" s="112">
        <v>753</v>
      </c>
      <c r="M2872" s="112">
        <v>681</v>
      </c>
      <c r="N2872" s="112">
        <v>72</v>
      </c>
      <c r="O2872" s="117"/>
      <c r="P2872" s="117"/>
      <c r="Q2872" s="117"/>
    </row>
    <row r="2873" spans="1:17" s="110" customFormat="1" ht="31.75" customHeight="1">
      <c r="A2873" s="109" t="s">
        <v>7401</v>
      </c>
      <c r="B2873" s="109" t="s">
        <v>7402</v>
      </c>
      <c r="C2873" s="113">
        <v>2018</v>
      </c>
      <c r="D2873" s="112">
        <v>865</v>
      </c>
      <c r="E2873" s="112">
        <v>4976</v>
      </c>
      <c r="F2873" s="112">
        <v>1607</v>
      </c>
      <c r="G2873" s="112">
        <v>3404</v>
      </c>
      <c r="H2873" s="112">
        <v>1110</v>
      </c>
      <c r="I2873" s="112">
        <v>88</v>
      </c>
      <c r="J2873" s="112">
        <v>108</v>
      </c>
      <c r="K2873" s="112">
        <v>20</v>
      </c>
      <c r="L2873" s="112">
        <v>706</v>
      </c>
      <c r="M2873" s="112">
        <v>680</v>
      </c>
      <c r="N2873" s="112">
        <v>27</v>
      </c>
    </row>
    <row r="2874" spans="1:17" s="110" customFormat="1" ht="31.75" customHeight="1">
      <c r="A2874" s="109" t="s">
        <v>7401</v>
      </c>
      <c r="B2874" s="109" t="s">
        <v>7402</v>
      </c>
      <c r="C2874" s="113">
        <v>2019</v>
      </c>
      <c r="D2874" s="112">
        <v>876</v>
      </c>
      <c r="E2874" s="112">
        <v>5219.5538710000001</v>
      </c>
      <c r="F2874" s="112">
        <v>1397.283287</v>
      </c>
      <c r="G2874" s="112">
        <v>3885.287437</v>
      </c>
      <c r="H2874" s="112">
        <v>1173.85472</v>
      </c>
      <c r="I2874" s="112">
        <v>98.455837000000002</v>
      </c>
      <c r="J2874" s="112">
        <v>111.840155</v>
      </c>
      <c r="K2874" s="112">
        <v>13.384318</v>
      </c>
      <c r="L2874" s="112">
        <v>690.31505200000004</v>
      </c>
      <c r="M2874" s="112">
        <v>647.96887700000002</v>
      </c>
      <c r="N2874" s="112">
        <v>42.346175000000002</v>
      </c>
    </row>
    <row r="2875" spans="1:17" s="110" customFormat="1" ht="31.75" customHeight="1">
      <c r="A2875" s="114" t="s">
        <v>7401</v>
      </c>
      <c r="B2875" s="114" t="s">
        <v>7402</v>
      </c>
      <c r="C2875" s="113">
        <v>2020</v>
      </c>
      <c r="D2875" s="112">
        <v>871</v>
      </c>
      <c r="E2875" s="112">
        <v>5069.0263759999998</v>
      </c>
      <c r="F2875" s="112">
        <v>1564.2920509999999</v>
      </c>
      <c r="G2875" s="112">
        <v>3498.9618310000001</v>
      </c>
      <c r="H2875" s="112">
        <v>1342.550712</v>
      </c>
      <c r="I2875" s="112">
        <v>64.080889999999997</v>
      </c>
      <c r="J2875" s="112">
        <v>68.535201000000001</v>
      </c>
      <c r="K2875" s="112">
        <v>4.4543109999999997</v>
      </c>
      <c r="L2875" s="112">
        <v>682.51416700000004</v>
      </c>
      <c r="M2875" s="112">
        <v>681.53605900000002</v>
      </c>
      <c r="N2875" s="112">
        <v>0.97810799999999998</v>
      </c>
      <c r="O2875" s="100"/>
      <c r="P2875" s="100"/>
      <c r="Q2875" s="100"/>
    </row>
    <row r="2876" spans="1:17" s="110" customFormat="1" ht="31.75" customHeight="1">
      <c r="A2876" s="109" t="s">
        <v>7403</v>
      </c>
      <c r="B2876" s="109" t="s">
        <v>7404</v>
      </c>
      <c r="C2876" s="98">
        <v>2008</v>
      </c>
      <c r="D2876" s="99">
        <v>226</v>
      </c>
      <c r="E2876" s="99">
        <v>2629</v>
      </c>
      <c r="F2876" s="99">
        <v>808</v>
      </c>
      <c r="G2876" s="99">
        <v>1851</v>
      </c>
      <c r="H2876" s="99">
        <v>415</v>
      </c>
      <c r="I2876" s="99">
        <v>30</v>
      </c>
      <c r="J2876" s="99">
        <v>39</v>
      </c>
      <c r="K2876" s="99">
        <v>9</v>
      </c>
      <c r="L2876" s="99">
        <v>244</v>
      </c>
      <c r="M2876" s="99">
        <v>212</v>
      </c>
      <c r="N2876" s="99">
        <v>32</v>
      </c>
    </row>
    <row r="2877" spans="1:17" s="110" customFormat="1" ht="31.75" customHeight="1">
      <c r="A2877" s="109" t="s">
        <v>7403</v>
      </c>
      <c r="B2877" s="109" t="s">
        <v>7404</v>
      </c>
      <c r="C2877" s="98">
        <v>2009</v>
      </c>
      <c r="D2877" s="99">
        <v>256</v>
      </c>
      <c r="E2877" s="99">
        <v>2592</v>
      </c>
      <c r="F2877" s="99">
        <v>655</v>
      </c>
      <c r="G2877" s="99">
        <v>1881</v>
      </c>
      <c r="H2877" s="99">
        <v>465</v>
      </c>
      <c r="I2877" s="99">
        <v>22</v>
      </c>
      <c r="J2877" s="99">
        <v>26</v>
      </c>
      <c r="K2877" s="99">
        <v>4</v>
      </c>
      <c r="L2877" s="99">
        <v>369</v>
      </c>
      <c r="M2877" s="99">
        <v>426</v>
      </c>
      <c r="N2877" s="99">
        <v>-56</v>
      </c>
      <c r="O2877" s="100"/>
      <c r="P2877" s="100"/>
      <c r="Q2877" s="100"/>
    </row>
    <row r="2878" spans="1:17" s="110" customFormat="1" ht="31.75" customHeight="1">
      <c r="A2878" s="109" t="s">
        <v>7403</v>
      </c>
      <c r="B2878" s="109" t="s">
        <v>7404</v>
      </c>
      <c r="C2878" s="98">
        <v>2010</v>
      </c>
      <c r="D2878" s="99">
        <v>244</v>
      </c>
      <c r="E2878" s="99">
        <v>3415</v>
      </c>
      <c r="F2878" s="99">
        <v>1052</v>
      </c>
      <c r="G2878" s="99">
        <v>2504</v>
      </c>
      <c r="H2878" s="99">
        <v>526</v>
      </c>
      <c r="I2878" s="99">
        <v>42</v>
      </c>
      <c r="J2878" s="99">
        <v>45</v>
      </c>
      <c r="K2878" s="99">
        <v>3</v>
      </c>
      <c r="L2878" s="99">
        <v>526</v>
      </c>
      <c r="M2878" s="99">
        <v>385</v>
      </c>
      <c r="N2878" s="99">
        <v>142</v>
      </c>
      <c r="O2878" s="100"/>
      <c r="P2878" s="100"/>
      <c r="Q2878" s="100"/>
    </row>
    <row r="2879" spans="1:17" s="110" customFormat="1" ht="31.75" customHeight="1">
      <c r="A2879" s="109" t="s">
        <v>7403</v>
      </c>
      <c r="B2879" s="109" t="s">
        <v>7404</v>
      </c>
      <c r="C2879" s="98">
        <v>2011</v>
      </c>
      <c r="D2879" s="99">
        <v>259</v>
      </c>
      <c r="E2879" s="99">
        <v>3318</v>
      </c>
      <c r="F2879" s="99">
        <v>867</v>
      </c>
      <c r="G2879" s="99">
        <v>2469</v>
      </c>
      <c r="H2879" s="99">
        <v>499</v>
      </c>
      <c r="I2879" s="99">
        <v>42</v>
      </c>
      <c r="J2879" s="99">
        <v>43</v>
      </c>
      <c r="K2879" s="99">
        <v>1</v>
      </c>
      <c r="L2879" s="99">
        <v>419</v>
      </c>
      <c r="M2879" s="99">
        <v>400</v>
      </c>
      <c r="N2879" s="99">
        <v>19</v>
      </c>
    </row>
    <row r="2880" spans="1:17" s="110" customFormat="1" ht="31.75" customHeight="1">
      <c r="A2880" s="109" t="s">
        <v>7403</v>
      </c>
      <c r="B2880" s="109" t="s">
        <v>7404</v>
      </c>
      <c r="C2880" s="111">
        <v>2012</v>
      </c>
      <c r="D2880" s="112">
        <v>260</v>
      </c>
      <c r="E2880" s="112">
        <v>3612</v>
      </c>
      <c r="F2880" s="112">
        <v>1029</v>
      </c>
      <c r="G2880" s="112">
        <v>2613</v>
      </c>
      <c r="H2880" s="112">
        <v>535</v>
      </c>
      <c r="I2880" s="112">
        <v>39</v>
      </c>
      <c r="J2880" s="112">
        <v>41</v>
      </c>
      <c r="K2880" s="112">
        <v>1</v>
      </c>
      <c r="L2880" s="112">
        <v>508</v>
      </c>
      <c r="M2880" s="112">
        <v>480</v>
      </c>
      <c r="N2880" s="112">
        <v>28</v>
      </c>
    </row>
    <row r="2881" spans="1:17" s="110" customFormat="1" ht="31.75" customHeight="1">
      <c r="A2881" s="109" t="s">
        <v>7403</v>
      </c>
      <c r="B2881" s="109" t="s">
        <v>7404</v>
      </c>
      <c r="C2881" s="113">
        <v>2013</v>
      </c>
      <c r="D2881" s="112">
        <v>279</v>
      </c>
      <c r="E2881" s="112">
        <v>3484</v>
      </c>
      <c r="F2881" s="112">
        <v>1020</v>
      </c>
      <c r="G2881" s="112">
        <v>2440</v>
      </c>
      <c r="H2881" s="112">
        <v>580</v>
      </c>
      <c r="I2881" s="112">
        <v>54</v>
      </c>
      <c r="J2881" s="112">
        <v>56</v>
      </c>
      <c r="K2881" s="112">
        <v>2</v>
      </c>
      <c r="L2881" s="112">
        <v>566</v>
      </c>
      <c r="M2881" s="112">
        <v>603</v>
      </c>
      <c r="N2881" s="112">
        <v>-37</v>
      </c>
      <c r="O2881" s="117"/>
      <c r="P2881" s="117"/>
      <c r="Q2881" s="117"/>
    </row>
    <row r="2882" spans="1:17" s="110" customFormat="1" ht="31.75" customHeight="1">
      <c r="A2882" s="109" t="s">
        <v>7403</v>
      </c>
      <c r="B2882" s="109" t="s">
        <v>7404</v>
      </c>
      <c r="C2882" s="113">
        <v>2014</v>
      </c>
      <c r="D2882" s="99">
        <v>310</v>
      </c>
      <c r="E2882" s="99">
        <v>3038</v>
      </c>
      <c r="F2882" s="99">
        <v>893</v>
      </c>
      <c r="G2882" s="99">
        <v>2186</v>
      </c>
      <c r="H2882" s="99">
        <v>621</v>
      </c>
      <c r="I2882" s="99">
        <v>122</v>
      </c>
      <c r="J2882" s="99">
        <v>122</v>
      </c>
      <c r="K2882" s="99" t="s">
        <v>6952</v>
      </c>
      <c r="L2882" s="99">
        <v>492</v>
      </c>
      <c r="M2882" s="99">
        <v>451</v>
      </c>
      <c r="N2882" s="99">
        <v>41</v>
      </c>
      <c r="O2882" s="117"/>
      <c r="P2882" s="117"/>
      <c r="Q2882" s="117"/>
    </row>
    <row r="2883" spans="1:17" s="110" customFormat="1" ht="31.75" customHeight="1">
      <c r="A2883" s="109" t="s">
        <v>7403</v>
      </c>
      <c r="B2883" s="109" t="s">
        <v>7404</v>
      </c>
      <c r="C2883" s="113">
        <v>2015</v>
      </c>
      <c r="D2883" s="112">
        <v>306</v>
      </c>
      <c r="E2883" s="112">
        <v>3044</v>
      </c>
      <c r="F2883" s="112">
        <v>722</v>
      </c>
      <c r="G2883" s="112">
        <v>2307</v>
      </c>
      <c r="H2883" s="112">
        <v>542</v>
      </c>
      <c r="I2883" s="112">
        <v>95</v>
      </c>
      <c r="J2883" s="112">
        <v>95</v>
      </c>
      <c r="K2883" s="112">
        <v>1</v>
      </c>
      <c r="L2883" s="112">
        <v>446</v>
      </c>
      <c r="M2883" s="112">
        <v>467</v>
      </c>
      <c r="N2883" s="112">
        <v>-20</v>
      </c>
      <c r="O2883" s="117"/>
      <c r="P2883" s="117"/>
      <c r="Q2883" s="117"/>
    </row>
    <row r="2884" spans="1:17" s="110" customFormat="1" ht="31.75" customHeight="1">
      <c r="A2884" s="109" t="s">
        <v>7403</v>
      </c>
      <c r="B2884" s="109" t="s">
        <v>7404</v>
      </c>
      <c r="C2884" s="113">
        <v>2016</v>
      </c>
      <c r="D2884" s="112">
        <v>309</v>
      </c>
      <c r="E2884" s="112">
        <v>2768</v>
      </c>
      <c r="F2884" s="112">
        <v>819</v>
      </c>
      <c r="G2884" s="112">
        <v>1984</v>
      </c>
      <c r="H2884" s="112">
        <v>562</v>
      </c>
      <c r="I2884" s="112">
        <v>63</v>
      </c>
      <c r="J2884" s="112">
        <v>68</v>
      </c>
      <c r="K2884" s="112">
        <v>5</v>
      </c>
      <c r="L2884" s="112">
        <v>502</v>
      </c>
      <c r="M2884" s="112">
        <v>477</v>
      </c>
      <c r="N2884" s="112">
        <v>25</v>
      </c>
      <c r="O2884" s="117"/>
      <c r="P2884" s="117"/>
      <c r="Q2884" s="117"/>
    </row>
    <row r="2885" spans="1:17" s="110" customFormat="1" ht="31.75" customHeight="1">
      <c r="A2885" s="109" t="s">
        <v>7403</v>
      </c>
      <c r="B2885" s="109" t="s">
        <v>7404</v>
      </c>
      <c r="C2885" s="113">
        <v>2017</v>
      </c>
      <c r="D2885" s="112">
        <v>301</v>
      </c>
      <c r="E2885" s="112">
        <v>2725</v>
      </c>
      <c r="F2885" s="112">
        <v>742</v>
      </c>
      <c r="G2885" s="112">
        <v>2022</v>
      </c>
      <c r="H2885" s="112">
        <v>582</v>
      </c>
      <c r="I2885" s="112">
        <v>54</v>
      </c>
      <c r="J2885" s="112">
        <v>56</v>
      </c>
      <c r="K2885" s="112">
        <v>2</v>
      </c>
      <c r="L2885" s="112">
        <v>499</v>
      </c>
      <c r="M2885" s="112">
        <v>462</v>
      </c>
      <c r="N2885" s="112">
        <v>37</v>
      </c>
    </row>
    <row r="2886" spans="1:17" s="110" customFormat="1" ht="31.75" customHeight="1">
      <c r="A2886" s="109" t="s">
        <v>7403</v>
      </c>
      <c r="B2886" s="109" t="s">
        <v>7404</v>
      </c>
      <c r="C2886" s="113">
        <v>2018</v>
      </c>
      <c r="D2886" s="112">
        <v>293</v>
      </c>
      <c r="E2886" s="112">
        <v>3119</v>
      </c>
      <c r="F2886" s="112">
        <v>831</v>
      </c>
      <c r="G2886" s="112">
        <v>2306</v>
      </c>
      <c r="H2886" s="112">
        <v>669</v>
      </c>
      <c r="I2886" s="112">
        <v>60</v>
      </c>
      <c r="J2886" s="112">
        <v>79</v>
      </c>
      <c r="K2886" s="112">
        <v>19</v>
      </c>
      <c r="L2886" s="112">
        <v>495</v>
      </c>
      <c r="M2886" s="112">
        <v>480</v>
      </c>
      <c r="N2886" s="112">
        <v>15</v>
      </c>
    </row>
    <row r="2887" spans="1:17" s="110" customFormat="1" ht="31.75" customHeight="1">
      <c r="A2887" s="109" t="s">
        <v>7403</v>
      </c>
      <c r="B2887" s="109" t="s">
        <v>7404</v>
      </c>
      <c r="C2887" s="113">
        <v>2019</v>
      </c>
      <c r="D2887" s="112">
        <v>287</v>
      </c>
      <c r="E2887" s="112">
        <v>2815.4933310000001</v>
      </c>
      <c r="F2887" s="112">
        <v>666.312545</v>
      </c>
      <c r="G2887" s="112">
        <v>2181.4947179999999</v>
      </c>
      <c r="H2887" s="112">
        <v>681.08877099999995</v>
      </c>
      <c r="I2887" s="112">
        <v>53.119092000000002</v>
      </c>
      <c r="J2887" s="112">
        <v>61.936030000000002</v>
      </c>
      <c r="K2887" s="112">
        <v>8.8169380000000004</v>
      </c>
      <c r="L2887" s="112">
        <v>436.04752300000001</v>
      </c>
      <c r="M2887" s="112">
        <v>418.02529500000003</v>
      </c>
      <c r="N2887" s="112">
        <v>18.022228999999999</v>
      </c>
      <c r="O2887" s="100"/>
      <c r="P2887" s="100"/>
      <c r="Q2887" s="100"/>
    </row>
    <row r="2888" spans="1:17" s="110" customFormat="1" ht="31.75" customHeight="1">
      <c r="A2888" s="114" t="s">
        <v>7403</v>
      </c>
      <c r="B2888" s="114" t="s">
        <v>7404</v>
      </c>
      <c r="C2888" s="113">
        <v>2020</v>
      </c>
      <c r="D2888" s="112">
        <v>300</v>
      </c>
      <c r="E2888" s="112">
        <v>3015.564562</v>
      </c>
      <c r="F2888" s="112">
        <v>749.56725600000004</v>
      </c>
      <c r="G2888" s="112">
        <v>2205.2334430000001</v>
      </c>
      <c r="H2888" s="112">
        <v>754.30333599999994</v>
      </c>
      <c r="I2888" s="112">
        <v>32.480629999999998</v>
      </c>
      <c r="J2888" s="112">
        <v>34.006695999999998</v>
      </c>
      <c r="K2888" s="112">
        <v>1.5260659999999999</v>
      </c>
      <c r="L2888" s="112">
        <v>404.58283</v>
      </c>
      <c r="M2888" s="112">
        <v>457.176917</v>
      </c>
      <c r="N2888" s="112">
        <v>-52.594087000000002</v>
      </c>
    </row>
    <row r="2889" spans="1:17" s="110" customFormat="1" ht="31.75" customHeight="1">
      <c r="A2889" s="109" t="s">
        <v>7405</v>
      </c>
      <c r="B2889" s="109" t="s">
        <v>7406</v>
      </c>
      <c r="C2889" s="98">
        <v>2008</v>
      </c>
      <c r="D2889" s="99">
        <v>839</v>
      </c>
      <c r="E2889" s="99">
        <v>3054</v>
      </c>
      <c r="F2889" s="99">
        <v>1304</v>
      </c>
      <c r="G2889" s="99">
        <v>1746</v>
      </c>
      <c r="H2889" s="99">
        <v>755</v>
      </c>
      <c r="I2889" s="99">
        <v>62</v>
      </c>
      <c r="J2889" s="99">
        <v>67</v>
      </c>
      <c r="K2889" s="99">
        <v>6</v>
      </c>
      <c r="L2889" s="99">
        <v>273</v>
      </c>
      <c r="M2889" s="99">
        <v>278</v>
      </c>
      <c r="N2889" s="99">
        <v>-5</v>
      </c>
      <c r="O2889" s="100"/>
      <c r="P2889" s="100"/>
      <c r="Q2889" s="100"/>
    </row>
    <row r="2890" spans="1:17" s="110" customFormat="1" ht="31.75" customHeight="1">
      <c r="A2890" s="109" t="s">
        <v>7405</v>
      </c>
      <c r="B2890" s="109" t="s">
        <v>7406</v>
      </c>
      <c r="C2890" s="98">
        <v>2009</v>
      </c>
      <c r="D2890" s="99">
        <v>788</v>
      </c>
      <c r="E2890" s="99">
        <v>2518</v>
      </c>
      <c r="F2890" s="99">
        <v>1120</v>
      </c>
      <c r="G2890" s="99">
        <v>1344</v>
      </c>
      <c r="H2890" s="99">
        <v>697</v>
      </c>
      <c r="I2890" s="99">
        <v>38</v>
      </c>
      <c r="J2890" s="99">
        <v>83</v>
      </c>
      <c r="K2890" s="99">
        <v>45</v>
      </c>
      <c r="L2890" s="99">
        <v>202</v>
      </c>
      <c r="M2890" s="99">
        <v>245</v>
      </c>
      <c r="N2890" s="99">
        <v>-44</v>
      </c>
      <c r="O2890" s="100"/>
      <c r="P2890" s="100"/>
      <c r="Q2890" s="100"/>
    </row>
    <row r="2891" spans="1:17" s="110" customFormat="1" ht="31.75" customHeight="1">
      <c r="A2891" s="109" t="s">
        <v>7405</v>
      </c>
      <c r="B2891" s="109" t="s">
        <v>7406</v>
      </c>
      <c r="C2891" s="98">
        <v>2010</v>
      </c>
      <c r="D2891" s="99">
        <v>745</v>
      </c>
      <c r="E2891" s="99">
        <v>2197</v>
      </c>
      <c r="F2891" s="99">
        <v>888</v>
      </c>
      <c r="G2891" s="99">
        <v>1327</v>
      </c>
      <c r="H2891" s="99">
        <v>535</v>
      </c>
      <c r="I2891" s="99">
        <v>101</v>
      </c>
      <c r="J2891" s="99">
        <v>111</v>
      </c>
      <c r="K2891" s="99">
        <v>10</v>
      </c>
      <c r="L2891" s="99">
        <v>210</v>
      </c>
      <c r="M2891" s="99">
        <v>193</v>
      </c>
      <c r="N2891" s="99">
        <v>17</v>
      </c>
    </row>
    <row r="2892" spans="1:17" s="110" customFormat="1" ht="31.75" customHeight="1">
      <c r="A2892" s="109" t="s">
        <v>7405</v>
      </c>
      <c r="B2892" s="109" t="s">
        <v>7406</v>
      </c>
      <c r="C2892" s="98">
        <v>2011</v>
      </c>
      <c r="D2892" s="99">
        <v>727</v>
      </c>
      <c r="E2892" s="99">
        <v>2682</v>
      </c>
      <c r="F2892" s="99">
        <v>908</v>
      </c>
      <c r="G2892" s="99">
        <v>1756</v>
      </c>
      <c r="H2892" s="99">
        <v>520</v>
      </c>
      <c r="I2892" s="99">
        <v>17</v>
      </c>
      <c r="J2892" s="99">
        <v>32</v>
      </c>
      <c r="K2892" s="99">
        <v>15</v>
      </c>
      <c r="L2892" s="99">
        <v>272</v>
      </c>
      <c r="M2892" s="99">
        <v>289</v>
      </c>
      <c r="N2892" s="99">
        <v>-17</v>
      </c>
    </row>
    <row r="2893" spans="1:17" s="110" customFormat="1" ht="31.75" customHeight="1">
      <c r="A2893" s="109" t="s">
        <v>7405</v>
      </c>
      <c r="B2893" s="109" t="s">
        <v>7406</v>
      </c>
      <c r="C2893" s="111">
        <v>2012</v>
      </c>
      <c r="D2893" s="112">
        <v>710</v>
      </c>
      <c r="E2893" s="112">
        <v>2836</v>
      </c>
      <c r="F2893" s="112">
        <v>1115</v>
      </c>
      <c r="G2893" s="112">
        <v>1715</v>
      </c>
      <c r="H2893" s="112">
        <v>585</v>
      </c>
      <c r="I2893" s="112">
        <v>-10</v>
      </c>
      <c r="J2893" s="112">
        <v>54</v>
      </c>
      <c r="K2893" s="112">
        <v>64</v>
      </c>
      <c r="L2893" s="112">
        <v>272</v>
      </c>
      <c r="M2893" s="112">
        <v>267</v>
      </c>
      <c r="N2893" s="112">
        <v>4</v>
      </c>
      <c r="O2893" s="117"/>
      <c r="P2893" s="117"/>
      <c r="Q2893" s="117"/>
    </row>
    <row r="2894" spans="1:17" s="110" customFormat="1" ht="31.75" customHeight="1">
      <c r="A2894" s="109" t="s">
        <v>7405</v>
      </c>
      <c r="B2894" s="109" t="s">
        <v>7406</v>
      </c>
      <c r="C2894" s="113">
        <v>2013</v>
      </c>
      <c r="D2894" s="112">
        <v>674</v>
      </c>
      <c r="E2894" s="112">
        <v>2789</v>
      </c>
      <c r="F2894" s="112">
        <v>1060</v>
      </c>
      <c r="G2894" s="112">
        <v>1732</v>
      </c>
      <c r="H2894" s="112">
        <v>604</v>
      </c>
      <c r="I2894" s="112">
        <v>40</v>
      </c>
      <c r="J2894" s="112">
        <v>50</v>
      </c>
      <c r="K2894" s="112">
        <v>10</v>
      </c>
      <c r="L2894" s="112">
        <v>323</v>
      </c>
      <c r="M2894" s="112">
        <v>324</v>
      </c>
      <c r="N2894" s="112">
        <v>-1</v>
      </c>
      <c r="O2894" s="117"/>
      <c r="P2894" s="117"/>
      <c r="Q2894" s="117"/>
    </row>
    <row r="2895" spans="1:17" s="110" customFormat="1" ht="31.75" customHeight="1">
      <c r="A2895" s="109" t="s">
        <v>7405</v>
      </c>
      <c r="B2895" s="109" t="s">
        <v>7406</v>
      </c>
      <c r="C2895" s="113">
        <v>2014</v>
      </c>
      <c r="D2895" s="99">
        <v>650</v>
      </c>
      <c r="E2895" s="99">
        <v>2769</v>
      </c>
      <c r="F2895" s="99">
        <v>1045</v>
      </c>
      <c r="G2895" s="99">
        <v>1733</v>
      </c>
      <c r="H2895" s="99">
        <v>607</v>
      </c>
      <c r="I2895" s="99">
        <v>63</v>
      </c>
      <c r="J2895" s="99">
        <v>66</v>
      </c>
      <c r="K2895" s="99">
        <v>3</v>
      </c>
      <c r="L2895" s="99">
        <v>294</v>
      </c>
      <c r="M2895" s="99">
        <v>284</v>
      </c>
      <c r="N2895" s="99">
        <v>10</v>
      </c>
      <c r="O2895" s="117"/>
      <c r="P2895" s="117"/>
      <c r="Q2895" s="117"/>
    </row>
    <row r="2896" spans="1:17" s="110" customFormat="1" ht="31.75" customHeight="1">
      <c r="A2896" s="109" t="s">
        <v>7405</v>
      </c>
      <c r="B2896" s="109" t="s">
        <v>7406</v>
      </c>
      <c r="C2896" s="113">
        <v>2015</v>
      </c>
      <c r="D2896" s="112">
        <v>642</v>
      </c>
      <c r="E2896" s="112">
        <v>2512</v>
      </c>
      <c r="F2896" s="112">
        <v>942</v>
      </c>
      <c r="G2896" s="112">
        <v>1562</v>
      </c>
      <c r="H2896" s="112">
        <v>628</v>
      </c>
      <c r="I2896" s="112">
        <v>59</v>
      </c>
      <c r="J2896" s="112">
        <v>75</v>
      </c>
      <c r="K2896" s="112">
        <v>16</v>
      </c>
      <c r="L2896" s="112">
        <v>272</v>
      </c>
      <c r="M2896" s="112">
        <v>278</v>
      </c>
      <c r="N2896" s="112">
        <v>-6</v>
      </c>
      <c r="O2896" s="117"/>
      <c r="P2896" s="117"/>
      <c r="Q2896" s="117"/>
    </row>
    <row r="2897" spans="1:17" s="110" customFormat="1" ht="31.75" customHeight="1">
      <c r="A2897" s="109" t="s">
        <v>7405</v>
      </c>
      <c r="B2897" s="109" t="s">
        <v>7406</v>
      </c>
      <c r="C2897" s="113">
        <v>2016</v>
      </c>
      <c r="D2897" s="112">
        <v>604</v>
      </c>
      <c r="E2897" s="112">
        <v>2583</v>
      </c>
      <c r="F2897" s="112">
        <v>1008</v>
      </c>
      <c r="G2897" s="112">
        <v>1606</v>
      </c>
      <c r="H2897" s="112">
        <v>589</v>
      </c>
      <c r="I2897" s="112">
        <v>108</v>
      </c>
      <c r="J2897" s="112">
        <v>118</v>
      </c>
      <c r="K2897" s="112">
        <v>10</v>
      </c>
      <c r="L2897" s="112">
        <v>302</v>
      </c>
      <c r="M2897" s="112">
        <v>269</v>
      </c>
      <c r="N2897" s="112">
        <v>33</v>
      </c>
    </row>
    <row r="2898" spans="1:17" s="110" customFormat="1" ht="31.75" customHeight="1">
      <c r="A2898" s="109" t="s">
        <v>7405</v>
      </c>
      <c r="B2898" s="109" t="s">
        <v>7406</v>
      </c>
      <c r="C2898" s="113">
        <v>2017</v>
      </c>
      <c r="D2898" s="112">
        <v>591</v>
      </c>
      <c r="E2898" s="112">
        <v>2260</v>
      </c>
      <c r="F2898" s="112">
        <v>871</v>
      </c>
      <c r="G2898" s="112">
        <v>1422</v>
      </c>
      <c r="H2898" s="112">
        <v>585</v>
      </c>
      <c r="I2898" s="112">
        <v>35</v>
      </c>
      <c r="J2898" s="112">
        <v>44</v>
      </c>
      <c r="K2898" s="112">
        <v>9</v>
      </c>
      <c r="L2898" s="112">
        <v>254</v>
      </c>
      <c r="M2898" s="112">
        <v>220</v>
      </c>
      <c r="N2898" s="112">
        <v>34</v>
      </c>
    </row>
    <row r="2899" spans="1:17" s="110" customFormat="1" ht="31.75" customHeight="1">
      <c r="A2899" s="109" t="s">
        <v>7405</v>
      </c>
      <c r="B2899" s="109" t="s">
        <v>7406</v>
      </c>
      <c r="C2899" s="113">
        <v>2018</v>
      </c>
      <c r="D2899" s="112">
        <v>572</v>
      </c>
      <c r="E2899" s="112">
        <v>1857</v>
      </c>
      <c r="F2899" s="112">
        <v>776</v>
      </c>
      <c r="G2899" s="112">
        <v>1097</v>
      </c>
      <c r="H2899" s="112">
        <v>441</v>
      </c>
      <c r="I2899" s="112">
        <v>28</v>
      </c>
      <c r="J2899" s="112">
        <v>29</v>
      </c>
      <c r="K2899" s="112">
        <v>1</v>
      </c>
      <c r="L2899" s="112">
        <v>211</v>
      </c>
      <c r="M2899" s="112">
        <v>199</v>
      </c>
      <c r="N2899" s="112">
        <v>12</v>
      </c>
      <c r="O2899" s="100"/>
      <c r="P2899" s="100"/>
      <c r="Q2899" s="100"/>
    </row>
    <row r="2900" spans="1:17" s="110" customFormat="1" ht="31.75" customHeight="1">
      <c r="A2900" s="109" t="s">
        <v>7405</v>
      </c>
      <c r="B2900" s="109" t="s">
        <v>7406</v>
      </c>
      <c r="C2900" s="113">
        <v>2019</v>
      </c>
      <c r="D2900" s="112">
        <v>589</v>
      </c>
      <c r="E2900" s="112">
        <v>2404.0605399999999</v>
      </c>
      <c r="F2900" s="112">
        <v>730.97074099999998</v>
      </c>
      <c r="G2900" s="112">
        <v>1703.792719</v>
      </c>
      <c r="H2900" s="112">
        <v>492.76594899999998</v>
      </c>
      <c r="I2900" s="112">
        <v>45.336745000000001</v>
      </c>
      <c r="J2900" s="112">
        <v>49.904125999999998</v>
      </c>
      <c r="K2900" s="112">
        <v>4.56738</v>
      </c>
      <c r="L2900" s="112">
        <v>254.267529</v>
      </c>
      <c r="M2900" s="112">
        <v>229.94358199999999</v>
      </c>
      <c r="N2900" s="112">
        <v>24.323945999999999</v>
      </c>
    </row>
    <row r="2901" spans="1:17" s="110" customFormat="1" ht="31.75" customHeight="1">
      <c r="A2901" s="114" t="s">
        <v>7405</v>
      </c>
      <c r="B2901" s="114" t="s">
        <v>7406</v>
      </c>
      <c r="C2901" s="113">
        <v>2020</v>
      </c>
      <c r="D2901" s="112">
        <v>571</v>
      </c>
      <c r="E2901" s="112">
        <v>2053.4618139999998</v>
      </c>
      <c r="F2901" s="112">
        <v>814.72479599999997</v>
      </c>
      <c r="G2901" s="112">
        <v>1293.728388</v>
      </c>
      <c r="H2901" s="112">
        <v>588.24737600000003</v>
      </c>
      <c r="I2901" s="112">
        <v>31.600259999999999</v>
      </c>
      <c r="J2901" s="112">
        <v>34.528505000000003</v>
      </c>
      <c r="K2901" s="112">
        <v>2.928245</v>
      </c>
      <c r="L2901" s="112">
        <v>277.93133699999998</v>
      </c>
      <c r="M2901" s="112">
        <v>224.35914199999999</v>
      </c>
      <c r="N2901" s="112">
        <v>53.572195000000001</v>
      </c>
      <c r="O2901" s="100"/>
      <c r="P2901" s="100"/>
      <c r="Q2901" s="100"/>
    </row>
    <row r="2902" spans="1:17" s="110" customFormat="1" ht="17.5" customHeight="1">
      <c r="A2902" s="109" t="s">
        <v>7407</v>
      </c>
      <c r="B2902" s="109" t="s">
        <v>7408</v>
      </c>
      <c r="C2902" s="98">
        <v>2008</v>
      </c>
      <c r="D2902" s="99">
        <v>96</v>
      </c>
      <c r="E2902" s="99">
        <v>364</v>
      </c>
      <c r="F2902" s="99">
        <v>90</v>
      </c>
      <c r="G2902" s="99">
        <v>285</v>
      </c>
      <c r="H2902" s="99">
        <v>124</v>
      </c>
      <c r="I2902" s="99">
        <v>34</v>
      </c>
      <c r="J2902" s="99">
        <v>37</v>
      </c>
      <c r="K2902" s="99">
        <v>2</v>
      </c>
      <c r="L2902" s="99">
        <v>51</v>
      </c>
      <c r="M2902" s="99">
        <v>39</v>
      </c>
      <c r="N2902" s="99">
        <v>13</v>
      </c>
      <c r="O2902" s="100"/>
      <c r="P2902" s="100"/>
      <c r="Q2902" s="100"/>
    </row>
    <row r="2903" spans="1:17" s="110" customFormat="1" ht="17.5" customHeight="1">
      <c r="A2903" s="109" t="s">
        <v>7407</v>
      </c>
      <c r="B2903" s="109" t="s">
        <v>7408</v>
      </c>
      <c r="C2903" s="98">
        <v>2009</v>
      </c>
      <c r="D2903" s="99">
        <v>80</v>
      </c>
      <c r="E2903" s="99">
        <v>405</v>
      </c>
      <c r="F2903" s="99">
        <v>129</v>
      </c>
      <c r="G2903" s="99">
        <v>268</v>
      </c>
      <c r="H2903" s="99">
        <v>86</v>
      </c>
      <c r="I2903" s="99">
        <v>5</v>
      </c>
      <c r="J2903" s="99">
        <v>5</v>
      </c>
      <c r="K2903" s="99" t="s">
        <v>6952</v>
      </c>
      <c r="L2903" s="99">
        <v>41</v>
      </c>
      <c r="M2903" s="99">
        <v>49</v>
      </c>
      <c r="N2903" s="99">
        <v>-8</v>
      </c>
    </row>
    <row r="2904" spans="1:17" s="110" customFormat="1" ht="17.5" customHeight="1">
      <c r="A2904" s="109" t="s">
        <v>7407</v>
      </c>
      <c r="B2904" s="109" t="s">
        <v>7408</v>
      </c>
      <c r="C2904" s="98">
        <v>2010</v>
      </c>
      <c r="D2904" s="99">
        <v>67</v>
      </c>
      <c r="E2904" s="99">
        <v>361</v>
      </c>
      <c r="F2904" s="99">
        <v>118</v>
      </c>
      <c r="G2904" s="99">
        <v>247</v>
      </c>
      <c r="H2904" s="99">
        <v>55</v>
      </c>
      <c r="I2904" s="99">
        <v>10</v>
      </c>
      <c r="J2904" s="99">
        <v>11</v>
      </c>
      <c r="K2904" s="99" t="s">
        <v>6952</v>
      </c>
      <c r="L2904" s="99">
        <v>39</v>
      </c>
      <c r="M2904" s="99">
        <v>33</v>
      </c>
      <c r="N2904" s="99">
        <v>6</v>
      </c>
    </row>
    <row r="2905" spans="1:17" s="110" customFormat="1" ht="17.5" customHeight="1">
      <c r="A2905" s="109" t="s">
        <v>7407</v>
      </c>
      <c r="B2905" s="109" t="s">
        <v>7408</v>
      </c>
      <c r="C2905" s="98">
        <v>2011</v>
      </c>
      <c r="D2905" s="99">
        <v>59</v>
      </c>
      <c r="E2905" s="99">
        <v>423</v>
      </c>
      <c r="F2905" s="99">
        <v>151</v>
      </c>
      <c r="G2905" s="99">
        <v>283</v>
      </c>
      <c r="H2905" s="99">
        <v>61</v>
      </c>
      <c r="I2905" s="99">
        <v>7</v>
      </c>
      <c r="J2905" s="99">
        <v>7</v>
      </c>
      <c r="K2905" s="99" t="s">
        <v>6952</v>
      </c>
      <c r="L2905" s="99">
        <v>55</v>
      </c>
      <c r="M2905" s="99">
        <v>43</v>
      </c>
      <c r="N2905" s="99">
        <v>12</v>
      </c>
      <c r="O2905" s="117"/>
      <c r="P2905" s="117"/>
      <c r="Q2905" s="117"/>
    </row>
    <row r="2906" spans="1:17" s="110" customFormat="1" ht="17.5" customHeight="1">
      <c r="A2906" s="109" t="s">
        <v>7407</v>
      </c>
      <c r="B2906" s="109" t="s">
        <v>7408</v>
      </c>
      <c r="C2906" s="111">
        <v>2012</v>
      </c>
      <c r="D2906" s="112">
        <v>58</v>
      </c>
      <c r="E2906" s="112">
        <v>456</v>
      </c>
      <c r="F2906" s="112">
        <v>135</v>
      </c>
      <c r="G2906" s="112">
        <v>311</v>
      </c>
      <c r="H2906" s="112">
        <v>57</v>
      </c>
      <c r="I2906" s="99" t="s">
        <v>6953</v>
      </c>
      <c r="J2906" s="112">
        <v>8</v>
      </c>
      <c r="K2906" s="99" t="s">
        <v>6953</v>
      </c>
      <c r="L2906" s="112">
        <v>44</v>
      </c>
      <c r="M2906" s="112">
        <v>51</v>
      </c>
      <c r="N2906" s="112">
        <v>-7</v>
      </c>
      <c r="O2906" s="117"/>
      <c r="P2906" s="117"/>
      <c r="Q2906" s="117"/>
    </row>
    <row r="2907" spans="1:17" s="110" customFormat="1" ht="17.5" customHeight="1">
      <c r="A2907" s="109" t="s">
        <v>7407</v>
      </c>
      <c r="B2907" s="109" t="s">
        <v>7408</v>
      </c>
      <c r="C2907" s="113">
        <v>2013</v>
      </c>
      <c r="D2907" s="112">
        <v>56</v>
      </c>
      <c r="E2907" s="112">
        <v>479</v>
      </c>
      <c r="F2907" s="112">
        <v>137</v>
      </c>
      <c r="G2907" s="112">
        <v>361</v>
      </c>
      <c r="H2907" s="112">
        <v>68</v>
      </c>
      <c r="I2907" s="112">
        <v>5</v>
      </c>
      <c r="J2907" s="112">
        <v>5</v>
      </c>
      <c r="K2907" s="112" t="s">
        <v>6952</v>
      </c>
      <c r="L2907" s="112">
        <v>62</v>
      </c>
      <c r="M2907" s="112">
        <v>44</v>
      </c>
      <c r="N2907" s="112">
        <v>18</v>
      </c>
      <c r="O2907" s="117"/>
      <c r="P2907" s="117"/>
      <c r="Q2907" s="117"/>
    </row>
    <row r="2908" spans="1:17" s="110" customFormat="1" ht="17.5" customHeight="1">
      <c r="A2908" s="109" t="s">
        <v>7407</v>
      </c>
      <c r="B2908" s="109" t="s">
        <v>7408</v>
      </c>
      <c r="C2908" s="113">
        <v>2014</v>
      </c>
      <c r="D2908" s="99">
        <v>53</v>
      </c>
      <c r="E2908" s="99">
        <v>515</v>
      </c>
      <c r="F2908" s="99">
        <v>141</v>
      </c>
      <c r="G2908" s="99">
        <v>370</v>
      </c>
      <c r="H2908" s="99">
        <v>79</v>
      </c>
      <c r="I2908" s="99">
        <v>11</v>
      </c>
      <c r="J2908" s="99">
        <v>13</v>
      </c>
      <c r="K2908" s="99">
        <v>1</v>
      </c>
      <c r="L2908" s="99">
        <v>50</v>
      </c>
      <c r="M2908" s="99">
        <v>52</v>
      </c>
      <c r="N2908" s="99">
        <v>-3</v>
      </c>
      <c r="O2908" s="117"/>
      <c r="P2908" s="117"/>
      <c r="Q2908" s="117"/>
    </row>
    <row r="2909" spans="1:17" s="110" customFormat="1" ht="17.5" customHeight="1">
      <c r="A2909" s="109" t="s">
        <v>7407</v>
      </c>
      <c r="B2909" s="109" t="s">
        <v>7408</v>
      </c>
      <c r="C2909" s="113">
        <v>2015</v>
      </c>
      <c r="D2909" s="112">
        <v>53</v>
      </c>
      <c r="E2909" s="112">
        <v>482</v>
      </c>
      <c r="F2909" s="112">
        <v>139</v>
      </c>
      <c r="G2909" s="112">
        <v>340</v>
      </c>
      <c r="H2909" s="112">
        <v>68</v>
      </c>
      <c r="I2909" s="112">
        <v>13</v>
      </c>
      <c r="J2909" s="112">
        <v>13</v>
      </c>
      <c r="K2909" s="112" t="s">
        <v>6952</v>
      </c>
      <c r="L2909" s="112">
        <v>46</v>
      </c>
      <c r="M2909" s="112">
        <v>47</v>
      </c>
      <c r="N2909" s="112">
        <v>-1</v>
      </c>
    </row>
    <row r="2910" spans="1:17" s="110" customFormat="1" ht="17.5" customHeight="1">
      <c r="A2910" s="109" t="s">
        <v>7407</v>
      </c>
      <c r="B2910" s="109" t="s">
        <v>7408</v>
      </c>
      <c r="C2910" s="113">
        <v>2016</v>
      </c>
      <c r="D2910" s="112">
        <v>61</v>
      </c>
      <c r="E2910" s="112">
        <v>321</v>
      </c>
      <c r="F2910" s="112">
        <v>103</v>
      </c>
      <c r="G2910" s="112">
        <v>225</v>
      </c>
      <c r="H2910" s="112">
        <v>53</v>
      </c>
      <c r="I2910" s="112">
        <v>4</v>
      </c>
      <c r="J2910" s="112">
        <v>8</v>
      </c>
      <c r="K2910" s="112">
        <v>4</v>
      </c>
      <c r="L2910" s="112">
        <v>39</v>
      </c>
      <c r="M2910" s="112">
        <v>34</v>
      </c>
      <c r="N2910" s="112">
        <v>6</v>
      </c>
    </row>
    <row r="2911" spans="1:17" s="110" customFormat="1" ht="17.5" customHeight="1">
      <c r="A2911" s="109" t="s">
        <v>7407</v>
      </c>
      <c r="B2911" s="109" t="s">
        <v>7408</v>
      </c>
      <c r="C2911" s="113">
        <v>2017</v>
      </c>
      <c r="D2911" s="112">
        <v>54</v>
      </c>
      <c r="E2911" s="112">
        <v>570</v>
      </c>
      <c r="F2911" s="112">
        <v>147</v>
      </c>
      <c r="G2911" s="112">
        <v>431</v>
      </c>
      <c r="H2911" s="112">
        <v>79</v>
      </c>
      <c r="I2911" s="112">
        <v>6</v>
      </c>
      <c r="J2911" s="112">
        <v>7</v>
      </c>
      <c r="K2911" s="112" t="s">
        <v>6952</v>
      </c>
      <c r="L2911" s="112">
        <v>63</v>
      </c>
      <c r="M2911" s="112">
        <v>55</v>
      </c>
      <c r="N2911" s="112">
        <v>8</v>
      </c>
      <c r="O2911" s="100"/>
      <c r="P2911" s="100"/>
      <c r="Q2911" s="100"/>
    </row>
    <row r="2912" spans="1:17" s="110" customFormat="1" ht="17.5" customHeight="1">
      <c r="A2912" s="109" t="s">
        <v>7407</v>
      </c>
      <c r="B2912" s="109" t="s">
        <v>7408</v>
      </c>
      <c r="C2912" s="113">
        <v>2018</v>
      </c>
      <c r="D2912" s="112">
        <v>48</v>
      </c>
      <c r="E2912" s="112">
        <v>556</v>
      </c>
      <c r="F2912" s="112">
        <v>110</v>
      </c>
      <c r="G2912" s="112">
        <v>440</v>
      </c>
      <c r="H2912" s="112">
        <v>80</v>
      </c>
      <c r="I2912" s="112">
        <v>10</v>
      </c>
      <c r="J2912" s="112">
        <v>12</v>
      </c>
      <c r="K2912" s="112">
        <v>1</v>
      </c>
      <c r="L2912" s="112">
        <v>56</v>
      </c>
      <c r="M2912" s="112">
        <v>62</v>
      </c>
      <c r="N2912" s="112">
        <v>-6</v>
      </c>
    </row>
    <row r="2913" spans="1:17" s="110" customFormat="1" ht="17.5" customHeight="1">
      <c r="A2913" s="109" t="s">
        <v>7407</v>
      </c>
      <c r="B2913" s="109" t="s">
        <v>7408</v>
      </c>
      <c r="C2913" s="113">
        <v>2019</v>
      </c>
      <c r="D2913" s="112">
        <v>64</v>
      </c>
      <c r="E2913" s="112">
        <v>442.14762300000001</v>
      </c>
      <c r="F2913" s="112">
        <v>156.632384</v>
      </c>
      <c r="G2913" s="112">
        <v>294.57127200000002</v>
      </c>
      <c r="H2913" s="112">
        <v>76.412156999999993</v>
      </c>
      <c r="I2913" s="112">
        <v>43.510745999999997</v>
      </c>
      <c r="J2913" s="112">
        <v>43.659520000000001</v>
      </c>
      <c r="K2913" s="112" t="s">
        <v>6952</v>
      </c>
      <c r="L2913" s="112">
        <v>73.219622000000001</v>
      </c>
      <c r="M2913" s="112">
        <v>65.477350999999999</v>
      </c>
      <c r="N2913" s="112">
        <v>7.7422709999999997</v>
      </c>
      <c r="O2913" s="100"/>
      <c r="P2913" s="100"/>
      <c r="Q2913" s="100"/>
    </row>
    <row r="2914" spans="1:17" s="110" customFormat="1" ht="17.5" customHeight="1">
      <c r="A2914" s="114" t="s">
        <v>7407</v>
      </c>
      <c r="B2914" s="114" t="s">
        <v>7408</v>
      </c>
      <c r="C2914" s="113">
        <v>2020</v>
      </c>
      <c r="D2914" s="112">
        <v>75</v>
      </c>
      <c r="E2914" s="112">
        <v>296.64702</v>
      </c>
      <c r="F2914" s="112">
        <v>108.905787</v>
      </c>
      <c r="G2914" s="112">
        <v>173.339045</v>
      </c>
      <c r="H2914" s="112">
        <v>69.228746999999998</v>
      </c>
      <c r="I2914" s="112">
        <v>3.9025020000000001</v>
      </c>
      <c r="J2914" s="112">
        <v>4.1293340000000001</v>
      </c>
      <c r="K2914" s="112" t="s">
        <v>6952</v>
      </c>
      <c r="L2914" s="112">
        <v>33.125289000000002</v>
      </c>
      <c r="M2914" s="112">
        <v>45.248432999999999</v>
      </c>
      <c r="N2914" s="112">
        <v>-12.123144999999999</v>
      </c>
      <c r="O2914" s="100"/>
      <c r="P2914" s="100"/>
      <c r="Q2914" s="100"/>
    </row>
    <row r="2915" spans="1:17" s="110" customFormat="1" ht="17.5" customHeight="1">
      <c r="A2915" s="109" t="s">
        <v>7409</v>
      </c>
      <c r="B2915" s="109" t="s">
        <v>7410</v>
      </c>
      <c r="C2915" s="98">
        <v>2008</v>
      </c>
      <c r="D2915" s="99">
        <v>301</v>
      </c>
      <c r="E2915" s="99">
        <v>2448</v>
      </c>
      <c r="F2915" s="99">
        <v>438</v>
      </c>
      <c r="G2915" s="99">
        <v>2004</v>
      </c>
      <c r="H2915" s="99">
        <v>341</v>
      </c>
      <c r="I2915" s="99">
        <v>25</v>
      </c>
      <c r="J2915" s="99">
        <v>34</v>
      </c>
      <c r="K2915" s="99">
        <v>9</v>
      </c>
      <c r="L2915" s="99">
        <v>190</v>
      </c>
      <c r="M2915" s="99">
        <v>194</v>
      </c>
      <c r="N2915" s="99">
        <v>-4</v>
      </c>
    </row>
    <row r="2916" spans="1:17" s="110" customFormat="1" ht="17.5" customHeight="1">
      <c r="A2916" s="109" t="s">
        <v>7409</v>
      </c>
      <c r="B2916" s="109" t="s">
        <v>7410</v>
      </c>
      <c r="C2916" s="98">
        <v>2009</v>
      </c>
      <c r="D2916" s="99">
        <v>329</v>
      </c>
      <c r="E2916" s="99">
        <v>2364</v>
      </c>
      <c r="F2916" s="99">
        <v>542</v>
      </c>
      <c r="G2916" s="99">
        <v>1779</v>
      </c>
      <c r="H2916" s="99">
        <v>398</v>
      </c>
      <c r="I2916" s="99">
        <v>27</v>
      </c>
      <c r="J2916" s="99">
        <v>34</v>
      </c>
      <c r="K2916" s="99">
        <v>7</v>
      </c>
      <c r="L2916" s="99">
        <v>225</v>
      </c>
      <c r="M2916" s="99">
        <v>267</v>
      </c>
      <c r="N2916" s="99">
        <v>-43</v>
      </c>
    </row>
    <row r="2917" spans="1:17" s="110" customFormat="1" ht="17.5" customHeight="1">
      <c r="A2917" s="109" t="s">
        <v>7409</v>
      </c>
      <c r="B2917" s="109" t="s">
        <v>7410</v>
      </c>
      <c r="C2917" s="98">
        <v>2010</v>
      </c>
      <c r="D2917" s="99">
        <v>317</v>
      </c>
      <c r="E2917" s="99">
        <v>2014</v>
      </c>
      <c r="F2917" s="99">
        <v>658</v>
      </c>
      <c r="G2917" s="99">
        <v>1400</v>
      </c>
      <c r="H2917" s="99">
        <v>386</v>
      </c>
      <c r="I2917" s="99">
        <v>15</v>
      </c>
      <c r="J2917" s="99">
        <v>38</v>
      </c>
      <c r="K2917" s="99">
        <v>23</v>
      </c>
      <c r="L2917" s="99">
        <v>259</v>
      </c>
      <c r="M2917" s="99">
        <v>214</v>
      </c>
      <c r="N2917" s="99">
        <v>45</v>
      </c>
      <c r="O2917" s="117"/>
      <c r="P2917" s="117"/>
      <c r="Q2917" s="117"/>
    </row>
    <row r="2918" spans="1:17" s="110" customFormat="1" ht="17.5" customHeight="1">
      <c r="A2918" s="109" t="s">
        <v>7409</v>
      </c>
      <c r="B2918" s="109" t="s">
        <v>7410</v>
      </c>
      <c r="C2918" s="98">
        <v>2011</v>
      </c>
      <c r="D2918" s="99">
        <v>320</v>
      </c>
      <c r="E2918" s="99">
        <v>2382</v>
      </c>
      <c r="F2918" s="99">
        <v>679</v>
      </c>
      <c r="G2918" s="99">
        <v>1701</v>
      </c>
      <c r="H2918" s="99">
        <v>433</v>
      </c>
      <c r="I2918" s="99">
        <v>22</v>
      </c>
      <c r="J2918" s="99">
        <v>44</v>
      </c>
      <c r="K2918" s="99">
        <v>22</v>
      </c>
      <c r="L2918" s="99">
        <v>272</v>
      </c>
      <c r="M2918" s="99">
        <v>268</v>
      </c>
      <c r="N2918" s="99">
        <v>4</v>
      </c>
      <c r="O2918" s="117"/>
      <c r="P2918" s="117"/>
      <c r="Q2918" s="117"/>
    </row>
    <row r="2919" spans="1:17" s="110" customFormat="1" ht="17.5" customHeight="1">
      <c r="A2919" s="109" t="s">
        <v>7409</v>
      </c>
      <c r="B2919" s="109" t="s">
        <v>7410</v>
      </c>
      <c r="C2919" s="111">
        <v>2012</v>
      </c>
      <c r="D2919" s="112">
        <v>329</v>
      </c>
      <c r="E2919" s="112">
        <v>2321</v>
      </c>
      <c r="F2919" s="112">
        <v>612</v>
      </c>
      <c r="G2919" s="112">
        <v>1698</v>
      </c>
      <c r="H2919" s="112">
        <v>451</v>
      </c>
      <c r="I2919" s="99" t="s">
        <v>6953</v>
      </c>
      <c r="J2919" s="112">
        <v>45</v>
      </c>
      <c r="K2919" s="99" t="s">
        <v>6953</v>
      </c>
      <c r="L2919" s="112">
        <v>291</v>
      </c>
      <c r="M2919" s="112">
        <v>298</v>
      </c>
      <c r="N2919" s="112">
        <v>-7</v>
      </c>
      <c r="O2919" s="117"/>
      <c r="P2919" s="117"/>
      <c r="Q2919" s="117"/>
    </row>
    <row r="2920" spans="1:17" s="110" customFormat="1" ht="17.5" customHeight="1">
      <c r="A2920" s="109" t="s">
        <v>7409</v>
      </c>
      <c r="B2920" s="109" t="s">
        <v>7410</v>
      </c>
      <c r="C2920" s="113">
        <v>2013</v>
      </c>
      <c r="D2920" s="112">
        <v>331</v>
      </c>
      <c r="E2920" s="112">
        <v>2178</v>
      </c>
      <c r="F2920" s="112">
        <v>566</v>
      </c>
      <c r="G2920" s="112">
        <v>1606</v>
      </c>
      <c r="H2920" s="112">
        <v>466</v>
      </c>
      <c r="I2920" s="112">
        <v>32</v>
      </c>
      <c r="J2920" s="112">
        <v>45</v>
      </c>
      <c r="K2920" s="112">
        <v>12</v>
      </c>
      <c r="L2920" s="112">
        <v>283</v>
      </c>
      <c r="M2920" s="112">
        <v>287</v>
      </c>
      <c r="N2920" s="112">
        <v>-4</v>
      </c>
      <c r="O2920" s="117"/>
      <c r="P2920" s="117"/>
      <c r="Q2920" s="117"/>
    </row>
    <row r="2921" spans="1:17" s="110" customFormat="1" ht="17.5" customHeight="1">
      <c r="A2921" s="109" t="s">
        <v>7409</v>
      </c>
      <c r="B2921" s="109" t="s">
        <v>7410</v>
      </c>
      <c r="C2921" s="113">
        <v>2014</v>
      </c>
      <c r="D2921" s="99">
        <v>336</v>
      </c>
      <c r="E2921" s="99">
        <v>2385</v>
      </c>
      <c r="F2921" s="99">
        <v>714</v>
      </c>
      <c r="G2921" s="99">
        <v>1682</v>
      </c>
      <c r="H2921" s="99">
        <v>489</v>
      </c>
      <c r="I2921" s="99">
        <v>50</v>
      </c>
      <c r="J2921" s="99">
        <v>54</v>
      </c>
      <c r="K2921" s="99">
        <v>3</v>
      </c>
      <c r="L2921" s="99">
        <v>313</v>
      </c>
      <c r="M2921" s="99">
        <v>303</v>
      </c>
      <c r="N2921" s="99">
        <v>10</v>
      </c>
    </row>
    <row r="2922" spans="1:17" s="110" customFormat="1" ht="17.5" customHeight="1">
      <c r="A2922" s="109" t="s">
        <v>7409</v>
      </c>
      <c r="B2922" s="109" t="s">
        <v>7410</v>
      </c>
      <c r="C2922" s="113">
        <v>2015</v>
      </c>
      <c r="D2922" s="112">
        <v>352</v>
      </c>
      <c r="E2922" s="112">
        <v>2478</v>
      </c>
      <c r="F2922" s="112">
        <v>767</v>
      </c>
      <c r="G2922" s="112">
        <v>1698</v>
      </c>
      <c r="H2922" s="112">
        <v>494</v>
      </c>
      <c r="I2922" s="112">
        <v>90</v>
      </c>
      <c r="J2922" s="112">
        <v>92</v>
      </c>
      <c r="K2922" s="112">
        <v>2</v>
      </c>
      <c r="L2922" s="112">
        <v>326</v>
      </c>
      <c r="M2922" s="112">
        <v>339</v>
      </c>
      <c r="N2922" s="112">
        <v>-13</v>
      </c>
    </row>
    <row r="2923" spans="1:17" s="110" customFormat="1" ht="17.5" customHeight="1">
      <c r="A2923" s="109" t="s">
        <v>7409</v>
      </c>
      <c r="B2923" s="109" t="s">
        <v>7410</v>
      </c>
      <c r="C2923" s="113">
        <v>2016</v>
      </c>
      <c r="D2923" s="112">
        <v>349</v>
      </c>
      <c r="E2923" s="112">
        <v>2258</v>
      </c>
      <c r="F2923" s="112">
        <v>750</v>
      </c>
      <c r="G2923" s="112">
        <v>1491</v>
      </c>
      <c r="H2923" s="112">
        <v>485</v>
      </c>
      <c r="I2923" s="112">
        <v>60</v>
      </c>
      <c r="J2923" s="112">
        <v>61</v>
      </c>
      <c r="K2923" s="112">
        <v>1</v>
      </c>
      <c r="L2923" s="112">
        <v>303</v>
      </c>
      <c r="M2923" s="112">
        <v>319</v>
      </c>
      <c r="N2923" s="112">
        <v>-17</v>
      </c>
      <c r="O2923" s="100"/>
      <c r="P2923" s="100"/>
      <c r="Q2923" s="100"/>
    </row>
    <row r="2924" spans="1:17" s="110" customFormat="1" ht="17.5" customHeight="1">
      <c r="A2924" s="109" t="s">
        <v>7409</v>
      </c>
      <c r="B2924" s="109" t="s">
        <v>7410</v>
      </c>
      <c r="C2924" s="113">
        <v>2017</v>
      </c>
      <c r="D2924" s="112">
        <v>332</v>
      </c>
      <c r="E2924" s="112">
        <v>2343</v>
      </c>
      <c r="F2924" s="112">
        <v>743</v>
      </c>
      <c r="G2924" s="112">
        <v>1663</v>
      </c>
      <c r="H2924" s="112">
        <v>517</v>
      </c>
      <c r="I2924" s="112">
        <v>50</v>
      </c>
      <c r="J2924" s="112">
        <v>52</v>
      </c>
      <c r="K2924" s="112">
        <v>3</v>
      </c>
      <c r="L2924" s="112">
        <v>323</v>
      </c>
      <c r="M2924" s="112">
        <v>268</v>
      </c>
      <c r="N2924" s="112">
        <v>55</v>
      </c>
    </row>
    <row r="2925" spans="1:17" s="110" customFormat="1" ht="17.5" customHeight="1">
      <c r="A2925" s="109" t="s">
        <v>7409</v>
      </c>
      <c r="B2925" s="109" t="s">
        <v>7410</v>
      </c>
      <c r="C2925" s="113">
        <v>2018</v>
      </c>
      <c r="D2925" s="112">
        <v>332</v>
      </c>
      <c r="E2925" s="112">
        <v>2425</v>
      </c>
      <c r="F2925" s="112">
        <v>786</v>
      </c>
      <c r="G2925" s="112">
        <v>1698</v>
      </c>
      <c r="H2925" s="112">
        <v>449</v>
      </c>
      <c r="I2925" s="112">
        <v>43</v>
      </c>
      <c r="J2925" s="112">
        <v>44</v>
      </c>
      <c r="K2925" s="112">
        <v>1</v>
      </c>
      <c r="L2925" s="112">
        <v>367</v>
      </c>
      <c r="M2925" s="112">
        <v>316</v>
      </c>
      <c r="N2925" s="112">
        <v>51</v>
      </c>
      <c r="O2925" s="100"/>
      <c r="P2925" s="100"/>
      <c r="Q2925" s="100"/>
    </row>
    <row r="2926" spans="1:17" s="110" customFormat="1" ht="17.5" customHeight="1">
      <c r="A2926" s="109" t="s">
        <v>7409</v>
      </c>
      <c r="B2926" s="109" t="s">
        <v>7410</v>
      </c>
      <c r="C2926" s="113">
        <v>2019</v>
      </c>
      <c r="D2926" s="112">
        <v>336</v>
      </c>
      <c r="E2926" s="112">
        <v>2780.3886389999998</v>
      </c>
      <c r="F2926" s="112">
        <v>862.44080099999996</v>
      </c>
      <c r="G2926" s="112">
        <v>1965.756674</v>
      </c>
      <c r="H2926" s="112">
        <v>549.05588</v>
      </c>
      <c r="I2926" s="112">
        <v>48.349615999999997</v>
      </c>
      <c r="J2926" s="112">
        <v>48.850095000000003</v>
      </c>
      <c r="K2926" s="112">
        <v>0.50047900000000001</v>
      </c>
      <c r="L2926" s="112">
        <v>427.99861600000003</v>
      </c>
      <c r="M2926" s="112">
        <v>402.96779199999997</v>
      </c>
      <c r="N2926" s="112">
        <v>25.030823999999999</v>
      </c>
      <c r="O2926" s="100"/>
      <c r="P2926" s="100"/>
      <c r="Q2926" s="100"/>
    </row>
    <row r="2927" spans="1:17" s="110" customFormat="1" ht="17.5" customHeight="1">
      <c r="A2927" s="114" t="s">
        <v>7409</v>
      </c>
      <c r="B2927" s="114" t="s">
        <v>7410</v>
      </c>
      <c r="C2927" s="113">
        <v>2020</v>
      </c>
      <c r="D2927" s="112">
        <v>349</v>
      </c>
      <c r="E2927" s="112">
        <v>2606.9272719999999</v>
      </c>
      <c r="F2927" s="112">
        <v>627.65910699999995</v>
      </c>
      <c r="G2927" s="112">
        <v>1923.9603669999999</v>
      </c>
      <c r="H2927" s="112">
        <v>628.998876</v>
      </c>
      <c r="I2927" s="112">
        <v>54.332954999999998</v>
      </c>
      <c r="J2927" s="112">
        <v>56.889961</v>
      </c>
      <c r="K2927" s="112">
        <v>2.5570059999999999</v>
      </c>
      <c r="L2927" s="112">
        <v>380.35415799999998</v>
      </c>
      <c r="M2927" s="112">
        <v>456.06546700000001</v>
      </c>
      <c r="N2927" s="112">
        <v>-75.711309</v>
      </c>
    </row>
    <row r="2928" spans="1:17" s="110" customFormat="1" ht="17.5" customHeight="1">
      <c r="A2928" s="109" t="s">
        <v>7411</v>
      </c>
      <c r="B2928" s="109" t="s">
        <v>7412</v>
      </c>
      <c r="C2928" s="98">
        <v>2008</v>
      </c>
      <c r="D2928" s="99">
        <v>74</v>
      </c>
      <c r="E2928" s="99" t="s">
        <v>6953</v>
      </c>
      <c r="F2928" s="99">
        <v>70</v>
      </c>
      <c r="G2928" s="99" t="s">
        <v>6953</v>
      </c>
      <c r="H2928" s="99">
        <v>76</v>
      </c>
      <c r="I2928" s="99" t="s">
        <v>6953</v>
      </c>
      <c r="J2928" s="99">
        <v>5</v>
      </c>
      <c r="K2928" s="99" t="s">
        <v>6953</v>
      </c>
      <c r="L2928" s="99">
        <v>47</v>
      </c>
      <c r="M2928" s="99">
        <v>48</v>
      </c>
      <c r="N2928" s="99">
        <v>-1</v>
      </c>
    </row>
    <row r="2929" spans="1:17" s="110" customFormat="1" ht="17.5" customHeight="1">
      <c r="A2929" s="109" t="s">
        <v>7411</v>
      </c>
      <c r="B2929" s="109" t="s">
        <v>7412</v>
      </c>
      <c r="C2929" s="98">
        <v>2009</v>
      </c>
      <c r="D2929" s="99">
        <v>53</v>
      </c>
      <c r="E2929" s="99" t="s">
        <v>6953</v>
      </c>
      <c r="F2929" s="99">
        <v>103</v>
      </c>
      <c r="G2929" s="99" t="s">
        <v>6953</v>
      </c>
      <c r="H2929" s="99">
        <v>58</v>
      </c>
      <c r="I2929" s="99">
        <v>3</v>
      </c>
      <c r="J2929" s="99">
        <v>3</v>
      </c>
      <c r="K2929" s="99">
        <v>1</v>
      </c>
      <c r="L2929" s="99">
        <v>37</v>
      </c>
      <c r="M2929" s="99">
        <v>38</v>
      </c>
      <c r="N2929" s="99">
        <v>-1</v>
      </c>
      <c r="O2929" s="117"/>
      <c r="P2929" s="117"/>
      <c r="Q2929" s="117"/>
    </row>
    <row r="2930" spans="1:17" s="110" customFormat="1" ht="17.5" customHeight="1">
      <c r="A2930" s="109" t="s">
        <v>7411</v>
      </c>
      <c r="B2930" s="109" t="s">
        <v>7412</v>
      </c>
      <c r="C2930" s="98">
        <v>2010</v>
      </c>
      <c r="D2930" s="99">
        <v>40</v>
      </c>
      <c r="E2930" s="99">
        <v>81</v>
      </c>
      <c r="F2930" s="99">
        <v>41</v>
      </c>
      <c r="G2930" s="99">
        <v>43</v>
      </c>
      <c r="H2930" s="99">
        <v>17</v>
      </c>
      <c r="I2930" s="99">
        <v>1</v>
      </c>
      <c r="J2930" s="99">
        <v>1</v>
      </c>
      <c r="K2930" s="99" t="s">
        <v>6952</v>
      </c>
      <c r="L2930" s="99">
        <v>11</v>
      </c>
      <c r="M2930" s="99">
        <v>8</v>
      </c>
      <c r="N2930" s="99">
        <v>2</v>
      </c>
      <c r="O2930" s="117"/>
      <c r="P2930" s="117"/>
      <c r="Q2930" s="117"/>
    </row>
    <row r="2931" spans="1:17" s="110" customFormat="1" ht="17.5" customHeight="1">
      <c r="A2931" s="109" t="s">
        <v>7411</v>
      </c>
      <c r="B2931" s="109" t="s">
        <v>7412</v>
      </c>
      <c r="C2931" s="98">
        <v>2011</v>
      </c>
      <c r="D2931" s="99">
        <v>41</v>
      </c>
      <c r="E2931" s="99">
        <v>100</v>
      </c>
      <c r="F2931" s="99">
        <v>43</v>
      </c>
      <c r="G2931" s="99">
        <v>57</v>
      </c>
      <c r="H2931" s="99">
        <v>26</v>
      </c>
      <c r="I2931" s="99">
        <v>1</v>
      </c>
      <c r="J2931" s="99">
        <v>2</v>
      </c>
      <c r="K2931" s="99">
        <v>1</v>
      </c>
      <c r="L2931" s="99">
        <v>19</v>
      </c>
      <c r="M2931" s="99">
        <v>20</v>
      </c>
      <c r="N2931" s="99" t="s">
        <v>6952</v>
      </c>
      <c r="O2931" s="117"/>
      <c r="P2931" s="117"/>
      <c r="Q2931" s="117"/>
    </row>
    <row r="2932" spans="1:17" s="110" customFormat="1" ht="17.5" customHeight="1">
      <c r="A2932" s="109" t="s">
        <v>7411</v>
      </c>
      <c r="B2932" s="109" t="s">
        <v>7412</v>
      </c>
      <c r="C2932" s="111">
        <v>2012</v>
      </c>
      <c r="D2932" s="112">
        <v>38</v>
      </c>
      <c r="E2932" s="112">
        <v>86</v>
      </c>
      <c r="F2932" s="112">
        <v>31</v>
      </c>
      <c r="G2932" s="112">
        <v>57</v>
      </c>
      <c r="H2932" s="112">
        <v>18</v>
      </c>
      <c r="I2932" s="99" t="s">
        <v>6953</v>
      </c>
      <c r="J2932" s="112">
        <v>8</v>
      </c>
      <c r="K2932" s="112" t="s">
        <v>6953</v>
      </c>
      <c r="L2932" s="112">
        <v>19</v>
      </c>
      <c r="M2932" s="112">
        <v>18</v>
      </c>
      <c r="N2932" s="112">
        <v>1</v>
      </c>
      <c r="O2932" s="117"/>
      <c r="P2932" s="117"/>
      <c r="Q2932" s="117"/>
    </row>
    <row r="2933" spans="1:17" s="110" customFormat="1" ht="17.5" customHeight="1">
      <c r="A2933" s="109" t="s">
        <v>7411</v>
      </c>
      <c r="B2933" s="109" t="s">
        <v>7412</v>
      </c>
      <c r="C2933" s="113">
        <v>2013</v>
      </c>
      <c r="D2933" s="112">
        <v>33</v>
      </c>
      <c r="E2933" s="112">
        <v>68</v>
      </c>
      <c r="F2933" s="112">
        <v>29</v>
      </c>
      <c r="G2933" s="112">
        <v>37</v>
      </c>
      <c r="H2933" s="112">
        <v>23</v>
      </c>
      <c r="I2933" s="112">
        <v>1</v>
      </c>
      <c r="J2933" s="112">
        <v>1</v>
      </c>
      <c r="K2933" s="112" t="s">
        <v>6952</v>
      </c>
      <c r="L2933" s="112">
        <v>10</v>
      </c>
      <c r="M2933" s="112">
        <v>11</v>
      </c>
      <c r="N2933" s="112">
        <v>-2</v>
      </c>
    </row>
    <row r="2934" spans="1:17" s="110" customFormat="1" ht="17.5" customHeight="1">
      <c r="A2934" s="109" t="s">
        <v>7411</v>
      </c>
      <c r="B2934" s="109" t="s">
        <v>7412</v>
      </c>
      <c r="C2934" s="113">
        <v>2014</v>
      </c>
      <c r="D2934" s="99">
        <v>36</v>
      </c>
      <c r="E2934" s="99">
        <v>57</v>
      </c>
      <c r="F2934" s="99">
        <v>24</v>
      </c>
      <c r="G2934" s="99">
        <v>36</v>
      </c>
      <c r="H2934" s="99">
        <v>14</v>
      </c>
      <c r="I2934" s="99">
        <v>2</v>
      </c>
      <c r="J2934" s="99">
        <v>2</v>
      </c>
      <c r="K2934" s="112" t="s">
        <v>6952</v>
      </c>
      <c r="L2934" s="99">
        <v>9</v>
      </c>
      <c r="M2934" s="99">
        <v>6</v>
      </c>
      <c r="N2934" s="99">
        <v>3</v>
      </c>
    </row>
    <row r="2935" spans="1:17" s="110" customFormat="1" ht="17.5" customHeight="1">
      <c r="A2935" s="109" t="s">
        <v>7411</v>
      </c>
      <c r="B2935" s="109" t="s">
        <v>7412</v>
      </c>
      <c r="C2935" s="113">
        <v>2015</v>
      </c>
      <c r="D2935" s="112">
        <v>36</v>
      </c>
      <c r="E2935" s="112">
        <v>63</v>
      </c>
      <c r="F2935" s="112">
        <v>26</v>
      </c>
      <c r="G2935" s="112">
        <v>39</v>
      </c>
      <c r="H2935" s="112">
        <v>14</v>
      </c>
      <c r="I2935" s="112" t="s">
        <v>6952</v>
      </c>
      <c r="J2935" s="112" t="s">
        <v>6952</v>
      </c>
      <c r="K2935" s="112" t="s">
        <v>6952</v>
      </c>
      <c r="L2935" s="112">
        <v>12</v>
      </c>
      <c r="M2935" s="112">
        <v>10</v>
      </c>
      <c r="N2935" s="112">
        <v>2</v>
      </c>
      <c r="O2935" s="100"/>
      <c r="P2935" s="100"/>
      <c r="Q2935" s="100"/>
    </row>
    <row r="2936" spans="1:17" s="110" customFormat="1" ht="17.5" customHeight="1">
      <c r="A2936" s="109" t="s">
        <v>7411</v>
      </c>
      <c r="B2936" s="109" t="s">
        <v>7412</v>
      </c>
      <c r="C2936" s="113">
        <v>2016</v>
      </c>
      <c r="D2936" s="112">
        <v>38</v>
      </c>
      <c r="E2936" s="112">
        <v>129</v>
      </c>
      <c r="F2936" s="112">
        <v>61</v>
      </c>
      <c r="G2936" s="112">
        <v>70</v>
      </c>
      <c r="H2936" s="112">
        <v>37</v>
      </c>
      <c r="I2936" s="112">
        <v>3</v>
      </c>
      <c r="J2936" s="112">
        <v>3</v>
      </c>
      <c r="K2936" s="112" t="s">
        <v>6952</v>
      </c>
      <c r="L2936" s="112">
        <v>20</v>
      </c>
      <c r="M2936" s="112">
        <v>18</v>
      </c>
      <c r="N2936" s="112">
        <v>2</v>
      </c>
    </row>
    <row r="2937" spans="1:17" s="110" customFormat="1" ht="17.5" customHeight="1">
      <c r="A2937" s="109" t="s">
        <v>7411</v>
      </c>
      <c r="B2937" s="109" t="s">
        <v>7412</v>
      </c>
      <c r="C2937" s="113">
        <v>2017</v>
      </c>
      <c r="D2937" s="112">
        <v>37</v>
      </c>
      <c r="E2937" s="112">
        <v>140</v>
      </c>
      <c r="F2937" s="112">
        <v>50</v>
      </c>
      <c r="G2937" s="112">
        <v>91</v>
      </c>
      <c r="H2937" s="112">
        <v>44</v>
      </c>
      <c r="I2937" s="112">
        <v>3</v>
      </c>
      <c r="J2937" s="112">
        <v>3</v>
      </c>
      <c r="K2937" s="112" t="s">
        <v>6952</v>
      </c>
      <c r="L2937" s="112">
        <v>19</v>
      </c>
      <c r="M2937" s="112">
        <v>18</v>
      </c>
      <c r="N2937" s="112">
        <v>1</v>
      </c>
      <c r="O2937" s="100"/>
      <c r="P2937" s="100"/>
      <c r="Q2937" s="100"/>
    </row>
    <row r="2938" spans="1:17" s="110" customFormat="1" ht="17.5" customHeight="1">
      <c r="A2938" s="109" t="s">
        <v>7411</v>
      </c>
      <c r="B2938" s="109" t="s">
        <v>7412</v>
      </c>
      <c r="C2938" s="113">
        <v>2018</v>
      </c>
      <c r="D2938" s="112">
        <v>38</v>
      </c>
      <c r="E2938" s="112">
        <v>235</v>
      </c>
      <c r="F2938" s="112">
        <v>143</v>
      </c>
      <c r="G2938" s="112">
        <v>133</v>
      </c>
      <c r="H2938" s="112">
        <v>50</v>
      </c>
      <c r="I2938" s="112">
        <v>5</v>
      </c>
      <c r="J2938" s="112">
        <v>6</v>
      </c>
      <c r="K2938" s="112" t="s">
        <v>6952</v>
      </c>
      <c r="L2938" s="112">
        <v>94</v>
      </c>
      <c r="M2938" s="112">
        <v>54</v>
      </c>
      <c r="N2938" s="112">
        <v>40</v>
      </c>
      <c r="O2938" s="100"/>
      <c r="P2938" s="100"/>
      <c r="Q2938" s="100"/>
    </row>
    <row r="2939" spans="1:17" s="110" customFormat="1" ht="17.5" customHeight="1">
      <c r="A2939" s="109" t="s">
        <v>7411</v>
      </c>
      <c r="B2939" s="109" t="s">
        <v>7412</v>
      </c>
      <c r="C2939" s="113">
        <v>2019</v>
      </c>
      <c r="D2939" s="112">
        <v>31</v>
      </c>
      <c r="E2939" s="112">
        <v>300.99607700000001</v>
      </c>
      <c r="F2939" s="112">
        <v>129.99607800000001</v>
      </c>
      <c r="G2939" s="112">
        <v>176.13311300000001</v>
      </c>
      <c r="H2939" s="112">
        <v>47.093598</v>
      </c>
      <c r="I2939" s="112">
        <v>7.6611989999999999</v>
      </c>
      <c r="J2939" s="112">
        <v>7.6734790000000004</v>
      </c>
      <c r="K2939" s="112" t="s">
        <v>6952</v>
      </c>
      <c r="L2939" s="112">
        <v>88.970777999999996</v>
      </c>
      <c r="M2939" s="112">
        <v>85.851499000000004</v>
      </c>
      <c r="N2939" s="112">
        <v>3.1192790000000001</v>
      </c>
    </row>
    <row r="2940" spans="1:17" s="110" customFormat="1" ht="17.5" customHeight="1">
      <c r="A2940" s="114" t="s">
        <v>7411</v>
      </c>
      <c r="B2940" s="114" t="s">
        <v>7412</v>
      </c>
      <c r="C2940" s="113">
        <v>2020</v>
      </c>
      <c r="D2940" s="112">
        <v>37</v>
      </c>
      <c r="E2940" s="112">
        <v>313.64442600000001</v>
      </c>
      <c r="F2940" s="112">
        <v>28.541615</v>
      </c>
      <c r="G2940" s="112">
        <v>238.75057799999999</v>
      </c>
      <c r="H2940" s="112">
        <v>48.112358999999998</v>
      </c>
      <c r="I2940" s="112">
        <v>9.7736590000000003</v>
      </c>
      <c r="J2940" s="112">
        <v>9.8104370000000003</v>
      </c>
      <c r="K2940" s="112" t="s">
        <v>6952</v>
      </c>
      <c r="L2940" s="112">
        <v>36.577745</v>
      </c>
      <c r="M2940" s="112">
        <v>88.354077000000004</v>
      </c>
      <c r="N2940" s="112">
        <v>-51.776331999999996</v>
      </c>
    </row>
    <row r="2941" spans="1:17" s="110" customFormat="1" ht="31.75" customHeight="1">
      <c r="A2941" s="109" t="s">
        <v>7413</v>
      </c>
      <c r="B2941" s="109" t="s">
        <v>7414</v>
      </c>
      <c r="C2941" s="98">
        <v>2008</v>
      </c>
      <c r="D2941" s="99">
        <v>181</v>
      </c>
      <c r="E2941" s="99" t="s">
        <v>6953</v>
      </c>
      <c r="F2941" s="99">
        <v>264</v>
      </c>
      <c r="G2941" s="99" t="s">
        <v>6953</v>
      </c>
      <c r="H2941" s="99">
        <v>205</v>
      </c>
      <c r="I2941" s="99" t="s">
        <v>6953</v>
      </c>
      <c r="J2941" s="99">
        <v>26</v>
      </c>
      <c r="K2941" s="99" t="s">
        <v>6953</v>
      </c>
      <c r="L2941" s="99">
        <v>106</v>
      </c>
      <c r="M2941" s="99">
        <v>112</v>
      </c>
      <c r="N2941" s="99">
        <v>-6</v>
      </c>
      <c r="O2941" s="117"/>
      <c r="P2941" s="117"/>
      <c r="Q2941" s="117"/>
    </row>
    <row r="2942" spans="1:17" s="110" customFormat="1" ht="31.75" customHeight="1">
      <c r="A2942" s="109" t="s">
        <v>7413</v>
      </c>
      <c r="B2942" s="109" t="s">
        <v>7414</v>
      </c>
      <c r="C2942" s="98">
        <v>2009</v>
      </c>
      <c r="D2942" s="99">
        <v>217</v>
      </c>
      <c r="E2942" s="99" t="s">
        <v>6953</v>
      </c>
      <c r="F2942" s="99">
        <v>259</v>
      </c>
      <c r="G2942" s="99" t="s">
        <v>6953</v>
      </c>
      <c r="H2942" s="99">
        <v>236</v>
      </c>
      <c r="I2942" s="99">
        <v>21</v>
      </c>
      <c r="J2942" s="99">
        <v>26</v>
      </c>
      <c r="K2942" s="99">
        <v>5</v>
      </c>
      <c r="L2942" s="99">
        <v>127</v>
      </c>
      <c r="M2942" s="99">
        <v>163</v>
      </c>
      <c r="N2942" s="99">
        <v>-35</v>
      </c>
      <c r="O2942" s="117"/>
      <c r="P2942" s="117"/>
      <c r="Q2942" s="117"/>
    </row>
    <row r="2943" spans="1:17" s="110" customFormat="1" ht="31.75" customHeight="1">
      <c r="A2943" s="109" t="s">
        <v>7413</v>
      </c>
      <c r="B2943" s="109" t="s">
        <v>7414</v>
      </c>
      <c r="C2943" s="98">
        <v>2010</v>
      </c>
      <c r="D2943" s="99">
        <v>218</v>
      </c>
      <c r="E2943" s="99">
        <v>1531</v>
      </c>
      <c r="F2943" s="99">
        <v>448</v>
      </c>
      <c r="G2943" s="99">
        <v>1120</v>
      </c>
      <c r="H2943" s="99">
        <v>275</v>
      </c>
      <c r="I2943" s="99">
        <v>22</v>
      </c>
      <c r="J2943" s="99">
        <v>31</v>
      </c>
      <c r="K2943" s="99">
        <v>9</v>
      </c>
      <c r="L2943" s="99">
        <v>195</v>
      </c>
      <c r="M2943" s="99">
        <v>157</v>
      </c>
      <c r="N2943" s="99">
        <v>38</v>
      </c>
      <c r="O2943" s="117"/>
      <c r="P2943" s="117"/>
      <c r="Q2943" s="117"/>
    </row>
    <row r="2944" spans="1:17" s="110" customFormat="1" ht="31.75" customHeight="1">
      <c r="A2944" s="109" t="s">
        <v>7413</v>
      </c>
      <c r="B2944" s="109" t="s">
        <v>7414</v>
      </c>
      <c r="C2944" s="98">
        <v>2011</v>
      </c>
      <c r="D2944" s="99">
        <v>217</v>
      </c>
      <c r="E2944" s="99">
        <v>1903</v>
      </c>
      <c r="F2944" s="99">
        <v>480</v>
      </c>
      <c r="G2944" s="99">
        <v>1421</v>
      </c>
      <c r="H2944" s="99">
        <v>311</v>
      </c>
      <c r="I2944" s="99">
        <v>13</v>
      </c>
      <c r="J2944" s="99">
        <v>32</v>
      </c>
      <c r="K2944" s="99">
        <v>19</v>
      </c>
      <c r="L2944" s="99">
        <v>207</v>
      </c>
      <c r="M2944" s="99">
        <v>202</v>
      </c>
      <c r="N2944" s="99">
        <v>5</v>
      </c>
      <c r="O2944" s="117"/>
      <c r="P2944" s="117"/>
      <c r="Q2944" s="117"/>
    </row>
    <row r="2945" spans="1:17" s="110" customFormat="1" ht="31.75" customHeight="1">
      <c r="A2945" s="109" t="s">
        <v>7413</v>
      </c>
      <c r="B2945" s="109" t="s">
        <v>7414</v>
      </c>
      <c r="C2945" s="111">
        <v>2012</v>
      </c>
      <c r="D2945" s="112">
        <v>229</v>
      </c>
      <c r="E2945" s="112">
        <v>1714</v>
      </c>
      <c r="F2945" s="112">
        <v>377</v>
      </c>
      <c r="G2945" s="112">
        <v>1329</v>
      </c>
      <c r="H2945" s="112">
        <v>309</v>
      </c>
      <c r="I2945" s="112">
        <v>18</v>
      </c>
      <c r="J2945" s="112">
        <v>27</v>
      </c>
      <c r="K2945" s="112">
        <v>8</v>
      </c>
      <c r="L2945" s="112">
        <v>190</v>
      </c>
      <c r="M2945" s="112">
        <v>194</v>
      </c>
      <c r="N2945" s="112">
        <v>-5</v>
      </c>
    </row>
    <row r="2946" spans="1:17" s="110" customFormat="1" ht="31.75" customHeight="1">
      <c r="A2946" s="109" t="s">
        <v>7413</v>
      </c>
      <c r="B2946" s="109" t="s">
        <v>7414</v>
      </c>
      <c r="C2946" s="113">
        <v>2013</v>
      </c>
      <c r="D2946" s="112">
        <v>235</v>
      </c>
      <c r="E2946" s="112">
        <v>1633</v>
      </c>
      <c r="F2946" s="112">
        <v>372</v>
      </c>
      <c r="G2946" s="112">
        <v>1265</v>
      </c>
      <c r="H2946" s="112">
        <v>330</v>
      </c>
      <c r="I2946" s="112">
        <v>27</v>
      </c>
      <c r="J2946" s="112">
        <v>38</v>
      </c>
      <c r="K2946" s="112">
        <v>12</v>
      </c>
      <c r="L2946" s="112">
        <v>205</v>
      </c>
      <c r="M2946" s="112">
        <v>199</v>
      </c>
      <c r="N2946" s="112">
        <v>6</v>
      </c>
    </row>
    <row r="2947" spans="1:17" s="110" customFormat="1" ht="31.75" customHeight="1">
      <c r="A2947" s="109" t="s">
        <v>7413</v>
      </c>
      <c r="B2947" s="109" t="s">
        <v>7414</v>
      </c>
      <c r="C2947" s="113">
        <v>2014</v>
      </c>
      <c r="D2947" s="99">
        <v>242</v>
      </c>
      <c r="E2947" s="99">
        <v>1862</v>
      </c>
      <c r="F2947" s="99">
        <v>479</v>
      </c>
      <c r="G2947" s="99">
        <v>1387</v>
      </c>
      <c r="H2947" s="99">
        <v>360</v>
      </c>
      <c r="I2947" s="99">
        <v>31</v>
      </c>
      <c r="J2947" s="99">
        <v>34</v>
      </c>
      <c r="K2947" s="99">
        <v>3</v>
      </c>
      <c r="L2947" s="99">
        <v>244</v>
      </c>
      <c r="M2947" s="99">
        <v>239</v>
      </c>
      <c r="N2947" s="99">
        <v>5</v>
      </c>
      <c r="O2947" s="100"/>
      <c r="P2947" s="100"/>
      <c r="Q2947" s="100"/>
    </row>
    <row r="2948" spans="1:17" s="110" customFormat="1" ht="31.75" customHeight="1">
      <c r="A2948" s="109" t="s">
        <v>7413</v>
      </c>
      <c r="B2948" s="109" t="s">
        <v>7414</v>
      </c>
      <c r="C2948" s="113">
        <v>2015</v>
      </c>
      <c r="D2948" s="112">
        <v>247</v>
      </c>
      <c r="E2948" s="112">
        <v>1912</v>
      </c>
      <c r="F2948" s="112">
        <v>516</v>
      </c>
      <c r="G2948" s="112">
        <v>1377</v>
      </c>
      <c r="H2948" s="112">
        <v>351</v>
      </c>
      <c r="I2948" s="112">
        <v>80</v>
      </c>
      <c r="J2948" s="112">
        <v>82</v>
      </c>
      <c r="K2948" s="112">
        <v>2</v>
      </c>
      <c r="L2948" s="112">
        <v>231</v>
      </c>
      <c r="M2948" s="112">
        <v>250</v>
      </c>
      <c r="N2948" s="112">
        <v>-19</v>
      </c>
    </row>
    <row r="2949" spans="1:17" s="110" customFormat="1" ht="31.75" customHeight="1">
      <c r="A2949" s="109" t="s">
        <v>7413</v>
      </c>
      <c r="B2949" s="109" t="s">
        <v>7414</v>
      </c>
      <c r="C2949" s="113">
        <v>2016</v>
      </c>
      <c r="D2949" s="112">
        <v>244</v>
      </c>
      <c r="E2949" s="112">
        <v>1671</v>
      </c>
      <c r="F2949" s="112">
        <v>487</v>
      </c>
      <c r="G2949" s="112">
        <v>1160</v>
      </c>
      <c r="H2949" s="112">
        <v>341</v>
      </c>
      <c r="I2949" s="112">
        <v>40</v>
      </c>
      <c r="J2949" s="112">
        <v>41</v>
      </c>
      <c r="K2949" s="112">
        <v>1</v>
      </c>
      <c r="L2949" s="112">
        <v>211</v>
      </c>
      <c r="M2949" s="112">
        <v>237</v>
      </c>
      <c r="N2949" s="112">
        <v>-26</v>
      </c>
      <c r="O2949" s="100"/>
      <c r="P2949" s="100"/>
      <c r="Q2949" s="100"/>
    </row>
    <row r="2950" spans="1:17" s="110" customFormat="1" ht="31.75" customHeight="1">
      <c r="A2950" s="109" t="s">
        <v>7413</v>
      </c>
      <c r="B2950" s="109" t="s">
        <v>7414</v>
      </c>
      <c r="C2950" s="113">
        <v>2017</v>
      </c>
      <c r="D2950" s="112">
        <v>228</v>
      </c>
      <c r="E2950" s="112">
        <v>1717</v>
      </c>
      <c r="F2950" s="112">
        <v>483</v>
      </c>
      <c r="G2950" s="112">
        <v>1288</v>
      </c>
      <c r="H2950" s="112">
        <v>364</v>
      </c>
      <c r="I2950" s="112">
        <v>35</v>
      </c>
      <c r="J2950" s="112">
        <v>36</v>
      </c>
      <c r="K2950" s="112">
        <v>1</v>
      </c>
      <c r="L2950" s="112">
        <v>220</v>
      </c>
      <c r="M2950" s="112">
        <v>176</v>
      </c>
      <c r="N2950" s="112">
        <v>45</v>
      </c>
      <c r="O2950" s="100"/>
      <c r="P2950" s="100"/>
      <c r="Q2950" s="100"/>
    </row>
    <row r="2951" spans="1:17" s="110" customFormat="1" ht="31.75" customHeight="1">
      <c r="A2951" s="109" t="s">
        <v>7413</v>
      </c>
      <c r="B2951" s="109" t="s">
        <v>7414</v>
      </c>
      <c r="C2951" s="113">
        <v>2018</v>
      </c>
      <c r="D2951" s="112">
        <v>221</v>
      </c>
      <c r="E2951" s="112">
        <v>1660</v>
      </c>
      <c r="F2951" s="112">
        <v>407</v>
      </c>
      <c r="G2951" s="112">
        <v>1265</v>
      </c>
      <c r="H2951" s="112">
        <v>282</v>
      </c>
      <c r="I2951" s="112">
        <v>28</v>
      </c>
      <c r="J2951" s="112">
        <v>28</v>
      </c>
      <c r="K2951" s="112" t="s">
        <v>6952</v>
      </c>
      <c r="L2951" s="112">
        <v>178</v>
      </c>
      <c r="M2951" s="112">
        <v>174</v>
      </c>
      <c r="N2951" s="112">
        <v>4</v>
      </c>
    </row>
    <row r="2952" spans="1:17" s="110" customFormat="1" ht="31.75" customHeight="1">
      <c r="A2952" s="109" t="s">
        <v>7413</v>
      </c>
      <c r="B2952" s="109" t="s">
        <v>7414</v>
      </c>
      <c r="C2952" s="113">
        <v>2019</v>
      </c>
      <c r="D2952" s="112">
        <v>229</v>
      </c>
      <c r="E2952" s="112">
        <v>2035.0092119999999</v>
      </c>
      <c r="F2952" s="112">
        <v>550.01601800000003</v>
      </c>
      <c r="G2952" s="112">
        <v>1531.8355240000001</v>
      </c>
      <c r="H2952" s="112">
        <v>392.10007400000001</v>
      </c>
      <c r="I2952" s="112">
        <v>32.689382000000002</v>
      </c>
      <c r="J2952" s="112">
        <v>32.86065</v>
      </c>
      <c r="K2952" s="112" t="s">
        <v>6952</v>
      </c>
      <c r="L2952" s="112">
        <v>264.376508</v>
      </c>
      <c r="M2952" s="112">
        <v>238.76695900000001</v>
      </c>
      <c r="N2952" s="112">
        <v>25.609549000000001</v>
      </c>
    </row>
    <row r="2953" spans="1:17" s="110" customFormat="1" ht="31.75" customHeight="1">
      <c r="A2953" s="114" t="s">
        <v>7413</v>
      </c>
      <c r="B2953" s="114" t="s">
        <v>7414</v>
      </c>
      <c r="C2953" s="113">
        <v>2020</v>
      </c>
      <c r="D2953" s="112">
        <v>235</v>
      </c>
      <c r="E2953" s="112">
        <v>1882.528626</v>
      </c>
      <c r="F2953" s="112">
        <v>432.608204</v>
      </c>
      <c r="G2953" s="112">
        <v>1455.34653</v>
      </c>
      <c r="H2953" s="112">
        <v>465.915434</v>
      </c>
      <c r="I2953" s="112">
        <v>28.416796000000001</v>
      </c>
      <c r="J2953" s="112">
        <v>29.897093000000002</v>
      </c>
      <c r="K2953" s="112">
        <v>1.4802979999999999</v>
      </c>
      <c r="L2953" s="112">
        <v>272.84313300000002</v>
      </c>
      <c r="M2953" s="112">
        <v>283.48085700000001</v>
      </c>
      <c r="N2953" s="112">
        <v>-10.637725</v>
      </c>
      <c r="O2953" s="117"/>
      <c r="P2953" s="117"/>
      <c r="Q2953" s="117"/>
    </row>
    <row r="2954" spans="1:17" s="110" customFormat="1" ht="17.5" customHeight="1">
      <c r="A2954" s="109" t="s">
        <v>7415</v>
      </c>
      <c r="B2954" s="109" t="s">
        <v>7416</v>
      </c>
      <c r="C2954" s="98">
        <v>2008</v>
      </c>
      <c r="D2954" s="99">
        <v>46</v>
      </c>
      <c r="E2954" s="99">
        <v>281</v>
      </c>
      <c r="F2954" s="99">
        <v>104</v>
      </c>
      <c r="G2954" s="99">
        <v>181</v>
      </c>
      <c r="H2954" s="99">
        <v>60</v>
      </c>
      <c r="I2954" s="99">
        <v>3</v>
      </c>
      <c r="J2954" s="99">
        <v>3</v>
      </c>
      <c r="K2954" s="112" t="s">
        <v>6952</v>
      </c>
      <c r="L2954" s="99">
        <v>38</v>
      </c>
      <c r="M2954" s="99">
        <v>34</v>
      </c>
      <c r="N2954" s="99">
        <v>3</v>
      </c>
      <c r="O2954" s="117"/>
      <c r="P2954" s="117"/>
      <c r="Q2954" s="117"/>
    </row>
    <row r="2955" spans="1:17" s="110" customFormat="1" ht="17.5" customHeight="1">
      <c r="A2955" s="109" t="s">
        <v>7415</v>
      </c>
      <c r="B2955" s="109" t="s">
        <v>7416</v>
      </c>
      <c r="C2955" s="98">
        <v>2009</v>
      </c>
      <c r="D2955" s="99">
        <v>59</v>
      </c>
      <c r="E2955" s="99">
        <v>430</v>
      </c>
      <c r="F2955" s="99">
        <v>180</v>
      </c>
      <c r="G2955" s="99">
        <v>244</v>
      </c>
      <c r="H2955" s="99">
        <v>104</v>
      </c>
      <c r="I2955" s="99">
        <v>3</v>
      </c>
      <c r="J2955" s="99">
        <v>5</v>
      </c>
      <c r="K2955" s="99">
        <v>2</v>
      </c>
      <c r="L2955" s="99">
        <v>60</v>
      </c>
      <c r="M2955" s="99">
        <v>66</v>
      </c>
      <c r="N2955" s="99">
        <v>-6</v>
      </c>
      <c r="O2955" s="117"/>
      <c r="P2955" s="117"/>
      <c r="Q2955" s="117"/>
    </row>
    <row r="2956" spans="1:17" s="110" customFormat="1" ht="17.5" customHeight="1">
      <c r="A2956" s="109" t="s">
        <v>7415</v>
      </c>
      <c r="B2956" s="109" t="s">
        <v>7416</v>
      </c>
      <c r="C2956" s="98">
        <v>2010</v>
      </c>
      <c r="D2956" s="99">
        <v>59</v>
      </c>
      <c r="E2956" s="99">
        <v>402</v>
      </c>
      <c r="F2956" s="99">
        <v>169</v>
      </c>
      <c r="G2956" s="99">
        <v>237</v>
      </c>
      <c r="H2956" s="99">
        <v>94</v>
      </c>
      <c r="I2956" s="99">
        <v>-9</v>
      </c>
      <c r="J2956" s="99">
        <v>6</v>
      </c>
      <c r="K2956" s="99">
        <v>14</v>
      </c>
      <c r="L2956" s="99">
        <v>53</v>
      </c>
      <c r="M2956" s="99">
        <v>49</v>
      </c>
      <c r="N2956" s="99">
        <v>4</v>
      </c>
      <c r="O2956" s="117"/>
      <c r="P2956" s="117"/>
      <c r="Q2956" s="117"/>
    </row>
    <row r="2957" spans="1:17" s="110" customFormat="1" ht="17.5" customHeight="1">
      <c r="A2957" s="109" t="s">
        <v>7415</v>
      </c>
      <c r="B2957" s="109" t="s">
        <v>7416</v>
      </c>
      <c r="C2957" s="98">
        <v>2011</v>
      </c>
      <c r="D2957" s="99">
        <v>62</v>
      </c>
      <c r="E2957" s="99">
        <v>379</v>
      </c>
      <c r="F2957" s="99">
        <v>156</v>
      </c>
      <c r="G2957" s="99">
        <v>223</v>
      </c>
      <c r="H2957" s="99">
        <v>97</v>
      </c>
      <c r="I2957" s="99">
        <v>8</v>
      </c>
      <c r="J2957" s="99">
        <v>10</v>
      </c>
      <c r="K2957" s="99">
        <v>2</v>
      </c>
      <c r="L2957" s="99">
        <v>46</v>
      </c>
      <c r="M2957" s="99">
        <v>46</v>
      </c>
      <c r="N2957" s="99" t="s">
        <v>6952</v>
      </c>
    </row>
    <row r="2958" spans="1:17" s="110" customFormat="1" ht="17.5" customHeight="1">
      <c r="A2958" s="109" t="s">
        <v>7415</v>
      </c>
      <c r="B2958" s="109" t="s">
        <v>7416</v>
      </c>
      <c r="C2958" s="111">
        <v>2012</v>
      </c>
      <c r="D2958" s="112">
        <v>62</v>
      </c>
      <c r="E2958" s="112">
        <v>521</v>
      </c>
      <c r="F2958" s="112">
        <v>204</v>
      </c>
      <c r="G2958" s="112">
        <v>312</v>
      </c>
      <c r="H2958" s="112">
        <v>124</v>
      </c>
      <c r="I2958" s="112">
        <v>10</v>
      </c>
      <c r="J2958" s="112">
        <v>11</v>
      </c>
      <c r="K2958" s="112">
        <v>1</v>
      </c>
      <c r="L2958" s="112">
        <v>82</v>
      </c>
      <c r="M2958" s="112">
        <v>86</v>
      </c>
      <c r="N2958" s="112">
        <v>-3</v>
      </c>
    </row>
    <row r="2959" spans="1:17" s="110" customFormat="1" ht="17.5" customHeight="1">
      <c r="A2959" s="109" t="s">
        <v>7415</v>
      </c>
      <c r="B2959" s="109" t="s">
        <v>7416</v>
      </c>
      <c r="C2959" s="113">
        <v>2013</v>
      </c>
      <c r="D2959" s="112">
        <v>63</v>
      </c>
      <c r="E2959" s="112">
        <v>478</v>
      </c>
      <c r="F2959" s="112">
        <v>164</v>
      </c>
      <c r="G2959" s="112">
        <v>304</v>
      </c>
      <c r="H2959" s="112">
        <v>113</v>
      </c>
      <c r="I2959" s="112">
        <v>4</v>
      </c>
      <c r="J2959" s="112">
        <v>5</v>
      </c>
      <c r="K2959" s="112">
        <v>1</v>
      </c>
      <c r="L2959" s="112">
        <v>68</v>
      </c>
      <c r="M2959" s="112">
        <v>76</v>
      </c>
      <c r="N2959" s="112">
        <v>-8</v>
      </c>
      <c r="O2959" s="100"/>
      <c r="P2959" s="100"/>
      <c r="Q2959" s="100"/>
    </row>
    <row r="2960" spans="1:17" s="110" customFormat="1" ht="17.5" customHeight="1">
      <c r="A2960" s="109" t="s">
        <v>7415</v>
      </c>
      <c r="B2960" s="109" t="s">
        <v>7416</v>
      </c>
      <c r="C2960" s="113">
        <v>2014</v>
      </c>
      <c r="D2960" s="99">
        <v>58</v>
      </c>
      <c r="E2960" s="99">
        <v>466</v>
      </c>
      <c r="F2960" s="99">
        <v>211</v>
      </c>
      <c r="G2960" s="99">
        <v>258</v>
      </c>
      <c r="H2960" s="99">
        <v>114</v>
      </c>
      <c r="I2960" s="99">
        <v>17</v>
      </c>
      <c r="J2960" s="99">
        <v>18</v>
      </c>
      <c r="K2960" s="99">
        <v>1</v>
      </c>
      <c r="L2960" s="99">
        <v>60</v>
      </c>
      <c r="M2960" s="99">
        <v>59</v>
      </c>
      <c r="N2960" s="99">
        <v>2</v>
      </c>
    </row>
    <row r="2961" spans="1:17" s="110" customFormat="1" ht="17.5" customHeight="1">
      <c r="A2961" s="109" t="s">
        <v>7415</v>
      </c>
      <c r="B2961" s="109" t="s">
        <v>7416</v>
      </c>
      <c r="C2961" s="113">
        <v>2015</v>
      </c>
      <c r="D2961" s="112">
        <v>69</v>
      </c>
      <c r="E2961" s="112">
        <v>503</v>
      </c>
      <c r="F2961" s="112">
        <v>225</v>
      </c>
      <c r="G2961" s="112">
        <v>281</v>
      </c>
      <c r="H2961" s="112">
        <v>129</v>
      </c>
      <c r="I2961" s="112">
        <v>9</v>
      </c>
      <c r="J2961" s="112">
        <v>9</v>
      </c>
      <c r="K2961" s="112" t="s">
        <v>6952</v>
      </c>
      <c r="L2961" s="112">
        <v>83</v>
      </c>
      <c r="M2961" s="112">
        <v>79</v>
      </c>
      <c r="N2961" s="112">
        <v>4</v>
      </c>
      <c r="O2961" s="100"/>
      <c r="P2961" s="100"/>
      <c r="Q2961" s="100"/>
    </row>
    <row r="2962" spans="1:17" s="110" customFormat="1" ht="17.5" customHeight="1">
      <c r="A2962" s="109" t="s">
        <v>7415</v>
      </c>
      <c r="B2962" s="109" t="s">
        <v>7416</v>
      </c>
      <c r="C2962" s="113">
        <v>2016</v>
      </c>
      <c r="D2962" s="112">
        <v>67</v>
      </c>
      <c r="E2962" s="112">
        <v>459</v>
      </c>
      <c r="F2962" s="112">
        <v>202</v>
      </c>
      <c r="G2962" s="112">
        <v>262</v>
      </c>
      <c r="H2962" s="112">
        <v>107</v>
      </c>
      <c r="I2962" s="112">
        <v>16</v>
      </c>
      <c r="J2962" s="112">
        <v>17</v>
      </c>
      <c r="K2962" s="112" t="s">
        <v>6952</v>
      </c>
      <c r="L2962" s="112">
        <v>72</v>
      </c>
      <c r="M2962" s="112">
        <v>65</v>
      </c>
      <c r="N2962" s="112">
        <v>7</v>
      </c>
      <c r="O2962" s="100"/>
      <c r="P2962" s="100"/>
      <c r="Q2962" s="100"/>
    </row>
    <row r="2963" spans="1:17" s="110" customFormat="1" ht="17.5" customHeight="1">
      <c r="A2963" s="109" t="s">
        <v>7415</v>
      </c>
      <c r="B2963" s="109" t="s">
        <v>7416</v>
      </c>
      <c r="C2963" s="113">
        <v>2017</v>
      </c>
      <c r="D2963" s="112">
        <v>67</v>
      </c>
      <c r="E2963" s="112">
        <v>487</v>
      </c>
      <c r="F2963" s="112">
        <v>210</v>
      </c>
      <c r="G2963" s="112">
        <v>284</v>
      </c>
      <c r="H2963" s="112">
        <v>109</v>
      </c>
      <c r="I2963" s="112">
        <v>12</v>
      </c>
      <c r="J2963" s="112">
        <v>13</v>
      </c>
      <c r="K2963" s="112">
        <v>1</v>
      </c>
      <c r="L2963" s="112">
        <v>84</v>
      </c>
      <c r="M2963" s="112">
        <v>74</v>
      </c>
      <c r="N2963" s="112">
        <v>9</v>
      </c>
    </row>
    <row r="2964" spans="1:17" s="110" customFormat="1" ht="17.5" customHeight="1">
      <c r="A2964" s="109" t="s">
        <v>7415</v>
      </c>
      <c r="B2964" s="109" t="s">
        <v>7416</v>
      </c>
      <c r="C2964" s="113">
        <v>2018</v>
      </c>
      <c r="D2964" s="112">
        <v>73</v>
      </c>
      <c r="E2964" s="112">
        <v>530</v>
      </c>
      <c r="F2964" s="112">
        <v>235</v>
      </c>
      <c r="G2964" s="112">
        <v>301</v>
      </c>
      <c r="H2964" s="112">
        <v>117</v>
      </c>
      <c r="I2964" s="112">
        <v>10</v>
      </c>
      <c r="J2964" s="112">
        <v>11</v>
      </c>
      <c r="K2964" s="112">
        <v>1</v>
      </c>
      <c r="L2964" s="112">
        <v>96</v>
      </c>
      <c r="M2964" s="112">
        <v>89</v>
      </c>
      <c r="N2964" s="112">
        <v>7</v>
      </c>
    </row>
    <row r="2965" spans="1:17" s="110" customFormat="1" ht="17.5" customHeight="1">
      <c r="A2965" s="109" t="s">
        <v>7415</v>
      </c>
      <c r="B2965" s="109" t="s">
        <v>7416</v>
      </c>
      <c r="C2965" s="113">
        <v>2019</v>
      </c>
      <c r="D2965" s="112">
        <v>76</v>
      </c>
      <c r="E2965" s="112">
        <v>444.38335000000001</v>
      </c>
      <c r="F2965" s="112">
        <v>182.42870400000001</v>
      </c>
      <c r="G2965" s="112">
        <v>257.78803699999997</v>
      </c>
      <c r="H2965" s="112">
        <v>109.862208</v>
      </c>
      <c r="I2965" s="112">
        <v>7.9990350000000001</v>
      </c>
      <c r="J2965" s="112">
        <v>8.3159650000000003</v>
      </c>
      <c r="K2965" s="112" t="s">
        <v>6952</v>
      </c>
      <c r="L2965" s="112">
        <v>74.651330000000002</v>
      </c>
      <c r="M2965" s="112">
        <v>78.349333999999999</v>
      </c>
      <c r="N2965" s="112">
        <v>-3.6980040000000001</v>
      </c>
      <c r="O2965" s="117"/>
      <c r="P2965" s="117"/>
      <c r="Q2965" s="117"/>
    </row>
    <row r="2966" spans="1:17" s="110" customFormat="1" ht="17.5" customHeight="1">
      <c r="A2966" s="114" t="s">
        <v>7415</v>
      </c>
      <c r="B2966" s="114" t="s">
        <v>7416</v>
      </c>
      <c r="C2966" s="113">
        <v>2020</v>
      </c>
      <c r="D2966" s="112">
        <v>77</v>
      </c>
      <c r="E2966" s="112">
        <v>410.75421899999998</v>
      </c>
      <c r="F2966" s="112">
        <v>166.509288</v>
      </c>
      <c r="G2966" s="112">
        <v>229.863259</v>
      </c>
      <c r="H2966" s="112">
        <v>114.97108299999999</v>
      </c>
      <c r="I2966" s="112">
        <v>16.142499999999998</v>
      </c>
      <c r="J2966" s="112">
        <v>17.182431999999999</v>
      </c>
      <c r="K2966" s="112">
        <v>1.0399309999999999</v>
      </c>
      <c r="L2966" s="112">
        <v>70.933279999999996</v>
      </c>
      <c r="M2966" s="112">
        <v>84.230532999999994</v>
      </c>
      <c r="N2966" s="112">
        <v>-13.297252</v>
      </c>
      <c r="O2966" s="117"/>
      <c r="P2966" s="117"/>
      <c r="Q2966" s="117"/>
    </row>
    <row r="2967" spans="1:17" s="110" customFormat="1" ht="17.5" customHeight="1">
      <c r="A2967" s="109" t="s">
        <v>7417</v>
      </c>
      <c r="B2967" s="109" t="s">
        <v>7418</v>
      </c>
      <c r="C2967" s="98">
        <v>2008</v>
      </c>
      <c r="D2967" s="99">
        <v>701</v>
      </c>
      <c r="E2967" s="99">
        <v>1667</v>
      </c>
      <c r="F2967" s="99">
        <v>657</v>
      </c>
      <c r="G2967" s="99">
        <v>1027</v>
      </c>
      <c r="H2967" s="99">
        <v>396</v>
      </c>
      <c r="I2967" s="99">
        <v>31</v>
      </c>
      <c r="J2967" s="99">
        <v>57</v>
      </c>
      <c r="K2967" s="99">
        <v>25</v>
      </c>
      <c r="L2967" s="99">
        <v>213</v>
      </c>
      <c r="M2967" s="99">
        <v>194</v>
      </c>
      <c r="N2967" s="99">
        <v>19</v>
      </c>
      <c r="O2967" s="117"/>
      <c r="P2967" s="117"/>
      <c r="Q2967" s="117"/>
    </row>
    <row r="2968" spans="1:17" s="110" customFormat="1" ht="17.5" customHeight="1">
      <c r="A2968" s="109" t="s">
        <v>7417</v>
      </c>
      <c r="B2968" s="109" t="s">
        <v>7418</v>
      </c>
      <c r="C2968" s="98">
        <v>2009</v>
      </c>
      <c r="D2968" s="99">
        <v>675</v>
      </c>
      <c r="E2968" s="99">
        <v>1633</v>
      </c>
      <c r="F2968" s="99">
        <v>512</v>
      </c>
      <c r="G2968" s="99">
        <v>1119</v>
      </c>
      <c r="H2968" s="99">
        <v>344</v>
      </c>
      <c r="I2968" s="99">
        <v>35</v>
      </c>
      <c r="J2968" s="99">
        <v>47</v>
      </c>
      <c r="K2968" s="99">
        <v>12</v>
      </c>
      <c r="L2968" s="99">
        <v>204</v>
      </c>
      <c r="M2968" s="99">
        <v>203</v>
      </c>
      <c r="N2968" s="99">
        <v>2</v>
      </c>
      <c r="O2968" s="117"/>
      <c r="P2968" s="117"/>
      <c r="Q2968" s="117"/>
    </row>
    <row r="2969" spans="1:17" s="110" customFormat="1" ht="17.5" customHeight="1">
      <c r="A2969" s="109" t="s">
        <v>7417</v>
      </c>
      <c r="B2969" s="109" t="s">
        <v>7418</v>
      </c>
      <c r="C2969" s="98">
        <v>2010</v>
      </c>
      <c r="D2969" s="99">
        <v>658</v>
      </c>
      <c r="E2969" s="99">
        <v>1554</v>
      </c>
      <c r="F2969" s="99">
        <v>597</v>
      </c>
      <c r="G2969" s="99">
        <v>976</v>
      </c>
      <c r="H2969" s="99">
        <v>375</v>
      </c>
      <c r="I2969" s="99">
        <v>18</v>
      </c>
      <c r="J2969" s="99">
        <v>28</v>
      </c>
      <c r="K2969" s="99">
        <v>10</v>
      </c>
      <c r="L2969" s="99">
        <v>180</v>
      </c>
      <c r="M2969" s="99">
        <v>160</v>
      </c>
      <c r="N2969" s="99">
        <v>20</v>
      </c>
    </row>
    <row r="2970" spans="1:17" s="110" customFormat="1" ht="17.5" customHeight="1">
      <c r="A2970" s="109" t="s">
        <v>7417</v>
      </c>
      <c r="B2970" s="109" t="s">
        <v>7418</v>
      </c>
      <c r="C2970" s="98">
        <v>2011</v>
      </c>
      <c r="D2970" s="99">
        <v>661</v>
      </c>
      <c r="E2970" s="99">
        <v>1787</v>
      </c>
      <c r="F2970" s="99">
        <v>598</v>
      </c>
      <c r="G2970" s="99">
        <v>1168</v>
      </c>
      <c r="H2970" s="99">
        <v>358</v>
      </c>
      <c r="I2970" s="99">
        <v>19</v>
      </c>
      <c r="J2970" s="99">
        <v>29</v>
      </c>
      <c r="K2970" s="99">
        <v>10</v>
      </c>
      <c r="L2970" s="99">
        <v>323</v>
      </c>
      <c r="M2970" s="99">
        <v>342</v>
      </c>
      <c r="N2970" s="99">
        <v>-19</v>
      </c>
    </row>
    <row r="2971" spans="1:17" s="110" customFormat="1" ht="17.5" customHeight="1">
      <c r="A2971" s="109" t="s">
        <v>7417</v>
      </c>
      <c r="B2971" s="109" t="s">
        <v>7418</v>
      </c>
      <c r="C2971" s="111">
        <v>2012</v>
      </c>
      <c r="D2971" s="112">
        <v>662</v>
      </c>
      <c r="E2971" s="112">
        <v>1812</v>
      </c>
      <c r="F2971" s="112">
        <v>744</v>
      </c>
      <c r="G2971" s="112">
        <v>1074</v>
      </c>
      <c r="H2971" s="112">
        <v>408</v>
      </c>
      <c r="I2971" s="112">
        <v>52</v>
      </c>
      <c r="J2971" s="112">
        <v>54</v>
      </c>
      <c r="K2971" s="112">
        <v>2</v>
      </c>
      <c r="L2971" s="112">
        <v>273</v>
      </c>
      <c r="M2971" s="112">
        <v>265</v>
      </c>
      <c r="N2971" s="112">
        <v>8</v>
      </c>
      <c r="O2971" s="100"/>
      <c r="P2971" s="100"/>
      <c r="Q2971" s="100"/>
    </row>
    <row r="2972" spans="1:17" s="110" customFormat="1" ht="17.5" customHeight="1">
      <c r="A2972" s="109" t="s">
        <v>7417</v>
      </c>
      <c r="B2972" s="109" t="s">
        <v>7418</v>
      </c>
      <c r="C2972" s="113">
        <v>2013</v>
      </c>
      <c r="D2972" s="112">
        <v>692</v>
      </c>
      <c r="E2972" s="112">
        <v>1901</v>
      </c>
      <c r="F2972" s="112">
        <v>762</v>
      </c>
      <c r="G2972" s="112">
        <v>1160</v>
      </c>
      <c r="H2972" s="112">
        <v>478</v>
      </c>
      <c r="I2972" s="112">
        <v>93</v>
      </c>
      <c r="J2972" s="112">
        <v>97</v>
      </c>
      <c r="K2972" s="112">
        <v>4</v>
      </c>
      <c r="L2972" s="112">
        <v>233</v>
      </c>
      <c r="M2972" s="112">
        <v>211</v>
      </c>
      <c r="N2972" s="112">
        <v>22</v>
      </c>
    </row>
    <row r="2973" spans="1:17" s="110" customFormat="1" ht="17.5" customHeight="1">
      <c r="A2973" s="109" t="s">
        <v>7417</v>
      </c>
      <c r="B2973" s="109" t="s">
        <v>7418</v>
      </c>
      <c r="C2973" s="113">
        <v>2014</v>
      </c>
      <c r="D2973" s="99">
        <v>703</v>
      </c>
      <c r="E2973" s="99">
        <v>1841</v>
      </c>
      <c r="F2973" s="99">
        <v>761</v>
      </c>
      <c r="G2973" s="99">
        <v>1099</v>
      </c>
      <c r="H2973" s="99">
        <v>468</v>
      </c>
      <c r="I2973" s="99">
        <v>35</v>
      </c>
      <c r="J2973" s="99">
        <v>39</v>
      </c>
      <c r="K2973" s="99">
        <v>4</v>
      </c>
      <c r="L2973" s="99">
        <v>209</v>
      </c>
      <c r="M2973" s="99">
        <v>200</v>
      </c>
      <c r="N2973" s="99">
        <v>8</v>
      </c>
      <c r="O2973" s="100"/>
      <c r="P2973" s="100"/>
      <c r="Q2973" s="100"/>
    </row>
    <row r="2974" spans="1:17" s="110" customFormat="1" ht="17.5" customHeight="1">
      <c r="A2974" s="109" t="s">
        <v>7417</v>
      </c>
      <c r="B2974" s="109" t="s">
        <v>7418</v>
      </c>
      <c r="C2974" s="113">
        <v>2015</v>
      </c>
      <c r="D2974" s="112">
        <v>696</v>
      </c>
      <c r="E2974" s="112">
        <v>1776</v>
      </c>
      <c r="F2974" s="112">
        <v>728</v>
      </c>
      <c r="G2974" s="112">
        <v>1064</v>
      </c>
      <c r="H2974" s="112">
        <v>446</v>
      </c>
      <c r="I2974" s="112">
        <v>33</v>
      </c>
      <c r="J2974" s="112">
        <v>40</v>
      </c>
      <c r="K2974" s="112">
        <v>7</v>
      </c>
      <c r="L2974" s="112">
        <v>241</v>
      </c>
      <c r="M2974" s="112">
        <v>224</v>
      </c>
      <c r="N2974" s="112">
        <v>16</v>
      </c>
      <c r="O2974" s="100"/>
      <c r="P2974" s="100"/>
      <c r="Q2974" s="100"/>
    </row>
    <row r="2975" spans="1:17" s="110" customFormat="1" ht="17.5" customHeight="1">
      <c r="A2975" s="109" t="s">
        <v>7417</v>
      </c>
      <c r="B2975" s="109" t="s">
        <v>7418</v>
      </c>
      <c r="C2975" s="113">
        <v>2016</v>
      </c>
      <c r="D2975" s="112">
        <v>730</v>
      </c>
      <c r="E2975" s="112">
        <v>2188</v>
      </c>
      <c r="F2975" s="112">
        <v>887</v>
      </c>
      <c r="G2975" s="112">
        <v>1322</v>
      </c>
      <c r="H2975" s="112">
        <v>424</v>
      </c>
      <c r="I2975" s="112">
        <v>68</v>
      </c>
      <c r="J2975" s="112">
        <v>70</v>
      </c>
      <c r="K2975" s="112">
        <v>2</v>
      </c>
      <c r="L2975" s="112">
        <v>295</v>
      </c>
      <c r="M2975" s="112">
        <v>280</v>
      </c>
      <c r="N2975" s="112">
        <v>15</v>
      </c>
    </row>
    <row r="2976" spans="1:17" s="110" customFormat="1" ht="17.5" customHeight="1">
      <c r="A2976" s="109" t="s">
        <v>7417</v>
      </c>
      <c r="B2976" s="109" t="s">
        <v>7418</v>
      </c>
      <c r="C2976" s="113">
        <v>2017</v>
      </c>
      <c r="D2976" s="112">
        <v>757</v>
      </c>
      <c r="E2976" s="112">
        <v>2164</v>
      </c>
      <c r="F2976" s="112">
        <v>913</v>
      </c>
      <c r="G2976" s="112">
        <v>1276</v>
      </c>
      <c r="H2976" s="112">
        <v>437</v>
      </c>
      <c r="I2976" s="112">
        <v>87</v>
      </c>
      <c r="J2976" s="112">
        <v>95</v>
      </c>
      <c r="K2976" s="112">
        <v>8</v>
      </c>
      <c r="L2976" s="112">
        <v>275</v>
      </c>
      <c r="M2976" s="112">
        <v>261</v>
      </c>
      <c r="N2976" s="112">
        <v>14</v>
      </c>
    </row>
    <row r="2977" spans="1:17" s="110" customFormat="1" ht="17.5" customHeight="1">
      <c r="A2977" s="109" t="s">
        <v>7417</v>
      </c>
      <c r="B2977" s="109" t="s">
        <v>7418</v>
      </c>
      <c r="C2977" s="113">
        <v>2018</v>
      </c>
      <c r="D2977" s="112">
        <v>742</v>
      </c>
      <c r="E2977" s="112">
        <v>1828</v>
      </c>
      <c r="F2977" s="112">
        <v>812</v>
      </c>
      <c r="G2977" s="112">
        <v>1023</v>
      </c>
      <c r="H2977" s="112">
        <v>409</v>
      </c>
      <c r="I2977" s="112">
        <v>60</v>
      </c>
      <c r="J2977" s="112">
        <v>63</v>
      </c>
      <c r="K2977" s="112">
        <v>3</v>
      </c>
      <c r="L2977" s="112">
        <v>259</v>
      </c>
      <c r="M2977" s="112">
        <v>261</v>
      </c>
      <c r="N2977" s="112">
        <v>-2</v>
      </c>
      <c r="O2977" s="117"/>
      <c r="P2977" s="117"/>
      <c r="Q2977" s="117"/>
    </row>
    <row r="2978" spans="1:17" s="110" customFormat="1" ht="17.5" customHeight="1">
      <c r="A2978" s="109" t="s">
        <v>7417</v>
      </c>
      <c r="B2978" s="109" t="s">
        <v>7418</v>
      </c>
      <c r="C2978" s="113">
        <v>2019</v>
      </c>
      <c r="D2978" s="112">
        <v>720</v>
      </c>
      <c r="E2978" s="112">
        <v>1832.7432490000001</v>
      </c>
      <c r="F2978" s="112">
        <v>844.68678399999999</v>
      </c>
      <c r="G2978" s="112">
        <v>999.13450899999998</v>
      </c>
      <c r="H2978" s="112">
        <v>500.476113</v>
      </c>
      <c r="I2978" s="112">
        <v>71.692859999999996</v>
      </c>
      <c r="J2978" s="112">
        <v>73.624429000000006</v>
      </c>
      <c r="K2978" s="112">
        <v>1.9315690000000001</v>
      </c>
      <c r="L2978" s="112">
        <v>272.02758399999999</v>
      </c>
      <c r="M2978" s="112">
        <v>268.31888700000002</v>
      </c>
      <c r="N2978" s="112">
        <v>3.7086969999999999</v>
      </c>
      <c r="O2978" s="117"/>
      <c r="P2978" s="117"/>
      <c r="Q2978" s="117"/>
    </row>
    <row r="2979" spans="1:17" s="110" customFormat="1" ht="17.5" customHeight="1">
      <c r="A2979" s="114" t="s">
        <v>7417</v>
      </c>
      <c r="B2979" s="114" t="s">
        <v>7418</v>
      </c>
      <c r="C2979" s="113">
        <v>2020</v>
      </c>
      <c r="D2979" s="112">
        <v>752</v>
      </c>
      <c r="E2979" s="112">
        <v>1651.6059519999999</v>
      </c>
      <c r="F2979" s="112">
        <v>726.42796599999997</v>
      </c>
      <c r="G2979" s="112">
        <v>939.612843</v>
      </c>
      <c r="H2979" s="112">
        <v>408.01181800000001</v>
      </c>
      <c r="I2979" s="112">
        <v>75.917821000000004</v>
      </c>
      <c r="J2979" s="112">
        <v>77.814261000000002</v>
      </c>
      <c r="K2979" s="112">
        <v>1.8964399999999999</v>
      </c>
      <c r="L2979" s="112">
        <v>264.92427600000002</v>
      </c>
      <c r="M2979" s="112">
        <v>257.380788</v>
      </c>
      <c r="N2979" s="112">
        <v>7.543488</v>
      </c>
      <c r="O2979" s="117"/>
      <c r="P2979" s="117"/>
      <c r="Q2979" s="117"/>
    </row>
    <row r="2980" spans="1:17" s="110" customFormat="1" ht="17.5" customHeight="1">
      <c r="A2980" s="109" t="s">
        <v>7419</v>
      </c>
      <c r="B2980" s="109" t="s">
        <v>7420</v>
      </c>
      <c r="C2980" s="98">
        <v>2008</v>
      </c>
      <c r="D2980" s="99">
        <v>385</v>
      </c>
      <c r="E2980" s="99">
        <v>2505</v>
      </c>
      <c r="F2980" s="99">
        <v>700</v>
      </c>
      <c r="G2980" s="99">
        <v>1802</v>
      </c>
      <c r="H2980" s="99">
        <v>490</v>
      </c>
      <c r="I2980" s="99">
        <v>31</v>
      </c>
      <c r="J2980" s="99">
        <v>51</v>
      </c>
      <c r="K2980" s="99">
        <v>20</v>
      </c>
      <c r="L2980" s="99">
        <v>274</v>
      </c>
      <c r="M2980" s="99">
        <v>273</v>
      </c>
      <c r="N2980" s="99">
        <v>1</v>
      </c>
      <c r="O2980" s="117"/>
      <c r="P2980" s="117"/>
      <c r="Q2980" s="117"/>
    </row>
    <row r="2981" spans="1:17" s="110" customFormat="1" ht="17.5" customHeight="1">
      <c r="A2981" s="109" t="s">
        <v>7419</v>
      </c>
      <c r="B2981" s="109" t="s">
        <v>7420</v>
      </c>
      <c r="C2981" s="98">
        <v>2009</v>
      </c>
      <c r="D2981" s="99">
        <v>348</v>
      </c>
      <c r="E2981" s="99">
        <v>2601</v>
      </c>
      <c r="F2981" s="99">
        <v>743</v>
      </c>
      <c r="G2981" s="99">
        <v>1829</v>
      </c>
      <c r="H2981" s="99">
        <v>482</v>
      </c>
      <c r="I2981" s="99">
        <v>24</v>
      </c>
      <c r="J2981" s="99">
        <v>33</v>
      </c>
      <c r="K2981" s="99">
        <v>9</v>
      </c>
      <c r="L2981" s="99">
        <v>251</v>
      </c>
      <c r="M2981" s="99">
        <v>278</v>
      </c>
      <c r="N2981" s="99">
        <v>-27</v>
      </c>
    </row>
    <row r="2982" spans="1:17" s="110" customFormat="1" ht="17.5" customHeight="1">
      <c r="A2982" s="109" t="s">
        <v>7419</v>
      </c>
      <c r="B2982" s="109" t="s">
        <v>7420</v>
      </c>
      <c r="C2982" s="98">
        <v>2010</v>
      </c>
      <c r="D2982" s="99">
        <v>313</v>
      </c>
      <c r="E2982" s="99">
        <v>2132</v>
      </c>
      <c r="F2982" s="99">
        <v>669</v>
      </c>
      <c r="G2982" s="99">
        <v>1481</v>
      </c>
      <c r="H2982" s="99">
        <v>391</v>
      </c>
      <c r="I2982" s="99">
        <v>28</v>
      </c>
      <c r="J2982" s="99">
        <v>35</v>
      </c>
      <c r="K2982" s="99">
        <v>8</v>
      </c>
      <c r="L2982" s="99">
        <v>232</v>
      </c>
      <c r="M2982" s="99">
        <v>218</v>
      </c>
      <c r="N2982" s="99">
        <v>14</v>
      </c>
    </row>
    <row r="2983" spans="1:17" s="110" customFormat="1" ht="17.5" customHeight="1">
      <c r="A2983" s="109" t="s">
        <v>7419</v>
      </c>
      <c r="B2983" s="109" t="s">
        <v>7420</v>
      </c>
      <c r="C2983" s="98">
        <v>2011</v>
      </c>
      <c r="D2983" s="99">
        <v>299</v>
      </c>
      <c r="E2983" s="99">
        <v>2233</v>
      </c>
      <c r="F2983" s="99">
        <v>703</v>
      </c>
      <c r="G2983" s="99">
        <v>1546</v>
      </c>
      <c r="H2983" s="99">
        <v>393</v>
      </c>
      <c r="I2983" s="99">
        <v>30</v>
      </c>
      <c r="J2983" s="99">
        <v>47</v>
      </c>
      <c r="K2983" s="99">
        <v>17</v>
      </c>
      <c r="L2983" s="99">
        <v>244</v>
      </c>
      <c r="M2983" s="99">
        <v>226</v>
      </c>
      <c r="N2983" s="99">
        <v>18</v>
      </c>
      <c r="O2983" s="100"/>
      <c r="P2983" s="100"/>
      <c r="Q2983" s="100"/>
    </row>
    <row r="2984" spans="1:17" s="110" customFormat="1" ht="17.5" customHeight="1">
      <c r="A2984" s="109" t="s">
        <v>7419</v>
      </c>
      <c r="B2984" s="109" t="s">
        <v>7420</v>
      </c>
      <c r="C2984" s="111">
        <v>2012</v>
      </c>
      <c r="D2984" s="112">
        <v>273</v>
      </c>
      <c r="E2984" s="112">
        <v>2169</v>
      </c>
      <c r="F2984" s="112">
        <v>698</v>
      </c>
      <c r="G2984" s="112">
        <v>1466</v>
      </c>
      <c r="H2984" s="112">
        <v>396</v>
      </c>
      <c r="I2984" s="112">
        <v>31</v>
      </c>
      <c r="J2984" s="112">
        <v>37</v>
      </c>
      <c r="K2984" s="112">
        <v>6</v>
      </c>
      <c r="L2984" s="112">
        <v>201</v>
      </c>
      <c r="M2984" s="112">
        <v>205</v>
      </c>
      <c r="N2984" s="112">
        <v>-3</v>
      </c>
    </row>
    <row r="2985" spans="1:17" s="110" customFormat="1" ht="17.5" customHeight="1">
      <c r="A2985" s="109" t="s">
        <v>7419</v>
      </c>
      <c r="B2985" s="109" t="s">
        <v>7420</v>
      </c>
      <c r="C2985" s="113">
        <v>2013</v>
      </c>
      <c r="D2985" s="112">
        <v>287</v>
      </c>
      <c r="E2985" s="112">
        <v>1607</v>
      </c>
      <c r="F2985" s="112">
        <v>531</v>
      </c>
      <c r="G2985" s="112">
        <v>1098</v>
      </c>
      <c r="H2985" s="112">
        <v>339</v>
      </c>
      <c r="I2985" s="112">
        <v>56</v>
      </c>
      <c r="J2985" s="112">
        <v>61</v>
      </c>
      <c r="K2985" s="112">
        <v>4</v>
      </c>
      <c r="L2985" s="112">
        <v>193</v>
      </c>
      <c r="M2985" s="112">
        <v>169</v>
      </c>
      <c r="N2985" s="112">
        <v>24</v>
      </c>
      <c r="O2985" s="100"/>
      <c r="P2985" s="100"/>
      <c r="Q2985" s="100"/>
    </row>
    <row r="2986" spans="1:17" s="110" customFormat="1" ht="17.5" customHeight="1">
      <c r="A2986" s="109" t="s">
        <v>7419</v>
      </c>
      <c r="B2986" s="109" t="s">
        <v>7420</v>
      </c>
      <c r="C2986" s="113">
        <v>2014</v>
      </c>
      <c r="D2986" s="99">
        <v>299</v>
      </c>
      <c r="E2986" s="99">
        <v>1865</v>
      </c>
      <c r="F2986" s="99">
        <v>648</v>
      </c>
      <c r="G2986" s="99">
        <v>1231</v>
      </c>
      <c r="H2986" s="99">
        <v>379</v>
      </c>
      <c r="I2986" s="99">
        <v>44</v>
      </c>
      <c r="J2986" s="99">
        <v>47</v>
      </c>
      <c r="K2986" s="99">
        <v>3</v>
      </c>
      <c r="L2986" s="99">
        <v>229</v>
      </c>
      <c r="M2986" s="99">
        <v>213</v>
      </c>
      <c r="N2986" s="99">
        <v>16</v>
      </c>
      <c r="O2986" s="100"/>
      <c r="P2986" s="100"/>
      <c r="Q2986" s="100"/>
    </row>
    <row r="2987" spans="1:17" s="110" customFormat="1" ht="17.5" customHeight="1">
      <c r="A2987" s="109" t="s">
        <v>7419</v>
      </c>
      <c r="B2987" s="109" t="s">
        <v>7420</v>
      </c>
      <c r="C2987" s="113">
        <v>2015</v>
      </c>
      <c r="D2987" s="112">
        <v>292</v>
      </c>
      <c r="E2987" s="112">
        <v>1983</v>
      </c>
      <c r="F2987" s="112">
        <v>681</v>
      </c>
      <c r="G2987" s="112">
        <v>1316</v>
      </c>
      <c r="H2987" s="112">
        <v>406</v>
      </c>
      <c r="I2987" s="112">
        <v>30</v>
      </c>
      <c r="J2987" s="112">
        <v>62</v>
      </c>
      <c r="K2987" s="112">
        <v>32</v>
      </c>
      <c r="L2987" s="112">
        <v>276</v>
      </c>
      <c r="M2987" s="112">
        <v>260</v>
      </c>
      <c r="N2987" s="112">
        <v>16</v>
      </c>
    </row>
    <row r="2988" spans="1:17" s="110" customFormat="1" ht="17.5" customHeight="1">
      <c r="A2988" s="109" t="s">
        <v>7419</v>
      </c>
      <c r="B2988" s="109" t="s">
        <v>7420</v>
      </c>
      <c r="C2988" s="113">
        <v>2016</v>
      </c>
      <c r="D2988" s="112">
        <v>322</v>
      </c>
      <c r="E2988" s="112">
        <v>1936</v>
      </c>
      <c r="F2988" s="112">
        <v>638</v>
      </c>
      <c r="G2988" s="112">
        <v>1297</v>
      </c>
      <c r="H2988" s="112">
        <v>443</v>
      </c>
      <c r="I2988" s="112">
        <v>46</v>
      </c>
      <c r="J2988" s="112">
        <v>51</v>
      </c>
      <c r="K2988" s="112">
        <v>5</v>
      </c>
      <c r="L2988" s="112">
        <v>277</v>
      </c>
      <c r="M2988" s="112">
        <v>277</v>
      </c>
      <c r="N2988" s="112" t="s">
        <v>6952</v>
      </c>
    </row>
    <row r="2989" spans="1:17" s="110" customFormat="1" ht="17.5" customHeight="1">
      <c r="A2989" s="109" t="s">
        <v>7419</v>
      </c>
      <c r="B2989" s="109" t="s">
        <v>7420</v>
      </c>
      <c r="C2989" s="113">
        <v>2017</v>
      </c>
      <c r="D2989" s="112">
        <v>308</v>
      </c>
      <c r="E2989" s="112">
        <v>1882</v>
      </c>
      <c r="F2989" s="112">
        <v>595</v>
      </c>
      <c r="G2989" s="112">
        <v>1288</v>
      </c>
      <c r="H2989" s="112">
        <v>390</v>
      </c>
      <c r="I2989" s="112">
        <v>30</v>
      </c>
      <c r="J2989" s="112">
        <v>47</v>
      </c>
      <c r="K2989" s="112">
        <v>16</v>
      </c>
      <c r="L2989" s="112">
        <v>267</v>
      </c>
      <c r="M2989" s="112">
        <v>264</v>
      </c>
      <c r="N2989" s="112">
        <v>3</v>
      </c>
      <c r="O2989" s="117"/>
      <c r="P2989" s="117"/>
      <c r="Q2989" s="117"/>
    </row>
    <row r="2990" spans="1:17" s="110" customFormat="1" ht="17.5" customHeight="1">
      <c r="A2990" s="109" t="s">
        <v>7419</v>
      </c>
      <c r="B2990" s="109" t="s">
        <v>7420</v>
      </c>
      <c r="C2990" s="113">
        <v>2018</v>
      </c>
      <c r="D2990" s="112">
        <v>306</v>
      </c>
      <c r="E2990" s="112">
        <v>1968</v>
      </c>
      <c r="F2990" s="112">
        <v>693</v>
      </c>
      <c r="G2990" s="112">
        <v>1286</v>
      </c>
      <c r="H2990" s="112">
        <v>380</v>
      </c>
      <c r="I2990" s="112">
        <v>43</v>
      </c>
      <c r="J2990" s="112">
        <v>47</v>
      </c>
      <c r="K2990" s="112">
        <v>3</v>
      </c>
      <c r="L2990" s="112">
        <v>261</v>
      </c>
      <c r="M2990" s="112">
        <v>250</v>
      </c>
      <c r="N2990" s="112">
        <v>11</v>
      </c>
      <c r="O2990" s="117"/>
      <c r="P2990" s="117"/>
      <c r="Q2990" s="117"/>
    </row>
    <row r="2991" spans="1:17" s="110" customFormat="1" ht="17.5" customHeight="1">
      <c r="A2991" s="109" t="s">
        <v>7419</v>
      </c>
      <c r="B2991" s="109" t="s">
        <v>7420</v>
      </c>
      <c r="C2991" s="113">
        <v>2019</v>
      </c>
      <c r="D2991" s="112">
        <v>299</v>
      </c>
      <c r="E2991" s="112">
        <v>1848.6933429999999</v>
      </c>
      <c r="F2991" s="112">
        <v>681.20395900000005</v>
      </c>
      <c r="G2991" s="112">
        <v>1174.328663</v>
      </c>
      <c r="H2991" s="112">
        <v>389.43063699999999</v>
      </c>
      <c r="I2991" s="112">
        <v>19.808420000000002</v>
      </c>
      <c r="J2991" s="112">
        <v>30.073751999999999</v>
      </c>
      <c r="K2991" s="112">
        <v>10.265332000000001</v>
      </c>
      <c r="L2991" s="112">
        <v>250.70490000000001</v>
      </c>
      <c r="M2991" s="112">
        <v>238.60985299999999</v>
      </c>
      <c r="N2991" s="112">
        <v>12.095046999999999</v>
      </c>
      <c r="O2991" s="117"/>
      <c r="P2991" s="117"/>
      <c r="Q2991" s="117"/>
    </row>
    <row r="2992" spans="1:17" s="110" customFormat="1" ht="17.5" customHeight="1">
      <c r="A2992" s="114" t="s">
        <v>7419</v>
      </c>
      <c r="B2992" s="114" t="s">
        <v>7420</v>
      </c>
      <c r="C2992" s="113">
        <v>2020</v>
      </c>
      <c r="D2992" s="112">
        <v>311</v>
      </c>
      <c r="E2992" s="112">
        <v>1704.4231870000001</v>
      </c>
      <c r="F2992" s="112">
        <v>626.53516999999999</v>
      </c>
      <c r="G2992" s="112">
        <v>1062.4137490000001</v>
      </c>
      <c r="H2992" s="112">
        <v>366.06680499999999</v>
      </c>
      <c r="I2992" s="112">
        <v>27.799071000000001</v>
      </c>
      <c r="J2992" s="112">
        <v>29.120386</v>
      </c>
      <c r="K2992" s="112">
        <v>1.321315</v>
      </c>
      <c r="L2992" s="112">
        <v>235.046257</v>
      </c>
      <c r="M2992" s="112">
        <v>250.45186200000001</v>
      </c>
      <c r="N2992" s="112">
        <v>-15.405605</v>
      </c>
      <c r="O2992" s="117"/>
      <c r="P2992" s="117"/>
      <c r="Q2992" s="117"/>
    </row>
    <row r="2993" spans="1:17" s="110" customFormat="1" ht="17.5" customHeight="1">
      <c r="A2993" s="109" t="s">
        <v>7421</v>
      </c>
      <c r="B2993" s="109" t="s">
        <v>7422</v>
      </c>
      <c r="C2993" s="98">
        <v>2008</v>
      </c>
      <c r="D2993" s="99">
        <v>243</v>
      </c>
      <c r="E2993" s="99">
        <v>1814</v>
      </c>
      <c r="F2993" s="99">
        <v>457</v>
      </c>
      <c r="G2993" s="99">
        <v>1355</v>
      </c>
      <c r="H2993" s="99">
        <v>328</v>
      </c>
      <c r="I2993" s="99">
        <v>18</v>
      </c>
      <c r="J2993" s="99">
        <v>37</v>
      </c>
      <c r="K2993" s="99">
        <v>19</v>
      </c>
      <c r="L2993" s="99">
        <v>173</v>
      </c>
      <c r="M2993" s="99">
        <v>171</v>
      </c>
      <c r="N2993" s="99">
        <v>2</v>
      </c>
    </row>
    <row r="2994" spans="1:17" s="110" customFormat="1" ht="17.5" customHeight="1">
      <c r="A2994" s="109" t="s">
        <v>7421</v>
      </c>
      <c r="B2994" s="109" t="s">
        <v>7422</v>
      </c>
      <c r="C2994" s="98">
        <v>2009</v>
      </c>
      <c r="D2994" s="99">
        <v>222</v>
      </c>
      <c r="E2994" s="99">
        <v>1968</v>
      </c>
      <c r="F2994" s="99">
        <v>514</v>
      </c>
      <c r="G2994" s="99">
        <v>1426</v>
      </c>
      <c r="H2994" s="99">
        <v>333</v>
      </c>
      <c r="I2994" s="99">
        <v>12</v>
      </c>
      <c r="J2994" s="99">
        <v>20</v>
      </c>
      <c r="K2994" s="99">
        <v>8</v>
      </c>
      <c r="L2994" s="99">
        <v>166</v>
      </c>
      <c r="M2994" s="99">
        <v>192</v>
      </c>
      <c r="N2994" s="99">
        <v>-26</v>
      </c>
    </row>
    <row r="2995" spans="1:17" s="110" customFormat="1" ht="17.5" customHeight="1">
      <c r="A2995" s="109" t="s">
        <v>7421</v>
      </c>
      <c r="B2995" s="109" t="s">
        <v>7422</v>
      </c>
      <c r="C2995" s="98">
        <v>2010</v>
      </c>
      <c r="D2995" s="99">
        <v>200</v>
      </c>
      <c r="E2995" s="99">
        <v>1642</v>
      </c>
      <c r="F2995" s="99">
        <v>501</v>
      </c>
      <c r="G2995" s="99">
        <v>1167</v>
      </c>
      <c r="H2995" s="99">
        <v>269</v>
      </c>
      <c r="I2995" s="99">
        <v>15</v>
      </c>
      <c r="J2995" s="99">
        <v>21</v>
      </c>
      <c r="K2995" s="99">
        <v>6</v>
      </c>
      <c r="L2995" s="99">
        <v>151</v>
      </c>
      <c r="M2995" s="99">
        <v>129</v>
      </c>
      <c r="N2995" s="99">
        <v>22</v>
      </c>
      <c r="O2995" s="100"/>
      <c r="P2995" s="100"/>
      <c r="Q2995" s="100"/>
    </row>
    <row r="2996" spans="1:17" s="110" customFormat="1" ht="17.5" customHeight="1">
      <c r="A2996" s="109" t="s">
        <v>7421</v>
      </c>
      <c r="B2996" s="109" t="s">
        <v>7422</v>
      </c>
      <c r="C2996" s="98">
        <v>2011</v>
      </c>
      <c r="D2996" s="99">
        <v>192</v>
      </c>
      <c r="E2996" s="99">
        <v>1668</v>
      </c>
      <c r="F2996" s="99">
        <v>487</v>
      </c>
      <c r="G2996" s="99">
        <v>1194</v>
      </c>
      <c r="H2996" s="99">
        <v>253</v>
      </c>
      <c r="I2996" s="99">
        <v>14</v>
      </c>
      <c r="J2996" s="99">
        <v>28</v>
      </c>
      <c r="K2996" s="99">
        <v>14</v>
      </c>
      <c r="L2996" s="99">
        <v>156</v>
      </c>
      <c r="M2996" s="99">
        <v>142</v>
      </c>
      <c r="N2996" s="99">
        <v>14</v>
      </c>
    </row>
    <row r="2997" spans="1:17" s="110" customFormat="1" ht="17.5" customHeight="1">
      <c r="A2997" s="109" t="s">
        <v>7421</v>
      </c>
      <c r="B2997" s="109" t="s">
        <v>7422</v>
      </c>
      <c r="C2997" s="111">
        <v>2012</v>
      </c>
      <c r="D2997" s="112">
        <v>181</v>
      </c>
      <c r="E2997" s="112">
        <v>1668</v>
      </c>
      <c r="F2997" s="112">
        <v>460</v>
      </c>
      <c r="G2997" s="112">
        <v>1202</v>
      </c>
      <c r="H2997" s="112">
        <v>270</v>
      </c>
      <c r="I2997" s="112">
        <v>25</v>
      </c>
      <c r="J2997" s="112">
        <v>29</v>
      </c>
      <c r="K2997" s="112">
        <v>4</v>
      </c>
      <c r="L2997" s="112">
        <v>139</v>
      </c>
      <c r="M2997" s="112">
        <v>143</v>
      </c>
      <c r="N2997" s="112">
        <v>-4</v>
      </c>
      <c r="O2997" s="100"/>
      <c r="P2997" s="100"/>
      <c r="Q2997" s="100"/>
    </row>
    <row r="2998" spans="1:17" s="110" customFormat="1" ht="17.5" customHeight="1">
      <c r="A2998" s="109" t="s">
        <v>7421</v>
      </c>
      <c r="B2998" s="109" t="s">
        <v>7422</v>
      </c>
      <c r="C2998" s="113">
        <v>2013</v>
      </c>
      <c r="D2998" s="112">
        <v>193</v>
      </c>
      <c r="E2998" s="112">
        <v>1102</v>
      </c>
      <c r="F2998" s="112">
        <v>348</v>
      </c>
      <c r="G2998" s="112">
        <v>762</v>
      </c>
      <c r="H2998" s="112">
        <v>215</v>
      </c>
      <c r="I2998" s="112">
        <v>25</v>
      </c>
      <c r="J2998" s="112">
        <v>28</v>
      </c>
      <c r="K2998" s="112">
        <v>3</v>
      </c>
      <c r="L2998" s="112">
        <v>123</v>
      </c>
      <c r="M2998" s="112">
        <v>114</v>
      </c>
      <c r="N2998" s="112">
        <v>9</v>
      </c>
      <c r="O2998" s="100"/>
      <c r="P2998" s="100"/>
      <c r="Q2998" s="100"/>
    </row>
    <row r="2999" spans="1:17" s="110" customFormat="1" ht="17.5" customHeight="1">
      <c r="A2999" s="109" t="s">
        <v>7421</v>
      </c>
      <c r="B2999" s="109" t="s">
        <v>7422</v>
      </c>
      <c r="C2999" s="113">
        <v>2014</v>
      </c>
      <c r="D2999" s="99">
        <v>185</v>
      </c>
      <c r="E2999" s="99">
        <v>1315</v>
      </c>
      <c r="F2999" s="99">
        <v>450</v>
      </c>
      <c r="G2999" s="99">
        <v>873</v>
      </c>
      <c r="H2999" s="99">
        <v>249</v>
      </c>
      <c r="I2999" s="99">
        <v>32</v>
      </c>
      <c r="J2999" s="99">
        <v>33</v>
      </c>
      <c r="K2999" s="99">
        <v>1</v>
      </c>
      <c r="L2999" s="99">
        <v>149</v>
      </c>
      <c r="M2999" s="99">
        <v>139</v>
      </c>
      <c r="N2999" s="99">
        <v>10</v>
      </c>
    </row>
    <row r="3000" spans="1:17" s="110" customFormat="1" ht="17.5" customHeight="1">
      <c r="A3000" s="109" t="s">
        <v>7421</v>
      </c>
      <c r="B3000" s="109" t="s">
        <v>7422</v>
      </c>
      <c r="C3000" s="113">
        <v>2015</v>
      </c>
      <c r="D3000" s="112">
        <v>186</v>
      </c>
      <c r="E3000" s="112">
        <v>1424</v>
      </c>
      <c r="F3000" s="112">
        <v>479</v>
      </c>
      <c r="G3000" s="112">
        <v>955</v>
      </c>
      <c r="H3000" s="112">
        <v>271</v>
      </c>
      <c r="I3000" s="99" t="s">
        <v>6953</v>
      </c>
      <c r="J3000" s="112">
        <v>42</v>
      </c>
      <c r="K3000" s="99" t="s">
        <v>6953</v>
      </c>
      <c r="L3000" s="112">
        <v>183</v>
      </c>
      <c r="M3000" s="112">
        <v>171</v>
      </c>
      <c r="N3000" s="112">
        <v>12</v>
      </c>
    </row>
    <row r="3001" spans="1:17" s="110" customFormat="1" ht="17.5" customHeight="1">
      <c r="A3001" s="109" t="s">
        <v>7421</v>
      </c>
      <c r="B3001" s="109" t="s">
        <v>7422</v>
      </c>
      <c r="C3001" s="113">
        <v>2016</v>
      </c>
      <c r="D3001" s="112">
        <v>193</v>
      </c>
      <c r="E3001" s="112">
        <v>1420</v>
      </c>
      <c r="F3001" s="112">
        <v>443</v>
      </c>
      <c r="G3001" s="112">
        <v>979</v>
      </c>
      <c r="H3001" s="112">
        <v>314</v>
      </c>
      <c r="I3001" s="112">
        <v>29</v>
      </c>
      <c r="J3001" s="112">
        <v>33</v>
      </c>
      <c r="K3001" s="112">
        <v>5</v>
      </c>
      <c r="L3001" s="112">
        <v>192</v>
      </c>
      <c r="M3001" s="112">
        <v>190</v>
      </c>
      <c r="N3001" s="112">
        <v>2</v>
      </c>
      <c r="O3001" s="117"/>
      <c r="P3001" s="117"/>
      <c r="Q3001" s="117"/>
    </row>
    <row r="3002" spans="1:17" s="110" customFormat="1" ht="17.5" customHeight="1">
      <c r="A3002" s="109" t="s">
        <v>7421</v>
      </c>
      <c r="B3002" s="109" t="s">
        <v>7422</v>
      </c>
      <c r="C3002" s="113">
        <v>2017</v>
      </c>
      <c r="D3002" s="112">
        <v>178</v>
      </c>
      <c r="E3002" s="112">
        <v>1337</v>
      </c>
      <c r="F3002" s="112">
        <v>389</v>
      </c>
      <c r="G3002" s="112">
        <v>942</v>
      </c>
      <c r="H3002" s="112">
        <v>254</v>
      </c>
      <c r="I3002" s="112">
        <v>28</v>
      </c>
      <c r="J3002" s="112">
        <v>38</v>
      </c>
      <c r="K3002" s="112">
        <v>10</v>
      </c>
      <c r="L3002" s="112">
        <v>173</v>
      </c>
      <c r="M3002" s="112">
        <v>177</v>
      </c>
      <c r="N3002" s="112">
        <v>-3</v>
      </c>
      <c r="O3002" s="117"/>
      <c r="P3002" s="117"/>
      <c r="Q3002" s="117"/>
    </row>
    <row r="3003" spans="1:17" s="110" customFormat="1" ht="17.5" customHeight="1">
      <c r="A3003" s="109" t="s">
        <v>7421</v>
      </c>
      <c r="B3003" s="109" t="s">
        <v>7422</v>
      </c>
      <c r="C3003" s="113">
        <v>2018</v>
      </c>
      <c r="D3003" s="112">
        <v>175</v>
      </c>
      <c r="E3003" s="112">
        <v>1431</v>
      </c>
      <c r="F3003" s="112">
        <v>497</v>
      </c>
      <c r="G3003" s="112">
        <v>948</v>
      </c>
      <c r="H3003" s="112">
        <v>255</v>
      </c>
      <c r="I3003" s="112">
        <v>31</v>
      </c>
      <c r="J3003" s="112">
        <v>33</v>
      </c>
      <c r="K3003" s="112">
        <v>2</v>
      </c>
      <c r="L3003" s="112">
        <v>179</v>
      </c>
      <c r="M3003" s="112">
        <v>166</v>
      </c>
      <c r="N3003" s="112">
        <v>14</v>
      </c>
      <c r="O3003" s="117"/>
      <c r="P3003" s="117"/>
      <c r="Q3003" s="117"/>
    </row>
    <row r="3004" spans="1:17" s="110" customFormat="1" ht="17.5" customHeight="1">
      <c r="A3004" s="109" t="s">
        <v>7421</v>
      </c>
      <c r="B3004" s="109" t="s">
        <v>7422</v>
      </c>
      <c r="C3004" s="113">
        <v>2019</v>
      </c>
      <c r="D3004" s="112">
        <v>172</v>
      </c>
      <c r="E3004" s="112">
        <v>1394.1027549999999</v>
      </c>
      <c r="F3004" s="112">
        <v>531.82671500000004</v>
      </c>
      <c r="G3004" s="112">
        <v>868.45224199999996</v>
      </c>
      <c r="H3004" s="112">
        <v>258.85424499999999</v>
      </c>
      <c r="I3004" s="112">
        <v>25.516496</v>
      </c>
      <c r="J3004" s="112">
        <v>25.598413999999998</v>
      </c>
      <c r="K3004" s="112" t="s">
        <v>6952</v>
      </c>
      <c r="L3004" s="112">
        <v>163.378873</v>
      </c>
      <c r="M3004" s="112">
        <v>154.55291399999999</v>
      </c>
      <c r="N3004" s="112">
        <v>8.8259589999999992</v>
      </c>
      <c r="O3004" s="117"/>
      <c r="P3004" s="117"/>
      <c r="Q3004" s="117"/>
    </row>
    <row r="3005" spans="1:17" s="110" customFormat="1" ht="17.5" customHeight="1">
      <c r="A3005" s="114" t="s">
        <v>7421</v>
      </c>
      <c r="B3005" s="114" t="s">
        <v>7422</v>
      </c>
      <c r="C3005" s="113">
        <v>2020</v>
      </c>
      <c r="D3005" s="112">
        <v>183</v>
      </c>
      <c r="E3005" s="112">
        <v>1303.2796860000001</v>
      </c>
      <c r="F3005" s="112">
        <v>472.179757</v>
      </c>
      <c r="G3005" s="112">
        <v>830.32507999999996</v>
      </c>
      <c r="H3005" s="112">
        <v>245.066802</v>
      </c>
      <c r="I3005" s="112">
        <v>22.7593</v>
      </c>
      <c r="J3005" s="112">
        <v>23.289783</v>
      </c>
      <c r="K3005" s="112">
        <v>0.53048300000000004</v>
      </c>
      <c r="L3005" s="112">
        <v>157.70746</v>
      </c>
      <c r="M3005" s="112">
        <v>159.90976800000001</v>
      </c>
      <c r="N3005" s="112">
        <v>-2.2023090000000001</v>
      </c>
    </row>
    <row r="3006" spans="1:17" s="110" customFormat="1" ht="17.5" customHeight="1">
      <c r="A3006" s="109" t="s">
        <v>7423</v>
      </c>
      <c r="B3006" s="109" t="s">
        <v>7424</v>
      </c>
      <c r="C3006" s="98">
        <v>2008</v>
      </c>
      <c r="D3006" s="99">
        <v>142</v>
      </c>
      <c r="E3006" s="99">
        <v>691</v>
      </c>
      <c r="F3006" s="99">
        <v>243</v>
      </c>
      <c r="G3006" s="99">
        <v>447</v>
      </c>
      <c r="H3006" s="99">
        <v>162</v>
      </c>
      <c r="I3006" s="99">
        <v>13</v>
      </c>
      <c r="J3006" s="99">
        <v>14</v>
      </c>
      <c r="K3006" s="99">
        <v>1</v>
      </c>
      <c r="L3006" s="99">
        <v>101</v>
      </c>
      <c r="M3006" s="99">
        <v>102</v>
      </c>
      <c r="N3006" s="99">
        <v>-1</v>
      </c>
    </row>
    <row r="3007" spans="1:17" s="110" customFormat="1" ht="17.5" customHeight="1">
      <c r="A3007" s="109" t="s">
        <v>7423</v>
      </c>
      <c r="B3007" s="109" t="s">
        <v>7424</v>
      </c>
      <c r="C3007" s="98">
        <v>2009</v>
      </c>
      <c r="D3007" s="99">
        <v>126</v>
      </c>
      <c r="E3007" s="99">
        <v>633</v>
      </c>
      <c r="F3007" s="99">
        <v>229</v>
      </c>
      <c r="G3007" s="99">
        <v>403</v>
      </c>
      <c r="H3007" s="99">
        <v>149</v>
      </c>
      <c r="I3007" s="99">
        <v>12</v>
      </c>
      <c r="J3007" s="99">
        <v>13</v>
      </c>
      <c r="K3007" s="99">
        <v>1</v>
      </c>
      <c r="L3007" s="99">
        <v>85</v>
      </c>
      <c r="M3007" s="99">
        <v>86</v>
      </c>
      <c r="N3007" s="99">
        <v>-1</v>
      </c>
      <c r="O3007" s="100"/>
      <c r="P3007" s="100"/>
      <c r="Q3007" s="100"/>
    </row>
    <row r="3008" spans="1:17" s="110" customFormat="1" ht="17.5" customHeight="1">
      <c r="A3008" s="109" t="s">
        <v>7423</v>
      </c>
      <c r="B3008" s="109" t="s">
        <v>7424</v>
      </c>
      <c r="C3008" s="98">
        <v>2010</v>
      </c>
      <c r="D3008" s="99">
        <v>113</v>
      </c>
      <c r="E3008" s="99">
        <v>491</v>
      </c>
      <c r="F3008" s="99">
        <v>168</v>
      </c>
      <c r="G3008" s="99">
        <v>315</v>
      </c>
      <c r="H3008" s="99">
        <v>122</v>
      </c>
      <c r="I3008" s="99">
        <v>12</v>
      </c>
      <c r="J3008" s="99">
        <v>14</v>
      </c>
      <c r="K3008" s="99">
        <v>2</v>
      </c>
      <c r="L3008" s="99">
        <v>81</v>
      </c>
      <c r="M3008" s="99">
        <v>88</v>
      </c>
      <c r="N3008" s="99">
        <v>-8</v>
      </c>
    </row>
    <row r="3009" spans="1:17" s="110" customFormat="1" ht="17.5" customHeight="1">
      <c r="A3009" s="109" t="s">
        <v>7423</v>
      </c>
      <c r="B3009" s="109" t="s">
        <v>7424</v>
      </c>
      <c r="C3009" s="98">
        <v>2011</v>
      </c>
      <c r="D3009" s="99">
        <v>107</v>
      </c>
      <c r="E3009" s="99">
        <v>565</v>
      </c>
      <c r="F3009" s="99">
        <v>216</v>
      </c>
      <c r="G3009" s="99">
        <v>353</v>
      </c>
      <c r="H3009" s="99">
        <v>140</v>
      </c>
      <c r="I3009" s="99">
        <v>16</v>
      </c>
      <c r="J3009" s="99">
        <v>19</v>
      </c>
      <c r="K3009" s="99">
        <v>3</v>
      </c>
      <c r="L3009" s="99">
        <v>88</v>
      </c>
      <c r="M3009" s="99">
        <v>84</v>
      </c>
      <c r="N3009" s="99">
        <v>4</v>
      </c>
      <c r="O3009" s="100"/>
      <c r="P3009" s="100"/>
      <c r="Q3009" s="100"/>
    </row>
    <row r="3010" spans="1:17" s="110" customFormat="1" ht="17.5" customHeight="1">
      <c r="A3010" s="109" t="s">
        <v>7423</v>
      </c>
      <c r="B3010" s="109" t="s">
        <v>7424</v>
      </c>
      <c r="C3010" s="111">
        <v>2012</v>
      </c>
      <c r="D3010" s="112">
        <v>92</v>
      </c>
      <c r="E3010" s="112">
        <v>501</v>
      </c>
      <c r="F3010" s="112">
        <v>238</v>
      </c>
      <c r="G3010" s="112">
        <v>263</v>
      </c>
      <c r="H3010" s="112">
        <v>126</v>
      </c>
      <c r="I3010" s="112">
        <v>6</v>
      </c>
      <c r="J3010" s="112">
        <v>8</v>
      </c>
      <c r="K3010" s="112">
        <v>1</v>
      </c>
      <c r="L3010" s="112">
        <v>62</v>
      </c>
      <c r="M3010" s="112">
        <v>61</v>
      </c>
      <c r="N3010" s="112">
        <v>1</v>
      </c>
      <c r="O3010" s="100"/>
      <c r="P3010" s="100"/>
      <c r="Q3010" s="100"/>
    </row>
    <row r="3011" spans="1:17" s="110" customFormat="1" ht="17.5" customHeight="1">
      <c r="A3011" s="109" t="s">
        <v>7423</v>
      </c>
      <c r="B3011" s="109" t="s">
        <v>7424</v>
      </c>
      <c r="C3011" s="113">
        <v>2013</v>
      </c>
      <c r="D3011" s="112">
        <v>94</v>
      </c>
      <c r="E3011" s="112">
        <v>504</v>
      </c>
      <c r="F3011" s="112">
        <v>183</v>
      </c>
      <c r="G3011" s="112">
        <v>336</v>
      </c>
      <c r="H3011" s="112">
        <v>123</v>
      </c>
      <c r="I3011" s="112">
        <v>32</v>
      </c>
      <c r="J3011" s="112">
        <v>32</v>
      </c>
      <c r="K3011" s="112">
        <v>1</v>
      </c>
      <c r="L3011" s="112">
        <v>70</v>
      </c>
      <c r="M3011" s="112">
        <v>55</v>
      </c>
      <c r="N3011" s="112">
        <v>15</v>
      </c>
    </row>
    <row r="3012" spans="1:17" s="110" customFormat="1" ht="17.5" customHeight="1">
      <c r="A3012" s="109" t="s">
        <v>7423</v>
      </c>
      <c r="B3012" s="109" t="s">
        <v>7424</v>
      </c>
      <c r="C3012" s="113">
        <v>2014</v>
      </c>
      <c r="D3012" s="99">
        <v>114</v>
      </c>
      <c r="E3012" s="99">
        <v>551</v>
      </c>
      <c r="F3012" s="99">
        <v>198</v>
      </c>
      <c r="G3012" s="99">
        <v>358</v>
      </c>
      <c r="H3012" s="99">
        <v>131</v>
      </c>
      <c r="I3012" s="99">
        <v>13</v>
      </c>
      <c r="J3012" s="99">
        <v>14</v>
      </c>
      <c r="K3012" s="99">
        <v>1</v>
      </c>
      <c r="L3012" s="99">
        <v>80</v>
      </c>
      <c r="M3012" s="99">
        <v>74</v>
      </c>
      <c r="N3012" s="99">
        <v>6</v>
      </c>
    </row>
    <row r="3013" spans="1:17" s="110" customFormat="1" ht="17.5" customHeight="1">
      <c r="A3013" s="109" t="s">
        <v>7423</v>
      </c>
      <c r="B3013" s="109" t="s">
        <v>7424</v>
      </c>
      <c r="C3013" s="113">
        <v>2015</v>
      </c>
      <c r="D3013" s="112">
        <v>106</v>
      </c>
      <c r="E3013" s="112">
        <v>559</v>
      </c>
      <c r="F3013" s="112">
        <v>202</v>
      </c>
      <c r="G3013" s="112">
        <v>361</v>
      </c>
      <c r="H3013" s="112">
        <v>136</v>
      </c>
      <c r="I3013" s="99" t="s">
        <v>6953</v>
      </c>
      <c r="J3013" s="112">
        <v>20</v>
      </c>
      <c r="K3013" s="99" t="s">
        <v>6953</v>
      </c>
      <c r="L3013" s="112">
        <v>93</v>
      </c>
      <c r="M3013" s="112">
        <v>89</v>
      </c>
      <c r="N3013" s="112">
        <v>4</v>
      </c>
      <c r="O3013" s="117"/>
      <c r="P3013" s="117"/>
      <c r="Q3013" s="117"/>
    </row>
    <row r="3014" spans="1:17" s="110" customFormat="1" ht="17.5" customHeight="1">
      <c r="A3014" s="109" t="s">
        <v>7423</v>
      </c>
      <c r="B3014" s="109" t="s">
        <v>7424</v>
      </c>
      <c r="C3014" s="113">
        <v>2016</v>
      </c>
      <c r="D3014" s="112">
        <v>129</v>
      </c>
      <c r="E3014" s="112">
        <v>517</v>
      </c>
      <c r="F3014" s="112">
        <v>195</v>
      </c>
      <c r="G3014" s="112">
        <v>318</v>
      </c>
      <c r="H3014" s="112">
        <v>128</v>
      </c>
      <c r="I3014" s="112">
        <v>17</v>
      </c>
      <c r="J3014" s="112">
        <v>17</v>
      </c>
      <c r="K3014" s="112" t="s">
        <v>6952</v>
      </c>
      <c r="L3014" s="112">
        <v>84</v>
      </c>
      <c r="M3014" s="112">
        <v>86</v>
      </c>
      <c r="N3014" s="112">
        <v>-2</v>
      </c>
      <c r="O3014" s="117"/>
      <c r="P3014" s="117"/>
      <c r="Q3014" s="117"/>
    </row>
    <row r="3015" spans="1:17" s="110" customFormat="1" ht="17.5" customHeight="1">
      <c r="A3015" s="109" t="s">
        <v>7423</v>
      </c>
      <c r="B3015" s="109" t="s">
        <v>7424</v>
      </c>
      <c r="C3015" s="113">
        <v>2017</v>
      </c>
      <c r="D3015" s="112">
        <v>130</v>
      </c>
      <c r="E3015" s="112">
        <v>545</v>
      </c>
      <c r="F3015" s="112">
        <v>206</v>
      </c>
      <c r="G3015" s="112">
        <v>346</v>
      </c>
      <c r="H3015" s="112">
        <v>136</v>
      </c>
      <c r="I3015" s="112">
        <v>2</v>
      </c>
      <c r="J3015" s="112">
        <v>9</v>
      </c>
      <c r="K3015" s="112">
        <v>6</v>
      </c>
      <c r="L3015" s="112">
        <v>94</v>
      </c>
      <c r="M3015" s="112">
        <v>87</v>
      </c>
      <c r="N3015" s="112">
        <v>7</v>
      </c>
      <c r="O3015" s="117"/>
      <c r="P3015" s="117"/>
      <c r="Q3015" s="117"/>
    </row>
    <row r="3016" spans="1:17" s="110" customFormat="1" ht="17.5" customHeight="1">
      <c r="A3016" s="109" t="s">
        <v>7423</v>
      </c>
      <c r="B3016" s="109" t="s">
        <v>7424</v>
      </c>
      <c r="C3016" s="113">
        <v>2018</v>
      </c>
      <c r="D3016" s="112">
        <v>131</v>
      </c>
      <c r="E3016" s="112">
        <v>536</v>
      </c>
      <c r="F3016" s="112">
        <v>196</v>
      </c>
      <c r="G3016" s="112">
        <v>338</v>
      </c>
      <c r="H3016" s="112">
        <v>125</v>
      </c>
      <c r="I3016" s="112">
        <v>13</v>
      </c>
      <c r="J3016" s="112">
        <v>14</v>
      </c>
      <c r="K3016" s="112">
        <v>1</v>
      </c>
      <c r="L3016" s="112">
        <v>82</v>
      </c>
      <c r="M3016" s="112">
        <v>84</v>
      </c>
      <c r="N3016" s="112">
        <v>-3</v>
      </c>
      <c r="O3016" s="117"/>
      <c r="P3016" s="117"/>
      <c r="Q3016" s="117"/>
    </row>
    <row r="3017" spans="1:17" s="110" customFormat="1" ht="17.5" customHeight="1">
      <c r="A3017" s="109" t="s">
        <v>7423</v>
      </c>
      <c r="B3017" s="109" t="s">
        <v>7424</v>
      </c>
      <c r="C3017" s="113">
        <v>2019</v>
      </c>
      <c r="D3017" s="112">
        <v>127</v>
      </c>
      <c r="E3017" s="112">
        <v>454.59058800000003</v>
      </c>
      <c r="F3017" s="112">
        <v>149.37724499999999</v>
      </c>
      <c r="G3017" s="112">
        <v>305.87642099999999</v>
      </c>
      <c r="H3017" s="112">
        <v>130.576392</v>
      </c>
      <c r="I3017" s="112">
        <v>-5.7080770000000003</v>
      </c>
      <c r="J3017" s="112">
        <v>4.4753379999999998</v>
      </c>
      <c r="K3017" s="112">
        <v>10.183414000000001</v>
      </c>
      <c r="L3017" s="112">
        <v>87.326026999999996</v>
      </c>
      <c r="M3017" s="112">
        <v>84.056939</v>
      </c>
      <c r="N3017" s="112">
        <v>3.269088</v>
      </c>
    </row>
    <row r="3018" spans="1:17" s="110" customFormat="1" ht="17.5" customHeight="1">
      <c r="A3018" s="114" t="s">
        <v>7423</v>
      </c>
      <c r="B3018" s="114" t="s">
        <v>7424</v>
      </c>
      <c r="C3018" s="113">
        <v>2020</v>
      </c>
      <c r="D3018" s="112">
        <v>128</v>
      </c>
      <c r="E3018" s="112">
        <v>401.14350000000002</v>
      </c>
      <c r="F3018" s="112">
        <v>154.355413</v>
      </c>
      <c r="G3018" s="112">
        <v>232.08866900000001</v>
      </c>
      <c r="H3018" s="112">
        <v>121.00000300000001</v>
      </c>
      <c r="I3018" s="112">
        <v>5.039771</v>
      </c>
      <c r="J3018" s="112">
        <v>5.830603</v>
      </c>
      <c r="K3018" s="112">
        <v>0.79083199999999998</v>
      </c>
      <c r="L3018" s="112">
        <v>77.338797</v>
      </c>
      <c r="M3018" s="112">
        <v>90.542094000000006</v>
      </c>
      <c r="N3018" s="112">
        <v>-13.203296999999999</v>
      </c>
    </row>
    <row r="3019" spans="1:17" s="110" customFormat="1" ht="17.5" customHeight="1">
      <c r="A3019" s="109" t="s">
        <v>7425</v>
      </c>
      <c r="B3019" s="109" t="s">
        <v>7426</v>
      </c>
      <c r="C3019" s="98">
        <v>2008</v>
      </c>
      <c r="D3019" s="99">
        <v>740</v>
      </c>
      <c r="E3019" s="99">
        <v>801</v>
      </c>
      <c r="F3019" s="99">
        <v>355</v>
      </c>
      <c r="G3019" s="99">
        <v>452</v>
      </c>
      <c r="H3019" s="99">
        <v>232</v>
      </c>
      <c r="I3019" s="99">
        <v>10</v>
      </c>
      <c r="J3019" s="99">
        <v>11</v>
      </c>
      <c r="K3019" s="99">
        <v>1</v>
      </c>
      <c r="L3019" s="99">
        <v>108</v>
      </c>
      <c r="M3019" s="99">
        <v>102</v>
      </c>
      <c r="N3019" s="99">
        <v>6</v>
      </c>
      <c r="O3019" s="100"/>
      <c r="P3019" s="100"/>
      <c r="Q3019" s="100"/>
    </row>
    <row r="3020" spans="1:17" s="110" customFormat="1" ht="17.5" customHeight="1">
      <c r="A3020" s="109" t="s">
        <v>7425</v>
      </c>
      <c r="B3020" s="109" t="s">
        <v>7426</v>
      </c>
      <c r="C3020" s="98">
        <v>2009</v>
      </c>
      <c r="D3020" s="99">
        <v>484</v>
      </c>
      <c r="E3020" s="99">
        <v>974</v>
      </c>
      <c r="F3020" s="99">
        <v>453</v>
      </c>
      <c r="G3020" s="99">
        <v>512</v>
      </c>
      <c r="H3020" s="99">
        <v>271</v>
      </c>
      <c r="I3020" s="99">
        <v>10</v>
      </c>
      <c r="J3020" s="99">
        <v>11</v>
      </c>
      <c r="K3020" s="99">
        <v>2</v>
      </c>
      <c r="L3020" s="99">
        <v>136</v>
      </c>
      <c r="M3020" s="99">
        <v>138</v>
      </c>
      <c r="N3020" s="99">
        <v>-2</v>
      </c>
    </row>
    <row r="3021" spans="1:17" s="110" customFormat="1" ht="17.5" customHeight="1">
      <c r="A3021" s="109" t="s">
        <v>7425</v>
      </c>
      <c r="B3021" s="109" t="s">
        <v>7426</v>
      </c>
      <c r="C3021" s="98">
        <v>2010</v>
      </c>
      <c r="D3021" s="99">
        <v>584</v>
      </c>
      <c r="E3021" s="99">
        <v>1151</v>
      </c>
      <c r="F3021" s="99">
        <v>521</v>
      </c>
      <c r="G3021" s="99">
        <v>644</v>
      </c>
      <c r="H3021" s="99">
        <v>300</v>
      </c>
      <c r="I3021" s="99">
        <v>12</v>
      </c>
      <c r="J3021" s="99">
        <v>32</v>
      </c>
      <c r="K3021" s="99">
        <v>20</v>
      </c>
      <c r="L3021" s="99">
        <v>174</v>
      </c>
      <c r="M3021" s="99">
        <v>154</v>
      </c>
      <c r="N3021" s="99">
        <v>20</v>
      </c>
      <c r="O3021" s="100"/>
      <c r="P3021" s="100"/>
      <c r="Q3021" s="100"/>
    </row>
    <row r="3022" spans="1:17" s="110" customFormat="1" ht="17.5" customHeight="1">
      <c r="A3022" s="109" t="s">
        <v>7425</v>
      </c>
      <c r="B3022" s="109" t="s">
        <v>7426</v>
      </c>
      <c r="C3022" s="98">
        <v>2011</v>
      </c>
      <c r="D3022" s="99">
        <v>626</v>
      </c>
      <c r="E3022" s="99">
        <v>1191</v>
      </c>
      <c r="F3022" s="99">
        <v>543</v>
      </c>
      <c r="G3022" s="99">
        <v>638</v>
      </c>
      <c r="H3022" s="99">
        <v>280</v>
      </c>
      <c r="I3022" s="99">
        <v>21</v>
      </c>
      <c r="J3022" s="99">
        <v>34</v>
      </c>
      <c r="K3022" s="99">
        <v>14</v>
      </c>
      <c r="L3022" s="99">
        <v>160</v>
      </c>
      <c r="M3022" s="99">
        <v>163</v>
      </c>
      <c r="N3022" s="99">
        <v>-3</v>
      </c>
      <c r="O3022" s="100"/>
      <c r="P3022" s="100"/>
      <c r="Q3022" s="100"/>
    </row>
    <row r="3023" spans="1:17" s="110" customFormat="1" ht="17.5" customHeight="1">
      <c r="A3023" s="109" t="s">
        <v>7425</v>
      </c>
      <c r="B3023" s="109" t="s">
        <v>7426</v>
      </c>
      <c r="C3023" s="111">
        <v>2012</v>
      </c>
      <c r="D3023" s="112">
        <v>679</v>
      </c>
      <c r="E3023" s="112">
        <v>1240</v>
      </c>
      <c r="F3023" s="112">
        <v>535</v>
      </c>
      <c r="G3023" s="112">
        <v>691</v>
      </c>
      <c r="H3023" s="112">
        <v>295</v>
      </c>
      <c r="I3023" s="112">
        <v>40</v>
      </c>
      <c r="J3023" s="112">
        <v>59</v>
      </c>
      <c r="K3023" s="112">
        <v>19</v>
      </c>
      <c r="L3023" s="112">
        <v>139</v>
      </c>
      <c r="M3023" s="112">
        <v>155</v>
      </c>
      <c r="N3023" s="112">
        <v>-15</v>
      </c>
    </row>
    <row r="3024" spans="1:17" s="110" customFormat="1" ht="17.5" customHeight="1">
      <c r="A3024" s="109" t="s">
        <v>7425</v>
      </c>
      <c r="B3024" s="109" t="s">
        <v>7426</v>
      </c>
      <c r="C3024" s="113">
        <v>2013</v>
      </c>
      <c r="D3024" s="112">
        <v>698</v>
      </c>
      <c r="E3024" s="112">
        <v>1121</v>
      </c>
      <c r="F3024" s="112">
        <v>475</v>
      </c>
      <c r="G3024" s="112">
        <v>654</v>
      </c>
      <c r="H3024" s="112">
        <v>286</v>
      </c>
      <c r="I3024" s="112">
        <v>31</v>
      </c>
      <c r="J3024" s="112">
        <v>44</v>
      </c>
      <c r="K3024" s="112">
        <v>13</v>
      </c>
      <c r="L3024" s="112">
        <v>106</v>
      </c>
      <c r="M3024" s="112">
        <v>109</v>
      </c>
      <c r="N3024" s="112">
        <v>-3</v>
      </c>
    </row>
    <row r="3025" spans="1:17" s="110" customFormat="1" ht="17.5" customHeight="1">
      <c r="A3025" s="109" t="s">
        <v>7425</v>
      </c>
      <c r="B3025" s="109" t="s">
        <v>7426</v>
      </c>
      <c r="C3025" s="113">
        <v>2014</v>
      </c>
      <c r="D3025" s="99">
        <v>704</v>
      </c>
      <c r="E3025" s="99">
        <v>1184</v>
      </c>
      <c r="F3025" s="99">
        <v>468</v>
      </c>
      <c r="G3025" s="99">
        <v>722</v>
      </c>
      <c r="H3025" s="99">
        <v>256</v>
      </c>
      <c r="I3025" s="99">
        <v>12</v>
      </c>
      <c r="J3025" s="99">
        <v>37</v>
      </c>
      <c r="K3025" s="99">
        <v>25</v>
      </c>
      <c r="L3025" s="99">
        <v>142</v>
      </c>
      <c r="M3025" s="99">
        <v>135</v>
      </c>
      <c r="N3025" s="99">
        <v>7</v>
      </c>
      <c r="O3025" s="117"/>
      <c r="P3025" s="117"/>
      <c r="Q3025" s="117"/>
    </row>
    <row r="3026" spans="1:17" s="110" customFormat="1" ht="17.5" customHeight="1">
      <c r="A3026" s="109" t="s">
        <v>7425</v>
      </c>
      <c r="B3026" s="109" t="s">
        <v>7426</v>
      </c>
      <c r="C3026" s="113">
        <v>2015</v>
      </c>
      <c r="D3026" s="112">
        <v>682</v>
      </c>
      <c r="E3026" s="112">
        <v>1105</v>
      </c>
      <c r="F3026" s="112">
        <v>465</v>
      </c>
      <c r="G3026" s="112">
        <v>643</v>
      </c>
      <c r="H3026" s="112">
        <v>225</v>
      </c>
      <c r="I3026" s="112">
        <v>53</v>
      </c>
      <c r="J3026" s="112">
        <v>59</v>
      </c>
      <c r="K3026" s="112">
        <v>6</v>
      </c>
      <c r="L3026" s="112">
        <v>170</v>
      </c>
      <c r="M3026" s="112">
        <v>164</v>
      </c>
      <c r="N3026" s="112">
        <v>6</v>
      </c>
      <c r="O3026" s="117"/>
      <c r="P3026" s="117"/>
      <c r="Q3026" s="117"/>
    </row>
    <row r="3027" spans="1:17" s="110" customFormat="1" ht="17.5" customHeight="1">
      <c r="A3027" s="109" t="s">
        <v>7425</v>
      </c>
      <c r="B3027" s="109" t="s">
        <v>7426</v>
      </c>
      <c r="C3027" s="113">
        <v>2016</v>
      </c>
      <c r="D3027" s="112">
        <v>695</v>
      </c>
      <c r="E3027" s="112">
        <v>1204</v>
      </c>
      <c r="F3027" s="112">
        <v>461</v>
      </c>
      <c r="G3027" s="112">
        <v>717</v>
      </c>
      <c r="H3027" s="112">
        <v>281</v>
      </c>
      <c r="I3027" s="112">
        <v>62</v>
      </c>
      <c r="J3027" s="112">
        <v>65</v>
      </c>
      <c r="K3027" s="112">
        <v>3</v>
      </c>
      <c r="L3027" s="112">
        <v>203</v>
      </c>
      <c r="M3027" s="112">
        <v>229</v>
      </c>
      <c r="N3027" s="112">
        <v>-26</v>
      </c>
      <c r="O3027" s="117"/>
      <c r="P3027" s="117"/>
      <c r="Q3027" s="117"/>
    </row>
    <row r="3028" spans="1:17" s="110" customFormat="1" ht="17.5" customHeight="1">
      <c r="A3028" s="109" t="s">
        <v>7425</v>
      </c>
      <c r="B3028" s="109" t="s">
        <v>7426</v>
      </c>
      <c r="C3028" s="113">
        <v>2017</v>
      </c>
      <c r="D3028" s="112">
        <v>700</v>
      </c>
      <c r="E3028" s="112">
        <v>1365</v>
      </c>
      <c r="F3028" s="112">
        <v>551</v>
      </c>
      <c r="G3028" s="112">
        <v>840</v>
      </c>
      <c r="H3028" s="112">
        <v>309</v>
      </c>
      <c r="I3028" s="112">
        <v>3</v>
      </c>
      <c r="J3028" s="112">
        <v>31</v>
      </c>
      <c r="K3028" s="112">
        <v>28</v>
      </c>
      <c r="L3028" s="112">
        <v>253</v>
      </c>
      <c r="M3028" s="112">
        <v>230</v>
      </c>
      <c r="N3028" s="112">
        <v>23</v>
      </c>
      <c r="O3028" s="117"/>
      <c r="P3028" s="117"/>
      <c r="Q3028" s="117"/>
    </row>
    <row r="3029" spans="1:17" s="110" customFormat="1" ht="17.5" customHeight="1">
      <c r="A3029" s="109" t="s">
        <v>7425</v>
      </c>
      <c r="B3029" s="109" t="s">
        <v>7426</v>
      </c>
      <c r="C3029" s="113">
        <v>2018</v>
      </c>
      <c r="D3029" s="112">
        <v>704</v>
      </c>
      <c r="E3029" s="112">
        <v>1508</v>
      </c>
      <c r="F3029" s="112">
        <v>703</v>
      </c>
      <c r="G3029" s="112">
        <v>880</v>
      </c>
      <c r="H3029" s="112">
        <v>298</v>
      </c>
      <c r="I3029" s="112">
        <v>57</v>
      </c>
      <c r="J3029" s="112">
        <v>58</v>
      </c>
      <c r="K3029" s="112">
        <v>2</v>
      </c>
      <c r="L3029" s="112">
        <v>280</v>
      </c>
      <c r="M3029" s="112">
        <v>251</v>
      </c>
      <c r="N3029" s="112">
        <v>29</v>
      </c>
    </row>
    <row r="3030" spans="1:17" s="110" customFormat="1" ht="17.5" customHeight="1">
      <c r="A3030" s="109" t="s">
        <v>7425</v>
      </c>
      <c r="B3030" s="109" t="s">
        <v>7426</v>
      </c>
      <c r="C3030" s="113">
        <v>2019</v>
      </c>
      <c r="D3030" s="112">
        <v>723</v>
      </c>
      <c r="E3030" s="112">
        <v>1486.9075290000001</v>
      </c>
      <c r="F3030" s="112">
        <v>684.43607499999996</v>
      </c>
      <c r="G3030" s="112">
        <v>892.30884400000002</v>
      </c>
      <c r="H3030" s="112">
        <v>351.94757099999998</v>
      </c>
      <c r="I3030" s="112">
        <v>57.145229999999998</v>
      </c>
      <c r="J3030" s="112">
        <v>58.220120000000001</v>
      </c>
      <c r="K3030" s="112">
        <v>1.0748899999999999</v>
      </c>
      <c r="L3030" s="112">
        <v>242.00334799999999</v>
      </c>
      <c r="M3030" s="112">
        <v>209.78874999999999</v>
      </c>
      <c r="N3030" s="112">
        <v>32.214598000000002</v>
      </c>
    </row>
    <row r="3031" spans="1:17" s="110" customFormat="1" ht="17.5" customHeight="1">
      <c r="A3031" s="114" t="s">
        <v>7425</v>
      </c>
      <c r="B3031" s="114" t="s">
        <v>7426</v>
      </c>
      <c r="C3031" s="113">
        <v>2020</v>
      </c>
      <c r="D3031" s="112">
        <v>752</v>
      </c>
      <c r="E3031" s="112">
        <v>1562.501467</v>
      </c>
      <c r="F3031" s="112">
        <v>671.59074999999996</v>
      </c>
      <c r="G3031" s="112">
        <v>893.03061200000002</v>
      </c>
      <c r="H3031" s="112">
        <v>336.35807499999999</v>
      </c>
      <c r="I3031" s="112">
        <v>46.220421999999999</v>
      </c>
      <c r="J3031" s="112">
        <v>50.035409000000001</v>
      </c>
      <c r="K3031" s="112">
        <v>3.8149860000000002</v>
      </c>
      <c r="L3031" s="112">
        <v>265.70973500000002</v>
      </c>
      <c r="M3031" s="112">
        <v>265.56070199999999</v>
      </c>
      <c r="N3031" s="112" t="s">
        <v>6952</v>
      </c>
      <c r="O3031" s="100"/>
      <c r="P3031" s="100"/>
      <c r="Q3031" s="100"/>
    </row>
    <row r="3032" spans="1:17" s="110" customFormat="1" ht="31.75" customHeight="1">
      <c r="A3032" s="109" t="s">
        <v>7427</v>
      </c>
      <c r="B3032" s="109" t="s">
        <v>7428</v>
      </c>
      <c r="C3032" s="98">
        <v>2008</v>
      </c>
      <c r="D3032" s="99">
        <v>10089</v>
      </c>
      <c r="E3032" s="99">
        <v>36932</v>
      </c>
      <c r="F3032" s="99">
        <v>13120</v>
      </c>
      <c r="G3032" s="99">
        <v>24043</v>
      </c>
      <c r="H3032" s="99">
        <v>7215</v>
      </c>
      <c r="I3032" s="99">
        <v>495</v>
      </c>
      <c r="J3032" s="99">
        <v>861</v>
      </c>
      <c r="K3032" s="99">
        <v>367</v>
      </c>
      <c r="L3032" s="99">
        <v>4270</v>
      </c>
      <c r="M3032" s="99">
        <v>4031</v>
      </c>
      <c r="N3032" s="99">
        <v>239</v>
      </c>
    </row>
    <row r="3033" spans="1:17" s="110" customFormat="1" ht="31.75" customHeight="1">
      <c r="A3033" s="109" t="s">
        <v>7427</v>
      </c>
      <c r="B3033" s="109" t="s">
        <v>7428</v>
      </c>
      <c r="C3033" s="98">
        <v>2009</v>
      </c>
      <c r="D3033" s="99">
        <v>9203</v>
      </c>
      <c r="E3033" s="99">
        <v>31105</v>
      </c>
      <c r="F3033" s="99">
        <v>11044</v>
      </c>
      <c r="G3033" s="99">
        <v>19330</v>
      </c>
      <c r="H3033" s="99">
        <v>6767</v>
      </c>
      <c r="I3033" s="99">
        <v>528</v>
      </c>
      <c r="J3033" s="99">
        <v>716</v>
      </c>
      <c r="K3033" s="99">
        <v>188</v>
      </c>
      <c r="L3033" s="99">
        <v>3878</v>
      </c>
      <c r="M3033" s="99">
        <v>4632</v>
      </c>
      <c r="N3033" s="99">
        <v>-754</v>
      </c>
      <c r="O3033" s="100"/>
      <c r="P3033" s="100"/>
      <c r="Q3033" s="100"/>
    </row>
    <row r="3034" spans="1:17" s="110" customFormat="1" ht="31.75" customHeight="1">
      <c r="A3034" s="109" t="s">
        <v>7427</v>
      </c>
      <c r="B3034" s="109" t="s">
        <v>7428</v>
      </c>
      <c r="C3034" s="98">
        <v>2010</v>
      </c>
      <c r="D3034" s="99">
        <v>8644</v>
      </c>
      <c r="E3034" s="99">
        <v>33389</v>
      </c>
      <c r="F3034" s="99">
        <v>12249</v>
      </c>
      <c r="G3034" s="99">
        <v>21386</v>
      </c>
      <c r="H3034" s="99">
        <v>6870</v>
      </c>
      <c r="I3034" s="99">
        <v>537</v>
      </c>
      <c r="J3034" s="99">
        <v>752</v>
      </c>
      <c r="K3034" s="99">
        <v>215</v>
      </c>
      <c r="L3034" s="99">
        <v>3875</v>
      </c>
      <c r="M3034" s="99">
        <v>3620</v>
      </c>
      <c r="N3034" s="99">
        <v>255</v>
      </c>
      <c r="O3034" s="100"/>
      <c r="P3034" s="100"/>
      <c r="Q3034" s="100"/>
    </row>
    <row r="3035" spans="1:17" s="110" customFormat="1" ht="31.75" customHeight="1">
      <c r="A3035" s="109" t="s">
        <v>7427</v>
      </c>
      <c r="B3035" s="109" t="s">
        <v>7428</v>
      </c>
      <c r="C3035" s="98">
        <v>2011</v>
      </c>
      <c r="D3035" s="99">
        <v>8251</v>
      </c>
      <c r="E3035" s="99">
        <v>37833</v>
      </c>
      <c r="F3035" s="99">
        <v>13423</v>
      </c>
      <c r="G3035" s="99">
        <v>24879</v>
      </c>
      <c r="H3035" s="99">
        <v>7016</v>
      </c>
      <c r="I3035" s="99">
        <v>471</v>
      </c>
      <c r="J3035" s="99">
        <v>847</v>
      </c>
      <c r="K3035" s="99">
        <v>376</v>
      </c>
      <c r="L3035" s="99">
        <v>4409</v>
      </c>
      <c r="M3035" s="99">
        <v>3927</v>
      </c>
      <c r="N3035" s="99">
        <v>482</v>
      </c>
    </row>
    <row r="3036" spans="1:17" s="110" customFormat="1" ht="31.75" customHeight="1">
      <c r="A3036" s="109" t="s">
        <v>7427</v>
      </c>
      <c r="B3036" s="109" t="s">
        <v>7428</v>
      </c>
      <c r="C3036" s="111">
        <v>2012</v>
      </c>
      <c r="D3036" s="112">
        <v>7948</v>
      </c>
      <c r="E3036" s="112">
        <v>37173</v>
      </c>
      <c r="F3036" s="112">
        <v>14455</v>
      </c>
      <c r="G3036" s="112">
        <v>22696</v>
      </c>
      <c r="H3036" s="112">
        <v>6674</v>
      </c>
      <c r="I3036" s="112">
        <v>853</v>
      </c>
      <c r="J3036" s="112">
        <v>962</v>
      </c>
      <c r="K3036" s="112">
        <v>109</v>
      </c>
      <c r="L3036" s="112">
        <v>4054</v>
      </c>
      <c r="M3036" s="112">
        <v>4082</v>
      </c>
      <c r="N3036" s="112">
        <v>-28</v>
      </c>
    </row>
    <row r="3037" spans="1:17" s="110" customFormat="1" ht="31.75" customHeight="1">
      <c r="A3037" s="109" t="s">
        <v>7427</v>
      </c>
      <c r="B3037" s="109" t="s">
        <v>7428</v>
      </c>
      <c r="C3037" s="113">
        <v>2013</v>
      </c>
      <c r="D3037" s="112">
        <v>7932</v>
      </c>
      <c r="E3037" s="112">
        <v>34755</v>
      </c>
      <c r="F3037" s="112">
        <v>13026</v>
      </c>
      <c r="G3037" s="112">
        <v>21992</v>
      </c>
      <c r="H3037" s="112">
        <v>7210</v>
      </c>
      <c r="I3037" s="112">
        <v>633</v>
      </c>
      <c r="J3037" s="112">
        <v>788</v>
      </c>
      <c r="K3037" s="112">
        <v>155</v>
      </c>
      <c r="L3037" s="112">
        <v>4494</v>
      </c>
      <c r="M3037" s="112">
        <v>4199</v>
      </c>
      <c r="N3037" s="112">
        <v>295</v>
      </c>
      <c r="O3037" s="117"/>
      <c r="P3037" s="117"/>
      <c r="Q3037" s="117"/>
    </row>
    <row r="3038" spans="1:17" s="110" customFormat="1" ht="31.75" customHeight="1">
      <c r="A3038" s="109" t="s">
        <v>7427</v>
      </c>
      <c r="B3038" s="109" t="s">
        <v>7428</v>
      </c>
      <c r="C3038" s="113">
        <v>2014</v>
      </c>
      <c r="D3038" s="99">
        <v>7914</v>
      </c>
      <c r="E3038" s="99">
        <v>36543</v>
      </c>
      <c r="F3038" s="99">
        <v>12162</v>
      </c>
      <c r="G3038" s="99">
        <v>24644</v>
      </c>
      <c r="H3038" s="99">
        <v>6989</v>
      </c>
      <c r="I3038" s="99">
        <v>878</v>
      </c>
      <c r="J3038" s="99">
        <v>1031</v>
      </c>
      <c r="K3038" s="99">
        <v>152</v>
      </c>
      <c r="L3038" s="99">
        <v>4591</v>
      </c>
      <c r="M3038" s="99">
        <v>4366</v>
      </c>
      <c r="N3038" s="99">
        <v>225</v>
      </c>
      <c r="O3038" s="117"/>
      <c r="P3038" s="117"/>
      <c r="Q3038" s="117"/>
    </row>
    <row r="3039" spans="1:17" s="110" customFormat="1" ht="31.75" customHeight="1">
      <c r="A3039" s="109" t="s">
        <v>7427</v>
      </c>
      <c r="B3039" s="109" t="s">
        <v>7428</v>
      </c>
      <c r="C3039" s="113">
        <v>2015</v>
      </c>
      <c r="D3039" s="112">
        <v>7815</v>
      </c>
      <c r="E3039" s="112">
        <v>34930</v>
      </c>
      <c r="F3039" s="112">
        <v>11236</v>
      </c>
      <c r="G3039" s="112">
        <v>23637</v>
      </c>
      <c r="H3039" s="112">
        <v>7120</v>
      </c>
      <c r="I3039" s="112">
        <v>866</v>
      </c>
      <c r="J3039" s="112">
        <v>944</v>
      </c>
      <c r="K3039" s="112">
        <v>78</v>
      </c>
      <c r="L3039" s="112">
        <v>4578</v>
      </c>
      <c r="M3039" s="112">
        <v>4665</v>
      </c>
      <c r="N3039" s="112">
        <v>-87</v>
      </c>
      <c r="O3039" s="117"/>
      <c r="P3039" s="117"/>
      <c r="Q3039" s="117"/>
    </row>
    <row r="3040" spans="1:17" s="110" customFormat="1" ht="31.75" customHeight="1">
      <c r="A3040" s="109" t="s">
        <v>7427</v>
      </c>
      <c r="B3040" s="109" t="s">
        <v>7428</v>
      </c>
      <c r="C3040" s="113">
        <v>2016</v>
      </c>
      <c r="D3040" s="112">
        <v>7821</v>
      </c>
      <c r="E3040" s="112">
        <v>34292</v>
      </c>
      <c r="F3040" s="112">
        <v>10800</v>
      </c>
      <c r="G3040" s="112">
        <v>23778</v>
      </c>
      <c r="H3040" s="112">
        <v>7226</v>
      </c>
      <c r="I3040" s="112">
        <v>805</v>
      </c>
      <c r="J3040" s="112">
        <v>928</v>
      </c>
      <c r="K3040" s="112">
        <v>122</v>
      </c>
      <c r="L3040" s="112">
        <v>4386</v>
      </c>
      <c r="M3040" s="112">
        <v>4146</v>
      </c>
      <c r="N3040" s="112">
        <v>241</v>
      </c>
      <c r="O3040" s="117"/>
      <c r="P3040" s="117"/>
      <c r="Q3040" s="117"/>
    </row>
    <row r="3041" spans="1:17" s="110" customFormat="1" ht="31.75" customHeight="1">
      <c r="A3041" s="109" t="s">
        <v>7427</v>
      </c>
      <c r="B3041" s="109" t="s">
        <v>7428</v>
      </c>
      <c r="C3041" s="113">
        <v>2017</v>
      </c>
      <c r="D3041" s="112">
        <v>7709</v>
      </c>
      <c r="E3041" s="112">
        <v>36186</v>
      </c>
      <c r="F3041" s="112">
        <v>11554</v>
      </c>
      <c r="G3041" s="112">
        <v>25124</v>
      </c>
      <c r="H3041" s="112">
        <v>6979</v>
      </c>
      <c r="I3041" s="112">
        <v>768</v>
      </c>
      <c r="J3041" s="112">
        <v>893</v>
      </c>
      <c r="K3041" s="112">
        <v>124</v>
      </c>
      <c r="L3041" s="112">
        <v>4694</v>
      </c>
      <c r="M3041" s="112">
        <v>4254</v>
      </c>
      <c r="N3041" s="112">
        <v>439</v>
      </c>
    </row>
    <row r="3042" spans="1:17" s="110" customFormat="1" ht="31.75" customHeight="1">
      <c r="A3042" s="109" t="s">
        <v>7427</v>
      </c>
      <c r="B3042" s="109" t="s">
        <v>7428</v>
      </c>
      <c r="C3042" s="113">
        <v>2018</v>
      </c>
      <c r="D3042" s="112">
        <v>7639</v>
      </c>
      <c r="E3042" s="112">
        <v>39424</v>
      </c>
      <c r="F3042" s="112">
        <v>12901</v>
      </c>
      <c r="G3042" s="112">
        <v>27129</v>
      </c>
      <c r="H3042" s="112">
        <v>7387</v>
      </c>
      <c r="I3042" s="112">
        <v>932</v>
      </c>
      <c r="J3042" s="112">
        <v>1031</v>
      </c>
      <c r="K3042" s="112">
        <v>99</v>
      </c>
      <c r="L3042" s="112">
        <v>5132</v>
      </c>
      <c r="M3042" s="112">
        <v>4546</v>
      </c>
      <c r="N3042" s="112">
        <v>586</v>
      </c>
    </row>
    <row r="3043" spans="1:17" s="110" customFormat="1" ht="31.75" customHeight="1">
      <c r="A3043" s="109" t="s">
        <v>7427</v>
      </c>
      <c r="B3043" s="109" t="s">
        <v>7428</v>
      </c>
      <c r="C3043" s="113">
        <v>2019</v>
      </c>
      <c r="D3043" s="112">
        <v>7578</v>
      </c>
      <c r="E3043" s="112">
        <v>38624.837070000001</v>
      </c>
      <c r="F3043" s="112">
        <v>12748.002146999999</v>
      </c>
      <c r="G3043" s="112">
        <v>26089.631034000002</v>
      </c>
      <c r="H3043" s="112">
        <v>7309.941167</v>
      </c>
      <c r="I3043" s="112">
        <v>963.26987699999995</v>
      </c>
      <c r="J3043" s="112">
        <v>1121.4125670000001</v>
      </c>
      <c r="K3043" s="112">
        <v>158.14268999999999</v>
      </c>
      <c r="L3043" s="112">
        <v>5389.8888729999999</v>
      </c>
      <c r="M3043" s="112">
        <v>5167.7009500000004</v>
      </c>
      <c r="N3043" s="112">
        <v>222.18792300000001</v>
      </c>
      <c r="O3043" s="100"/>
      <c r="P3043" s="100"/>
      <c r="Q3043" s="100"/>
    </row>
    <row r="3044" spans="1:17" s="110" customFormat="1" ht="31.75" customHeight="1">
      <c r="A3044" s="114" t="s">
        <v>7427</v>
      </c>
      <c r="B3044" s="109" t="s">
        <v>7428</v>
      </c>
      <c r="C3044" s="113">
        <v>2020</v>
      </c>
      <c r="D3044" s="112">
        <v>7540</v>
      </c>
      <c r="E3044" s="112">
        <v>32252.920882999999</v>
      </c>
      <c r="F3044" s="112">
        <v>10425.377273</v>
      </c>
      <c r="G3044" s="112">
        <v>21614.678886000002</v>
      </c>
      <c r="H3044" s="112">
        <v>6711.2184260000004</v>
      </c>
      <c r="I3044" s="112">
        <v>719.80906000000004</v>
      </c>
      <c r="J3044" s="112">
        <v>916.57026900000005</v>
      </c>
      <c r="K3044" s="112">
        <v>196.76120800000001</v>
      </c>
      <c r="L3044" s="112">
        <v>5157.1277330000003</v>
      </c>
      <c r="M3044" s="112">
        <v>5453.4486639999996</v>
      </c>
      <c r="N3044" s="112">
        <v>-296.32093099999997</v>
      </c>
    </row>
    <row r="3045" spans="1:17" s="110" customFormat="1" ht="17.5" customHeight="1">
      <c r="A3045" s="109" t="s">
        <v>7429</v>
      </c>
      <c r="B3045" s="109" t="s">
        <v>7430</v>
      </c>
      <c r="C3045" s="98">
        <v>2008</v>
      </c>
      <c r="D3045" s="99">
        <v>1286</v>
      </c>
      <c r="E3045" s="99">
        <v>13516</v>
      </c>
      <c r="F3045" s="99">
        <v>4638</v>
      </c>
      <c r="G3045" s="99">
        <v>9076</v>
      </c>
      <c r="H3045" s="99">
        <v>2596</v>
      </c>
      <c r="I3045" s="99">
        <v>183</v>
      </c>
      <c r="J3045" s="99">
        <v>329</v>
      </c>
      <c r="K3045" s="99">
        <v>147</v>
      </c>
      <c r="L3045" s="99">
        <v>1651</v>
      </c>
      <c r="M3045" s="99">
        <v>1440</v>
      </c>
      <c r="N3045" s="99">
        <v>211</v>
      </c>
      <c r="O3045" s="100"/>
      <c r="P3045" s="100"/>
      <c r="Q3045" s="100"/>
    </row>
    <row r="3046" spans="1:17" s="110" customFormat="1" ht="17.5" customHeight="1">
      <c r="A3046" s="109" t="s">
        <v>7429</v>
      </c>
      <c r="B3046" s="109" t="s">
        <v>7430</v>
      </c>
      <c r="C3046" s="98">
        <v>2009</v>
      </c>
      <c r="D3046" s="99">
        <v>1241</v>
      </c>
      <c r="E3046" s="99">
        <v>13372</v>
      </c>
      <c r="F3046" s="99">
        <v>4912</v>
      </c>
      <c r="G3046" s="99">
        <v>8214</v>
      </c>
      <c r="H3046" s="99">
        <v>2832</v>
      </c>
      <c r="I3046" s="99">
        <v>301</v>
      </c>
      <c r="J3046" s="99">
        <v>343</v>
      </c>
      <c r="K3046" s="99">
        <v>41</v>
      </c>
      <c r="L3046" s="99">
        <v>1530</v>
      </c>
      <c r="M3046" s="99">
        <v>1766</v>
      </c>
      <c r="N3046" s="99">
        <v>-236</v>
      </c>
      <c r="O3046" s="100"/>
      <c r="P3046" s="100"/>
      <c r="Q3046" s="100"/>
    </row>
    <row r="3047" spans="1:17" s="110" customFormat="1" ht="17.5" customHeight="1">
      <c r="A3047" s="109" t="s">
        <v>7429</v>
      </c>
      <c r="B3047" s="109" t="s">
        <v>7430</v>
      </c>
      <c r="C3047" s="98">
        <v>2010</v>
      </c>
      <c r="D3047" s="99">
        <v>1152</v>
      </c>
      <c r="E3047" s="99">
        <v>14881</v>
      </c>
      <c r="F3047" s="99">
        <v>5612</v>
      </c>
      <c r="G3047" s="99">
        <v>9321</v>
      </c>
      <c r="H3047" s="99">
        <v>2920</v>
      </c>
      <c r="I3047" s="99">
        <v>249</v>
      </c>
      <c r="J3047" s="99">
        <v>386</v>
      </c>
      <c r="K3047" s="99">
        <v>137</v>
      </c>
      <c r="L3047" s="99">
        <v>1557</v>
      </c>
      <c r="M3047" s="99">
        <v>1493</v>
      </c>
      <c r="N3047" s="99">
        <v>64</v>
      </c>
    </row>
    <row r="3048" spans="1:17" s="110" customFormat="1" ht="17.5" customHeight="1">
      <c r="A3048" s="109" t="s">
        <v>7429</v>
      </c>
      <c r="B3048" s="109" t="s">
        <v>7430</v>
      </c>
      <c r="C3048" s="98">
        <v>2011</v>
      </c>
      <c r="D3048" s="99">
        <v>1105</v>
      </c>
      <c r="E3048" s="99">
        <v>16210</v>
      </c>
      <c r="F3048" s="99">
        <v>5985</v>
      </c>
      <c r="G3048" s="99">
        <v>10271</v>
      </c>
      <c r="H3048" s="99">
        <v>2950</v>
      </c>
      <c r="I3048" s="99">
        <v>207</v>
      </c>
      <c r="J3048" s="99">
        <v>437</v>
      </c>
      <c r="K3048" s="99">
        <v>230</v>
      </c>
      <c r="L3048" s="99">
        <v>1639</v>
      </c>
      <c r="M3048" s="99">
        <v>1574</v>
      </c>
      <c r="N3048" s="99">
        <v>65</v>
      </c>
    </row>
    <row r="3049" spans="1:17" s="110" customFormat="1" ht="17.5" customHeight="1">
      <c r="A3049" s="109" t="s">
        <v>7429</v>
      </c>
      <c r="B3049" s="109" t="s">
        <v>7430</v>
      </c>
      <c r="C3049" s="111">
        <v>2012</v>
      </c>
      <c r="D3049" s="112">
        <v>1056</v>
      </c>
      <c r="E3049" s="112">
        <v>15354</v>
      </c>
      <c r="F3049" s="112">
        <v>7689</v>
      </c>
      <c r="G3049" s="112">
        <v>7689</v>
      </c>
      <c r="H3049" s="112">
        <v>2717</v>
      </c>
      <c r="I3049" s="112">
        <v>520</v>
      </c>
      <c r="J3049" s="112">
        <v>557</v>
      </c>
      <c r="K3049" s="112">
        <v>37</v>
      </c>
      <c r="L3049" s="112">
        <v>1388</v>
      </c>
      <c r="M3049" s="112">
        <v>1366</v>
      </c>
      <c r="N3049" s="112">
        <v>22</v>
      </c>
      <c r="O3049" s="117"/>
      <c r="P3049" s="117"/>
      <c r="Q3049" s="117"/>
    </row>
    <row r="3050" spans="1:17" s="110" customFormat="1" ht="17.5" customHeight="1">
      <c r="A3050" s="109" t="s">
        <v>7429</v>
      </c>
      <c r="B3050" s="109" t="s">
        <v>7430</v>
      </c>
      <c r="C3050" s="113">
        <v>2013</v>
      </c>
      <c r="D3050" s="112">
        <v>1095</v>
      </c>
      <c r="E3050" s="112">
        <v>13498</v>
      </c>
      <c r="F3050" s="112">
        <v>5911</v>
      </c>
      <c r="G3050" s="112">
        <v>7789</v>
      </c>
      <c r="H3050" s="112">
        <v>3186</v>
      </c>
      <c r="I3050" s="112">
        <v>249</v>
      </c>
      <c r="J3050" s="112">
        <v>346</v>
      </c>
      <c r="K3050" s="112">
        <v>97</v>
      </c>
      <c r="L3050" s="112">
        <v>1832</v>
      </c>
      <c r="M3050" s="112">
        <v>1610</v>
      </c>
      <c r="N3050" s="112">
        <v>222</v>
      </c>
      <c r="O3050" s="117"/>
      <c r="P3050" s="117"/>
      <c r="Q3050" s="117"/>
    </row>
    <row r="3051" spans="1:17" s="110" customFormat="1" ht="17.5" customHeight="1">
      <c r="A3051" s="109" t="s">
        <v>7429</v>
      </c>
      <c r="B3051" s="109" t="s">
        <v>7430</v>
      </c>
      <c r="C3051" s="113">
        <v>2014</v>
      </c>
      <c r="D3051" s="99">
        <v>1140</v>
      </c>
      <c r="E3051" s="99">
        <v>13977</v>
      </c>
      <c r="F3051" s="99">
        <v>4438</v>
      </c>
      <c r="G3051" s="99">
        <v>9680</v>
      </c>
      <c r="H3051" s="99">
        <v>2631</v>
      </c>
      <c r="I3051" s="99">
        <v>321</v>
      </c>
      <c r="J3051" s="99">
        <v>348</v>
      </c>
      <c r="K3051" s="99">
        <v>27</v>
      </c>
      <c r="L3051" s="99">
        <v>1758</v>
      </c>
      <c r="M3051" s="99">
        <v>1640</v>
      </c>
      <c r="N3051" s="99">
        <v>118</v>
      </c>
      <c r="O3051" s="117"/>
      <c r="P3051" s="117"/>
      <c r="Q3051" s="117"/>
    </row>
    <row r="3052" spans="1:17" s="110" customFormat="1" ht="17.5" customHeight="1">
      <c r="A3052" s="109" t="s">
        <v>7429</v>
      </c>
      <c r="B3052" s="109" t="s">
        <v>7430</v>
      </c>
      <c r="C3052" s="113">
        <v>2015</v>
      </c>
      <c r="D3052" s="112">
        <v>1091</v>
      </c>
      <c r="E3052" s="112">
        <v>13207</v>
      </c>
      <c r="F3052" s="112">
        <v>3946</v>
      </c>
      <c r="G3052" s="112">
        <v>9201</v>
      </c>
      <c r="H3052" s="112">
        <v>2744</v>
      </c>
      <c r="I3052" s="112">
        <v>331</v>
      </c>
      <c r="J3052" s="112">
        <v>366</v>
      </c>
      <c r="K3052" s="112">
        <v>34</v>
      </c>
      <c r="L3052" s="112">
        <v>1857</v>
      </c>
      <c r="M3052" s="112">
        <v>1926</v>
      </c>
      <c r="N3052" s="112">
        <v>-69</v>
      </c>
      <c r="O3052" s="117"/>
      <c r="P3052" s="117"/>
      <c r="Q3052" s="117"/>
    </row>
    <row r="3053" spans="1:17" s="110" customFormat="1" ht="17.5" customHeight="1">
      <c r="A3053" s="109" t="s">
        <v>7429</v>
      </c>
      <c r="B3053" s="109" t="s">
        <v>7430</v>
      </c>
      <c r="C3053" s="113">
        <v>2016</v>
      </c>
      <c r="D3053" s="112">
        <v>1113</v>
      </c>
      <c r="E3053" s="112">
        <v>12940</v>
      </c>
      <c r="F3053" s="112">
        <v>3204</v>
      </c>
      <c r="G3053" s="112">
        <v>9816</v>
      </c>
      <c r="H3053" s="112">
        <v>2628</v>
      </c>
      <c r="I3053" s="112">
        <v>256</v>
      </c>
      <c r="J3053" s="112">
        <v>289</v>
      </c>
      <c r="K3053" s="112">
        <v>33</v>
      </c>
      <c r="L3053" s="112">
        <v>1493</v>
      </c>
      <c r="M3053" s="112">
        <v>1414</v>
      </c>
      <c r="N3053" s="112">
        <v>78</v>
      </c>
    </row>
    <row r="3054" spans="1:17" s="110" customFormat="1" ht="17.5" customHeight="1">
      <c r="A3054" s="109" t="s">
        <v>7429</v>
      </c>
      <c r="B3054" s="109" t="s">
        <v>7430</v>
      </c>
      <c r="C3054" s="113">
        <v>2017</v>
      </c>
      <c r="D3054" s="112">
        <v>1084</v>
      </c>
      <c r="E3054" s="112">
        <v>12711</v>
      </c>
      <c r="F3054" s="112">
        <v>3813</v>
      </c>
      <c r="G3054" s="112">
        <v>9033</v>
      </c>
      <c r="H3054" s="112">
        <v>2521</v>
      </c>
      <c r="I3054" s="112">
        <v>276</v>
      </c>
      <c r="J3054" s="112">
        <v>310</v>
      </c>
      <c r="K3054" s="112">
        <v>35</v>
      </c>
      <c r="L3054" s="112">
        <v>1561</v>
      </c>
      <c r="M3054" s="112">
        <v>1426</v>
      </c>
      <c r="N3054" s="112">
        <v>135</v>
      </c>
    </row>
    <row r="3055" spans="1:17" s="110" customFormat="1" ht="17.5" customHeight="1">
      <c r="A3055" s="109" t="s">
        <v>7429</v>
      </c>
      <c r="B3055" s="109" t="s">
        <v>7430</v>
      </c>
      <c r="C3055" s="113">
        <v>2018</v>
      </c>
      <c r="D3055" s="112">
        <v>1105</v>
      </c>
      <c r="E3055" s="112">
        <v>14054</v>
      </c>
      <c r="F3055" s="112">
        <v>4191</v>
      </c>
      <c r="G3055" s="112">
        <v>9993</v>
      </c>
      <c r="H3055" s="112">
        <v>2620</v>
      </c>
      <c r="I3055" s="112">
        <v>332</v>
      </c>
      <c r="J3055" s="112">
        <v>345</v>
      </c>
      <c r="K3055" s="112">
        <v>13</v>
      </c>
      <c r="L3055" s="112">
        <v>1636</v>
      </c>
      <c r="M3055" s="112">
        <v>1510</v>
      </c>
      <c r="N3055" s="112">
        <v>125</v>
      </c>
      <c r="O3055" s="100"/>
      <c r="P3055" s="100"/>
      <c r="Q3055" s="100"/>
    </row>
    <row r="3056" spans="1:17" s="110" customFormat="1" ht="17.5" customHeight="1">
      <c r="A3056" s="109" t="s">
        <v>7429</v>
      </c>
      <c r="B3056" s="109" t="s">
        <v>7430</v>
      </c>
      <c r="C3056" s="113">
        <v>2019</v>
      </c>
      <c r="D3056" s="112">
        <v>1111</v>
      </c>
      <c r="E3056" s="112">
        <v>12852.513728</v>
      </c>
      <c r="F3056" s="112">
        <v>3999.0571249999998</v>
      </c>
      <c r="G3056" s="112">
        <v>8984.790884</v>
      </c>
      <c r="H3056" s="112">
        <v>2535.5915669999999</v>
      </c>
      <c r="I3056" s="112">
        <v>299.86602900000003</v>
      </c>
      <c r="J3056" s="112">
        <v>326.18095399999999</v>
      </c>
      <c r="K3056" s="112">
        <v>26.314924999999999</v>
      </c>
      <c r="L3056" s="112">
        <v>1756.4963949999999</v>
      </c>
      <c r="M3056" s="112">
        <v>1639.1531090000001</v>
      </c>
      <c r="N3056" s="112">
        <v>117.34328600000001</v>
      </c>
    </row>
    <row r="3057" spans="1:17" s="110" customFormat="1" ht="17.5" customHeight="1">
      <c r="A3057" s="114" t="s">
        <v>7429</v>
      </c>
      <c r="B3057" s="114" t="s">
        <v>7430</v>
      </c>
      <c r="C3057" s="113">
        <v>2020</v>
      </c>
      <c r="D3057" s="112">
        <v>1118</v>
      </c>
      <c r="E3057" s="112">
        <v>10350.261307000001</v>
      </c>
      <c r="F3057" s="112">
        <v>3330.813744</v>
      </c>
      <c r="G3057" s="112">
        <v>6981.1885130000001</v>
      </c>
      <c r="H3057" s="112">
        <v>2231.3760139999999</v>
      </c>
      <c r="I3057" s="112">
        <v>215.89181300000001</v>
      </c>
      <c r="J3057" s="112">
        <v>316.76421199999999</v>
      </c>
      <c r="K3057" s="112">
        <v>100.872399</v>
      </c>
      <c r="L3057" s="112">
        <v>1581.544897</v>
      </c>
      <c r="M3057" s="112">
        <v>1666.269734</v>
      </c>
      <c r="N3057" s="112">
        <v>-84.724836999999994</v>
      </c>
      <c r="O3057" s="100"/>
      <c r="P3057" s="100"/>
      <c r="Q3057" s="100"/>
    </row>
    <row r="3058" spans="1:17" s="110" customFormat="1" ht="31.75" customHeight="1">
      <c r="A3058" s="109" t="s">
        <v>7431</v>
      </c>
      <c r="B3058" s="109" t="s">
        <v>7432</v>
      </c>
      <c r="C3058" s="98">
        <v>2008</v>
      </c>
      <c r="D3058" s="99">
        <v>221</v>
      </c>
      <c r="E3058" s="99">
        <v>7268</v>
      </c>
      <c r="F3058" s="99">
        <v>2414</v>
      </c>
      <c r="G3058" s="99">
        <v>4990</v>
      </c>
      <c r="H3058" s="99">
        <v>1128</v>
      </c>
      <c r="I3058" s="99">
        <v>57</v>
      </c>
      <c r="J3058" s="99">
        <v>143</v>
      </c>
      <c r="K3058" s="99">
        <v>86</v>
      </c>
      <c r="L3058" s="99">
        <v>781</v>
      </c>
      <c r="M3058" s="99">
        <v>641</v>
      </c>
      <c r="N3058" s="99">
        <v>140</v>
      </c>
      <c r="O3058" s="100"/>
      <c r="P3058" s="100"/>
      <c r="Q3058" s="100"/>
    </row>
    <row r="3059" spans="1:17" s="110" customFormat="1" ht="31.75" customHeight="1">
      <c r="A3059" s="109" t="s">
        <v>7431</v>
      </c>
      <c r="B3059" s="109" t="s">
        <v>7432</v>
      </c>
      <c r="C3059" s="98">
        <v>2009</v>
      </c>
      <c r="D3059" s="99">
        <v>233</v>
      </c>
      <c r="E3059" s="99">
        <v>8072</v>
      </c>
      <c r="F3059" s="99">
        <v>2821</v>
      </c>
      <c r="G3059" s="99">
        <v>5108</v>
      </c>
      <c r="H3059" s="99">
        <v>1473</v>
      </c>
      <c r="I3059" s="99">
        <v>210</v>
      </c>
      <c r="J3059" s="99">
        <v>230</v>
      </c>
      <c r="K3059" s="99">
        <v>20</v>
      </c>
      <c r="L3059" s="99">
        <v>776</v>
      </c>
      <c r="M3059" s="99">
        <v>914</v>
      </c>
      <c r="N3059" s="99">
        <v>-138</v>
      </c>
    </row>
    <row r="3060" spans="1:17" s="110" customFormat="1" ht="31.75" customHeight="1">
      <c r="A3060" s="109" t="s">
        <v>7431</v>
      </c>
      <c r="B3060" s="109" t="s">
        <v>7432</v>
      </c>
      <c r="C3060" s="98">
        <v>2010</v>
      </c>
      <c r="D3060" s="99">
        <v>205</v>
      </c>
      <c r="E3060" s="99">
        <v>8766</v>
      </c>
      <c r="F3060" s="99">
        <v>3152</v>
      </c>
      <c r="G3060" s="99">
        <v>5627</v>
      </c>
      <c r="H3060" s="99">
        <v>1567</v>
      </c>
      <c r="I3060" s="99">
        <v>147</v>
      </c>
      <c r="J3060" s="99">
        <v>208</v>
      </c>
      <c r="K3060" s="99">
        <v>61</v>
      </c>
      <c r="L3060" s="99">
        <v>803</v>
      </c>
      <c r="M3060" s="99">
        <v>788</v>
      </c>
      <c r="N3060" s="99">
        <v>15</v>
      </c>
    </row>
    <row r="3061" spans="1:17" s="110" customFormat="1" ht="31.75" customHeight="1">
      <c r="A3061" s="109" t="s">
        <v>7431</v>
      </c>
      <c r="B3061" s="109" t="s">
        <v>7432</v>
      </c>
      <c r="C3061" s="98">
        <v>2011</v>
      </c>
      <c r="D3061" s="99">
        <v>199</v>
      </c>
      <c r="E3061" s="99">
        <v>9523</v>
      </c>
      <c r="F3061" s="99">
        <v>3489</v>
      </c>
      <c r="G3061" s="99">
        <v>5993</v>
      </c>
      <c r="H3061" s="99">
        <v>1529</v>
      </c>
      <c r="I3061" s="99" t="s">
        <v>6953</v>
      </c>
      <c r="J3061" s="99">
        <v>222</v>
      </c>
      <c r="K3061" s="99" t="s">
        <v>6953</v>
      </c>
      <c r="L3061" s="99">
        <v>774</v>
      </c>
      <c r="M3061" s="99">
        <v>805</v>
      </c>
      <c r="N3061" s="99">
        <v>-31</v>
      </c>
      <c r="O3061" s="117"/>
      <c r="P3061" s="117"/>
      <c r="Q3061" s="117"/>
    </row>
    <row r="3062" spans="1:17" s="110" customFormat="1" ht="31.75" customHeight="1">
      <c r="A3062" s="109" t="s">
        <v>7431</v>
      </c>
      <c r="B3062" s="109" t="s">
        <v>7432</v>
      </c>
      <c r="C3062" s="111">
        <v>2012</v>
      </c>
      <c r="D3062" s="112">
        <v>193</v>
      </c>
      <c r="E3062" s="112">
        <v>8626</v>
      </c>
      <c r="F3062" s="112">
        <v>5146</v>
      </c>
      <c r="G3062" s="112">
        <v>3440</v>
      </c>
      <c r="H3062" s="112">
        <v>1146</v>
      </c>
      <c r="I3062" s="112">
        <v>256</v>
      </c>
      <c r="J3062" s="112">
        <v>271</v>
      </c>
      <c r="K3062" s="112">
        <v>16</v>
      </c>
      <c r="L3062" s="112">
        <v>486</v>
      </c>
      <c r="M3062" s="112">
        <v>532</v>
      </c>
      <c r="N3062" s="112">
        <v>-46</v>
      </c>
      <c r="O3062" s="117"/>
      <c r="P3062" s="117"/>
      <c r="Q3062" s="117"/>
    </row>
    <row r="3063" spans="1:17" s="110" customFormat="1" ht="31.75" customHeight="1">
      <c r="A3063" s="109" t="s">
        <v>7431</v>
      </c>
      <c r="B3063" s="109" t="s">
        <v>7432</v>
      </c>
      <c r="C3063" s="113">
        <v>2013</v>
      </c>
      <c r="D3063" s="112">
        <v>229</v>
      </c>
      <c r="E3063" s="112">
        <v>6684</v>
      </c>
      <c r="F3063" s="112">
        <v>3385</v>
      </c>
      <c r="G3063" s="112">
        <v>3490</v>
      </c>
      <c r="H3063" s="112">
        <v>1650</v>
      </c>
      <c r="I3063" s="112">
        <v>36</v>
      </c>
      <c r="J3063" s="112">
        <v>118</v>
      </c>
      <c r="K3063" s="112">
        <v>82</v>
      </c>
      <c r="L3063" s="112">
        <v>855</v>
      </c>
      <c r="M3063" s="112">
        <v>649</v>
      </c>
      <c r="N3063" s="112">
        <v>206</v>
      </c>
      <c r="O3063" s="117"/>
      <c r="P3063" s="117"/>
      <c r="Q3063" s="117"/>
    </row>
    <row r="3064" spans="1:17" s="110" customFormat="1" ht="31.75" customHeight="1">
      <c r="A3064" s="109" t="s">
        <v>7431</v>
      </c>
      <c r="B3064" s="109" t="s">
        <v>7432</v>
      </c>
      <c r="C3064" s="113">
        <v>2014</v>
      </c>
      <c r="D3064" s="99">
        <v>270</v>
      </c>
      <c r="E3064" s="99">
        <v>7712</v>
      </c>
      <c r="F3064" s="99">
        <v>2058</v>
      </c>
      <c r="G3064" s="99">
        <v>5765</v>
      </c>
      <c r="H3064" s="99">
        <v>1177</v>
      </c>
      <c r="I3064" s="99">
        <v>106</v>
      </c>
      <c r="J3064" s="99">
        <v>117</v>
      </c>
      <c r="K3064" s="99">
        <v>11</v>
      </c>
      <c r="L3064" s="99">
        <v>911</v>
      </c>
      <c r="M3064" s="99">
        <v>814</v>
      </c>
      <c r="N3064" s="99">
        <v>97</v>
      </c>
      <c r="O3064" s="117"/>
      <c r="P3064" s="117"/>
      <c r="Q3064" s="117"/>
    </row>
    <row r="3065" spans="1:17" s="110" customFormat="1" ht="31.75" customHeight="1">
      <c r="A3065" s="109" t="s">
        <v>7431</v>
      </c>
      <c r="B3065" s="109" t="s">
        <v>7432</v>
      </c>
      <c r="C3065" s="113">
        <v>2015</v>
      </c>
      <c r="D3065" s="112">
        <v>266</v>
      </c>
      <c r="E3065" s="112">
        <v>6943</v>
      </c>
      <c r="F3065" s="112">
        <v>1642</v>
      </c>
      <c r="G3065" s="112">
        <v>5311</v>
      </c>
      <c r="H3065" s="112">
        <v>1141</v>
      </c>
      <c r="I3065" s="112">
        <v>69</v>
      </c>
      <c r="J3065" s="112">
        <v>93</v>
      </c>
      <c r="K3065" s="112">
        <v>23</v>
      </c>
      <c r="L3065" s="112">
        <v>1116</v>
      </c>
      <c r="M3065" s="112">
        <v>1106</v>
      </c>
      <c r="N3065" s="112">
        <v>10</v>
      </c>
    </row>
    <row r="3066" spans="1:17" s="110" customFormat="1" ht="31.75" customHeight="1">
      <c r="A3066" s="109" t="s">
        <v>7431</v>
      </c>
      <c r="B3066" s="109" t="s">
        <v>7432</v>
      </c>
      <c r="C3066" s="113">
        <v>2016</v>
      </c>
      <c r="D3066" s="112">
        <v>281</v>
      </c>
      <c r="E3066" s="112">
        <v>7351</v>
      </c>
      <c r="F3066" s="112">
        <v>981</v>
      </c>
      <c r="G3066" s="112">
        <v>6439</v>
      </c>
      <c r="H3066" s="112">
        <v>1166</v>
      </c>
      <c r="I3066" s="112">
        <v>115</v>
      </c>
      <c r="J3066" s="112">
        <v>124</v>
      </c>
      <c r="K3066" s="112">
        <v>10</v>
      </c>
      <c r="L3066" s="112">
        <v>719</v>
      </c>
      <c r="M3066" s="112">
        <v>642</v>
      </c>
      <c r="N3066" s="112">
        <v>77</v>
      </c>
    </row>
    <row r="3067" spans="1:17" s="110" customFormat="1" ht="31.75" customHeight="1">
      <c r="A3067" s="109" t="s">
        <v>7431</v>
      </c>
      <c r="B3067" s="109" t="s">
        <v>7432</v>
      </c>
      <c r="C3067" s="113">
        <v>2017</v>
      </c>
      <c r="D3067" s="112">
        <v>269</v>
      </c>
      <c r="E3067" s="112">
        <v>6853</v>
      </c>
      <c r="F3067" s="112">
        <v>1365</v>
      </c>
      <c r="G3067" s="112">
        <v>5567</v>
      </c>
      <c r="H3067" s="112">
        <v>1127</v>
      </c>
      <c r="I3067" s="112">
        <v>124</v>
      </c>
      <c r="J3067" s="112">
        <v>134</v>
      </c>
      <c r="K3067" s="112">
        <v>10</v>
      </c>
      <c r="L3067" s="112">
        <v>746</v>
      </c>
      <c r="M3067" s="112">
        <v>658</v>
      </c>
      <c r="N3067" s="112">
        <v>88</v>
      </c>
      <c r="O3067" s="100"/>
      <c r="P3067" s="100"/>
      <c r="Q3067" s="100"/>
    </row>
    <row r="3068" spans="1:17" s="110" customFormat="1" ht="31.75" customHeight="1">
      <c r="A3068" s="109" t="s">
        <v>7431</v>
      </c>
      <c r="B3068" s="109" t="s">
        <v>7432</v>
      </c>
      <c r="C3068" s="113">
        <v>2018</v>
      </c>
      <c r="D3068" s="112">
        <v>287</v>
      </c>
      <c r="E3068" s="112">
        <v>7160</v>
      </c>
      <c r="F3068" s="112">
        <v>1443</v>
      </c>
      <c r="G3068" s="112">
        <v>5730</v>
      </c>
      <c r="H3068" s="112">
        <v>1083</v>
      </c>
      <c r="I3068" s="112">
        <v>119</v>
      </c>
      <c r="J3068" s="112">
        <v>120</v>
      </c>
      <c r="K3068" s="112">
        <v>2</v>
      </c>
      <c r="L3068" s="112">
        <v>704</v>
      </c>
      <c r="M3068" s="112">
        <v>686</v>
      </c>
      <c r="N3068" s="112">
        <v>19</v>
      </c>
    </row>
    <row r="3069" spans="1:17" s="110" customFormat="1" ht="31.75" customHeight="1">
      <c r="A3069" s="109" t="s">
        <v>7431</v>
      </c>
      <c r="B3069" s="109" t="s">
        <v>7432</v>
      </c>
      <c r="C3069" s="113">
        <v>2019</v>
      </c>
      <c r="D3069" s="112">
        <v>293</v>
      </c>
      <c r="E3069" s="112">
        <v>5606.1577740000002</v>
      </c>
      <c r="F3069" s="112">
        <v>1151.6570449999999</v>
      </c>
      <c r="G3069" s="112">
        <v>4526.0282729999999</v>
      </c>
      <c r="H3069" s="112">
        <v>950.77198499999997</v>
      </c>
      <c r="I3069" s="112">
        <v>136.30029500000001</v>
      </c>
      <c r="J3069" s="112">
        <v>142.46149199999999</v>
      </c>
      <c r="K3069" s="112">
        <v>6.1611969999999996</v>
      </c>
      <c r="L3069" s="112">
        <v>780.74005399999999</v>
      </c>
      <c r="M3069" s="112">
        <v>724.57354399999997</v>
      </c>
      <c r="N3069" s="112">
        <v>56.166511</v>
      </c>
      <c r="O3069" s="100"/>
      <c r="P3069" s="100"/>
      <c r="Q3069" s="100"/>
    </row>
    <row r="3070" spans="1:17" s="110" customFormat="1" ht="31.75" customHeight="1">
      <c r="A3070" s="114" t="s">
        <v>7431</v>
      </c>
      <c r="B3070" s="114" t="s">
        <v>7432</v>
      </c>
      <c r="C3070" s="113">
        <v>2020</v>
      </c>
      <c r="D3070" s="112">
        <v>310</v>
      </c>
      <c r="E3070" s="112">
        <v>4128.2872880000004</v>
      </c>
      <c r="F3070" s="112">
        <v>826.41262400000005</v>
      </c>
      <c r="G3070" s="112">
        <v>3301.128706</v>
      </c>
      <c r="H3070" s="112">
        <v>725.84812999999997</v>
      </c>
      <c r="I3070" s="112" t="s">
        <v>6953</v>
      </c>
      <c r="J3070" s="112" t="s">
        <v>6953</v>
      </c>
      <c r="K3070" s="112">
        <v>57.876908999999998</v>
      </c>
      <c r="L3070" s="112">
        <v>731.13652000000002</v>
      </c>
      <c r="M3070" s="112">
        <v>771.22614799999997</v>
      </c>
      <c r="N3070" s="112">
        <v>-40.089627999999998</v>
      </c>
      <c r="O3070" s="100"/>
      <c r="P3070" s="100"/>
      <c r="Q3070" s="100"/>
    </row>
    <row r="3071" spans="1:17" s="110" customFormat="1" ht="17.5" customHeight="1">
      <c r="A3071" s="109" t="s">
        <v>7433</v>
      </c>
      <c r="B3071" s="109" t="s">
        <v>7434</v>
      </c>
      <c r="C3071" s="98">
        <v>2008</v>
      </c>
      <c r="D3071" s="99">
        <v>145</v>
      </c>
      <c r="E3071" s="99">
        <v>597</v>
      </c>
      <c r="F3071" s="99">
        <v>196</v>
      </c>
      <c r="G3071" s="99">
        <v>410</v>
      </c>
      <c r="H3071" s="99">
        <v>161</v>
      </c>
      <c r="I3071" s="99">
        <v>17</v>
      </c>
      <c r="J3071" s="99">
        <v>19</v>
      </c>
      <c r="K3071" s="99">
        <v>2</v>
      </c>
      <c r="L3071" s="99">
        <v>96</v>
      </c>
      <c r="M3071" s="99">
        <v>87</v>
      </c>
      <c r="N3071" s="99">
        <v>10</v>
      </c>
    </row>
    <row r="3072" spans="1:17" s="110" customFormat="1" ht="17.5" customHeight="1">
      <c r="A3072" s="109" t="s">
        <v>7433</v>
      </c>
      <c r="B3072" s="109" t="s">
        <v>7434</v>
      </c>
      <c r="C3072" s="98">
        <v>2009</v>
      </c>
      <c r="D3072" s="99">
        <v>139</v>
      </c>
      <c r="E3072" s="99">
        <v>736</v>
      </c>
      <c r="F3072" s="99">
        <v>243</v>
      </c>
      <c r="G3072" s="99">
        <v>463</v>
      </c>
      <c r="H3072" s="99">
        <v>176</v>
      </c>
      <c r="I3072" s="99">
        <v>8</v>
      </c>
      <c r="J3072" s="99">
        <v>10</v>
      </c>
      <c r="K3072" s="99">
        <v>3</v>
      </c>
      <c r="L3072" s="99">
        <v>105</v>
      </c>
      <c r="M3072" s="99">
        <v>133</v>
      </c>
      <c r="N3072" s="99">
        <v>-29</v>
      </c>
    </row>
    <row r="3073" spans="1:17" s="110" customFormat="1" ht="17.5" customHeight="1">
      <c r="A3073" s="109" t="s">
        <v>7433</v>
      </c>
      <c r="B3073" s="109" t="s">
        <v>7434</v>
      </c>
      <c r="C3073" s="98">
        <v>2010</v>
      </c>
      <c r="D3073" s="99">
        <v>133</v>
      </c>
      <c r="E3073" s="99">
        <v>818</v>
      </c>
      <c r="F3073" s="99">
        <v>258</v>
      </c>
      <c r="G3073" s="99">
        <v>574</v>
      </c>
      <c r="H3073" s="99">
        <v>221</v>
      </c>
      <c r="I3073" s="99">
        <v>39</v>
      </c>
      <c r="J3073" s="99">
        <v>40</v>
      </c>
      <c r="K3073" s="99">
        <v>1</v>
      </c>
      <c r="L3073" s="99">
        <v>99</v>
      </c>
      <c r="M3073" s="99">
        <v>82</v>
      </c>
      <c r="N3073" s="99">
        <v>17</v>
      </c>
      <c r="O3073" s="117"/>
      <c r="P3073" s="117"/>
      <c r="Q3073" s="117"/>
    </row>
    <row r="3074" spans="1:17" s="110" customFormat="1" ht="17.5" customHeight="1">
      <c r="A3074" s="109" t="s">
        <v>7433</v>
      </c>
      <c r="B3074" s="109" t="s">
        <v>7434</v>
      </c>
      <c r="C3074" s="98">
        <v>2011</v>
      </c>
      <c r="D3074" s="99">
        <v>126</v>
      </c>
      <c r="E3074" s="99">
        <v>1177</v>
      </c>
      <c r="F3074" s="99">
        <v>381</v>
      </c>
      <c r="G3074" s="99">
        <v>814</v>
      </c>
      <c r="H3074" s="99">
        <v>232</v>
      </c>
      <c r="I3074" s="99">
        <v>18</v>
      </c>
      <c r="J3074" s="99">
        <v>19</v>
      </c>
      <c r="K3074" s="99">
        <v>1</v>
      </c>
      <c r="L3074" s="99">
        <v>124</v>
      </c>
      <c r="M3074" s="99">
        <v>104</v>
      </c>
      <c r="N3074" s="99">
        <v>20</v>
      </c>
      <c r="O3074" s="117"/>
      <c r="P3074" s="117"/>
      <c r="Q3074" s="117"/>
    </row>
    <row r="3075" spans="1:17" s="110" customFormat="1" ht="17.5" customHeight="1">
      <c r="A3075" s="109" t="s">
        <v>7433</v>
      </c>
      <c r="B3075" s="109" t="s">
        <v>7434</v>
      </c>
      <c r="C3075" s="111">
        <v>2012</v>
      </c>
      <c r="D3075" s="112">
        <v>132</v>
      </c>
      <c r="E3075" s="112">
        <v>1159</v>
      </c>
      <c r="F3075" s="112">
        <v>410</v>
      </c>
      <c r="G3075" s="112">
        <v>750</v>
      </c>
      <c r="H3075" s="112">
        <v>262</v>
      </c>
      <c r="I3075" s="112">
        <v>26</v>
      </c>
      <c r="J3075" s="112">
        <v>28</v>
      </c>
      <c r="K3075" s="112">
        <v>1</v>
      </c>
      <c r="L3075" s="112">
        <v>112</v>
      </c>
      <c r="M3075" s="112">
        <v>110</v>
      </c>
      <c r="N3075" s="112">
        <v>2</v>
      </c>
      <c r="O3075" s="117"/>
      <c r="P3075" s="117"/>
      <c r="Q3075" s="117"/>
    </row>
    <row r="3076" spans="1:17" s="110" customFormat="1" ht="17.5" customHeight="1">
      <c r="A3076" s="109" t="s">
        <v>7433</v>
      </c>
      <c r="B3076" s="109" t="s">
        <v>7434</v>
      </c>
      <c r="C3076" s="113">
        <v>2013</v>
      </c>
      <c r="D3076" s="112">
        <v>143</v>
      </c>
      <c r="E3076" s="112">
        <v>1394</v>
      </c>
      <c r="F3076" s="112">
        <v>481</v>
      </c>
      <c r="G3076" s="112">
        <v>931</v>
      </c>
      <c r="H3076" s="112">
        <v>293</v>
      </c>
      <c r="I3076" s="112">
        <v>48</v>
      </c>
      <c r="J3076" s="112">
        <v>51</v>
      </c>
      <c r="K3076" s="112">
        <v>3</v>
      </c>
      <c r="L3076" s="112">
        <v>168</v>
      </c>
      <c r="M3076" s="112">
        <v>149</v>
      </c>
      <c r="N3076" s="112">
        <v>19</v>
      </c>
      <c r="O3076" s="117"/>
      <c r="P3076" s="117"/>
      <c r="Q3076" s="117"/>
    </row>
    <row r="3077" spans="1:17" s="110" customFormat="1" ht="17.5" customHeight="1">
      <c r="A3077" s="109" t="s">
        <v>7433</v>
      </c>
      <c r="B3077" s="109" t="s">
        <v>7434</v>
      </c>
      <c r="C3077" s="113">
        <v>2014</v>
      </c>
      <c r="D3077" s="99">
        <v>152</v>
      </c>
      <c r="E3077" s="99">
        <v>1286</v>
      </c>
      <c r="F3077" s="99">
        <v>475</v>
      </c>
      <c r="G3077" s="99">
        <v>823</v>
      </c>
      <c r="H3077" s="99">
        <v>285</v>
      </c>
      <c r="I3077" s="99">
        <v>49</v>
      </c>
      <c r="J3077" s="99">
        <v>51</v>
      </c>
      <c r="K3077" s="99">
        <v>2</v>
      </c>
      <c r="L3077" s="99">
        <v>158</v>
      </c>
      <c r="M3077" s="99">
        <v>154</v>
      </c>
      <c r="N3077" s="99">
        <v>4</v>
      </c>
    </row>
    <row r="3078" spans="1:17" s="110" customFormat="1" ht="17.5" customHeight="1">
      <c r="A3078" s="109" t="s">
        <v>7433</v>
      </c>
      <c r="B3078" s="109" t="s">
        <v>7434</v>
      </c>
      <c r="C3078" s="113">
        <v>2015</v>
      </c>
      <c r="D3078" s="112">
        <v>153</v>
      </c>
      <c r="E3078" s="112">
        <v>1333</v>
      </c>
      <c r="F3078" s="112">
        <v>396</v>
      </c>
      <c r="G3078" s="112">
        <v>935</v>
      </c>
      <c r="H3078" s="112">
        <v>272</v>
      </c>
      <c r="I3078" s="112">
        <v>47</v>
      </c>
      <c r="J3078" s="112">
        <v>48</v>
      </c>
      <c r="K3078" s="112">
        <v>1</v>
      </c>
      <c r="L3078" s="112">
        <v>143</v>
      </c>
      <c r="M3078" s="112">
        <v>154</v>
      </c>
      <c r="N3078" s="112">
        <v>-11</v>
      </c>
    </row>
    <row r="3079" spans="1:17" s="110" customFormat="1" ht="17.5" customHeight="1">
      <c r="A3079" s="109" t="s">
        <v>7433</v>
      </c>
      <c r="B3079" s="109" t="s">
        <v>7434</v>
      </c>
      <c r="C3079" s="113">
        <v>2016</v>
      </c>
      <c r="D3079" s="112">
        <v>172</v>
      </c>
      <c r="E3079" s="112">
        <v>1055</v>
      </c>
      <c r="F3079" s="112">
        <v>345</v>
      </c>
      <c r="G3079" s="112">
        <v>705</v>
      </c>
      <c r="H3079" s="112">
        <v>263</v>
      </c>
      <c r="I3079" s="112">
        <v>33</v>
      </c>
      <c r="J3079" s="112">
        <v>41</v>
      </c>
      <c r="K3079" s="112">
        <v>9</v>
      </c>
      <c r="L3079" s="112">
        <v>128</v>
      </c>
      <c r="M3079" s="112">
        <v>132</v>
      </c>
      <c r="N3079" s="112">
        <v>-4</v>
      </c>
      <c r="O3079" s="100"/>
      <c r="P3079" s="100"/>
      <c r="Q3079" s="100"/>
    </row>
    <row r="3080" spans="1:17" s="110" customFormat="1" ht="17.5" customHeight="1">
      <c r="A3080" s="109" t="s">
        <v>7433</v>
      </c>
      <c r="B3080" s="109" t="s">
        <v>7434</v>
      </c>
      <c r="C3080" s="113">
        <v>2017</v>
      </c>
      <c r="D3080" s="112">
        <v>165</v>
      </c>
      <c r="E3080" s="112">
        <v>1045</v>
      </c>
      <c r="F3080" s="112">
        <v>423</v>
      </c>
      <c r="G3080" s="112">
        <v>653</v>
      </c>
      <c r="H3080" s="112">
        <v>223</v>
      </c>
      <c r="I3080" s="112">
        <v>31</v>
      </c>
      <c r="J3080" s="112">
        <v>42</v>
      </c>
      <c r="K3080" s="112">
        <v>11</v>
      </c>
      <c r="L3080" s="112">
        <v>137</v>
      </c>
      <c r="M3080" s="112">
        <v>113</v>
      </c>
      <c r="N3080" s="112">
        <v>24</v>
      </c>
    </row>
    <row r="3081" spans="1:17" s="110" customFormat="1" ht="17.5" customHeight="1">
      <c r="A3081" s="109" t="s">
        <v>7433</v>
      </c>
      <c r="B3081" s="109" t="s">
        <v>7434</v>
      </c>
      <c r="C3081" s="113">
        <v>2018</v>
      </c>
      <c r="D3081" s="112">
        <v>175</v>
      </c>
      <c r="E3081" s="112">
        <v>1182</v>
      </c>
      <c r="F3081" s="112">
        <v>479</v>
      </c>
      <c r="G3081" s="112">
        <v>736</v>
      </c>
      <c r="H3081" s="112">
        <v>255</v>
      </c>
      <c r="I3081" s="112">
        <v>44</v>
      </c>
      <c r="J3081" s="112">
        <v>48</v>
      </c>
      <c r="K3081" s="112">
        <v>4</v>
      </c>
      <c r="L3081" s="112">
        <v>170</v>
      </c>
      <c r="M3081" s="112">
        <v>139</v>
      </c>
      <c r="N3081" s="112">
        <v>32</v>
      </c>
      <c r="O3081" s="100"/>
      <c r="P3081" s="100"/>
      <c r="Q3081" s="100"/>
    </row>
    <row r="3082" spans="1:17" s="110" customFormat="1" ht="17.5" customHeight="1">
      <c r="A3082" s="109" t="s">
        <v>7433</v>
      </c>
      <c r="B3082" s="109" t="s">
        <v>7434</v>
      </c>
      <c r="C3082" s="113">
        <v>2019</v>
      </c>
      <c r="D3082" s="112">
        <v>174</v>
      </c>
      <c r="E3082" s="112">
        <v>1288.0089</v>
      </c>
      <c r="F3082" s="112">
        <v>495.79535299999998</v>
      </c>
      <c r="G3082" s="112">
        <v>812.66435799999999</v>
      </c>
      <c r="H3082" s="112">
        <v>249.72238999999999</v>
      </c>
      <c r="I3082" s="112">
        <v>24.046752999999999</v>
      </c>
      <c r="J3082" s="112">
        <v>28.039103999999998</v>
      </c>
      <c r="K3082" s="112">
        <v>3.9923510000000002</v>
      </c>
      <c r="L3082" s="112">
        <v>154.73757800000001</v>
      </c>
      <c r="M3082" s="112">
        <v>132.511371</v>
      </c>
      <c r="N3082" s="112">
        <v>22.226206000000001</v>
      </c>
      <c r="O3082" s="100"/>
      <c r="P3082" s="100"/>
      <c r="Q3082" s="100"/>
    </row>
    <row r="3083" spans="1:17" s="110" customFormat="1" ht="17.5" customHeight="1">
      <c r="A3083" s="114" t="s">
        <v>7433</v>
      </c>
      <c r="B3083" s="114" t="s">
        <v>7434</v>
      </c>
      <c r="C3083" s="113">
        <v>2020</v>
      </c>
      <c r="D3083" s="112">
        <v>176</v>
      </c>
      <c r="E3083" s="112">
        <v>1177.9139130000001</v>
      </c>
      <c r="F3083" s="112">
        <v>473.48910599999999</v>
      </c>
      <c r="G3083" s="112">
        <v>696.71250499999996</v>
      </c>
      <c r="H3083" s="112">
        <v>273.27159</v>
      </c>
      <c r="I3083" s="112" t="s">
        <v>6953</v>
      </c>
      <c r="J3083" s="112" t="s">
        <v>6953</v>
      </c>
      <c r="K3083" s="112">
        <v>3.34884</v>
      </c>
      <c r="L3083" s="112">
        <v>144.56859800000001</v>
      </c>
      <c r="M3083" s="112">
        <v>151.60172399999999</v>
      </c>
      <c r="N3083" s="112">
        <v>-7.0331260000000002</v>
      </c>
    </row>
    <row r="3084" spans="1:17" s="110" customFormat="1" ht="17.5" customHeight="1">
      <c r="A3084" s="109" t="s">
        <v>7435</v>
      </c>
      <c r="B3084" s="109" t="s">
        <v>7436</v>
      </c>
      <c r="C3084" s="98">
        <v>2008</v>
      </c>
      <c r="D3084" s="99">
        <v>417</v>
      </c>
      <c r="E3084" s="99">
        <v>2912</v>
      </c>
      <c r="F3084" s="99">
        <v>1008</v>
      </c>
      <c r="G3084" s="99">
        <v>1919</v>
      </c>
      <c r="H3084" s="99">
        <v>612</v>
      </c>
      <c r="I3084" s="99">
        <v>50</v>
      </c>
      <c r="J3084" s="99">
        <v>73</v>
      </c>
      <c r="K3084" s="99">
        <v>23</v>
      </c>
      <c r="L3084" s="99">
        <v>336</v>
      </c>
      <c r="M3084" s="99">
        <v>319</v>
      </c>
      <c r="N3084" s="99">
        <v>16</v>
      </c>
    </row>
    <row r="3085" spans="1:17" s="110" customFormat="1" ht="17.5" customHeight="1">
      <c r="A3085" s="109" t="s">
        <v>7435</v>
      </c>
      <c r="B3085" s="109" t="s">
        <v>7436</v>
      </c>
      <c r="C3085" s="98">
        <v>2009</v>
      </c>
      <c r="D3085" s="99">
        <v>392</v>
      </c>
      <c r="E3085" s="99">
        <v>2323</v>
      </c>
      <c r="F3085" s="99">
        <v>1007</v>
      </c>
      <c r="G3085" s="99">
        <v>1299</v>
      </c>
      <c r="H3085" s="99">
        <v>560</v>
      </c>
      <c r="I3085" s="99">
        <v>50</v>
      </c>
      <c r="J3085" s="99">
        <v>62</v>
      </c>
      <c r="K3085" s="99">
        <v>12</v>
      </c>
      <c r="L3085" s="99">
        <v>296</v>
      </c>
      <c r="M3085" s="99">
        <v>313</v>
      </c>
      <c r="N3085" s="99">
        <v>-17</v>
      </c>
      <c r="O3085" s="117"/>
      <c r="P3085" s="117"/>
      <c r="Q3085" s="117"/>
    </row>
    <row r="3086" spans="1:17" s="110" customFormat="1" ht="17.5" customHeight="1">
      <c r="A3086" s="109" t="s">
        <v>7435</v>
      </c>
      <c r="B3086" s="109" t="s">
        <v>7436</v>
      </c>
      <c r="C3086" s="98">
        <v>2010</v>
      </c>
      <c r="D3086" s="99">
        <v>369</v>
      </c>
      <c r="E3086" s="99">
        <v>2977</v>
      </c>
      <c r="F3086" s="99">
        <v>1152</v>
      </c>
      <c r="G3086" s="99">
        <v>1829</v>
      </c>
      <c r="H3086" s="99">
        <v>546</v>
      </c>
      <c r="I3086" s="99">
        <v>73</v>
      </c>
      <c r="J3086" s="99">
        <v>80</v>
      </c>
      <c r="K3086" s="99">
        <v>6</v>
      </c>
      <c r="L3086" s="99">
        <v>300</v>
      </c>
      <c r="M3086" s="99">
        <v>294</v>
      </c>
      <c r="N3086" s="99">
        <v>7</v>
      </c>
      <c r="O3086" s="117"/>
      <c r="P3086" s="117"/>
      <c r="Q3086" s="117"/>
    </row>
    <row r="3087" spans="1:17" s="110" customFormat="1" ht="17.5" customHeight="1">
      <c r="A3087" s="109" t="s">
        <v>7435</v>
      </c>
      <c r="B3087" s="109" t="s">
        <v>7436</v>
      </c>
      <c r="C3087" s="98">
        <v>2011</v>
      </c>
      <c r="D3087" s="99">
        <v>345</v>
      </c>
      <c r="E3087" s="99">
        <v>2959</v>
      </c>
      <c r="F3087" s="99">
        <v>1018</v>
      </c>
      <c r="G3087" s="99">
        <v>1930</v>
      </c>
      <c r="H3087" s="99">
        <v>541</v>
      </c>
      <c r="I3087" s="99">
        <v>69</v>
      </c>
      <c r="J3087" s="99">
        <v>83</v>
      </c>
      <c r="K3087" s="99">
        <v>14</v>
      </c>
      <c r="L3087" s="99">
        <v>307</v>
      </c>
      <c r="M3087" s="99">
        <v>313</v>
      </c>
      <c r="N3087" s="99">
        <v>-6</v>
      </c>
      <c r="O3087" s="117"/>
      <c r="P3087" s="117"/>
      <c r="Q3087" s="117"/>
    </row>
    <row r="3088" spans="1:17" s="110" customFormat="1" ht="17.5" customHeight="1">
      <c r="A3088" s="109" t="s">
        <v>7435</v>
      </c>
      <c r="B3088" s="109" t="s">
        <v>7436</v>
      </c>
      <c r="C3088" s="111">
        <v>2012</v>
      </c>
      <c r="D3088" s="112">
        <v>318</v>
      </c>
      <c r="E3088" s="112">
        <v>2648</v>
      </c>
      <c r="F3088" s="112">
        <v>893</v>
      </c>
      <c r="G3088" s="112">
        <v>1778</v>
      </c>
      <c r="H3088" s="112">
        <v>613</v>
      </c>
      <c r="I3088" s="112">
        <v>101</v>
      </c>
      <c r="J3088" s="112">
        <v>105</v>
      </c>
      <c r="K3088" s="112">
        <v>5</v>
      </c>
      <c r="L3088" s="112">
        <v>306</v>
      </c>
      <c r="M3088" s="112">
        <v>280</v>
      </c>
      <c r="N3088" s="112">
        <v>26</v>
      </c>
      <c r="O3088" s="117"/>
      <c r="P3088" s="117"/>
      <c r="Q3088" s="117"/>
    </row>
    <row r="3089" spans="1:17" s="110" customFormat="1" ht="17.5" customHeight="1">
      <c r="A3089" s="109" t="s">
        <v>7435</v>
      </c>
      <c r="B3089" s="109" t="s">
        <v>7436</v>
      </c>
      <c r="C3089" s="113">
        <v>2013</v>
      </c>
      <c r="D3089" s="112">
        <v>322</v>
      </c>
      <c r="E3089" s="112">
        <v>2584</v>
      </c>
      <c r="F3089" s="112">
        <v>931</v>
      </c>
      <c r="G3089" s="112">
        <v>1670</v>
      </c>
      <c r="H3089" s="112">
        <v>547</v>
      </c>
      <c r="I3089" s="112">
        <v>83</v>
      </c>
      <c r="J3089" s="112">
        <v>87</v>
      </c>
      <c r="K3089" s="112">
        <v>4</v>
      </c>
      <c r="L3089" s="112">
        <v>357</v>
      </c>
      <c r="M3089" s="112">
        <v>336</v>
      </c>
      <c r="N3089" s="112">
        <v>21</v>
      </c>
    </row>
    <row r="3090" spans="1:17" s="110" customFormat="1" ht="17.5" customHeight="1">
      <c r="A3090" s="109" t="s">
        <v>7435</v>
      </c>
      <c r="B3090" s="109" t="s">
        <v>7436</v>
      </c>
      <c r="C3090" s="113">
        <v>2014</v>
      </c>
      <c r="D3090" s="99">
        <v>305</v>
      </c>
      <c r="E3090" s="99">
        <v>2198</v>
      </c>
      <c r="F3090" s="99">
        <v>822</v>
      </c>
      <c r="G3090" s="99">
        <v>1376</v>
      </c>
      <c r="H3090" s="99">
        <v>500</v>
      </c>
      <c r="I3090" s="99">
        <v>71</v>
      </c>
      <c r="J3090" s="99">
        <v>75</v>
      </c>
      <c r="K3090" s="99">
        <v>4</v>
      </c>
      <c r="L3090" s="99">
        <v>254</v>
      </c>
      <c r="M3090" s="99">
        <v>252</v>
      </c>
      <c r="N3090" s="99">
        <v>1</v>
      </c>
    </row>
    <row r="3091" spans="1:17" s="110" customFormat="1" ht="17.5" customHeight="1">
      <c r="A3091" s="109" t="s">
        <v>7435</v>
      </c>
      <c r="B3091" s="109" t="s">
        <v>7436</v>
      </c>
      <c r="C3091" s="113">
        <v>2015</v>
      </c>
      <c r="D3091" s="112">
        <v>291</v>
      </c>
      <c r="E3091" s="112">
        <v>2207</v>
      </c>
      <c r="F3091" s="112">
        <v>824</v>
      </c>
      <c r="G3091" s="112">
        <v>1357</v>
      </c>
      <c r="H3091" s="112">
        <v>492</v>
      </c>
      <c r="I3091" s="112">
        <v>100</v>
      </c>
      <c r="J3091" s="112">
        <v>103</v>
      </c>
      <c r="K3091" s="112">
        <v>3</v>
      </c>
      <c r="L3091" s="112">
        <v>252</v>
      </c>
      <c r="M3091" s="112">
        <v>274</v>
      </c>
      <c r="N3091" s="112">
        <v>-23</v>
      </c>
      <c r="O3091" s="100"/>
      <c r="P3091" s="100"/>
      <c r="Q3091" s="100"/>
    </row>
    <row r="3092" spans="1:17" s="110" customFormat="1" ht="17.5" customHeight="1">
      <c r="A3092" s="109" t="s">
        <v>7435</v>
      </c>
      <c r="B3092" s="109" t="s">
        <v>7436</v>
      </c>
      <c r="C3092" s="113">
        <v>2016</v>
      </c>
      <c r="D3092" s="112">
        <v>289</v>
      </c>
      <c r="E3092" s="112">
        <v>2003</v>
      </c>
      <c r="F3092" s="112">
        <v>850</v>
      </c>
      <c r="G3092" s="112">
        <v>1180</v>
      </c>
      <c r="H3092" s="112">
        <v>497</v>
      </c>
      <c r="I3092" s="112">
        <v>33</v>
      </c>
      <c r="J3092" s="112">
        <v>43</v>
      </c>
      <c r="K3092" s="112">
        <v>10</v>
      </c>
      <c r="L3092" s="112">
        <v>252</v>
      </c>
      <c r="M3092" s="112">
        <v>227</v>
      </c>
      <c r="N3092" s="112">
        <v>26</v>
      </c>
    </row>
    <row r="3093" spans="1:17" s="110" customFormat="1" ht="17.5" customHeight="1">
      <c r="A3093" s="109" t="s">
        <v>7435</v>
      </c>
      <c r="B3093" s="109" t="s">
        <v>7436</v>
      </c>
      <c r="C3093" s="113">
        <v>2017</v>
      </c>
      <c r="D3093" s="112">
        <v>288</v>
      </c>
      <c r="E3093" s="112">
        <v>2226</v>
      </c>
      <c r="F3093" s="112">
        <v>913</v>
      </c>
      <c r="G3093" s="112">
        <v>1326</v>
      </c>
      <c r="H3093" s="112">
        <v>519</v>
      </c>
      <c r="I3093" s="112">
        <v>51</v>
      </c>
      <c r="J3093" s="112">
        <v>57</v>
      </c>
      <c r="K3093" s="112">
        <v>7</v>
      </c>
      <c r="L3093" s="112">
        <v>283</v>
      </c>
      <c r="M3093" s="112">
        <v>272</v>
      </c>
      <c r="N3093" s="112">
        <v>11</v>
      </c>
      <c r="O3093" s="100"/>
      <c r="P3093" s="100"/>
      <c r="Q3093" s="100"/>
    </row>
    <row r="3094" spans="1:17" s="110" customFormat="1" ht="17.5" customHeight="1">
      <c r="A3094" s="109" t="s">
        <v>7435</v>
      </c>
      <c r="B3094" s="109" t="s">
        <v>7436</v>
      </c>
      <c r="C3094" s="113">
        <v>2018</v>
      </c>
      <c r="D3094" s="112">
        <v>283</v>
      </c>
      <c r="E3094" s="112">
        <v>2977</v>
      </c>
      <c r="F3094" s="112">
        <v>1112</v>
      </c>
      <c r="G3094" s="112">
        <v>1910</v>
      </c>
      <c r="H3094" s="112">
        <v>566</v>
      </c>
      <c r="I3094" s="112">
        <v>65</v>
      </c>
      <c r="J3094" s="112">
        <v>67</v>
      </c>
      <c r="K3094" s="112">
        <v>2</v>
      </c>
      <c r="L3094" s="112">
        <v>323</v>
      </c>
      <c r="M3094" s="112">
        <v>280</v>
      </c>
      <c r="N3094" s="112">
        <v>43</v>
      </c>
      <c r="O3094" s="100"/>
      <c r="P3094" s="100"/>
      <c r="Q3094" s="100"/>
    </row>
    <row r="3095" spans="1:17" s="110" customFormat="1" ht="17.5" customHeight="1">
      <c r="A3095" s="109" t="s">
        <v>7435</v>
      </c>
      <c r="B3095" s="109" t="s">
        <v>7436</v>
      </c>
      <c r="C3095" s="113">
        <v>2019</v>
      </c>
      <c r="D3095" s="112">
        <v>283</v>
      </c>
      <c r="E3095" s="112">
        <v>3134.4014309999998</v>
      </c>
      <c r="F3095" s="112">
        <v>1182.312103</v>
      </c>
      <c r="G3095" s="112">
        <v>1975.5070800000001</v>
      </c>
      <c r="H3095" s="112">
        <v>577.34762999999998</v>
      </c>
      <c r="I3095" s="112">
        <v>62.392336</v>
      </c>
      <c r="J3095" s="112">
        <v>65.899282999999997</v>
      </c>
      <c r="K3095" s="112">
        <v>3.5069460000000001</v>
      </c>
      <c r="L3095" s="112">
        <v>383.18073099999998</v>
      </c>
      <c r="M3095" s="112">
        <v>362.47997700000002</v>
      </c>
      <c r="N3095" s="112">
        <v>20.700754</v>
      </c>
    </row>
    <row r="3096" spans="1:17" s="110" customFormat="1" ht="17.5" customHeight="1">
      <c r="A3096" s="114" t="s">
        <v>7435</v>
      </c>
      <c r="B3096" s="114" t="s">
        <v>7436</v>
      </c>
      <c r="C3096" s="113">
        <v>2020</v>
      </c>
      <c r="D3096" s="112">
        <v>276</v>
      </c>
      <c r="E3096" s="112">
        <v>2806.9994230000002</v>
      </c>
      <c r="F3096" s="112">
        <v>1053.576204</v>
      </c>
      <c r="G3096" s="112">
        <v>1727.0528509999999</v>
      </c>
      <c r="H3096" s="112">
        <v>579.41535799999997</v>
      </c>
      <c r="I3096" s="112">
        <v>39.081792</v>
      </c>
      <c r="J3096" s="112">
        <v>73.616003000000006</v>
      </c>
      <c r="K3096" s="112">
        <v>34.534210999999999</v>
      </c>
      <c r="L3096" s="112">
        <v>334.07485200000002</v>
      </c>
      <c r="M3096" s="112">
        <v>360.44382100000001</v>
      </c>
      <c r="N3096" s="112">
        <v>-26.368969</v>
      </c>
    </row>
    <row r="3097" spans="1:17" s="110" customFormat="1" ht="17.5" customHeight="1">
      <c r="A3097" s="109" t="s">
        <v>7437</v>
      </c>
      <c r="B3097" s="109" t="s">
        <v>7438</v>
      </c>
      <c r="C3097" s="98">
        <v>2008</v>
      </c>
      <c r="D3097" s="99">
        <v>202</v>
      </c>
      <c r="E3097" s="99">
        <v>1528</v>
      </c>
      <c r="F3097" s="99">
        <v>533</v>
      </c>
      <c r="G3097" s="99">
        <v>1020</v>
      </c>
      <c r="H3097" s="99">
        <v>399</v>
      </c>
      <c r="I3097" s="99">
        <v>33</v>
      </c>
      <c r="J3097" s="99">
        <v>55</v>
      </c>
      <c r="K3097" s="99">
        <v>22</v>
      </c>
      <c r="L3097" s="99">
        <v>278</v>
      </c>
      <c r="M3097" s="99">
        <v>249</v>
      </c>
      <c r="N3097" s="99">
        <v>29</v>
      </c>
      <c r="O3097" s="117"/>
      <c r="P3097" s="117"/>
      <c r="Q3097" s="117"/>
    </row>
    <row r="3098" spans="1:17" s="110" customFormat="1" ht="17.5" customHeight="1">
      <c r="A3098" s="109" t="s">
        <v>7437</v>
      </c>
      <c r="B3098" s="109" t="s">
        <v>7438</v>
      </c>
      <c r="C3098" s="98">
        <v>2009</v>
      </c>
      <c r="D3098" s="99">
        <v>199</v>
      </c>
      <c r="E3098" s="99">
        <v>1231</v>
      </c>
      <c r="F3098" s="99">
        <v>495</v>
      </c>
      <c r="G3098" s="99">
        <v>710</v>
      </c>
      <c r="H3098" s="99">
        <v>349</v>
      </c>
      <c r="I3098" s="99">
        <v>19</v>
      </c>
      <c r="J3098" s="99">
        <v>23</v>
      </c>
      <c r="K3098" s="99">
        <v>3</v>
      </c>
      <c r="L3098" s="99">
        <v>217</v>
      </c>
      <c r="M3098" s="99">
        <v>242</v>
      </c>
      <c r="N3098" s="99">
        <v>-25</v>
      </c>
      <c r="O3098" s="117"/>
      <c r="P3098" s="117"/>
      <c r="Q3098" s="117"/>
    </row>
    <row r="3099" spans="1:17" s="110" customFormat="1" ht="17.5" customHeight="1">
      <c r="A3099" s="109" t="s">
        <v>7437</v>
      </c>
      <c r="B3099" s="109" t="s">
        <v>7438</v>
      </c>
      <c r="C3099" s="98">
        <v>2010</v>
      </c>
      <c r="D3099" s="99">
        <v>185</v>
      </c>
      <c r="E3099" s="99">
        <v>1187</v>
      </c>
      <c r="F3099" s="99">
        <v>597</v>
      </c>
      <c r="G3099" s="99">
        <v>610</v>
      </c>
      <c r="H3099" s="99">
        <v>286</v>
      </c>
      <c r="I3099" s="99">
        <v>-29</v>
      </c>
      <c r="J3099" s="99">
        <v>34</v>
      </c>
      <c r="K3099" s="99">
        <v>63</v>
      </c>
      <c r="L3099" s="99">
        <v>204</v>
      </c>
      <c r="M3099" s="99">
        <v>185</v>
      </c>
      <c r="N3099" s="99">
        <v>20</v>
      </c>
      <c r="O3099" s="117"/>
      <c r="P3099" s="117"/>
      <c r="Q3099" s="117"/>
    </row>
    <row r="3100" spans="1:17" s="110" customFormat="1" ht="17.5" customHeight="1">
      <c r="A3100" s="109" t="s">
        <v>7437</v>
      </c>
      <c r="B3100" s="109" t="s">
        <v>7438</v>
      </c>
      <c r="C3100" s="98">
        <v>2011</v>
      </c>
      <c r="D3100" s="99">
        <v>189</v>
      </c>
      <c r="E3100" s="99">
        <v>1252</v>
      </c>
      <c r="F3100" s="99">
        <v>582</v>
      </c>
      <c r="G3100" s="99">
        <v>716</v>
      </c>
      <c r="H3100" s="99">
        <v>321</v>
      </c>
      <c r="I3100" s="99" t="s">
        <v>6953</v>
      </c>
      <c r="J3100" s="99">
        <v>44</v>
      </c>
      <c r="K3100" s="99" t="s">
        <v>6953</v>
      </c>
      <c r="L3100" s="99">
        <v>248</v>
      </c>
      <c r="M3100" s="99">
        <v>200</v>
      </c>
      <c r="N3100" s="99">
        <v>48</v>
      </c>
      <c r="O3100" s="117"/>
      <c r="P3100" s="117"/>
      <c r="Q3100" s="117"/>
    </row>
    <row r="3101" spans="1:17" s="110" customFormat="1" ht="17.5" customHeight="1">
      <c r="A3101" s="109" t="s">
        <v>7437</v>
      </c>
      <c r="B3101" s="109" t="s">
        <v>7438</v>
      </c>
      <c r="C3101" s="111">
        <v>2012</v>
      </c>
      <c r="D3101" s="112">
        <v>185</v>
      </c>
      <c r="E3101" s="112">
        <v>1641</v>
      </c>
      <c r="F3101" s="112">
        <v>733</v>
      </c>
      <c r="G3101" s="112">
        <v>940</v>
      </c>
      <c r="H3101" s="112">
        <v>375</v>
      </c>
      <c r="I3101" s="112">
        <v>64</v>
      </c>
      <c r="J3101" s="112">
        <v>69</v>
      </c>
      <c r="K3101" s="112">
        <v>5</v>
      </c>
      <c r="L3101" s="112">
        <v>299</v>
      </c>
      <c r="M3101" s="112">
        <v>268</v>
      </c>
      <c r="N3101" s="112">
        <v>31</v>
      </c>
    </row>
    <row r="3102" spans="1:17" s="110" customFormat="1" ht="17.5" customHeight="1">
      <c r="A3102" s="109" t="s">
        <v>7437</v>
      </c>
      <c r="B3102" s="109" t="s">
        <v>7438</v>
      </c>
      <c r="C3102" s="113">
        <v>2013</v>
      </c>
      <c r="D3102" s="112">
        <v>173</v>
      </c>
      <c r="E3102" s="112">
        <v>1569</v>
      </c>
      <c r="F3102" s="112">
        <v>593</v>
      </c>
      <c r="G3102" s="112">
        <v>959</v>
      </c>
      <c r="H3102" s="112">
        <v>376</v>
      </c>
      <c r="I3102" s="112">
        <v>42</v>
      </c>
      <c r="J3102" s="112">
        <v>47</v>
      </c>
      <c r="K3102" s="112">
        <v>5</v>
      </c>
      <c r="L3102" s="112">
        <v>269</v>
      </c>
      <c r="M3102" s="112">
        <v>288</v>
      </c>
      <c r="N3102" s="112">
        <v>-19</v>
      </c>
    </row>
    <row r="3103" spans="1:17" s="110" customFormat="1" ht="17.5" customHeight="1">
      <c r="A3103" s="109" t="s">
        <v>7437</v>
      </c>
      <c r="B3103" s="109" t="s">
        <v>7438</v>
      </c>
      <c r="C3103" s="113">
        <v>2014</v>
      </c>
      <c r="D3103" s="99">
        <v>167</v>
      </c>
      <c r="E3103" s="99">
        <v>1491</v>
      </c>
      <c r="F3103" s="99">
        <v>586</v>
      </c>
      <c r="G3103" s="99">
        <v>908</v>
      </c>
      <c r="H3103" s="99">
        <v>373</v>
      </c>
      <c r="I3103" s="99">
        <v>55</v>
      </c>
      <c r="J3103" s="99">
        <v>60</v>
      </c>
      <c r="K3103" s="99">
        <v>5</v>
      </c>
      <c r="L3103" s="99">
        <v>267</v>
      </c>
      <c r="M3103" s="99">
        <v>266</v>
      </c>
      <c r="N3103" s="99" t="s">
        <v>6952</v>
      </c>
    </row>
    <row r="3104" spans="1:17" s="110" customFormat="1" ht="17.5" customHeight="1">
      <c r="A3104" s="109" t="s">
        <v>7437</v>
      </c>
      <c r="B3104" s="109" t="s">
        <v>7438</v>
      </c>
      <c r="C3104" s="113">
        <v>2015</v>
      </c>
      <c r="D3104" s="112">
        <v>169</v>
      </c>
      <c r="E3104" s="112">
        <v>1479</v>
      </c>
      <c r="F3104" s="112">
        <v>594</v>
      </c>
      <c r="G3104" s="112">
        <v>850</v>
      </c>
      <c r="H3104" s="112">
        <v>468</v>
      </c>
      <c r="I3104" s="112">
        <v>85</v>
      </c>
      <c r="J3104" s="112">
        <v>88</v>
      </c>
      <c r="K3104" s="112">
        <v>4</v>
      </c>
      <c r="L3104" s="112">
        <v>206</v>
      </c>
      <c r="M3104" s="112">
        <v>245</v>
      </c>
      <c r="N3104" s="112">
        <v>-39</v>
      </c>
      <c r="O3104" s="100"/>
      <c r="P3104" s="100"/>
      <c r="Q3104" s="100"/>
    </row>
    <row r="3105" spans="1:17" s="110" customFormat="1" ht="17.5" customHeight="1">
      <c r="A3105" s="109" t="s">
        <v>7437</v>
      </c>
      <c r="B3105" s="109" t="s">
        <v>7438</v>
      </c>
      <c r="C3105" s="113">
        <v>2016</v>
      </c>
      <c r="D3105" s="112">
        <v>158</v>
      </c>
      <c r="E3105" s="112">
        <v>1343</v>
      </c>
      <c r="F3105" s="112">
        <v>605</v>
      </c>
      <c r="G3105" s="112">
        <v>728</v>
      </c>
      <c r="H3105" s="112">
        <v>417</v>
      </c>
      <c r="I3105" s="112">
        <v>42</v>
      </c>
      <c r="J3105" s="112">
        <v>44</v>
      </c>
      <c r="K3105" s="112">
        <v>2</v>
      </c>
      <c r="L3105" s="112">
        <v>231</v>
      </c>
      <c r="M3105" s="112">
        <v>253</v>
      </c>
      <c r="N3105" s="112">
        <v>-22</v>
      </c>
    </row>
    <row r="3106" spans="1:17" s="110" customFormat="1" ht="17.5" customHeight="1">
      <c r="A3106" s="109" t="s">
        <v>7437</v>
      </c>
      <c r="B3106" s="109" t="s">
        <v>7438</v>
      </c>
      <c r="C3106" s="113">
        <v>2017</v>
      </c>
      <c r="D3106" s="112">
        <v>158</v>
      </c>
      <c r="E3106" s="112">
        <v>1367</v>
      </c>
      <c r="F3106" s="112">
        <v>610</v>
      </c>
      <c r="G3106" s="112">
        <v>752</v>
      </c>
      <c r="H3106" s="112">
        <v>367</v>
      </c>
      <c r="I3106" s="112">
        <v>34</v>
      </c>
      <c r="J3106" s="112">
        <v>39</v>
      </c>
      <c r="K3106" s="112">
        <v>5</v>
      </c>
      <c r="L3106" s="112">
        <v>218</v>
      </c>
      <c r="M3106" s="112">
        <v>225</v>
      </c>
      <c r="N3106" s="112">
        <v>-7</v>
      </c>
      <c r="O3106" s="100"/>
      <c r="P3106" s="100"/>
      <c r="Q3106" s="100"/>
    </row>
    <row r="3107" spans="1:17" s="110" customFormat="1" ht="17.5" customHeight="1">
      <c r="A3107" s="109" t="s">
        <v>7437</v>
      </c>
      <c r="B3107" s="109" t="s">
        <v>7438</v>
      </c>
      <c r="C3107" s="113">
        <v>2018</v>
      </c>
      <c r="D3107" s="112">
        <v>165</v>
      </c>
      <c r="E3107" s="112">
        <v>1460</v>
      </c>
      <c r="F3107" s="112">
        <v>696</v>
      </c>
      <c r="G3107" s="112">
        <v>795</v>
      </c>
      <c r="H3107" s="112">
        <v>423</v>
      </c>
      <c r="I3107" s="112">
        <v>59</v>
      </c>
      <c r="J3107" s="112">
        <v>62</v>
      </c>
      <c r="K3107" s="112">
        <v>3</v>
      </c>
      <c r="L3107" s="112">
        <v>252</v>
      </c>
      <c r="M3107" s="112">
        <v>232</v>
      </c>
      <c r="N3107" s="112">
        <v>21</v>
      </c>
      <c r="O3107" s="100"/>
      <c r="P3107" s="100"/>
      <c r="Q3107" s="100"/>
    </row>
    <row r="3108" spans="1:17" s="110" customFormat="1" ht="17.5" customHeight="1">
      <c r="A3108" s="109" t="s">
        <v>7437</v>
      </c>
      <c r="B3108" s="109" t="s">
        <v>7438</v>
      </c>
      <c r="C3108" s="113">
        <v>2019</v>
      </c>
      <c r="D3108" s="112">
        <v>166</v>
      </c>
      <c r="E3108" s="112">
        <v>1426.8201779999999</v>
      </c>
      <c r="F3108" s="112">
        <v>618.88320799999997</v>
      </c>
      <c r="G3108" s="112">
        <v>813.68198600000005</v>
      </c>
      <c r="H3108" s="112">
        <v>432.917959</v>
      </c>
      <c r="I3108" s="112">
        <v>35.059550999999999</v>
      </c>
      <c r="J3108" s="112">
        <v>45.018692000000001</v>
      </c>
      <c r="K3108" s="112">
        <v>9.9591410000000007</v>
      </c>
      <c r="L3108" s="112">
        <v>241.886134</v>
      </c>
      <c r="M3108" s="112">
        <v>235.48186100000001</v>
      </c>
      <c r="N3108" s="112">
        <v>6.4042729999999999</v>
      </c>
    </row>
    <row r="3109" spans="1:17" s="110" customFormat="1" ht="17.5" customHeight="1">
      <c r="A3109" s="114" t="s">
        <v>7437</v>
      </c>
      <c r="B3109" s="114" t="s">
        <v>7438</v>
      </c>
      <c r="C3109" s="113">
        <v>2020</v>
      </c>
      <c r="D3109" s="112">
        <v>165</v>
      </c>
      <c r="E3109" s="112">
        <v>1057.142556</v>
      </c>
      <c r="F3109" s="112">
        <v>517.79303500000003</v>
      </c>
      <c r="G3109" s="112">
        <v>546.65383699999995</v>
      </c>
      <c r="H3109" s="112">
        <v>371.58718699999997</v>
      </c>
      <c r="I3109" s="112">
        <v>50.266938000000003</v>
      </c>
      <c r="J3109" s="112">
        <v>50.955039999999997</v>
      </c>
      <c r="K3109" s="112">
        <v>0.68810199999999999</v>
      </c>
      <c r="L3109" s="112">
        <v>198.60518300000001</v>
      </c>
      <c r="M3109" s="112">
        <v>199.66912400000001</v>
      </c>
      <c r="N3109" s="112">
        <v>-1.063941</v>
      </c>
    </row>
    <row r="3110" spans="1:17" s="110" customFormat="1" ht="31.75" customHeight="1">
      <c r="A3110" s="109" t="s">
        <v>7439</v>
      </c>
      <c r="B3110" s="109" t="s">
        <v>7440</v>
      </c>
      <c r="C3110" s="98">
        <v>2008</v>
      </c>
      <c r="D3110" s="99">
        <v>301</v>
      </c>
      <c r="E3110" s="99">
        <v>1211</v>
      </c>
      <c r="F3110" s="99">
        <v>487</v>
      </c>
      <c r="G3110" s="99">
        <v>737</v>
      </c>
      <c r="H3110" s="99">
        <v>295</v>
      </c>
      <c r="I3110" s="99">
        <v>26</v>
      </c>
      <c r="J3110" s="99">
        <v>40</v>
      </c>
      <c r="K3110" s="99">
        <v>14</v>
      </c>
      <c r="L3110" s="99">
        <v>159</v>
      </c>
      <c r="M3110" s="99">
        <v>144</v>
      </c>
      <c r="N3110" s="99">
        <v>16</v>
      </c>
    </row>
    <row r="3111" spans="1:17" s="110" customFormat="1" ht="31.75" customHeight="1">
      <c r="A3111" s="109" t="s">
        <v>7439</v>
      </c>
      <c r="B3111" s="109" t="s">
        <v>7440</v>
      </c>
      <c r="C3111" s="98">
        <v>2009</v>
      </c>
      <c r="D3111" s="99">
        <v>278</v>
      </c>
      <c r="E3111" s="99">
        <v>1011</v>
      </c>
      <c r="F3111" s="99">
        <v>346</v>
      </c>
      <c r="G3111" s="99">
        <v>635</v>
      </c>
      <c r="H3111" s="99">
        <v>273</v>
      </c>
      <c r="I3111" s="99">
        <v>15</v>
      </c>
      <c r="J3111" s="99">
        <v>18</v>
      </c>
      <c r="K3111" s="99">
        <v>3</v>
      </c>
      <c r="L3111" s="99">
        <v>135</v>
      </c>
      <c r="M3111" s="99">
        <v>163</v>
      </c>
      <c r="N3111" s="99">
        <v>-27</v>
      </c>
      <c r="O3111" s="119"/>
      <c r="P3111" s="119"/>
      <c r="Q3111" s="119"/>
    </row>
    <row r="3112" spans="1:17" s="110" customFormat="1" ht="31.75" customHeight="1">
      <c r="A3112" s="109" t="s">
        <v>7439</v>
      </c>
      <c r="B3112" s="109" t="s">
        <v>7440</v>
      </c>
      <c r="C3112" s="98">
        <v>2010</v>
      </c>
      <c r="D3112" s="99">
        <v>260</v>
      </c>
      <c r="E3112" s="99">
        <v>1133</v>
      </c>
      <c r="F3112" s="99">
        <v>452</v>
      </c>
      <c r="G3112" s="99">
        <v>681</v>
      </c>
      <c r="H3112" s="99">
        <v>299</v>
      </c>
      <c r="I3112" s="99">
        <v>20</v>
      </c>
      <c r="J3112" s="99">
        <v>24</v>
      </c>
      <c r="K3112" s="99">
        <v>5</v>
      </c>
      <c r="L3112" s="99">
        <v>150</v>
      </c>
      <c r="M3112" s="99">
        <v>145</v>
      </c>
      <c r="N3112" s="99">
        <v>5</v>
      </c>
      <c r="O3112" s="119"/>
      <c r="P3112" s="119"/>
      <c r="Q3112" s="119"/>
    </row>
    <row r="3113" spans="1:17" s="110" customFormat="1" ht="31.75" customHeight="1">
      <c r="A3113" s="109" t="s">
        <v>7439</v>
      </c>
      <c r="B3113" s="109" t="s">
        <v>7440</v>
      </c>
      <c r="C3113" s="98">
        <v>2011</v>
      </c>
      <c r="D3113" s="99">
        <v>246</v>
      </c>
      <c r="E3113" s="99">
        <v>1299</v>
      </c>
      <c r="F3113" s="99">
        <v>514</v>
      </c>
      <c r="G3113" s="99">
        <v>817</v>
      </c>
      <c r="H3113" s="99">
        <v>327</v>
      </c>
      <c r="I3113" s="99">
        <v>63</v>
      </c>
      <c r="J3113" s="99">
        <v>68</v>
      </c>
      <c r="K3113" s="99">
        <v>5</v>
      </c>
      <c r="L3113" s="99">
        <v>186</v>
      </c>
      <c r="M3113" s="99">
        <v>152</v>
      </c>
      <c r="N3113" s="99">
        <v>34</v>
      </c>
      <c r="O3113" s="119"/>
      <c r="P3113" s="119"/>
      <c r="Q3113" s="119"/>
    </row>
    <row r="3114" spans="1:17" s="110" customFormat="1" ht="31.75" customHeight="1">
      <c r="A3114" s="109" t="s">
        <v>7439</v>
      </c>
      <c r="B3114" s="109" t="s">
        <v>7440</v>
      </c>
      <c r="C3114" s="111">
        <v>2012</v>
      </c>
      <c r="D3114" s="112">
        <v>228</v>
      </c>
      <c r="E3114" s="112">
        <v>1280</v>
      </c>
      <c r="F3114" s="112">
        <v>508</v>
      </c>
      <c r="G3114" s="112">
        <v>780</v>
      </c>
      <c r="H3114" s="112">
        <v>321</v>
      </c>
      <c r="I3114" s="112">
        <v>74</v>
      </c>
      <c r="J3114" s="112">
        <v>83</v>
      </c>
      <c r="K3114" s="112">
        <v>9</v>
      </c>
      <c r="L3114" s="112">
        <v>185</v>
      </c>
      <c r="M3114" s="112">
        <v>175</v>
      </c>
      <c r="N3114" s="112">
        <v>10</v>
      </c>
    </row>
    <row r="3115" spans="1:17" s="110" customFormat="1" ht="31.75" customHeight="1">
      <c r="A3115" s="109" t="s">
        <v>7439</v>
      </c>
      <c r="B3115" s="109" t="s">
        <v>7440</v>
      </c>
      <c r="C3115" s="113">
        <v>2013</v>
      </c>
      <c r="D3115" s="112">
        <v>228</v>
      </c>
      <c r="E3115" s="112">
        <v>1267</v>
      </c>
      <c r="F3115" s="112">
        <v>521</v>
      </c>
      <c r="G3115" s="112">
        <v>739</v>
      </c>
      <c r="H3115" s="112">
        <v>321</v>
      </c>
      <c r="I3115" s="112">
        <v>41</v>
      </c>
      <c r="J3115" s="112">
        <v>44</v>
      </c>
      <c r="K3115" s="112">
        <v>3</v>
      </c>
      <c r="L3115" s="112">
        <v>184</v>
      </c>
      <c r="M3115" s="112">
        <v>188</v>
      </c>
      <c r="N3115" s="112">
        <v>-4</v>
      </c>
    </row>
    <row r="3116" spans="1:17" s="110" customFormat="1" ht="31.75" customHeight="1">
      <c r="A3116" s="109" t="s">
        <v>7439</v>
      </c>
      <c r="B3116" s="109" t="s">
        <v>7440</v>
      </c>
      <c r="C3116" s="113">
        <v>2014</v>
      </c>
      <c r="D3116" s="99">
        <v>246</v>
      </c>
      <c r="E3116" s="99">
        <v>1289</v>
      </c>
      <c r="F3116" s="99">
        <v>497</v>
      </c>
      <c r="G3116" s="99">
        <v>808</v>
      </c>
      <c r="H3116" s="99">
        <v>296</v>
      </c>
      <c r="I3116" s="99">
        <v>40</v>
      </c>
      <c r="J3116" s="99">
        <v>46</v>
      </c>
      <c r="K3116" s="99">
        <v>6</v>
      </c>
      <c r="L3116" s="99">
        <v>169</v>
      </c>
      <c r="M3116" s="99">
        <v>153</v>
      </c>
      <c r="N3116" s="99">
        <v>16</v>
      </c>
      <c r="O3116" s="100"/>
      <c r="P3116" s="100"/>
      <c r="Q3116" s="100"/>
    </row>
    <row r="3117" spans="1:17" s="110" customFormat="1" ht="31.75" customHeight="1">
      <c r="A3117" s="109" t="s">
        <v>7439</v>
      </c>
      <c r="B3117" s="109" t="s">
        <v>7440</v>
      </c>
      <c r="C3117" s="113">
        <v>2015</v>
      </c>
      <c r="D3117" s="112">
        <v>212</v>
      </c>
      <c r="E3117" s="112">
        <v>1246</v>
      </c>
      <c r="F3117" s="112">
        <v>490</v>
      </c>
      <c r="G3117" s="112">
        <v>748</v>
      </c>
      <c r="H3117" s="112">
        <v>371</v>
      </c>
      <c r="I3117" s="112">
        <v>31</v>
      </c>
      <c r="J3117" s="112">
        <v>34</v>
      </c>
      <c r="K3117" s="112">
        <v>3</v>
      </c>
      <c r="L3117" s="112">
        <v>141</v>
      </c>
      <c r="M3117" s="112">
        <v>147</v>
      </c>
      <c r="N3117" s="112">
        <v>-6</v>
      </c>
    </row>
    <row r="3118" spans="1:17" s="110" customFormat="1" ht="31.75" customHeight="1">
      <c r="A3118" s="109" t="s">
        <v>7439</v>
      </c>
      <c r="B3118" s="109" t="s">
        <v>7440</v>
      </c>
      <c r="C3118" s="113">
        <v>2016</v>
      </c>
      <c r="D3118" s="112">
        <v>213</v>
      </c>
      <c r="E3118" s="112">
        <v>1187</v>
      </c>
      <c r="F3118" s="112">
        <v>423</v>
      </c>
      <c r="G3118" s="112">
        <v>764</v>
      </c>
      <c r="H3118" s="112">
        <v>284</v>
      </c>
      <c r="I3118" s="112">
        <v>33</v>
      </c>
      <c r="J3118" s="112">
        <v>36</v>
      </c>
      <c r="K3118" s="112">
        <v>3</v>
      </c>
      <c r="L3118" s="112">
        <v>162</v>
      </c>
      <c r="M3118" s="112">
        <v>161</v>
      </c>
      <c r="N3118" s="112">
        <v>2</v>
      </c>
      <c r="O3118" s="100"/>
      <c r="P3118" s="100"/>
      <c r="Q3118" s="100"/>
    </row>
    <row r="3119" spans="1:17" s="110" customFormat="1" ht="31.75" customHeight="1">
      <c r="A3119" s="109" t="s">
        <v>7439</v>
      </c>
      <c r="B3119" s="109" t="s">
        <v>7440</v>
      </c>
      <c r="C3119" s="113">
        <v>2017</v>
      </c>
      <c r="D3119" s="112">
        <v>204</v>
      </c>
      <c r="E3119" s="112">
        <v>1220</v>
      </c>
      <c r="F3119" s="112">
        <v>503</v>
      </c>
      <c r="G3119" s="112">
        <v>735</v>
      </c>
      <c r="H3119" s="112">
        <v>285</v>
      </c>
      <c r="I3119" s="112">
        <v>36</v>
      </c>
      <c r="J3119" s="112">
        <v>38</v>
      </c>
      <c r="K3119" s="112">
        <v>2</v>
      </c>
      <c r="L3119" s="112">
        <v>178</v>
      </c>
      <c r="M3119" s="112">
        <v>158</v>
      </c>
      <c r="N3119" s="112">
        <v>20</v>
      </c>
      <c r="O3119" s="100"/>
      <c r="P3119" s="100"/>
      <c r="Q3119" s="100"/>
    </row>
    <row r="3120" spans="1:17" s="110" customFormat="1" ht="31.75" customHeight="1">
      <c r="A3120" s="109" t="s">
        <v>7439</v>
      </c>
      <c r="B3120" s="109" t="s">
        <v>7440</v>
      </c>
      <c r="C3120" s="113">
        <v>2018</v>
      </c>
      <c r="D3120" s="112">
        <v>195</v>
      </c>
      <c r="E3120" s="112">
        <v>1274</v>
      </c>
      <c r="F3120" s="112">
        <v>461</v>
      </c>
      <c r="G3120" s="112">
        <v>822</v>
      </c>
      <c r="H3120" s="112">
        <v>293</v>
      </c>
      <c r="I3120" s="112">
        <v>46</v>
      </c>
      <c r="J3120" s="112">
        <v>49</v>
      </c>
      <c r="K3120" s="112">
        <v>3</v>
      </c>
      <c r="L3120" s="112">
        <v>185</v>
      </c>
      <c r="M3120" s="112">
        <v>174</v>
      </c>
      <c r="N3120" s="112">
        <v>11</v>
      </c>
    </row>
    <row r="3121" spans="1:17" s="110" customFormat="1" ht="31.75" customHeight="1">
      <c r="A3121" s="109" t="s">
        <v>7439</v>
      </c>
      <c r="B3121" s="109" t="s">
        <v>7440</v>
      </c>
      <c r="C3121" s="113">
        <v>2019</v>
      </c>
      <c r="D3121" s="112">
        <v>195</v>
      </c>
      <c r="E3121" s="112">
        <v>1397.125446</v>
      </c>
      <c r="F3121" s="112">
        <v>550.40941599999996</v>
      </c>
      <c r="G3121" s="112">
        <v>856.90918699999997</v>
      </c>
      <c r="H3121" s="112">
        <v>324.83160299999997</v>
      </c>
      <c r="I3121" s="112">
        <v>42.067093999999997</v>
      </c>
      <c r="J3121" s="112">
        <v>44.762383999999997</v>
      </c>
      <c r="K3121" s="112">
        <v>2.69529</v>
      </c>
      <c r="L3121" s="112">
        <v>195.951898</v>
      </c>
      <c r="M3121" s="112">
        <v>184.106357</v>
      </c>
      <c r="N3121" s="112">
        <v>11.845541000000001</v>
      </c>
    </row>
    <row r="3122" spans="1:17" s="110" customFormat="1" ht="31.75" customHeight="1">
      <c r="A3122" s="114" t="s">
        <v>7439</v>
      </c>
      <c r="B3122" s="114" t="s">
        <v>7440</v>
      </c>
      <c r="C3122" s="113">
        <v>2020</v>
      </c>
      <c r="D3122" s="112">
        <v>191</v>
      </c>
      <c r="E3122" s="112">
        <v>1179.918128</v>
      </c>
      <c r="F3122" s="112">
        <v>459.54277400000001</v>
      </c>
      <c r="G3122" s="112">
        <v>709.64061300000003</v>
      </c>
      <c r="H3122" s="112">
        <v>281.25375000000003</v>
      </c>
      <c r="I3122" s="112">
        <v>73.241730000000004</v>
      </c>
      <c r="J3122" s="112">
        <v>77.666066999999998</v>
      </c>
      <c r="K3122" s="112">
        <v>4.4243370000000004</v>
      </c>
      <c r="L3122" s="112">
        <v>173.15974499999999</v>
      </c>
      <c r="M3122" s="112">
        <v>183.32891799999999</v>
      </c>
      <c r="N3122" s="112">
        <v>-10.169173000000001</v>
      </c>
      <c r="O3122" s="119"/>
      <c r="P3122" s="119"/>
      <c r="Q3122" s="119"/>
    </row>
    <row r="3123" spans="1:17" s="110" customFormat="1" ht="17.5" customHeight="1">
      <c r="A3123" s="109" t="s">
        <v>7441</v>
      </c>
      <c r="B3123" s="109" t="s">
        <v>7442</v>
      </c>
      <c r="C3123" s="98">
        <v>2008</v>
      </c>
      <c r="D3123" s="99">
        <v>3924</v>
      </c>
      <c r="E3123" s="99">
        <v>12099</v>
      </c>
      <c r="F3123" s="99">
        <v>4225</v>
      </c>
      <c r="G3123" s="99">
        <v>7835</v>
      </c>
      <c r="H3123" s="99">
        <v>2514</v>
      </c>
      <c r="I3123" s="99">
        <v>160</v>
      </c>
      <c r="J3123" s="99">
        <v>300</v>
      </c>
      <c r="K3123" s="99">
        <v>139</v>
      </c>
      <c r="L3123" s="99">
        <v>1123</v>
      </c>
      <c r="M3123" s="99">
        <v>1173</v>
      </c>
      <c r="N3123" s="99">
        <v>-50</v>
      </c>
      <c r="O3123" s="119"/>
      <c r="P3123" s="119"/>
      <c r="Q3123" s="119"/>
    </row>
    <row r="3124" spans="1:17" s="110" customFormat="1" ht="17.5" customHeight="1">
      <c r="A3124" s="109" t="s">
        <v>7441</v>
      </c>
      <c r="B3124" s="109" t="s">
        <v>7442</v>
      </c>
      <c r="C3124" s="98">
        <v>2009</v>
      </c>
      <c r="D3124" s="99">
        <v>3886</v>
      </c>
      <c r="E3124" s="99">
        <v>9060</v>
      </c>
      <c r="F3124" s="99">
        <v>3368</v>
      </c>
      <c r="G3124" s="99">
        <v>5499</v>
      </c>
      <c r="H3124" s="99">
        <v>2190</v>
      </c>
      <c r="I3124" s="99">
        <v>84</v>
      </c>
      <c r="J3124" s="99">
        <v>182</v>
      </c>
      <c r="K3124" s="99">
        <v>98</v>
      </c>
      <c r="L3124" s="99">
        <v>1182</v>
      </c>
      <c r="M3124" s="99">
        <v>1391</v>
      </c>
      <c r="N3124" s="99">
        <v>-209</v>
      </c>
      <c r="O3124" s="119"/>
      <c r="P3124" s="119"/>
      <c r="Q3124" s="119"/>
    </row>
    <row r="3125" spans="1:17" s="110" customFormat="1" ht="17.5" customHeight="1">
      <c r="A3125" s="109" t="s">
        <v>7441</v>
      </c>
      <c r="B3125" s="109" t="s">
        <v>7442</v>
      </c>
      <c r="C3125" s="98">
        <v>2010</v>
      </c>
      <c r="D3125" s="99">
        <v>3731</v>
      </c>
      <c r="E3125" s="99">
        <v>9173</v>
      </c>
      <c r="F3125" s="99">
        <v>3580</v>
      </c>
      <c r="G3125" s="99">
        <v>5642</v>
      </c>
      <c r="H3125" s="99">
        <v>2283</v>
      </c>
      <c r="I3125" s="99">
        <v>113</v>
      </c>
      <c r="J3125" s="99">
        <v>153</v>
      </c>
      <c r="K3125" s="99">
        <v>40</v>
      </c>
      <c r="L3125" s="99">
        <v>992</v>
      </c>
      <c r="M3125" s="99">
        <v>937</v>
      </c>
      <c r="N3125" s="99">
        <v>55</v>
      </c>
      <c r="O3125" s="119"/>
      <c r="P3125" s="119"/>
      <c r="Q3125" s="119"/>
    </row>
    <row r="3126" spans="1:17" s="110" customFormat="1" ht="17.5" customHeight="1">
      <c r="A3126" s="109" t="s">
        <v>7441</v>
      </c>
      <c r="B3126" s="109" t="s">
        <v>7442</v>
      </c>
      <c r="C3126" s="98">
        <v>2011</v>
      </c>
      <c r="D3126" s="99">
        <v>3621</v>
      </c>
      <c r="E3126" s="99">
        <v>10670</v>
      </c>
      <c r="F3126" s="99">
        <v>3761</v>
      </c>
      <c r="G3126" s="99">
        <v>7005</v>
      </c>
      <c r="H3126" s="99">
        <v>2381</v>
      </c>
      <c r="I3126" s="99">
        <v>68</v>
      </c>
      <c r="J3126" s="99">
        <v>183</v>
      </c>
      <c r="K3126" s="99">
        <v>115</v>
      </c>
      <c r="L3126" s="99">
        <v>1111</v>
      </c>
      <c r="M3126" s="99">
        <v>1004</v>
      </c>
      <c r="N3126" s="99">
        <v>107</v>
      </c>
    </row>
    <row r="3127" spans="1:17" s="110" customFormat="1" ht="17.5" customHeight="1">
      <c r="A3127" s="109" t="s">
        <v>7441</v>
      </c>
      <c r="B3127" s="109" t="s">
        <v>7442</v>
      </c>
      <c r="C3127" s="111">
        <v>2012</v>
      </c>
      <c r="D3127" s="112">
        <v>3474</v>
      </c>
      <c r="E3127" s="112">
        <v>10396</v>
      </c>
      <c r="F3127" s="112">
        <v>3664</v>
      </c>
      <c r="G3127" s="112">
        <v>6701</v>
      </c>
      <c r="H3127" s="112">
        <v>2128</v>
      </c>
      <c r="I3127" s="112">
        <v>180</v>
      </c>
      <c r="J3127" s="112">
        <v>203</v>
      </c>
      <c r="K3127" s="112">
        <v>23</v>
      </c>
      <c r="L3127" s="112">
        <v>1060</v>
      </c>
      <c r="M3127" s="112">
        <v>1094</v>
      </c>
      <c r="N3127" s="112">
        <v>-34</v>
      </c>
    </row>
    <row r="3128" spans="1:17" s="110" customFormat="1" ht="17.5" customHeight="1">
      <c r="A3128" s="109" t="s">
        <v>7441</v>
      </c>
      <c r="B3128" s="109" t="s">
        <v>7442</v>
      </c>
      <c r="C3128" s="113">
        <v>2013</v>
      </c>
      <c r="D3128" s="112">
        <v>3442</v>
      </c>
      <c r="E3128" s="112">
        <v>9990</v>
      </c>
      <c r="F3128" s="112">
        <v>3734</v>
      </c>
      <c r="G3128" s="112">
        <v>6272</v>
      </c>
      <c r="H3128" s="112">
        <v>2124</v>
      </c>
      <c r="I3128" s="112">
        <v>197</v>
      </c>
      <c r="J3128" s="112">
        <v>222</v>
      </c>
      <c r="K3128" s="112">
        <v>25</v>
      </c>
      <c r="L3128" s="112">
        <v>1052</v>
      </c>
      <c r="M3128" s="112">
        <v>1026</v>
      </c>
      <c r="N3128" s="112">
        <v>26</v>
      </c>
      <c r="O3128" s="100"/>
      <c r="P3128" s="100"/>
      <c r="Q3128" s="100"/>
    </row>
    <row r="3129" spans="1:17" s="110" customFormat="1" ht="17.5" customHeight="1">
      <c r="A3129" s="109" t="s">
        <v>7441</v>
      </c>
      <c r="B3129" s="109" t="s">
        <v>7442</v>
      </c>
      <c r="C3129" s="113">
        <v>2014</v>
      </c>
      <c r="D3129" s="99">
        <v>3420</v>
      </c>
      <c r="E3129" s="99">
        <v>11229</v>
      </c>
      <c r="F3129" s="99">
        <v>4029</v>
      </c>
      <c r="G3129" s="99">
        <v>7291</v>
      </c>
      <c r="H3129" s="99">
        <v>2335</v>
      </c>
      <c r="I3129" s="99">
        <v>225</v>
      </c>
      <c r="J3129" s="99">
        <v>328</v>
      </c>
      <c r="K3129" s="99">
        <v>103</v>
      </c>
      <c r="L3129" s="99">
        <v>1153</v>
      </c>
      <c r="M3129" s="99">
        <v>1067</v>
      </c>
      <c r="N3129" s="99">
        <v>86</v>
      </c>
    </row>
    <row r="3130" spans="1:17" s="110" customFormat="1" ht="17.5" customHeight="1">
      <c r="A3130" s="109" t="s">
        <v>7441</v>
      </c>
      <c r="B3130" s="109" t="s">
        <v>7442</v>
      </c>
      <c r="C3130" s="113">
        <v>2015</v>
      </c>
      <c r="D3130" s="112">
        <v>3423</v>
      </c>
      <c r="E3130" s="112">
        <v>11422</v>
      </c>
      <c r="F3130" s="112">
        <v>3877</v>
      </c>
      <c r="G3130" s="112">
        <v>7555</v>
      </c>
      <c r="H3130" s="112">
        <v>2438</v>
      </c>
      <c r="I3130" s="112">
        <v>236</v>
      </c>
      <c r="J3130" s="112">
        <v>261</v>
      </c>
      <c r="K3130" s="112">
        <v>25</v>
      </c>
      <c r="L3130" s="112">
        <v>1222</v>
      </c>
      <c r="M3130" s="112">
        <v>1212</v>
      </c>
      <c r="N3130" s="112">
        <v>10</v>
      </c>
      <c r="O3130" s="100"/>
      <c r="P3130" s="100"/>
      <c r="Q3130" s="100"/>
    </row>
    <row r="3131" spans="1:17" s="110" customFormat="1" ht="17.5" customHeight="1">
      <c r="A3131" s="109" t="s">
        <v>7441</v>
      </c>
      <c r="B3131" s="109" t="s">
        <v>7442</v>
      </c>
      <c r="C3131" s="113">
        <v>2016</v>
      </c>
      <c r="D3131" s="112">
        <v>3440</v>
      </c>
      <c r="E3131" s="112">
        <v>11480</v>
      </c>
      <c r="F3131" s="112">
        <v>4149</v>
      </c>
      <c r="G3131" s="112">
        <v>7457</v>
      </c>
      <c r="H3131" s="112">
        <v>2552</v>
      </c>
      <c r="I3131" s="112">
        <v>295</v>
      </c>
      <c r="J3131" s="112">
        <v>356</v>
      </c>
      <c r="K3131" s="112">
        <v>61</v>
      </c>
      <c r="L3131" s="112">
        <v>1277</v>
      </c>
      <c r="M3131" s="112">
        <v>1163</v>
      </c>
      <c r="N3131" s="112">
        <v>114</v>
      </c>
      <c r="O3131" s="100"/>
      <c r="P3131" s="100"/>
      <c r="Q3131" s="100"/>
    </row>
    <row r="3132" spans="1:17" s="110" customFormat="1" ht="17.5" customHeight="1">
      <c r="A3132" s="109" t="s">
        <v>7441</v>
      </c>
      <c r="B3132" s="109" t="s">
        <v>7442</v>
      </c>
      <c r="C3132" s="113">
        <v>2017</v>
      </c>
      <c r="D3132" s="112">
        <v>3335</v>
      </c>
      <c r="E3132" s="112">
        <v>12831</v>
      </c>
      <c r="F3132" s="112">
        <v>4187</v>
      </c>
      <c r="G3132" s="112">
        <v>8792</v>
      </c>
      <c r="H3132" s="112">
        <v>2533</v>
      </c>
      <c r="I3132" s="112">
        <v>310</v>
      </c>
      <c r="J3132" s="112">
        <v>371</v>
      </c>
      <c r="K3132" s="112">
        <v>60</v>
      </c>
      <c r="L3132" s="112">
        <v>1341</v>
      </c>
      <c r="M3132" s="112">
        <v>1196</v>
      </c>
      <c r="N3132" s="112">
        <v>144</v>
      </c>
    </row>
    <row r="3133" spans="1:17" s="110" customFormat="1" ht="17.5" customHeight="1">
      <c r="A3133" s="109" t="s">
        <v>7441</v>
      </c>
      <c r="B3133" s="109" t="s">
        <v>7442</v>
      </c>
      <c r="C3133" s="113">
        <v>2018</v>
      </c>
      <c r="D3133" s="112">
        <v>3274</v>
      </c>
      <c r="E3133" s="112">
        <v>13287</v>
      </c>
      <c r="F3133" s="112">
        <v>4747</v>
      </c>
      <c r="G3133" s="112">
        <v>8762</v>
      </c>
      <c r="H3133" s="112">
        <v>2660</v>
      </c>
      <c r="I3133" s="112">
        <v>255</v>
      </c>
      <c r="J3133" s="112">
        <v>310</v>
      </c>
      <c r="K3133" s="112">
        <v>55</v>
      </c>
      <c r="L3133" s="112">
        <v>1522</v>
      </c>
      <c r="M3133" s="112">
        <v>1292</v>
      </c>
      <c r="N3133" s="112">
        <v>230</v>
      </c>
    </row>
    <row r="3134" spans="1:17" s="110" customFormat="1" ht="17.5" customHeight="1">
      <c r="A3134" s="109" t="s">
        <v>7441</v>
      </c>
      <c r="B3134" s="109" t="s">
        <v>7442</v>
      </c>
      <c r="C3134" s="113">
        <v>2019</v>
      </c>
      <c r="D3134" s="112">
        <v>3159</v>
      </c>
      <c r="E3134" s="112">
        <v>13671.644989</v>
      </c>
      <c r="F3134" s="112">
        <v>4667.0682660000002</v>
      </c>
      <c r="G3134" s="112">
        <v>8967.6015399999997</v>
      </c>
      <c r="H3134" s="112">
        <v>2626.762193</v>
      </c>
      <c r="I3134" s="112">
        <v>267.803406</v>
      </c>
      <c r="J3134" s="112">
        <v>326.75637499999999</v>
      </c>
      <c r="K3134" s="112">
        <v>58.952969000000003</v>
      </c>
      <c r="L3134" s="112">
        <v>1566.9354350000001</v>
      </c>
      <c r="M3134" s="112">
        <v>1571.3927650000001</v>
      </c>
      <c r="N3134" s="112">
        <v>-4.4573289999999997</v>
      </c>
      <c r="O3134" s="119"/>
      <c r="P3134" s="119"/>
      <c r="Q3134" s="119"/>
    </row>
    <row r="3135" spans="1:17" s="110" customFormat="1" ht="17.5" customHeight="1">
      <c r="A3135" s="114" t="s">
        <v>7441</v>
      </c>
      <c r="B3135" s="114" t="s">
        <v>7443</v>
      </c>
      <c r="C3135" s="113">
        <v>2020</v>
      </c>
      <c r="D3135" s="112">
        <v>3151</v>
      </c>
      <c r="E3135" s="112">
        <v>11737.351397</v>
      </c>
      <c r="F3135" s="112">
        <v>3980.4992630000002</v>
      </c>
      <c r="G3135" s="112">
        <v>7731.8386309999996</v>
      </c>
      <c r="H3135" s="112">
        <v>2499.4087490000002</v>
      </c>
      <c r="I3135" s="112">
        <v>252.004965</v>
      </c>
      <c r="J3135" s="112">
        <v>282.38287600000001</v>
      </c>
      <c r="K3135" s="112">
        <v>30.377911000000001</v>
      </c>
      <c r="L3135" s="112">
        <v>1648.2386610000001</v>
      </c>
      <c r="M3135" s="112">
        <v>1671.0587370000001</v>
      </c>
      <c r="N3135" s="112">
        <v>-22.820076</v>
      </c>
      <c r="O3135" s="119"/>
      <c r="P3135" s="119"/>
      <c r="Q3135" s="119"/>
    </row>
    <row r="3136" spans="1:17" s="110" customFormat="1" ht="31.75" customHeight="1">
      <c r="A3136" s="109" t="s">
        <v>7444</v>
      </c>
      <c r="B3136" s="109" t="s">
        <v>7445</v>
      </c>
      <c r="C3136" s="98">
        <v>2008</v>
      </c>
      <c r="D3136" s="99">
        <v>169</v>
      </c>
      <c r="E3136" s="99">
        <v>373</v>
      </c>
      <c r="F3136" s="99">
        <v>146</v>
      </c>
      <c r="G3136" s="99">
        <v>227</v>
      </c>
      <c r="H3136" s="99">
        <v>87</v>
      </c>
      <c r="I3136" s="99">
        <v>-6</v>
      </c>
      <c r="J3136" s="99" t="s">
        <v>6953</v>
      </c>
      <c r="K3136" s="99" t="s">
        <v>6953</v>
      </c>
      <c r="L3136" s="99">
        <v>37</v>
      </c>
      <c r="M3136" s="99">
        <v>36</v>
      </c>
      <c r="N3136" s="99" t="s">
        <v>6952</v>
      </c>
      <c r="O3136" s="119"/>
      <c r="P3136" s="119"/>
      <c r="Q3136" s="119"/>
    </row>
    <row r="3137" spans="1:17" s="110" customFormat="1" ht="31.75" customHeight="1">
      <c r="A3137" s="109" t="s">
        <v>7444</v>
      </c>
      <c r="B3137" s="109" t="s">
        <v>7445</v>
      </c>
      <c r="C3137" s="98">
        <v>2009</v>
      </c>
      <c r="D3137" s="99">
        <v>165</v>
      </c>
      <c r="E3137" s="99">
        <v>293</v>
      </c>
      <c r="F3137" s="99">
        <v>114</v>
      </c>
      <c r="G3137" s="99">
        <v>170</v>
      </c>
      <c r="H3137" s="99">
        <v>81</v>
      </c>
      <c r="I3137" s="99" t="s">
        <v>6952</v>
      </c>
      <c r="J3137" s="99">
        <v>2</v>
      </c>
      <c r="K3137" s="99">
        <v>2</v>
      </c>
      <c r="L3137" s="99">
        <v>45</v>
      </c>
      <c r="M3137" s="99">
        <v>54</v>
      </c>
      <c r="N3137" s="99">
        <v>-9</v>
      </c>
      <c r="O3137" s="119"/>
      <c r="P3137" s="119"/>
      <c r="Q3137" s="119"/>
    </row>
    <row r="3138" spans="1:17" s="110" customFormat="1" ht="31.75" customHeight="1">
      <c r="A3138" s="109" t="s">
        <v>7444</v>
      </c>
      <c r="B3138" s="109" t="s">
        <v>7445</v>
      </c>
      <c r="C3138" s="98">
        <v>2010</v>
      </c>
      <c r="D3138" s="99">
        <v>155</v>
      </c>
      <c r="E3138" s="99">
        <v>254</v>
      </c>
      <c r="F3138" s="99">
        <v>135</v>
      </c>
      <c r="G3138" s="99">
        <v>126</v>
      </c>
      <c r="H3138" s="99">
        <v>72</v>
      </c>
      <c r="I3138" s="99" t="s">
        <v>6953</v>
      </c>
      <c r="J3138" s="99" t="s">
        <v>6953</v>
      </c>
      <c r="K3138" s="99" t="s">
        <v>6953</v>
      </c>
      <c r="L3138" s="99">
        <v>41</v>
      </c>
      <c r="M3138" s="99">
        <v>34</v>
      </c>
      <c r="N3138" s="99">
        <v>7</v>
      </c>
    </row>
    <row r="3139" spans="1:17" s="110" customFormat="1" ht="31.75" customHeight="1">
      <c r="A3139" s="109" t="s">
        <v>7444</v>
      </c>
      <c r="B3139" s="109" t="s">
        <v>7445</v>
      </c>
      <c r="C3139" s="98">
        <v>2011</v>
      </c>
      <c r="D3139" s="99">
        <v>154</v>
      </c>
      <c r="E3139" s="99">
        <v>396</v>
      </c>
      <c r="F3139" s="99" t="s">
        <v>6953</v>
      </c>
      <c r="G3139" s="99" t="s">
        <v>6953</v>
      </c>
      <c r="H3139" s="99">
        <v>83</v>
      </c>
      <c r="I3139" s="99" t="s">
        <v>6953</v>
      </c>
      <c r="J3139" s="99" t="s">
        <v>6953</v>
      </c>
      <c r="K3139" s="99">
        <v>3</v>
      </c>
      <c r="L3139" s="99" t="s">
        <v>6953</v>
      </c>
      <c r="M3139" s="99" t="s">
        <v>6953</v>
      </c>
      <c r="N3139" s="99" t="s">
        <v>6953</v>
      </c>
    </row>
    <row r="3140" spans="1:17" s="110" customFormat="1" ht="31.75" customHeight="1">
      <c r="A3140" s="109" t="s">
        <v>7444</v>
      </c>
      <c r="B3140" s="109" t="s">
        <v>7445</v>
      </c>
      <c r="C3140" s="111">
        <v>2012</v>
      </c>
      <c r="D3140" s="112">
        <v>153</v>
      </c>
      <c r="E3140" s="112">
        <v>395</v>
      </c>
      <c r="F3140" s="99" t="s">
        <v>6953</v>
      </c>
      <c r="G3140" s="99" t="s">
        <v>6953</v>
      </c>
      <c r="H3140" s="112">
        <v>82</v>
      </c>
      <c r="I3140" s="112">
        <v>6</v>
      </c>
      <c r="J3140" s="99" t="s">
        <v>6953</v>
      </c>
      <c r="K3140" s="99" t="s">
        <v>6953</v>
      </c>
      <c r="L3140" s="112">
        <v>61</v>
      </c>
      <c r="M3140" s="99" t="s">
        <v>6953</v>
      </c>
      <c r="N3140" s="99" t="s">
        <v>6953</v>
      </c>
      <c r="O3140" s="100"/>
      <c r="P3140" s="100"/>
      <c r="Q3140" s="100"/>
    </row>
    <row r="3141" spans="1:17" s="110" customFormat="1" ht="31.75" customHeight="1">
      <c r="A3141" s="109" t="s">
        <v>7444</v>
      </c>
      <c r="B3141" s="109" t="s">
        <v>7445</v>
      </c>
      <c r="C3141" s="113">
        <v>2013</v>
      </c>
      <c r="D3141" s="99" t="s">
        <v>6953</v>
      </c>
      <c r="E3141" s="99" t="s">
        <v>6953</v>
      </c>
      <c r="F3141" s="99" t="s">
        <v>6953</v>
      </c>
      <c r="G3141" s="99" t="s">
        <v>6953</v>
      </c>
      <c r="H3141" s="99" t="s">
        <v>6953</v>
      </c>
      <c r="I3141" s="99" t="s">
        <v>6953</v>
      </c>
      <c r="J3141" s="99" t="s">
        <v>6953</v>
      </c>
      <c r="K3141" s="99" t="s">
        <v>6953</v>
      </c>
      <c r="L3141" s="99" t="s">
        <v>6953</v>
      </c>
      <c r="M3141" s="99" t="s">
        <v>6953</v>
      </c>
      <c r="N3141" s="99" t="s">
        <v>6953</v>
      </c>
    </row>
    <row r="3142" spans="1:17" s="110" customFormat="1" ht="31.75" customHeight="1">
      <c r="A3142" s="109" t="s">
        <v>7444</v>
      </c>
      <c r="B3142" s="109" t="s">
        <v>7445</v>
      </c>
      <c r="C3142" s="113">
        <v>2014</v>
      </c>
      <c r="D3142" s="99">
        <v>164</v>
      </c>
      <c r="E3142" s="99">
        <v>304</v>
      </c>
      <c r="F3142" s="99">
        <v>121</v>
      </c>
      <c r="G3142" s="99">
        <v>181</v>
      </c>
      <c r="H3142" s="99">
        <v>72</v>
      </c>
      <c r="I3142" s="99">
        <v>7</v>
      </c>
      <c r="J3142" s="99">
        <v>7</v>
      </c>
      <c r="K3142" s="99" t="s">
        <v>6952</v>
      </c>
      <c r="L3142" s="99">
        <v>69</v>
      </c>
      <c r="M3142" s="99">
        <v>70</v>
      </c>
      <c r="N3142" s="99">
        <v>-2</v>
      </c>
      <c r="O3142" s="100"/>
      <c r="P3142" s="100"/>
      <c r="Q3142" s="100"/>
    </row>
    <row r="3143" spans="1:17" s="110" customFormat="1" ht="31.75" customHeight="1">
      <c r="A3143" s="109" t="s">
        <v>7444</v>
      </c>
      <c r="B3143" s="109" t="s">
        <v>7445</v>
      </c>
      <c r="C3143" s="113">
        <v>2015</v>
      </c>
      <c r="D3143" s="112">
        <v>187</v>
      </c>
      <c r="E3143" s="112">
        <v>282</v>
      </c>
      <c r="F3143" s="112">
        <v>129</v>
      </c>
      <c r="G3143" s="112">
        <v>154</v>
      </c>
      <c r="H3143" s="112">
        <v>59</v>
      </c>
      <c r="I3143" s="112">
        <v>12</v>
      </c>
      <c r="J3143" s="112">
        <v>12</v>
      </c>
      <c r="K3143" s="99" t="s">
        <v>6952</v>
      </c>
      <c r="L3143" s="112">
        <v>22</v>
      </c>
      <c r="M3143" s="112">
        <v>21</v>
      </c>
      <c r="N3143" s="112">
        <v>1</v>
      </c>
      <c r="O3143" s="100"/>
      <c r="P3143" s="100"/>
      <c r="Q3143" s="100"/>
    </row>
    <row r="3144" spans="1:17" s="110" customFormat="1" ht="31.75" customHeight="1">
      <c r="A3144" s="109" t="s">
        <v>7444</v>
      </c>
      <c r="B3144" s="109" t="s">
        <v>7445</v>
      </c>
      <c r="C3144" s="113">
        <v>2016</v>
      </c>
      <c r="D3144" s="112">
        <v>179</v>
      </c>
      <c r="E3144" s="112">
        <v>235</v>
      </c>
      <c r="F3144" s="112">
        <v>75</v>
      </c>
      <c r="G3144" s="112">
        <v>164</v>
      </c>
      <c r="H3144" s="112">
        <v>60</v>
      </c>
      <c r="I3144" s="99" t="s">
        <v>6953</v>
      </c>
      <c r="J3144" s="112">
        <v>4</v>
      </c>
      <c r="K3144" s="99" t="s">
        <v>6953</v>
      </c>
      <c r="L3144" s="112">
        <v>30</v>
      </c>
      <c r="M3144" s="112">
        <v>27</v>
      </c>
      <c r="N3144" s="112">
        <v>3</v>
      </c>
    </row>
    <row r="3145" spans="1:17" s="110" customFormat="1" ht="31.75" customHeight="1">
      <c r="A3145" s="109" t="s">
        <v>7444</v>
      </c>
      <c r="B3145" s="109" t="s">
        <v>7445</v>
      </c>
      <c r="C3145" s="113">
        <v>2017</v>
      </c>
      <c r="D3145" s="112">
        <v>164</v>
      </c>
      <c r="E3145" s="112">
        <v>330</v>
      </c>
      <c r="F3145" s="112">
        <v>146</v>
      </c>
      <c r="G3145" s="112">
        <v>194</v>
      </c>
      <c r="H3145" s="112">
        <v>63</v>
      </c>
      <c r="I3145" s="99" t="s">
        <v>6953</v>
      </c>
      <c r="J3145" s="99" t="s">
        <v>6953</v>
      </c>
      <c r="K3145" s="112" t="s">
        <v>6952</v>
      </c>
      <c r="L3145" s="99" t="s">
        <v>6953</v>
      </c>
      <c r="M3145" s="99" t="s">
        <v>6953</v>
      </c>
      <c r="N3145" s="112">
        <v>3</v>
      </c>
    </row>
    <row r="3146" spans="1:17" s="110" customFormat="1" ht="31.75" customHeight="1">
      <c r="A3146" s="109" t="s">
        <v>7444</v>
      </c>
      <c r="B3146" s="109" t="s">
        <v>7445</v>
      </c>
      <c r="C3146" s="113">
        <v>2018</v>
      </c>
      <c r="D3146" s="112">
        <v>153</v>
      </c>
      <c r="E3146" s="112">
        <v>357</v>
      </c>
      <c r="F3146" s="112">
        <v>190</v>
      </c>
      <c r="G3146" s="112">
        <v>190</v>
      </c>
      <c r="H3146" s="112">
        <v>76</v>
      </c>
      <c r="I3146" s="112">
        <v>10</v>
      </c>
      <c r="J3146" s="112">
        <v>11</v>
      </c>
      <c r="K3146" s="112">
        <v>1</v>
      </c>
      <c r="L3146" s="112">
        <v>60</v>
      </c>
      <c r="M3146" s="112">
        <v>38</v>
      </c>
      <c r="N3146" s="112">
        <v>23</v>
      </c>
      <c r="O3146" s="119"/>
      <c r="P3146" s="119"/>
      <c r="Q3146" s="119"/>
    </row>
    <row r="3147" spans="1:17" s="110" customFormat="1" ht="31.75" customHeight="1">
      <c r="A3147" s="109" t="s">
        <v>7444</v>
      </c>
      <c r="B3147" s="109" t="s">
        <v>7445</v>
      </c>
      <c r="C3147" s="113">
        <v>2019</v>
      </c>
      <c r="D3147" s="112">
        <v>153</v>
      </c>
      <c r="E3147" s="112">
        <v>467.31032900000002</v>
      </c>
      <c r="F3147" s="112">
        <v>240.46466899999999</v>
      </c>
      <c r="G3147" s="112">
        <v>235.863542</v>
      </c>
      <c r="H3147" s="112">
        <v>90.496672000000004</v>
      </c>
      <c r="I3147" s="112">
        <v>13.051842000000001</v>
      </c>
      <c r="J3147" s="112">
        <v>15.665433999999999</v>
      </c>
      <c r="K3147" s="112">
        <v>2.6135929999999998</v>
      </c>
      <c r="L3147" s="112">
        <v>55.342194999999997</v>
      </c>
      <c r="M3147" s="112">
        <v>44.545414000000001</v>
      </c>
      <c r="N3147" s="112">
        <v>10.796780999999999</v>
      </c>
      <c r="O3147" s="119"/>
      <c r="P3147" s="119"/>
      <c r="Q3147" s="119"/>
    </row>
    <row r="3148" spans="1:17" s="110" customFormat="1" ht="31.75" customHeight="1">
      <c r="A3148" s="114" t="s">
        <v>7444</v>
      </c>
      <c r="B3148" s="114" t="s">
        <v>7445</v>
      </c>
      <c r="C3148" s="113">
        <v>2020</v>
      </c>
      <c r="D3148" s="112">
        <v>145</v>
      </c>
      <c r="E3148" s="112">
        <v>416.45471199999997</v>
      </c>
      <c r="F3148" s="112">
        <v>149.032611</v>
      </c>
      <c r="G3148" s="112">
        <v>265.670053</v>
      </c>
      <c r="H3148" s="112">
        <v>75.413819000000004</v>
      </c>
      <c r="I3148" s="112">
        <v>11.793542</v>
      </c>
      <c r="J3148" s="112">
        <v>12.213914000000001</v>
      </c>
      <c r="K3148" s="112" t="s">
        <v>6952</v>
      </c>
      <c r="L3148" s="112">
        <v>53.403410999999998</v>
      </c>
      <c r="M3148" s="112">
        <v>55.922683999999997</v>
      </c>
      <c r="N3148" s="112">
        <v>-2.5192730000000001</v>
      </c>
      <c r="O3148" s="119"/>
      <c r="P3148" s="119"/>
      <c r="Q3148" s="119"/>
    </row>
    <row r="3149" spans="1:17" s="110" customFormat="1" ht="17.5" customHeight="1">
      <c r="A3149" s="109" t="s">
        <v>7446</v>
      </c>
      <c r="B3149" s="109" t="s">
        <v>7447</v>
      </c>
      <c r="C3149" s="98">
        <v>2008</v>
      </c>
      <c r="D3149" s="99">
        <v>916</v>
      </c>
      <c r="E3149" s="99">
        <v>3233</v>
      </c>
      <c r="F3149" s="99">
        <v>1002</v>
      </c>
      <c r="G3149" s="99">
        <v>2233</v>
      </c>
      <c r="H3149" s="99">
        <v>558</v>
      </c>
      <c r="I3149" s="99">
        <v>17</v>
      </c>
      <c r="J3149" s="99">
        <v>60</v>
      </c>
      <c r="K3149" s="99">
        <v>43</v>
      </c>
      <c r="L3149" s="99">
        <v>296</v>
      </c>
      <c r="M3149" s="99">
        <v>296</v>
      </c>
      <c r="N3149" s="99" t="s">
        <v>6952</v>
      </c>
      <c r="O3149" s="119"/>
      <c r="P3149" s="119"/>
      <c r="Q3149" s="119"/>
    </row>
    <row r="3150" spans="1:17" s="110" customFormat="1" ht="17.5" customHeight="1">
      <c r="A3150" s="109" t="s">
        <v>7446</v>
      </c>
      <c r="B3150" s="109" t="s">
        <v>7447</v>
      </c>
      <c r="C3150" s="98">
        <v>2009</v>
      </c>
      <c r="D3150" s="99">
        <v>972</v>
      </c>
      <c r="E3150" s="99">
        <v>2581</v>
      </c>
      <c r="F3150" s="99">
        <v>692</v>
      </c>
      <c r="G3150" s="99">
        <v>1766</v>
      </c>
      <c r="H3150" s="99">
        <v>566</v>
      </c>
      <c r="I3150" s="99" t="s">
        <v>6953</v>
      </c>
      <c r="J3150" s="99" t="s">
        <v>6953</v>
      </c>
      <c r="K3150" s="99">
        <v>51</v>
      </c>
      <c r="L3150" s="99">
        <v>300</v>
      </c>
      <c r="M3150" s="99">
        <v>421</v>
      </c>
      <c r="N3150" s="99">
        <v>-121</v>
      </c>
    </row>
    <row r="3151" spans="1:17" s="110" customFormat="1" ht="17.5" customHeight="1">
      <c r="A3151" s="109" t="s">
        <v>7446</v>
      </c>
      <c r="B3151" s="109" t="s">
        <v>7447</v>
      </c>
      <c r="C3151" s="98">
        <v>2010</v>
      </c>
      <c r="D3151" s="99">
        <v>913</v>
      </c>
      <c r="E3151" s="99">
        <v>2205</v>
      </c>
      <c r="F3151" s="99">
        <v>730</v>
      </c>
      <c r="G3151" s="99">
        <v>1478</v>
      </c>
      <c r="H3151" s="99">
        <v>456</v>
      </c>
      <c r="I3151" s="99">
        <v>17</v>
      </c>
      <c r="J3151" s="99">
        <v>25</v>
      </c>
      <c r="K3151" s="99">
        <v>8</v>
      </c>
      <c r="L3151" s="99">
        <v>239</v>
      </c>
      <c r="M3151" s="99">
        <v>234</v>
      </c>
      <c r="N3151" s="99">
        <v>4</v>
      </c>
    </row>
    <row r="3152" spans="1:17" s="110" customFormat="1" ht="17.5" customHeight="1">
      <c r="A3152" s="109" t="s">
        <v>7446</v>
      </c>
      <c r="B3152" s="109" t="s">
        <v>7447</v>
      </c>
      <c r="C3152" s="98">
        <v>2011</v>
      </c>
      <c r="D3152" s="99">
        <v>895</v>
      </c>
      <c r="E3152" s="99">
        <v>2728</v>
      </c>
      <c r="F3152" s="99">
        <v>961</v>
      </c>
      <c r="G3152" s="99">
        <v>1819</v>
      </c>
      <c r="H3152" s="99">
        <v>512</v>
      </c>
      <c r="I3152" s="99">
        <v>4</v>
      </c>
      <c r="J3152" s="99">
        <v>40</v>
      </c>
      <c r="K3152" s="99">
        <v>36</v>
      </c>
      <c r="L3152" s="99">
        <v>260</v>
      </c>
      <c r="M3152" s="99">
        <v>209</v>
      </c>
      <c r="N3152" s="99">
        <v>51</v>
      </c>
      <c r="O3152" s="100"/>
      <c r="P3152" s="100"/>
      <c r="Q3152" s="100"/>
    </row>
    <row r="3153" spans="1:17" s="110" customFormat="1" ht="17.5" customHeight="1">
      <c r="A3153" s="109" t="s">
        <v>7446</v>
      </c>
      <c r="B3153" s="109" t="s">
        <v>7447</v>
      </c>
      <c r="C3153" s="111">
        <v>2012</v>
      </c>
      <c r="D3153" s="112">
        <v>865</v>
      </c>
      <c r="E3153" s="112">
        <v>3011</v>
      </c>
      <c r="F3153" s="112">
        <v>1038</v>
      </c>
      <c r="G3153" s="112">
        <v>1981</v>
      </c>
      <c r="H3153" s="112">
        <v>480</v>
      </c>
      <c r="I3153" s="112">
        <v>55</v>
      </c>
      <c r="J3153" s="112">
        <v>62</v>
      </c>
      <c r="K3153" s="112">
        <v>7</v>
      </c>
      <c r="L3153" s="112">
        <v>285</v>
      </c>
      <c r="M3153" s="112">
        <v>271</v>
      </c>
      <c r="N3153" s="112">
        <v>14</v>
      </c>
    </row>
    <row r="3154" spans="1:17" s="110" customFormat="1" ht="17.5" customHeight="1">
      <c r="A3154" s="109" t="s">
        <v>7446</v>
      </c>
      <c r="B3154" s="109" t="s">
        <v>7447</v>
      </c>
      <c r="C3154" s="113">
        <v>2013</v>
      </c>
      <c r="D3154" s="112">
        <v>876</v>
      </c>
      <c r="E3154" s="112">
        <v>2752</v>
      </c>
      <c r="F3154" s="112">
        <v>1021</v>
      </c>
      <c r="G3154" s="112">
        <v>1737</v>
      </c>
      <c r="H3154" s="112">
        <v>455</v>
      </c>
      <c r="I3154" s="112">
        <v>45</v>
      </c>
      <c r="J3154" s="112">
        <v>58</v>
      </c>
      <c r="K3154" s="112">
        <v>13</v>
      </c>
      <c r="L3154" s="112">
        <v>279</v>
      </c>
      <c r="M3154" s="112">
        <v>269</v>
      </c>
      <c r="N3154" s="112">
        <v>10</v>
      </c>
      <c r="O3154" s="100"/>
      <c r="P3154" s="100"/>
      <c r="Q3154" s="100"/>
    </row>
    <row r="3155" spans="1:17" s="110" customFormat="1" ht="17.5" customHeight="1">
      <c r="A3155" s="109" t="s">
        <v>7446</v>
      </c>
      <c r="B3155" s="109" t="s">
        <v>7447</v>
      </c>
      <c r="C3155" s="113">
        <v>2014</v>
      </c>
      <c r="D3155" s="99">
        <v>866</v>
      </c>
      <c r="E3155" s="99">
        <v>2988</v>
      </c>
      <c r="F3155" s="99">
        <v>1208</v>
      </c>
      <c r="G3155" s="99">
        <v>1796</v>
      </c>
      <c r="H3155" s="99">
        <v>559</v>
      </c>
      <c r="I3155" s="99">
        <v>101</v>
      </c>
      <c r="J3155" s="99">
        <v>111</v>
      </c>
      <c r="K3155" s="99">
        <v>9</v>
      </c>
      <c r="L3155" s="99">
        <v>301</v>
      </c>
      <c r="M3155" s="99">
        <v>286</v>
      </c>
      <c r="N3155" s="99">
        <v>15</v>
      </c>
      <c r="O3155" s="100"/>
      <c r="P3155" s="100"/>
      <c r="Q3155" s="100"/>
    </row>
    <row r="3156" spans="1:17" s="110" customFormat="1" ht="17.5" customHeight="1">
      <c r="A3156" s="109" t="s">
        <v>7446</v>
      </c>
      <c r="B3156" s="109" t="s">
        <v>7447</v>
      </c>
      <c r="C3156" s="113">
        <v>2015</v>
      </c>
      <c r="D3156" s="112">
        <v>862</v>
      </c>
      <c r="E3156" s="112">
        <v>3344</v>
      </c>
      <c r="F3156" s="112">
        <v>1019</v>
      </c>
      <c r="G3156" s="112">
        <v>2347</v>
      </c>
      <c r="H3156" s="112">
        <v>654</v>
      </c>
      <c r="I3156" s="112">
        <v>61</v>
      </c>
      <c r="J3156" s="112">
        <v>64</v>
      </c>
      <c r="K3156" s="112">
        <v>3</v>
      </c>
      <c r="L3156" s="112">
        <v>369</v>
      </c>
      <c r="M3156" s="112">
        <v>352</v>
      </c>
      <c r="N3156" s="112">
        <v>17</v>
      </c>
    </row>
    <row r="3157" spans="1:17" s="110" customFormat="1" ht="17.5" customHeight="1">
      <c r="A3157" s="109" t="s">
        <v>7446</v>
      </c>
      <c r="B3157" s="109" t="s">
        <v>7447</v>
      </c>
      <c r="C3157" s="113">
        <v>2016</v>
      </c>
      <c r="D3157" s="112">
        <v>872</v>
      </c>
      <c r="E3157" s="112">
        <v>2958</v>
      </c>
      <c r="F3157" s="112">
        <v>1083</v>
      </c>
      <c r="G3157" s="112">
        <v>1920</v>
      </c>
      <c r="H3157" s="112">
        <v>621</v>
      </c>
      <c r="I3157" s="112">
        <v>91</v>
      </c>
      <c r="J3157" s="112">
        <v>111</v>
      </c>
      <c r="K3157" s="112">
        <v>20</v>
      </c>
      <c r="L3157" s="112">
        <v>312</v>
      </c>
      <c r="M3157" s="112">
        <v>272</v>
      </c>
      <c r="N3157" s="112">
        <v>40</v>
      </c>
    </row>
    <row r="3158" spans="1:17" s="110" customFormat="1" ht="17.5" customHeight="1">
      <c r="A3158" s="109" t="s">
        <v>7446</v>
      </c>
      <c r="B3158" s="109" t="s">
        <v>7447</v>
      </c>
      <c r="C3158" s="113">
        <v>2017</v>
      </c>
      <c r="D3158" s="112">
        <v>874</v>
      </c>
      <c r="E3158" s="112">
        <v>3926</v>
      </c>
      <c r="F3158" s="112">
        <v>1236</v>
      </c>
      <c r="G3158" s="112">
        <v>2746</v>
      </c>
      <c r="H3158" s="112">
        <v>657</v>
      </c>
      <c r="I3158" s="112">
        <v>66</v>
      </c>
      <c r="J3158" s="112">
        <v>78</v>
      </c>
      <c r="K3158" s="112">
        <v>12</v>
      </c>
      <c r="L3158" s="112">
        <v>355</v>
      </c>
      <c r="M3158" s="112">
        <v>302</v>
      </c>
      <c r="N3158" s="112">
        <v>53</v>
      </c>
      <c r="O3158" s="119"/>
      <c r="P3158" s="119"/>
      <c r="Q3158" s="119"/>
    </row>
    <row r="3159" spans="1:17" s="110" customFormat="1" ht="17.5" customHeight="1">
      <c r="A3159" s="109" t="s">
        <v>7446</v>
      </c>
      <c r="B3159" s="109" t="s">
        <v>7447</v>
      </c>
      <c r="C3159" s="113">
        <v>2018</v>
      </c>
      <c r="D3159" s="112">
        <v>875</v>
      </c>
      <c r="E3159" s="112">
        <v>4269</v>
      </c>
      <c r="F3159" s="112">
        <v>1296</v>
      </c>
      <c r="G3159" s="112">
        <v>3024</v>
      </c>
      <c r="H3159" s="112">
        <v>728</v>
      </c>
      <c r="I3159" s="112">
        <v>40</v>
      </c>
      <c r="J3159" s="112">
        <v>48</v>
      </c>
      <c r="K3159" s="112">
        <v>7</v>
      </c>
      <c r="L3159" s="112">
        <v>390</v>
      </c>
      <c r="M3159" s="112">
        <v>339</v>
      </c>
      <c r="N3159" s="112">
        <v>51</v>
      </c>
      <c r="O3159" s="119"/>
      <c r="P3159" s="119"/>
      <c r="Q3159" s="119"/>
    </row>
    <row r="3160" spans="1:17" s="110" customFormat="1" ht="17.5" customHeight="1">
      <c r="A3160" s="109" t="s">
        <v>7446</v>
      </c>
      <c r="B3160" s="109" t="s">
        <v>7447</v>
      </c>
      <c r="C3160" s="113">
        <v>2019</v>
      </c>
      <c r="D3160" s="112">
        <v>840</v>
      </c>
      <c r="E3160" s="112">
        <v>3924.4736050000001</v>
      </c>
      <c r="F3160" s="112">
        <v>1348.332283</v>
      </c>
      <c r="G3160" s="112">
        <v>2569.7557240000001</v>
      </c>
      <c r="H3160" s="112">
        <v>667.09506499999998</v>
      </c>
      <c r="I3160" s="112">
        <v>84.009542999999994</v>
      </c>
      <c r="J3160" s="112">
        <v>97.257039000000006</v>
      </c>
      <c r="K3160" s="112">
        <v>13.247496</v>
      </c>
      <c r="L3160" s="112">
        <v>436.40295099999997</v>
      </c>
      <c r="M3160" s="112">
        <v>427.13880599999999</v>
      </c>
      <c r="N3160" s="112">
        <v>9.2641449999999992</v>
      </c>
      <c r="O3160" s="119"/>
      <c r="P3160" s="119"/>
      <c r="Q3160" s="119"/>
    </row>
    <row r="3161" spans="1:17" s="110" customFormat="1" ht="17.5" customHeight="1">
      <c r="A3161" s="114" t="s">
        <v>7446</v>
      </c>
      <c r="B3161" s="114" t="s">
        <v>7447</v>
      </c>
      <c r="C3161" s="113">
        <v>2020</v>
      </c>
      <c r="D3161" s="112">
        <v>865</v>
      </c>
      <c r="E3161" s="112">
        <v>3116.3182729999999</v>
      </c>
      <c r="F3161" s="112">
        <v>1110.6692410000001</v>
      </c>
      <c r="G3161" s="112">
        <v>1970.0936549999999</v>
      </c>
      <c r="H3161" s="112">
        <v>669.456051</v>
      </c>
      <c r="I3161" s="112">
        <v>51.572062000000003</v>
      </c>
      <c r="J3161" s="112">
        <v>56.658386999999998</v>
      </c>
      <c r="K3161" s="112">
        <v>5.0863259999999997</v>
      </c>
      <c r="L3161" s="112">
        <v>436.43460700000003</v>
      </c>
      <c r="M3161" s="112">
        <v>471.71504800000002</v>
      </c>
      <c r="N3161" s="112">
        <v>-35.280439999999999</v>
      </c>
      <c r="O3161" s="119"/>
      <c r="P3161" s="119"/>
      <c r="Q3161" s="119"/>
    </row>
    <row r="3162" spans="1:17" s="110" customFormat="1" ht="31.75" customHeight="1">
      <c r="A3162" s="109" t="s">
        <v>7448</v>
      </c>
      <c r="B3162" s="109" t="s">
        <v>7449</v>
      </c>
      <c r="C3162" s="98">
        <v>2008</v>
      </c>
      <c r="D3162" s="99">
        <v>139</v>
      </c>
      <c r="E3162" s="99">
        <v>783</v>
      </c>
      <c r="F3162" s="99">
        <v>440</v>
      </c>
      <c r="G3162" s="99">
        <v>332</v>
      </c>
      <c r="H3162" s="99">
        <v>258</v>
      </c>
      <c r="I3162" s="99">
        <v>17</v>
      </c>
      <c r="J3162" s="99">
        <v>30</v>
      </c>
      <c r="K3162" s="99">
        <v>13</v>
      </c>
      <c r="L3162" s="99">
        <v>69</v>
      </c>
      <c r="M3162" s="99">
        <v>78</v>
      </c>
      <c r="N3162" s="99">
        <v>-9</v>
      </c>
    </row>
    <row r="3163" spans="1:17" s="110" customFormat="1" ht="31.75" customHeight="1">
      <c r="A3163" s="109" t="s">
        <v>7448</v>
      </c>
      <c r="B3163" s="109" t="s">
        <v>7449</v>
      </c>
      <c r="C3163" s="98">
        <v>2009</v>
      </c>
      <c r="D3163" s="99">
        <v>114</v>
      </c>
      <c r="E3163" s="99">
        <v>1078</v>
      </c>
      <c r="F3163" s="99">
        <v>395</v>
      </c>
      <c r="G3163" s="99">
        <v>683</v>
      </c>
      <c r="H3163" s="99">
        <v>289</v>
      </c>
      <c r="I3163" s="99">
        <v>16</v>
      </c>
      <c r="J3163" s="99">
        <v>27</v>
      </c>
      <c r="K3163" s="99">
        <v>11</v>
      </c>
      <c r="L3163" s="99">
        <v>121</v>
      </c>
      <c r="M3163" s="99">
        <v>121</v>
      </c>
      <c r="N3163" s="99">
        <v>1</v>
      </c>
    </row>
    <row r="3164" spans="1:17" s="110" customFormat="1" ht="31.75" customHeight="1">
      <c r="A3164" s="109" t="s">
        <v>7448</v>
      </c>
      <c r="B3164" s="109" t="s">
        <v>7449</v>
      </c>
      <c r="C3164" s="98">
        <v>2010</v>
      </c>
      <c r="D3164" s="99">
        <v>113</v>
      </c>
      <c r="E3164" s="99">
        <v>1111</v>
      </c>
      <c r="F3164" s="99">
        <v>366</v>
      </c>
      <c r="G3164" s="99">
        <v>749</v>
      </c>
      <c r="H3164" s="99">
        <v>279</v>
      </c>
      <c r="I3164" s="99">
        <v>16</v>
      </c>
      <c r="J3164" s="99">
        <v>24</v>
      </c>
      <c r="K3164" s="99">
        <v>8</v>
      </c>
      <c r="L3164" s="99">
        <v>112</v>
      </c>
      <c r="M3164" s="99">
        <v>106</v>
      </c>
      <c r="N3164" s="99">
        <v>6</v>
      </c>
      <c r="O3164" s="100"/>
      <c r="P3164" s="100"/>
      <c r="Q3164" s="100"/>
    </row>
    <row r="3165" spans="1:17" s="110" customFormat="1" ht="31.75" customHeight="1">
      <c r="A3165" s="109" t="s">
        <v>7448</v>
      </c>
      <c r="B3165" s="109" t="s">
        <v>7449</v>
      </c>
      <c r="C3165" s="98">
        <v>2011</v>
      </c>
      <c r="D3165" s="99">
        <v>109</v>
      </c>
      <c r="E3165" s="99">
        <v>978</v>
      </c>
      <c r="F3165" s="99">
        <v>303</v>
      </c>
      <c r="G3165" s="99">
        <v>697</v>
      </c>
      <c r="H3165" s="99">
        <v>216</v>
      </c>
      <c r="I3165" s="99">
        <v>26</v>
      </c>
      <c r="J3165" s="99">
        <v>28</v>
      </c>
      <c r="K3165" s="99">
        <v>2</v>
      </c>
      <c r="L3165" s="99">
        <v>123</v>
      </c>
      <c r="M3165" s="99">
        <v>99</v>
      </c>
      <c r="N3165" s="99">
        <v>24</v>
      </c>
    </row>
    <row r="3166" spans="1:17" s="110" customFormat="1" ht="31.75" customHeight="1">
      <c r="A3166" s="109" t="s">
        <v>7448</v>
      </c>
      <c r="B3166" s="109" t="s">
        <v>7449</v>
      </c>
      <c r="C3166" s="111">
        <v>2012</v>
      </c>
      <c r="D3166" s="112">
        <v>96</v>
      </c>
      <c r="E3166" s="112">
        <v>820</v>
      </c>
      <c r="F3166" s="112">
        <v>210</v>
      </c>
      <c r="G3166" s="112">
        <v>615</v>
      </c>
      <c r="H3166" s="112">
        <v>127</v>
      </c>
      <c r="I3166" s="112">
        <v>16</v>
      </c>
      <c r="J3166" s="112">
        <v>18</v>
      </c>
      <c r="K3166" s="112">
        <v>2</v>
      </c>
      <c r="L3166" s="112">
        <v>121</v>
      </c>
      <c r="M3166" s="112">
        <v>114</v>
      </c>
      <c r="N3166" s="112">
        <v>7</v>
      </c>
      <c r="O3166" s="100"/>
      <c r="P3166" s="100"/>
      <c r="Q3166" s="100"/>
    </row>
    <row r="3167" spans="1:17" s="110" customFormat="1" ht="31.75" customHeight="1">
      <c r="A3167" s="109" t="s">
        <v>7448</v>
      </c>
      <c r="B3167" s="109" t="s">
        <v>7449</v>
      </c>
      <c r="C3167" s="113">
        <v>2013</v>
      </c>
      <c r="D3167" s="112">
        <v>110</v>
      </c>
      <c r="E3167" s="112">
        <v>908</v>
      </c>
      <c r="F3167" s="112">
        <v>234</v>
      </c>
      <c r="G3167" s="112">
        <v>664</v>
      </c>
      <c r="H3167" s="112">
        <v>200</v>
      </c>
      <c r="I3167" s="112">
        <v>31</v>
      </c>
      <c r="J3167" s="112">
        <v>33</v>
      </c>
      <c r="K3167" s="112">
        <v>1</v>
      </c>
      <c r="L3167" s="112">
        <v>105</v>
      </c>
      <c r="M3167" s="112">
        <v>112</v>
      </c>
      <c r="N3167" s="112">
        <v>-7</v>
      </c>
      <c r="O3167" s="100"/>
      <c r="P3167" s="100"/>
      <c r="Q3167" s="100"/>
    </row>
    <row r="3168" spans="1:17" s="110" customFormat="1" ht="31.75" customHeight="1">
      <c r="A3168" s="109" t="s">
        <v>7448</v>
      </c>
      <c r="B3168" s="109" t="s">
        <v>7449</v>
      </c>
      <c r="C3168" s="113">
        <v>2014</v>
      </c>
      <c r="D3168" s="99">
        <v>118</v>
      </c>
      <c r="E3168" s="99">
        <v>815</v>
      </c>
      <c r="F3168" s="99">
        <v>252</v>
      </c>
      <c r="G3168" s="99">
        <v>578</v>
      </c>
      <c r="H3168" s="99">
        <v>150</v>
      </c>
      <c r="I3168" s="99">
        <v>39</v>
      </c>
      <c r="J3168" s="99">
        <v>39</v>
      </c>
      <c r="K3168" s="99">
        <v>1</v>
      </c>
      <c r="L3168" s="99">
        <v>130</v>
      </c>
      <c r="M3168" s="99">
        <v>109</v>
      </c>
      <c r="N3168" s="99">
        <v>21</v>
      </c>
    </row>
    <row r="3169" spans="1:17" s="110" customFormat="1" ht="31.75" customHeight="1">
      <c r="A3169" s="109" t="s">
        <v>7448</v>
      </c>
      <c r="B3169" s="109" t="s">
        <v>7449</v>
      </c>
      <c r="C3169" s="113">
        <v>2015</v>
      </c>
      <c r="D3169" s="112">
        <v>127</v>
      </c>
      <c r="E3169" s="112">
        <v>801</v>
      </c>
      <c r="F3169" s="112">
        <v>196</v>
      </c>
      <c r="G3169" s="112">
        <v>598</v>
      </c>
      <c r="H3169" s="112">
        <v>134</v>
      </c>
      <c r="I3169" s="112">
        <v>17</v>
      </c>
      <c r="J3169" s="112">
        <v>20</v>
      </c>
      <c r="K3169" s="112">
        <v>3</v>
      </c>
      <c r="L3169" s="112">
        <v>133</v>
      </c>
      <c r="M3169" s="112">
        <v>136</v>
      </c>
      <c r="N3169" s="112">
        <v>-3</v>
      </c>
    </row>
    <row r="3170" spans="1:17" s="110" customFormat="1" ht="31.75" customHeight="1">
      <c r="A3170" s="109" t="s">
        <v>7448</v>
      </c>
      <c r="B3170" s="109" t="s">
        <v>7449</v>
      </c>
      <c r="C3170" s="113">
        <v>2016</v>
      </c>
      <c r="D3170" s="112">
        <v>123</v>
      </c>
      <c r="E3170" s="112">
        <v>844</v>
      </c>
      <c r="F3170" s="112">
        <v>256</v>
      </c>
      <c r="G3170" s="112">
        <v>581</v>
      </c>
      <c r="H3170" s="112">
        <v>167</v>
      </c>
      <c r="I3170" s="112">
        <v>28</v>
      </c>
      <c r="J3170" s="112">
        <v>31</v>
      </c>
      <c r="K3170" s="112">
        <v>3</v>
      </c>
      <c r="L3170" s="112">
        <v>124</v>
      </c>
      <c r="M3170" s="112">
        <v>130</v>
      </c>
      <c r="N3170" s="112">
        <v>-6</v>
      </c>
      <c r="O3170" s="119"/>
      <c r="P3170" s="119"/>
      <c r="Q3170" s="119"/>
    </row>
    <row r="3171" spans="1:17" s="110" customFormat="1" ht="31.75" customHeight="1">
      <c r="A3171" s="109" t="s">
        <v>7448</v>
      </c>
      <c r="B3171" s="109" t="s">
        <v>7449</v>
      </c>
      <c r="C3171" s="113">
        <v>2017</v>
      </c>
      <c r="D3171" s="112">
        <v>113</v>
      </c>
      <c r="E3171" s="112">
        <v>835</v>
      </c>
      <c r="F3171" s="112">
        <v>250</v>
      </c>
      <c r="G3171" s="112">
        <v>586</v>
      </c>
      <c r="H3171" s="112">
        <v>147</v>
      </c>
      <c r="I3171" s="112">
        <v>-1</v>
      </c>
      <c r="J3171" s="112">
        <v>17</v>
      </c>
      <c r="K3171" s="112">
        <v>17</v>
      </c>
      <c r="L3171" s="112">
        <v>126</v>
      </c>
      <c r="M3171" s="112">
        <v>122</v>
      </c>
      <c r="N3171" s="112">
        <v>4</v>
      </c>
      <c r="O3171" s="119"/>
      <c r="P3171" s="119"/>
      <c r="Q3171" s="119"/>
    </row>
    <row r="3172" spans="1:17" s="110" customFormat="1" ht="31.75" customHeight="1">
      <c r="A3172" s="109" t="s">
        <v>7448</v>
      </c>
      <c r="B3172" s="109" t="s">
        <v>7449</v>
      </c>
      <c r="C3172" s="113">
        <v>2018</v>
      </c>
      <c r="D3172" s="112">
        <v>102</v>
      </c>
      <c r="E3172" s="112">
        <v>882</v>
      </c>
      <c r="F3172" s="112">
        <v>294</v>
      </c>
      <c r="G3172" s="112">
        <v>590</v>
      </c>
      <c r="H3172" s="112">
        <v>167</v>
      </c>
      <c r="I3172" s="112">
        <v>44</v>
      </c>
      <c r="J3172" s="112">
        <v>50</v>
      </c>
      <c r="K3172" s="112">
        <v>7</v>
      </c>
      <c r="L3172" s="112">
        <v>141</v>
      </c>
      <c r="M3172" s="112">
        <v>139</v>
      </c>
      <c r="N3172" s="112">
        <v>3</v>
      </c>
      <c r="O3172" s="119"/>
      <c r="P3172" s="119"/>
      <c r="Q3172" s="119"/>
    </row>
    <row r="3173" spans="1:17" s="110" customFormat="1" ht="31.75" customHeight="1">
      <c r="A3173" s="109" t="s">
        <v>7448</v>
      </c>
      <c r="B3173" s="109" t="s">
        <v>7449</v>
      </c>
      <c r="C3173" s="113">
        <v>2019</v>
      </c>
      <c r="D3173" s="112">
        <v>97</v>
      </c>
      <c r="E3173" s="112">
        <v>741.77151100000003</v>
      </c>
      <c r="F3173" s="112">
        <v>196.333348</v>
      </c>
      <c r="G3173" s="112">
        <v>544.98776699999996</v>
      </c>
      <c r="H3173" s="112">
        <v>139.286393</v>
      </c>
      <c r="I3173" s="112" t="s">
        <v>6952</v>
      </c>
      <c r="J3173" s="112" t="s">
        <v>6953</v>
      </c>
      <c r="K3173" s="112" t="s">
        <v>6953</v>
      </c>
      <c r="L3173" s="112">
        <v>140.12473700000001</v>
      </c>
      <c r="M3173" s="112">
        <v>139.98547500000001</v>
      </c>
      <c r="N3173" s="112" t="s">
        <v>6952</v>
      </c>
      <c r="O3173" s="119"/>
      <c r="P3173" s="119"/>
      <c r="Q3173" s="119"/>
    </row>
    <row r="3174" spans="1:17" s="110" customFormat="1" ht="31.75" customHeight="1">
      <c r="A3174" s="114" t="s">
        <v>7448</v>
      </c>
      <c r="B3174" s="114" t="s">
        <v>7449</v>
      </c>
      <c r="C3174" s="113">
        <v>2020</v>
      </c>
      <c r="D3174" s="112">
        <v>97</v>
      </c>
      <c r="E3174" s="112">
        <v>606.31742299999996</v>
      </c>
      <c r="F3174" s="112">
        <v>232.707302</v>
      </c>
      <c r="G3174" s="112">
        <v>370.69363600000003</v>
      </c>
      <c r="H3174" s="112">
        <v>130.49742000000001</v>
      </c>
      <c r="I3174" s="112">
        <v>11.084368</v>
      </c>
      <c r="J3174" s="112">
        <v>11.537395</v>
      </c>
      <c r="K3174" s="112" t="s">
        <v>6952</v>
      </c>
      <c r="L3174" s="112">
        <v>173.32293000000001</v>
      </c>
      <c r="M3174" s="112">
        <v>175.89608200000001</v>
      </c>
      <c r="N3174" s="112">
        <v>-2.5731519999999999</v>
      </c>
    </row>
    <row r="3175" spans="1:17" s="110" customFormat="1" ht="17.5" customHeight="1">
      <c r="A3175" s="109" t="s">
        <v>7450</v>
      </c>
      <c r="B3175" s="109" t="s">
        <v>7451</v>
      </c>
      <c r="C3175" s="98">
        <v>2008</v>
      </c>
      <c r="D3175" s="99">
        <v>24</v>
      </c>
      <c r="E3175" s="99">
        <v>266</v>
      </c>
      <c r="F3175" s="99">
        <v>67</v>
      </c>
      <c r="G3175" s="99">
        <v>191</v>
      </c>
      <c r="H3175" s="99">
        <v>51</v>
      </c>
      <c r="I3175" s="99">
        <v>3</v>
      </c>
      <c r="J3175" s="99" t="s">
        <v>6953</v>
      </c>
      <c r="K3175" s="99" t="s">
        <v>6953</v>
      </c>
      <c r="L3175" s="99">
        <v>33</v>
      </c>
      <c r="M3175" s="99">
        <v>40</v>
      </c>
      <c r="N3175" s="99">
        <v>-7</v>
      </c>
    </row>
    <row r="3176" spans="1:17" s="110" customFormat="1" ht="17.5" customHeight="1">
      <c r="A3176" s="109" t="s">
        <v>7450</v>
      </c>
      <c r="B3176" s="109" t="s">
        <v>7451</v>
      </c>
      <c r="C3176" s="98">
        <v>2009</v>
      </c>
      <c r="D3176" s="99">
        <v>19</v>
      </c>
      <c r="E3176" s="99">
        <v>161</v>
      </c>
      <c r="F3176" s="99">
        <v>40</v>
      </c>
      <c r="G3176" s="99">
        <v>116</v>
      </c>
      <c r="H3176" s="99">
        <v>30</v>
      </c>
      <c r="I3176" s="99" t="s">
        <v>6953</v>
      </c>
      <c r="J3176" s="99" t="s">
        <v>6953</v>
      </c>
      <c r="K3176" s="99" t="s">
        <v>6952</v>
      </c>
      <c r="L3176" s="99">
        <v>24</v>
      </c>
      <c r="M3176" s="99">
        <v>28</v>
      </c>
      <c r="N3176" s="99">
        <v>-4</v>
      </c>
      <c r="O3176" s="100"/>
      <c r="P3176" s="100"/>
      <c r="Q3176" s="100"/>
    </row>
    <row r="3177" spans="1:17" s="110" customFormat="1" ht="17.5" customHeight="1">
      <c r="A3177" s="109" t="s">
        <v>7450</v>
      </c>
      <c r="B3177" s="109" t="s">
        <v>7451</v>
      </c>
      <c r="C3177" s="98">
        <v>2010</v>
      </c>
      <c r="D3177" s="99">
        <v>17</v>
      </c>
      <c r="E3177" s="99">
        <v>102</v>
      </c>
      <c r="F3177" s="99">
        <v>32</v>
      </c>
      <c r="G3177" s="99">
        <v>80</v>
      </c>
      <c r="H3177" s="99">
        <v>17</v>
      </c>
      <c r="I3177" s="99" t="s">
        <v>6953</v>
      </c>
      <c r="J3177" s="99" t="s">
        <v>6953</v>
      </c>
      <c r="K3177" s="99" t="s">
        <v>6953</v>
      </c>
      <c r="L3177" s="99">
        <v>26</v>
      </c>
      <c r="M3177" s="99">
        <v>16</v>
      </c>
      <c r="N3177" s="99">
        <v>10</v>
      </c>
    </row>
    <row r="3178" spans="1:17" s="110" customFormat="1" ht="17.5" customHeight="1">
      <c r="A3178" s="109" t="s">
        <v>7450</v>
      </c>
      <c r="B3178" s="109" t="s">
        <v>7451</v>
      </c>
      <c r="C3178" s="98">
        <v>2011</v>
      </c>
      <c r="D3178" s="99">
        <v>13</v>
      </c>
      <c r="E3178" s="99">
        <v>140</v>
      </c>
      <c r="F3178" s="99" t="s">
        <v>6953</v>
      </c>
      <c r="G3178" s="99" t="s">
        <v>6953</v>
      </c>
      <c r="H3178" s="99">
        <v>19</v>
      </c>
      <c r="I3178" s="99" t="s">
        <v>6953</v>
      </c>
      <c r="J3178" s="99" t="s">
        <v>6953</v>
      </c>
      <c r="K3178" s="99" t="s">
        <v>6952</v>
      </c>
      <c r="L3178" s="99" t="s">
        <v>6953</v>
      </c>
      <c r="M3178" s="99" t="s">
        <v>6953</v>
      </c>
      <c r="N3178" s="99" t="s">
        <v>6953</v>
      </c>
      <c r="O3178" s="100"/>
      <c r="P3178" s="100"/>
      <c r="Q3178" s="100"/>
    </row>
    <row r="3179" spans="1:17" s="110" customFormat="1" ht="17.5" customHeight="1">
      <c r="A3179" s="109" t="s">
        <v>7450</v>
      </c>
      <c r="B3179" s="109" t="s">
        <v>7451</v>
      </c>
      <c r="C3179" s="111">
        <v>2012</v>
      </c>
      <c r="D3179" s="112">
        <v>11</v>
      </c>
      <c r="E3179" s="112">
        <v>102</v>
      </c>
      <c r="F3179" s="99" t="s">
        <v>6953</v>
      </c>
      <c r="G3179" s="99" t="s">
        <v>6953</v>
      </c>
      <c r="H3179" s="112">
        <v>15</v>
      </c>
      <c r="I3179" s="112">
        <v>1</v>
      </c>
      <c r="J3179" s="99" t="s">
        <v>6953</v>
      </c>
      <c r="K3179" s="99" t="s">
        <v>6953</v>
      </c>
      <c r="L3179" s="112">
        <v>17</v>
      </c>
      <c r="M3179" s="99" t="s">
        <v>6953</v>
      </c>
      <c r="N3179" s="99" t="s">
        <v>6953</v>
      </c>
      <c r="O3179" s="100"/>
      <c r="P3179" s="100"/>
      <c r="Q3179" s="100"/>
    </row>
    <row r="3180" spans="1:17" s="110" customFormat="1" ht="17.5" customHeight="1">
      <c r="A3180" s="109" t="s">
        <v>7450</v>
      </c>
      <c r="B3180" s="109" t="s">
        <v>7451</v>
      </c>
      <c r="C3180" s="113">
        <v>2013</v>
      </c>
      <c r="D3180" s="99" t="s">
        <v>6953</v>
      </c>
      <c r="E3180" s="99" t="s">
        <v>6953</v>
      </c>
      <c r="F3180" s="99" t="s">
        <v>6953</v>
      </c>
      <c r="G3180" s="99" t="s">
        <v>6953</v>
      </c>
      <c r="H3180" s="99" t="s">
        <v>6953</v>
      </c>
      <c r="I3180" s="99" t="s">
        <v>6953</v>
      </c>
      <c r="J3180" s="99" t="s">
        <v>6953</v>
      </c>
      <c r="K3180" s="99" t="s">
        <v>6953</v>
      </c>
      <c r="L3180" s="99" t="s">
        <v>6953</v>
      </c>
      <c r="M3180" s="99" t="s">
        <v>6953</v>
      </c>
      <c r="N3180" s="99" t="s">
        <v>6953</v>
      </c>
    </row>
    <row r="3181" spans="1:17" s="110" customFormat="1" ht="17.5" customHeight="1">
      <c r="A3181" s="109" t="s">
        <v>7450</v>
      </c>
      <c r="B3181" s="109" t="s">
        <v>7451</v>
      </c>
      <c r="C3181" s="113">
        <v>2014</v>
      </c>
      <c r="D3181" s="99">
        <v>11</v>
      </c>
      <c r="E3181" s="99">
        <v>141</v>
      </c>
      <c r="F3181" s="99">
        <v>52</v>
      </c>
      <c r="G3181" s="99">
        <v>98</v>
      </c>
      <c r="H3181" s="99">
        <v>22</v>
      </c>
      <c r="I3181" s="99">
        <v>1</v>
      </c>
      <c r="J3181" s="99">
        <v>1</v>
      </c>
      <c r="K3181" s="99" t="s">
        <v>6952</v>
      </c>
      <c r="L3181" s="99">
        <v>31</v>
      </c>
      <c r="M3181" s="99">
        <v>22</v>
      </c>
      <c r="N3181" s="99">
        <v>9</v>
      </c>
    </row>
    <row r="3182" spans="1:17" s="110" customFormat="1" ht="17.5" customHeight="1">
      <c r="A3182" s="109" t="s">
        <v>7450</v>
      </c>
      <c r="B3182" s="109" t="s">
        <v>7451</v>
      </c>
      <c r="C3182" s="113">
        <v>2015</v>
      </c>
      <c r="D3182" s="112">
        <v>14</v>
      </c>
      <c r="E3182" s="112">
        <v>182</v>
      </c>
      <c r="F3182" s="112">
        <v>69</v>
      </c>
      <c r="G3182" s="112">
        <v>113</v>
      </c>
      <c r="H3182" s="112">
        <v>34</v>
      </c>
      <c r="I3182" s="112">
        <v>2</v>
      </c>
      <c r="J3182" s="112">
        <v>2</v>
      </c>
      <c r="K3182" s="99" t="s">
        <v>6952</v>
      </c>
      <c r="L3182" s="112">
        <v>36</v>
      </c>
      <c r="M3182" s="112">
        <v>35</v>
      </c>
      <c r="N3182" s="112">
        <v>2</v>
      </c>
      <c r="O3182" s="119"/>
      <c r="P3182" s="119"/>
      <c r="Q3182" s="119"/>
    </row>
    <row r="3183" spans="1:17" s="110" customFormat="1" ht="17.5" customHeight="1">
      <c r="A3183" s="109" t="s">
        <v>7450</v>
      </c>
      <c r="B3183" s="109" t="s">
        <v>7451</v>
      </c>
      <c r="C3183" s="113">
        <v>2016</v>
      </c>
      <c r="D3183" s="112">
        <v>12</v>
      </c>
      <c r="E3183" s="112">
        <v>102</v>
      </c>
      <c r="F3183" s="112">
        <v>23</v>
      </c>
      <c r="G3183" s="112">
        <v>83</v>
      </c>
      <c r="H3183" s="112">
        <v>14</v>
      </c>
      <c r="I3183" s="99" t="s">
        <v>6953</v>
      </c>
      <c r="J3183" s="112">
        <v>1</v>
      </c>
      <c r="K3183" s="99" t="s">
        <v>6953</v>
      </c>
      <c r="L3183" s="112">
        <v>26</v>
      </c>
      <c r="M3183" s="112">
        <v>21</v>
      </c>
      <c r="N3183" s="112">
        <v>5</v>
      </c>
      <c r="O3183" s="119"/>
      <c r="P3183" s="119"/>
      <c r="Q3183" s="119"/>
    </row>
    <row r="3184" spans="1:17" s="110" customFormat="1" ht="17.5" customHeight="1">
      <c r="A3184" s="109" t="s">
        <v>7450</v>
      </c>
      <c r="B3184" s="109" t="s">
        <v>7451</v>
      </c>
      <c r="C3184" s="113">
        <v>2017</v>
      </c>
      <c r="D3184" s="112">
        <v>12</v>
      </c>
      <c r="E3184" s="112">
        <v>127</v>
      </c>
      <c r="F3184" s="112">
        <v>19</v>
      </c>
      <c r="G3184" s="112">
        <v>111</v>
      </c>
      <c r="H3184" s="112">
        <v>13</v>
      </c>
      <c r="I3184" s="99" t="s">
        <v>6953</v>
      </c>
      <c r="J3184" s="99" t="s">
        <v>6953</v>
      </c>
      <c r="K3184" s="112" t="s">
        <v>6952</v>
      </c>
      <c r="L3184" s="99" t="s">
        <v>6953</v>
      </c>
      <c r="M3184" s="99" t="s">
        <v>6953</v>
      </c>
      <c r="N3184" s="112">
        <v>4</v>
      </c>
      <c r="O3184" s="119"/>
      <c r="P3184" s="119"/>
      <c r="Q3184" s="119"/>
    </row>
    <row r="3185" spans="1:17" s="110" customFormat="1" ht="17.5" customHeight="1">
      <c r="A3185" s="109" t="s">
        <v>7450</v>
      </c>
      <c r="B3185" s="109" t="s">
        <v>7451</v>
      </c>
      <c r="C3185" s="113">
        <v>2018</v>
      </c>
      <c r="D3185" s="112">
        <v>12</v>
      </c>
      <c r="E3185" s="112">
        <v>243</v>
      </c>
      <c r="F3185" s="112">
        <v>79</v>
      </c>
      <c r="G3185" s="112">
        <v>166</v>
      </c>
      <c r="H3185" s="112">
        <v>26</v>
      </c>
      <c r="I3185" s="112">
        <v>2</v>
      </c>
      <c r="J3185" s="112">
        <v>2</v>
      </c>
      <c r="K3185" s="112" t="s">
        <v>6952</v>
      </c>
      <c r="L3185" s="112">
        <v>39</v>
      </c>
      <c r="M3185" s="112">
        <v>36</v>
      </c>
      <c r="N3185" s="112">
        <v>3</v>
      </c>
      <c r="O3185" s="119"/>
      <c r="P3185" s="119"/>
      <c r="Q3185" s="119"/>
    </row>
    <row r="3186" spans="1:17" s="110" customFormat="1" ht="17.5" customHeight="1">
      <c r="A3186" s="109" t="s">
        <v>7450</v>
      </c>
      <c r="B3186" s="109" t="s">
        <v>7451</v>
      </c>
      <c r="C3186" s="113">
        <v>2019</v>
      </c>
      <c r="D3186" s="112">
        <v>10</v>
      </c>
      <c r="E3186" s="112">
        <v>342.17996799999997</v>
      </c>
      <c r="F3186" s="112">
        <v>144.156541</v>
      </c>
      <c r="G3186" s="112">
        <v>199.46948</v>
      </c>
      <c r="H3186" s="112">
        <v>29.798268</v>
      </c>
      <c r="I3186" s="112">
        <v>3.3102610000000001</v>
      </c>
      <c r="J3186" s="112" t="s">
        <v>6953</v>
      </c>
      <c r="K3186" s="112" t="s">
        <v>6953</v>
      </c>
      <c r="L3186" s="112">
        <v>46.215989</v>
      </c>
      <c r="M3186" s="112">
        <v>43.231248999999998</v>
      </c>
      <c r="N3186" s="112">
        <v>2.9847399999999999</v>
      </c>
    </row>
    <row r="3187" spans="1:17" s="110" customFormat="1" ht="17.5" customHeight="1">
      <c r="A3187" s="114" t="s">
        <v>7450</v>
      </c>
      <c r="B3187" s="114" t="s">
        <v>7451</v>
      </c>
      <c r="C3187" s="113">
        <v>2020</v>
      </c>
      <c r="D3187" s="112">
        <v>10</v>
      </c>
      <c r="E3187" s="112">
        <v>182.92976200000001</v>
      </c>
      <c r="F3187" s="112" t="s">
        <v>6953</v>
      </c>
      <c r="G3187" s="112" t="s">
        <v>6953</v>
      </c>
      <c r="H3187" s="112">
        <v>22.247358999999999</v>
      </c>
      <c r="I3187" s="112">
        <v>1.8047249999999999</v>
      </c>
      <c r="J3187" s="112">
        <v>1.8319840000000001</v>
      </c>
      <c r="K3187" s="112" t="s">
        <v>6952</v>
      </c>
      <c r="L3187" s="112" t="s">
        <v>6953</v>
      </c>
      <c r="M3187" s="112" t="s">
        <v>6953</v>
      </c>
      <c r="N3187" s="112" t="s">
        <v>6953</v>
      </c>
    </row>
    <row r="3188" spans="1:17" s="110" customFormat="1" ht="31.75" customHeight="1">
      <c r="A3188" s="109" t="s">
        <v>7452</v>
      </c>
      <c r="B3188" s="109" t="s">
        <v>7453</v>
      </c>
      <c r="C3188" s="113">
        <v>2008</v>
      </c>
      <c r="D3188" s="112">
        <v>1115</v>
      </c>
      <c r="E3188" s="112">
        <v>4381.3343869153769</v>
      </c>
      <c r="F3188" s="112">
        <v>1386.7678255282522</v>
      </c>
      <c r="G3188" s="112">
        <v>2987.6329384530941</v>
      </c>
      <c r="H3188" s="112">
        <v>796.64363444947867</v>
      </c>
      <c r="I3188" s="112">
        <v>102.72186702335583</v>
      </c>
      <c r="J3188" s="112">
        <v>121.22268744499466</v>
      </c>
      <c r="K3188" s="112">
        <v>18.500820421638849</v>
      </c>
      <c r="L3188" s="112">
        <v>300.0158934862028</v>
      </c>
      <c r="M3188" s="112">
        <v>305.27820432695779</v>
      </c>
      <c r="N3188" s="112">
        <v>-5.2623108407550028</v>
      </c>
      <c r="O3188" s="100"/>
      <c r="P3188" s="100"/>
      <c r="Q3188" s="100"/>
    </row>
    <row r="3189" spans="1:17" s="110" customFormat="1" ht="31.75" customHeight="1">
      <c r="A3189" s="109" t="s">
        <v>7452</v>
      </c>
      <c r="B3189" s="109" t="s">
        <v>7453</v>
      </c>
      <c r="C3189" s="98">
        <v>2009</v>
      </c>
      <c r="D3189" s="99">
        <v>1041</v>
      </c>
      <c r="E3189" s="99">
        <v>2149</v>
      </c>
      <c r="F3189" s="99">
        <v>739</v>
      </c>
      <c r="G3189" s="99">
        <v>1383</v>
      </c>
      <c r="H3189" s="99">
        <v>554</v>
      </c>
      <c r="I3189" s="99">
        <v>8</v>
      </c>
      <c r="J3189" s="99">
        <v>24</v>
      </c>
      <c r="K3189" s="99">
        <v>16</v>
      </c>
      <c r="L3189" s="99">
        <v>276</v>
      </c>
      <c r="M3189" s="99">
        <v>301</v>
      </c>
      <c r="N3189" s="99">
        <v>-24</v>
      </c>
    </row>
    <row r="3190" spans="1:17" s="110" customFormat="1" ht="31.75" customHeight="1">
      <c r="A3190" s="109" t="s">
        <v>7452</v>
      </c>
      <c r="B3190" s="109" t="s">
        <v>7453</v>
      </c>
      <c r="C3190" s="98">
        <v>2010</v>
      </c>
      <c r="D3190" s="99">
        <v>976</v>
      </c>
      <c r="E3190" s="99">
        <v>2639</v>
      </c>
      <c r="F3190" s="99">
        <v>1074</v>
      </c>
      <c r="G3190" s="99">
        <v>1576</v>
      </c>
      <c r="H3190" s="99">
        <v>769</v>
      </c>
      <c r="I3190" s="99">
        <v>20</v>
      </c>
      <c r="J3190" s="99">
        <v>24</v>
      </c>
      <c r="K3190" s="99">
        <v>4</v>
      </c>
      <c r="L3190" s="99">
        <v>225</v>
      </c>
      <c r="M3190" s="99">
        <v>211</v>
      </c>
      <c r="N3190" s="99">
        <v>14</v>
      </c>
      <c r="O3190" s="100"/>
      <c r="P3190" s="100"/>
      <c r="Q3190" s="100"/>
    </row>
    <row r="3191" spans="1:17" s="110" customFormat="1" ht="31.75" customHeight="1">
      <c r="A3191" s="109" t="s">
        <v>7452</v>
      </c>
      <c r="B3191" s="109" t="s">
        <v>7453</v>
      </c>
      <c r="C3191" s="98">
        <v>2011</v>
      </c>
      <c r="D3191" s="99">
        <v>902</v>
      </c>
      <c r="E3191" s="99">
        <v>3017</v>
      </c>
      <c r="F3191" s="99">
        <v>1076</v>
      </c>
      <c r="G3191" s="99">
        <v>1942</v>
      </c>
      <c r="H3191" s="99">
        <v>738</v>
      </c>
      <c r="I3191" s="99">
        <v>-22</v>
      </c>
      <c r="J3191" s="99">
        <v>33</v>
      </c>
      <c r="K3191" s="99">
        <v>55</v>
      </c>
      <c r="L3191" s="99">
        <v>264</v>
      </c>
      <c r="M3191" s="99">
        <v>262</v>
      </c>
      <c r="N3191" s="99">
        <v>3</v>
      </c>
      <c r="O3191" s="100"/>
      <c r="P3191" s="100"/>
      <c r="Q3191" s="100"/>
    </row>
    <row r="3192" spans="1:17" s="110" customFormat="1" ht="31.75" customHeight="1">
      <c r="A3192" s="109" t="s">
        <v>7452</v>
      </c>
      <c r="B3192" s="109" t="s">
        <v>7453</v>
      </c>
      <c r="C3192" s="111">
        <v>2012</v>
      </c>
      <c r="D3192" s="112">
        <v>856</v>
      </c>
      <c r="E3192" s="112">
        <v>2796</v>
      </c>
      <c r="F3192" s="112">
        <v>995</v>
      </c>
      <c r="G3192" s="112">
        <v>1795</v>
      </c>
      <c r="H3192" s="112">
        <v>689</v>
      </c>
      <c r="I3192" s="112">
        <v>37</v>
      </c>
      <c r="J3192" s="112">
        <v>42</v>
      </c>
      <c r="K3192" s="112">
        <v>5</v>
      </c>
      <c r="L3192" s="112">
        <v>249</v>
      </c>
      <c r="M3192" s="112">
        <v>255</v>
      </c>
      <c r="N3192" s="112">
        <v>-6</v>
      </c>
    </row>
    <row r="3193" spans="1:17" s="110" customFormat="1" ht="31.75" customHeight="1">
      <c r="A3193" s="109" t="s">
        <v>7452</v>
      </c>
      <c r="B3193" s="109" t="s">
        <v>7453</v>
      </c>
      <c r="C3193" s="113">
        <v>2013</v>
      </c>
      <c r="D3193" s="112">
        <v>841</v>
      </c>
      <c r="E3193" s="112">
        <v>2764</v>
      </c>
      <c r="F3193" s="112">
        <v>1009</v>
      </c>
      <c r="G3193" s="112">
        <v>1757</v>
      </c>
      <c r="H3193" s="112">
        <v>700</v>
      </c>
      <c r="I3193" s="112">
        <v>49</v>
      </c>
      <c r="J3193" s="112">
        <v>52</v>
      </c>
      <c r="K3193" s="112">
        <v>2</v>
      </c>
      <c r="L3193" s="112">
        <v>261</v>
      </c>
      <c r="M3193" s="112">
        <v>259</v>
      </c>
      <c r="N3193" s="112">
        <v>2</v>
      </c>
    </row>
    <row r="3194" spans="1:17" s="110" customFormat="1" ht="31.75" customHeight="1">
      <c r="A3194" s="109" t="s">
        <v>7452</v>
      </c>
      <c r="B3194" s="109" t="s">
        <v>7453</v>
      </c>
      <c r="C3194" s="113">
        <v>2014</v>
      </c>
      <c r="D3194" s="99">
        <v>829</v>
      </c>
      <c r="E3194" s="99">
        <v>3684</v>
      </c>
      <c r="F3194" s="99">
        <v>1300</v>
      </c>
      <c r="G3194" s="99">
        <v>2417</v>
      </c>
      <c r="H3194" s="99">
        <v>780</v>
      </c>
      <c r="I3194" s="99">
        <v>11</v>
      </c>
      <c r="J3194" s="99">
        <v>97</v>
      </c>
      <c r="K3194" s="99">
        <v>86</v>
      </c>
      <c r="L3194" s="99">
        <v>296</v>
      </c>
      <c r="M3194" s="99">
        <v>263</v>
      </c>
      <c r="N3194" s="99">
        <v>33</v>
      </c>
      <c r="O3194" s="119"/>
      <c r="P3194" s="119"/>
      <c r="Q3194" s="119"/>
    </row>
    <row r="3195" spans="1:17" s="110" customFormat="1" ht="31.75" customHeight="1">
      <c r="A3195" s="109" t="s">
        <v>7452</v>
      </c>
      <c r="B3195" s="109" t="s">
        <v>7453</v>
      </c>
      <c r="C3195" s="113">
        <v>2015</v>
      </c>
      <c r="D3195" s="112">
        <v>826</v>
      </c>
      <c r="E3195" s="112">
        <v>3511</v>
      </c>
      <c r="F3195" s="112">
        <v>1178</v>
      </c>
      <c r="G3195" s="112">
        <v>2332</v>
      </c>
      <c r="H3195" s="112">
        <v>797</v>
      </c>
      <c r="I3195" s="112">
        <v>83</v>
      </c>
      <c r="J3195" s="112">
        <v>91</v>
      </c>
      <c r="K3195" s="112">
        <v>8</v>
      </c>
      <c r="L3195" s="112">
        <v>251</v>
      </c>
      <c r="M3195" s="112">
        <v>249</v>
      </c>
      <c r="N3195" s="112">
        <v>2</v>
      </c>
      <c r="O3195" s="119"/>
      <c r="P3195" s="119"/>
      <c r="Q3195" s="119"/>
    </row>
    <row r="3196" spans="1:17" s="110" customFormat="1" ht="31.75" customHeight="1">
      <c r="A3196" s="109" t="s">
        <v>7452</v>
      </c>
      <c r="B3196" s="109" t="s">
        <v>7453</v>
      </c>
      <c r="C3196" s="113">
        <v>2016</v>
      </c>
      <c r="D3196" s="112">
        <v>845</v>
      </c>
      <c r="E3196" s="112">
        <v>3579</v>
      </c>
      <c r="F3196" s="112">
        <v>1197</v>
      </c>
      <c r="G3196" s="112">
        <v>2425</v>
      </c>
      <c r="H3196" s="112">
        <v>871</v>
      </c>
      <c r="I3196" s="112">
        <v>80</v>
      </c>
      <c r="J3196" s="112">
        <v>86</v>
      </c>
      <c r="K3196" s="112">
        <v>6</v>
      </c>
      <c r="L3196" s="112">
        <v>304</v>
      </c>
      <c r="M3196" s="112">
        <v>260</v>
      </c>
      <c r="N3196" s="112">
        <v>44</v>
      </c>
      <c r="O3196" s="119"/>
      <c r="P3196" s="119"/>
      <c r="Q3196" s="119"/>
    </row>
    <row r="3197" spans="1:17" s="110" customFormat="1" ht="31.75" customHeight="1">
      <c r="A3197" s="109" t="s">
        <v>7452</v>
      </c>
      <c r="B3197" s="109" t="s">
        <v>7453</v>
      </c>
      <c r="C3197" s="113">
        <v>2017</v>
      </c>
      <c r="D3197" s="112">
        <v>821</v>
      </c>
      <c r="E3197" s="112">
        <v>3944</v>
      </c>
      <c r="F3197" s="112">
        <v>1015</v>
      </c>
      <c r="G3197" s="112">
        <v>2962</v>
      </c>
      <c r="H3197" s="112">
        <v>895</v>
      </c>
      <c r="I3197" s="112">
        <v>70</v>
      </c>
      <c r="J3197" s="112">
        <v>80</v>
      </c>
      <c r="K3197" s="112">
        <v>11</v>
      </c>
      <c r="L3197" s="112">
        <v>346</v>
      </c>
      <c r="M3197" s="112">
        <v>310</v>
      </c>
      <c r="N3197" s="112">
        <v>36</v>
      </c>
      <c r="O3197" s="119"/>
      <c r="P3197" s="119"/>
      <c r="Q3197" s="119"/>
    </row>
    <row r="3198" spans="1:17" s="110" customFormat="1" ht="31.75" customHeight="1">
      <c r="A3198" s="109" t="s">
        <v>7452</v>
      </c>
      <c r="B3198" s="109" t="s">
        <v>7453</v>
      </c>
      <c r="C3198" s="113">
        <v>2018</v>
      </c>
      <c r="D3198" s="112">
        <v>806</v>
      </c>
      <c r="E3198" s="112">
        <v>4198</v>
      </c>
      <c r="F3198" s="112">
        <v>1478</v>
      </c>
      <c r="G3198" s="112">
        <v>2818</v>
      </c>
      <c r="H3198" s="112">
        <v>861</v>
      </c>
      <c r="I3198" s="112">
        <v>59</v>
      </c>
      <c r="J3198" s="112">
        <v>62</v>
      </c>
      <c r="K3198" s="112">
        <v>3</v>
      </c>
      <c r="L3198" s="112">
        <v>440</v>
      </c>
      <c r="M3198" s="112">
        <v>340</v>
      </c>
      <c r="N3198" s="112">
        <v>100</v>
      </c>
    </row>
    <row r="3199" spans="1:17" s="110" customFormat="1" ht="31.75" customHeight="1">
      <c r="A3199" s="109" t="s">
        <v>7452</v>
      </c>
      <c r="B3199" s="109" t="s">
        <v>7453</v>
      </c>
      <c r="C3199" s="113">
        <v>2019</v>
      </c>
      <c r="D3199" s="112">
        <v>773</v>
      </c>
      <c r="E3199" s="112">
        <v>4638.2984820000001</v>
      </c>
      <c r="F3199" s="112">
        <v>1294.8720330000001</v>
      </c>
      <c r="G3199" s="112">
        <v>3264.5321829999998</v>
      </c>
      <c r="H3199" s="112">
        <v>800.11860799999999</v>
      </c>
      <c r="I3199" s="112">
        <v>87.106470999999999</v>
      </c>
      <c r="J3199" s="112">
        <v>88.758645999999999</v>
      </c>
      <c r="K3199" s="112">
        <v>1.652174</v>
      </c>
      <c r="L3199" s="112">
        <v>374.399742</v>
      </c>
      <c r="M3199" s="112">
        <v>446.36507999999998</v>
      </c>
      <c r="N3199" s="112">
        <v>-71.965338000000003</v>
      </c>
    </row>
    <row r="3200" spans="1:17" s="110" customFormat="1" ht="31.75" customHeight="1">
      <c r="A3200" s="114" t="s">
        <v>7452</v>
      </c>
      <c r="B3200" s="114" t="s">
        <v>7454</v>
      </c>
      <c r="C3200" s="113">
        <v>2020</v>
      </c>
      <c r="D3200" s="112">
        <v>784</v>
      </c>
      <c r="E3200" s="112">
        <v>4020.557851</v>
      </c>
      <c r="F3200" s="112" t="s">
        <v>6953</v>
      </c>
      <c r="G3200" s="112" t="s">
        <v>6953</v>
      </c>
      <c r="H3200" s="112">
        <v>797.31103700000006</v>
      </c>
      <c r="I3200" s="112">
        <v>83.881641999999999</v>
      </c>
      <c r="J3200" s="112">
        <v>90.162469999999999</v>
      </c>
      <c r="K3200" s="112">
        <v>6.2808279999999996</v>
      </c>
      <c r="L3200" s="112" t="s">
        <v>6953</v>
      </c>
      <c r="M3200" s="112" t="s">
        <v>6953</v>
      </c>
      <c r="N3200" s="112" t="s">
        <v>6953</v>
      </c>
      <c r="O3200" s="100"/>
      <c r="P3200" s="100"/>
      <c r="Q3200" s="100"/>
    </row>
    <row r="3201" spans="1:17" s="110" customFormat="1" ht="31.75" customHeight="1">
      <c r="A3201" s="109" t="s">
        <v>7455</v>
      </c>
      <c r="B3201" s="109" t="s">
        <v>7456</v>
      </c>
      <c r="C3201" s="98">
        <v>2008</v>
      </c>
      <c r="D3201" s="99">
        <v>1561</v>
      </c>
      <c r="E3201" s="99">
        <v>3063</v>
      </c>
      <c r="F3201" s="99">
        <v>1183</v>
      </c>
      <c r="G3201" s="99">
        <v>1864</v>
      </c>
      <c r="H3201" s="99">
        <v>765</v>
      </c>
      <c r="I3201" s="99">
        <v>27</v>
      </c>
      <c r="J3201" s="99">
        <v>81</v>
      </c>
      <c r="K3201" s="99">
        <v>54</v>
      </c>
      <c r="L3201" s="99">
        <v>389</v>
      </c>
      <c r="M3201" s="99">
        <v>417</v>
      </c>
      <c r="N3201" s="99">
        <v>-28</v>
      </c>
    </row>
    <row r="3202" spans="1:17" s="110" customFormat="1" ht="31.75" customHeight="1">
      <c r="A3202" s="109" t="s">
        <v>7455</v>
      </c>
      <c r="B3202" s="109" t="s">
        <v>7456</v>
      </c>
      <c r="C3202" s="98">
        <v>2009</v>
      </c>
      <c r="D3202" s="99">
        <v>1575</v>
      </c>
      <c r="E3202" s="99">
        <v>2798</v>
      </c>
      <c r="F3202" s="99">
        <v>1386</v>
      </c>
      <c r="G3202" s="99">
        <v>1382</v>
      </c>
      <c r="H3202" s="99">
        <v>669</v>
      </c>
      <c r="I3202" s="99">
        <v>47</v>
      </c>
      <c r="J3202" s="99">
        <v>64</v>
      </c>
      <c r="K3202" s="99">
        <v>17</v>
      </c>
      <c r="L3202" s="99">
        <v>415</v>
      </c>
      <c r="M3202" s="99">
        <v>467</v>
      </c>
      <c r="N3202" s="99">
        <v>-52</v>
      </c>
      <c r="O3202" s="100"/>
      <c r="P3202" s="100"/>
      <c r="Q3202" s="100"/>
    </row>
    <row r="3203" spans="1:17" s="110" customFormat="1" ht="31.75" customHeight="1">
      <c r="A3203" s="109" t="s">
        <v>7455</v>
      </c>
      <c r="B3203" s="109" t="s">
        <v>7456</v>
      </c>
      <c r="C3203" s="98">
        <v>2010</v>
      </c>
      <c r="D3203" s="99">
        <v>1557</v>
      </c>
      <c r="E3203" s="99">
        <v>2862</v>
      </c>
      <c r="F3203" s="99">
        <v>1242</v>
      </c>
      <c r="G3203" s="99">
        <v>1633</v>
      </c>
      <c r="H3203" s="99">
        <v>691</v>
      </c>
      <c r="I3203" s="99">
        <v>56</v>
      </c>
      <c r="J3203" s="99">
        <v>74</v>
      </c>
      <c r="K3203" s="99">
        <v>18</v>
      </c>
      <c r="L3203" s="99">
        <v>351</v>
      </c>
      <c r="M3203" s="99">
        <v>336</v>
      </c>
      <c r="N3203" s="99">
        <v>15</v>
      </c>
      <c r="O3203" s="100"/>
      <c r="P3203" s="100"/>
      <c r="Q3203" s="100"/>
    </row>
    <row r="3204" spans="1:17" s="110" customFormat="1" ht="31.75" customHeight="1">
      <c r="A3204" s="109" t="s">
        <v>7455</v>
      </c>
      <c r="B3204" s="109" t="s">
        <v>7456</v>
      </c>
      <c r="C3204" s="98">
        <v>2011</v>
      </c>
      <c r="D3204" s="99">
        <v>1548</v>
      </c>
      <c r="E3204" s="99">
        <v>3410</v>
      </c>
      <c r="F3204" s="99">
        <v>1212</v>
      </c>
      <c r="G3204" s="99">
        <v>2212</v>
      </c>
      <c r="H3204" s="99">
        <v>814</v>
      </c>
      <c r="I3204" s="99">
        <v>57</v>
      </c>
      <c r="J3204" s="99">
        <v>77</v>
      </c>
      <c r="K3204" s="99">
        <v>20</v>
      </c>
      <c r="L3204" s="99">
        <v>383</v>
      </c>
      <c r="M3204" s="99">
        <v>362</v>
      </c>
      <c r="N3204" s="99">
        <v>21</v>
      </c>
    </row>
    <row r="3205" spans="1:17" s="110" customFormat="1" ht="31.75" customHeight="1">
      <c r="A3205" s="109" t="s">
        <v>7455</v>
      </c>
      <c r="B3205" s="109" t="s">
        <v>7456</v>
      </c>
      <c r="C3205" s="111">
        <v>2012</v>
      </c>
      <c r="D3205" s="112">
        <v>1493</v>
      </c>
      <c r="E3205" s="112">
        <v>3272</v>
      </c>
      <c r="F3205" s="112">
        <v>1252</v>
      </c>
      <c r="G3205" s="112">
        <v>1997</v>
      </c>
      <c r="H3205" s="112">
        <v>735</v>
      </c>
      <c r="I3205" s="112">
        <v>66</v>
      </c>
      <c r="J3205" s="112">
        <v>73</v>
      </c>
      <c r="K3205" s="112">
        <v>7</v>
      </c>
      <c r="L3205" s="112">
        <v>327</v>
      </c>
      <c r="M3205" s="112">
        <v>363</v>
      </c>
      <c r="N3205" s="112">
        <v>-36</v>
      </c>
    </row>
    <row r="3206" spans="1:17" s="110" customFormat="1" ht="31.75" customHeight="1">
      <c r="A3206" s="109" t="s">
        <v>7455</v>
      </c>
      <c r="B3206" s="109" t="s">
        <v>7456</v>
      </c>
      <c r="C3206" s="113">
        <v>2013</v>
      </c>
      <c r="D3206" s="112">
        <v>1439</v>
      </c>
      <c r="E3206" s="112">
        <v>3139</v>
      </c>
      <c r="F3206" s="112">
        <v>1287</v>
      </c>
      <c r="G3206" s="112">
        <v>1874</v>
      </c>
      <c r="H3206" s="112">
        <v>679</v>
      </c>
      <c r="I3206" s="112">
        <v>70</v>
      </c>
      <c r="J3206" s="112">
        <v>76</v>
      </c>
      <c r="K3206" s="112">
        <v>6</v>
      </c>
      <c r="L3206" s="112">
        <v>325</v>
      </c>
      <c r="M3206" s="112">
        <v>302</v>
      </c>
      <c r="N3206" s="112">
        <v>23</v>
      </c>
      <c r="O3206" s="119"/>
      <c r="P3206" s="119"/>
      <c r="Q3206" s="119"/>
    </row>
    <row r="3207" spans="1:17" s="110" customFormat="1" ht="31.75" customHeight="1">
      <c r="A3207" s="109" t="s">
        <v>7455</v>
      </c>
      <c r="B3207" s="109" t="s">
        <v>7456</v>
      </c>
      <c r="C3207" s="113">
        <v>2014</v>
      </c>
      <c r="D3207" s="99">
        <v>1432</v>
      </c>
      <c r="E3207" s="99">
        <v>3297</v>
      </c>
      <c r="F3207" s="99">
        <v>1096</v>
      </c>
      <c r="G3207" s="99">
        <v>2221</v>
      </c>
      <c r="H3207" s="99">
        <v>752</v>
      </c>
      <c r="I3207" s="99">
        <v>66</v>
      </c>
      <c r="J3207" s="99">
        <v>72</v>
      </c>
      <c r="K3207" s="99">
        <v>6</v>
      </c>
      <c r="L3207" s="99">
        <v>327</v>
      </c>
      <c r="M3207" s="99">
        <v>316</v>
      </c>
      <c r="N3207" s="99">
        <v>10</v>
      </c>
      <c r="O3207" s="119"/>
      <c r="P3207" s="119"/>
      <c r="Q3207" s="119"/>
    </row>
    <row r="3208" spans="1:17" s="110" customFormat="1" ht="31.75" customHeight="1">
      <c r="A3208" s="109" t="s">
        <v>7455</v>
      </c>
      <c r="B3208" s="109" t="s">
        <v>7456</v>
      </c>
      <c r="C3208" s="113">
        <v>2015</v>
      </c>
      <c r="D3208" s="112">
        <v>1407</v>
      </c>
      <c r="E3208" s="112">
        <v>3302</v>
      </c>
      <c r="F3208" s="112">
        <v>1286</v>
      </c>
      <c r="G3208" s="112">
        <v>2010</v>
      </c>
      <c r="H3208" s="112">
        <v>760</v>
      </c>
      <c r="I3208" s="112">
        <v>62</v>
      </c>
      <c r="J3208" s="112">
        <v>73</v>
      </c>
      <c r="K3208" s="112">
        <v>11</v>
      </c>
      <c r="L3208" s="112">
        <v>411</v>
      </c>
      <c r="M3208" s="112">
        <v>419</v>
      </c>
      <c r="N3208" s="112">
        <v>-8</v>
      </c>
      <c r="O3208" s="119"/>
      <c r="P3208" s="119"/>
      <c r="Q3208" s="119"/>
    </row>
    <row r="3209" spans="1:17" s="110" customFormat="1" ht="31.75" customHeight="1">
      <c r="A3209" s="109" t="s">
        <v>7455</v>
      </c>
      <c r="B3209" s="109" t="s">
        <v>7456</v>
      </c>
      <c r="C3209" s="113">
        <v>2016</v>
      </c>
      <c r="D3209" s="112">
        <v>1409</v>
      </c>
      <c r="E3209" s="112">
        <v>3762</v>
      </c>
      <c r="F3209" s="112">
        <v>1514</v>
      </c>
      <c r="G3209" s="112">
        <v>2284</v>
      </c>
      <c r="H3209" s="112">
        <v>819</v>
      </c>
      <c r="I3209" s="112">
        <v>108</v>
      </c>
      <c r="J3209" s="112">
        <v>123</v>
      </c>
      <c r="K3209" s="112">
        <v>15</v>
      </c>
      <c r="L3209" s="112">
        <v>482</v>
      </c>
      <c r="M3209" s="112">
        <v>454</v>
      </c>
      <c r="N3209" s="112">
        <v>28</v>
      </c>
      <c r="O3209" s="119"/>
      <c r="P3209" s="119"/>
      <c r="Q3209" s="119"/>
    </row>
    <row r="3210" spans="1:17" s="110" customFormat="1" ht="31.75" customHeight="1">
      <c r="A3210" s="109" t="s">
        <v>7455</v>
      </c>
      <c r="B3210" s="109" t="s">
        <v>7456</v>
      </c>
      <c r="C3210" s="113">
        <v>2017</v>
      </c>
      <c r="D3210" s="112">
        <v>1351</v>
      </c>
      <c r="E3210" s="112">
        <v>3669</v>
      </c>
      <c r="F3210" s="112">
        <v>1522</v>
      </c>
      <c r="G3210" s="112">
        <v>2194</v>
      </c>
      <c r="H3210" s="112">
        <v>758</v>
      </c>
      <c r="I3210" s="112">
        <v>167</v>
      </c>
      <c r="J3210" s="112">
        <v>188</v>
      </c>
      <c r="K3210" s="112">
        <v>20</v>
      </c>
      <c r="L3210" s="112">
        <v>448</v>
      </c>
      <c r="M3210" s="112">
        <v>404</v>
      </c>
      <c r="N3210" s="112">
        <v>44</v>
      </c>
    </row>
    <row r="3211" spans="1:17" s="110" customFormat="1" ht="31.75" customHeight="1">
      <c r="A3211" s="109" t="s">
        <v>7455</v>
      </c>
      <c r="B3211" s="109" t="s">
        <v>7456</v>
      </c>
      <c r="C3211" s="113">
        <v>2018</v>
      </c>
      <c r="D3211" s="112">
        <v>1326</v>
      </c>
      <c r="E3211" s="112">
        <v>3338</v>
      </c>
      <c r="F3211" s="112">
        <v>1410</v>
      </c>
      <c r="G3211" s="112">
        <v>1974</v>
      </c>
      <c r="H3211" s="112">
        <v>802</v>
      </c>
      <c r="I3211" s="112">
        <v>99</v>
      </c>
      <c r="J3211" s="112">
        <v>137</v>
      </c>
      <c r="K3211" s="112">
        <v>37</v>
      </c>
      <c r="L3211" s="112">
        <v>452</v>
      </c>
      <c r="M3211" s="112">
        <v>401</v>
      </c>
      <c r="N3211" s="112">
        <v>51</v>
      </c>
    </row>
    <row r="3212" spans="1:17" s="110" customFormat="1" ht="31.75" customHeight="1">
      <c r="A3212" s="109" t="s">
        <v>7455</v>
      </c>
      <c r="B3212" s="109" t="s">
        <v>7456</v>
      </c>
      <c r="C3212" s="113">
        <v>2019</v>
      </c>
      <c r="D3212" s="112">
        <v>1286</v>
      </c>
      <c r="E3212" s="112">
        <v>3557.6110939999999</v>
      </c>
      <c r="F3212" s="112">
        <v>1442.909392</v>
      </c>
      <c r="G3212" s="112">
        <v>2152.9928439999999</v>
      </c>
      <c r="H3212" s="112">
        <v>899.96718699999997</v>
      </c>
      <c r="I3212" s="112">
        <v>80.055959999999999</v>
      </c>
      <c r="J3212" s="112">
        <v>114.38769600000001</v>
      </c>
      <c r="K3212" s="112">
        <v>34.331736999999997</v>
      </c>
      <c r="L3212" s="112">
        <v>514.44982100000004</v>
      </c>
      <c r="M3212" s="112">
        <v>470.12673999999998</v>
      </c>
      <c r="N3212" s="112">
        <v>44.323081000000002</v>
      </c>
      <c r="O3212" s="100"/>
      <c r="P3212" s="100"/>
      <c r="Q3212" s="100"/>
    </row>
    <row r="3213" spans="1:17" s="110" customFormat="1" ht="31.75" customHeight="1">
      <c r="A3213" s="114" t="s">
        <v>7455</v>
      </c>
      <c r="B3213" s="109" t="s">
        <v>7456</v>
      </c>
      <c r="C3213" s="113">
        <v>2020</v>
      </c>
      <c r="D3213" s="112">
        <v>1250</v>
      </c>
      <c r="E3213" s="112">
        <v>3394.7733779999999</v>
      </c>
      <c r="F3213" s="112">
        <v>1304.305077</v>
      </c>
      <c r="G3213" s="112">
        <v>2093.6992449999998</v>
      </c>
      <c r="H3213" s="112">
        <v>804.48306400000001</v>
      </c>
      <c r="I3213" s="112">
        <v>91.868627000000004</v>
      </c>
      <c r="J3213" s="112">
        <v>109.97872599999999</v>
      </c>
      <c r="K3213" s="112">
        <v>18.110099000000002</v>
      </c>
      <c r="L3213" s="112">
        <v>585.46732299999996</v>
      </c>
      <c r="M3213" s="112">
        <v>578.56764199999998</v>
      </c>
      <c r="N3213" s="112">
        <v>6.8996810000000002</v>
      </c>
    </row>
    <row r="3214" spans="1:17" s="110" customFormat="1" ht="17.5" customHeight="1">
      <c r="A3214" s="109" t="s">
        <v>7457</v>
      </c>
      <c r="B3214" s="109" t="s">
        <v>7458</v>
      </c>
      <c r="C3214" s="98">
        <v>2008</v>
      </c>
      <c r="D3214" s="99">
        <v>462</v>
      </c>
      <c r="E3214" s="99">
        <v>1832</v>
      </c>
      <c r="F3214" s="99">
        <v>315</v>
      </c>
      <c r="G3214" s="99">
        <v>1577</v>
      </c>
      <c r="H3214" s="99">
        <v>171</v>
      </c>
      <c r="I3214" s="99">
        <v>20</v>
      </c>
      <c r="J3214" s="99">
        <v>24</v>
      </c>
      <c r="K3214" s="99">
        <v>4</v>
      </c>
      <c r="L3214" s="99">
        <v>254</v>
      </c>
      <c r="M3214" s="99">
        <v>195</v>
      </c>
      <c r="N3214" s="99">
        <v>59</v>
      </c>
      <c r="O3214" s="100"/>
      <c r="P3214" s="100"/>
      <c r="Q3214" s="100"/>
    </row>
    <row r="3215" spans="1:17" s="110" customFormat="1" ht="17.5" customHeight="1">
      <c r="A3215" s="109" t="s">
        <v>7457</v>
      </c>
      <c r="B3215" s="109" t="s">
        <v>7458</v>
      </c>
      <c r="C3215" s="98">
        <v>2009</v>
      </c>
      <c r="D3215" s="99">
        <v>336</v>
      </c>
      <c r="E3215" s="99">
        <v>1789</v>
      </c>
      <c r="F3215" s="99">
        <v>294</v>
      </c>
      <c r="G3215" s="99">
        <v>1421</v>
      </c>
      <c r="H3215" s="99">
        <v>198</v>
      </c>
      <c r="I3215" s="99">
        <v>39</v>
      </c>
      <c r="J3215" s="99">
        <v>41</v>
      </c>
      <c r="K3215" s="99">
        <v>3</v>
      </c>
      <c r="L3215" s="99">
        <v>190</v>
      </c>
      <c r="M3215" s="99">
        <v>265</v>
      </c>
      <c r="N3215" s="99">
        <v>-75</v>
      </c>
      <c r="O3215" s="100"/>
      <c r="P3215" s="100"/>
      <c r="Q3215" s="100"/>
    </row>
    <row r="3216" spans="1:17" s="110" customFormat="1" ht="17.5" customHeight="1">
      <c r="A3216" s="109" t="s">
        <v>7457</v>
      </c>
      <c r="B3216" s="109" t="s">
        <v>7458</v>
      </c>
      <c r="C3216" s="98">
        <v>2010</v>
      </c>
      <c r="D3216" s="99">
        <v>322</v>
      </c>
      <c r="E3216" s="99">
        <v>1853</v>
      </c>
      <c r="F3216" s="99">
        <v>486</v>
      </c>
      <c r="G3216" s="99">
        <v>1393</v>
      </c>
      <c r="H3216" s="99">
        <v>207</v>
      </c>
      <c r="I3216" s="99">
        <v>47</v>
      </c>
      <c r="J3216" s="99">
        <v>51</v>
      </c>
      <c r="K3216" s="99">
        <v>4</v>
      </c>
      <c r="L3216" s="99">
        <v>214</v>
      </c>
      <c r="M3216" s="99">
        <v>187</v>
      </c>
      <c r="N3216" s="99">
        <v>27</v>
      </c>
    </row>
    <row r="3217" spans="1:17" s="110" customFormat="1" ht="17.5" customHeight="1">
      <c r="A3217" s="109" t="s">
        <v>7457</v>
      </c>
      <c r="B3217" s="109" t="s">
        <v>7458</v>
      </c>
      <c r="C3217" s="98">
        <v>2011</v>
      </c>
      <c r="D3217" s="99">
        <v>312</v>
      </c>
      <c r="E3217" s="99">
        <v>1977</v>
      </c>
      <c r="F3217" s="99">
        <v>438</v>
      </c>
      <c r="G3217" s="99">
        <v>1551</v>
      </c>
      <c r="H3217" s="99">
        <v>218</v>
      </c>
      <c r="I3217" s="99">
        <v>24</v>
      </c>
      <c r="J3217" s="99">
        <v>29</v>
      </c>
      <c r="K3217" s="99">
        <v>4</v>
      </c>
      <c r="L3217" s="99">
        <v>227</v>
      </c>
      <c r="M3217" s="99">
        <v>214</v>
      </c>
      <c r="N3217" s="99">
        <v>13</v>
      </c>
    </row>
    <row r="3218" spans="1:17" s="110" customFormat="1" ht="17.5" customHeight="1">
      <c r="A3218" s="109" t="s">
        <v>7457</v>
      </c>
      <c r="B3218" s="109" t="s">
        <v>7458</v>
      </c>
      <c r="C3218" s="111">
        <v>2012</v>
      </c>
      <c r="D3218" s="112">
        <v>414</v>
      </c>
      <c r="E3218" s="112">
        <v>2282</v>
      </c>
      <c r="F3218" s="112">
        <v>401</v>
      </c>
      <c r="G3218" s="112">
        <v>1885</v>
      </c>
      <c r="H3218" s="112">
        <v>207</v>
      </c>
      <c r="I3218" s="112">
        <v>29</v>
      </c>
      <c r="J3218" s="112">
        <v>30</v>
      </c>
      <c r="K3218" s="112">
        <v>1</v>
      </c>
      <c r="L3218" s="112">
        <v>243</v>
      </c>
      <c r="M3218" s="112">
        <v>241</v>
      </c>
      <c r="N3218" s="112">
        <v>2</v>
      </c>
      <c r="O3218" s="119"/>
      <c r="P3218" s="119"/>
      <c r="Q3218" s="119"/>
    </row>
    <row r="3219" spans="1:17" s="110" customFormat="1" ht="17.5" customHeight="1">
      <c r="A3219" s="109" t="s">
        <v>7457</v>
      </c>
      <c r="B3219" s="109" t="s">
        <v>7458</v>
      </c>
      <c r="C3219" s="113">
        <v>2013</v>
      </c>
      <c r="D3219" s="112">
        <v>466</v>
      </c>
      <c r="E3219" s="112">
        <v>2253</v>
      </c>
      <c r="F3219" s="112">
        <v>407</v>
      </c>
      <c r="G3219" s="112">
        <v>1904</v>
      </c>
      <c r="H3219" s="112">
        <v>213</v>
      </c>
      <c r="I3219" s="112">
        <v>49</v>
      </c>
      <c r="J3219" s="112">
        <v>51</v>
      </c>
      <c r="K3219" s="112">
        <v>3</v>
      </c>
      <c r="L3219" s="112">
        <v>294</v>
      </c>
      <c r="M3219" s="112">
        <v>235</v>
      </c>
      <c r="N3219" s="112">
        <v>58</v>
      </c>
      <c r="O3219" s="119"/>
      <c r="P3219" s="119"/>
      <c r="Q3219" s="119"/>
    </row>
    <row r="3220" spans="1:17" s="110" customFormat="1" ht="17.5" customHeight="1">
      <c r="A3220" s="109" t="s">
        <v>7457</v>
      </c>
      <c r="B3220" s="109" t="s">
        <v>7458</v>
      </c>
      <c r="C3220" s="113">
        <v>2014</v>
      </c>
      <c r="D3220" s="99">
        <v>479</v>
      </c>
      <c r="E3220" s="99">
        <v>2382</v>
      </c>
      <c r="F3220" s="99">
        <v>486</v>
      </c>
      <c r="G3220" s="99">
        <v>1896</v>
      </c>
      <c r="H3220" s="99">
        <v>225</v>
      </c>
      <c r="I3220" s="99">
        <v>46</v>
      </c>
      <c r="J3220" s="99">
        <v>52</v>
      </c>
      <c r="K3220" s="99">
        <v>6</v>
      </c>
      <c r="L3220" s="99">
        <v>264</v>
      </c>
      <c r="M3220" s="99">
        <v>273</v>
      </c>
      <c r="N3220" s="99">
        <v>-9</v>
      </c>
      <c r="O3220" s="119"/>
      <c r="P3220" s="119"/>
      <c r="Q3220" s="119"/>
    </row>
    <row r="3221" spans="1:17" s="110" customFormat="1" ht="17.5" customHeight="1">
      <c r="A3221" s="109" t="s">
        <v>7457</v>
      </c>
      <c r="B3221" s="109" t="s">
        <v>7458</v>
      </c>
      <c r="C3221" s="113">
        <v>2015</v>
      </c>
      <c r="D3221" s="112">
        <v>476</v>
      </c>
      <c r="E3221" s="112">
        <v>2130</v>
      </c>
      <c r="F3221" s="112">
        <v>593</v>
      </c>
      <c r="G3221" s="112">
        <v>1535</v>
      </c>
      <c r="H3221" s="112">
        <v>246</v>
      </c>
      <c r="I3221" s="112">
        <v>42</v>
      </c>
      <c r="J3221" s="112">
        <v>42</v>
      </c>
      <c r="K3221" s="112">
        <v>1</v>
      </c>
      <c r="L3221" s="112">
        <v>285</v>
      </c>
      <c r="M3221" s="112">
        <v>288</v>
      </c>
      <c r="N3221" s="112">
        <v>-3</v>
      </c>
      <c r="O3221" s="119"/>
      <c r="P3221" s="119"/>
      <c r="Q3221" s="119"/>
    </row>
    <row r="3222" spans="1:17" s="110" customFormat="1" ht="17.5" customHeight="1">
      <c r="A3222" s="109" t="s">
        <v>7457</v>
      </c>
      <c r="B3222" s="109" t="s">
        <v>7458</v>
      </c>
      <c r="C3222" s="113">
        <v>2016</v>
      </c>
      <c r="D3222" s="112">
        <v>484</v>
      </c>
      <c r="E3222" s="112">
        <v>2253</v>
      </c>
      <c r="F3222" s="112">
        <v>564</v>
      </c>
      <c r="G3222" s="112">
        <v>1714</v>
      </c>
      <c r="H3222" s="112">
        <v>228</v>
      </c>
      <c r="I3222" s="112">
        <v>30</v>
      </c>
      <c r="J3222" s="112">
        <v>32</v>
      </c>
      <c r="K3222" s="112">
        <v>2</v>
      </c>
      <c r="L3222" s="112">
        <v>289</v>
      </c>
      <c r="M3222" s="112">
        <v>280</v>
      </c>
      <c r="N3222" s="112">
        <v>9</v>
      </c>
    </row>
    <row r="3223" spans="1:17" s="110" customFormat="1" ht="17.5" customHeight="1">
      <c r="A3223" s="109" t="s">
        <v>7457</v>
      </c>
      <c r="B3223" s="109" t="s">
        <v>7458</v>
      </c>
      <c r="C3223" s="113">
        <v>2017</v>
      </c>
      <c r="D3223" s="112">
        <v>537</v>
      </c>
      <c r="E3223" s="112">
        <v>2311</v>
      </c>
      <c r="F3223" s="112">
        <v>450</v>
      </c>
      <c r="G3223" s="112">
        <v>1929</v>
      </c>
      <c r="H3223" s="112">
        <v>249</v>
      </c>
      <c r="I3223" s="112">
        <v>31</v>
      </c>
      <c r="J3223" s="112">
        <v>33</v>
      </c>
      <c r="K3223" s="112">
        <v>2</v>
      </c>
      <c r="L3223" s="112">
        <v>336</v>
      </c>
      <c r="M3223" s="112">
        <v>269</v>
      </c>
      <c r="N3223" s="112">
        <v>68</v>
      </c>
    </row>
    <row r="3224" spans="1:17" s="110" customFormat="1" ht="17.5" customHeight="1">
      <c r="A3224" s="109" t="s">
        <v>7457</v>
      </c>
      <c r="B3224" s="109" t="s">
        <v>7458</v>
      </c>
      <c r="C3224" s="113">
        <v>2018</v>
      </c>
      <c r="D3224" s="112">
        <v>546</v>
      </c>
      <c r="E3224" s="112">
        <v>2634</v>
      </c>
      <c r="F3224" s="112">
        <v>562</v>
      </c>
      <c r="G3224" s="112">
        <v>2135</v>
      </c>
      <c r="H3224" s="112">
        <v>286</v>
      </c>
      <c r="I3224" s="112">
        <v>68</v>
      </c>
      <c r="J3224" s="112">
        <v>72</v>
      </c>
      <c r="K3224" s="112">
        <v>4</v>
      </c>
      <c r="L3224" s="112">
        <v>395</v>
      </c>
      <c r="M3224" s="112">
        <v>335</v>
      </c>
      <c r="N3224" s="112">
        <v>60</v>
      </c>
      <c r="O3224" s="100"/>
      <c r="P3224" s="100"/>
      <c r="Q3224" s="100"/>
    </row>
    <row r="3225" spans="1:17" s="110" customFormat="1" ht="17.5" customHeight="1">
      <c r="A3225" s="109" t="s">
        <v>7457</v>
      </c>
      <c r="B3225" s="109" t="s">
        <v>7458</v>
      </c>
      <c r="C3225" s="113">
        <v>2019</v>
      </c>
      <c r="D3225" s="112">
        <v>659</v>
      </c>
      <c r="E3225" s="112">
        <v>2559.7826110000001</v>
      </c>
      <c r="F3225" s="112">
        <v>568.48052900000005</v>
      </c>
      <c r="G3225" s="112">
        <v>1991.8574040000001</v>
      </c>
      <c r="H3225" s="112">
        <v>303.45732500000003</v>
      </c>
      <c r="I3225" s="112">
        <v>53.449857000000002</v>
      </c>
      <c r="J3225" s="112">
        <v>56.250093</v>
      </c>
      <c r="K3225" s="112">
        <v>2.8002359999999999</v>
      </c>
      <c r="L3225" s="112">
        <v>376.56145700000002</v>
      </c>
      <c r="M3225" s="112">
        <v>380.23386099999999</v>
      </c>
      <c r="N3225" s="112">
        <v>-3.6724039999999998</v>
      </c>
    </row>
    <row r="3226" spans="1:17" s="110" customFormat="1" ht="17.5" customHeight="1">
      <c r="A3226" s="114" t="s">
        <v>7457</v>
      </c>
      <c r="B3226" s="114" t="s">
        <v>7458</v>
      </c>
      <c r="C3226" s="113">
        <v>2020</v>
      </c>
      <c r="D3226" s="112">
        <v>672</v>
      </c>
      <c r="E3226" s="112">
        <v>2476.7152299999998</v>
      </c>
      <c r="F3226" s="112">
        <v>588.55109500000003</v>
      </c>
      <c r="G3226" s="112">
        <v>1860.173785</v>
      </c>
      <c r="H3226" s="112">
        <v>299.33144299999998</v>
      </c>
      <c r="I3226" s="112">
        <v>33.701749999999997</v>
      </c>
      <c r="J3226" s="112">
        <v>39.875624000000002</v>
      </c>
      <c r="K3226" s="112">
        <v>6.1738739999999996</v>
      </c>
      <c r="L3226" s="112">
        <v>377.24707100000001</v>
      </c>
      <c r="M3226" s="112">
        <v>406.44036699999998</v>
      </c>
      <c r="N3226" s="112">
        <v>-29.193296</v>
      </c>
      <c r="O3226" s="100"/>
      <c r="P3226" s="100"/>
      <c r="Q3226" s="100"/>
    </row>
    <row r="3227" spans="1:17" s="110" customFormat="1" ht="31.75" customHeight="1">
      <c r="A3227" s="109" t="s">
        <v>7459</v>
      </c>
      <c r="B3227" s="109" t="s">
        <v>7460</v>
      </c>
      <c r="C3227" s="98">
        <v>2008</v>
      </c>
      <c r="D3227" s="99">
        <v>1134</v>
      </c>
      <c r="E3227" s="99">
        <v>1254</v>
      </c>
      <c r="F3227" s="99">
        <v>499</v>
      </c>
      <c r="G3227" s="99">
        <v>747</v>
      </c>
      <c r="H3227" s="99">
        <v>286</v>
      </c>
      <c r="I3227" s="99">
        <v>20</v>
      </c>
      <c r="J3227" s="99">
        <v>25</v>
      </c>
      <c r="K3227" s="99">
        <v>4</v>
      </c>
      <c r="L3227" s="99">
        <v>234</v>
      </c>
      <c r="M3227" s="99">
        <v>234</v>
      </c>
      <c r="N3227" s="99">
        <v>1</v>
      </c>
      <c r="O3227" s="100"/>
      <c r="P3227" s="100"/>
      <c r="Q3227" s="100"/>
    </row>
    <row r="3228" spans="1:17" s="110" customFormat="1" ht="31.75" customHeight="1">
      <c r="A3228" s="109" t="s">
        <v>7459</v>
      </c>
      <c r="B3228" s="109" t="s">
        <v>7460</v>
      </c>
      <c r="C3228" s="98">
        <v>2009</v>
      </c>
      <c r="D3228" s="99">
        <v>1079</v>
      </c>
      <c r="E3228" s="99">
        <v>831</v>
      </c>
      <c r="F3228" s="99">
        <v>312</v>
      </c>
      <c r="G3228" s="99">
        <v>505</v>
      </c>
      <c r="H3228" s="99">
        <v>248</v>
      </c>
      <c r="I3228" s="99">
        <v>8</v>
      </c>
      <c r="J3228" s="99">
        <v>14</v>
      </c>
      <c r="K3228" s="99">
        <v>7</v>
      </c>
      <c r="L3228" s="99">
        <v>191</v>
      </c>
      <c r="M3228" s="99">
        <v>207</v>
      </c>
      <c r="N3228" s="99">
        <v>-15</v>
      </c>
    </row>
    <row r="3229" spans="1:17" s="110" customFormat="1" ht="31.75" customHeight="1">
      <c r="A3229" s="109" t="s">
        <v>7459</v>
      </c>
      <c r="B3229" s="109" t="s">
        <v>7460</v>
      </c>
      <c r="C3229" s="98">
        <v>2010</v>
      </c>
      <c r="D3229" s="99">
        <v>1028</v>
      </c>
      <c r="E3229" s="99">
        <v>1045</v>
      </c>
      <c r="F3229" s="99">
        <v>466</v>
      </c>
      <c r="G3229" s="99">
        <v>597</v>
      </c>
      <c r="H3229" s="99">
        <v>262</v>
      </c>
      <c r="I3229" s="99">
        <v>18</v>
      </c>
      <c r="J3229" s="99">
        <v>23</v>
      </c>
      <c r="K3229" s="99">
        <v>6</v>
      </c>
      <c r="L3229" s="99">
        <v>206</v>
      </c>
      <c r="M3229" s="99">
        <v>189</v>
      </c>
      <c r="N3229" s="99">
        <v>17</v>
      </c>
    </row>
    <row r="3230" spans="1:17" s="110" customFormat="1" ht="31.75" customHeight="1">
      <c r="A3230" s="109" t="s">
        <v>7459</v>
      </c>
      <c r="B3230" s="109" t="s">
        <v>7460</v>
      </c>
      <c r="C3230" s="98">
        <v>2011</v>
      </c>
      <c r="D3230" s="99">
        <v>980</v>
      </c>
      <c r="E3230" s="99">
        <v>1147</v>
      </c>
      <c r="F3230" s="99">
        <v>529</v>
      </c>
      <c r="G3230" s="99">
        <v>690</v>
      </c>
      <c r="H3230" s="99">
        <v>267</v>
      </c>
      <c r="I3230" s="99">
        <v>22</v>
      </c>
      <c r="J3230" s="99">
        <v>26</v>
      </c>
      <c r="K3230" s="99">
        <v>5</v>
      </c>
      <c r="L3230" s="99">
        <v>256</v>
      </c>
      <c r="M3230" s="99">
        <v>188</v>
      </c>
      <c r="N3230" s="99">
        <v>67</v>
      </c>
      <c r="O3230" s="119"/>
      <c r="P3230" s="119"/>
      <c r="Q3230" s="119"/>
    </row>
    <row r="3231" spans="1:17" s="110" customFormat="1" ht="31.75" customHeight="1">
      <c r="A3231" s="109" t="s">
        <v>7459</v>
      </c>
      <c r="B3231" s="109" t="s">
        <v>7460</v>
      </c>
      <c r="C3231" s="111">
        <v>2012</v>
      </c>
      <c r="D3231" s="112">
        <v>952</v>
      </c>
      <c r="E3231" s="112">
        <v>1360</v>
      </c>
      <c r="F3231" s="112">
        <v>530</v>
      </c>
      <c r="G3231" s="112">
        <v>813</v>
      </c>
      <c r="H3231" s="112">
        <v>315</v>
      </c>
      <c r="I3231" s="112">
        <v>39</v>
      </c>
      <c r="J3231" s="112">
        <v>43</v>
      </c>
      <c r="K3231" s="112">
        <v>4</v>
      </c>
      <c r="L3231" s="112">
        <v>258</v>
      </c>
      <c r="M3231" s="112">
        <v>275</v>
      </c>
      <c r="N3231" s="112">
        <v>-17</v>
      </c>
      <c r="O3231" s="119"/>
      <c r="P3231" s="119"/>
      <c r="Q3231" s="119"/>
    </row>
    <row r="3232" spans="1:17" s="110" customFormat="1" ht="31.75" customHeight="1">
      <c r="A3232" s="109" t="s">
        <v>7459</v>
      </c>
      <c r="B3232" s="109" t="s">
        <v>7460</v>
      </c>
      <c r="C3232" s="113">
        <v>2013</v>
      </c>
      <c r="D3232" s="112">
        <v>931</v>
      </c>
      <c r="E3232" s="112">
        <v>1314</v>
      </c>
      <c r="F3232" s="112">
        <v>535</v>
      </c>
      <c r="G3232" s="112">
        <v>767</v>
      </c>
      <c r="H3232" s="112">
        <v>311</v>
      </c>
      <c r="I3232" s="112">
        <v>24</v>
      </c>
      <c r="J3232" s="112">
        <v>27</v>
      </c>
      <c r="K3232" s="112">
        <v>3</v>
      </c>
      <c r="L3232" s="112">
        <v>258</v>
      </c>
      <c r="M3232" s="112">
        <v>270</v>
      </c>
      <c r="N3232" s="112">
        <v>-12</v>
      </c>
      <c r="O3232" s="119"/>
      <c r="P3232" s="119"/>
      <c r="Q3232" s="119"/>
    </row>
    <row r="3233" spans="1:17" s="110" customFormat="1" ht="31.75" customHeight="1">
      <c r="A3233" s="109" t="s">
        <v>7459</v>
      </c>
      <c r="B3233" s="109" t="s">
        <v>7460</v>
      </c>
      <c r="C3233" s="113">
        <v>2014</v>
      </c>
      <c r="D3233" s="99">
        <v>912</v>
      </c>
      <c r="E3233" s="99">
        <v>1299</v>
      </c>
      <c r="F3233" s="99">
        <v>597</v>
      </c>
      <c r="G3233" s="99">
        <v>699</v>
      </c>
      <c r="H3233" s="99">
        <v>318</v>
      </c>
      <c r="I3233" s="99">
        <v>45</v>
      </c>
      <c r="J3233" s="99">
        <v>48</v>
      </c>
      <c r="K3233" s="99">
        <v>3</v>
      </c>
      <c r="L3233" s="99">
        <v>236</v>
      </c>
      <c r="M3233" s="99">
        <v>238</v>
      </c>
      <c r="N3233" s="99">
        <v>-2</v>
      </c>
      <c r="O3233" s="119"/>
      <c r="P3233" s="119"/>
      <c r="Q3233" s="119"/>
    </row>
    <row r="3234" spans="1:17" s="110" customFormat="1" ht="31.75" customHeight="1">
      <c r="A3234" s="109" t="s">
        <v>7459</v>
      </c>
      <c r="B3234" s="109" t="s">
        <v>7460</v>
      </c>
      <c r="C3234" s="113">
        <v>2015</v>
      </c>
      <c r="D3234" s="112">
        <v>905</v>
      </c>
      <c r="E3234" s="112">
        <v>1209</v>
      </c>
      <c r="F3234" s="112">
        <v>526</v>
      </c>
      <c r="G3234" s="112">
        <v>690</v>
      </c>
      <c r="H3234" s="112">
        <v>325</v>
      </c>
      <c r="I3234" s="112">
        <v>65</v>
      </c>
      <c r="J3234" s="112">
        <v>68</v>
      </c>
      <c r="K3234" s="112">
        <v>4</v>
      </c>
      <c r="L3234" s="112">
        <v>209</v>
      </c>
      <c r="M3234" s="112">
        <v>206</v>
      </c>
      <c r="N3234" s="112">
        <v>3</v>
      </c>
    </row>
    <row r="3235" spans="1:17" s="110" customFormat="1" ht="31.75" customHeight="1">
      <c r="A3235" s="109" t="s">
        <v>7459</v>
      </c>
      <c r="B3235" s="109" t="s">
        <v>7460</v>
      </c>
      <c r="C3235" s="113">
        <v>2016</v>
      </c>
      <c r="D3235" s="112">
        <v>875</v>
      </c>
      <c r="E3235" s="112">
        <v>1185</v>
      </c>
      <c r="F3235" s="112">
        <v>509</v>
      </c>
      <c r="G3235" s="112">
        <v>680</v>
      </c>
      <c r="H3235" s="112">
        <v>332</v>
      </c>
      <c r="I3235" s="112">
        <v>65</v>
      </c>
      <c r="J3235" s="112">
        <v>78</v>
      </c>
      <c r="K3235" s="112">
        <v>13</v>
      </c>
      <c r="L3235" s="112">
        <v>252</v>
      </c>
      <c r="M3235" s="112">
        <v>248</v>
      </c>
      <c r="N3235" s="112">
        <v>4</v>
      </c>
    </row>
    <row r="3236" spans="1:17" s="110" customFormat="1" ht="31.75" customHeight="1">
      <c r="A3236" s="109" t="s">
        <v>7459</v>
      </c>
      <c r="B3236" s="109" t="s">
        <v>7460</v>
      </c>
      <c r="C3236" s="113">
        <v>2017</v>
      </c>
      <c r="D3236" s="112">
        <v>835</v>
      </c>
      <c r="E3236" s="112">
        <v>1274</v>
      </c>
      <c r="F3236" s="112">
        <v>568</v>
      </c>
      <c r="G3236" s="112">
        <v>755</v>
      </c>
      <c r="H3236" s="112">
        <v>285</v>
      </c>
      <c r="I3236" s="112">
        <v>44</v>
      </c>
      <c r="J3236" s="112">
        <v>45</v>
      </c>
      <c r="K3236" s="112">
        <v>2</v>
      </c>
      <c r="L3236" s="112">
        <v>303</v>
      </c>
      <c r="M3236" s="112">
        <v>254</v>
      </c>
      <c r="N3236" s="112">
        <v>49</v>
      </c>
      <c r="O3236" s="100"/>
      <c r="P3236" s="100"/>
      <c r="Q3236" s="100"/>
    </row>
    <row r="3237" spans="1:17" s="110" customFormat="1" ht="31.75" customHeight="1">
      <c r="A3237" s="109" t="s">
        <v>7459</v>
      </c>
      <c r="B3237" s="109" t="s">
        <v>7460</v>
      </c>
      <c r="C3237" s="113">
        <v>2018</v>
      </c>
      <c r="D3237" s="112">
        <v>818</v>
      </c>
      <c r="E3237" s="112">
        <v>1395</v>
      </c>
      <c r="F3237" s="112">
        <v>654</v>
      </c>
      <c r="G3237" s="112">
        <v>763</v>
      </c>
      <c r="H3237" s="112">
        <v>315</v>
      </c>
      <c r="I3237" s="112">
        <v>49</v>
      </c>
      <c r="J3237" s="112">
        <v>51</v>
      </c>
      <c r="K3237" s="112">
        <v>3</v>
      </c>
      <c r="L3237" s="112">
        <v>317</v>
      </c>
      <c r="M3237" s="112">
        <v>300</v>
      </c>
      <c r="N3237" s="112">
        <v>17</v>
      </c>
    </row>
    <row r="3238" spans="1:17" s="110" customFormat="1" ht="31.75" customHeight="1">
      <c r="A3238" s="109" t="s">
        <v>7459</v>
      </c>
      <c r="B3238" s="109" t="s">
        <v>7460</v>
      </c>
      <c r="C3238" s="113">
        <v>2019</v>
      </c>
      <c r="D3238" s="112">
        <v>806</v>
      </c>
      <c r="E3238" s="112">
        <v>1255.7875340000001</v>
      </c>
      <c r="F3238" s="112">
        <v>490.08302400000002</v>
      </c>
      <c r="G3238" s="112">
        <v>742.42350899999997</v>
      </c>
      <c r="H3238" s="112">
        <v>305.71005700000001</v>
      </c>
      <c r="I3238" s="112">
        <v>69.303030000000007</v>
      </c>
      <c r="J3238" s="112">
        <v>83.989217999999994</v>
      </c>
      <c r="K3238" s="112">
        <v>14.686189000000001</v>
      </c>
      <c r="L3238" s="112">
        <v>281.40925499999997</v>
      </c>
      <c r="M3238" s="112">
        <v>307.954544</v>
      </c>
      <c r="N3238" s="112">
        <v>-26.545289</v>
      </c>
      <c r="O3238" s="100"/>
      <c r="P3238" s="100"/>
      <c r="Q3238" s="100"/>
    </row>
    <row r="3239" spans="1:17" s="110" customFormat="1" ht="31.75" customHeight="1">
      <c r="A3239" s="114" t="s">
        <v>7459</v>
      </c>
      <c r="B3239" s="114" t="s">
        <v>7460</v>
      </c>
      <c r="C3239" s="113">
        <v>2020</v>
      </c>
      <c r="D3239" s="112">
        <v>776</v>
      </c>
      <c r="E3239" s="112">
        <v>992.39472999999998</v>
      </c>
      <c r="F3239" s="112">
        <v>395.13435700000002</v>
      </c>
      <c r="G3239" s="112">
        <v>574.321551</v>
      </c>
      <c r="H3239" s="112">
        <v>284.64048400000001</v>
      </c>
      <c r="I3239" s="112">
        <v>24.792459999999998</v>
      </c>
      <c r="J3239" s="112">
        <v>32.998367999999999</v>
      </c>
      <c r="K3239" s="112">
        <v>8.2059080000000009</v>
      </c>
      <c r="L3239" s="112">
        <v>284.60603400000002</v>
      </c>
      <c r="M3239" s="112">
        <v>312.397266</v>
      </c>
      <c r="N3239" s="112">
        <v>-27.791232000000001</v>
      </c>
      <c r="O3239" s="100"/>
      <c r="P3239" s="100"/>
      <c r="Q3239" s="100"/>
    </row>
    <row r="3240" spans="1:17" s="110" customFormat="1" ht="17.5" customHeight="1">
      <c r="A3240" s="109" t="s">
        <v>7461</v>
      </c>
      <c r="B3240" s="109" t="s">
        <v>7462</v>
      </c>
      <c r="C3240" s="98">
        <v>2008</v>
      </c>
      <c r="D3240" s="99">
        <v>525</v>
      </c>
      <c r="E3240" s="99">
        <v>850</v>
      </c>
      <c r="F3240" s="99">
        <v>278</v>
      </c>
      <c r="G3240" s="99">
        <v>560</v>
      </c>
      <c r="H3240" s="99">
        <v>175</v>
      </c>
      <c r="I3240" s="99">
        <v>15</v>
      </c>
      <c r="J3240" s="99">
        <v>17</v>
      </c>
      <c r="K3240" s="99">
        <v>2</v>
      </c>
      <c r="L3240" s="99">
        <v>194</v>
      </c>
      <c r="M3240" s="99">
        <v>198</v>
      </c>
      <c r="N3240" s="99">
        <v>-3</v>
      </c>
    </row>
    <row r="3241" spans="1:17" s="110" customFormat="1" ht="17.5" customHeight="1">
      <c r="A3241" s="109" t="s">
        <v>7461</v>
      </c>
      <c r="B3241" s="109" t="s">
        <v>7462</v>
      </c>
      <c r="C3241" s="98">
        <v>2009</v>
      </c>
      <c r="D3241" s="99">
        <v>504</v>
      </c>
      <c r="E3241" s="99">
        <v>608</v>
      </c>
      <c r="F3241" s="99">
        <v>235</v>
      </c>
      <c r="G3241" s="99">
        <v>364</v>
      </c>
      <c r="H3241" s="99">
        <v>135</v>
      </c>
      <c r="I3241" s="99">
        <v>6</v>
      </c>
      <c r="J3241" s="99">
        <v>12</v>
      </c>
      <c r="K3241" s="99">
        <v>6</v>
      </c>
      <c r="L3241" s="99">
        <v>154</v>
      </c>
      <c r="M3241" s="99">
        <v>164</v>
      </c>
      <c r="N3241" s="99">
        <v>-10</v>
      </c>
    </row>
    <row r="3242" spans="1:17" s="110" customFormat="1" ht="17.5" customHeight="1">
      <c r="A3242" s="109" t="s">
        <v>7461</v>
      </c>
      <c r="B3242" s="109" t="s">
        <v>7462</v>
      </c>
      <c r="C3242" s="98">
        <v>2010</v>
      </c>
      <c r="D3242" s="99">
        <v>458</v>
      </c>
      <c r="E3242" s="99">
        <v>728</v>
      </c>
      <c r="F3242" s="99">
        <v>273</v>
      </c>
      <c r="G3242" s="99">
        <v>477</v>
      </c>
      <c r="H3242" s="99">
        <v>180</v>
      </c>
      <c r="I3242" s="99">
        <v>10</v>
      </c>
      <c r="J3242" s="99">
        <v>15</v>
      </c>
      <c r="K3242" s="99">
        <v>5</v>
      </c>
      <c r="L3242" s="99">
        <v>187</v>
      </c>
      <c r="M3242" s="99">
        <v>167</v>
      </c>
      <c r="N3242" s="99">
        <v>20</v>
      </c>
      <c r="O3242" s="119"/>
      <c r="P3242" s="119"/>
      <c r="Q3242" s="119"/>
    </row>
    <row r="3243" spans="1:17" s="110" customFormat="1" ht="17.5" customHeight="1">
      <c r="A3243" s="109" t="s">
        <v>7461</v>
      </c>
      <c r="B3243" s="109" t="s">
        <v>7462</v>
      </c>
      <c r="C3243" s="98">
        <v>2011</v>
      </c>
      <c r="D3243" s="99">
        <v>417</v>
      </c>
      <c r="E3243" s="99">
        <v>725</v>
      </c>
      <c r="F3243" s="99">
        <v>282</v>
      </c>
      <c r="G3243" s="99">
        <v>506</v>
      </c>
      <c r="H3243" s="99">
        <v>157</v>
      </c>
      <c r="I3243" s="99">
        <v>12</v>
      </c>
      <c r="J3243" s="99">
        <v>14</v>
      </c>
      <c r="K3243" s="99">
        <v>2</v>
      </c>
      <c r="L3243" s="99">
        <v>226</v>
      </c>
      <c r="M3243" s="99">
        <v>164</v>
      </c>
      <c r="N3243" s="99">
        <v>61</v>
      </c>
      <c r="O3243" s="119"/>
      <c r="P3243" s="119"/>
      <c r="Q3243" s="119"/>
    </row>
    <row r="3244" spans="1:17" s="110" customFormat="1" ht="17.5" customHeight="1">
      <c r="A3244" s="109" t="s">
        <v>7461</v>
      </c>
      <c r="B3244" s="109" t="s">
        <v>7462</v>
      </c>
      <c r="C3244" s="111">
        <v>2012</v>
      </c>
      <c r="D3244" s="112">
        <v>400</v>
      </c>
      <c r="E3244" s="112">
        <v>916</v>
      </c>
      <c r="F3244" s="112">
        <v>316</v>
      </c>
      <c r="G3244" s="112">
        <v>577</v>
      </c>
      <c r="H3244" s="112">
        <v>183</v>
      </c>
      <c r="I3244" s="112">
        <v>34</v>
      </c>
      <c r="J3244" s="112">
        <v>38</v>
      </c>
      <c r="K3244" s="112">
        <v>4</v>
      </c>
      <c r="L3244" s="112">
        <v>183</v>
      </c>
      <c r="M3244" s="112">
        <v>206</v>
      </c>
      <c r="N3244" s="112">
        <v>-23</v>
      </c>
      <c r="O3244" s="119"/>
      <c r="P3244" s="119"/>
      <c r="Q3244" s="119"/>
    </row>
    <row r="3245" spans="1:17" s="110" customFormat="1" ht="17.5" customHeight="1">
      <c r="A3245" s="109" t="s">
        <v>7461</v>
      </c>
      <c r="B3245" s="109" t="s">
        <v>7462</v>
      </c>
      <c r="C3245" s="113">
        <v>2013</v>
      </c>
      <c r="D3245" s="112">
        <v>412</v>
      </c>
      <c r="E3245" s="112">
        <v>846</v>
      </c>
      <c r="F3245" s="112">
        <v>279</v>
      </c>
      <c r="G3245" s="112">
        <v>558</v>
      </c>
      <c r="H3245" s="112">
        <v>179</v>
      </c>
      <c r="I3245" s="112">
        <v>5</v>
      </c>
      <c r="J3245" s="112">
        <v>8</v>
      </c>
      <c r="K3245" s="112">
        <v>3</v>
      </c>
      <c r="L3245" s="112">
        <v>222</v>
      </c>
      <c r="M3245" s="112">
        <v>232</v>
      </c>
      <c r="N3245" s="112">
        <v>-10</v>
      </c>
      <c r="O3245" s="119"/>
      <c r="P3245" s="119"/>
      <c r="Q3245" s="119"/>
    </row>
    <row r="3246" spans="1:17" s="110" customFormat="1" ht="17.5" customHeight="1">
      <c r="A3246" s="109" t="s">
        <v>7461</v>
      </c>
      <c r="B3246" s="109" t="s">
        <v>7462</v>
      </c>
      <c r="C3246" s="113">
        <v>2014</v>
      </c>
      <c r="D3246" s="99">
        <v>410</v>
      </c>
      <c r="E3246" s="99">
        <v>918</v>
      </c>
      <c r="F3246" s="99">
        <v>405</v>
      </c>
      <c r="G3246" s="99">
        <v>520</v>
      </c>
      <c r="H3246" s="99">
        <v>192</v>
      </c>
      <c r="I3246" s="99">
        <v>26</v>
      </c>
      <c r="J3246" s="99">
        <v>27</v>
      </c>
      <c r="K3246" s="99">
        <v>1</v>
      </c>
      <c r="L3246" s="99">
        <v>206</v>
      </c>
      <c r="M3246" s="99">
        <v>200</v>
      </c>
      <c r="N3246" s="99">
        <v>6</v>
      </c>
    </row>
    <row r="3247" spans="1:17" s="110" customFormat="1" ht="17.5" customHeight="1">
      <c r="A3247" s="109" t="s">
        <v>7461</v>
      </c>
      <c r="B3247" s="109" t="s">
        <v>7462</v>
      </c>
      <c r="C3247" s="113">
        <v>2015</v>
      </c>
      <c r="D3247" s="112">
        <v>431</v>
      </c>
      <c r="E3247" s="112">
        <v>857</v>
      </c>
      <c r="F3247" s="112">
        <v>351</v>
      </c>
      <c r="G3247" s="112">
        <v>511</v>
      </c>
      <c r="H3247" s="112">
        <v>204</v>
      </c>
      <c r="I3247" s="112">
        <v>32</v>
      </c>
      <c r="J3247" s="112">
        <v>35</v>
      </c>
      <c r="K3247" s="112">
        <v>3</v>
      </c>
      <c r="L3247" s="112">
        <v>174</v>
      </c>
      <c r="M3247" s="112">
        <v>171</v>
      </c>
      <c r="N3247" s="112">
        <v>2</v>
      </c>
    </row>
    <row r="3248" spans="1:17" s="110" customFormat="1" ht="17.5" customHeight="1">
      <c r="A3248" s="109" t="s">
        <v>7461</v>
      </c>
      <c r="B3248" s="109" t="s">
        <v>7462</v>
      </c>
      <c r="C3248" s="113">
        <v>2016</v>
      </c>
      <c r="D3248" s="112">
        <v>425</v>
      </c>
      <c r="E3248" s="112">
        <v>794</v>
      </c>
      <c r="F3248" s="112">
        <v>331</v>
      </c>
      <c r="G3248" s="112">
        <v>466</v>
      </c>
      <c r="H3248" s="112">
        <v>185</v>
      </c>
      <c r="I3248" s="112">
        <v>28</v>
      </c>
      <c r="J3248" s="112">
        <v>34</v>
      </c>
      <c r="K3248" s="112">
        <v>5</v>
      </c>
      <c r="L3248" s="112">
        <v>212</v>
      </c>
      <c r="M3248" s="112">
        <v>209</v>
      </c>
      <c r="N3248" s="112">
        <v>3</v>
      </c>
      <c r="O3248" s="100"/>
      <c r="P3248" s="100"/>
      <c r="Q3248" s="100"/>
    </row>
    <row r="3249" spans="1:17" s="110" customFormat="1" ht="17.5" customHeight="1">
      <c r="A3249" s="109" t="s">
        <v>7461</v>
      </c>
      <c r="B3249" s="109" t="s">
        <v>7462</v>
      </c>
      <c r="C3249" s="113">
        <v>2017</v>
      </c>
      <c r="D3249" s="112">
        <v>426</v>
      </c>
      <c r="E3249" s="112">
        <v>870</v>
      </c>
      <c r="F3249" s="112">
        <v>394</v>
      </c>
      <c r="G3249" s="112">
        <v>509</v>
      </c>
      <c r="H3249" s="112">
        <v>175</v>
      </c>
      <c r="I3249" s="112">
        <v>28</v>
      </c>
      <c r="J3249" s="112">
        <v>29</v>
      </c>
      <c r="K3249" s="112">
        <v>1</v>
      </c>
      <c r="L3249" s="112">
        <v>255</v>
      </c>
      <c r="M3249" s="112">
        <v>222</v>
      </c>
      <c r="N3249" s="112">
        <v>32</v>
      </c>
    </row>
    <row r="3250" spans="1:17" s="110" customFormat="1" ht="17.5" customHeight="1">
      <c r="A3250" s="109" t="s">
        <v>7461</v>
      </c>
      <c r="B3250" s="109" t="s">
        <v>7462</v>
      </c>
      <c r="C3250" s="113">
        <v>2018</v>
      </c>
      <c r="D3250" s="112">
        <v>424</v>
      </c>
      <c r="E3250" s="112">
        <v>962</v>
      </c>
      <c r="F3250" s="112">
        <v>431</v>
      </c>
      <c r="G3250" s="112">
        <v>547</v>
      </c>
      <c r="H3250" s="112">
        <v>200</v>
      </c>
      <c r="I3250" s="112">
        <v>30</v>
      </c>
      <c r="J3250" s="112">
        <v>31</v>
      </c>
      <c r="K3250" s="112">
        <v>1</v>
      </c>
      <c r="L3250" s="112">
        <v>279</v>
      </c>
      <c r="M3250" s="112">
        <v>268</v>
      </c>
      <c r="N3250" s="112">
        <v>11</v>
      </c>
      <c r="O3250" s="100"/>
      <c r="P3250" s="100"/>
      <c r="Q3250" s="100"/>
    </row>
    <row r="3251" spans="1:17" s="110" customFormat="1" ht="17.5" customHeight="1">
      <c r="A3251" s="109" t="s">
        <v>7461</v>
      </c>
      <c r="B3251" s="109" t="s">
        <v>7462</v>
      </c>
      <c r="C3251" s="113">
        <v>2019</v>
      </c>
      <c r="D3251" s="112">
        <v>424</v>
      </c>
      <c r="E3251" s="112">
        <v>906.76417300000003</v>
      </c>
      <c r="F3251" s="112">
        <v>329.26795800000002</v>
      </c>
      <c r="G3251" s="112">
        <v>550.25333799999999</v>
      </c>
      <c r="H3251" s="112">
        <v>196.18934400000001</v>
      </c>
      <c r="I3251" s="112">
        <v>57.996459000000002</v>
      </c>
      <c r="J3251" s="112">
        <v>71.890845999999996</v>
      </c>
      <c r="K3251" s="112">
        <v>13.894387</v>
      </c>
      <c r="L3251" s="112">
        <v>259.52541200000002</v>
      </c>
      <c r="M3251" s="112">
        <v>287.571707</v>
      </c>
      <c r="N3251" s="112">
        <v>-28.046295000000001</v>
      </c>
      <c r="O3251" s="100"/>
      <c r="P3251" s="100"/>
      <c r="Q3251" s="100"/>
    </row>
    <row r="3252" spans="1:17" s="110" customFormat="1" ht="17.5" customHeight="1">
      <c r="A3252" s="114" t="s">
        <v>7461</v>
      </c>
      <c r="B3252" s="114" t="s">
        <v>7462</v>
      </c>
      <c r="C3252" s="113">
        <v>2020</v>
      </c>
      <c r="D3252" s="112">
        <v>402</v>
      </c>
      <c r="E3252" s="112">
        <v>716.23385399999995</v>
      </c>
      <c r="F3252" s="112">
        <v>250.17272600000001</v>
      </c>
      <c r="G3252" s="112">
        <v>439.76063299999998</v>
      </c>
      <c r="H3252" s="112">
        <v>191.938807</v>
      </c>
      <c r="I3252" s="112">
        <v>19.303542</v>
      </c>
      <c r="J3252" s="112">
        <v>25.732589000000001</v>
      </c>
      <c r="K3252" s="112">
        <v>6.4290469999999997</v>
      </c>
      <c r="L3252" s="112">
        <v>222.34325899999999</v>
      </c>
      <c r="M3252" s="112">
        <v>253.722565</v>
      </c>
      <c r="N3252" s="112">
        <v>-31.379306</v>
      </c>
    </row>
    <row r="3253" spans="1:17" s="110" customFormat="1" ht="17.5" customHeight="1">
      <c r="A3253" s="109" t="s">
        <v>7463</v>
      </c>
      <c r="B3253" s="109" t="s">
        <v>7464</v>
      </c>
      <c r="C3253" s="98">
        <v>2008</v>
      </c>
      <c r="D3253" s="99">
        <v>609</v>
      </c>
      <c r="E3253" s="99">
        <v>404</v>
      </c>
      <c r="F3253" s="99">
        <v>220</v>
      </c>
      <c r="G3253" s="99">
        <v>186</v>
      </c>
      <c r="H3253" s="99">
        <v>110</v>
      </c>
      <c r="I3253" s="99">
        <v>5</v>
      </c>
      <c r="J3253" s="99">
        <v>8</v>
      </c>
      <c r="K3253" s="99">
        <v>3</v>
      </c>
      <c r="L3253" s="99">
        <v>40</v>
      </c>
      <c r="M3253" s="99">
        <v>36</v>
      </c>
      <c r="N3253" s="99">
        <v>4</v>
      </c>
    </row>
    <row r="3254" spans="1:17" s="110" customFormat="1" ht="17.5" customHeight="1">
      <c r="A3254" s="109" t="s">
        <v>7463</v>
      </c>
      <c r="B3254" s="109" t="s">
        <v>7464</v>
      </c>
      <c r="C3254" s="98">
        <v>2009</v>
      </c>
      <c r="D3254" s="99">
        <v>575</v>
      </c>
      <c r="E3254" s="99">
        <v>223</v>
      </c>
      <c r="F3254" s="99">
        <v>77</v>
      </c>
      <c r="G3254" s="99">
        <v>141</v>
      </c>
      <c r="H3254" s="99">
        <v>113</v>
      </c>
      <c r="I3254" s="99">
        <v>2</v>
      </c>
      <c r="J3254" s="99">
        <v>3</v>
      </c>
      <c r="K3254" s="99">
        <v>1</v>
      </c>
      <c r="L3254" s="99">
        <v>38</v>
      </c>
      <c r="M3254" s="99">
        <v>43</v>
      </c>
      <c r="N3254" s="99">
        <v>-5</v>
      </c>
      <c r="O3254" s="119"/>
      <c r="P3254" s="119"/>
      <c r="Q3254" s="119"/>
    </row>
    <row r="3255" spans="1:17" s="110" customFormat="1" ht="17.5" customHeight="1">
      <c r="A3255" s="109" t="s">
        <v>7463</v>
      </c>
      <c r="B3255" s="109" t="s">
        <v>7464</v>
      </c>
      <c r="C3255" s="98">
        <v>2010</v>
      </c>
      <c r="D3255" s="99">
        <v>570</v>
      </c>
      <c r="E3255" s="99">
        <v>316</v>
      </c>
      <c r="F3255" s="99">
        <v>193</v>
      </c>
      <c r="G3255" s="99">
        <v>120</v>
      </c>
      <c r="H3255" s="99">
        <v>82</v>
      </c>
      <c r="I3255" s="99">
        <v>7</v>
      </c>
      <c r="J3255" s="99">
        <v>9</v>
      </c>
      <c r="K3255" s="99">
        <v>1</v>
      </c>
      <c r="L3255" s="99">
        <v>19</v>
      </c>
      <c r="M3255" s="99">
        <v>22</v>
      </c>
      <c r="N3255" s="99">
        <v>-3</v>
      </c>
      <c r="O3255" s="119"/>
      <c r="P3255" s="119"/>
      <c r="Q3255" s="119"/>
    </row>
    <row r="3256" spans="1:17" s="110" customFormat="1" ht="17.5" customHeight="1">
      <c r="A3256" s="109" t="s">
        <v>7463</v>
      </c>
      <c r="B3256" s="109" t="s">
        <v>7464</v>
      </c>
      <c r="C3256" s="98">
        <v>2011</v>
      </c>
      <c r="D3256" s="99">
        <v>563</v>
      </c>
      <c r="E3256" s="99">
        <v>423</v>
      </c>
      <c r="F3256" s="99">
        <v>247</v>
      </c>
      <c r="G3256" s="99">
        <v>183</v>
      </c>
      <c r="H3256" s="99">
        <v>109</v>
      </c>
      <c r="I3256" s="99">
        <v>10</v>
      </c>
      <c r="J3256" s="99">
        <v>12</v>
      </c>
      <c r="K3256" s="99">
        <v>2</v>
      </c>
      <c r="L3256" s="99">
        <v>30</v>
      </c>
      <c r="M3256" s="99">
        <v>24</v>
      </c>
      <c r="N3256" s="99">
        <v>6</v>
      </c>
      <c r="O3256" s="119"/>
      <c r="P3256" s="119"/>
      <c r="Q3256" s="119"/>
    </row>
    <row r="3257" spans="1:17" s="110" customFormat="1" ht="17.5" customHeight="1">
      <c r="A3257" s="109" t="s">
        <v>7463</v>
      </c>
      <c r="B3257" s="109" t="s">
        <v>7464</v>
      </c>
      <c r="C3257" s="111">
        <v>2012</v>
      </c>
      <c r="D3257" s="112">
        <v>552</v>
      </c>
      <c r="E3257" s="112">
        <v>444</v>
      </c>
      <c r="F3257" s="112">
        <v>214</v>
      </c>
      <c r="G3257" s="112">
        <v>236</v>
      </c>
      <c r="H3257" s="112">
        <v>132</v>
      </c>
      <c r="I3257" s="112">
        <v>5</v>
      </c>
      <c r="J3257" s="112">
        <v>5</v>
      </c>
      <c r="K3257" s="112" t="s">
        <v>6952</v>
      </c>
      <c r="L3257" s="112">
        <v>75</v>
      </c>
      <c r="M3257" s="112">
        <v>69</v>
      </c>
      <c r="N3257" s="112">
        <v>6</v>
      </c>
      <c r="O3257" s="119"/>
      <c r="P3257" s="119"/>
      <c r="Q3257" s="119"/>
    </row>
    <row r="3258" spans="1:17" s="110" customFormat="1" ht="17.5" customHeight="1">
      <c r="A3258" s="109" t="s">
        <v>7463</v>
      </c>
      <c r="B3258" s="109" t="s">
        <v>7464</v>
      </c>
      <c r="C3258" s="113">
        <v>2013</v>
      </c>
      <c r="D3258" s="112">
        <v>519</v>
      </c>
      <c r="E3258" s="112">
        <v>468</v>
      </c>
      <c r="F3258" s="112">
        <v>256</v>
      </c>
      <c r="G3258" s="112">
        <v>209</v>
      </c>
      <c r="H3258" s="112">
        <v>133</v>
      </c>
      <c r="I3258" s="112">
        <v>18</v>
      </c>
      <c r="J3258" s="112">
        <v>19</v>
      </c>
      <c r="K3258" s="112" t="s">
        <v>6952</v>
      </c>
      <c r="L3258" s="112">
        <v>36</v>
      </c>
      <c r="M3258" s="112">
        <v>38</v>
      </c>
      <c r="N3258" s="112">
        <v>-2</v>
      </c>
    </row>
    <row r="3259" spans="1:17" s="110" customFormat="1" ht="17.5" customHeight="1">
      <c r="A3259" s="109" t="s">
        <v>7463</v>
      </c>
      <c r="B3259" s="109" t="s">
        <v>7464</v>
      </c>
      <c r="C3259" s="113">
        <v>2014</v>
      </c>
      <c r="D3259" s="99">
        <v>502</v>
      </c>
      <c r="E3259" s="99">
        <v>380</v>
      </c>
      <c r="F3259" s="99">
        <v>192</v>
      </c>
      <c r="G3259" s="99">
        <v>179</v>
      </c>
      <c r="H3259" s="99">
        <v>126</v>
      </c>
      <c r="I3259" s="99">
        <v>19</v>
      </c>
      <c r="J3259" s="99">
        <v>21</v>
      </c>
      <c r="K3259" s="99">
        <v>2</v>
      </c>
      <c r="L3259" s="99">
        <v>29</v>
      </c>
      <c r="M3259" s="99">
        <v>37</v>
      </c>
      <c r="N3259" s="99">
        <v>-8</v>
      </c>
    </row>
    <row r="3260" spans="1:17" s="110" customFormat="1" ht="17.5" customHeight="1">
      <c r="A3260" s="109" t="s">
        <v>7463</v>
      </c>
      <c r="B3260" s="109" t="s">
        <v>7464</v>
      </c>
      <c r="C3260" s="113">
        <v>2015</v>
      </c>
      <c r="D3260" s="112">
        <v>474</v>
      </c>
      <c r="E3260" s="112">
        <v>352</v>
      </c>
      <c r="F3260" s="112">
        <v>175</v>
      </c>
      <c r="G3260" s="112">
        <v>178</v>
      </c>
      <c r="H3260" s="112">
        <v>121</v>
      </c>
      <c r="I3260" s="112">
        <v>33</v>
      </c>
      <c r="J3260" s="112">
        <v>34</v>
      </c>
      <c r="K3260" s="112" t="s">
        <v>6952</v>
      </c>
      <c r="L3260" s="112">
        <v>35</v>
      </c>
      <c r="M3260" s="112">
        <v>35</v>
      </c>
      <c r="N3260" s="112">
        <v>1</v>
      </c>
      <c r="O3260" s="100"/>
      <c r="P3260" s="100"/>
      <c r="Q3260" s="100"/>
    </row>
    <row r="3261" spans="1:17" s="110" customFormat="1" ht="17.5" customHeight="1">
      <c r="A3261" s="109" t="s">
        <v>7463</v>
      </c>
      <c r="B3261" s="109" t="s">
        <v>7464</v>
      </c>
      <c r="C3261" s="113">
        <v>2016</v>
      </c>
      <c r="D3261" s="112">
        <v>450</v>
      </c>
      <c r="E3261" s="112">
        <v>391</v>
      </c>
      <c r="F3261" s="112">
        <v>178</v>
      </c>
      <c r="G3261" s="112">
        <v>214</v>
      </c>
      <c r="H3261" s="112">
        <v>147</v>
      </c>
      <c r="I3261" s="112">
        <v>36</v>
      </c>
      <c r="J3261" s="112">
        <v>44</v>
      </c>
      <c r="K3261" s="112">
        <v>8</v>
      </c>
      <c r="L3261" s="112">
        <v>40</v>
      </c>
      <c r="M3261" s="112">
        <v>40</v>
      </c>
      <c r="N3261" s="112">
        <v>1</v>
      </c>
    </row>
    <row r="3262" spans="1:17" s="110" customFormat="1" ht="17.5" customHeight="1">
      <c r="A3262" s="109" t="s">
        <v>7463</v>
      </c>
      <c r="B3262" s="109" t="s">
        <v>7464</v>
      </c>
      <c r="C3262" s="113">
        <v>2017</v>
      </c>
      <c r="D3262" s="112">
        <v>409</v>
      </c>
      <c r="E3262" s="112">
        <v>404</v>
      </c>
      <c r="F3262" s="112">
        <v>174</v>
      </c>
      <c r="G3262" s="112">
        <v>247</v>
      </c>
      <c r="H3262" s="112">
        <v>110</v>
      </c>
      <c r="I3262" s="112">
        <v>16</v>
      </c>
      <c r="J3262" s="112">
        <v>17</v>
      </c>
      <c r="K3262" s="112">
        <v>1</v>
      </c>
      <c r="L3262" s="112">
        <v>48</v>
      </c>
      <c r="M3262" s="112">
        <v>32</v>
      </c>
      <c r="N3262" s="112">
        <v>17</v>
      </c>
      <c r="O3262" s="100"/>
      <c r="P3262" s="100"/>
      <c r="Q3262" s="100"/>
    </row>
    <row r="3263" spans="1:17" s="110" customFormat="1" ht="17.5" customHeight="1">
      <c r="A3263" s="109" t="s">
        <v>7463</v>
      </c>
      <c r="B3263" s="109" t="s">
        <v>7464</v>
      </c>
      <c r="C3263" s="113">
        <v>2018</v>
      </c>
      <c r="D3263" s="112">
        <v>394</v>
      </c>
      <c r="E3263" s="112">
        <v>433</v>
      </c>
      <c r="F3263" s="112">
        <v>223</v>
      </c>
      <c r="G3263" s="112">
        <v>216</v>
      </c>
      <c r="H3263" s="112">
        <v>115</v>
      </c>
      <c r="I3263" s="112">
        <v>19</v>
      </c>
      <c r="J3263" s="112">
        <v>21</v>
      </c>
      <c r="K3263" s="112">
        <v>2</v>
      </c>
      <c r="L3263" s="112">
        <v>38</v>
      </c>
      <c r="M3263" s="112">
        <v>32</v>
      </c>
      <c r="N3263" s="112">
        <v>6</v>
      </c>
      <c r="O3263" s="100"/>
      <c r="P3263" s="100"/>
      <c r="Q3263" s="100"/>
    </row>
    <row r="3264" spans="1:17" s="110" customFormat="1" ht="17.5" customHeight="1">
      <c r="A3264" s="109" t="s">
        <v>7463</v>
      </c>
      <c r="B3264" s="109" t="s">
        <v>7464</v>
      </c>
      <c r="C3264" s="113">
        <v>2019</v>
      </c>
      <c r="D3264" s="112">
        <v>382</v>
      </c>
      <c r="E3264" s="112">
        <v>349.02336000000003</v>
      </c>
      <c r="F3264" s="112">
        <v>160.815065</v>
      </c>
      <c r="G3264" s="112">
        <v>192.17017000000001</v>
      </c>
      <c r="H3264" s="112">
        <v>109.520713</v>
      </c>
      <c r="I3264" s="112">
        <v>11.306571</v>
      </c>
      <c r="J3264" s="112">
        <v>12.098371999999999</v>
      </c>
      <c r="K3264" s="112">
        <v>0.79180200000000001</v>
      </c>
      <c r="L3264" s="112">
        <v>21.883842999999999</v>
      </c>
      <c r="M3264" s="112">
        <v>20.382836999999999</v>
      </c>
      <c r="N3264" s="112">
        <v>1.5010060000000001</v>
      </c>
    </row>
    <row r="3265" spans="1:17" s="110" customFormat="1" ht="17.5" customHeight="1">
      <c r="A3265" s="114" t="s">
        <v>7463</v>
      </c>
      <c r="B3265" s="114" t="s">
        <v>7464</v>
      </c>
      <c r="C3265" s="113">
        <v>2020</v>
      </c>
      <c r="D3265" s="112">
        <v>374</v>
      </c>
      <c r="E3265" s="112">
        <v>276.16087499999998</v>
      </c>
      <c r="F3265" s="112">
        <v>144.96163100000001</v>
      </c>
      <c r="G3265" s="112">
        <v>134.56091900000001</v>
      </c>
      <c r="H3265" s="112">
        <v>92.701677000000004</v>
      </c>
      <c r="I3265" s="112">
        <v>5.488918</v>
      </c>
      <c r="J3265" s="112">
        <v>7.2657790000000002</v>
      </c>
      <c r="K3265" s="112">
        <v>1.776861</v>
      </c>
      <c r="L3265" s="112">
        <v>62.262774999999998</v>
      </c>
      <c r="M3265" s="112">
        <v>58.674700999999999</v>
      </c>
      <c r="N3265" s="112">
        <v>3.5880740000000002</v>
      </c>
    </row>
    <row r="3266" spans="1:17" s="110" customFormat="1" ht="17.5" customHeight="1">
      <c r="A3266" s="109" t="s">
        <v>7465</v>
      </c>
      <c r="B3266" s="109" t="s">
        <v>7466</v>
      </c>
      <c r="C3266" s="98">
        <v>2008</v>
      </c>
      <c r="D3266" s="99">
        <v>3283</v>
      </c>
      <c r="E3266" s="99">
        <v>8231</v>
      </c>
      <c r="F3266" s="99">
        <v>3444</v>
      </c>
      <c r="G3266" s="99">
        <v>4809</v>
      </c>
      <c r="H3266" s="99">
        <v>1648</v>
      </c>
      <c r="I3266" s="99">
        <v>112</v>
      </c>
      <c r="J3266" s="99">
        <v>184</v>
      </c>
      <c r="K3266" s="99">
        <v>72</v>
      </c>
      <c r="L3266" s="99">
        <v>1007</v>
      </c>
      <c r="M3266" s="99">
        <v>990</v>
      </c>
      <c r="N3266" s="99">
        <v>17</v>
      </c>
      <c r="O3266" s="119"/>
      <c r="P3266" s="119"/>
      <c r="Q3266" s="119"/>
    </row>
    <row r="3267" spans="1:17" s="110" customFormat="1" ht="17.5" customHeight="1">
      <c r="A3267" s="109" t="s">
        <v>7465</v>
      </c>
      <c r="B3267" s="109" t="s">
        <v>7466</v>
      </c>
      <c r="C3267" s="98">
        <v>2009</v>
      </c>
      <c r="D3267" s="99">
        <v>2661</v>
      </c>
      <c r="E3267" s="99">
        <v>6052</v>
      </c>
      <c r="F3267" s="99">
        <v>2159</v>
      </c>
      <c r="G3267" s="99">
        <v>3691</v>
      </c>
      <c r="H3267" s="99">
        <v>1300</v>
      </c>
      <c r="I3267" s="99">
        <v>97</v>
      </c>
      <c r="J3267" s="99">
        <v>135</v>
      </c>
      <c r="K3267" s="99">
        <v>39</v>
      </c>
      <c r="L3267" s="99">
        <v>785</v>
      </c>
      <c r="M3267" s="99">
        <v>1004</v>
      </c>
      <c r="N3267" s="99">
        <v>-219</v>
      </c>
      <c r="O3267" s="119"/>
      <c r="P3267" s="119"/>
      <c r="Q3267" s="119"/>
    </row>
    <row r="3268" spans="1:17" s="110" customFormat="1" ht="17.5" customHeight="1">
      <c r="A3268" s="109" t="s">
        <v>7465</v>
      </c>
      <c r="B3268" s="109" t="s">
        <v>7466</v>
      </c>
      <c r="C3268" s="98">
        <v>2010</v>
      </c>
      <c r="D3268" s="99">
        <v>2411</v>
      </c>
      <c r="E3268" s="99">
        <v>6437</v>
      </c>
      <c r="F3268" s="99">
        <v>2106</v>
      </c>
      <c r="G3268" s="99">
        <v>4433</v>
      </c>
      <c r="H3268" s="99">
        <v>1198</v>
      </c>
      <c r="I3268" s="99">
        <v>110</v>
      </c>
      <c r="J3268" s="99">
        <v>139</v>
      </c>
      <c r="K3268" s="99">
        <v>29</v>
      </c>
      <c r="L3268" s="99">
        <v>906</v>
      </c>
      <c r="M3268" s="99">
        <v>815</v>
      </c>
      <c r="N3268" s="99">
        <v>92</v>
      </c>
      <c r="O3268" s="119"/>
      <c r="P3268" s="119"/>
      <c r="Q3268" s="119"/>
    </row>
    <row r="3269" spans="1:17" s="110" customFormat="1" ht="17.5" customHeight="1">
      <c r="A3269" s="109" t="s">
        <v>7465</v>
      </c>
      <c r="B3269" s="109" t="s">
        <v>7466</v>
      </c>
      <c r="C3269" s="98">
        <v>2011</v>
      </c>
      <c r="D3269" s="99">
        <v>2233</v>
      </c>
      <c r="E3269" s="99">
        <v>7830</v>
      </c>
      <c r="F3269" s="99">
        <v>2711</v>
      </c>
      <c r="G3269" s="99">
        <v>5362</v>
      </c>
      <c r="H3269" s="99">
        <v>1202</v>
      </c>
      <c r="I3269" s="99">
        <v>151</v>
      </c>
      <c r="J3269" s="99">
        <v>172</v>
      </c>
      <c r="K3269" s="99">
        <v>21</v>
      </c>
      <c r="L3269" s="99">
        <v>1176</v>
      </c>
      <c r="M3269" s="99">
        <v>946</v>
      </c>
      <c r="N3269" s="99">
        <v>230</v>
      </c>
      <c r="O3269" s="119"/>
      <c r="P3269" s="119"/>
      <c r="Q3269" s="119"/>
    </row>
    <row r="3270" spans="1:17" s="110" customFormat="1" ht="17.5" customHeight="1">
      <c r="A3270" s="109" t="s">
        <v>7465</v>
      </c>
      <c r="B3270" s="109" t="s">
        <v>7466</v>
      </c>
      <c r="C3270" s="111">
        <v>2012</v>
      </c>
      <c r="D3270" s="112">
        <v>2052</v>
      </c>
      <c r="E3270" s="112">
        <v>7781</v>
      </c>
      <c r="F3270" s="112">
        <v>2171</v>
      </c>
      <c r="G3270" s="112">
        <v>5608</v>
      </c>
      <c r="H3270" s="112">
        <v>1307</v>
      </c>
      <c r="I3270" s="112">
        <v>85</v>
      </c>
      <c r="J3270" s="112">
        <v>129</v>
      </c>
      <c r="K3270" s="112">
        <v>44</v>
      </c>
      <c r="L3270" s="112">
        <v>1105</v>
      </c>
      <c r="M3270" s="112">
        <v>1105</v>
      </c>
      <c r="N3270" s="112">
        <v>-1</v>
      </c>
    </row>
    <row r="3271" spans="1:17" s="110" customFormat="1" ht="17.5" customHeight="1">
      <c r="A3271" s="109" t="s">
        <v>7465</v>
      </c>
      <c r="B3271" s="109" t="s">
        <v>7466</v>
      </c>
      <c r="C3271" s="113">
        <v>2013</v>
      </c>
      <c r="D3271" s="112">
        <v>1998</v>
      </c>
      <c r="E3271" s="112">
        <v>7700</v>
      </c>
      <c r="F3271" s="112">
        <v>2439</v>
      </c>
      <c r="G3271" s="112">
        <v>5259</v>
      </c>
      <c r="H3271" s="112">
        <v>1376</v>
      </c>
      <c r="I3271" s="112">
        <v>114</v>
      </c>
      <c r="J3271" s="112">
        <v>141</v>
      </c>
      <c r="K3271" s="112">
        <v>27</v>
      </c>
      <c r="L3271" s="112">
        <v>1058</v>
      </c>
      <c r="M3271" s="112">
        <v>1059</v>
      </c>
      <c r="N3271" s="112" t="s">
        <v>6952</v>
      </c>
    </row>
    <row r="3272" spans="1:17" s="110" customFormat="1" ht="17.5" customHeight="1">
      <c r="A3272" s="109" t="s">
        <v>7465</v>
      </c>
      <c r="B3272" s="109" t="s">
        <v>7466</v>
      </c>
      <c r="C3272" s="113">
        <v>2014</v>
      </c>
      <c r="D3272" s="99">
        <v>1963</v>
      </c>
      <c r="E3272" s="99">
        <v>7657</v>
      </c>
      <c r="F3272" s="99">
        <v>2612</v>
      </c>
      <c r="G3272" s="99">
        <v>5078</v>
      </c>
      <c r="H3272" s="99">
        <v>1480</v>
      </c>
      <c r="I3272" s="99">
        <v>241</v>
      </c>
      <c r="J3272" s="99">
        <v>256</v>
      </c>
      <c r="K3272" s="99">
        <v>14</v>
      </c>
      <c r="L3272" s="99">
        <v>1179</v>
      </c>
      <c r="M3272" s="99">
        <v>1148</v>
      </c>
      <c r="N3272" s="99">
        <v>32</v>
      </c>
      <c r="O3272" s="100"/>
      <c r="P3272" s="100"/>
      <c r="Q3272" s="100"/>
    </row>
    <row r="3273" spans="1:17" s="110" customFormat="1" ht="17.5" customHeight="1">
      <c r="A3273" s="109" t="s">
        <v>7465</v>
      </c>
      <c r="B3273" s="109" t="s">
        <v>7466</v>
      </c>
      <c r="C3273" s="113">
        <v>2015</v>
      </c>
      <c r="D3273" s="112">
        <v>1920</v>
      </c>
      <c r="E3273" s="112">
        <v>6961</v>
      </c>
      <c r="F3273" s="112">
        <v>2294</v>
      </c>
      <c r="G3273" s="112">
        <v>4656</v>
      </c>
      <c r="H3273" s="112">
        <v>1366</v>
      </c>
      <c r="I3273" s="112">
        <v>193</v>
      </c>
      <c r="J3273" s="112">
        <v>207</v>
      </c>
      <c r="K3273" s="112">
        <v>14</v>
      </c>
      <c r="L3273" s="112">
        <v>1006</v>
      </c>
      <c r="M3273" s="112">
        <v>1033</v>
      </c>
      <c r="N3273" s="112">
        <v>-28</v>
      </c>
    </row>
    <row r="3274" spans="1:17" s="110" customFormat="1" ht="17.5" customHeight="1">
      <c r="A3274" s="109" t="s">
        <v>7465</v>
      </c>
      <c r="B3274" s="109" t="s">
        <v>7466</v>
      </c>
      <c r="C3274" s="113">
        <v>2016</v>
      </c>
      <c r="D3274" s="112">
        <v>1909</v>
      </c>
      <c r="E3274" s="112">
        <v>6435</v>
      </c>
      <c r="F3274" s="112">
        <v>2375</v>
      </c>
      <c r="G3274" s="112">
        <v>4112</v>
      </c>
      <c r="H3274" s="112">
        <v>1487</v>
      </c>
      <c r="I3274" s="112">
        <v>160</v>
      </c>
      <c r="J3274" s="112">
        <v>172</v>
      </c>
      <c r="K3274" s="112">
        <v>12</v>
      </c>
      <c r="L3274" s="112">
        <v>1075</v>
      </c>
      <c r="M3274" s="112">
        <v>1040</v>
      </c>
      <c r="N3274" s="112">
        <v>35</v>
      </c>
      <c r="O3274" s="100"/>
      <c r="P3274" s="100"/>
      <c r="Q3274" s="100"/>
    </row>
    <row r="3275" spans="1:17" s="110" customFormat="1" ht="17.5" customHeight="1">
      <c r="A3275" s="109" t="s">
        <v>7465</v>
      </c>
      <c r="B3275" s="109" t="s">
        <v>7466</v>
      </c>
      <c r="C3275" s="113">
        <v>2017</v>
      </c>
      <c r="D3275" s="112">
        <v>1918</v>
      </c>
      <c r="E3275" s="112">
        <v>7059</v>
      </c>
      <c r="F3275" s="112">
        <v>2536</v>
      </c>
      <c r="G3275" s="112">
        <v>4615</v>
      </c>
      <c r="H3275" s="112">
        <v>1390</v>
      </c>
      <c r="I3275" s="112">
        <v>108</v>
      </c>
      <c r="J3275" s="112">
        <v>133</v>
      </c>
      <c r="K3275" s="112">
        <v>25</v>
      </c>
      <c r="L3275" s="112">
        <v>1152</v>
      </c>
      <c r="M3275" s="112">
        <v>1109</v>
      </c>
      <c r="N3275" s="112">
        <v>43</v>
      </c>
      <c r="O3275" s="100"/>
      <c r="P3275" s="100"/>
      <c r="Q3275" s="100"/>
    </row>
    <row r="3276" spans="1:17" s="110" customFormat="1" ht="17.5" customHeight="1">
      <c r="A3276" s="109" t="s">
        <v>7465</v>
      </c>
      <c r="B3276" s="109" t="s">
        <v>7466</v>
      </c>
      <c r="C3276" s="113">
        <v>2018</v>
      </c>
      <c r="D3276" s="112">
        <v>1896</v>
      </c>
      <c r="E3276" s="112">
        <v>8053</v>
      </c>
      <c r="F3276" s="112">
        <v>2747</v>
      </c>
      <c r="G3276" s="112">
        <v>5477</v>
      </c>
      <c r="H3276" s="112">
        <v>1506</v>
      </c>
      <c r="I3276" s="112">
        <v>228</v>
      </c>
      <c r="J3276" s="112">
        <v>252</v>
      </c>
      <c r="K3276" s="112">
        <v>25</v>
      </c>
      <c r="L3276" s="112">
        <v>1261</v>
      </c>
      <c r="M3276" s="112">
        <v>1108</v>
      </c>
      <c r="N3276" s="112">
        <v>153</v>
      </c>
    </row>
    <row r="3277" spans="1:17" s="110" customFormat="1" ht="17.5" customHeight="1">
      <c r="A3277" s="109" t="s">
        <v>7465</v>
      </c>
      <c r="B3277" s="109" t="s">
        <v>7466</v>
      </c>
      <c r="C3277" s="113">
        <v>2019</v>
      </c>
      <c r="D3277" s="112">
        <v>1843</v>
      </c>
      <c r="E3277" s="112">
        <v>8285.1082079999996</v>
      </c>
      <c r="F3277" s="112">
        <v>3023.313204</v>
      </c>
      <c r="G3277" s="112">
        <v>5402.9576980000002</v>
      </c>
      <c r="H3277" s="112">
        <v>1538.4200249999999</v>
      </c>
      <c r="I3277" s="112">
        <v>272.847555</v>
      </c>
      <c r="J3277" s="112">
        <v>328.235927</v>
      </c>
      <c r="K3277" s="112">
        <v>55.388371999999997</v>
      </c>
      <c r="L3277" s="112">
        <v>1408.4863310000001</v>
      </c>
      <c r="M3277" s="112">
        <v>1268.9666709999999</v>
      </c>
      <c r="N3277" s="112">
        <v>139.51965999999999</v>
      </c>
    </row>
    <row r="3278" spans="1:17" s="110" customFormat="1" ht="17.5" customHeight="1">
      <c r="A3278" s="114" t="s">
        <v>7465</v>
      </c>
      <c r="B3278" s="114" t="s">
        <v>7466</v>
      </c>
      <c r="C3278" s="113">
        <v>2020</v>
      </c>
      <c r="D3278" s="112">
        <v>1823</v>
      </c>
      <c r="E3278" s="112">
        <v>6696.1982180000005</v>
      </c>
      <c r="F3278" s="112">
        <v>2130.3788140000001</v>
      </c>
      <c r="G3278" s="112">
        <v>4467.1564060000001</v>
      </c>
      <c r="H3278" s="112">
        <v>1396.461736</v>
      </c>
      <c r="I3278" s="112">
        <v>193.418072</v>
      </c>
      <c r="J3278" s="112">
        <v>244.54918900000001</v>
      </c>
      <c r="K3278" s="112">
        <v>51.131117000000003</v>
      </c>
      <c r="L3278" s="112">
        <v>1265.4910689999999</v>
      </c>
      <c r="M3278" s="112">
        <v>1397.282559</v>
      </c>
      <c r="N3278" s="112">
        <v>-131.79149000000001</v>
      </c>
      <c r="O3278" s="119"/>
      <c r="P3278" s="119"/>
      <c r="Q3278" s="119"/>
    </row>
    <row r="3279" spans="1:17" s="110" customFormat="1" ht="17.5" customHeight="1">
      <c r="A3279" s="109" t="s">
        <v>7467</v>
      </c>
      <c r="B3279" s="109" t="s">
        <v>7468</v>
      </c>
      <c r="C3279" s="98">
        <v>2008</v>
      </c>
      <c r="D3279" s="99">
        <v>19</v>
      </c>
      <c r="E3279" s="99">
        <v>133</v>
      </c>
      <c r="F3279" s="99">
        <v>78</v>
      </c>
      <c r="G3279" s="99">
        <v>61</v>
      </c>
      <c r="H3279" s="99">
        <v>41</v>
      </c>
      <c r="I3279" s="99">
        <v>4</v>
      </c>
      <c r="J3279" s="99">
        <v>5</v>
      </c>
      <c r="K3279" s="99">
        <v>1</v>
      </c>
      <c r="L3279" s="99">
        <v>23</v>
      </c>
      <c r="M3279" s="99">
        <v>19</v>
      </c>
      <c r="N3279" s="99">
        <v>5</v>
      </c>
      <c r="O3279" s="119"/>
      <c r="P3279" s="119"/>
      <c r="Q3279" s="119"/>
    </row>
    <row r="3280" spans="1:17" s="110" customFormat="1" ht="17.5" customHeight="1">
      <c r="A3280" s="109" t="s">
        <v>7467</v>
      </c>
      <c r="B3280" s="109" t="s">
        <v>7468</v>
      </c>
      <c r="C3280" s="98">
        <v>2009</v>
      </c>
      <c r="D3280" s="99">
        <v>16</v>
      </c>
      <c r="E3280" s="99">
        <v>61</v>
      </c>
      <c r="F3280" s="99">
        <v>29</v>
      </c>
      <c r="G3280" s="99">
        <v>32</v>
      </c>
      <c r="H3280" s="99">
        <v>19</v>
      </c>
      <c r="I3280" s="99">
        <v>6</v>
      </c>
      <c r="J3280" s="99">
        <v>6</v>
      </c>
      <c r="K3280" s="99" t="s">
        <v>6952</v>
      </c>
      <c r="L3280" s="99" t="s">
        <v>6953</v>
      </c>
      <c r="M3280" s="99" t="s">
        <v>6953</v>
      </c>
      <c r="N3280" s="99" t="s">
        <v>6952</v>
      </c>
      <c r="O3280" s="119"/>
      <c r="P3280" s="119"/>
      <c r="Q3280" s="119"/>
    </row>
    <row r="3281" spans="1:17" s="110" customFormat="1" ht="17.5" customHeight="1">
      <c r="A3281" s="109" t="s">
        <v>7467</v>
      </c>
      <c r="B3281" s="109" t="s">
        <v>7468</v>
      </c>
      <c r="C3281" s="98">
        <v>2010</v>
      </c>
      <c r="D3281" s="99">
        <v>18</v>
      </c>
      <c r="E3281" s="99">
        <v>112</v>
      </c>
      <c r="F3281" s="99">
        <v>44</v>
      </c>
      <c r="G3281" s="99">
        <v>71</v>
      </c>
      <c r="H3281" s="99">
        <v>27</v>
      </c>
      <c r="I3281" s="99" t="s">
        <v>6953</v>
      </c>
      <c r="J3281" s="99" t="s">
        <v>6953</v>
      </c>
      <c r="K3281" s="99">
        <v>1</v>
      </c>
      <c r="L3281" s="99">
        <v>22</v>
      </c>
      <c r="M3281" s="99">
        <v>18</v>
      </c>
      <c r="N3281" s="99">
        <v>4</v>
      </c>
      <c r="O3281" s="119"/>
      <c r="P3281" s="119"/>
      <c r="Q3281" s="119"/>
    </row>
    <row r="3282" spans="1:17" s="110" customFormat="1" ht="17.5" customHeight="1">
      <c r="A3282" s="109" t="s">
        <v>7467</v>
      </c>
      <c r="B3282" s="109" t="s">
        <v>7468</v>
      </c>
      <c r="C3282" s="98">
        <v>2011</v>
      </c>
      <c r="D3282" s="99">
        <v>16</v>
      </c>
      <c r="E3282" s="99">
        <v>103</v>
      </c>
      <c r="F3282" s="99">
        <v>52</v>
      </c>
      <c r="G3282" s="99">
        <v>52</v>
      </c>
      <c r="H3282" s="99">
        <v>25</v>
      </c>
      <c r="I3282" s="99" t="s">
        <v>6953</v>
      </c>
      <c r="J3282" s="99">
        <v>3</v>
      </c>
      <c r="K3282" s="99" t="s">
        <v>6953</v>
      </c>
      <c r="L3282" s="99" t="s">
        <v>6953</v>
      </c>
      <c r="M3282" s="99" t="s">
        <v>6953</v>
      </c>
      <c r="N3282" s="99" t="s">
        <v>6953</v>
      </c>
    </row>
    <row r="3283" spans="1:17" s="110" customFormat="1" ht="17.5" customHeight="1">
      <c r="A3283" s="109" t="s">
        <v>7467</v>
      </c>
      <c r="B3283" s="109" t="s">
        <v>7468</v>
      </c>
      <c r="C3283" s="111">
        <v>2012</v>
      </c>
      <c r="D3283" s="112">
        <v>15</v>
      </c>
      <c r="E3283" s="112">
        <v>86</v>
      </c>
      <c r="F3283" s="112">
        <v>42</v>
      </c>
      <c r="G3283" s="112">
        <v>39</v>
      </c>
      <c r="H3283" s="112">
        <v>23</v>
      </c>
      <c r="I3283" s="99" t="s">
        <v>6953</v>
      </c>
      <c r="J3283" s="99" t="s">
        <v>6953</v>
      </c>
      <c r="K3283" s="112" t="s">
        <v>6952</v>
      </c>
      <c r="L3283" s="112">
        <v>16</v>
      </c>
      <c r="M3283" s="112">
        <v>21</v>
      </c>
      <c r="N3283" s="112">
        <v>-5</v>
      </c>
    </row>
    <row r="3284" spans="1:17" s="110" customFormat="1" ht="17.5" customHeight="1">
      <c r="A3284" s="109" t="s">
        <v>7467</v>
      </c>
      <c r="B3284" s="109" t="s">
        <v>7468</v>
      </c>
      <c r="C3284" s="113">
        <v>2013</v>
      </c>
      <c r="D3284" s="112">
        <v>15</v>
      </c>
      <c r="E3284" s="112">
        <v>83</v>
      </c>
      <c r="F3284" s="112">
        <v>27</v>
      </c>
      <c r="G3284" s="112">
        <v>58</v>
      </c>
      <c r="H3284" s="112">
        <v>18</v>
      </c>
      <c r="I3284" s="112">
        <v>3</v>
      </c>
      <c r="J3284" s="112">
        <v>3</v>
      </c>
      <c r="K3284" s="112" t="s">
        <v>6952</v>
      </c>
      <c r="L3284" s="112">
        <v>20</v>
      </c>
      <c r="M3284" s="112">
        <v>17</v>
      </c>
      <c r="N3284" s="112">
        <v>3</v>
      </c>
      <c r="O3284" s="100"/>
      <c r="P3284" s="100"/>
      <c r="Q3284" s="100"/>
    </row>
    <row r="3285" spans="1:17" s="110" customFormat="1" ht="17.5" customHeight="1">
      <c r="A3285" s="109" t="s">
        <v>7467</v>
      </c>
      <c r="B3285" s="109" t="s">
        <v>7468</v>
      </c>
      <c r="C3285" s="113">
        <v>2014</v>
      </c>
      <c r="D3285" s="99">
        <v>14</v>
      </c>
      <c r="E3285" s="99">
        <v>100</v>
      </c>
      <c r="F3285" s="99">
        <v>46</v>
      </c>
      <c r="G3285" s="99">
        <v>51</v>
      </c>
      <c r="H3285" s="99">
        <v>34</v>
      </c>
      <c r="I3285" s="99" t="s">
        <v>6953</v>
      </c>
      <c r="J3285" s="99" t="s">
        <v>6953</v>
      </c>
      <c r="K3285" s="112" t="s">
        <v>6952</v>
      </c>
      <c r="L3285" s="99">
        <v>24</v>
      </c>
      <c r="M3285" s="99">
        <v>26</v>
      </c>
      <c r="N3285" s="99">
        <v>-3</v>
      </c>
    </row>
    <row r="3286" spans="1:17" s="110" customFormat="1" ht="17.5" customHeight="1">
      <c r="A3286" s="109" t="s">
        <v>7467</v>
      </c>
      <c r="B3286" s="109" t="s">
        <v>7468</v>
      </c>
      <c r="C3286" s="113">
        <v>2015</v>
      </c>
      <c r="D3286" s="112">
        <v>12</v>
      </c>
      <c r="E3286" s="112">
        <v>99</v>
      </c>
      <c r="F3286" s="112">
        <v>44</v>
      </c>
      <c r="G3286" s="112">
        <v>53</v>
      </c>
      <c r="H3286" s="112">
        <v>31</v>
      </c>
      <c r="I3286" s="112">
        <v>2</v>
      </c>
      <c r="J3286" s="112">
        <v>2</v>
      </c>
      <c r="K3286" s="112" t="s">
        <v>6952</v>
      </c>
      <c r="L3286" s="112">
        <v>24</v>
      </c>
      <c r="M3286" s="112">
        <v>25</v>
      </c>
      <c r="N3286" s="112">
        <v>-2</v>
      </c>
      <c r="O3286" s="100"/>
      <c r="P3286" s="100"/>
      <c r="Q3286" s="100"/>
    </row>
    <row r="3287" spans="1:17" s="110" customFormat="1" ht="17.5" customHeight="1">
      <c r="A3287" s="109" t="s">
        <v>7467</v>
      </c>
      <c r="B3287" s="109" t="s">
        <v>7468</v>
      </c>
      <c r="C3287" s="113">
        <v>2016</v>
      </c>
      <c r="D3287" s="112">
        <v>11</v>
      </c>
      <c r="E3287" s="112">
        <v>63</v>
      </c>
      <c r="F3287" s="112">
        <v>27</v>
      </c>
      <c r="G3287" s="112">
        <v>36</v>
      </c>
      <c r="H3287" s="112">
        <v>17</v>
      </c>
      <c r="I3287" s="112">
        <v>1</v>
      </c>
      <c r="J3287" s="112">
        <v>7</v>
      </c>
      <c r="K3287" s="112">
        <v>5</v>
      </c>
      <c r="L3287" s="112">
        <v>17</v>
      </c>
      <c r="M3287" s="112">
        <v>16</v>
      </c>
      <c r="N3287" s="112" t="s">
        <v>6952</v>
      </c>
      <c r="O3287" s="100"/>
      <c r="P3287" s="100"/>
      <c r="Q3287" s="100"/>
    </row>
    <row r="3288" spans="1:17" s="110" customFormat="1" ht="17.5" customHeight="1">
      <c r="A3288" s="109" t="s">
        <v>7467</v>
      </c>
      <c r="B3288" s="109" t="s">
        <v>7468</v>
      </c>
      <c r="C3288" s="113">
        <v>2017</v>
      </c>
      <c r="D3288" s="112">
        <v>12</v>
      </c>
      <c r="E3288" s="112">
        <v>99</v>
      </c>
      <c r="F3288" s="112">
        <v>52</v>
      </c>
      <c r="G3288" s="112">
        <v>49</v>
      </c>
      <c r="H3288" s="112">
        <v>22</v>
      </c>
      <c r="I3288" s="112" t="s">
        <v>6952</v>
      </c>
      <c r="J3288" s="112" t="s">
        <v>6952</v>
      </c>
      <c r="K3288" s="112" t="s">
        <v>6952</v>
      </c>
      <c r="L3288" s="112">
        <v>28</v>
      </c>
      <c r="M3288" s="112">
        <v>25</v>
      </c>
      <c r="N3288" s="112">
        <v>3</v>
      </c>
    </row>
    <row r="3289" spans="1:17" s="110" customFormat="1" ht="17.5" customHeight="1">
      <c r="A3289" s="109" t="s">
        <v>7467</v>
      </c>
      <c r="B3289" s="109" t="s">
        <v>7468</v>
      </c>
      <c r="C3289" s="113">
        <v>2018</v>
      </c>
      <c r="D3289" s="112">
        <v>11</v>
      </c>
      <c r="E3289" s="112">
        <v>92</v>
      </c>
      <c r="F3289" s="112">
        <v>61</v>
      </c>
      <c r="G3289" s="112">
        <v>34</v>
      </c>
      <c r="H3289" s="112">
        <v>24</v>
      </c>
      <c r="I3289" s="99" t="s">
        <v>6953</v>
      </c>
      <c r="J3289" s="99" t="s">
        <v>6953</v>
      </c>
      <c r="K3289" s="112" t="s">
        <v>6952</v>
      </c>
      <c r="L3289" s="99" t="s">
        <v>6953</v>
      </c>
      <c r="M3289" s="99" t="s">
        <v>6953</v>
      </c>
      <c r="N3289" s="99" t="s">
        <v>6953</v>
      </c>
    </row>
    <row r="3290" spans="1:17" s="110" customFormat="1" ht="17.5" customHeight="1">
      <c r="A3290" s="109" t="s">
        <v>7467</v>
      </c>
      <c r="B3290" s="109" t="s">
        <v>7468</v>
      </c>
      <c r="C3290" s="113">
        <v>2019</v>
      </c>
      <c r="D3290" s="112">
        <v>9</v>
      </c>
      <c r="E3290" s="112">
        <v>43.096390999999997</v>
      </c>
      <c r="F3290" s="112">
        <v>37.973125000000003</v>
      </c>
      <c r="G3290" s="112">
        <v>4.7338089999999999</v>
      </c>
      <c r="H3290" s="112">
        <v>12.074464000000001</v>
      </c>
      <c r="I3290" s="112">
        <v>1.085823</v>
      </c>
      <c r="J3290" s="112">
        <v>1.0932310000000001</v>
      </c>
      <c r="K3290" s="112" t="s">
        <v>6952</v>
      </c>
      <c r="L3290" s="112" t="s">
        <v>6953</v>
      </c>
      <c r="M3290" s="112" t="s">
        <v>6953</v>
      </c>
      <c r="N3290" s="112" t="s">
        <v>6953</v>
      </c>
      <c r="O3290" s="119"/>
      <c r="P3290" s="119"/>
      <c r="Q3290" s="119"/>
    </row>
    <row r="3291" spans="1:17" s="110" customFormat="1" ht="17.5" customHeight="1">
      <c r="A3291" s="114" t="s">
        <v>7467</v>
      </c>
      <c r="B3291" s="114" t="s">
        <v>7468</v>
      </c>
      <c r="C3291" s="113">
        <v>2020</v>
      </c>
      <c r="D3291" s="112">
        <v>9</v>
      </c>
      <c r="E3291" s="112">
        <v>37.592852000000001</v>
      </c>
      <c r="F3291" s="112">
        <v>17.124547</v>
      </c>
      <c r="G3291" s="112">
        <v>20.529502999999998</v>
      </c>
      <c r="H3291" s="112">
        <v>7.3337139999999996</v>
      </c>
      <c r="I3291" s="112">
        <v>2.530189</v>
      </c>
      <c r="J3291" s="112">
        <v>2.6124719999999999</v>
      </c>
      <c r="K3291" s="112" t="s">
        <v>6952</v>
      </c>
      <c r="L3291" s="112">
        <v>7.4260029999999997</v>
      </c>
      <c r="M3291" s="112">
        <v>7.4157169999999999</v>
      </c>
      <c r="N3291" s="112" t="s">
        <v>6952</v>
      </c>
      <c r="O3291" s="119"/>
      <c r="P3291" s="119"/>
      <c r="Q3291" s="119"/>
    </row>
    <row r="3292" spans="1:17" s="110" customFormat="1" ht="31.75" customHeight="1">
      <c r="A3292" s="109" t="s">
        <v>7469</v>
      </c>
      <c r="B3292" s="109" t="s">
        <v>7470</v>
      </c>
      <c r="C3292" s="98">
        <v>2008</v>
      </c>
      <c r="D3292" s="99">
        <v>342</v>
      </c>
      <c r="E3292" s="99">
        <v>4102</v>
      </c>
      <c r="F3292" s="99">
        <v>1178</v>
      </c>
      <c r="G3292" s="99">
        <v>2911</v>
      </c>
      <c r="H3292" s="99">
        <v>610</v>
      </c>
      <c r="I3292" s="99">
        <v>73</v>
      </c>
      <c r="J3292" s="99">
        <v>105</v>
      </c>
      <c r="K3292" s="99">
        <v>32</v>
      </c>
      <c r="L3292" s="99">
        <v>551</v>
      </c>
      <c r="M3292" s="99">
        <v>574</v>
      </c>
      <c r="N3292" s="99">
        <v>-23</v>
      </c>
      <c r="O3292" s="119"/>
      <c r="P3292" s="119"/>
      <c r="Q3292" s="119"/>
    </row>
    <row r="3293" spans="1:17" s="110" customFormat="1" ht="31.75" customHeight="1">
      <c r="A3293" s="109" t="s">
        <v>7469</v>
      </c>
      <c r="B3293" s="109" t="s">
        <v>7470</v>
      </c>
      <c r="C3293" s="98">
        <v>2009</v>
      </c>
      <c r="D3293" s="99">
        <v>297</v>
      </c>
      <c r="E3293" s="99">
        <v>2656</v>
      </c>
      <c r="F3293" s="99">
        <v>644</v>
      </c>
      <c r="G3293" s="99">
        <v>1840</v>
      </c>
      <c r="H3293" s="99">
        <v>471</v>
      </c>
      <c r="I3293" s="99">
        <v>57</v>
      </c>
      <c r="J3293" s="99">
        <v>87</v>
      </c>
      <c r="K3293" s="99">
        <v>30</v>
      </c>
      <c r="L3293" s="99">
        <v>423</v>
      </c>
      <c r="M3293" s="99">
        <v>608</v>
      </c>
      <c r="N3293" s="99">
        <v>-185</v>
      </c>
      <c r="O3293" s="119"/>
      <c r="P3293" s="119"/>
      <c r="Q3293" s="119"/>
    </row>
    <row r="3294" spans="1:17" s="110" customFormat="1" ht="31.75" customHeight="1">
      <c r="A3294" s="109" t="s">
        <v>7469</v>
      </c>
      <c r="B3294" s="109" t="s">
        <v>7470</v>
      </c>
      <c r="C3294" s="98">
        <v>2010</v>
      </c>
      <c r="D3294" s="99">
        <v>278</v>
      </c>
      <c r="E3294" s="99">
        <v>3392</v>
      </c>
      <c r="F3294" s="99">
        <v>853</v>
      </c>
      <c r="G3294" s="99">
        <v>2587</v>
      </c>
      <c r="H3294" s="99">
        <v>455</v>
      </c>
      <c r="I3294" s="99">
        <v>55</v>
      </c>
      <c r="J3294" s="99">
        <v>72</v>
      </c>
      <c r="K3294" s="99">
        <v>17</v>
      </c>
      <c r="L3294" s="99">
        <v>515</v>
      </c>
      <c r="M3294" s="99">
        <v>474</v>
      </c>
      <c r="N3294" s="99">
        <v>42</v>
      </c>
    </row>
    <row r="3295" spans="1:17" s="110" customFormat="1" ht="31.75" customHeight="1">
      <c r="A3295" s="109" t="s">
        <v>7469</v>
      </c>
      <c r="B3295" s="109" t="s">
        <v>7470</v>
      </c>
      <c r="C3295" s="98">
        <v>2011</v>
      </c>
      <c r="D3295" s="99">
        <v>265</v>
      </c>
      <c r="E3295" s="99">
        <v>4502</v>
      </c>
      <c r="F3295" s="99">
        <v>1155</v>
      </c>
      <c r="G3295" s="99">
        <v>3517</v>
      </c>
      <c r="H3295" s="99">
        <v>515</v>
      </c>
      <c r="I3295" s="99">
        <v>69</v>
      </c>
      <c r="J3295" s="99">
        <v>77</v>
      </c>
      <c r="K3295" s="99">
        <v>8</v>
      </c>
      <c r="L3295" s="99">
        <v>692</v>
      </c>
      <c r="M3295" s="99">
        <v>529</v>
      </c>
      <c r="N3295" s="99">
        <v>164</v>
      </c>
    </row>
    <row r="3296" spans="1:17" s="110" customFormat="1" ht="31.75" customHeight="1">
      <c r="A3296" s="109" t="s">
        <v>7469</v>
      </c>
      <c r="B3296" s="109" t="s">
        <v>7470</v>
      </c>
      <c r="C3296" s="111">
        <v>2012</v>
      </c>
      <c r="D3296" s="112">
        <v>242</v>
      </c>
      <c r="E3296" s="112">
        <v>4687</v>
      </c>
      <c r="F3296" s="112">
        <v>962</v>
      </c>
      <c r="G3296" s="112">
        <v>3738</v>
      </c>
      <c r="H3296" s="112">
        <v>585</v>
      </c>
      <c r="I3296" s="112">
        <v>41</v>
      </c>
      <c r="J3296" s="112">
        <v>71</v>
      </c>
      <c r="K3296" s="112">
        <v>31</v>
      </c>
      <c r="L3296" s="112">
        <v>746</v>
      </c>
      <c r="M3296" s="112">
        <v>731</v>
      </c>
      <c r="N3296" s="112">
        <v>15</v>
      </c>
      <c r="O3296" s="100"/>
      <c r="P3296" s="100"/>
      <c r="Q3296" s="100"/>
    </row>
    <row r="3297" spans="1:17" s="110" customFormat="1" ht="31.75" customHeight="1">
      <c r="A3297" s="109" t="s">
        <v>7469</v>
      </c>
      <c r="B3297" s="109" t="s">
        <v>7470</v>
      </c>
      <c r="C3297" s="113">
        <v>2013</v>
      </c>
      <c r="D3297" s="112">
        <v>252</v>
      </c>
      <c r="E3297" s="112">
        <v>4764</v>
      </c>
      <c r="F3297" s="112">
        <v>1191</v>
      </c>
      <c r="G3297" s="112">
        <v>3562</v>
      </c>
      <c r="H3297" s="112">
        <v>701</v>
      </c>
      <c r="I3297" s="112">
        <v>52</v>
      </c>
      <c r="J3297" s="112">
        <v>65</v>
      </c>
      <c r="K3297" s="112">
        <v>13</v>
      </c>
      <c r="L3297" s="112">
        <v>694</v>
      </c>
      <c r="M3297" s="112">
        <v>704</v>
      </c>
      <c r="N3297" s="112">
        <v>-11</v>
      </c>
    </row>
    <row r="3298" spans="1:17" s="110" customFormat="1" ht="31.75" customHeight="1">
      <c r="A3298" s="109" t="s">
        <v>7469</v>
      </c>
      <c r="B3298" s="109" t="s">
        <v>7470</v>
      </c>
      <c r="C3298" s="113">
        <v>2014</v>
      </c>
      <c r="D3298" s="99">
        <v>279</v>
      </c>
      <c r="E3298" s="99">
        <v>4356</v>
      </c>
      <c r="F3298" s="99">
        <v>1215</v>
      </c>
      <c r="G3298" s="99">
        <v>3148</v>
      </c>
      <c r="H3298" s="99">
        <v>612</v>
      </c>
      <c r="I3298" s="99">
        <v>103</v>
      </c>
      <c r="J3298" s="99">
        <v>106</v>
      </c>
      <c r="K3298" s="99">
        <v>3</v>
      </c>
      <c r="L3298" s="99">
        <v>680</v>
      </c>
      <c r="M3298" s="99">
        <v>671</v>
      </c>
      <c r="N3298" s="99">
        <v>9</v>
      </c>
      <c r="O3298" s="100"/>
      <c r="P3298" s="100"/>
      <c r="Q3298" s="100"/>
    </row>
    <row r="3299" spans="1:17" s="110" customFormat="1" ht="31.75" customHeight="1">
      <c r="A3299" s="109" t="s">
        <v>7469</v>
      </c>
      <c r="B3299" s="109" t="s">
        <v>7470</v>
      </c>
      <c r="C3299" s="113">
        <v>2015</v>
      </c>
      <c r="D3299" s="112">
        <v>280</v>
      </c>
      <c r="E3299" s="112">
        <v>4070</v>
      </c>
      <c r="F3299" s="112">
        <v>1091</v>
      </c>
      <c r="G3299" s="112">
        <v>2964</v>
      </c>
      <c r="H3299" s="112">
        <v>638</v>
      </c>
      <c r="I3299" s="112">
        <v>89</v>
      </c>
      <c r="J3299" s="112">
        <v>97</v>
      </c>
      <c r="K3299" s="112">
        <v>8</v>
      </c>
      <c r="L3299" s="112">
        <v>667</v>
      </c>
      <c r="M3299" s="112">
        <v>686</v>
      </c>
      <c r="N3299" s="112">
        <v>-18</v>
      </c>
      <c r="O3299" s="100"/>
      <c r="P3299" s="100"/>
      <c r="Q3299" s="100"/>
    </row>
    <row r="3300" spans="1:17" s="110" customFormat="1" ht="31.75" customHeight="1">
      <c r="A3300" s="109" t="s">
        <v>7469</v>
      </c>
      <c r="B3300" s="109" t="s">
        <v>7470</v>
      </c>
      <c r="C3300" s="113">
        <v>2016</v>
      </c>
      <c r="D3300" s="112">
        <v>267</v>
      </c>
      <c r="E3300" s="112">
        <v>3391</v>
      </c>
      <c r="F3300" s="112">
        <v>948</v>
      </c>
      <c r="G3300" s="112">
        <v>2467</v>
      </c>
      <c r="H3300" s="112">
        <v>667</v>
      </c>
      <c r="I3300" s="112">
        <v>71</v>
      </c>
      <c r="J3300" s="112">
        <v>73</v>
      </c>
      <c r="K3300" s="112">
        <v>2</v>
      </c>
      <c r="L3300" s="112">
        <v>683</v>
      </c>
      <c r="M3300" s="112">
        <v>664</v>
      </c>
      <c r="N3300" s="112">
        <v>19</v>
      </c>
    </row>
    <row r="3301" spans="1:17" s="110" customFormat="1" ht="31.75" customHeight="1">
      <c r="A3301" s="109" t="s">
        <v>7469</v>
      </c>
      <c r="B3301" s="109" t="s">
        <v>7470</v>
      </c>
      <c r="C3301" s="113">
        <v>2017</v>
      </c>
      <c r="D3301" s="112">
        <v>276</v>
      </c>
      <c r="E3301" s="112">
        <v>3908</v>
      </c>
      <c r="F3301" s="112">
        <v>1080</v>
      </c>
      <c r="G3301" s="112">
        <v>2889</v>
      </c>
      <c r="H3301" s="112">
        <v>651</v>
      </c>
      <c r="I3301" s="112">
        <v>54</v>
      </c>
      <c r="J3301" s="112">
        <v>60</v>
      </c>
      <c r="K3301" s="112">
        <v>7</v>
      </c>
      <c r="L3301" s="112">
        <v>697</v>
      </c>
      <c r="M3301" s="112">
        <v>683</v>
      </c>
      <c r="N3301" s="112">
        <v>13</v>
      </c>
    </row>
    <row r="3302" spans="1:17" s="110" customFormat="1" ht="31.75" customHeight="1">
      <c r="A3302" s="109" t="s">
        <v>7469</v>
      </c>
      <c r="B3302" s="109" t="s">
        <v>7470</v>
      </c>
      <c r="C3302" s="113">
        <v>2018</v>
      </c>
      <c r="D3302" s="112">
        <v>280</v>
      </c>
      <c r="E3302" s="112">
        <v>4766</v>
      </c>
      <c r="F3302" s="112">
        <v>1273</v>
      </c>
      <c r="G3302" s="112">
        <v>3601</v>
      </c>
      <c r="H3302" s="112">
        <v>699</v>
      </c>
      <c r="I3302" s="112">
        <v>96</v>
      </c>
      <c r="J3302" s="112">
        <v>109</v>
      </c>
      <c r="K3302" s="112">
        <v>13</v>
      </c>
      <c r="L3302" s="112">
        <v>818</v>
      </c>
      <c r="M3302" s="112">
        <v>713</v>
      </c>
      <c r="N3302" s="112">
        <v>105</v>
      </c>
      <c r="O3302" s="119"/>
      <c r="P3302" s="119"/>
      <c r="Q3302" s="119"/>
    </row>
    <row r="3303" spans="1:17" s="110" customFormat="1" ht="31.75" customHeight="1">
      <c r="A3303" s="109" t="s">
        <v>7469</v>
      </c>
      <c r="B3303" s="109" t="s">
        <v>7470</v>
      </c>
      <c r="C3303" s="113">
        <v>2019</v>
      </c>
      <c r="D3303" s="112">
        <v>264</v>
      </c>
      <c r="E3303" s="112">
        <v>4868.8590089999998</v>
      </c>
      <c r="F3303" s="112">
        <v>1321.2929979999999</v>
      </c>
      <c r="G3303" s="112">
        <v>3646.5494600000002</v>
      </c>
      <c r="H3303" s="112">
        <v>663.59862999999996</v>
      </c>
      <c r="I3303" s="112">
        <v>147.7724</v>
      </c>
      <c r="J3303" s="112">
        <v>158.094111</v>
      </c>
      <c r="K3303" s="112">
        <v>10.321709999999999</v>
      </c>
      <c r="L3303" s="112">
        <v>903.26395500000001</v>
      </c>
      <c r="M3303" s="112">
        <v>800.93064500000003</v>
      </c>
      <c r="N3303" s="112">
        <v>102.33331</v>
      </c>
      <c r="O3303" s="119"/>
      <c r="P3303" s="119"/>
      <c r="Q3303" s="119"/>
    </row>
    <row r="3304" spans="1:17" s="110" customFormat="1" ht="31.75" customHeight="1">
      <c r="A3304" s="114" t="s">
        <v>7469</v>
      </c>
      <c r="B3304" s="114" t="s">
        <v>7470</v>
      </c>
      <c r="C3304" s="113">
        <v>2020</v>
      </c>
      <c r="D3304" s="112">
        <v>263</v>
      </c>
      <c r="E3304" s="112">
        <v>3588.820964</v>
      </c>
      <c r="F3304" s="112">
        <v>703.73744199999999</v>
      </c>
      <c r="G3304" s="112">
        <v>2796.4488419999998</v>
      </c>
      <c r="H3304" s="112">
        <v>615.47004100000004</v>
      </c>
      <c r="I3304" s="112">
        <v>126.351223</v>
      </c>
      <c r="J3304" s="112">
        <v>145.23346599999999</v>
      </c>
      <c r="K3304" s="112">
        <v>18.882242999999999</v>
      </c>
      <c r="L3304" s="112">
        <v>761.52235700000006</v>
      </c>
      <c r="M3304" s="112">
        <v>883.98082499999998</v>
      </c>
      <c r="N3304" s="112">
        <v>-122.45846899999999</v>
      </c>
      <c r="O3304" s="119"/>
      <c r="P3304" s="119"/>
      <c r="Q3304" s="119"/>
    </row>
    <row r="3305" spans="1:17" s="110" customFormat="1" ht="31.75" customHeight="1">
      <c r="A3305" s="109" t="s">
        <v>7471</v>
      </c>
      <c r="B3305" s="109" t="s">
        <v>7472</v>
      </c>
      <c r="C3305" s="98">
        <v>2008</v>
      </c>
      <c r="D3305" s="99">
        <v>597</v>
      </c>
      <c r="E3305" s="99">
        <v>1046</v>
      </c>
      <c r="F3305" s="99">
        <v>443</v>
      </c>
      <c r="G3305" s="99">
        <v>595</v>
      </c>
      <c r="H3305" s="99">
        <v>274</v>
      </c>
      <c r="I3305" s="99">
        <v>-5</v>
      </c>
      <c r="J3305" s="99">
        <v>15</v>
      </c>
      <c r="K3305" s="99">
        <v>20</v>
      </c>
      <c r="L3305" s="99">
        <v>116</v>
      </c>
      <c r="M3305" s="99">
        <v>121</v>
      </c>
      <c r="N3305" s="99">
        <v>-5</v>
      </c>
      <c r="O3305" s="119"/>
      <c r="P3305" s="119"/>
      <c r="Q3305" s="119"/>
    </row>
    <row r="3306" spans="1:17" s="110" customFormat="1" ht="31.75" customHeight="1">
      <c r="A3306" s="109" t="s">
        <v>7471</v>
      </c>
      <c r="B3306" s="109" t="s">
        <v>7472</v>
      </c>
      <c r="C3306" s="98">
        <v>2009</v>
      </c>
      <c r="D3306" s="99">
        <v>545</v>
      </c>
      <c r="E3306" s="99">
        <v>1072</v>
      </c>
      <c r="F3306" s="99">
        <v>376</v>
      </c>
      <c r="G3306" s="99">
        <v>691</v>
      </c>
      <c r="H3306" s="99">
        <v>253</v>
      </c>
      <c r="I3306" s="99">
        <v>6</v>
      </c>
      <c r="J3306" s="99">
        <v>10</v>
      </c>
      <c r="K3306" s="99">
        <v>4</v>
      </c>
      <c r="L3306" s="99">
        <v>143</v>
      </c>
      <c r="M3306" s="99">
        <v>148</v>
      </c>
      <c r="N3306" s="99">
        <v>-6</v>
      </c>
    </row>
    <row r="3307" spans="1:17" s="110" customFormat="1" ht="31.75" customHeight="1">
      <c r="A3307" s="109" t="s">
        <v>7471</v>
      </c>
      <c r="B3307" s="109" t="s">
        <v>7472</v>
      </c>
      <c r="C3307" s="98">
        <v>2010</v>
      </c>
      <c r="D3307" s="99">
        <v>487</v>
      </c>
      <c r="E3307" s="99">
        <v>900</v>
      </c>
      <c r="F3307" s="99">
        <v>325</v>
      </c>
      <c r="G3307" s="99">
        <v>590</v>
      </c>
      <c r="H3307" s="99">
        <v>226</v>
      </c>
      <c r="I3307" s="99">
        <v>13</v>
      </c>
      <c r="J3307" s="99">
        <v>15</v>
      </c>
      <c r="K3307" s="99">
        <v>2</v>
      </c>
      <c r="L3307" s="99">
        <v>84</v>
      </c>
      <c r="M3307" s="99">
        <v>69</v>
      </c>
      <c r="N3307" s="99">
        <v>15</v>
      </c>
    </row>
    <row r="3308" spans="1:17" s="110" customFormat="1" ht="31.75" customHeight="1">
      <c r="A3308" s="109" t="s">
        <v>7471</v>
      </c>
      <c r="B3308" s="109" t="s">
        <v>7472</v>
      </c>
      <c r="C3308" s="98">
        <v>2011</v>
      </c>
      <c r="D3308" s="99">
        <v>433</v>
      </c>
      <c r="E3308" s="99">
        <v>821</v>
      </c>
      <c r="F3308" s="99">
        <v>404</v>
      </c>
      <c r="G3308" s="99">
        <v>439</v>
      </c>
      <c r="H3308" s="99">
        <v>167</v>
      </c>
      <c r="I3308" s="99">
        <v>17</v>
      </c>
      <c r="J3308" s="99">
        <v>25</v>
      </c>
      <c r="K3308" s="99">
        <v>7</v>
      </c>
      <c r="L3308" s="99">
        <v>116</v>
      </c>
      <c r="M3308" s="99">
        <v>94</v>
      </c>
      <c r="N3308" s="99">
        <v>21</v>
      </c>
      <c r="O3308" s="100"/>
      <c r="P3308" s="100"/>
      <c r="Q3308" s="100"/>
    </row>
    <row r="3309" spans="1:17" s="110" customFormat="1" ht="31.75" customHeight="1">
      <c r="A3309" s="109" t="s">
        <v>7471</v>
      </c>
      <c r="B3309" s="109" t="s">
        <v>7472</v>
      </c>
      <c r="C3309" s="111">
        <v>2012</v>
      </c>
      <c r="D3309" s="112">
        <v>410</v>
      </c>
      <c r="E3309" s="112">
        <v>825</v>
      </c>
      <c r="F3309" s="112">
        <v>342</v>
      </c>
      <c r="G3309" s="112">
        <v>469</v>
      </c>
      <c r="H3309" s="112">
        <v>192</v>
      </c>
      <c r="I3309" s="112">
        <v>6</v>
      </c>
      <c r="J3309" s="112">
        <v>13</v>
      </c>
      <c r="K3309" s="112">
        <v>7</v>
      </c>
      <c r="L3309" s="112">
        <v>80</v>
      </c>
      <c r="M3309" s="112">
        <v>95</v>
      </c>
      <c r="N3309" s="112">
        <v>-15</v>
      </c>
    </row>
    <row r="3310" spans="1:17" s="110" customFormat="1" ht="31.75" customHeight="1">
      <c r="A3310" s="109" t="s">
        <v>7471</v>
      </c>
      <c r="B3310" s="109" t="s">
        <v>7472</v>
      </c>
      <c r="C3310" s="113">
        <v>2013</v>
      </c>
      <c r="D3310" s="112">
        <v>419</v>
      </c>
      <c r="E3310" s="112">
        <v>920</v>
      </c>
      <c r="F3310" s="112">
        <v>410</v>
      </c>
      <c r="G3310" s="112">
        <v>520</v>
      </c>
      <c r="H3310" s="112">
        <v>177</v>
      </c>
      <c r="I3310" s="112">
        <v>13</v>
      </c>
      <c r="J3310" s="112">
        <v>15</v>
      </c>
      <c r="K3310" s="112">
        <v>3</v>
      </c>
      <c r="L3310" s="112">
        <v>102</v>
      </c>
      <c r="M3310" s="112">
        <v>94</v>
      </c>
      <c r="N3310" s="112">
        <v>8</v>
      </c>
      <c r="O3310" s="100"/>
      <c r="P3310" s="100"/>
      <c r="Q3310" s="100"/>
    </row>
    <row r="3311" spans="1:17" s="110" customFormat="1" ht="31.75" customHeight="1">
      <c r="A3311" s="109" t="s">
        <v>7471</v>
      </c>
      <c r="B3311" s="109" t="s">
        <v>7472</v>
      </c>
      <c r="C3311" s="113">
        <v>2014</v>
      </c>
      <c r="D3311" s="99">
        <v>425</v>
      </c>
      <c r="E3311" s="99">
        <v>793</v>
      </c>
      <c r="F3311" s="99">
        <v>322</v>
      </c>
      <c r="G3311" s="99">
        <v>485</v>
      </c>
      <c r="H3311" s="99">
        <v>269</v>
      </c>
      <c r="I3311" s="99">
        <v>41</v>
      </c>
      <c r="J3311" s="99">
        <v>42</v>
      </c>
      <c r="K3311" s="99">
        <v>1</v>
      </c>
      <c r="L3311" s="99">
        <v>108</v>
      </c>
      <c r="M3311" s="99">
        <v>97</v>
      </c>
      <c r="N3311" s="99">
        <v>11</v>
      </c>
      <c r="O3311" s="100"/>
      <c r="P3311" s="100"/>
      <c r="Q3311" s="100"/>
    </row>
    <row r="3312" spans="1:17" s="110" customFormat="1" ht="31.75" customHeight="1">
      <c r="A3312" s="109" t="s">
        <v>7471</v>
      </c>
      <c r="B3312" s="109" t="s">
        <v>7472</v>
      </c>
      <c r="C3312" s="113">
        <v>2015</v>
      </c>
      <c r="D3312" s="112">
        <v>435</v>
      </c>
      <c r="E3312" s="112">
        <v>601</v>
      </c>
      <c r="F3312" s="112">
        <v>222</v>
      </c>
      <c r="G3312" s="112">
        <v>389</v>
      </c>
      <c r="H3312" s="112">
        <v>177</v>
      </c>
      <c r="I3312" s="112">
        <v>22</v>
      </c>
      <c r="J3312" s="112">
        <v>23</v>
      </c>
      <c r="K3312" s="112" t="s">
        <v>6952</v>
      </c>
      <c r="L3312" s="112">
        <v>66</v>
      </c>
      <c r="M3312" s="112">
        <v>61</v>
      </c>
      <c r="N3312" s="112">
        <v>5</v>
      </c>
    </row>
    <row r="3313" spans="1:17" s="110" customFormat="1" ht="31.75" customHeight="1">
      <c r="A3313" s="109" t="s">
        <v>7471</v>
      </c>
      <c r="B3313" s="109" t="s">
        <v>7472</v>
      </c>
      <c r="C3313" s="113">
        <v>2016</v>
      </c>
      <c r="D3313" s="112">
        <v>451</v>
      </c>
      <c r="E3313" s="112">
        <v>736</v>
      </c>
      <c r="F3313" s="112">
        <v>346</v>
      </c>
      <c r="G3313" s="112">
        <v>395</v>
      </c>
      <c r="H3313" s="112">
        <v>188</v>
      </c>
      <c r="I3313" s="112">
        <v>30</v>
      </c>
      <c r="J3313" s="112">
        <v>32</v>
      </c>
      <c r="K3313" s="112">
        <v>1</v>
      </c>
      <c r="L3313" s="112">
        <v>77</v>
      </c>
      <c r="M3313" s="112">
        <v>73</v>
      </c>
      <c r="N3313" s="112">
        <v>4</v>
      </c>
    </row>
    <row r="3314" spans="1:17" s="110" customFormat="1" ht="31.75" customHeight="1">
      <c r="A3314" s="109" t="s">
        <v>7471</v>
      </c>
      <c r="B3314" s="109" t="s">
        <v>7472</v>
      </c>
      <c r="C3314" s="113">
        <v>2017</v>
      </c>
      <c r="D3314" s="112">
        <v>456</v>
      </c>
      <c r="E3314" s="112">
        <v>861</v>
      </c>
      <c r="F3314" s="112">
        <v>383</v>
      </c>
      <c r="G3314" s="112">
        <v>480</v>
      </c>
      <c r="H3314" s="112">
        <v>194</v>
      </c>
      <c r="I3314" s="112">
        <v>12</v>
      </c>
      <c r="J3314" s="112">
        <v>22</v>
      </c>
      <c r="K3314" s="112">
        <v>11</v>
      </c>
      <c r="L3314" s="112">
        <v>114</v>
      </c>
      <c r="M3314" s="112">
        <v>112</v>
      </c>
      <c r="N3314" s="112">
        <v>2</v>
      </c>
      <c r="O3314" s="119"/>
      <c r="P3314" s="119"/>
      <c r="Q3314" s="119"/>
    </row>
    <row r="3315" spans="1:17" s="110" customFormat="1" ht="31.75" customHeight="1">
      <c r="A3315" s="109" t="s">
        <v>7471</v>
      </c>
      <c r="B3315" s="109" t="s">
        <v>7472</v>
      </c>
      <c r="C3315" s="113">
        <v>2018</v>
      </c>
      <c r="D3315" s="112">
        <v>451</v>
      </c>
      <c r="E3315" s="112">
        <v>872</v>
      </c>
      <c r="F3315" s="112">
        <v>352</v>
      </c>
      <c r="G3315" s="112">
        <v>526</v>
      </c>
      <c r="H3315" s="112">
        <v>245</v>
      </c>
      <c r="I3315" s="112">
        <v>15</v>
      </c>
      <c r="J3315" s="112">
        <v>18</v>
      </c>
      <c r="K3315" s="112">
        <v>2</v>
      </c>
      <c r="L3315" s="112">
        <v>88</v>
      </c>
      <c r="M3315" s="112">
        <v>81</v>
      </c>
      <c r="N3315" s="112">
        <v>7</v>
      </c>
      <c r="O3315" s="119"/>
      <c r="P3315" s="119"/>
      <c r="Q3315" s="119"/>
    </row>
    <row r="3316" spans="1:17" s="110" customFormat="1" ht="31.75" customHeight="1">
      <c r="A3316" s="109" t="s">
        <v>7471</v>
      </c>
      <c r="B3316" s="109" t="s">
        <v>7472</v>
      </c>
      <c r="C3316" s="113">
        <v>2019</v>
      </c>
      <c r="D3316" s="112">
        <v>456</v>
      </c>
      <c r="E3316" s="112">
        <v>953.48256800000001</v>
      </c>
      <c r="F3316" s="112">
        <v>467.56992500000001</v>
      </c>
      <c r="G3316" s="112">
        <v>502.38990200000001</v>
      </c>
      <c r="H3316" s="112">
        <v>250.24007</v>
      </c>
      <c r="I3316" s="112">
        <v>18.032160999999999</v>
      </c>
      <c r="J3316" s="112">
        <v>19.705064</v>
      </c>
      <c r="K3316" s="112">
        <v>1.6729039999999999</v>
      </c>
      <c r="L3316" s="112">
        <v>105.791561</v>
      </c>
      <c r="M3316" s="112">
        <v>94.628112999999999</v>
      </c>
      <c r="N3316" s="112">
        <v>11.163449</v>
      </c>
      <c r="O3316" s="119"/>
      <c r="P3316" s="119"/>
      <c r="Q3316" s="119"/>
    </row>
    <row r="3317" spans="1:17" s="110" customFormat="1" ht="31.75" customHeight="1">
      <c r="A3317" s="114" t="s">
        <v>7471</v>
      </c>
      <c r="B3317" s="114" t="s">
        <v>7472</v>
      </c>
      <c r="C3317" s="113">
        <v>2020</v>
      </c>
      <c r="D3317" s="112">
        <v>462</v>
      </c>
      <c r="E3317" s="112">
        <v>856.92539199999999</v>
      </c>
      <c r="F3317" s="112">
        <v>391.92803099999998</v>
      </c>
      <c r="G3317" s="112">
        <v>453.39046200000001</v>
      </c>
      <c r="H3317" s="112">
        <v>222.611378</v>
      </c>
      <c r="I3317" s="112">
        <v>16.708386000000001</v>
      </c>
      <c r="J3317" s="112">
        <v>17.605989999999998</v>
      </c>
      <c r="K3317" s="112">
        <v>0.89760399999999996</v>
      </c>
      <c r="L3317" s="112">
        <v>101.09717000000001</v>
      </c>
      <c r="M3317" s="112">
        <v>111.113516</v>
      </c>
      <c r="N3317" s="112">
        <v>-10.016346</v>
      </c>
      <c r="O3317" s="119"/>
      <c r="P3317" s="119"/>
      <c r="Q3317" s="119"/>
    </row>
    <row r="3318" spans="1:17" s="110" customFormat="1" ht="31.75" customHeight="1">
      <c r="A3318" s="109" t="s">
        <v>7473</v>
      </c>
      <c r="B3318" s="109" t="s">
        <v>7474</v>
      </c>
      <c r="C3318" s="98">
        <v>2008</v>
      </c>
      <c r="D3318" s="99">
        <v>189</v>
      </c>
      <c r="E3318" s="99">
        <v>162</v>
      </c>
      <c r="F3318" s="99">
        <v>57</v>
      </c>
      <c r="G3318" s="99">
        <v>108</v>
      </c>
      <c r="H3318" s="99">
        <v>40</v>
      </c>
      <c r="I3318" s="99">
        <v>1</v>
      </c>
      <c r="J3318" s="99">
        <v>4</v>
      </c>
      <c r="K3318" s="99">
        <v>3</v>
      </c>
      <c r="L3318" s="99">
        <v>21</v>
      </c>
      <c r="M3318" s="99">
        <v>19</v>
      </c>
      <c r="N3318" s="99">
        <v>2</v>
      </c>
    </row>
    <row r="3319" spans="1:17" s="110" customFormat="1" ht="31.75" customHeight="1">
      <c r="A3319" s="109" t="s">
        <v>7473</v>
      </c>
      <c r="B3319" s="109" t="s">
        <v>7474</v>
      </c>
      <c r="C3319" s="98">
        <v>2009</v>
      </c>
      <c r="D3319" s="99">
        <v>172</v>
      </c>
      <c r="E3319" s="99">
        <v>123</v>
      </c>
      <c r="F3319" s="99">
        <v>46</v>
      </c>
      <c r="G3319" s="99">
        <v>77</v>
      </c>
      <c r="H3319" s="99">
        <v>34</v>
      </c>
      <c r="I3319" s="99">
        <v>1</v>
      </c>
      <c r="J3319" s="99">
        <v>2</v>
      </c>
      <c r="K3319" s="99" t="s">
        <v>6952</v>
      </c>
      <c r="L3319" s="99" t="s">
        <v>6953</v>
      </c>
      <c r="M3319" s="99" t="s">
        <v>6953</v>
      </c>
      <c r="N3319" s="99" t="s">
        <v>6952</v>
      </c>
    </row>
    <row r="3320" spans="1:17" s="110" customFormat="1" ht="31.75" customHeight="1">
      <c r="A3320" s="109" t="s">
        <v>7473</v>
      </c>
      <c r="B3320" s="109" t="s">
        <v>7474</v>
      </c>
      <c r="C3320" s="98">
        <v>2010</v>
      </c>
      <c r="D3320" s="99">
        <v>161</v>
      </c>
      <c r="E3320" s="99">
        <v>119</v>
      </c>
      <c r="F3320" s="99">
        <v>40</v>
      </c>
      <c r="G3320" s="99">
        <v>82</v>
      </c>
      <c r="H3320" s="99">
        <v>35</v>
      </c>
      <c r="I3320" s="99">
        <v>2</v>
      </c>
      <c r="J3320" s="99">
        <v>2</v>
      </c>
      <c r="K3320" s="99" t="s">
        <v>6952</v>
      </c>
      <c r="L3320" s="99">
        <v>24</v>
      </c>
      <c r="M3320" s="99">
        <v>21</v>
      </c>
      <c r="N3320" s="99">
        <v>3</v>
      </c>
      <c r="O3320" s="100"/>
      <c r="P3320" s="100"/>
      <c r="Q3320" s="100"/>
    </row>
    <row r="3321" spans="1:17" s="110" customFormat="1" ht="31.75" customHeight="1">
      <c r="A3321" s="109" t="s">
        <v>7473</v>
      </c>
      <c r="B3321" s="109" t="s">
        <v>7474</v>
      </c>
      <c r="C3321" s="98">
        <v>2011</v>
      </c>
      <c r="D3321" s="99">
        <v>149</v>
      </c>
      <c r="E3321" s="99">
        <v>123</v>
      </c>
      <c r="F3321" s="99">
        <v>51</v>
      </c>
      <c r="G3321" s="99">
        <v>75</v>
      </c>
      <c r="H3321" s="99">
        <v>34</v>
      </c>
      <c r="I3321" s="99">
        <v>4</v>
      </c>
      <c r="J3321" s="99">
        <v>4</v>
      </c>
      <c r="K3321" s="99" t="s">
        <v>6952</v>
      </c>
      <c r="L3321" s="99">
        <v>23</v>
      </c>
      <c r="M3321" s="99">
        <v>21</v>
      </c>
      <c r="N3321" s="99">
        <v>2</v>
      </c>
    </row>
    <row r="3322" spans="1:17" s="110" customFormat="1" ht="31.75" customHeight="1">
      <c r="A3322" s="109" t="s">
        <v>7473</v>
      </c>
      <c r="B3322" s="109" t="s">
        <v>7474</v>
      </c>
      <c r="C3322" s="111">
        <v>2012</v>
      </c>
      <c r="D3322" s="112">
        <v>139</v>
      </c>
      <c r="E3322" s="112">
        <v>118</v>
      </c>
      <c r="F3322" s="112">
        <v>45</v>
      </c>
      <c r="G3322" s="112">
        <v>73</v>
      </c>
      <c r="H3322" s="112">
        <v>29</v>
      </c>
      <c r="I3322" s="112">
        <v>2</v>
      </c>
      <c r="J3322" s="112">
        <v>2</v>
      </c>
      <c r="K3322" s="112">
        <v>1</v>
      </c>
      <c r="L3322" s="112">
        <v>30</v>
      </c>
      <c r="M3322" s="112">
        <v>31</v>
      </c>
      <c r="N3322" s="112">
        <v>-1</v>
      </c>
      <c r="O3322" s="100"/>
      <c r="P3322" s="100"/>
      <c r="Q3322" s="100"/>
    </row>
    <row r="3323" spans="1:17" s="110" customFormat="1" ht="31.75" customHeight="1">
      <c r="A3323" s="109" t="s">
        <v>7473</v>
      </c>
      <c r="B3323" s="109" t="s">
        <v>7474</v>
      </c>
      <c r="C3323" s="113">
        <v>2013</v>
      </c>
      <c r="D3323" s="112">
        <v>136</v>
      </c>
      <c r="E3323" s="112">
        <v>174</v>
      </c>
      <c r="F3323" s="112">
        <v>58</v>
      </c>
      <c r="G3323" s="112">
        <v>118</v>
      </c>
      <c r="H3323" s="112">
        <v>41</v>
      </c>
      <c r="I3323" s="112">
        <v>4</v>
      </c>
      <c r="J3323" s="112">
        <v>6</v>
      </c>
      <c r="K3323" s="112">
        <v>2</v>
      </c>
      <c r="L3323" s="112">
        <v>25</v>
      </c>
      <c r="M3323" s="112">
        <v>23</v>
      </c>
      <c r="N3323" s="112">
        <v>2</v>
      </c>
      <c r="O3323" s="100"/>
      <c r="P3323" s="100"/>
      <c r="Q3323" s="100"/>
    </row>
    <row r="3324" spans="1:17" s="110" customFormat="1" ht="31.75" customHeight="1">
      <c r="A3324" s="109" t="s">
        <v>7473</v>
      </c>
      <c r="B3324" s="109" t="s">
        <v>7474</v>
      </c>
      <c r="C3324" s="113">
        <v>2014</v>
      </c>
      <c r="D3324" s="99">
        <v>136</v>
      </c>
      <c r="E3324" s="99">
        <v>132</v>
      </c>
      <c r="F3324" s="99">
        <v>50</v>
      </c>
      <c r="G3324" s="99">
        <v>85</v>
      </c>
      <c r="H3324" s="99">
        <v>43</v>
      </c>
      <c r="I3324" s="99">
        <v>2</v>
      </c>
      <c r="J3324" s="99">
        <v>2</v>
      </c>
      <c r="K3324" s="99" t="s">
        <v>6952</v>
      </c>
      <c r="L3324" s="99">
        <v>20</v>
      </c>
      <c r="M3324" s="99">
        <v>18</v>
      </c>
      <c r="N3324" s="99">
        <v>2</v>
      </c>
    </row>
    <row r="3325" spans="1:17" s="110" customFormat="1" ht="31.75" customHeight="1">
      <c r="A3325" s="109" t="s">
        <v>7473</v>
      </c>
      <c r="B3325" s="109" t="s">
        <v>7474</v>
      </c>
      <c r="C3325" s="113">
        <v>2015</v>
      </c>
      <c r="D3325" s="112">
        <v>141</v>
      </c>
      <c r="E3325" s="112">
        <v>180</v>
      </c>
      <c r="F3325" s="112">
        <v>101</v>
      </c>
      <c r="G3325" s="112">
        <v>87</v>
      </c>
      <c r="H3325" s="112">
        <v>30</v>
      </c>
      <c r="I3325" s="112">
        <v>13</v>
      </c>
      <c r="J3325" s="112">
        <v>14</v>
      </c>
      <c r="K3325" s="99" t="s">
        <v>6952</v>
      </c>
      <c r="L3325" s="112">
        <v>28</v>
      </c>
      <c r="M3325" s="112">
        <v>26</v>
      </c>
      <c r="N3325" s="112">
        <v>2</v>
      </c>
    </row>
    <row r="3326" spans="1:17" s="110" customFormat="1" ht="31.75" customHeight="1">
      <c r="A3326" s="109" t="s">
        <v>7473</v>
      </c>
      <c r="B3326" s="109" t="s">
        <v>7474</v>
      </c>
      <c r="C3326" s="113">
        <v>2016</v>
      </c>
      <c r="D3326" s="112">
        <v>141</v>
      </c>
      <c r="E3326" s="112">
        <v>225</v>
      </c>
      <c r="F3326" s="112">
        <v>70</v>
      </c>
      <c r="G3326" s="112">
        <v>155</v>
      </c>
      <c r="H3326" s="112">
        <v>38</v>
      </c>
      <c r="I3326" s="112">
        <v>4</v>
      </c>
      <c r="J3326" s="112">
        <v>5</v>
      </c>
      <c r="K3326" s="112">
        <v>1</v>
      </c>
      <c r="L3326" s="112">
        <v>34</v>
      </c>
      <c r="M3326" s="112">
        <v>35</v>
      </c>
      <c r="N3326" s="112">
        <v>-2</v>
      </c>
      <c r="O3326" s="119"/>
      <c r="P3326" s="119"/>
      <c r="Q3326" s="119"/>
    </row>
    <row r="3327" spans="1:17" s="110" customFormat="1" ht="31.75" customHeight="1">
      <c r="A3327" s="109" t="s">
        <v>7473</v>
      </c>
      <c r="B3327" s="109" t="s">
        <v>7474</v>
      </c>
      <c r="C3327" s="113">
        <v>2017</v>
      </c>
      <c r="D3327" s="112">
        <v>132</v>
      </c>
      <c r="E3327" s="112">
        <v>151</v>
      </c>
      <c r="F3327" s="112">
        <v>74</v>
      </c>
      <c r="G3327" s="112">
        <v>79</v>
      </c>
      <c r="H3327" s="112">
        <v>38</v>
      </c>
      <c r="I3327" s="112">
        <v>3</v>
      </c>
      <c r="J3327" s="112">
        <v>3</v>
      </c>
      <c r="K3327" s="112" t="s">
        <v>6952</v>
      </c>
      <c r="L3327" s="112">
        <v>14</v>
      </c>
      <c r="M3327" s="112">
        <v>13</v>
      </c>
      <c r="N3327" s="112">
        <v>1</v>
      </c>
      <c r="O3327" s="119"/>
      <c r="P3327" s="119"/>
      <c r="Q3327" s="119"/>
    </row>
    <row r="3328" spans="1:17" s="110" customFormat="1" ht="31.75" customHeight="1">
      <c r="A3328" s="109" t="s">
        <v>7473</v>
      </c>
      <c r="B3328" s="109" t="s">
        <v>7474</v>
      </c>
      <c r="C3328" s="113">
        <v>2018</v>
      </c>
      <c r="D3328" s="112">
        <v>122</v>
      </c>
      <c r="E3328" s="112">
        <v>125</v>
      </c>
      <c r="F3328" s="112">
        <v>59</v>
      </c>
      <c r="G3328" s="112">
        <v>67</v>
      </c>
      <c r="H3328" s="112">
        <v>34</v>
      </c>
      <c r="I3328" s="112">
        <v>7</v>
      </c>
      <c r="J3328" s="112">
        <v>7</v>
      </c>
      <c r="K3328" s="112" t="s">
        <v>6952</v>
      </c>
      <c r="L3328" s="112">
        <v>17</v>
      </c>
      <c r="M3328" s="112">
        <v>17</v>
      </c>
      <c r="N3328" s="112" t="s">
        <v>6952</v>
      </c>
      <c r="O3328" s="119"/>
      <c r="P3328" s="119"/>
      <c r="Q3328" s="119"/>
    </row>
    <row r="3329" spans="1:17" s="110" customFormat="1" ht="31.75" customHeight="1">
      <c r="A3329" s="109" t="s">
        <v>7473</v>
      </c>
      <c r="B3329" s="109" t="s">
        <v>7474</v>
      </c>
      <c r="C3329" s="113">
        <v>2019</v>
      </c>
      <c r="D3329" s="112">
        <v>112</v>
      </c>
      <c r="E3329" s="112">
        <v>141.95293100000001</v>
      </c>
      <c r="F3329" s="112">
        <v>65.338712999999998</v>
      </c>
      <c r="G3329" s="112">
        <v>76.106999999999999</v>
      </c>
      <c r="H3329" s="112">
        <v>34.986784999999998</v>
      </c>
      <c r="I3329" s="112">
        <v>7.0482860000000001</v>
      </c>
      <c r="J3329" s="112">
        <v>7.0784520000000004</v>
      </c>
      <c r="K3329" s="112" t="s">
        <v>6952</v>
      </c>
      <c r="L3329" s="112">
        <v>18.117581999999999</v>
      </c>
      <c r="M3329" s="112">
        <v>18.619014</v>
      </c>
      <c r="N3329" s="112">
        <v>-0.50143300000000002</v>
      </c>
      <c r="O3329" s="119"/>
      <c r="P3329" s="119"/>
      <c r="Q3329" s="119"/>
    </row>
    <row r="3330" spans="1:17" s="110" customFormat="1" ht="31.75" customHeight="1">
      <c r="A3330" s="114" t="s">
        <v>7473</v>
      </c>
      <c r="B3330" s="114" t="s">
        <v>7474</v>
      </c>
      <c r="C3330" s="113">
        <v>2020</v>
      </c>
      <c r="D3330" s="112">
        <v>107</v>
      </c>
      <c r="E3330" s="112">
        <v>105.11995</v>
      </c>
      <c r="F3330" s="112">
        <v>59.002070000000003</v>
      </c>
      <c r="G3330" s="112">
        <v>48.091856999999997</v>
      </c>
      <c r="H3330" s="112">
        <v>37.059573</v>
      </c>
      <c r="I3330" s="112">
        <v>1.075256</v>
      </c>
      <c r="J3330" s="112">
        <v>1.116179</v>
      </c>
      <c r="K3330" s="112" t="s">
        <v>6952</v>
      </c>
      <c r="L3330" s="112">
        <v>16.205280999999999</v>
      </c>
      <c r="M3330" s="112">
        <v>14.716182</v>
      </c>
      <c r="N3330" s="112">
        <v>1.489098</v>
      </c>
    </row>
    <row r="3331" spans="1:17" s="110" customFormat="1" ht="31.75" customHeight="1">
      <c r="A3331" s="109" t="s">
        <v>7475</v>
      </c>
      <c r="B3331" s="109" t="s">
        <v>7476</v>
      </c>
      <c r="C3331" s="98">
        <v>2008</v>
      </c>
      <c r="D3331" s="99">
        <v>56</v>
      </c>
      <c r="E3331" s="99">
        <v>156</v>
      </c>
      <c r="F3331" s="99">
        <v>57</v>
      </c>
      <c r="G3331" s="99">
        <v>103</v>
      </c>
      <c r="H3331" s="99">
        <v>39</v>
      </c>
      <c r="I3331" s="99">
        <v>1</v>
      </c>
      <c r="J3331" s="99">
        <v>2</v>
      </c>
      <c r="K3331" s="99">
        <v>1</v>
      </c>
      <c r="L3331" s="99">
        <v>20</v>
      </c>
      <c r="M3331" s="99">
        <v>16</v>
      </c>
      <c r="N3331" s="99">
        <v>4</v>
      </c>
    </row>
    <row r="3332" spans="1:17" s="110" customFormat="1" ht="31.75" customHeight="1">
      <c r="A3332" s="109" t="s">
        <v>7475</v>
      </c>
      <c r="B3332" s="109" t="s">
        <v>7476</v>
      </c>
      <c r="C3332" s="98">
        <v>2009</v>
      </c>
      <c r="D3332" s="99">
        <v>50</v>
      </c>
      <c r="E3332" s="99">
        <v>148</v>
      </c>
      <c r="F3332" s="99">
        <v>71</v>
      </c>
      <c r="G3332" s="99">
        <v>75</v>
      </c>
      <c r="H3332" s="99">
        <v>40</v>
      </c>
      <c r="I3332" s="99">
        <v>4</v>
      </c>
      <c r="J3332" s="99">
        <v>4</v>
      </c>
      <c r="K3332" s="99" t="s">
        <v>6952</v>
      </c>
      <c r="L3332" s="99">
        <v>21</v>
      </c>
      <c r="M3332" s="99">
        <v>22</v>
      </c>
      <c r="N3332" s="99">
        <v>-1</v>
      </c>
      <c r="O3332" s="100"/>
      <c r="P3332" s="100"/>
      <c r="Q3332" s="100"/>
    </row>
    <row r="3333" spans="1:17" s="110" customFormat="1" ht="31.75" customHeight="1">
      <c r="A3333" s="109" t="s">
        <v>7475</v>
      </c>
      <c r="B3333" s="109" t="s">
        <v>7476</v>
      </c>
      <c r="C3333" s="98">
        <v>2010</v>
      </c>
      <c r="D3333" s="99">
        <v>42</v>
      </c>
      <c r="E3333" s="99">
        <v>153</v>
      </c>
      <c r="F3333" s="99">
        <v>75</v>
      </c>
      <c r="G3333" s="99">
        <v>77</v>
      </c>
      <c r="H3333" s="99">
        <v>34</v>
      </c>
      <c r="I3333" s="99" t="s">
        <v>6953</v>
      </c>
      <c r="J3333" s="99" t="s">
        <v>6953</v>
      </c>
      <c r="K3333" s="99">
        <v>2</v>
      </c>
      <c r="L3333" s="99">
        <v>16</v>
      </c>
      <c r="M3333" s="99">
        <v>17</v>
      </c>
      <c r="N3333" s="99">
        <v>-1</v>
      </c>
    </row>
    <row r="3334" spans="1:17" s="110" customFormat="1" ht="31.75" customHeight="1">
      <c r="A3334" s="109" t="s">
        <v>7475</v>
      </c>
      <c r="B3334" s="109" t="s">
        <v>7476</v>
      </c>
      <c r="C3334" s="98">
        <v>2011</v>
      </c>
      <c r="D3334" s="99">
        <v>37</v>
      </c>
      <c r="E3334" s="99">
        <v>156</v>
      </c>
      <c r="F3334" s="99">
        <v>82</v>
      </c>
      <c r="G3334" s="99">
        <v>80</v>
      </c>
      <c r="H3334" s="99">
        <v>26</v>
      </c>
      <c r="I3334" s="99" t="s">
        <v>6953</v>
      </c>
      <c r="J3334" s="99">
        <v>4</v>
      </c>
      <c r="K3334" s="99" t="s">
        <v>6953</v>
      </c>
      <c r="L3334" s="99" t="s">
        <v>6953</v>
      </c>
      <c r="M3334" s="99" t="s">
        <v>6953</v>
      </c>
      <c r="N3334" s="99" t="s">
        <v>6953</v>
      </c>
      <c r="O3334" s="100"/>
      <c r="P3334" s="100"/>
      <c r="Q3334" s="100"/>
    </row>
    <row r="3335" spans="1:17" s="110" customFormat="1" ht="31.75" customHeight="1">
      <c r="A3335" s="109" t="s">
        <v>7475</v>
      </c>
      <c r="B3335" s="109" t="s">
        <v>7476</v>
      </c>
      <c r="C3335" s="111">
        <v>2012</v>
      </c>
      <c r="D3335" s="112">
        <v>40</v>
      </c>
      <c r="E3335" s="112">
        <v>153</v>
      </c>
      <c r="F3335" s="112">
        <v>73</v>
      </c>
      <c r="G3335" s="112">
        <v>83</v>
      </c>
      <c r="H3335" s="112">
        <v>36</v>
      </c>
      <c r="I3335" s="99" t="s">
        <v>6953</v>
      </c>
      <c r="J3335" s="99" t="s">
        <v>6953</v>
      </c>
      <c r="K3335" s="112">
        <v>1</v>
      </c>
      <c r="L3335" s="112">
        <v>19</v>
      </c>
      <c r="M3335" s="112">
        <v>17</v>
      </c>
      <c r="N3335" s="112">
        <v>3</v>
      </c>
      <c r="O3335" s="100"/>
      <c r="P3335" s="100"/>
      <c r="Q3335" s="100"/>
    </row>
    <row r="3336" spans="1:17" s="110" customFormat="1" ht="31.75" customHeight="1">
      <c r="A3336" s="109" t="s">
        <v>7475</v>
      </c>
      <c r="B3336" s="109" t="s">
        <v>7476</v>
      </c>
      <c r="C3336" s="113">
        <v>2013</v>
      </c>
      <c r="D3336" s="112">
        <v>40</v>
      </c>
      <c r="E3336" s="112">
        <v>123</v>
      </c>
      <c r="F3336" s="112">
        <v>56</v>
      </c>
      <c r="G3336" s="112">
        <v>68</v>
      </c>
      <c r="H3336" s="112">
        <v>32</v>
      </c>
      <c r="I3336" s="112">
        <v>1</v>
      </c>
      <c r="J3336" s="112">
        <v>2</v>
      </c>
      <c r="K3336" s="112">
        <v>1</v>
      </c>
      <c r="L3336" s="112">
        <v>8</v>
      </c>
      <c r="M3336" s="112">
        <v>7</v>
      </c>
      <c r="N3336" s="112">
        <v>1</v>
      </c>
    </row>
    <row r="3337" spans="1:17" s="110" customFormat="1" ht="31.75" customHeight="1">
      <c r="A3337" s="109" t="s">
        <v>7475</v>
      </c>
      <c r="B3337" s="109" t="s">
        <v>7476</v>
      </c>
      <c r="C3337" s="113">
        <v>2014</v>
      </c>
      <c r="D3337" s="99">
        <v>37</v>
      </c>
      <c r="E3337" s="99">
        <v>140</v>
      </c>
      <c r="F3337" s="99">
        <v>59</v>
      </c>
      <c r="G3337" s="99">
        <v>79</v>
      </c>
      <c r="H3337" s="99">
        <v>42</v>
      </c>
      <c r="I3337" s="99" t="s">
        <v>6953</v>
      </c>
      <c r="J3337" s="99" t="s">
        <v>6953</v>
      </c>
      <c r="K3337" s="99" t="s">
        <v>6952</v>
      </c>
      <c r="L3337" s="99">
        <v>14</v>
      </c>
      <c r="M3337" s="99">
        <v>16</v>
      </c>
      <c r="N3337" s="99">
        <v>-2</v>
      </c>
    </row>
    <row r="3338" spans="1:17" s="110" customFormat="1" ht="31.75" customHeight="1">
      <c r="A3338" s="109" t="s">
        <v>7475</v>
      </c>
      <c r="B3338" s="109" t="s">
        <v>7476</v>
      </c>
      <c r="C3338" s="113">
        <v>2015</v>
      </c>
      <c r="D3338" s="112">
        <v>37</v>
      </c>
      <c r="E3338" s="112">
        <v>127</v>
      </c>
      <c r="F3338" s="112">
        <v>53</v>
      </c>
      <c r="G3338" s="112">
        <v>70</v>
      </c>
      <c r="H3338" s="112">
        <v>47</v>
      </c>
      <c r="I3338" s="112">
        <v>10</v>
      </c>
      <c r="J3338" s="112">
        <v>13</v>
      </c>
      <c r="K3338" s="112">
        <v>3</v>
      </c>
      <c r="L3338" s="112">
        <v>14</v>
      </c>
      <c r="M3338" s="112">
        <v>18</v>
      </c>
      <c r="N3338" s="112">
        <v>-4</v>
      </c>
      <c r="O3338" s="119"/>
      <c r="P3338" s="119"/>
      <c r="Q3338" s="119"/>
    </row>
    <row r="3339" spans="1:17" s="110" customFormat="1" ht="31.75" customHeight="1">
      <c r="A3339" s="109" t="s">
        <v>7475</v>
      </c>
      <c r="B3339" s="109" t="s">
        <v>7476</v>
      </c>
      <c r="C3339" s="113">
        <v>2016</v>
      </c>
      <c r="D3339" s="112">
        <v>40</v>
      </c>
      <c r="E3339" s="112">
        <v>123</v>
      </c>
      <c r="F3339" s="112">
        <v>48</v>
      </c>
      <c r="G3339" s="112">
        <v>75</v>
      </c>
      <c r="H3339" s="112">
        <v>35</v>
      </c>
      <c r="I3339" s="112">
        <v>4</v>
      </c>
      <c r="J3339" s="112">
        <v>4</v>
      </c>
      <c r="K3339" s="112" t="s">
        <v>6952</v>
      </c>
      <c r="L3339" s="112">
        <v>18</v>
      </c>
      <c r="M3339" s="112">
        <v>18</v>
      </c>
      <c r="N3339" s="112">
        <v>1</v>
      </c>
      <c r="O3339" s="119"/>
      <c r="P3339" s="119"/>
      <c r="Q3339" s="119"/>
    </row>
    <row r="3340" spans="1:17" s="110" customFormat="1" ht="31.75" customHeight="1">
      <c r="A3340" s="109" t="s">
        <v>7475</v>
      </c>
      <c r="B3340" s="109" t="s">
        <v>7476</v>
      </c>
      <c r="C3340" s="113">
        <v>2017</v>
      </c>
      <c r="D3340" s="112">
        <v>43</v>
      </c>
      <c r="E3340" s="112">
        <v>165</v>
      </c>
      <c r="F3340" s="112">
        <v>64</v>
      </c>
      <c r="G3340" s="112">
        <v>107</v>
      </c>
      <c r="H3340" s="112">
        <v>42</v>
      </c>
      <c r="I3340" s="112">
        <v>4</v>
      </c>
      <c r="J3340" s="112">
        <v>4</v>
      </c>
      <c r="K3340" s="112" t="s">
        <v>6952</v>
      </c>
      <c r="L3340" s="112">
        <v>24</v>
      </c>
      <c r="M3340" s="112">
        <v>18</v>
      </c>
      <c r="N3340" s="112">
        <v>6</v>
      </c>
      <c r="O3340" s="119"/>
      <c r="P3340" s="119"/>
      <c r="Q3340" s="119"/>
    </row>
    <row r="3341" spans="1:17" s="110" customFormat="1" ht="31.75" customHeight="1">
      <c r="A3341" s="109" t="s">
        <v>7475</v>
      </c>
      <c r="B3341" s="109" t="s">
        <v>7476</v>
      </c>
      <c r="C3341" s="113">
        <v>2018</v>
      </c>
      <c r="D3341" s="112">
        <v>38</v>
      </c>
      <c r="E3341" s="112">
        <v>170</v>
      </c>
      <c r="F3341" s="112">
        <v>64</v>
      </c>
      <c r="G3341" s="112">
        <v>112</v>
      </c>
      <c r="H3341" s="112">
        <v>44</v>
      </c>
      <c r="I3341" s="112">
        <v>1</v>
      </c>
      <c r="J3341" s="112">
        <v>2</v>
      </c>
      <c r="K3341" s="112">
        <v>1</v>
      </c>
      <c r="L3341" s="112">
        <v>31</v>
      </c>
      <c r="M3341" s="112">
        <v>25</v>
      </c>
      <c r="N3341" s="112">
        <v>7</v>
      </c>
      <c r="O3341" s="119"/>
      <c r="P3341" s="119"/>
      <c r="Q3341" s="119"/>
    </row>
    <row r="3342" spans="1:17" s="110" customFormat="1" ht="31.75" customHeight="1">
      <c r="A3342" s="109" t="s">
        <v>7475</v>
      </c>
      <c r="B3342" s="109" t="s">
        <v>7476</v>
      </c>
      <c r="C3342" s="113">
        <v>2019</v>
      </c>
      <c r="D3342" s="112">
        <v>40</v>
      </c>
      <c r="E3342" s="112">
        <v>155.50294099999999</v>
      </c>
      <c r="F3342" s="112">
        <v>64.151674999999997</v>
      </c>
      <c r="G3342" s="112">
        <v>90.944004000000007</v>
      </c>
      <c r="H3342" s="112">
        <v>46.217745000000001</v>
      </c>
      <c r="I3342" s="112">
        <v>2.6394150000000001</v>
      </c>
      <c r="J3342" s="112">
        <v>3.2041080000000002</v>
      </c>
      <c r="K3342" s="112">
        <v>0.564693</v>
      </c>
      <c r="L3342" s="112">
        <v>38.832183000000001</v>
      </c>
      <c r="M3342" s="112">
        <v>39.226998999999999</v>
      </c>
      <c r="N3342" s="112" t="s">
        <v>6952</v>
      </c>
    </row>
    <row r="3343" spans="1:17" s="110" customFormat="1" ht="31.75" customHeight="1">
      <c r="A3343" s="114" t="s">
        <v>7475</v>
      </c>
      <c r="B3343" s="114" t="s">
        <v>7476</v>
      </c>
      <c r="C3343" s="113">
        <v>2020</v>
      </c>
      <c r="D3343" s="112">
        <v>36</v>
      </c>
      <c r="E3343" s="112">
        <v>123.00947600000001</v>
      </c>
      <c r="F3343" s="112">
        <v>68.594927999999996</v>
      </c>
      <c r="G3343" s="112">
        <v>45.450493000000002</v>
      </c>
      <c r="H3343" s="112">
        <v>38.637568999999999</v>
      </c>
      <c r="I3343" s="112">
        <v>1.2355640000000001</v>
      </c>
      <c r="J3343" s="112">
        <v>1.3868780000000001</v>
      </c>
      <c r="K3343" s="112" t="s">
        <v>6952</v>
      </c>
      <c r="L3343" s="112">
        <v>34.300566000000003</v>
      </c>
      <c r="M3343" s="112">
        <v>43.314121</v>
      </c>
      <c r="N3343" s="112">
        <v>-9.0135550000000002</v>
      </c>
    </row>
    <row r="3344" spans="1:17" s="110" customFormat="1" ht="17.5" customHeight="1">
      <c r="A3344" s="109" t="s">
        <v>7477</v>
      </c>
      <c r="B3344" s="109" t="s">
        <v>7478</v>
      </c>
      <c r="C3344" s="98">
        <v>2008</v>
      </c>
      <c r="D3344" s="99">
        <v>1256</v>
      </c>
      <c r="E3344" s="99">
        <v>1741</v>
      </c>
      <c r="F3344" s="99">
        <v>1219</v>
      </c>
      <c r="G3344" s="99">
        <v>533</v>
      </c>
      <c r="H3344" s="99">
        <v>385</v>
      </c>
      <c r="I3344" s="99">
        <v>24</v>
      </c>
      <c r="J3344" s="99">
        <v>31</v>
      </c>
      <c r="K3344" s="99">
        <v>8</v>
      </c>
      <c r="L3344" s="99">
        <v>168</v>
      </c>
      <c r="M3344" s="99">
        <v>153</v>
      </c>
      <c r="N3344" s="99">
        <v>15</v>
      </c>
      <c r="O3344" s="100"/>
      <c r="P3344" s="100"/>
      <c r="Q3344" s="100"/>
    </row>
    <row r="3345" spans="1:17" s="110" customFormat="1" ht="17.5" customHeight="1">
      <c r="A3345" s="109" t="s">
        <v>7477</v>
      </c>
      <c r="B3345" s="109" t="s">
        <v>7478</v>
      </c>
      <c r="C3345" s="98">
        <v>2009</v>
      </c>
      <c r="D3345" s="99">
        <v>1139</v>
      </c>
      <c r="E3345" s="99">
        <v>898</v>
      </c>
      <c r="F3345" s="99">
        <v>431</v>
      </c>
      <c r="G3345" s="99">
        <v>467</v>
      </c>
      <c r="H3345" s="99">
        <v>214</v>
      </c>
      <c r="I3345" s="99">
        <v>4</v>
      </c>
      <c r="J3345" s="99">
        <v>6</v>
      </c>
      <c r="K3345" s="99">
        <v>2</v>
      </c>
      <c r="L3345" s="99">
        <v>46</v>
      </c>
      <c r="M3345" s="99">
        <v>49</v>
      </c>
      <c r="N3345" s="99">
        <v>-3</v>
      </c>
    </row>
    <row r="3346" spans="1:17" s="110" customFormat="1" ht="17.5" customHeight="1">
      <c r="A3346" s="109" t="s">
        <v>7477</v>
      </c>
      <c r="B3346" s="109" t="s">
        <v>7478</v>
      </c>
      <c r="C3346" s="98">
        <v>2010</v>
      </c>
      <c r="D3346" s="99">
        <v>975</v>
      </c>
      <c r="E3346" s="99">
        <v>524</v>
      </c>
      <c r="F3346" s="99">
        <v>295</v>
      </c>
      <c r="G3346" s="99">
        <v>263</v>
      </c>
      <c r="H3346" s="99">
        <v>169</v>
      </c>
      <c r="I3346" s="99">
        <v>17</v>
      </c>
      <c r="J3346" s="99">
        <v>21</v>
      </c>
      <c r="K3346" s="99">
        <v>4</v>
      </c>
      <c r="L3346" s="99">
        <v>100</v>
      </c>
      <c r="M3346" s="99">
        <v>66</v>
      </c>
      <c r="N3346" s="99">
        <v>34</v>
      </c>
      <c r="O3346" s="100"/>
      <c r="P3346" s="100"/>
      <c r="Q3346" s="100"/>
    </row>
    <row r="3347" spans="1:17" s="110" customFormat="1" ht="17.5" customHeight="1">
      <c r="A3347" s="109" t="s">
        <v>7477</v>
      </c>
      <c r="B3347" s="109" t="s">
        <v>7478</v>
      </c>
      <c r="C3347" s="98">
        <v>2011</v>
      </c>
      <c r="D3347" s="99">
        <v>889</v>
      </c>
      <c r="E3347" s="99">
        <v>653</v>
      </c>
      <c r="F3347" s="99">
        <v>331</v>
      </c>
      <c r="G3347" s="99">
        <v>338</v>
      </c>
      <c r="H3347" s="99">
        <v>143</v>
      </c>
      <c r="I3347" s="99">
        <v>10</v>
      </c>
      <c r="J3347" s="99">
        <v>12</v>
      </c>
      <c r="K3347" s="99">
        <v>2</v>
      </c>
      <c r="L3347" s="99">
        <v>89</v>
      </c>
      <c r="M3347" s="99">
        <v>75</v>
      </c>
      <c r="N3347" s="99">
        <v>14</v>
      </c>
      <c r="O3347" s="100"/>
      <c r="P3347" s="100"/>
      <c r="Q3347" s="100"/>
    </row>
    <row r="3348" spans="1:17" s="110" customFormat="1" ht="17.5" customHeight="1">
      <c r="A3348" s="109" t="s">
        <v>7477</v>
      </c>
      <c r="B3348" s="109" t="s">
        <v>7478</v>
      </c>
      <c r="C3348" s="111">
        <v>2012</v>
      </c>
      <c r="D3348" s="112">
        <v>750</v>
      </c>
      <c r="E3348" s="112">
        <v>599</v>
      </c>
      <c r="F3348" s="112">
        <v>163</v>
      </c>
      <c r="G3348" s="112">
        <v>425</v>
      </c>
      <c r="H3348" s="112">
        <v>119</v>
      </c>
      <c r="I3348" s="112">
        <v>4</v>
      </c>
      <c r="J3348" s="112">
        <v>5</v>
      </c>
      <c r="K3348" s="112">
        <v>1</v>
      </c>
      <c r="L3348" s="112">
        <v>39</v>
      </c>
      <c r="M3348" s="112">
        <v>49</v>
      </c>
      <c r="N3348" s="112">
        <v>-10</v>
      </c>
    </row>
    <row r="3349" spans="1:17" s="110" customFormat="1" ht="17.5" customHeight="1">
      <c r="A3349" s="109" t="s">
        <v>7477</v>
      </c>
      <c r="B3349" s="109" t="s">
        <v>7478</v>
      </c>
      <c r="C3349" s="113">
        <v>2013</v>
      </c>
      <c r="D3349" s="112">
        <v>660</v>
      </c>
      <c r="E3349" s="112">
        <v>342</v>
      </c>
      <c r="F3349" s="112">
        <v>137</v>
      </c>
      <c r="G3349" s="112">
        <v>199</v>
      </c>
      <c r="H3349" s="112">
        <v>75</v>
      </c>
      <c r="I3349" s="112">
        <v>3</v>
      </c>
      <c r="J3349" s="112">
        <v>4</v>
      </c>
      <c r="K3349" s="112">
        <v>1</v>
      </c>
      <c r="L3349" s="112">
        <v>32</v>
      </c>
      <c r="M3349" s="112">
        <v>36</v>
      </c>
      <c r="N3349" s="112">
        <v>-4</v>
      </c>
    </row>
    <row r="3350" spans="1:17" s="110" customFormat="1" ht="17.5" customHeight="1">
      <c r="A3350" s="109" t="s">
        <v>7477</v>
      </c>
      <c r="B3350" s="109" t="s">
        <v>7478</v>
      </c>
      <c r="C3350" s="113">
        <v>2014</v>
      </c>
      <c r="D3350" s="99">
        <v>585</v>
      </c>
      <c r="E3350" s="99">
        <v>327</v>
      </c>
      <c r="F3350" s="99">
        <v>148</v>
      </c>
      <c r="G3350" s="99">
        <v>183</v>
      </c>
      <c r="H3350" s="99">
        <v>66</v>
      </c>
      <c r="I3350" s="99">
        <v>34</v>
      </c>
      <c r="J3350" s="99">
        <v>34</v>
      </c>
      <c r="K3350" s="99">
        <v>1</v>
      </c>
      <c r="L3350" s="99">
        <v>34</v>
      </c>
      <c r="M3350" s="99">
        <v>30</v>
      </c>
      <c r="N3350" s="99">
        <v>4</v>
      </c>
      <c r="O3350" s="119"/>
      <c r="P3350" s="119"/>
      <c r="Q3350" s="119"/>
    </row>
    <row r="3351" spans="1:17" s="110" customFormat="1" ht="17.5" customHeight="1">
      <c r="A3351" s="109" t="s">
        <v>7477</v>
      </c>
      <c r="B3351" s="109" t="s">
        <v>7478</v>
      </c>
      <c r="C3351" s="113">
        <v>2015</v>
      </c>
      <c r="D3351" s="112">
        <v>535</v>
      </c>
      <c r="E3351" s="112">
        <v>351</v>
      </c>
      <c r="F3351" s="112">
        <v>165</v>
      </c>
      <c r="G3351" s="112">
        <v>186</v>
      </c>
      <c r="H3351" s="112">
        <v>74</v>
      </c>
      <c r="I3351" s="112">
        <v>7</v>
      </c>
      <c r="J3351" s="112">
        <v>7</v>
      </c>
      <c r="K3351" s="112" t="s">
        <v>6952</v>
      </c>
      <c r="L3351" s="112">
        <v>10</v>
      </c>
      <c r="M3351" s="112">
        <v>10</v>
      </c>
      <c r="N3351" s="112" t="s">
        <v>6952</v>
      </c>
      <c r="O3351" s="119"/>
      <c r="P3351" s="119"/>
      <c r="Q3351" s="119"/>
    </row>
    <row r="3352" spans="1:17" s="110" customFormat="1" ht="17.5" customHeight="1">
      <c r="A3352" s="109" t="s">
        <v>7477</v>
      </c>
      <c r="B3352" s="109" t="s">
        <v>7478</v>
      </c>
      <c r="C3352" s="113">
        <v>2016</v>
      </c>
      <c r="D3352" s="112">
        <v>503</v>
      </c>
      <c r="E3352" s="112">
        <v>224</v>
      </c>
      <c r="F3352" s="112">
        <v>142</v>
      </c>
      <c r="G3352" s="112">
        <v>98</v>
      </c>
      <c r="H3352" s="112">
        <v>137</v>
      </c>
      <c r="I3352" s="112">
        <v>3</v>
      </c>
      <c r="J3352" s="112">
        <v>4</v>
      </c>
      <c r="K3352" s="112">
        <v>1</v>
      </c>
      <c r="L3352" s="112">
        <v>33</v>
      </c>
      <c r="M3352" s="112">
        <v>18</v>
      </c>
      <c r="N3352" s="112">
        <v>15</v>
      </c>
      <c r="O3352" s="119"/>
      <c r="P3352" s="119"/>
      <c r="Q3352" s="119"/>
    </row>
    <row r="3353" spans="1:17" s="110" customFormat="1" ht="17.5" customHeight="1">
      <c r="A3353" s="109" t="s">
        <v>7477</v>
      </c>
      <c r="B3353" s="109" t="s">
        <v>7478</v>
      </c>
      <c r="C3353" s="113">
        <v>2017</v>
      </c>
      <c r="D3353" s="112">
        <v>479</v>
      </c>
      <c r="E3353" s="112">
        <v>232</v>
      </c>
      <c r="F3353" s="112">
        <v>123</v>
      </c>
      <c r="G3353" s="112">
        <v>106</v>
      </c>
      <c r="H3353" s="112">
        <v>51</v>
      </c>
      <c r="I3353" s="112">
        <v>5</v>
      </c>
      <c r="J3353" s="112">
        <v>5</v>
      </c>
      <c r="K3353" s="112" t="s">
        <v>6952</v>
      </c>
      <c r="L3353" s="112">
        <v>25</v>
      </c>
      <c r="M3353" s="112">
        <v>27</v>
      </c>
      <c r="N3353" s="112">
        <v>-3</v>
      </c>
      <c r="O3353" s="119"/>
      <c r="P3353" s="119"/>
      <c r="Q3353" s="119"/>
    </row>
    <row r="3354" spans="1:17" s="110" customFormat="1" ht="17.5" customHeight="1">
      <c r="A3354" s="109" t="s">
        <v>7477</v>
      </c>
      <c r="B3354" s="109" t="s">
        <v>7478</v>
      </c>
      <c r="C3354" s="113">
        <v>2018</v>
      </c>
      <c r="D3354" s="112">
        <v>451</v>
      </c>
      <c r="E3354" s="112">
        <v>233</v>
      </c>
      <c r="F3354" s="112">
        <v>113</v>
      </c>
      <c r="G3354" s="112">
        <v>116</v>
      </c>
      <c r="H3354" s="112">
        <v>58</v>
      </c>
      <c r="I3354" s="99" t="s">
        <v>6953</v>
      </c>
      <c r="J3354" s="99" t="s">
        <v>6953</v>
      </c>
      <c r="K3354" s="112" t="s">
        <v>6952</v>
      </c>
      <c r="L3354" s="99" t="s">
        <v>6953</v>
      </c>
      <c r="M3354" s="99" t="s">
        <v>6953</v>
      </c>
      <c r="N3354" s="99" t="s">
        <v>6953</v>
      </c>
    </row>
    <row r="3355" spans="1:17" s="110" customFormat="1" ht="17.5" customHeight="1">
      <c r="A3355" s="109" t="s">
        <v>7477</v>
      </c>
      <c r="B3355" s="109" t="s">
        <v>7478</v>
      </c>
      <c r="C3355" s="113">
        <v>2019</v>
      </c>
      <c r="D3355" s="112">
        <v>417</v>
      </c>
      <c r="E3355" s="112">
        <v>196.220744</v>
      </c>
      <c r="F3355" s="112">
        <v>116.691495</v>
      </c>
      <c r="G3355" s="112">
        <v>101.659791</v>
      </c>
      <c r="H3355" s="112">
        <v>33.209525999999997</v>
      </c>
      <c r="I3355" s="112">
        <v>-13.450564</v>
      </c>
      <c r="J3355" s="112">
        <v>16.807403000000001</v>
      </c>
      <c r="K3355" s="112">
        <v>30.257967000000001</v>
      </c>
      <c r="L3355" s="112" t="s">
        <v>6953</v>
      </c>
      <c r="M3355" s="112" t="s">
        <v>6953</v>
      </c>
      <c r="N3355" s="112" t="s">
        <v>6953</v>
      </c>
    </row>
    <row r="3356" spans="1:17" s="110" customFormat="1" ht="17.5" customHeight="1">
      <c r="A3356" s="114" t="s">
        <v>7477</v>
      </c>
      <c r="B3356" s="114" t="s">
        <v>7478</v>
      </c>
      <c r="C3356" s="113">
        <v>2020</v>
      </c>
      <c r="D3356" s="112">
        <v>387</v>
      </c>
      <c r="E3356" s="112">
        <v>194.274136</v>
      </c>
      <c r="F3356" s="112">
        <v>101.25255799999999</v>
      </c>
      <c r="G3356" s="112">
        <v>96.854370000000003</v>
      </c>
      <c r="H3356" s="112">
        <v>50.621307999999999</v>
      </c>
      <c r="I3356" s="112">
        <v>6.5267099999999996</v>
      </c>
      <c r="J3356" s="112">
        <v>6.7755919999999996</v>
      </c>
      <c r="K3356" s="112" t="s">
        <v>6952</v>
      </c>
      <c r="L3356" s="112">
        <v>33.626452</v>
      </c>
      <c r="M3356" s="112">
        <v>30.014133000000001</v>
      </c>
      <c r="N3356" s="112">
        <v>3.6123189999999998</v>
      </c>
      <c r="O3356" s="100"/>
      <c r="P3356" s="100"/>
      <c r="Q3356" s="100"/>
    </row>
    <row r="3357" spans="1:17" s="110" customFormat="1" ht="31.75" customHeight="1">
      <c r="A3357" s="109" t="s">
        <v>7479</v>
      </c>
      <c r="B3357" s="109" t="s">
        <v>7480</v>
      </c>
      <c r="C3357" s="98">
        <v>2008</v>
      </c>
      <c r="D3357" s="99">
        <v>824</v>
      </c>
      <c r="E3357" s="99">
        <v>891</v>
      </c>
      <c r="F3357" s="99">
        <v>410</v>
      </c>
      <c r="G3357" s="99">
        <v>498</v>
      </c>
      <c r="H3357" s="99">
        <v>259</v>
      </c>
      <c r="I3357" s="99">
        <v>15</v>
      </c>
      <c r="J3357" s="99">
        <v>22</v>
      </c>
      <c r="K3357" s="99">
        <v>7</v>
      </c>
      <c r="L3357" s="99">
        <v>107</v>
      </c>
      <c r="M3357" s="99">
        <v>87</v>
      </c>
      <c r="N3357" s="99">
        <v>20</v>
      </c>
    </row>
    <row r="3358" spans="1:17" s="110" customFormat="1" ht="31.75" customHeight="1">
      <c r="A3358" s="109" t="s">
        <v>7479</v>
      </c>
      <c r="B3358" s="109" t="s">
        <v>7480</v>
      </c>
      <c r="C3358" s="98">
        <v>2009</v>
      </c>
      <c r="D3358" s="99">
        <v>442</v>
      </c>
      <c r="E3358" s="99">
        <v>1095</v>
      </c>
      <c r="F3358" s="99">
        <v>561</v>
      </c>
      <c r="G3358" s="99">
        <v>510</v>
      </c>
      <c r="H3358" s="99">
        <v>268</v>
      </c>
      <c r="I3358" s="99">
        <v>17</v>
      </c>
      <c r="J3358" s="99">
        <v>20</v>
      </c>
      <c r="K3358" s="99">
        <v>3</v>
      </c>
      <c r="L3358" s="99">
        <v>114</v>
      </c>
      <c r="M3358" s="99">
        <v>138</v>
      </c>
      <c r="N3358" s="99">
        <v>-23</v>
      </c>
      <c r="O3358" s="100"/>
      <c r="P3358" s="100"/>
      <c r="Q3358" s="100"/>
    </row>
    <row r="3359" spans="1:17" s="110" customFormat="1" ht="31.75" customHeight="1">
      <c r="A3359" s="109" t="s">
        <v>7479</v>
      </c>
      <c r="B3359" s="109" t="s">
        <v>7480</v>
      </c>
      <c r="C3359" s="98">
        <v>2010</v>
      </c>
      <c r="D3359" s="99">
        <v>450</v>
      </c>
      <c r="E3359" s="99">
        <v>1238</v>
      </c>
      <c r="F3359" s="99">
        <v>473</v>
      </c>
      <c r="G3359" s="99">
        <v>762</v>
      </c>
      <c r="H3359" s="99">
        <v>252</v>
      </c>
      <c r="I3359" s="99">
        <v>17</v>
      </c>
      <c r="J3359" s="99">
        <v>21</v>
      </c>
      <c r="K3359" s="99">
        <v>4</v>
      </c>
      <c r="L3359" s="99">
        <v>146</v>
      </c>
      <c r="M3359" s="99">
        <v>150</v>
      </c>
      <c r="N3359" s="99">
        <v>-4</v>
      </c>
      <c r="O3359" s="100"/>
      <c r="P3359" s="100"/>
      <c r="Q3359" s="100"/>
    </row>
    <row r="3360" spans="1:17" s="110" customFormat="1" ht="31.75" customHeight="1">
      <c r="A3360" s="109" t="s">
        <v>7479</v>
      </c>
      <c r="B3360" s="109" t="s">
        <v>7480</v>
      </c>
      <c r="C3360" s="98">
        <v>2011</v>
      </c>
      <c r="D3360" s="99">
        <v>444</v>
      </c>
      <c r="E3360" s="99">
        <v>1471</v>
      </c>
      <c r="F3360" s="99">
        <v>636</v>
      </c>
      <c r="G3360" s="99">
        <v>861</v>
      </c>
      <c r="H3360" s="99">
        <v>292</v>
      </c>
      <c r="I3360" s="99">
        <v>44</v>
      </c>
      <c r="J3360" s="99">
        <v>47</v>
      </c>
      <c r="K3360" s="99">
        <v>4</v>
      </c>
      <c r="L3360" s="99">
        <v>211</v>
      </c>
      <c r="M3360" s="99">
        <v>190</v>
      </c>
      <c r="N3360" s="99">
        <v>21</v>
      </c>
    </row>
    <row r="3361" spans="1:17" s="110" customFormat="1" ht="31.75" customHeight="1">
      <c r="A3361" s="109" t="s">
        <v>7479</v>
      </c>
      <c r="B3361" s="109" t="s">
        <v>7480</v>
      </c>
      <c r="C3361" s="111">
        <v>2012</v>
      </c>
      <c r="D3361" s="112">
        <v>456</v>
      </c>
      <c r="E3361" s="112">
        <v>1313</v>
      </c>
      <c r="F3361" s="112">
        <v>544</v>
      </c>
      <c r="G3361" s="112">
        <v>782</v>
      </c>
      <c r="H3361" s="112">
        <v>323</v>
      </c>
      <c r="I3361" s="112">
        <v>29</v>
      </c>
      <c r="J3361" s="112">
        <v>34</v>
      </c>
      <c r="K3361" s="112">
        <v>4</v>
      </c>
      <c r="L3361" s="112">
        <v>174</v>
      </c>
      <c r="M3361" s="112">
        <v>161</v>
      </c>
      <c r="N3361" s="112">
        <v>13</v>
      </c>
    </row>
    <row r="3362" spans="1:17" s="110" customFormat="1" ht="31.75" customHeight="1">
      <c r="A3362" s="109" t="s">
        <v>7479</v>
      </c>
      <c r="B3362" s="109" t="s">
        <v>7480</v>
      </c>
      <c r="C3362" s="113">
        <v>2013</v>
      </c>
      <c r="D3362" s="112">
        <v>476</v>
      </c>
      <c r="E3362" s="112">
        <v>1294</v>
      </c>
      <c r="F3362" s="112">
        <v>560</v>
      </c>
      <c r="G3362" s="112">
        <v>735</v>
      </c>
      <c r="H3362" s="112">
        <v>333</v>
      </c>
      <c r="I3362" s="112">
        <v>39</v>
      </c>
      <c r="J3362" s="112">
        <v>45</v>
      </c>
      <c r="K3362" s="112">
        <v>7</v>
      </c>
      <c r="L3362" s="112">
        <v>178</v>
      </c>
      <c r="M3362" s="112">
        <v>178</v>
      </c>
      <c r="N3362" s="112" t="s">
        <v>6952</v>
      </c>
      <c r="O3362" s="119"/>
      <c r="P3362" s="119"/>
      <c r="Q3362" s="119"/>
    </row>
    <row r="3363" spans="1:17" s="110" customFormat="1" ht="31.75" customHeight="1">
      <c r="A3363" s="109" t="s">
        <v>7479</v>
      </c>
      <c r="B3363" s="109" t="s">
        <v>7480</v>
      </c>
      <c r="C3363" s="113">
        <v>2014</v>
      </c>
      <c r="D3363" s="99">
        <v>487</v>
      </c>
      <c r="E3363" s="99">
        <v>1810</v>
      </c>
      <c r="F3363" s="99">
        <v>772</v>
      </c>
      <c r="G3363" s="99">
        <v>1048</v>
      </c>
      <c r="H3363" s="99">
        <v>414</v>
      </c>
      <c r="I3363" s="99">
        <v>57</v>
      </c>
      <c r="J3363" s="99">
        <v>67</v>
      </c>
      <c r="K3363" s="99">
        <v>10</v>
      </c>
      <c r="L3363" s="99">
        <v>300</v>
      </c>
      <c r="M3363" s="99">
        <v>290</v>
      </c>
      <c r="N3363" s="99">
        <v>10</v>
      </c>
      <c r="O3363" s="119"/>
      <c r="P3363" s="119"/>
      <c r="Q3363" s="119"/>
    </row>
    <row r="3364" spans="1:17" s="110" customFormat="1" ht="31.75" customHeight="1">
      <c r="A3364" s="109" t="s">
        <v>7479</v>
      </c>
      <c r="B3364" s="109" t="s">
        <v>7480</v>
      </c>
      <c r="C3364" s="113">
        <v>2015</v>
      </c>
      <c r="D3364" s="112">
        <v>480</v>
      </c>
      <c r="E3364" s="112">
        <v>1533</v>
      </c>
      <c r="F3364" s="112">
        <v>619</v>
      </c>
      <c r="G3364" s="112">
        <v>905</v>
      </c>
      <c r="H3364" s="112">
        <v>370</v>
      </c>
      <c r="I3364" s="112">
        <v>48</v>
      </c>
      <c r="J3364" s="112">
        <v>50</v>
      </c>
      <c r="K3364" s="112">
        <v>2</v>
      </c>
      <c r="L3364" s="112">
        <v>197</v>
      </c>
      <c r="M3364" s="112">
        <v>208</v>
      </c>
      <c r="N3364" s="112">
        <v>-11</v>
      </c>
      <c r="O3364" s="119"/>
      <c r="P3364" s="119"/>
      <c r="Q3364" s="119"/>
    </row>
    <row r="3365" spans="1:17" s="110" customFormat="1" ht="31.75" customHeight="1">
      <c r="A3365" s="109" t="s">
        <v>7479</v>
      </c>
      <c r="B3365" s="109" t="s">
        <v>7480</v>
      </c>
      <c r="C3365" s="113">
        <v>2016</v>
      </c>
      <c r="D3365" s="112">
        <v>496</v>
      </c>
      <c r="E3365" s="112">
        <v>1672</v>
      </c>
      <c r="F3365" s="112">
        <v>794</v>
      </c>
      <c r="G3365" s="112">
        <v>885</v>
      </c>
      <c r="H3365" s="112">
        <v>405</v>
      </c>
      <c r="I3365" s="112">
        <v>46</v>
      </c>
      <c r="J3365" s="112">
        <v>48</v>
      </c>
      <c r="K3365" s="112">
        <v>2</v>
      </c>
      <c r="L3365" s="112">
        <v>213</v>
      </c>
      <c r="M3365" s="112">
        <v>216</v>
      </c>
      <c r="N3365" s="112">
        <v>-3</v>
      </c>
      <c r="O3365" s="119"/>
      <c r="P3365" s="119"/>
      <c r="Q3365" s="119"/>
    </row>
    <row r="3366" spans="1:17" s="110" customFormat="1" ht="31.75" customHeight="1">
      <c r="A3366" s="109" t="s">
        <v>7479</v>
      </c>
      <c r="B3366" s="109" t="s">
        <v>7480</v>
      </c>
      <c r="C3366" s="113">
        <v>2017</v>
      </c>
      <c r="D3366" s="112">
        <v>520</v>
      </c>
      <c r="E3366" s="112">
        <v>1644</v>
      </c>
      <c r="F3366" s="112">
        <v>759</v>
      </c>
      <c r="G3366" s="112">
        <v>905</v>
      </c>
      <c r="H3366" s="112">
        <v>392</v>
      </c>
      <c r="I3366" s="112">
        <v>31</v>
      </c>
      <c r="J3366" s="112">
        <v>38</v>
      </c>
      <c r="K3366" s="112">
        <v>7</v>
      </c>
      <c r="L3366" s="112">
        <v>251</v>
      </c>
      <c r="M3366" s="112">
        <v>231</v>
      </c>
      <c r="N3366" s="112">
        <v>20</v>
      </c>
    </row>
    <row r="3367" spans="1:17" s="110" customFormat="1" ht="31.75" customHeight="1">
      <c r="A3367" s="109" t="s">
        <v>7479</v>
      </c>
      <c r="B3367" s="109" t="s">
        <v>7480</v>
      </c>
      <c r="C3367" s="113">
        <v>2018</v>
      </c>
      <c r="D3367" s="112">
        <v>543</v>
      </c>
      <c r="E3367" s="112">
        <v>1795</v>
      </c>
      <c r="F3367" s="112">
        <v>823</v>
      </c>
      <c r="G3367" s="112">
        <v>1020</v>
      </c>
      <c r="H3367" s="112">
        <v>403</v>
      </c>
      <c r="I3367" s="112">
        <v>77</v>
      </c>
      <c r="J3367" s="112">
        <v>85</v>
      </c>
      <c r="K3367" s="112">
        <v>9</v>
      </c>
      <c r="L3367" s="112">
        <v>258</v>
      </c>
      <c r="M3367" s="112">
        <v>224</v>
      </c>
      <c r="N3367" s="112">
        <v>33</v>
      </c>
    </row>
    <row r="3368" spans="1:17" s="110" customFormat="1" ht="31.75" customHeight="1">
      <c r="A3368" s="109" t="s">
        <v>7479</v>
      </c>
      <c r="B3368" s="109" t="s">
        <v>7480</v>
      </c>
      <c r="C3368" s="113">
        <v>2019</v>
      </c>
      <c r="D3368" s="112">
        <v>545</v>
      </c>
      <c r="E3368" s="112">
        <v>1925.9936230000001</v>
      </c>
      <c r="F3368" s="112">
        <v>950.29527199999995</v>
      </c>
      <c r="G3368" s="112">
        <v>980.57373299999995</v>
      </c>
      <c r="H3368" s="112">
        <v>498.092805</v>
      </c>
      <c r="I3368" s="112">
        <v>109.720034</v>
      </c>
      <c r="J3368" s="112">
        <v>122.253557</v>
      </c>
      <c r="K3368" s="112">
        <v>12.533524</v>
      </c>
      <c r="L3368" s="112">
        <v>294.44913500000001</v>
      </c>
      <c r="M3368" s="112">
        <v>290.36723899999998</v>
      </c>
      <c r="N3368" s="112">
        <v>4.0818960000000004</v>
      </c>
      <c r="O3368" s="100"/>
      <c r="P3368" s="100"/>
      <c r="Q3368" s="100"/>
    </row>
    <row r="3369" spans="1:17" s="110" customFormat="1" ht="31.75" customHeight="1">
      <c r="A3369" s="114" t="s">
        <v>7479</v>
      </c>
      <c r="B3369" s="109" t="s">
        <v>7480</v>
      </c>
      <c r="C3369" s="113">
        <v>2020</v>
      </c>
      <c r="D3369" s="112">
        <v>559</v>
      </c>
      <c r="E3369" s="112">
        <v>1790.4554479999999</v>
      </c>
      <c r="F3369" s="112">
        <v>788.739237</v>
      </c>
      <c r="G3369" s="112">
        <v>1006.390879</v>
      </c>
      <c r="H3369" s="112">
        <v>424.72815400000002</v>
      </c>
      <c r="I3369" s="112">
        <v>38.990743999999999</v>
      </c>
      <c r="J3369" s="112">
        <v>69.818612999999999</v>
      </c>
      <c r="K3369" s="112">
        <v>30.827869</v>
      </c>
      <c r="L3369" s="112">
        <v>311.313241</v>
      </c>
      <c r="M3369" s="112">
        <v>306.72806400000002</v>
      </c>
      <c r="N3369" s="112">
        <v>4.5851769999999998</v>
      </c>
    </row>
    <row r="3370" spans="1:17" s="110" customFormat="1" ht="31.75" customHeight="1">
      <c r="A3370" s="109" t="s">
        <v>7481</v>
      </c>
      <c r="B3370" s="109" t="s">
        <v>7482</v>
      </c>
      <c r="C3370" s="98">
        <v>2008</v>
      </c>
      <c r="D3370" s="99">
        <v>3315</v>
      </c>
      <c r="E3370" s="99">
        <v>50553</v>
      </c>
      <c r="F3370" s="99">
        <v>9999</v>
      </c>
      <c r="G3370" s="99">
        <v>40646</v>
      </c>
      <c r="H3370" s="99">
        <v>5780</v>
      </c>
      <c r="I3370" s="99">
        <v>1252</v>
      </c>
      <c r="J3370" s="99">
        <v>1434</v>
      </c>
      <c r="K3370" s="99">
        <v>182</v>
      </c>
      <c r="L3370" s="99">
        <v>3509</v>
      </c>
      <c r="M3370" s="99">
        <v>3365</v>
      </c>
      <c r="N3370" s="99">
        <v>145</v>
      </c>
      <c r="O3370" s="100"/>
      <c r="P3370" s="100"/>
      <c r="Q3370" s="100"/>
    </row>
    <row r="3371" spans="1:17" s="110" customFormat="1" ht="31.75" customHeight="1">
      <c r="A3371" s="109" t="s">
        <v>7481</v>
      </c>
      <c r="B3371" s="109" t="s">
        <v>7482</v>
      </c>
      <c r="C3371" s="98">
        <v>2009</v>
      </c>
      <c r="D3371" s="99">
        <v>2999</v>
      </c>
      <c r="E3371" s="99">
        <v>38556</v>
      </c>
      <c r="F3371" s="99">
        <v>5989</v>
      </c>
      <c r="G3371" s="99">
        <v>32063</v>
      </c>
      <c r="H3371" s="99">
        <v>4969</v>
      </c>
      <c r="I3371" s="99">
        <v>1161</v>
      </c>
      <c r="J3371" s="99">
        <v>1329</v>
      </c>
      <c r="K3371" s="99">
        <v>168</v>
      </c>
      <c r="L3371" s="99">
        <v>2765</v>
      </c>
      <c r="M3371" s="99">
        <v>3212</v>
      </c>
      <c r="N3371" s="99">
        <v>-446</v>
      </c>
      <c r="O3371" s="100"/>
      <c r="P3371" s="100"/>
      <c r="Q3371" s="100"/>
    </row>
    <row r="3372" spans="1:17" s="110" customFormat="1" ht="31.75" customHeight="1">
      <c r="A3372" s="109" t="s">
        <v>7481</v>
      </c>
      <c r="B3372" s="109" t="s">
        <v>7482</v>
      </c>
      <c r="C3372" s="98">
        <v>2010</v>
      </c>
      <c r="D3372" s="99">
        <v>2794</v>
      </c>
      <c r="E3372" s="99">
        <v>46500</v>
      </c>
      <c r="F3372" s="99">
        <v>10045</v>
      </c>
      <c r="G3372" s="99">
        <v>36799</v>
      </c>
      <c r="H3372" s="99">
        <v>4922</v>
      </c>
      <c r="I3372" s="99">
        <v>1001</v>
      </c>
      <c r="J3372" s="99">
        <v>1128</v>
      </c>
      <c r="K3372" s="99">
        <v>127</v>
      </c>
      <c r="L3372" s="99">
        <v>3196</v>
      </c>
      <c r="M3372" s="99">
        <v>2771</v>
      </c>
      <c r="N3372" s="99">
        <v>425</v>
      </c>
    </row>
    <row r="3373" spans="1:17" s="110" customFormat="1" ht="31.75" customHeight="1">
      <c r="A3373" s="109" t="s">
        <v>7481</v>
      </c>
      <c r="B3373" s="109" t="s">
        <v>7482</v>
      </c>
      <c r="C3373" s="98">
        <v>2011</v>
      </c>
      <c r="D3373" s="99">
        <v>2703</v>
      </c>
      <c r="E3373" s="99">
        <v>54375</v>
      </c>
      <c r="F3373" s="99">
        <v>11253</v>
      </c>
      <c r="G3373" s="99">
        <v>43546</v>
      </c>
      <c r="H3373" s="99">
        <v>5077</v>
      </c>
      <c r="I3373" s="99">
        <v>1662</v>
      </c>
      <c r="J3373" s="99">
        <v>1715</v>
      </c>
      <c r="K3373" s="99">
        <v>53</v>
      </c>
      <c r="L3373" s="99">
        <v>3770</v>
      </c>
      <c r="M3373" s="99">
        <v>3277</v>
      </c>
      <c r="N3373" s="99">
        <v>492</v>
      </c>
    </row>
    <row r="3374" spans="1:17" s="110" customFormat="1" ht="31.75" customHeight="1">
      <c r="A3374" s="109" t="s">
        <v>7481</v>
      </c>
      <c r="B3374" s="109" t="s">
        <v>7482</v>
      </c>
      <c r="C3374" s="111">
        <v>2012</v>
      </c>
      <c r="D3374" s="112">
        <v>2614</v>
      </c>
      <c r="E3374" s="112">
        <v>55353</v>
      </c>
      <c r="F3374" s="112">
        <v>10856</v>
      </c>
      <c r="G3374" s="112">
        <v>44758</v>
      </c>
      <c r="H3374" s="112">
        <v>5889</v>
      </c>
      <c r="I3374" s="112">
        <v>1650</v>
      </c>
      <c r="J3374" s="112">
        <v>1945</v>
      </c>
      <c r="K3374" s="112">
        <v>295</v>
      </c>
      <c r="L3374" s="112">
        <v>4092</v>
      </c>
      <c r="M3374" s="112">
        <v>3755</v>
      </c>
      <c r="N3374" s="112">
        <v>337</v>
      </c>
      <c r="O3374" s="119"/>
      <c r="P3374" s="119"/>
      <c r="Q3374" s="119"/>
    </row>
    <row r="3375" spans="1:17" s="110" customFormat="1" ht="31.75" customHeight="1">
      <c r="A3375" s="109" t="s">
        <v>7481</v>
      </c>
      <c r="B3375" s="109" t="s">
        <v>7482</v>
      </c>
      <c r="C3375" s="113">
        <v>2013</v>
      </c>
      <c r="D3375" s="112">
        <v>2672</v>
      </c>
      <c r="E3375" s="112">
        <v>60654</v>
      </c>
      <c r="F3375" s="112">
        <v>14592</v>
      </c>
      <c r="G3375" s="112">
        <v>46142</v>
      </c>
      <c r="H3375" s="112">
        <v>6060</v>
      </c>
      <c r="I3375" s="99" t="s">
        <v>6953</v>
      </c>
      <c r="J3375" s="112">
        <v>1525</v>
      </c>
      <c r="K3375" s="99" t="s">
        <v>6953</v>
      </c>
      <c r="L3375" s="112">
        <v>4192</v>
      </c>
      <c r="M3375" s="112">
        <v>4065</v>
      </c>
      <c r="N3375" s="112">
        <v>128</v>
      </c>
      <c r="O3375" s="119"/>
      <c r="P3375" s="119"/>
      <c r="Q3375" s="119"/>
    </row>
    <row r="3376" spans="1:17" s="110" customFormat="1" ht="31.75" customHeight="1">
      <c r="A3376" s="109" t="s">
        <v>7481</v>
      </c>
      <c r="B3376" s="109" t="s">
        <v>7482</v>
      </c>
      <c r="C3376" s="113">
        <v>2014</v>
      </c>
      <c r="D3376" s="99">
        <v>2749</v>
      </c>
      <c r="E3376" s="99">
        <v>63224</v>
      </c>
      <c r="F3376" s="99">
        <v>18873</v>
      </c>
      <c r="G3376" s="99">
        <v>46449</v>
      </c>
      <c r="H3376" s="99">
        <v>6515</v>
      </c>
      <c r="I3376" s="99">
        <v>3309</v>
      </c>
      <c r="J3376" s="99">
        <v>3369</v>
      </c>
      <c r="K3376" s="99">
        <v>60</v>
      </c>
      <c r="L3376" s="99">
        <v>4274</v>
      </c>
      <c r="M3376" s="99">
        <v>4076</v>
      </c>
      <c r="N3376" s="99">
        <v>198</v>
      </c>
      <c r="O3376" s="119"/>
      <c r="P3376" s="119"/>
      <c r="Q3376" s="119"/>
    </row>
    <row r="3377" spans="1:17" s="110" customFormat="1" ht="31.75" customHeight="1">
      <c r="A3377" s="109" t="s">
        <v>7481</v>
      </c>
      <c r="B3377" s="109" t="s">
        <v>7482</v>
      </c>
      <c r="C3377" s="113">
        <v>2015</v>
      </c>
      <c r="D3377" s="112">
        <v>2859</v>
      </c>
      <c r="E3377" s="112">
        <v>66936</v>
      </c>
      <c r="F3377" s="112">
        <v>16933</v>
      </c>
      <c r="G3377" s="112">
        <v>52213</v>
      </c>
      <c r="H3377" s="112">
        <v>7558</v>
      </c>
      <c r="I3377" s="112">
        <v>3281</v>
      </c>
      <c r="J3377" s="112">
        <v>3433</v>
      </c>
      <c r="K3377" s="112">
        <v>152</v>
      </c>
      <c r="L3377" s="112">
        <v>4647</v>
      </c>
      <c r="M3377" s="112">
        <v>4212</v>
      </c>
      <c r="N3377" s="112">
        <v>435</v>
      </c>
      <c r="O3377" s="119"/>
      <c r="P3377" s="119"/>
      <c r="Q3377" s="119"/>
    </row>
    <row r="3378" spans="1:17" s="110" customFormat="1" ht="31.75" customHeight="1">
      <c r="A3378" s="109" t="s">
        <v>7481</v>
      </c>
      <c r="B3378" s="109" t="s">
        <v>7482</v>
      </c>
      <c r="C3378" s="113">
        <v>2016</v>
      </c>
      <c r="D3378" s="112">
        <v>3236</v>
      </c>
      <c r="E3378" s="112">
        <v>74160</v>
      </c>
      <c r="F3378" s="112">
        <v>16670</v>
      </c>
      <c r="G3378" s="112">
        <v>58302</v>
      </c>
      <c r="H3378" s="112">
        <v>7760</v>
      </c>
      <c r="I3378" s="112">
        <v>2446</v>
      </c>
      <c r="J3378" s="112">
        <v>2524</v>
      </c>
      <c r="K3378" s="112">
        <v>78</v>
      </c>
      <c r="L3378" s="112">
        <v>5023</v>
      </c>
      <c r="M3378" s="112">
        <v>4642</v>
      </c>
      <c r="N3378" s="112">
        <v>381</v>
      </c>
    </row>
    <row r="3379" spans="1:17" s="110" customFormat="1" ht="31.75" customHeight="1">
      <c r="A3379" s="109" t="s">
        <v>7481</v>
      </c>
      <c r="B3379" s="109" t="s">
        <v>7482</v>
      </c>
      <c r="C3379" s="113">
        <v>2017</v>
      </c>
      <c r="D3379" s="112">
        <v>3325</v>
      </c>
      <c r="E3379" s="112">
        <v>77179</v>
      </c>
      <c r="F3379" s="112">
        <v>15306</v>
      </c>
      <c r="G3379" s="112">
        <v>61747</v>
      </c>
      <c r="H3379" s="112">
        <v>7634</v>
      </c>
      <c r="I3379" s="112">
        <v>3265</v>
      </c>
      <c r="J3379" s="112">
        <v>3396</v>
      </c>
      <c r="K3379" s="112">
        <v>131</v>
      </c>
      <c r="L3379" s="112">
        <v>4801</v>
      </c>
      <c r="M3379" s="112">
        <v>5053</v>
      </c>
      <c r="N3379" s="112">
        <v>-253</v>
      </c>
    </row>
    <row r="3380" spans="1:17" s="110" customFormat="1" ht="31.75" customHeight="1">
      <c r="A3380" s="109" t="s">
        <v>7481</v>
      </c>
      <c r="B3380" s="109" t="s">
        <v>7482</v>
      </c>
      <c r="C3380" s="113">
        <v>2018</v>
      </c>
      <c r="D3380" s="112">
        <v>3428</v>
      </c>
      <c r="E3380" s="112">
        <v>78972</v>
      </c>
      <c r="F3380" s="112">
        <v>15302</v>
      </c>
      <c r="G3380" s="112">
        <v>63971</v>
      </c>
      <c r="H3380" s="112">
        <v>8281</v>
      </c>
      <c r="I3380" s="112">
        <v>3375</v>
      </c>
      <c r="J3380" s="112">
        <v>3408</v>
      </c>
      <c r="K3380" s="112">
        <v>33</v>
      </c>
      <c r="L3380" s="112">
        <v>5046</v>
      </c>
      <c r="M3380" s="112">
        <v>4904</v>
      </c>
      <c r="N3380" s="112">
        <v>141</v>
      </c>
      <c r="O3380" s="100"/>
      <c r="P3380" s="100"/>
      <c r="Q3380" s="100"/>
    </row>
    <row r="3381" spans="1:17" s="110" customFormat="1" ht="31.75" customHeight="1">
      <c r="A3381" s="109" t="s">
        <v>7481</v>
      </c>
      <c r="B3381" s="109" t="s">
        <v>7482</v>
      </c>
      <c r="C3381" s="113">
        <v>2019</v>
      </c>
      <c r="D3381" s="112">
        <v>3462</v>
      </c>
      <c r="E3381" s="112">
        <v>74174.519616999998</v>
      </c>
      <c r="F3381" s="112">
        <v>13933.972529000001</v>
      </c>
      <c r="G3381" s="112">
        <v>60587.336085000003</v>
      </c>
      <c r="H3381" s="112">
        <v>8609.8115020000005</v>
      </c>
      <c r="I3381" s="112">
        <v>2720.8478220000002</v>
      </c>
      <c r="J3381" s="112">
        <v>2770.9862560000001</v>
      </c>
      <c r="K3381" s="112">
        <v>50.138435000000001</v>
      </c>
      <c r="L3381" s="112">
        <v>5254.9892339999997</v>
      </c>
      <c r="M3381" s="112">
        <v>4989.1309419999998</v>
      </c>
      <c r="N3381" s="112">
        <v>265.85829200000001</v>
      </c>
    </row>
    <row r="3382" spans="1:17" s="110" customFormat="1" ht="31.75" customHeight="1">
      <c r="A3382" s="114" t="s">
        <v>7481</v>
      </c>
      <c r="B3382" s="114" t="s">
        <v>7482</v>
      </c>
      <c r="C3382" s="113">
        <v>2020</v>
      </c>
      <c r="D3382" s="112">
        <v>3450</v>
      </c>
      <c r="E3382" s="112">
        <v>58144.214036999998</v>
      </c>
      <c r="F3382" s="112">
        <v>11205.062467</v>
      </c>
      <c r="G3382" s="112">
        <v>46625.444449000002</v>
      </c>
      <c r="H3382" s="112">
        <v>7582.7744190000003</v>
      </c>
      <c r="I3382" s="112">
        <v>1868.8436810000001</v>
      </c>
      <c r="J3382" s="112">
        <v>2006.7026149999999</v>
      </c>
      <c r="K3382" s="112">
        <v>137.858935</v>
      </c>
      <c r="L3382" s="112">
        <v>5000.0122410000004</v>
      </c>
      <c r="M3382" s="112">
        <v>5290.1129799999999</v>
      </c>
      <c r="N3382" s="112">
        <v>-290.10073899999998</v>
      </c>
      <c r="O3382" s="100"/>
      <c r="P3382" s="100"/>
      <c r="Q3382" s="100"/>
    </row>
    <row r="3383" spans="1:17" s="110" customFormat="1" ht="17.5" customHeight="1">
      <c r="A3383" s="109" t="s">
        <v>7483</v>
      </c>
      <c r="B3383" s="109" t="s">
        <v>7484</v>
      </c>
      <c r="C3383" s="98">
        <v>2008</v>
      </c>
      <c r="D3383" s="99">
        <v>750</v>
      </c>
      <c r="E3383" s="99">
        <v>36520</v>
      </c>
      <c r="F3383" s="99">
        <v>6392</v>
      </c>
      <c r="G3383" s="99">
        <v>30232</v>
      </c>
      <c r="H3383" s="99">
        <v>3124</v>
      </c>
      <c r="I3383" s="99">
        <v>1070</v>
      </c>
      <c r="J3383" s="99">
        <v>1118</v>
      </c>
      <c r="K3383" s="99">
        <v>48</v>
      </c>
      <c r="L3383" s="99">
        <v>2267</v>
      </c>
      <c r="M3383" s="99">
        <v>2126</v>
      </c>
      <c r="N3383" s="99">
        <v>141</v>
      </c>
      <c r="O3383" s="100"/>
      <c r="P3383" s="100"/>
      <c r="Q3383" s="100"/>
    </row>
    <row r="3384" spans="1:17" s="110" customFormat="1" ht="17.5" customHeight="1">
      <c r="A3384" s="109" t="s">
        <v>7483</v>
      </c>
      <c r="B3384" s="109" t="s">
        <v>7484</v>
      </c>
      <c r="C3384" s="98">
        <v>2009</v>
      </c>
      <c r="D3384" s="99">
        <v>711</v>
      </c>
      <c r="E3384" s="99">
        <v>28378</v>
      </c>
      <c r="F3384" s="99">
        <v>3398</v>
      </c>
      <c r="G3384" s="99">
        <v>24673</v>
      </c>
      <c r="H3384" s="99">
        <v>2926</v>
      </c>
      <c r="I3384" s="99">
        <v>1113</v>
      </c>
      <c r="J3384" s="99">
        <v>1160</v>
      </c>
      <c r="K3384" s="99">
        <v>47</v>
      </c>
      <c r="L3384" s="99">
        <v>1893</v>
      </c>
      <c r="M3384" s="99">
        <v>2146</v>
      </c>
      <c r="N3384" s="99">
        <v>-253</v>
      </c>
    </row>
    <row r="3385" spans="1:17" s="110" customFormat="1" ht="17.5" customHeight="1">
      <c r="A3385" s="109" t="s">
        <v>7483</v>
      </c>
      <c r="B3385" s="109" t="s">
        <v>7484</v>
      </c>
      <c r="C3385" s="98">
        <v>2010</v>
      </c>
      <c r="D3385" s="99">
        <v>648</v>
      </c>
      <c r="E3385" s="99">
        <v>35022</v>
      </c>
      <c r="F3385" s="99">
        <v>6462</v>
      </c>
      <c r="G3385" s="99">
        <v>28837</v>
      </c>
      <c r="H3385" s="99">
        <v>2923</v>
      </c>
      <c r="I3385" s="99">
        <v>856</v>
      </c>
      <c r="J3385" s="99">
        <v>874</v>
      </c>
      <c r="K3385" s="99">
        <v>19</v>
      </c>
      <c r="L3385" s="99">
        <v>2191</v>
      </c>
      <c r="M3385" s="99">
        <v>1838</v>
      </c>
      <c r="N3385" s="99">
        <v>352</v>
      </c>
    </row>
    <row r="3386" spans="1:17" s="110" customFormat="1" ht="17.5" customHeight="1">
      <c r="A3386" s="109" t="s">
        <v>7483</v>
      </c>
      <c r="B3386" s="109" t="s">
        <v>7484</v>
      </c>
      <c r="C3386" s="98">
        <v>2011</v>
      </c>
      <c r="D3386" s="99">
        <v>659</v>
      </c>
      <c r="E3386" s="99">
        <v>41254</v>
      </c>
      <c r="F3386" s="99">
        <v>7416</v>
      </c>
      <c r="G3386" s="99">
        <v>34112</v>
      </c>
      <c r="H3386" s="99">
        <v>3139</v>
      </c>
      <c r="I3386" s="99">
        <v>1388</v>
      </c>
      <c r="J3386" s="99">
        <v>1412</v>
      </c>
      <c r="K3386" s="99">
        <v>24</v>
      </c>
      <c r="L3386" s="99">
        <v>2608</v>
      </c>
      <c r="M3386" s="99">
        <v>2266</v>
      </c>
      <c r="N3386" s="99">
        <v>342</v>
      </c>
      <c r="O3386" s="119"/>
      <c r="P3386" s="119"/>
      <c r="Q3386" s="119"/>
    </row>
    <row r="3387" spans="1:17" s="110" customFormat="1" ht="17.5" customHeight="1">
      <c r="A3387" s="109" t="s">
        <v>7483</v>
      </c>
      <c r="B3387" s="109" t="s">
        <v>7484</v>
      </c>
      <c r="C3387" s="111">
        <v>2012</v>
      </c>
      <c r="D3387" s="112">
        <v>635</v>
      </c>
      <c r="E3387" s="112">
        <v>42290</v>
      </c>
      <c r="F3387" s="112">
        <v>7201</v>
      </c>
      <c r="G3387" s="112">
        <v>35407</v>
      </c>
      <c r="H3387" s="112">
        <v>3933</v>
      </c>
      <c r="I3387" s="112">
        <v>1270</v>
      </c>
      <c r="J3387" s="99" t="s">
        <v>6953</v>
      </c>
      <c r="K3387" s="99" t="s">
        <v>6953</v>
      </c>
      <c r="L3387" s="112">
        <v>2977</v>
      </c>
      <c r="M3387" s="112">
        <v>2596</v>
      </c>
      <c r="N3387" s="112">
        <v>381</v>
      </c>
      <c r="O3387" s="119"/>
      <c r="P3387" s="119"/>
      <c r="Q3387" s="119"/>
    </row>
    <row r="3388" spans="1:17" s="110" customFormat="1" ht="17.5" customHeight="1">
      <c r="A3388" s="109" t="s">
        <v>7483</v>
      </c>
      <c r="B3388" s="109" t="s">
        <v>7484</v>
      </c>
      <c r="C3388" s="113">
        <v>2013</v>
      </c>
      <c r="D3388" s="112">
        <v>672</v>
      </c>
      <c r="E3388" s="112">
        <v>47323</v>
      </c>
      <c r="F3388" s="112">
        <v>11040</v>
      </c>
      <c r="G3388" s="112">
        <v>36277</v>
      </c>
      <c r="H3388" s="112">
        <v>3976</v>
      </c>
      <c r="I3388" s="99" t="s">
        <v>6953</v>
      </c>
      <c r="J3388" s="112">
        <v>1001</v>
      </c>
      <c r="K3388" s="99" t="s">
        <v>6953</v>
      </c>
      <c r="L3388" s="112">
        <v>2986</v>
      </c>
      <c r="M3388" s="112">
        <v>2953</v>
      </c>
      <c r="N3388" s="112">
        <v>33</v>
      </c>
      <c r="O3388" s="119"/>
      <c r="P3388" s="119"/>
      <c r="Q3388" s="119"/>
    </row>
    <row r="3389" spans="1:17" s="110" customFormat="1" ht="17.5" customHeight="1">
      <c r="A3389" s="109" t="s">
        <v>7483</v>
      </c>
      <c r="B3389" s="109" t="s">
        <v>7484</v>
      </c>
      <c r="C3389" s="113">
        <v>2014</v>
      </c>
      <c r="D3389" s="99">
        <v>730</v>
      </c>
      <c r="E3389" s="99">
        <v>49979</v>
      </c>
      <c r="F3389" s="99">
        <v>15187</v>
      </c>
      <c r="G3389" s="99">
        <v>36839</v>
      </c>
      <c r="H3389" s="99">
        <v>4273</v>
      </c>
      <c r="I3389" s="99">
        <v>2962</v>
      </c>
      <c r="J3389" s="99">
        <v>2997</v>
      </c>
      <c r="K3389" s="99">
        <v>36</v>
      </c>
      <c r="L3389" s="99">
        <v>3083</v>
      </c>
      <c r="M3389" s="99">
        <v>2923</v>
      </c>
      <c r="N3389" s="99">
        <v>160</v>
      </c>
      <c r="O3389" s="119"/>
      <c r="P3389" s="119"/>
      <c r="Q3389" s="119"/>
    </row>
    <row r="3390" spans="1:17" s="110" customFormat="1" ht="17.5" customHeight="1">
      <c r="A3390" s="109" t="s">
        <v>7483</v>
      </c>
      <c r="B3390" s="109" t="s">
        <v>7484</v>
      </c>
      <c r="C3390" s="113">
        <v>2015</v>
      </c>
      <c r="D3390" s="112">
        <v>803</v>
      </c>
      <c r="E3390" s="112">
        <v>53742</v>
      </c>
      <c r="F3390" s="112">
        <v>13339</v>
      </c>
      <c r="G3390" s="112">
        <v>42581</v>
      </c>
      <c r="H3390" s="112">
        <v>5334</v>
      </c>
      <c r="I3390" s="112">
        <v>2774</v>
      </c>
      <c r="J3390" s="99" t="s">
        <v>6953</v>
      </c>
      <c r="K3390" s="99" t="s">
        <v>6953</v>
      </c>
      <c r="L3390" s="112">
        <v>3607</v>
      </c>
      <c r="M3390" s="112">
        <v>3190</v>
      </c>
      <c r="N3390" s="112">
        <v>417</v>
      </c>
    </row>
    <row r="3391" spans="1:17" s="110" customFormat="1" ht="17.5" customHeight="1">
      <c r="A3391" s="109" t="s">
        <v>7483</v>
      </c>
      <c r="B3391" s="109" t="s">
        <v>7484</v>
      </c>
      <c r="C3391" s="113">
        <v>2016</v>
      </c>
      <c r="D3391" s="112">
        <v>1009</v>
      </c>
      <c r="E3391" s="112">
        <v>59057</v>
      </c>
      <c r="F3391" s="112">
        <v>12264</v>
      </c>
      <c r="G3391" s="112">
        <v>47501</v>
      </c>
      <c r="H3391" s="112">
        <v>5352</v>
      </c>
      <c r="I3391" s="112">
        <v>1877</v>
      </c>
      <c r="J3391" s="112">
        <v>1886</v>
      </c>
      <c r="K3391" s="112">
        <v>9</v>
      </c>
      <c r="L3391" s="112">
        <v>3861</v>
      </c>
      <c r="M3391" s="112">
        <v>3571</v>
      </c>
      <c r="N3391" s="112">
        <v>290</v>
      </c>
    </row>
    <row r="3392" spans="1:17" s="110" customFormat="1" ht="17.5" customHeight="1">
      <c r="A3392" s="109" t="s">
        <v>7483</v>
      </c>
      <c r="B3392" s="109" t="s">
        <v>7484</v>
      </c>
      <c r="C3392" s="113">
        <v>2017</v>
      </c>
      <c r="D3392" s="112">
        <v>1001</v>
      </c>
      <c r="E3392" s="112">
        <v>61112</v>
      </c>
      <c r="F3392" s="112">
        <v>10600</v>
      </c>
      <c r="G3392" s="112">
        <v>50305</v>
      </c>
      <c r="H3392" s="112">
        <v>5083</v>
      </c>
      <c r="I3392" s="112">
        <v>2881</v>
      </c>
      <c r="J3392" s="112">
        <v>2951</v>
      </c>
      <c r="K3392" s="112">
        <v>69</v>
      </c>
      <c r="L3392" s="112">
        <v>3557</v>
      </c>
      <c r="M3392" s="112">
        <v>3886</v>
      </c>
      <c r="N3392" s="112">
        <v>-329</v>
      </c>
      <c r="O3392" s="100"/>
      <c r="P3392" s="100"/>
      <c r="Q3392" s="100"/>
    </row>
    <row r="3393" spans="1:17" s="110" customFormat="1" ht="17.5" customHeight="1">
      <c r="A3393" s="109" t="s">
        <v>7483</v>
      </c>
      <c r="B3393" s="109" t="s">
        <v>7484</v>
      </c>
      <c r="C3393" s="113">
        <v>2018</v>
      </c>
      <c r="D3393" s="112">
        <v>980</v>
      </c>
      <c r="E3393" s="112">
        <v>62790</v>
      </c>
      <c r="F3393" s="112">
        <v>10842</v>
      </c>
      <c r="G3393" s="112">
        <v>52152</v>
      </c>
      <c r="H3393" s="112">
        <v>5690</v>
      </c>
      <c r="I3393" s="112">
        <v>2983</v>
      </c>
      <c r="J3393" s="112">
        <v>2998</v>
      </c>
      <c r="K3393" s="112">
        <v>14</v>
      </c>
      <c r="L3393" s="112">
        <v>3626</v>
      </c>
      <c r="M3393" s="112">
        <v>3556</v>
      </c>
      <c r="N3393" s="112">
        <v>69</v>
      </c>
    </row>
    <row r="3394" spans="1:17" s="110" customFormat="1" ht="17.5" customHeight="1">
      <c r="A3394" s="109" t="s">
        <v>7483</v>
      </c>
      <c r="B3394" s="109" t="s">
        <v>7484</v>
      </c>
      <c r="C3394" s="113">
        <v>2019</v>
      </c>
      <c r="D3394" s="112">
        <v>906</v>
      </c>
      <c r="E3394" s="112">
        <v>58653.25344</v>
      </c>
      <c r="F3394" s="112">
        <v>9768.492972</v>
      </c>
      <c r="G3394" s="112">
        <v>49172.427328999998</v>
      </c>
      <c r="H3394" s="112">
        <v>5984.4869129999997</v>
      </c>
      <c r="I3394" s="112">
        <v>2287.1660489999999</v>
      </c>
      <c r="J3394" s="112">
        <v>2301.8624770000001</v>
      </c>
      <c r="K3394" s="112">
        <v>14.696427999999999</v>
      </c>
      <c r="L3394" s="112">
        <v>3806.676117</v>
      </c>
      <c r="M3394" s="112">
        <v>3594.0585649999998</v>
      </c>
      <c r="N3394" s="112">
        <v>212.61755199999999</v>
      </c>
      <c r="O3394" s="100"/>
      <c r="P3394" s="100"/>
      <c r="Q3394" s="100"/>
    </row>
    <row r="3395" spans="1:17" s="110" customFormat="1" ht="17.5" customHeight="1">
      <c r="A3395" s="114" t="s">
        <v>7483</v>
      </c>
      <c r="B3395" s="114" t="s">
        <v>7484</v>
      </c>
      <c r="C3395" s="113">
        <v>2020</v>
      </c>
      <c r="D3395" s="112">
        <v>921</v>
      </c>
      <c r="E3395" s="112">
        <v>46139.305176000002</v>
      </c>
      <c r="F3395" s="112">
        <v>8186.7086609999997</v>
      </c>
      <c r="G3395" s="112">
        <v>37619.048612999999</v>
      </c>
      <c r="H3395" s="112">
        <v>5368.737153</v>
      </c>
      <c r="I3395" s="112">
        <v>1616.052502</v>
      </c>
      <c r="J3395" s="112">
        <v>1706.7439549999999</v>
      </c>
      <c r="K3395" s="112">
        <v>90.691452999999996</v>
      </c>
      <c r="L3395" s="112">
        <v>3633.5082170000001</v>
      </c>
      <c r="M3395" s="112">
        <v>3888.100218</v>
      </c>
      <c r="N3395" s="112">
        <v>-254.59200000000001</v>
      </c>
      <c r="O3395" s="100"/>
      <c r="P3395" s="100"/>
      <c r="Q3395" s="100"/>
    </row>
    <row r="3396" spans="1:17" s="110" customFormat="1" ht="31.75" customHeight="1">
      <c r="A3396" s="109" t="s">
        <v>7485</v>
      </c>
      <c r="B3396" s="109" t="s">
        <v>7486</v>
      </c>
      <c r="C3396" s="98">
        <v>2008</v>
      </c>
      <c r="D3396" s="99">
        <v>893</v>
      </c>
      <c r="E3396" s="99">
        <v>3177</v>
      </c>
      <c r="F3396" s="99">
        <v>779</v>
      </c>
      <c r="G3396" s="99">
        <v>2410</v>
      </c>
      <c r="H3396" s="99">
        <v>635</v>
      </c>
      <c r="I3396" s="99">
        <v>50</v>
      </c>
      <c r="J3396" s="99">
        <v>55</v>
      </c>
      <c r="K3396" s="99">
        <v>5</v>
      </c>
      <c r="L3396" s="99">
        <v>400</v>
      </c>
      <c r="M3396" s="99">
        <v>388</v>
      </c>
      <c r="N3396" s="99">
        <v>12</v>
      </c>
    </row>
    <row r="3397" spans="1:17" s="110" customFormat="1" ht="31.75" customHeight="1">
      <c r="A3397" s="109" t="s">
        <v>7485</v>
      </c>
      <c r="B3397" s="109" t="s">
        <v>7486</v>
      </c>
      <c r="C3397" s="98">
        <v>2009</v>
      </c>
      <c r="D3397" s="99">
        <v>860</v>
      </c>
      <c r="E3397" s="99">
        <v>2685</v>
      </c>
      <c r="F3397" s="99">
        <v>754</v>
      </c>
      <c r="G3397" s="99">
        <v>1866</v>
      </c>
      <c r="H3397" s="99">
        <v>519</v>
      </c>
      <c r="I3397" s="99">
        <v>34</v>
      </c>
      <c r="J3397" s="99">
        <v>46</v>
      </c>
      <c r="K3397" s="99">
        <v>12</v>
      </c>
      <c r="L3397" s="99">
        <v>280</v>
      </c>
      <c r="M3397" s="99">
        <v>347</v>
      </c>
      <c r="N3397" s="99">
        <v>-68</v>
      </c>
    </row>
    <row r="3398" spans="1:17" s="110" customFormat="1" ht="31.75" customHeight="1">
      <c r="A3398" s="109" t="s">
        <v>7485</v>
      </c>
      <c r="B3398" s="109" t="s">
        <v>7486</v>
      </c>
      <c r="C3398" s="98">
        <v>2010</v>
      </c>
      <c r="D3398" s="99">
        <v>790</v>
      </c>
      <c r="E3398" s="99">
        <v>2510</v>
      </c>
      <c r="F3398" s="99">
        <v>815</v>
      </c>
      <c r="G3398" s="99">
        <v>1714</v>
      </c>
      <c r="H3398" s="99">
        <v>495</v>
      </c>
      <c r="I3398" s="99">
        <v>23</v>
      </c>
      <c r="J3398" s="99">
        <v>26</v>
      </c>
      <c r="K3398" s="99">
        <v>3</v>
      </c>
      <c r="L3398" s="99">
        <v>310</v>
      </c>
      <c r="M3398" s="99">
        <v>288</v>
      </c>
      <c r="N3398" s="99">
        <v>22</v>
      </c>
      <c r="O3398" s="119"/>
      <c r="P3398" s="119"/>
      <c r="Q3398" s="119"/>
    </row>
    <row r="3399" spans="1:17" s="110" customFormat="1" ht="31.75" customHeight="1">
      <c r="A3399" s="109" t="s">
        <v>7485</v>
      </c>
      <c r="B3399" s="109" t="s">
        <v>7486</v>
      </c>
      <c r="C3399" s="98">
        <v>2011</v>
      </c>
      <c r="D3399" s="99">
        <v>768</v>
      </c>
      <c r="E3399" s="99">
        <v>2718</v>
      </c>
      <c r="F3399" s="99">
        <v>841</v>
      </c>
      <c r="G3399" s="99">
        <v>1920</v>
      </c>
      <c r="H3399" s="99">
        <v>465</v>
      </c>
      <c r="I3399" s="99">
        <v>31</v>
      </c>
      <c r="J3399" s="99">
        <v>35</v>
      </c>
      <c r="K3399" s="99">
        <v>4</v>
      </c>
      <c r="L3399" s="99">
        <v>333</v>
      </c>
      <c r="M3399" s="99">
        <v>291</v>
      </c>
      <c r="N3399" s="99">
        <v>42</v>
      </c>
      <c r="O3399" s="119"/>
      <c r="P3399" s="119"/>
      <c r="Q3399" s="119"/>
    </row>
    <row r="3400" spans="1:17" s="110" customFormat="1" ht="31.75" customHeight="1">
      <c r="A3400" s="109" t="s">
        <v>7485</v>
      </c>
      <c r="B3400" s="109" t="s">
        <v>7486</v>
      </c>
      <c r="C3400" s="111">
        <v>2012</v>
      </c>
      <c r="D3400" s="112">
        <v>755</v>
      </c>
      <c r="E3400" s="112">
        <v>2729</v>
      </c>
      <c r="F3400" s="112">
        <v>717</v>
      </c>
      <c r="G3400" s="112">
        <v>1947</v>
      </c>
      <c r="H3400" s="112">
        <v>485</v>
      </c>
      <c r="I3400" s="112">
        <v>29</v>
      </c>
      <c r="J3400" s="112">
        <v>32</v>
      </c>
      <c r="K3400" s="112">
        <v>3</v>
      </c>
      <c r="L3400" s="112">
        <v>309</v>
      </c>
      <c r="M3400" s="112">
        <v>374</v>
      </c>
      <c r="N3400" s="112">
        <v>-65</v>
      </c>
      <c r="O3400" s="119"/>
      <c r="P3400" s="119"/>
      <c r="Q3400" s="119"/>
    </row>
    <row r="3401" spans="1:17" s="110" customFormat="1" ht="31.75" customHeight="1">
      <c r="A3401" s="109" t="s">
        <v>7485</v>
      </c>
      <c r="B3401" s="109" t="s">
        <v>7486</v>
      </c>
      <c r="C3401" s="113">
        <v>2013</v>
      </c>
      <c r="D3401" s="112">
        <v>777</v>
      </c>
      <c r="E3401" s="112">
        <v>2577</v>
      </c>
      <c r="F3401" s="112">
        <v>790</v>
      </c>
      <c r="G3401" s="112">
        <v>1815</v>
      </c>
      <c r="H3401" s="112">
        <v>497</v>
      </c>
      <c r="I3401" s="112">
        <v>63</v>
      </c>
      <c r="J3401" s="112">
        <v>66</v>
      </c>
      <c r="K3401" s="112">
        <v>4</v>
      </c>
      <c r="L3401" s="112">
        <v>296</v>
      </c>
      <c r="M3401" s="112">
        <v>267</v>
      </c>
      <c r="N3401" s="112">
        <v>29</v>
      </c>
      <c r="O3401" s="119"/>
      <c r="P3401" s="119"/>
      <c r="Q3401" s="119"/>
    </row>
    <row r="3402" spans="1:17" s="110" customFormat="1" ht="31.75" customHeight="1">
      <c r="A3402" s="109" t="s">
        <v>7485</v>
      </c>
      <c r="B3402" s="109" t="s">
        <v>7486</v>
      </c>
      <c r="C3402" s="113">
        <v>2014</v>
      </c>
      <c r="D3402" s="99">
        <v>779</v>
      </c>
      <c r="E3402" s="99">
        <v>2784</v>
      </c>
      <c r="F3402" s="99">
        <v>825</v>
      </c>
      <c r="G3402" s="99">
        <v>1961</v>
      </c>
      <c r="H3402" s="99">
        <v>512</v>
      </c>
      <c r="I3402" s="99">
        <v>56</v>
      </c>
      <c r="J3402" s="99">
        <v>63</v>
      </c>
      <c r="K3402" s="99">
        <v>7</v>
      </c>
      <c r="L3402" s="99">
        <v>317</v>
      </c>
      <c r="M3402" s="99">
        <v>316</v>
      </c>
      <c r="N3402" s="99">
        <v>1</v>
      </c>
    </row>
    <row r="3403" spans="1:17" s="110" customFormat="1" ht="31.75" customHeight="1">
      <c r="A3403" s="109" t="s">
        <v>7485</v>
      </c>
      <c r="B3403" s="109" t="s">
        <v>7486</v>
      </c>
      <c r="C3403" s="113">
        <v>2015</v>
      </c>
      <c r="D3403" s="112">
        <v>801</v>
      </c>
      <c r="E3403" s="112">
        <v>2631</v>
      </c>
      <c r="F3403" s="112">
        <v>776</v>
      </c>
      <c r="G3403" s="112">
        <v>1879</v>
      </c>
      <c r="H3403" s="112">
        <v>441</v>
      </c>
      <c r="I3403" s="112">
        <v>60</v>
      </c>
      <c r="J3403" s="112">
        <v>74</v>
      </c>
      <c r="K3403" s="112">
        <v>14</v>
      </c>
      <c r="L3403" s="112">
        <v>263</v>
      </c>
      <c r="M3403" s="112">
        <v>243</v>
      </c>
      <c r="N3403" s="112">
        <v>20</v>
      </c>
    </row>
    <row r="3404" spans="1:17" s="110" customFormat="1" ht="31.75" customHeight="1">
      <c r="A3404" s="109" t="s">
        <v>7485</v>
      </c>
      <c r="B3404" s="109" t="s">
        <v>7486</v>
      </c>
      <c r="C3404" s="113">
        <v>2016</v>
      </c>
      <c r="D3404" s="112">
        <v>868</v>
      </c>
      <c r="E3404" s="112">
        <v>2829</v>
      </c>
      <c r="F3404" s="112">
        <v>868</v>
      </c>
      <c r="G3404" s="112">
        <v>1991</v>
      </c>
      <c r="H3404" s="112">
        <v>500</v>
      </c>
      <c r="I3404" s="112">
        <v>104</v>
      </c>
      <c r="J3404" s="112">
        <v>113</v>
      </c>
      <c r="K3404" s="112">
        <v>9</v>
      </c>
      <c r="L3404" s="112">
        <v>302</v>
      </c>
      <c r="M3404" s="112">
        <v>275</v>
      </c>
      <c r="N3404" s="112">
        <v>27</v>
      </c>
      <c r="O3404" s="100"/>
      <c r="P3404" s="100"/>
      <c r="Q3404" s="100"/>
    </row>
    <row r="3405" spans="1:17" s="110" customFormat="1" ht="31.75" customHeight="1">
      <c r="A3405" s="109" t="s">
        <v>7485</v>
      </c>
      <c r="B3405" s="109" t="s">
        <v>7486</v>
      </c>
      <c r="C3405" s="113">
        <v>2017</v>
      </c>
      <c r="D3405" s="112">
        <v>900</v>
      </c>
      <c r="E3405" s="112">
        <v>2835</v>
      </c>
      <c r="F3405" s="112">
        <v>883</v>
      </c>
      <c r="G3405" s="112">
        <v>1989</v>
      </c>
      <c r="H3405" s="112">
        <v>546</v>
      </c>
      <c r="I3405" s="112">
        <v>73</v>
      </c>
      <c r="J3405" s="112">
        <v>84</v>
      </c>
      <c r="K3405" s="112">
        <v>11</v>
      </c>
      <c r="L3405" s="112">
        <v>318</v>
      </c>
      <c r="M3405" s="112">
        <v>280</v>
      </c>
      <c r="N3405" s="112">
        <v>38</v>
      </c>
    </row>
    <row r="3406" spans="1:17" s="110" customFormat="1" ht="31.75" customHeight="1">
      <c r="A3406" s="109" t="s">
        <v>7485</v>
      </c>
      <c r="B3406" s="109" t="s">
        <v>7486</v>
      </c>
      <c r="C3406" s="113">
        <v>2018</v>
      </c>
      <c r="D3406" s="112">
        <v>924</v>
      </c>
      <c r="E3406" s="112">
        <v>3123</v>
      </c>
      <c r="F3406" s="112">
        <v>885</v>
      </c>
      <c r="G3406" s="112">
        <v>2282</v>
      </c>
      <c r="H3406" s="112">
        <v>532</v>
      </c>
      <c r="I3406" s="112">
        <v>57</v>
      </c>
      <c r="J3406" s="112">
        <v>62</v>
      </c>
      <c r="K3406" s="112">
        <v>5</v>
      </c>
      <c r="L3406" s="112">
        <v>379</v>
      </c>
      <c r="M3406" s="112">
        <v>358</v>
      </c>
      <c r="N3406" s="112">
        <v>21</v>
      </c>
      <c r="O3406" s="100"/>
      <c r="P3406" s="100"/>
      <c r="Q3406" s="100"/>
    </row>
    <row r="3407" spans="1:17" s="110" customFormat="1" ht="31.75" customHeight="1">
      <c r="A3407" s="109" t="s">
        <v>7485</v>
      </c>
      <c r="B3407" s="109" t="s">
        <v>7486</v>
      </c>
      <c r="C3407" s="113">
        <v>2019</v>
      </c>
      <c r="D3407" s="112">
        <v>940</v>
      </c>
      <c r="E3407" s="112">
        <v>3187.7392730000001</v>
      </c>
      <c r="F3407" s="112">
        <v>974.04934400000002</v>
      </c>
      <c r="G3407" s="112">
        <v>2259.6088500000001</v>
      </c>
      <c r="H3407" s="112">
        <v>562.37179100000003</v>
      </c>
      <c r="I3407" s="112">
        <v>61.127954000000003</v>
      </c>
      <c r="J3407" s="112">
        <v>69.375067000000001</v>
      </c>
      <c r="K3407" s="112">
        <v>8.2471139999999998</v>
      </c>
      <c r="L3407" s="112">
        <v>443.69805200000002</v>
      </c>
      <c r="M3407" s="112">
        <v>398.72759600000001</v>
      </c>
      <c r="N3407" s="112">
        <v>44.970455999999999</v>
      </c>
      <c r="O3407" s="100"/>
      <c r="P3407" s="100"/>
      <c r="Q3407" s="100"/>
    </row>
    <row r="3408" spans="1:17" s="110" customFormat="1" ht="31.75" customHeight="1">
      <c r="A3408" s="114" t="s">
        <v>7485</v>
      </c>
      <c r="B3408" s="114" t="s">
        <v>7486</v>
      </c>
      <c r="C3408" s="113">
        <v>2020</v>
      </c>
      <c r="D3408" s="112">
        <v>961</v>
      </c>
      <c r="E3408" s="112">
        <v>2894.7854109999998</v>
      </c>
      <c r="F3408" s="112">
        <v>701.35035500000004</v>
      </c>
      <c r="G3408" s="112">
        <v>2202.5265209999998</v>
      </c>
      <c r="H3408" s="112">
        <v>521.011169</v>
      </c>
      <c r="I3408" s="112">
        <v>52.865969999999997</v>
      </c>
      <c r="J3408" s="112">
        <v>60.064686999999999</v>
      </c>
      <c r="K3408" s="112">
        <v>7.1987160000000001</v>
      </c>
      <c r="L3408" s="112">
        <v>415.25573700000001</v>
      </c>
      <c r="M3408" s="112">
        <v>414.81845700000002</v>
      </c>
      <c r="N3408" s="112" t="s">
        <v>6952</v>
      </c>
    </row>
    <row r="3409" spans="1:17" s="110" customFormat="1" ht="31.75" customHeight="1">
      <c r="A3409" s="109" t="s">
        <v>7487</v>
      </c>
      <c r="B3409" s="109" t="s">
        <v>7488</v>
      </c>
      <c r="C3409" s="98">
        <v>2008</v>
      </c>
      <c r="D3409" s="99">
        <v>1672</v>
      </c>
      <c r="E3409" s="99">
        <v>10855</v>
      </c>
      <c r="F3409" s="99">
        <v>2828</v>
      </c>
      <c r="G3409" s="99">
        <v>8004</v>
      </c>
      <c r="H3409" s="99">
        <v>2021</v>
      </c>
      <c r="I3409" s="99">
        <v>132</v>
      </c>
      <c r="J3409" s="99">
        <v>261</v>
      </c>
      <c r="K3409" s="99">
        <v>129</v>
      </c>
      <c r="L3409" s="99">
        <v>843</v>
      </c>
      <c r="M3409" s="99">
        <v>850</v>
      </c>
      <c r="N3409" s="99">
        <v>-8</v>
      </c>
    </row>
    <row r="3410" spans="1:17" s="110" customFormat="1" ht="31.75" customHeight="1">
      <c r="A3410" s="109" t="s">
        <v>7487</v>
      </c>
      <c r="B3410" s="109" t="s">
        <v>7488</v>
      </c>
      <c r="C3410" s="98">
        <v>2009</v>
      </c>
      <c r="D3410" s="99">
        <v>1428</v>
      </c>
      <c r="E3410" s="99">
        <v>7493</v>
      </c>
      <c r="F3410" s="99">
        <v>1837</v>
      </c>
      <c r="G3410" s="99">
        <v>5525</v>
      </c>
      <c r="H3410" s="99">
        <v>1524</v>
      </c>
      <c r="I3410" s="99">
        <v>14</v>
      </c>
      <c r="J3410" s="99">
        <v>123</v>
      </c>
      <c r="K3410" s="99">
        <v>109</v>
      </c>
      <c r="L3410" s="99">
        <v>593</v>
      </c>
      <c r="M3410" s="99">
        <v>718</v>
      </c>
      <c r="N3410" s="99">
        <v>-125</v>
      </c>
      <c r="O3410" s="119"/>
      <c r="P3410" s="119"/>
      <c r="Q3410" s="119"/>
    </row>
    <row r="3411" spans="1:17" s="110" customFormat="1" ht="31.75" customHeight="1">
      <c r="A3411" s="109" t="s">
        <v>7487</v>
      </c>
      <c r="B3411" s="109" t="s">
        <v>7488</v>
      </c>
      <c r="C3411" s="98">
        <v>2010</v>
      </c>
      <c r="D3411" s="99">
        <v>1356</v>
      </c>
      <c r="E3411" s="99">
        <v>8968</v>
      </c>
      <c r="F3411" s="99">
        <v>2768</v>
      </c>
      <c r="G3411" s="99">
        <v>6248</v>
      </c>
      <c r="H3411" s="99">
        <v>1503</v>
      </c>
      <c r="I3411" s="99">
        <v>122</v>
      </c>
      <c r="J3411" s="99">
        <v>227</v>
      </c>
      <c r="K3411" s="99">
        <v>105</v>
      </c>
      <c r="L3411" s="99">
        <v>696</v>
      </c>
      <c r="M3411" s="99">
        <v>645</v>
      </c>
      <c r="N3411" s="99">
        <v>51</v>
      </c>
      <c r="O3411" s="119"/>
      <c r="P3411" s="119"/>
      <c r="Q3411" s="119"/>
    </row>
    <row r="3412" spans="1:17" s="110" customFormat="1" ht="31.75" customHeight="1">
      <c r="A3412" s="109" t="s">
        <v>7487</v>
      </c>
      <c r="B3412" s="109" t="s">
        <v>7488</v>
      </c>
      <c r="C3412" s="98">
        <v>2011</v>
      </c>
      <c r="D3412" s="99">
        <v>1276</v>
      </c>
      <c r="E3412" s="99">
        <v>10402</v>
      </c>
      <c r="F3412" s="99">
        <v>2996</v>
      </c>
      <c r="G3412" s="99">
        <v>7514</v>
      </c>
      <c r="H3412" s="99">
        <v>1472</v>
      </c>
      <c r="I3412" s="99">
        <v>243</v>
      </c>
      <c r="J3412" s="99">
        <v>269</v>
      </c>
      <c r="K3412" s="99">
        <v>25</v>
      </c>
      <c r="L3412" s="99">
        <v>828</v>
      </c>
      <c r="M3412" s="99">
        <v>720</v>
      </c>
      <c r="N3412" s="99">
        <v>108</v>
      </c>
      <c r="O3412" s="119"/>
      <c r="P3412" s="119"/>
      <c r="Q3412" s="119"/>
    </row>
    <row r="3413" spans="1:17" s="110" customFormat="1" ht="31.75" customHeight="1">
      <c r="A3413" s="109" t="s">
        <v>7487</v>
      </c>
      <c r="B3413" s="109" t="s">
        <v>7488</v>
      </c>
      <c r="C3413" s="111">
        <v>2012</v>
      </c>
      <c r="D3413" s="112">
        <v>1224</v>
      </c>
      <c r="E3413" s="112">
        <v>10333</v>
      </c>
      <c r="F3413" s="112">
        <v>2938</v>
      </c>
      <c r="G3413" s="112">
        <v>7404</v>
      </c>
      <c r="H3413" s="112">
        <v>1470</v>
      </c>
      <c r="I3413" s="112">
        <v>352</v>
      </c>
      <c r="J3413" s="99" t="s">
        <v>6953</v>
      </c>
      <c r="K3413" s="99" t="s">
        <v>6953</v>
      </c>
      <c r="L3413" s="112">
        <v>805</v>
      </c>
      <c r="M3413" s="112">
        <v>784</v>
      </c>
      <c r="N3413" s="112">
        <v>21</v>
      </c>
      <c r="O3413" s="119"/>
      <c r="P3413" s="119"/>
      <c r="Q3413" s="119"/>
    </row>
    <row r="3414" spans="1:17" s="110" customFormat="1" ht="31.75" customHeight="1">
      <c r="A3414" s="109" t="s">
        <v>7487</v>
      </c>
      <c r="B3414" s="109" t="s">
        <v>7488</v>
      </c>
      <c r="C3414" s="113">
        <v>2013</v>
      </c>
      <c r="D3414" s="112">
        <v>1223</v>
      </c>
      <c r="E3414" s="112">
        <v>10754</v>
      </c>
      <c r="F3414" s="112">
        <v>2762</v>
      </c>
      <c r="G3414" s="112">
        <v>8050</v>
      </c>
      <c r="H3414" s="112">
        <v>1587</v>
      </c>
      <c r="I3414" s="112">
        <v>370</v>
      </c>
      <c r="J3414" s="112">
        <v>459</v>
      </c>
      <c r="K3414" s="112">
        <v>89</v>
      </c>
      <c r="L3414" s="112">
        <v>910</v>
      </c>
      <c r="M3414" s="112">
        <v>845</v>
      </c>
      <c r="N3414" s="112">
        <v>66</v>
      </c>
    </row>
    <row r="3415" spans="1:17" s="110" customFormat="1" ht="31.75" customHeight="1">
      <c r="A3415" s="109" t="s">
        <v>7487</v>
      </c>
      <c r="B3415" s="109" t="s">
        <v>7488</v>
      </c>
      <c r="C3415" s="113">
        <v>2014</v>
      </c>
      <c r="D3415" s="99">
        <v>1240</v>
      </c>
      <c r="E3415" s="99">
        <v>10462</v>
      </c>
      <c r="F3415" s="99">
        <v>2861</v>
      </c>
      <c r="G3415" s="99">
        <v>7649</v>
      </c>
      <c r="H3415" s="99">
        <v>1730</v>
      </c>
      <c r="I3415" s="99">
        <v>291</v>
      </c>
      <c r="J3415" s="99">
        <v>309</v>
      </c>
      <c r="K3415" s="99">
        <v>18</v>
      </c>
      <c r="L3415" s="99">
        <v>874</v>
      </c>
      <c r="M3415" s="99">
        <v>837</v>
      </c>
      <c r="N3415" s="99">
        <v>36</v>
      </c>
    </row>
    <row r="3416" spans="1:17" s="110" customFormat="1" ht="31.75" customHeight="1">
      <c r="A3416" s="109" t="s">
        <v>7487</v>
      </c>
      <c r="B3416" s="109" t="s">
        <v>7488</v>
      </c>
      <c r="C3416" s="113">
        <v>2015</v>
      </c>
      <c r="D3416" s="112">
        <v>1255</v>
      </c>
      <c r="E3416" s="112">
        <v>10563</v>
      </c>
      <c r="F3416" s="112">
        <v>2818</v>
      </c>
      <c r="G3416" s="112">
        <v>7753</v>
      </c>
      <c r="H3416" s="112">
        <v>1782</v>
      </c>
      <c r="I3416" s="112">
        <v>447</v>
      </c>
      <c r="J3416" s="99" t="s">
        <v>6953</v>
      </c>
      <c r="K3416" s="99" t="s">
        <v>6953</v>
      </c>
      <c r="L3416" s="112">
        <v>776</v>
      </c>
      <c r="M3416" s="112">
        <v>778</v>
      </c>
      <c r="N3416" s="112">
        <v>-2</v>
      </c>
      <c r="O3416" s="100"/>
      <c r="P3416" s="100"/>
      <c r="Q3416" s="100"/>
    </row>
    <row r="3417" spans="1:17" s="110" customFormat="1" ht="31.75" customHeight="1">
      <c r="A3417" s="109" t="s">
        <v>7487</v>
      </c>
      <c r="B3417" s="109" t="s">
        <v>7488</v>
      </c>
      <c r="C3417" s="113">
        <v>2016</v>
      </c>
      <c r="D3417" s="112">
        <v>1359</v>
      </c>
      <c r="E3417" s="112">
        <v>12274</v>
      </c>
      <c r="F3417" s="112">
        <v>3538</v>
      </c>
      <c r="G3417" s="112">
        <v>8809</v>
      </c>
      <c r="H3417" s="112">
        <v>1908</v>
      </c>
      <c r="I3417" s="112">
        <v>464</v>
      </c>
      <c r="J3417" s="112">
        <v>525</v>
      </c>
      <c r="K3417" s="112">
        <v>61</v>
      </c>
      <c r="L3417" s="112">
        <v>860</v>
      </c>
      <c r="M3417" s="112">
        <v>797</v>
      </c>
      <c r="N3417" s="112">
        <v>64</v>
      </c>
    </row>
    <row r="3418" spans="1:17" s="110" customFormat="1" ht="31.75" customHeight="1">
      <c r="A3418" s="109" t="s">
        <v>7487</v>
      </c>
      <c r="B3418" s="109" t="s">
        <v>7488</v>
      </c>
      <c r="C3418" s="113">
        <v>2017</v>
      </c>
      <c r="D3418" s="112">
        <v>1424</v>
      </c>
      <c r="E3418" s="112">
        <v>13232</v>
      </c>
      <c r="F3418" s="112">
        <v>3823</v>
      </c>
      <c r="G3418" s="112">
        <v>9453</v>
      </c>
      <c r="H3418" s="112">
        <v>2005</v>
      </c>
      <c r="I3418" s="112">
        <v>311</v>
      </c>
      <c r="J3418" s="112">
        <v>361</v>
      </c>
      <c r="K3418" s="112">
        <v>51</v>
      </c>
      <c r="L3418" s="112">
        <v>926</v>
      </c>
      <c r="M3418" s="112">
        <v>887</v>
      </c>
      <c r="N3418" s="112">
        <v>39</v>
      </c>
      <c r="O3418" s="100"/>
      <c r="P3418" s="100"/>
      <c r="Q3418" s="100"/>
    </row>
    <row r="3419" spans="1:17" s="110" customFormat="1" ht="31.75" customHeight="1">
      <c r="A3419" s="109" t="s">
        <v>7487</v>
      </c>
      <c r="B3419" s="109" t="s">
        <v>7488</v>
      </c>
      <c r="C3419" s="113">
        <v>2018</v>
      </c>
      <c r="D3419" s="112">
        <v>1524</v>
      </c>
      <c r="E3419" s="112">
        <v>13059</v>
      </c>
      <c r="F3419" s="112">
        <v>3575</v>
      </c>
      <c r="G3419" s="112">
        <v>9537</v>
      </c>
      <c r="H3419" s="112">
        <v>2059</v>
      </c>
      <c r="I3419" s="112">
        <v>335</v>
      </c>
      <c r="J3419" s="112">
        <v>349</v>
      </c>
      <c r="K3419" s="112">
        <v>13</v>
      </c>
      <c r="L3419" s="112">
        <v>1041</v>
      </c>
      <c r="M3419" s="112">
        <v>990</v>
      </c>
      <c r="N3419" s="112">
        <v>51</v>
      </c>
      <c r="O3419" s="100"/>
      <c r="P3419" s="100"/>
      <c r="Q3419" s="100"/>
    </row>
    <row r="3420" spans="1:17" s="110" customFormat="1" ht="31.75" customHeight="1">
      <c r="A3420" s="109" t="s">
        <v>7487</v>
      </c>
      <c r="B3420" s="109" t="s">
        <v>7488</v>
      </c>
      <c r="C3420" s="113">
        <v>2019</v>
      </c>
      <c r="D3420" s="112">
        <v>1616</v>
      </c>
      <c r="E3420" s="112">
        <v>12333.526904</v>
      </c>
      <c r="F3420" s="112">
        <v>3191.4302130000001</v>
      </c>
      <c r="G3420" s="112">
        <v>9155.2999070000005</v>
      </c>
      <c r="H3420" s="112">
        <v>2062.9527990000001</v>
      </c>
      <c r="I3420" s="112">
        <v>372.55381899999998</v>
      </c>
      <c r="J3420" s="112">
        <v>399.74871200000001</v>
      </c>
      <c r="K3420" s="112">
        <v>27.194893</v>
      </c>
      <c r="L3420" s="112">
        <v>1004.615065</v>
      </c>
      <c r="M3420" s="112">
        <v>996.34478100000001</v>
      </c>
      <c r="N3420" s="112">
        <v>8.2702840000000002</v>
      </c>
    </row>
    <row r="3421" spans="1:17" s="110" customFormat="1" ht="31.75" customHeight="1">
      <c r="A3421" s="114" t="s">
        <v>7487</v>
      </c>
      <c r="B3421" s="114" t="s">
        <v>7488</v>
      </c>
      <c r="C3421" s="113">
        <v>2020</v>
      </c>
      <c r="D3421" s="112">
        <v>1568</v>
      </c>
      <c r="E3421" s="112">
        <v>9110.1234509999995</v>
      </c>
      <c r="F3421" s="112">
        <v>2317.003451</v>
      </c>
      <c r="G3421" s="112">
        <v>6803.8693149999999</v>
      </c>
      <c r="H3421" s="112">
        <v>1693.026098</v>
      </c>
      <c r="I3421" s="112">
        <v>199.925209</v>
      </c>
      <c r="J3421" s="112">
        <v>239.89397399999999</v>
      </c>
      <c r="K3421" s="112">
        <v>39.968764999999998</v>
      </c>
      <c r="L3421" s="112">
        <v>951.248287</v>
      </c>
      <c r="M3421" s="112">
        <v>987.19430499999999</v>
      </c>
      <c r="N3421" s="112">
        <v>-35.946018000000002</v>
      </c>
    </row>
    <row r="3422" spans="1:17" s="110" customFormat="1" ht="31.75" customHeight="1">
      <c r="A3422" s="109" t="s">
        <v>7489</v>
      </c>
      <c r="B3422" s="109" t="s">
        <v>7490</v>
      </c>
      <c r="C3422" s="98">
        <v>2008</v>
      </c>
      <c r="D3422" s="99">
        <v>200</v>
      </c>
      <c r="E3422" s="99">
        <v>820</v>
      </c>
      <c r="F3422" s="99">
        <v>249</v>
      </c>
      <c r="G3422" s="99">
        <v>565</v>
      </c>
      <c r="H3422" s="99">
        <v>152</v>
      </c>
      <c r="I3422" s="99">
        <v>19</v>
      </c>
      <c r="J3422" s="99">
        <v>29</v>
      </c>
      <c r="K3422" s="99">
        <v>9</v>
      </c>
      <c r="L3422" s="99">
        <v>75</v>
      </c>
      <c r="M3422" s="99">
        <v>79</v>
      </c>
      <c r="N3422" s="99">
        <v>-3</v>
      </c>
      <c r="O3422" s="119"/>
      <c r="P3422" s="119"/>
      <c r="Q3422" s="119"/>
    </row>
    <row r="3423" spans="1:17" s="110" customFormat="1" ht="31.75" customHeight="1">
      <c r="A3423" s="109" t="s">
        <v>7489</v>
      </c>
      <c r="B3423" s="109" t="s">
        <v>7490</v>
      </c>
      <c r="C3423" s="98">
        <v>2009</v>
      </c>
      <c r="D3423" s="99">
        <v>161</v>
      </c>
      <c r="E3423" s="99">
        <v>601</v>
      </c>
      <c r="F3423" s="99">
        <v>181</v>
      </c>
      <c r="G3423" s="99">
        <v>413</v>
      </c>
      <c r="H3423" s="99">
        <v>109</v>
      </c>
      <c r="I3423" s="99" t="s">
        <v>6953</v>
      </c>
      <c r="J3423" s="99">
        <v>13</v>
      </c>
      <c r="K3423" s="99" t="s">
        <v>6953</v>
      </c>
      <c r="L3423" s="99">
        <v>88</v>
      </c>
      <c r="M3423" s="99">
        <v>94</v>
      </c>
      <c r="N3423" s="99">
        <v>-6</v>
      </c>
      <c r="O3423" s="119"/>
      <c r="P3423" s="119"/>
      <c r="Q3423" s="119"/>
    </row>
    <row r="3424" spans="1:17" s="110" customFormat="1" ht="31.75" customHeight="1">
      <c r="A3424" s="109" t="s">
        <v>7489</v>
      </c>
      <c r="B3424" s="109" t="s">
        <v>7490</v>
      </c>
      <c r="C3424" s="98">
        <v>2010</v>
      </c>
      <c r="D3424" s="99">
        <v>142</v>
      </c>
      <c r="E3424" s="99">
        <v>490</v>
      </c>
      <c r="F3424" s="99">
        <v>149</v>
      </c>
      <c r="G3424" s="99">
        <v>350</v>
      </c>
      <c r="H3424" s="99">
        <v>106</v>
      </c>
      <c r="I3424" s="99" t="s">
        <v>6953</v>
      </c>
      <c r="J3424" s="99">
        <v>13</v>
      </c>
      <c r="K3424" s="99" t="s">
        <v>6953</v>
      </c>
      <c r="L3424" s="99">
        <v>60</v>
      </c>
      <c r="M3424" s="99">
        <v>50</v>
      </c>
      <c r="N3424" s="99">
        <v>9</v>
      </c>
      <c r="O3424" s="119"/>
      <c r="P3424" s="119"/>
      <c r="Q3424" s="119"/>
    </row>
    <row r="3425" spans="1:17" s="110" customFormat="1" ht="31.75" customHeight="1">
      <c r="A3425" s="109" t="s">
        <v>7489</v>
      </c>
      <c r="B3425" s="109" t="s">
        <v>7490</v>
      </c>
      <c r="C3425" s="98">
        <v>2011</v>
      </c>
      <c r="D3425" s="99">
        <v>142</v>
      </c>
      <c r="E3425" s="99">
        <v>495</v>
      </c>
      <c r="F3425" s="99">
        <v>151</v>
      </c>
      <c r="G3425" s="99">
        <v>341</v>
      </c>
      <c r="H3425" s="99">
        <v>66</v>
      </c>
      <c r="I3425" s="99">
        <v>9</v>
      </c>
      <c r="J3425" s="99">
        <v>9</v>
      </c>
      <c r="K3425" s="99">
        <v>1</v>
      </c>
      <c r="L3425" s="99">
        <v>40</v>
      </c>
      <c r="M3425" s="99">
        <v>43</v>
      </c>
      <c r="N3425" s="99">
        <v>-3</v>
      </c>
      <c r="O3425" s="119"/>
      <c r="P3425" s="119"/>
      <c r="Q3425" s="119"/>
    </row>
    <row r="3426" spans="1:17" s="110" customFormat="1" ht="31.75" customHeight="1">
      <c r="A3426" s="109" t="s">
        <v>7489</v>
      </c>
      <c r="B3426" s="109" t="s">
        <v>7490</v>
      </c>
      <c r="C3426" s="111">
        <v>2012</v>
      </c>
      <c r="D3426" s="112">
        <v>140</v>
      </c>
      <c r="E3426" s="112">
        <v>516</v>
      </c>
      <c r="F3426" s="112">
        <v>162</v>
      </c>
      <c r="G3426" s="112">
        <v>357</v>
      </c>
      <c r="H3426" s="112">
        <v>71</v>
      </c>
      <c r="I3426" s="112">
        <v>11</v>
      </c>
      <c r="J3426" s="112">
        <v>12</v>
      </c>
      <c r="K3426" s="112">
        <v>1</v>
      </c>
      <c r="L3426" s="112">
        <v>57</v>
      </c>
      <c r="M3426" s="112">
        <v>54</v>
      </c>
      <c r="N3426" s="112">
        <v>3</v>
      </c>
    </row>
    <row r="3427" spans="1:17" s="110" customFormat="1" ht="31.75" customHeight="1">
      <c r="A3427" s="109" t="s">
        <v>7489</v>
      </c>
      <c r="B3427" s="109" t="s">
        <v>7490</v>
      </c>
      <c r="C3427" s="113">
        <v>2013</v>
      </c>
      <c r="D3427" s="112">
        <v>147</v>
      </c>
      <c r="E3427" s="112">
        <v>622</v>
      </c>
      <c r="F3427" s="112">
        <v>157</v>
      </c>
      <c r="G3427" s="112">
        <v>460</v>
      </c>
      <c r="H3427" s="112">
        <v>62</v>
      </c>
      <c r="I3427" s="112">
        <v>3</v>
      </c>
      <c r="J3427" s="112">
        <v>5</v>
      </c>
      <c r="K3427" s="112">
        <v>2</v>
      </c>
      <c r="L3427" s="112">
        <v>65</v>
      </c>
      <c r="M3427" s="112">
        <v>70</v>
      </c>
      <c r="N3427" s="112">
        <v>-5</v>
      </c>
    </row>
    <row r="3428" spans="1:17" s="110" customFormat="1" ht="31.75" customHeight="1">
      <c r="A3428" s="109" t="s">
        <v>7489</v>
      </c>
      <c r="B3428" s="109" t="s">
        <v>7490</v>
      </c>
      <c r="C3428" s="113">
        <v>2014</v>
      </c>
      <c r="D3428" s="99">
        <v>162</v>
      </c>
      <c r="E3428" s="99">
        <v>264</v>
      </c>
      <c r="F3428" s="99">
        <v>73</v>
      </c>
      <c r="G3428" s="99">
        <v>197</v>
      </c>
      <c r="H3428" s="99">
        <v>105</v>
      </c>
      <c r="I3428" s="99">
        <v>2</v>
      </c>
      <c r="J3428" s="99">
        <v>2</v>
      </c>
      <c r="K3428" s="99" t="s">
        <v>6952</v>
      </c>
      <c r="L3428" s="99">
        <v>26</v>
      </c>
      <c r="M3428" s="99">
        <v>20</v>
      </c>
      <c r="N3428" s="99">
        <v>7</v>
      </c>
      <c r="O3428" s="100"/>
      <c r="P3428" s="100"/>
      <c r="Q3428" s="100"/>
    </row>
    <row r="3429" spans="1:17" s="110" customFormat="1" ht="31.75" customHeight="1">
      <c r="A3429" s="109" t="s">
        <v>7489</v>
      </c>
      <c r="B3429" s="109" t="s">
        <v>7490</v>
      </c>
      <c r="C3429" s="113">
        <v>2015</v>
      </c>
      <c r="D3429" s="112">
        <v>158</v>
      </c>
      <c r="E3429" s="112">
        <v>257</v>
      </c>
      <c r="F3429" s="112">
        <v>104</v>
      </c>
      <c r="G3429" s="112">
        <v>155</v>
      </c>
      <c r="H3429" s="112">
        <v>62</v>
      </c>
      <c r="I3429" s="112">
        <v>2</v>
      </c>
      <c r="J3429" s="112">
        <v>2</v>
      </c>
      <c r="K3429" s="99" t="s">
        <v>6952</v>
      </c>
      <c r="L3429" s="112">
        <v>37</v>
      </c>
      <c r="M3429" s="112">
        <v>33</v>
      </c>
      <c r="N3429" s="112">
        <v>4</v>
      </c>
    </row>
    <row r="3430" spans="1:17" s="110" customFormat="1" ht="31.75" customHeight="1">
      <c r="A3430" s="109" t="s">
        <v>7489</v>
      </c>
      <c r="B3430" s="109" t="s">
        <v>7490</v>
      </c>
      <c r="C3430" s="113">
        <v>2016</v>
      </c>
      <c r="D3430" s="112">
        <v>193</v>
      </c>
      <c r="E3430" s="112">
        <v>286</v>
      </c>
      <c r="F3430" s="112">
        <v>125</v>
      </c>
      <c r="G3430" s="112">
        <v>162</v>
      </c>
      <c r="H3430" s="112">
        <v>70</v>
      </c>
      <c r="I3430" s="99" t="s">
        <v>6953</v>
      </c>
      <c r="J3430" s="112">
        <v>6</v>
      </c>
      <c r="K3430" s="99" t="s">
        <v>6953</v>
      </c>
      <c r="L3430" s="112">
        <v>44</v>
      </c>
      <c r="M3430" s="112">
        <v>42</v>
      </c>
      <c r="N3430" s="112">
        <v>2</v>
      </c>
      <c r="O3430" s="100"/>
      <c r="P3430" s="100"/>
      <c r="Q3430" s="100"/>
    </row>
    <row r="3431" spans="1:17" s="110" customFormat="1" ht="31.75" customHeight="1">
      <c r="A3431" s="109" t="s">
        <v>7489</v>
      </c>
      <c r="B3431" s="109" t="s">
        <v>7490</v>
      </c>
      <c r="C3431" s="113">
        <v>2017</v>
      </c>
      <c r="D3431" s="112">
        <v>186</v>
      </c>
      <c r="E3431" s="112">
        <v>312</v>
      </c>
      <c r="F3431" s="112">
        <v>128</v>
      </c>
      <c r="G3431" s="112">
        <v>182</v>
      </c>
      <c r="H3431" s="112">
        <v>79</v>
      </c>
      <c r="I3431" s="112">
        <v>-18</v>
      </c>
      <c r="J3431" s="112">
        <v>5</v>
      </c>
      <c r="K3431" s="112">
        <v>23</v>
      </c>
      <c r="L3431" s="112">
        <v>40</v>
      </c>
      <c r="M3431" s="112">
        <v>40</v>
      </c>
      <c r="N3431" s="112" t="s">
        <v>6952</v>
      </c>
      <c r="O3431" s="100"/>
      <c r="P3431" s="100"/>
      <c r="Q3431" s="100"/>
    </row>
    <row r="3432" spans="1:17" s="110" customFormat="1" ht="31.75" customHeight="1">
      <c r="A3432" s="109" t="s">
        <v>7489</v>
      </c>
      <c r="B3432" s="109" t="s">
        <v>7490</v>
      </c>
      <c r="C3432" s="113">
        <v>2018</v>
      </c>
      <c r="D3432" s="112">
        <v>184</v>
      </c>
      <c r="E3432" s="112">
        <v>256</v>
      </c>
      <c r="F3432" s="112">
        <v>86</v>
      </c>
      <c r="G3432" s="112">
        <v>173</v>
      </c>
      <c r="H3432" s="112">
        <v>74</v>
      </c>
      <c r="I3432" s="112">
        <v>16</v>
      </c>
      <c r="J3432" s="112">
        <v>16</v>
      </c>
      <c r="K3432" s="112" t="s">
        <v>6952</v>
      </c>
      <c r="L3432" s="112">
        <v>28</v>
      </c>
      <c r="M3432" s="112">
        <v>26</v>
      </c>
      <c r="N3432" s="112">
        <v>2</v>
      </c>
    </row>
    <row r="3433" spans="1:17" s="110" customFormat="1" ht="31.75" customHeight="1">
      <c r="A3433" s="109" t="s">
        <v>7489</v>
      </c>
      <c r="B3433" s="109" t="s">
        <v>7490</v>
      </c>
      <c r="C3433" s="113">
        <v>2019</v>
      </c>
      <c r="D3433" s="112">
        <v>208</v>
      </c>
      <c r="E3433" s="112">
        <v>268.07818099999997</v>
      </c>
      <c r="F3433" s="112">
        <v>115.455079</v>
      </c>
      <c r="G3433" s="112">
        <v>153.42199400000001</v>
      </c>
      <c r="H3433" s="112">
        <v>60.788058999999997</v>
      </c>
      <c r="I3433" s="112">
        <v>4.6108729999999998</v>
      </c>
      <c r="J3433" s="112">
        <v>4.7074309999999997</v>
      </c>
      <c r="K3433" s="112" t="s">
        <v>6952</v>
      </c>
      <c r="L3433" s="112">
        <v>40.650509</v>
      </c>
      <c r="M3433" s="112">
        <v>41.307361999999998</v>
      </c>
      <c r="N3433" s="112">
        <v>-0.65685300000000002</v>
      </c>
    </row>
    <row r="3434" spans="1:17" s="110" customFormat="1" ht="31.75" customHeight="1">
      <c r="A3434" s="114" t="s">
        <v>7489</v>
      </c>
      <c r="B3434" s="114" t="s">
        <v>7490</v>
      </c>
      <c r="C3434" s="113">
        <v>2020</v>
      </c>
      <c r="D3434" s="112">
        <v>199</v>
      </c>
      <c r="E3434" s="112">
        <v>768.26447599999995</v>
      </c>
      <c r="F3434" s="112">
        <v>236.73176699999999</v>
      </c>
      <c r="G3434" s="112">
        <v>534.07546600000001</v>
      </c>
      <c r="H3434" s="112">
        <v>96.880685999999997</v>
      </c>
      <c r="I3434" s="112">
        <v>10.446424</v>
      </c>
      <c r="J3434" s="112">
        <v>10.602263000000001</v>
      </c>
      <c r="K3434" s="112" t="s">
        <v>6952</v>
      </c>
      <c r="L3434" s="112">
        <v>81.195582999999999</v>
      </c>
      <c r="M3434" s="112">
        <v>77.687033</v>
      </c>
      <c r="N3434" s="112">
        <v>3.5085489999999999</v>
      </c>
      <c r="O3434" s="119"/>
      <c r="P3434" s="119"/>
      <c r="Q3434" s="119"/>
    </row>
    <row r="3435" spans="1:17" s="110" customFormat="1" ht="31.75" customHeight="1">
      <c r="A3435" s="109" t="s">
        <v>7491</v>
      </c>
      <c r="B3435" s="109" t="s">
        <v>7492</v>
      </c>
      <c r="C3435" s="98">
        <v>2008</v>
      </c>
      <c r="D3435" s="99">
        <v>1472</v>
      </c>
      <c r="E3435" s="99">
        <v>10036</v>
      </c>
      <c r="F3435" s="99">
        <v>2578</v>
      </c>
      <c r="G3435" s="99">
        <v>7438</v>
      </c>
      <c r="H3435" s="99">
        <v>1869</v>
      </c>
      <c r="I3435" s="99">
        <v>113</v>
      </c>
      <c r="J3435" s="99">
        <v>233</v>
      </c>
      <c r="K3435" s="99">
        <v>120</v>
      </c>
      <c r="L3435" s="99">
        <v>767</v>
      </c>
      <c r="M3435" s="99">
        <v>772</v>
      </c>
      <c r="N3435" s="99">
        <v>-4</v>
      </c>
      <c r="O3435" s="119"/>
      <c r="P3435" s="119"/>
      <c r="Q3435" s="119"/>
    </row>
    <row r="3436" spans="1:17" s="110" customFormat="1" ht="31.75" customHeight="1">
      <c r="A3436" s="109" t="s">
        <v>7491</v>
      </c>
      <c r="B3436" s="109" t="s">
        <v>7492</v>
      </c>
      <c r="C3436" s="98">
        <v>2009</v>
      </c>
      <c r="D3436" s="99">
        <v>1267</v>
      </c>
      <c r="E3436" s="99">
        <v>6892</v>
      </c>
      <c r="F3436" s="99">
        <v>1657</v>
      </c>
      <c r="G3436" s="99">
        <v>5112</v>
      </c>
      <c r="H3436" s="99">
        <v>1416</v>
      </c>
      <c r="I3436" s="99" t="s">
        <v>6953</v>
      </c>
      <c r="J3436" s="99">
        <v>110</v>
      </c>
      <c r="K3436" s="99" t="s">
        <v>6953</v>
      </c>
      <c r="L3436" s="99">
        <v>505</v>
      </c>
      <c r="M3436" s="99">
        <v>624</v>
      </c>
      <c r="N3436" s="99">
        <v>-119</v>
      </c>
      <c r="O3436" s="119"/>
      <c r="P3436" s="119"/>
      <c r="Q3436" s="119"/>
    </row>
    <row r="3437" spans="1:17" s="110" customFormat="1" ht="31.75" customHeight="1">
      <c r="A3437" s="109" t="s">
        <v>7491</v>
      </c>
      <c r="B3437" s="109" t="s">
        <v>7492</v>
      </c>
      <c r="C3437" s="98">
        <v>2010</v>
      </c>
      <c r="D3437" s="99">
        <v>1214</v>
      </c>
      <c r="E3437" s="99">
        <v>8478</v>
      </c>
      <c r="F3437" s="99">
        <v>2619</v>
      </c>
      <c r="G3437" s="99">
        <v>5898</v>
      </c>
      <c r="H3437" s="99">
        <v>1397</v>
      </c>
      <c r="I3437" s="99" t="s">
        <v>6953</v>
      </c>
      <c r="J3437" s="99">
        <v>215</v>
      </c>
      <c r="K3437" s="99" t="s">
        <v>6953</v>
      </c>
      <c r="L3437" s="99">
        <v>636</v>
      </c>
      <c r="M3437" s="99">
        <v>595</v>
      </c>
      <c r="N3437" s="99">
        <v>42</v>
      </c>
      <c r="O3437" s="119"/>
      <c r="P3437" s="119"/>
      <c r="Q3437" s="119"/>
    </row>
    <row r="3438" spans="1:17" s="110" customFormat="1" ht="31.75" customHeight="1">
      <c r="A3438" s="109" t="s">
        <v>7491</v>
      </c>
      <c r="B3438" s="109" t="s">
        <v>7492</v>
      </c>
      <c r="C3438" s="98">
        <v>2011</v>
      </c>
      <c r="D3438" s="99">
        <v>1134</v>
      </c>
      <c r="E3438" s="99">
        <v>9908</v>
      </c>
      <c r="F3438" s="99">
        <v>2845</v>
      </c>
      <c r="G3438" s="99">
        <v>7173</v>
      </c>
      <c r="H3438" s="99">
        <v>1406</v>
      </c>
      <c r="I3438" s="99">
        <v>235</v>
      </c>
      <c r="J3438" s="99">
        <v>259</v>
      </c>
      <c r="K3438" s="99">
        <v>25</v>
      </c>
      <c r="L3438" s="99">
        <v>788</v>
      </c>
      <c r="M3438" s="99">
        <v>677</v>
      </c>
      <c r="N3438" s="99">
        <v>111</v>
      </c>
    </row>
    <row r="3439" spans="1:17" s="110" customFormat="1" ht="31.75" customHeight="1">
      <c r="A3439" s="109" t="s">
        <v>7491</v>
      </c>
      <c r="B3439" s="109" t="s">
        <v>7492</v>
      </c>
      <c r="C3439" s="111">
        <v>2012</v>
      </c>
      <c r="D3439" s="112">
        <v>1084</v>
      </c>
      <c r="E3439" s="112">
        <v>9818</v>
      </c>
      <c r="F3439" s="112">
        <v>2776</v>
      </c>
      <c r="G3439" s="112">
        <v>7047</v>
      </c>
      <c r="H3439" s="112">
        <v>1399</v>
      </c>
      <c r="I3439" s="112">
        <v>341</v>
      </c>
      <c r="J3439" s="99" t="s">
        <v>6953</v>
      </c>
      <c r="K3439" s="99" t="s">
        <v>6953</v>
      </c>
      <c r="L3439" s="112">
        <v>748</v>
      </c>
      <c r="M3439" s="112">
        <v>730</v>
      </c>
      <c r="N3439" s="112">
        <v>18</v>
      </c>
    </row>
    <row r="3440" spans="1:17" s="110" customFormat="1" ht="31.75" customHeight="1">
      <c r="A3440" s="109" t="s">
        <v>7491</v>
      </c>
      <c r="B3440" s="109" t="s">
        <v>7492</v>
      </c>
      <c r="C3440" s="113">
        <v>2013</v>
      </c>
      <c r="D3440" s="112">
        <v>1076</v>
      </c>
      <c r="E3440" s="112">
        <v>10132</v>
      </c>
      <c r="F3440" s="112">
        <v>2605</v>
      </c>
      <c r="G3440" s="112">
        <v>7591</v>
      </c>
      <c r="H3440" s="112">
        <v>1525</v>
      </c>
      <c r="I3440" s="112">
        <v>367</v>
      </c>
      <c r="J3440" s="112">
        <v>454</v>
      </c>
      <c r="K3440" s="112">
        <v>87</v>
      </c>
      <c r="L3440" s="112">
        <v>845</v>
      </c>
      <c r="M3440" s="112">
        <v>775</v>
      </c>
      <c r="N3440" s="112">
        <v>70</v>
      </c>
      <c r="O3440" s="100"/>
      <c r="P3440" s="100"/>
      <c r="Q3440" s="100"/>
    </row>
    <row r="3441" spans="1:17" s="110" customFormat="1" ht="31.75" customHeight="1">
      <c r="A3441" s="109" t="s">
        <v>7491</v>
      </c>
      <c r="B3441" s="109" t="s">
        <v>7492</v>
      </c>
      <c r="C3441" s="113">
        <v>2014</v>
      </c>
      <c r="D3441" s="99">
        <v>1078</v>
      </c>
      <c r="E3441" s="99">
        <v>10198</v>
      </c>
      <c r="F3441" s="99">
        <v>2788</v>
      </c>
      <c r="G3441" s="99">
        <v>7452</v>
      </c>
      <c r="H3441" s="99">
        <v>1625</v>
      </c>
      <c r="I3441" s="99">
        <v>289</v>
      </c>
      <c r="J3441" s="99">
        <v>307</v>
      </c>
      <c r="K3441" s="99">
        <v>18</v>
      </c>
      <c r="L3441" s="99">
        <v>848</v>
      </c>
      <c r="M3441" s="99">
        <v>818</v>
      </c>
      <c r="N3441" s="99">
        <v>30</v>
      </c>
    </row>
    <row r="3442" spans="1:17" s="110" customFormat="1" ht="31.75" customHeight="1">
      <c r="A3442" s="109" t="s">
        <v>7491</v>
      </c>
      <c r="B3442" s="109" t="s">
        <v>7492</v>
      </c>
      <c r="C3442" s="113">
        <v>2015</v>
      </c>
      <c r="D3442" s="112">
        <v>1097</v>
      </c>
      <c r="E3442" s="112">
        <v>10306</v>
      </c>
      <c r="F3442" s="112">
        <v>2714</v>
      </c>
      <c r="G3442" s="112">
        <v>7597</v>
      </c>
      <c r="H3442" s="112">
        <v>1721</v>
      </c>
      <c r="I3442" s="112">
        <v>445</v>
      </c>
      <c r="J3442" s="99" t="s">
        <v>6953</v>
      </c>
      <c r="K3442" s="99" t="s">
        <v>6953</v>
      </c>
      <c r="L3442" s="112">
        <v>739</v>
      </c>
      <c r="M3442" s="112">
        <v>745</v>
      </c>
      <c r="N3442" s="112">
        <v>-6</v>
      </c>
      <c r="O3442" s="100"/>
      <c r="P3442" s="100"/>
      <c r="Q3442" s="100"/>
    </row>
    <row r="3443" spans="1:17" s="110" customFormat="1" ht="31.75" customHeight="1">
      <c r="A3443" s="109" t="s">
        <v>7491</v>
      </c>
      <c r="B3443" s="109" t="s">
        <v>7492</v>
      </c>
      <c r="C3443" s="113">
        <v>2016</v>
      </c>
      <c r="D3443" s="112">
        <v>1166</v>
      </c>
      <c r="E3443" s="112">
        <v>11988</v>
      </c>
      <c r="F3443" s="112">
        <v>3413</v>
      </c>
      <c r="G3443" s="112">
        <v>8647</v>
      </c>
      <c r="H3443" s="112">
        <v>1838</v>
      </c>
      <c r="I3443" s="99" t="s">
        <v>6953</v>
      </c>
      <c r="J3443" s="112">
        <v>519</v>
      </c>
      <c r="K3443" s="99" t="s">
        <v>6953</v>
      </c>
      <c r="L3443" s="112">
        <v>816</v>
      </c>
      <c r="M3443" s="112">
        <v>754</v>
      </c>
      <c r="N3443" s="112">
        <v>62</v>
      </c>
      <c r="O3443" s="100"/>
      <c r="P3443" s="100"/>
      <c r="Q3443" s="100"/>
    </row>
    <row r="3444" spans="1:17" s="110" customFormat="1" ht="31.75" customHeight="1">
      <c r="A3444" s="109" t="s">
        <v>7491</v>
      </c>
      <c r="B3444" s="109" t="s">
        <v>7492</v>
      </c>
      <c r="C3444" s="113">
        <v>2017</v>
      </c>
      <c r="D3444" s="112">
        <v>1238</v>
      </c>
      <c r="E3444" s="112">
        <v>12920</v>
      </c>
      <c r="F3444" s="112">
        <v>3695</v>
      </c>
      <c r="G3444" s="112">
        <v>9270</v>
      </c>
      <c r="H3444" s="112">
        <v>1926</v>
      </c>
      <c r="I3444" s="112">
        <v>329</v>
      </c>
      <c r="J3444" s="112">
        <v>356</v>
      </c>
      <c r="K3444" s="112">
        <v>27</v>
      </c>
      <c r="L3444" s="112">
        <v>886</v>
      </c>
      <c r="M3444" s="112">
        <v>847</v>
      </c>
      <c r="N3444" s="112">
        <v>39</v>
      </c>
    </row>
    <row r="3445" spans="1:17" s="110" customFormat="1" ht="31.75" customHeight="1">
      <c r="A3445" s="109" t="s">
        <v>7491</v>
      </c>
      <c r="B3445" s="109" t="s">
        <v>7492</v>
      </c>
      <c r="C3445" s="113">
        <v>2018</v>
      </c>
      <c r="D3445" s="112">
        <v>1340</v>
      </c>
      <c r="E3445" s="112">
        <v>12803</v>
      </c>
      <c r="F3445" s="112">
        <v>3490</v>
      </c>
      <c r="G3445" s="112">
        <v>9365</v>
      </c>
      <c r="H3445" s="112">
        <v>1985</v>
      </c>
      <c r="I3445" s="112">
        <v>319</v>
      </c>
      <c r="J3445" s="112">
        <v>332</v>
      </c>
      <c r="K3445" s="112">
        <v>13</v>
      </c>
      <c r="L3445" s="112">
        <v>1013</v>
      </c>
      <c r="M3445" s="112">
        <v>963</v>
      </c>
      <c r="N3445" s="112">
        <v>49</v>
      </c>
    </row>
    <row r="3446" spans="1:17" s="110" customFormat="1" ht="31.75" customHeight="1">
      <c r="A3446" s="109" t="s">
        <v>7491</v>
      </c>
      <c r="B3446" s="109" t="s">
        <v>7492</v>
      </c>
      <c r="C3446" s="113">
        <v>2019</v>
      </c>
      <c r="D3446" s="112">
        <v>1408</v>
      </c>
      <c r="E3446" s="112">
        <v>12065.448723</v>
      </c>
      <c r="F3446" s="112">
        <v>3075.9751339999998</v>
      </c>
      <c r="G3446" s="112">
        <v>9001.8779130000003</v>
      </c>
      <c r="H3446" s="112">
        <v>2002.1647390000001</v>
      </c>
      <c r="I3446" s="112">
        <v>367.94294600000001</v>
      </c>
      <c r="J3446" s="112">
        <v>395.04128100000003</v>
      </c>
      <c r="K3446" s="112">
        <v>27.098336</v>
      </c>
      <c r="L3446" s="112">
        <v>963.96455600000002</v>
      </c>
      <c r="M3446" s="112">
        <v>955.037418</v>
      </c>
      <c r="N3446" s="112">
        <v>8.9271370000000001</v>
      </c>
      <c r="O3446" s="119"/>
      <c r="P3446" s="119"/>
      <c r="Q3446" s="119"/>
    </row>
    <row r="3447" spans="1:17" s="110" customFormat="1" ht="31.75" customHeight="1">
      <c r="A3447" s="114" t="s">
        <v>7491</v>
      </c>
      <c r="B3447" s="114" t="s">
        <v>7492</v>
      </c>
      <c r="C3447" s="113">
        <v>2020</v>
      </c>
      <c r="D3447" s="112">
        <v>1369</v>
      </c>
      <c r="E3447" s="112">
        <v>8341.8589740000007</v>
      </c>
      <c r="F3447" s="112">
        <v>2080.2716850000002</v>
      </c>
      <c r="G3447" s="112">
        <v>6269.7938489999997</v>
      </c>
      <c r="H3447" s="112">
        <v>1596.1454120000001</v>
      </c>
      <c r="I3447" s="112">
        <v>189.47878499999999</v>
      </c>
      <c r="J3447" s="112">
        <v>229.29171099999999</v>
      </c>
      <c r="K3447" s="112">
        <v>39.812925999999997</v>
      </c>
      <c r="L3447" s="112">
        <v>870.05270399999995</v>
      </c>
      <c r="M3447" s="112">
        <v>909.50727099999995</v>
      </c>
      <c r="N3447" s="112">
        <v>-39.454566999999997</v>
      </c>
      <c r="O3447" s="119"/>
      <c r="P3447" s="119"/>
      <c r="Q3447" s="119"/>
    </row>
    <row r="3448" spans="1:17" s="110" customFormat="1" ht="17.5" customHeight="1">
      <c r="A3448" s="109" t="s">
        <v>7493</v>
      </c>
      <c r="B3448" s="109" t="s">
        <v>7494</v>
      </c>
      <c r="C3448" s="98">
        <v>2008</v>
      </c>
      <c r="D3448" s="99">
        <v>1777</v>
      </c>
      <c r="E3448" s="99">
        <v>23275</v>
      </c>
      <c r="F3448" s="99">
        <v>9198</v>
      </c>
      <c r="G3448" s="99">
        <v>14877</v>
      </c>
      <c r="H3448" s="99">
        <v>5307</v>
      </c>
      <c r="I3448" s="99">
        <v>567</v>
      </c>
      <c r="J3448" s="99">
        <v>641</v>
      </c>
      <c r="K3448" s="99">
        <v>74</v>
      </c>
      <c r="L3448" s="99">
        <v>5176</v>
      </c>
      <c r="M3448" s="99">
        <v>4524</v>
      </c>
      <c r="N3448" s="99">
        <v>652</v>
      </c>
      <c r="O3448" s="119"/>
      <c r="P3448" s="119"/>
      <c r="Q3448" s="119"/>
    </row>
    <row r="3449" spans="1:17" s="110" customFormat="1" ht="17.5" customHeight="1">
      <c r="A3449" s="109" t="s">
        <v>7493</v>
      </c>
      <c r="B3449" s="109" t="s">
        <v>7494</v>
      </c>
      <c r="C3449" s="98">
        <v>2009</v>
      </c>
      <c r="D3449" s="99">
        <v>1867</v>
      </c>
      <c r="E3449" s="99">
        <v>26003</v>
      </c>
      <c r="F3449" s="99">
        <v>8206</v>
      </c>
      <c r="G3449" s="99">
        <v>18123</v>
      </c>
      <c r="H3449" s="99">
        <v>5450</v>
      </c>
      <c r="I3449" s="99">
        <v>616</v>
      </c>
      <c r="J3449" s="99">
        <v>701</v>
      </c>
      <c r="K3449" s="99">
        <v>85</v>
      </c>
      <c r="L3449" s="99">
        <v>5666</v>
      </c>
      <c r="M3449" s="99">
        <v>5356</v>
      </c>
      <c r="N3449" s="99">
        <v>310</v>
      </c>
      <c r="O3449" s="119"/>
      <c r="P3449" s="119"/>
      <c r="Q3449" s="119"/>
    </row>
    <row r="3450" spans="1:17" s="110" customFormat="1" ht="17.5" customHeight="1">
      <c r="A3450" s="109" t="s">
        <v>7493</v>
      </c>
      <c r="B3450" s="109" t="s">
        <v>7494</v>
      </c>
      <c r="C3450" s="98">
        <v>2010</v>
      </c>
      <c r="D3450" s="99">
        <v>1856</v>
      </c>
      <c r="E3450" s="99">
        <v>26819</v>
      </c>
      <c r="F3450" s="99">
        <v>8081</v>
      </c>
      <c r="G3450" s="99">
        <v>18631</v>
      </c>
      <c r="H3450" s="99">
        <v>5572</v>
      </c>
      <c r="I3450" s="99">
        <v>672</v>
      </c>
      <c r="J3450" s="99">
        <v>794</v>
      </c>
      <c r="K3450" s="99">
        <v>122</v>
      </c>
      <c r="L3450" s="99">
        <v>5193</v>
      </c>
      <c r="M3450" s="99">
        <v>5363</v>
      </c>
      <c r="N3450" s="99">
        <v>-170</v>
      </c>
    </row>
    <row r="3451" spans="1:17" s="110" customFormat="1" ht="17.5" customHeight="1">
      <c r="A3451" s="109" t="s">
        <v>7493</v>
      </c>
      <c r="B3451" s="109" t="s">
        <v>7494</v>
      </c>
      <c r="C3451" s="98">
        <v>2011</v>
      </c>
      <c r="D3451" s="99">
        <v>1817</v>
      </c>
      <c r="E3451" s="99">
        <v>28208</v>
      </c>
      <c r="F3451" s="99">
        <v>9605</v>
      </c>
      <c r="G3451" s="99">
        <v>18436</v>
      </c>
      <c r="H3451" s="99">
        <v>5322</v>
      </c>
      <c r="I3451" s="99">
        <v>709</v>
      </c>
      <c r="J3451" s="99">
        <v>858</v>
      </c>
      <c r="K3451" s="99">
        <v>149</v>
      </c>
      <c r="L3451" s="99">
        <v>5109</v>
      </c>
      <c r="M3451" s="99">
        <v>5305</v>
      </c>
      <c r="N3451" s="99">
        <v>-196</v>
      </c>
    </row>
    <row r="3452" spans="1:17" s="110" customFormat="1" ht="17.5" customHeight="1">
      <c r="A3452" s="109" t="s">
        <v>7493</v>
      </c>
      <c r="B3452" s="109" t="s">
        <v>7494</v>
      </c>
      <c r="C3452" s="111">
        <v>2012</v>
      </c>
      <c r="D3452" s="112">
        <v>1876</v>
      </c>
      <c r="E3452" s="112">
        <v>29197</v>
      </c>
      <c r="F3452" s="112">
        <v>9680</v>
      </c>
      <c r="G3452" s="112">
        <v>19839</v>
      </c>
      <c r="H3452" s="112">
        <v>5544</v>
      </c>
      <c r="I3452" s="112">
        <v>802</v>
      </c>
      <c r="J3452" s="112">
        <v>920</v>
      </c>
      <c r="K3452" s="112">
        <v>118</v>
      </c>
      <c r="L3452" s="112">
        <v>5463</v>
      </c>
      <c r="M3452" s="112">
        <v>5149</v>
      </c>
      <c r="N3452" s="112">
        <v>314</v>
      </c>
      <c r="O3452" s="100"/>
      <c r="P3452" s="100"/>
      <c r="Q3452" s="100"/>
    </row>
    <row r="3453" spans="1:17" s="110" customFormat="1" ht="17.5" customHeight="1">
      <c r="A3453" s="109" t="s">
        <v>7493</v>
      </c>
      <c r="B3453" s="109" t="s">
        <v>7494</v>
      </c>
      <c r="C3453" s="113">
        <v>2013</v>
      </c>
      <c r="D3453" s="112">
        <v>1943</v>
      </c>
      <c r="E3453" s="112">
        <v>31595</v>
      </c>
      <c r="F3453" s="112">
        <v>11562</v>
      </c>
      <c r="G3453" s="112">
        <v>20202</v>
      </c>
      <c r="H3453" s="112">
        <v>5870</v>
      </c>
      <c r="I3453" s="99" t="s">
        <v>6953</v>
      </c>
      <c r="J3453" s="112">
        <v>1012</v>
      </c>
      <c r="K3453" s="99" t="s">
        <v>6953</v>
      </c>
      <c r="L3453" s="112">
        <v>5721</v>
      </c>
      <c r="M3453" s="112">
        <v>5567</v>
      </c>
      <c r="N3453" s="112">
        <v>154</v>
      </c>
    </row>
    <row r="3454" spans="1:17" s="110" customFormat="1" ht="17.5" customHeight="1">
      <c r="A3454" s="109" t="s">
        <v>7493</v>
      </c>
      <c r="B3454" s="109" t="s">
        <v>7494</v>
      </c>
      <c r="C3454" s="113">
        <v>2014</v>
      </c>
      <c r="D3454" s="99">
        <v>2032</v>
      </c>
      <c r="E3454" s="99">
        <v>31090</v>
      </c>
      <c r="F3454" s="99">
        <v>7679</v>
      </c>
      <c r="G3454" s="99">
        <v>23464</v>
      </c>
      <c r="H3454" s="99">
        <v>5942</v>
      </c>
      <c r="I3454" s="99">
        <v>1008</v>
      </c>
      <c r="J3454" s="99">
        <v>1042</v>
      </c>
      <c r="K3454" s="99">
        <v>33</v>
      </c>
      <c r="L3454" s="99">
        <v>5748</v>
      </c>
      <c r="M3454" s="99">
        <v>5751</v>
      </c>
      <c r="N3454" s="99">
        <v>-3</v>
      </c>
      <c r="O3454" s="100"/>
      <c r="P3454" s="100"/>
      <c r="Q3454" s="100"/>
    </row>
    <row r="3455" spans="1:17" s="110" customFormat="1" ht="17.5" customHeight="1">
      <c r="A3455" s="109" t="s">
        <v>7493</v>
      </c>
      <c r="B3455" s="109" t="s">
        <v>7494</v>
      </c>
      <c r="C3455" s="113">
        <v>2015</v>
      </c>
      <c r="D3455" s="112">
        <v>2180</v>
      </c>
      <c r="E3455" s="112">
        <v>32824</v>
      </c>
      <c r="F3455" s="112">
        <v>9563</v>
      </c>
      <c r="G3455" s="112">
        <v>23386</v>
      </c>
      <c r="H3455" s="112">
        <v>6350</v>
      </c>
      <c r="I3455" s="112">
        <v>1022</v>
      </c>
      <c r="J3455" s="112">
        <v>1129</v>
      </c>
      <c r="K3455" s="112">
        <v>107</v>
      </c>
      <c r="L3455" s="112">
        <v>4709</v>
      </c>
      <c r="M3455" s="112">
        <v>4676</v>
      </c>
      <c r="N3455" s="112">
        <v>33</v>
      </c>
      <c r="O3455" s="100"/>
      <c r="P3455" s="100"/>
      <c r="Q3455" s="100"/>
    </row>
    <row r="3456" spans="1:17" s="110" customFormat="1" ht="17.5" customHeight="1">
      <c r="A3456" s="109" t="s">
        <v>7493</v>
      </c>
      <c r="B3456" s="109" t="s">
        <v>7494</v>
      </c>
      <c r="C3456" s="113">
        <v>2016</v>
      </c>
      <c r="D3456" s="112">
        <v>2347</v>
      </c>
      <c r="E3456" s="112">
        <v>37215</v>
      </c>
      <c r="F3456" s="112">
        <v>9368</v>
      </c>
      <c r="G3456" s="112">
        <v>28424</v>
      </c>
      <c r="H3456" s="112">
        <v>6885</v>
      </c>
      <c r="I3456" s="112">
        <v>1681</v>
      </c>
      <c r="J3456" s="112">
        <v>1776</v>
      </c>
      <c r="K3456" s="112">
        <v>94</v>
      </c>
      <c r="L3456" s="112">
        <v>6414</v>
      </c>
      <c r="M3456" s="112">
        <v>5838</v>
      </c>
      <c r="N3456" s="112">
        <v>576</v>
      </c>
    </row>
    <row r="3457" spans="1:17" s="110" customFormat="1" ht="17.5" customHeight="1">
      <c r="A3457" s="109" t="s">
        <v>7493</v>
      </c>
      <c r="B3457" s="109" t="s">
        <v>7494</v>
      </c>
      <c r="C3457" s="113">
        <v>2017</v>
      </c>
      <c r="D3457" s="112">
        <v>2394</v>
      </c>
      <c r="E3457" s="112">
        <v>40527</v>
      </c>
      <c r="F3457" s="112">
        <v>13363</v>
      </c>
      <c r="G3457" s="112">
        <v>26860</v>
      </c>
      <c r="H3457" s="112">
        <v>6975</v>
      </c>
      <c r="I3457" s="112">
        <v>1255</v>
      </c>
      <c r="J3457" s="112">
        <v>1296</v>
      </c>
      <c r="K3457" s="112">
        <v>41</v>
      </c>
      <c r="L3457" s="112">
        <v>5962</v>
      </c>
      <c r="M3457" s="112">
        <v>6323</v>
      </c>
      <c r="N3457" s="112">
        <v>-361</v>
      </c>
    </row>
    <row r="3458" spans="1:17" s="110" customFormat="1" ht="17.5" customHeight="1">
      <c r="A3458" s="109" t="s">
        <v>7493</v>
      </c>
      <c r="B3458" s="109" t="s">
        <v>7494</v>
      </c>
      <c r="C3458" s="113">
        <v>2018</v>
      </c>
      <c r="D3458" s="112">
        <v>2357</v>
      </c>
      <c r="E3458" s="112">
        <v>37208</v>
      </c>
      <c r="F3458" s="112">
        <v>9953</v>
      </c>
      <c r="G3458" s="112">
        <v>27763</v>
      </c>
      <c r="H3458" s="112">
        <v>7601</v>
      </c>
      <c r="I3458" s="112">
        <v>1857</v>
      </c>
      <c r="J3458" s="112">
        <v>1920</v>
      </c>
      <c r="K3458" s="112">
        <v>63</v>
      </c>
      <c r="L3458" s="112">
        <v>5673</v>
      </c>
      <c r="M3458" s="112">
        <v>5231</v>
      </c>
      <c r="N3458" s="112">
        <v>441</v>
      </c>
      <c r="O3458" s="119"/>
      <c r="P3458" s="119"/>
      <c r="Q3458" s="119"/>
    </row>
    <row r="3459" spans="1:17" s="110" customFormat="1" ht="17.5" customHeight="1">
      <c r="A3459" s="109" t="s">
        <v>7493</v>
      </c>
      <c r="B3459" s="109" t="s">
        <v>7494</v>
      </c>
      <c r="C3459" s="113">
        <v>2019</v>
      </c>
      <c r="D3459" s="112">
        <v>2287</v>
      </c>
      <c r="E3459" s="112">
        <v>36603.208959000003</v>
      </c>
      <c r="F3459" s="112">
        <v>9897.9263329999994</v>
      </c>
      <c r="G3459" s="112">
        <v>27374.224759000001</v>
      </c>
      <c r="H3459" s="112">
        <v>7515.7673519999998</v>
      </c>
      <c r="I3459" s="112">
        <v>1467.642556</v>
      </c>
      <c r="J3459" s="112">
        <v>1511.2951599999999</v>
      </c>
      <c r="K3459" s="112">
        <v>43.652603999999997</v>
      </c>
      <c r="L3459" s="112">
        <v>6606.8031000000001</v>
      </c>
      <c r="M3459" s="112">
        <v>6053.2661959999996</v>
      </c>
      <c r="N3459" s="112">
        <v>553.53690500000005</v>
      </c>
      <c r="O3459" s="119"/>
      <c r="P3459" s="119"/>
      <c r="Q3459" s="119"/>
    </row>
    <row r="3460" spans="1:17" s="110" customFormat="1" ht="17.5" customHeight="1">
      <c r="A3460" s="114" t="s">
        <v>7493</v>
      </c>
      <c r="B3460" s="114" t="s">
        <v>7494</v>
      </c>
      <c r="C3460" s="113">
        <v>2020</v>
      </c>
      <c r="D3460" s="112">
        <v>2233</v>
      </c>
      <c r="E3460" s="112">
        <v>28365.762693000001</v>
      </c>
      <c r="F3460" s="112">
        <v>8464.4363259999991</v>
      </c>
      <c r="G3460" s="112">
        <v>20415.816429999999</v>
      </c>
      <c r="H3460" s="112">
        <v>7093.1384029999999</v>
      </c>
      <c r="I3460" s="112">
        <v>1189.260796</v>
      </c>
      <c r="J3460" s="112">
        <v>1215.7420970000001</v>
      </c>
      <c r="K3460" s="112">
        <v>26.481300999999998</v>
      </c>
      <c r="L3460" s="112">
        <v>6912.0937670000003</v>
      </c>
      <c r="M3460" s="112">
        <v>6478.6285470000003</v>
      </c>
      <c r="N3460" s="112">
        <v>433.46521899999999</v>
      </c>
      <c r="O3460" s="119"/>
      <c r="P3460" s="119"/>
      <c r="Q3460" s="119"/>
    </row>
    <row r="3461" spans="1:17" s="110" customFormat="1" ht="17.5" customHeight="1">
      <c r="A3461" s="109" t="s">
        <v>7495</v>
      </c>
      <c r="B3461" s="109" t="s">
        <v>7496</v>
      </c>
      <c r="C3461" s="98">
        <v>2008</v>
      </c>
      <c r="D3461" s="99">
        <v>1094</v>
      </c>
      <c r="E3461" s="99">
        <v>3419</v>
      </c>
      <c r="F3461" s="99">
        <v>1347</v>
      </c>
      <c r="G3461" s="99">
        <v>2121</v>
      </c>
      <c r="H3461" s="99">
        <v>1048</v>
      </c>
      <c r="I3461" s="99">
        <v>66</v>
      </c>
      <c r="J3461" s="99">
        <v>91</v>
      </c>
      <c r="K3461" s="99">
        <v>25</v>
      </c>
      <c r="L3461" s="99">
        <v>363</v>
      </c>
      <c r="M3461" s="99">
        <v>450</v>
      </c>
      <c r="N3461" s="99">
        <v>-87</v>
      </c>
      <c r="O3461" s="119"/>
      <c r="P3461" s="119"/>
      <c r="Q3461" s="119"/>
    </row>
    <row r="3462" spans="1:17" s="110" customFormat="1" ht="17.5" customHeight="1">
      <c r="A3462" s="109" t="s">
        <v>7495</v>
      </c>
      <c r="B3462" s="109" t="s">
        <v>7496</v>
      </c>
      <c r="C3462" s="98">
        <v>2009</v>
      </c>
      <c r="D3462" s="99">
        <v>1096</v>
      </c>
      <c r="E3462" s="99">
        <v>3712</v>
      </c>
      <c r="F3462" s="99">
        <v>1273</v>
      </c>
      <c r="G3462" s="99">
        <v>2459</v>
      </c>
      <c r="H3462" s="99">
        <v>1098</v>
      </c>
      <c r="I3462" s="99">
        <v>103</v>
      </c>
      <c r="J3462" s="99">
        <v>106</v>
      </c>
      <c r="K3462" s="99">
        <v>3</v>
      </c>
      <c r="L3462" s="99">
        <v>360</v>
      </c>
      <c r="M3462" s="99">
        <v>346</v>
      </c>
      <c r="N3462" s="99">
        <v>15</v>
      </c>
    </row>
    <row r="3463" spans="1:17" s="110" customFormat="1" ht="17.5" customHeight="1">
      <c r="A3463" s="109" t="s">
        <v>7495</v>
      </c>
      <c r="B3463" s="109" t="s">
        <v>7496</v>
      </c>
      <c r="C3463" s="98">
        <v>2010</v>
      </c>
      <c r="D3463" s="99">
        <v>1033</v>
      </c>
      <c r="E3463" s="99">
        <v>4187</v>
      </c>
      <c r="F3463" s="99">
        <v>1608</v>
      </c>
      <c r="G3463" s="99">
        <v>2588</v>
      </c>
      <c r="H3463" s="99">
        <v>1153</v>
      </c>
      <c r="I3463" s="99">
        <v>75</v>
      </c>
      <c r="J3463" s="99">
        <v>121</v>
      </c>
      <c r="K3463" s="99">
        <v>46</v>
      </c>
      <c r="L3463" s="99">
        <v>362</v>
      </c>
      <c r="M3463" s="99">
        <v>359</v>
      </c>
      <c r="N3463" s="99">
        <v>3</v>
      </c>
    </row>
    <row r="3464" spans="1:17" s="110" customFormat="1" ht="17.5" customHeight="1">
      <c r="A3464" s="109" t="s">
        <v>7495</v>
      </c>
      <c r="B3464" s="109" t="s">
        <v>7496</v>
      </c>
      <c r="C3464" s="98">
        <v>2011</v>
      </c>
      <c r="D3464" s="99">
        <v>969</v>
      </c>
      <c r="E3464" s="99">
        <v>4161</v>
      </c>
      <c r="F3464" s="99">
        <v>1585</v>
      </c>
      <c r="G3464" s="99">
        <v>2605</v>
      </c>
      <c r="H3464" s="99">
        <v>1146</v>
      </c>
      <c r="I3464" s="99">
        <v>133</v>
      </c>
      <c r="J3464" s="99">
        <v>144</v>
      </c>
      <c r="K3464" s="99">
        <v>11</v>
      </c>
      <c r="L3464" s="99">
        <v>346</v>
      </c>
      <c r="M3464" s="99">
        <v>322</v>
      </c>
      <c r="N3464" s="99">
        <v>24</v>
      </c>
      <c r="O3464" s="100"/>
      <c r="P3464" s="100"/>
      <c r="Q3464" s="100"/>
    </row>
    <row r="3465" spans="1:17" s="110" customFormat="1" ht="17.5" customHeight="1">
      <c r="A3465" s="109" t="s">
        <v>7495</v>
      </c>
      <c r="B3465" s="109" t="s">
        <v>7496</v>
      </c>
      <c r="C3465" s="111">
        <v>2012</v>
      </c>
      <c r="D3465" s="112">
        <v>932</v>
      </c>
      <c r="E3465" s="112">
        <v>4522</v>
      </c>
      <c r="F3465" s="112">
        <v>1693</v>
      </c>
      <c r="G3465" s="112">
        <v>2810</v>
      </c>
      <c r="H3465" s="112">
        <v>1169</v>
      </c>
      <c r="I3465" s="112">
        <v>83</v>
      </c>
      <c r="J3465" s="112">
        <v>90</v>
      </c>
      <c r="K3465" s="112">
        <v>7</v>
      </c>
      <c r="L3465" s="112">
        <v>352</v>
      </c>
      <c r="M3465" s="112">
        <v>376</v>
      </c>
      <c r="N3465" s="112">
        <v>-24</v>
      </c>
    </row>
    <row r="3466" spans="1:17" s="110" customFormat="1" ht="17.5" customHeight="1">
      <c r="A3466" s="109" t="s">
        <v>7495</v>
      </c>
      <c r="B3466" s="109" t="s">
        <v>7496</v>
      </c>
      <c r="C3466" s="113">
        <v>2013</v>
      </c>
      <c r="D3466" s="112">
        <v>925</v>
      </c>
      <c r="E3466" s="112">
        <v>4492</v>
      </c>
      <c r="F3466" s="112">
        <v>1424</v>
      </c>
      <c r="G3466" s="112">
        <v>3017</v>
      </c>
      <c r="H3466" s="112">
        <v>1281</v>
      </c>
      <c r="I3466" s="99" t="s">
        <v>6953</v>
      </c>
      <c r="J3466" s="112">
        <v>186</v>
      </c>
      <c r="K3466" s="99" t="s">
        <v>6953</v>
      </c>
      <c r="L3466" s="112">
        <v>362</v>
      </c>
      <c r="M3466" s="112">
        <v>414</v>
      </c>
      <c r="N3466" s="112">
        <v>-52</v>
      </c>
      <c r="O3466" s="100"/>
      <c r="P3466" s="100"/>
      <c r="Q3466" s="100"/>
    </row>
    <row r="3467" spans="1:17" s="110" customFormat="1" ht="17.5" customHeight="1">
      <c r="A3467" s="109" t="s">
        <v>7495</v>
      </c>
      <c r="B3467" s="109" t="s">
        <v>7496</v>
      </c>
      <c r="C3467" s="113">
        <v>2014</v>
      </c>
      <c r="D3467" s="99">
        <v>914</v>
      </c>
      <c r="E3467" s="99">
        <v>4710</v>
      </c>
      <c r="F3467" s="99">
        <v>1805</v>
      </c>
      <c r="G3467" s="99">
        <v>2978</v>
      </c>
      <c r="H3467" s="99">
        <v>1301</v>
      </c>
      <c r="I3467" s="99">
        <v>179</v>
      </c>
      <c r="J3467" s="99">
        <v>195</v>
      </c>
      <c r="K3467" s="99">
        <v>16</v>
      </c>
      <c r="L3467" s="99">
        <v>458</v>
      </c>
      <c r="M3467" s="99">
        <v>394</v>
      </c>
      <c r="N3467" s="99">
        <v>65</v>
      </c>
      <c r="O3467" s="100"/>
      <c r="P3467" s="100"/>
      <c r="Q3467" s="100"/>
    </row>
    <row r="3468" spans="1:17" s="110" customFormat="1" ht="17.5" customHeight="1">
      <c r="A3468" s="109" t="s">
        <v>7495</v>
      </c>
      <c r="B3468" s="109" t="s">
        <v>7496</v>
      </c>
      <c r="C3468" s="113">
        <v>2015</v>
      </c>
      <c r="D3468" s="112">
        <v>972</v>
      </c>
      <c r="E3468" s="112">
        <v>5004</v>
      </c>
      <c r="F3468" s="112">
        <v>1864</v>
      </c>
      <c r="G3468" s="112">
        <v>3123</v>
      </c>
      <c r="H3468" s="112">
        <v>1271</v>
      </c>
      <c r="I3468" s="112">
        <v>187</v>
      </c>
      <c r="J3468" s="112">
        <v>201</v>
      </c>
      <c r="K3468" s="112">
        <v>13</v>
      </c>
      <c r="L3468" s="112">
        <v>346</v>
      </c>
      <c r="M3468" s="112">
        <v>390</v>
      </c>
      <c r="N3468" s="112">
        <v>-44</v>
      </c>
    </row>
    <row r="3469" spans="1:17" s="110" customFormat="1" ht="17.5" customHeight="1">
      <c r="A3469" s="109" t="s">
        <v>7495</v>
      </c>
      <c r="B3469" s="109" t="s">
        <v>7496</v>
      </c>
      <c r="C3469" s="113">
        <v>2016</v>
      </c>
      <c r="D3469" s="112">
        <v>1008</v>
      </c>
      <c r="E3469" s="112">
        <v>5341</v>
      </c>
      <c r="F3469" s="112">
        <v>2031</v>
      </c>
      <c r="G3469" s="112">
        <v>3377</v>
      </c>
      <c r="H3469" s="112">
        <v>1359</v>
      </c>
      <c r="I3469" s="112">
        <v>405</v>
      </c>
      <c r="J3469" s="112">
        <v>407</v>
      </c>
      <c r="K3469" s="112">
        <v>2</v>
      </c>
      <c r="L3469" s="112">
        <v>457</v>
      </c>
      <c r="M3469" s="112">
        <v>405</v>
      </c>
      <c r="N3469" s="112">
        <v>53</v>
      </c>
    </row>
    <row r="3470" spans="1:17" s="110" customFormat="1" ht="17.5" customHeight="1">
      <c r="A3470" s="109" t="s">
        <v>7495</v>
      </c>
      <c r="B3470" s="109" t="s">
        <v>7496</v>
      </c>
      <c r="C3470" s="113">
        <v>2017</v>
      </c>
      <c r="D3470" s="112">
        <v>956</v>
      </c>
      <c r="E3470" s="112">
        <v>5190</v>
      </c>
      <c r="F3470" s="112">
        <v>2219</v>
      </c>
      <c r="G3470" s="112">
        <v>2950</v>
      </c>
      <c r="H3470" s="112">
        <v>1461</v>
      </c>
      <c r="I3470" s="112">
        <v>294</v>
      </c>
      <c r="J3470" s="112">
        <v>297</v>
      </c>
      <c r="K3470" s="112">
        <v>3</v>
      </c>
      <c r="L3470" s="112">
        <v>428</v>
      </c>
      <c r="M3470" s="112">
        <v>456</v>
      </c>
      <c r="N3470" s="112">
        <v>-28</v>
      </c>
      <c r="O3470" s="119"/>
      <c r="P3470" s="119"/>
      <c r="Q3470" s="119"/>
    </row>
    <row r="3471" spans="1:17" s="110" customFormat="1" ht="17.5" customHeight="1">
      <c r="A3471" s="109" t="s">
        <v>7495</v>
      </c>
      <c r="B3471" s="109" t="s">
        <v>7496</v>
      </c>
      <c r="C3471" s="113">
        <v>2018</v>
      </c>
      <c r="D3471" s="112">
        <v>933</v>
      </c>
      <c r="E3471" s="112">
        <v>4758</v>
      </c>
      <c r="F3471" s="112">
        <v>2047</v>
      </c>
      <c r="G3471" s="112">
        <v>2676</v>
      </c>
      <c r="H3471" s="112">
        <v>1506</v>
      </c>
      <c r="I3471" s="112">
        <v>472</v>
      </c>
      <c r="J3471" s="112">
        <v>479</v>
      </c>
      <c r="K3471" s="112">
        <v>7</v>
      </c>
      <c r="L3471" s="112">
        <v>366</v>
      </c>
      <c r="M3471" s="112">
        <v>410</v>
      </c>
      <c r="N3471" s="112">
        <v>-43</v>
      </c>
      <c r="O3471" s="119"/>
      <c r="P3471" s="119"/>
      <c r="Q3471" s="119"/>
    </row>
    <row r="3472" spans="1:17" s="110" customFormat="1" ht="17.5" customHeight="1">
      <c r="A3472" s="109" t="s">
        <v>7495</v>
      </c>
      <c r="B3472" s="109" t="s">
        <v>7496</v>
      </c>
      <c r="C3472" s="113">
        <v>2019</v>
      </c>
      <c r="D3472" s="112">
        <v>927</v>
      </c>
      <c r="E3472" s="112">
        <v>5168.6221649999998</v>
      </c>
      <c r="F3472" s="112">
        <v>2402.7321750000001</v>
      </c>
      <c r="G3472" s="112">
        <v>2799.0794989999999</v>
      </c>
      <c r="H3472" s="112">
        <v>1588.892994</v>
      </c>
      <c r="I3472" s="112">
        <v>149.443759</v>
      </c>
      <c r="J3472" s="112">
        <v>165.37205800000001</v>
      </c>
      <c r="K3472" s="112">
        <v>15.928299000000001</v>
      </c>
      <c r="L3472" s="112">
        <v>364.602283</v>
      </c>
      <c r="M3472" s="112">
        <v>330.56965700000001</v>
      </c>
      <c r="N3472" s="112">
        <v>34.032626</v>
      </c>
      <c r="O3472" s="119"/>
      <c r="P3472" s="119"/>
      <c r="Q3472" s="119"/>
    </row>
    <row r="3473" spans="1:17" s="110" customFormat="1" ht="17.5" customHeight="1">
      <c r="A3473" s="114" t="s">
        <v>7495</v>
      </c>
      <c r="B3473" s="114" t="s">
        <v>7496</v>
      </c>
      <c r="C3473" s="113">
        <v>2020</v>
      </c>
      <c r="D3473" s="112">
        <v>912</v>
      </c>
      <c r="E3473" s="112">
        <v>4802.6997110000002</v>
      </c>
      <c r="F3473" s="112">
        <v>2198.0159480000002</v>
      </c>
      <c r="G3473" s="112">
        <v>2572.764201</v>
      </c>
      <c r="H3473" s="112">
        <v>1585.988818</v>
      </c>
      <c r="I3473" s="112">
        <v>170.293902</v>
      </c>
      <c r="J3473" s="112">
        <v>174.04777100000001</v>
      </c>
      <c r="K3473" s="112">
        <v>3.7538689999999999</v>
      </c>
      <c r="L3473" s="112">
        <v>322.77151800000001</v>
      </c>
      <c r="M3473" s="112">
        <v>360.56127500000002</v>
      </c>
      <c r="N3473" s="112">
        <v>-37.789757000000002</v>
      </c>
      <c r="O3473" s="119"/>
      <c r="P3473" s="119"/>
      <c r="Q3473" s="119"/>
    </row>
    <row r="3474" spans="1:17" s="110" customFormat="1" ht="17.5" customHeight="1">
      <c r="A3474" s="109" t="s">
        <v>7497</v>
      </c>
      <c r="B3474" s="109" t="s">
        <v>7498</v>
      </c>
      <c r="C3474" s="98">
        <v>2008</v>
      </c>
      <c r="D3474" s="99">
        <v>472</v>
      </c>
      <c r="E3474" s="99">
        <v>2396</v>
      </c>
      <c r="F3474" s="99">
        <v>789</v>
      </c>
      <c r="G3474" s="99">
        <v>1485</v>
      </c>
      <c r="H3474" s="99">
        <v>771</v>
      </c>
      <c r="I3474" s="99">
        <v>36</v>
      </c>
      <c r="J3474" s="99">
        <v>50</v>
      </c>
      <c r="K3474" s="99">
        <v>14</v>
      </c>
      <c r="L3474" s="99">
        <v>148</v>
      </c>
      <c r="M3474" s="99">
        <v>274</v>
      </c>
      <c r="N3474" s="99">
        <v>-126</v>
      </c>
    </row>
    <row r="3475" spans="1:17" s="110" customFormat="1" ht="17.5" customHeight="1">
      <c r="A3475" s="109" t="s">
        <v>7497</v>
      </c>
      <c r="B3475" s="109" t="s">
        <v>7498</v>
      </c>
      <c r="C3475" s="98">
        <v>2009</v>
      </c>
      <c r="D3475" s="99">
        <v>477</v>
      </c>
      <c r="E3475" s="99">
        <v>2771</v>
      </c>
      <c r="F3475" s="99">
        <v>923</v>
      </c>
      <c r="G3475" s="99">
        <v>1859</v>
      </c>
      <c r="H3475" s="99">
        <v>796</v>
      </c>
      <c r="I3475" s="99">
        <v>82</v>
      </c>
      <c r="J3475" s="99">
        <v>84</v>
      </c>
      <c r="K3475" s="99">
        <v>2</v>
      </c>
      <c r="L3475" s="99">
        <v>174</v>
      </c>
      <c r="M3475" s="99">
        <v>165</v>
      </c>
      <c r="N3475" s="99">
        <v>8</v>
      </c>
    </row>
    <row r="3476" spans="1:17" s="110" customFormat="1" ht="17.5" customHeight="1">
      <c r="A3476" s="109" t="s">
        <v>7497</v>
      </c>
      <c r="B3476" s="109" t="s">
        <v>7498</v>
      </c>
      <c r="C3476" s="98">
        <v>2010</v>
      </c>
      <c r="D3476" s="99">
        <v>439</v>
      </c>
      <c r="E3476" s="99">
        <v>3248</v>
      </c>
      <c r="F3476" s="99">
        <v>1293</v>
      </c>
      <c r="G3476" s="99">
        <v>1971</v>
      </c>
      <c r="H3476" s="99">
        <v>897</v>
      </c>
      <c r="I3476" s="99">
        <v>58</v>
      </c>
      <c r="J3476" s="99">
        <v>104</v>
      </c>
      <c r="K3476" s="99">
        <v>45</v>
      </c>
      <c r="L3476" s="99">
        <v>178</v>
      </c>
      <c r="M3476" s="99">
        <v>164</v>
      </c>
      <c r="N3476" s="99">
        <v>14</v>
      </c>
      <c r="O3476" s="100"/>
      <c r="P3476" s="100"/>
      <c r="Q3476" s="100"/>
    </row>
    <row r="3477" spans="1:17" s="110" customFormat="1" ht="17.5" customHeight="1">
      <c r="A3477" s="109" t="s">
        <v>7497</v>
      </c>
      <c r="B3477" s="109" t="s">
        <v>7498</v>
      </c>
      <c r="C3477" s="98">
        <v>2011</v>
      </c>
      <c r="D3477" s="99">
        <v>417</v>
      </c>
      <c r="E3477" s="99">
        <v>3284</v>
      </c>
      <c r="F3477" s="99">
        <v>1272</v>
      </c>
      <c r="G3477" s="99">
        <v>2023</v>
      </c>
      <c r="H3477" s="99">
        <v>884</v>
      </c>
      <c r="I3477" s="99">
        <v>112</v>
      </c>
      <c r="J3477" s="99">
        <v>120</v>
      </c>
      <c r="K3477" s="99">
        <v>8</v>
      </c>
      <c r="L3477" s="99">
        <v>152</v>
      </c>
      <c r="M3477" s="99">
        <v>146</v>
      </c>
      <c r="N3477" s="99">
        <v>6</v>
      </c>
    </row>
    <row r="3478" spans="1:17" s="110" customFormat="1" ht="17.5" customHeight="1">
      <c r="A3478" s="109" t="s">
        <v>7497</v>
      </c>
      <c r="B3478" s="109" t="s">
        <v>7498</v>
      </c>
      <c r="C3478" s="111">
        <v>2012</v>
      </c>
      <c r="D3478" s="112">
        <v>391</v>
      </c>
      <c r="E3478" s="112">
        <v>3584</v>
      </c>
      <c r="F3478" s="112">
        <v>1371</v>
      </c>
      <c r="G3478" s="112">
        <v>2224</v>
      </c>
      <c r="H3478" s="112">
        <v>911</v>
      </c>
      <c r="I3478" s="112">
        <v>70</v>
      </c>
      <c r="J3478" s="112">
        <v>74</v>
      </c>
      <c r="K3478" s="112">
        <v>4</v>
      </c>
      <c r="L3478" s="112">
        <v>184</v>
      </c>
      <c r="M3478" s="112">
        <v>177</v>
      </c>
      <c r="N3478" s="112">
        <v>8</v>
      </c>
      <c r="O3478" s="100"/>
      <c r="P3478" s="100"/>
      <c r="Q3478" s="100"/>
    </row>
    <row r="3479" spans="1:17" s="110" customFormat="1" ht="17.5" customHeight="1">
      <c r="A3479" s="109" t="s">
        <v>7497</v>
      </c>
      <c r="B3479" s="109" t="s">
        <v>7498</v>
      </c>
      <c r="C3479" s="113">
        <v>2013</v>
      </c>
      <c r="D3479" s="112">
        <v>395</v>
      </c>
      <c r="E3479" s="112">
        <v>3682</v>
      </c>
      <c r="F3479" s="112">
        <v>1215</v>
      </c>
      <c r="G3479" s="112">
        <v>2410</v>
      </c>
      <c r="H3479" s="112">
        <v>1001</v>
      </c>
      <c r="I3479" s="99" t="s">
        <v>6953</v>
      </c>
      <c r="J3479" s="112">
        <v>156</v>
      </c>
      <c r="K3479" s="99" t="s">
        <v>6953</v>
      </c>
      <c r="L3479" s="112">
        <v>152</v>
      </c>
      <c r="M3479" s="112">
        <v>208</v>
      </c>
      <c r="N3479" s="112">
        <v>-57</v>
      </c>
      <c r="O3479" s="100"/>
      <c r="P3479" s="100"/>
      <c r="Q3479" s="100"/>
    </row>
    <row r="3480" spans="1:17" s="110" customFormat="1" ht="17.5" customHeight="1">
      <c r="A3480" s="109" t="s">
        <v>7497</v>
      </c>
      <c r="B3480" s="109" t="s">
        <v>7498</v>
      </c>
      <c r="C3480" s="113">
        <v>2014</v>
      </c>
      <c r="D3480" s="99">
        <v>416</v>
      </c>
      <c r="E3480" s="99">
        <v>3926</v>
      </c>
      <c r="F3480" s="99">
        <v>1559</v>
      </c>
      <c r="G3480" s="99">
        <v>2425</v>
      </c>
      <c r="H3480" s="99">
        <v>1054</v>
      </c>
      <c r="I3480" s="99">
        <v>155</v>
      </c>
      <c r="J3480" s="99">
        <v>171</v>
      </c>
      <c r="K3480" s="99">
        <v>16</v>
      </c>
      <c r="L3480" s="99">
        <v>249</v>
      </c>
      <c r="M3480" s="99">
        <v>192</v>
      </c>
      <c r="N3480" s="99">
        <v>57</v>
      </c>
    </row>
    <row r="3481" spans="1:17" s="110" customFormat="1" ht="17.5" customHeight="1">
      <c r="A3481" s="109" t="s">
        <v>7497</v>
      </c>
      <c r="B3481" s="109" t="s">
        <v>7498</v>
      </c>
      <c r="C3481" s="113">
        <v>2015</v>
      </c>
      <c r="D3481" s="112">
        <v>471</v>
      </c>
      <c r="E3481" s="112">
        <v>4174</v>
      </c>
      <c r="F3481" s="112">
        <v>1558</v>
      </c>
      <c r="G3481" s="112">
        <v>2617</v>
      </c>
      <c r="H3481" s="112">
        <v>1029</v>
      </c>
      <c r="I3481" s="112">
        <v>166</v>
      </c>
      <c r="J3481" s="112">
        <v>179</v>
      </c>
      <c r="K3481" s="112">
        <v>13</v>
      </c>
      <c r="L3481" s="112">
        <v>172</v>
      </c>
      <c r="M3481" s="112">
        <v>186</v>
      </c>
      <c r="N3481" s="112">
        <v>-13</v>
      </c>
    </row>
    <row r="3482" spans="1:17" s="110" customFormat="1" ht="17.5" customHeight="1">
      <c r="A3482" s="109" t="s">
        <v>7497</v>
      </c>
      <c r="B3482" s="109" t="s">
        <v>7498</v>
      </c>
      <c r="C3482" s="113">
        <v>2016</v>
      </c>
      <c r="D3482" s="112">
        <v>512</v>
      </c>
      <c r="E3482" s="112">
        <v>4619</v>
      </c>
      <c r="F3482" s="112">
        <v>1793</v>
      </c>
      <c r="G3482" s="112">
        <v>2899</v>
      </c>
      <c r="H3482" s="112">
        <v>1127</v>
      </c>
      <c r="I3482" s="112">
        <v>376</v>
      </c>
      <c r="J3482" s="112">
        <v>378</v>
      </c>
      <c r="K3482" s="112">
        <v>1</v>
      </c>
      <c r="L3482" s="112">
        <v>287</v>
      </c>
      <c r="M3482" s="112">
        <v>219</v>
      </c>
      <c r="N3482" s="112">
        <v>68</v>
      </c>
      <c r="O3482" s="119"/>
      <c r="P3482" s="119"/>
      <c r="Q3482" s="119"/>
    </row>
    <row r="3483" spans="1:17" s="110" customFormat="1" ht="17.5" customHeight="1">
      <c r="A3483" s="109" t="s">
        <v>7497</v>
      </c>
      <c r="B3483" s="109" t="s">
        <v>7498</v>
      </c>
      <c r="C3483" s="113">
        <v>2017</v>
      </c>
      <c r="D3483" s="112">
        <v>449</v>
      </c>
      <c r="E3483" s="112">
        <v>4330</v>
      </c>
      <c r="F3483" s="112">
        <v>1929</v>
      </c>
      <c r="G3483" s="112">
        <v>2353</v>
      </c>
      <c r="H3483" s="112">
        <v>1166</v>
      </c>
      <c r="I3483" s="112">
        <v>273</v>
      </c>
      <c r="J3483" s="112">
        <v>275</v>
      </c>
      <c r="K3483" s="112">
        <v>2</v>
      </c>
      <c r="L3483" s="112">
        <v>244</v>
      </c>
      <c r="M3483" s="112">
        <v>293</v>
      </c>
      <c r="N3483" s="112">
        <v>-49</v>
      </c>
      <c r="O3483" s="119"/>
      <c r="P3483" s="119"/>
      <c r="Q3483" s="119"/>
    </row>
    <row r="3484" spans="1:17" s="110" customFormat="1" ht="17.5" customHeight="1">
      <c r="A3484" s="109" t="s">
        <v>7497</v>
      </c>
      <c r="B3484" s="109" t="s">
        <v>7498</v>
      </c>
      <c r="C3484" s="113">
        <v>2018</v>
      </c>
      <c r="D3484" s="112">
        <v>434</v>
      </c>
      <c r="E3484" s="112">
        <v>3812</v>
      </c>
      <c r="F3484" s="112">
        <v>1696</v>
      </c>
      <c r="G3484" s="112">
        <v>2020</v>
      </c>
      <c r="H3484" s="112">
        <v>1195</v>
      </c>
      <c r="I3484" s="112">
        <v>444</v>
      </c>
      <c r="J3484" s="112">
        <v>449</v>
      </c>
      <c r="K3484" s="112">
        <v>5</v>
      </c>
      <c r="L3484" s="112">
        <v>135</v>
      </c>
      <c r="M3484" s="112">
        <v>230</v>
      </c>
      <c r="N3484" s="112">
        <v>-95</v>
      </c>
      <c r="O3484" s="119"/>
      <c r="P3484" s="119"/>
      <c r="Q3484" s="119"/>
    </row>
    <row r="3485" spans="1:17" s="110" customFormat="1" ht="17.5" customHeight="1">
      <c r="A3485" s="109" t="s">
        <v>7497</v>
      </c>
      <c r="B3485" s="109" t="s">
        <v>7498</v>
      </c>
      <c r="C3485" s="113">
        <v>2019</v>
      </c>
      <c r="D3485" s="112">
        <v>407</v>
      </c>
      <c r="E3485" s="112">
        <v>4126.9647219999997</v>
      </c>
      <c r="F3485" s="112">
        <v>2021.079583</v>
      </c>
      <c r="G3485" s="112">
        <v>2138.3685129999999</v>
      </c>
      <c r="H3485" s="112">
        <v>1214.0056099999999</v>
      </c>
      <c r="I3485" s="112">
        <v>120.870994</v>
      </c>
      <c r="J3485" s="112">
        <v>135.81130099999999</v>
      </c>
      <c r="K3485" s="112">
        <v>14.940307000000001</v>
      </c>
      <c r="L3485" s="112">
        <v>136.51228699999999</v>
      </c>
      <c r="M3485" s="112">
        <v>103.06416299999999</v>
      </c>
      <c r="N3485" s="112">
        <v>33.448124</v>
      </c>
      <c r="O3485" s="119"/>
      <c r="P3485" s="119"/>
      <c r="Q3485" s="119"/>
    </row>
    <row r="3486" spans="1:17" s="110" customFormat="1" ht="17.5" customHeight="1">
      <c r="A3486" s="114" t="s">
        <v>7497</v>
      </c>
      <c r="B3486" s="114" t="s">
        <v>7498</v>
      </c>
      <c r="C3486" s="113">
        <v>2020</v>
      </c>
      <c r="D3486" s="112">
        <v>397</v>
      </c>
      <c r="E3486" s="112">
        <v>4051.2730900000001</v>
      </c>
      <c r="F3486" s="112">
        <v>1963.24666</v>
      </c>
      <c r="G3486" s="112">
        <v>2090.1041439999999</v>
      </c>
      <c r="H3486" s="112">
        <v>1288.3512780000001</v>
      </c>
      <c r="I3486" s="112">
        <v>139.53061199999999</v>
      </c>
      <c r="J3486" s="112">
        <v>141.67085</v>
      </c>
      <c r="K3486" s="112">
        <v>2.1402380000000001</v>
      </c>
      <c r="L3486" s="112">
        <v>155.732055</v>
      </c>
      <c r="M3486" s="112">
        <v>149.205703</v>
      </c>
      <c r="N3486" s="112">
        <v>6.5263520000000002</v>
      </c>
    </row>
    <row r="3487" spans="1:17" s="110" customFormat="1" ht="17.5" customHeight="1">
      <c r="A3487" s="109" t="s">
        <v>7499</v>
      </c>
      <c r="B3487" s="109" t="s">
        <v>7500</v>
      </c>
      <c r="C3487" s="98">
        <v>2008</v>
      </c>
      <c r="D3487" s="99">
        <v>622</v>
      </c>
      <c r="E3487" s="99">
        <v>1023</v>
      </c>
      <c r="F3487" s="99">
        <v>558</v>
      </c>
      <c r="G3487" s="99">
        <v>636</v>
      </c>
      <c r="H3487" s="99">
        <v>277</v>
      </c>
      <c r="I3487" s="99">
        <v>30</v>
      </c>
      <c r="J3487" s="99">
        <v>40</v>
      </c>
      <c r="K3487" s="99">
        <v>11</v>
      </c>
      <c r="L3487" s="99">
        <v>216</v>
      </c>
      <c r="M3487" s="99">
        <v>176</v>
      </c>
      <c r="N3487" s="99">
        <v>39</v>
      </c>
    </row>
    <row r="3488" spans="1:17" s="110" customFormat="1" ht="17.5" customHeight="1">
      <c r="A3488" s="109" t="s">
        <v>7499</v>
      </c>
      <c r="B3488" s="109" t="s">
        <v>7500</v>
      </c>
      <c r="C3488" s="98">
        <v>2009</v>
      </c>
      <c r="D3488" s="99">
        <v>619</v>
      </c>
      <c r="E3488" s="99">
        <v>942</v>
      </c>
      <c r="F3488" s="99">
        <v>350</v>
      </c>
      <c r="G3488" s="99">
        <v>600</v>
      </c>
      <c r="H3488" s="99">
        <v>302</v>
      </c>
      <c r="I3488" s="99">
        <v>22</v>
      </c>
      <c r="J3488" s="99">
        <v>22</v>
      </c>
      <c r="K3488" s="99">
        <v>1</v>
      </c>
      <c r="L3488" s="99">
        <v>186</v>
      </c>
      <c r="M3488" s="99">
        <v>180</v>
      </c>
      <c r="N3488" s="99">
        <v>6</v>
      </c>
      <c r="O3488" s="100"/>
      <c r="P3488" s="100"/>
      <c r="Q3488" s="100"/>
    </row>
    <row r="3489" spans="1:17" s="110" customFormat="1" ht="17.5" customHeight="1">
      <c r="A3489" s="109" t="s">
        <v>7499</v>
      </c>
      <c r="B3489" s="109" t="s">
        <v>7500</v>
      </c>
      <c r="C3489" s="98">
        <v>2010</v>
      </c>
      <c r="D3489" s="99">
        <v>594</v>
      </c>
      <c r="E3489" s="99">
        <v>939</v>
      </c>
      <c r="F3489" s="99">
        <v>315</v>
      </c>
      <c r="G3489" s="99">
        <v>617</v>
      </c>
      <c r="H3489" s="99">
        <v>256</v>
      </c>
      <c r="I3489" s="99">
        <v>17</v>
      </c>
      <c r="J3489" s="99">
        <v>18</v>
      </c>
      <c r="K3489" s="99">
        <v>1</v>
      </c>
      <c r="L3489" s="99">
        <v>184</v>
      </c>
      <c r="M3489" s="99">
        <v>195</v>
      </c>
      <c r="N3489" s="99">
        <v>-11</v>
      </c>
    </row>
    <row r="3490" spans="1:17" s="110" customFormat="1" ht="17.5" customHeight="1">
      <c r="A3490" s="109" t="s">
        <v>7499</v>
      </c>
      <c r="B3490" s="109" t="s">
        <v>7500</v>
      </c>
      <c r="C3490" s="98">
        <v>2011</v>
      </c>
      <c r="D3490" s="99">
        <v>552</v>
      </c>
      <c r="E3490" s="99">
        <v>877</v>
      </c>
      <c r="F3490" s="99">
        <v>314</v>
      </c>
      <c r="G3490" s="99">
        <v>582</v>
      </c>
      <c r="H3490" s="99">
        <v>262</v>
      </c>
      <c r="I3490" s="99">
        <v>21</v>
      </c>
      <c r="J3490" s="99">
        <v>25</v>
      </c>
      <c r="K3490" s="99">
        <v>4</v>
      </c>
      <c r="L3490" s="99">
        <v>194</v>
      </c>
      <c r="M3490" s="99">
        <v>176</v>
      </c>
      <c r="N3490" s="99">
        <v>18</v>
      </c>
      <c r="O3490" s="100"/>
      <c r="P3490" s="100"/>
      <c r="Q3490" s="100"/>
    </row>
    <row r="3491" spans="1:17" s="110" customFormat="1" ht="17.5" customHeight="1">
      <c r="A3491" s="109" t="s">
        <v>7499</v>
      </c>
      <c r="B3491" s="109" t="s">
        <v>7500</v>
      </c>
      <c r="C3491" s="111">
        <v>2012</v>
      </c>
      <c r="D3491" s="112">
        <v>541</v>
      </c>
      <c r="E3491" s="112">
        <v>938</v>
      </c>
      <c r="F3491" s="112">
        <v>322</v>
      </c>
      <c r="G3491" s="112">
        <v>585</v>
      </c>
      <c r="H3491" s="112">
        <v>258</v>
      </c>
      <c r="I3491" s="112">
        <v>14</v>
      </c>
      <c r="J3491" s="112">
        <v>16</v>
      </c>
      <c r="K3491" s="112">
        <v>2</v>
      </c>
      <c r="L3491" s="112">
        <v>167</v>
      </c>
      <c r="M3491" s="112">
        <v>199</v>
      </c>
      <c r="N3491" s="112">
        <v>-32</v>
      </c>
      <c r="O3491" s="100"/>
      <c r="P3491" s="100"/>
      <c r="Q3491" s="100"/>
    </row>
    <row r="3492" spans="1:17" s="110" customFormat="1" ht="17.5" customHeight="1">
      <c r="A3492" s="109" t="s">
        <v>7499</v>
      </c>
      <c r="B3492" s="109" t="s">
        <v>7500</v>
      </c>
      <c r="C3492" s="113">
        <v>2013</v>
      </c>
      <c r="D3492" s="112">
        <v>530</v>
      </c>
      <c r="E3492" s="112">
        <v>811</v>
      </c>
      <c r="F3492" s="112">
        <v>209</v>
      </c>
      <c r="G3492" s="112">
        <v>607</v>
      </c>
      <c r="H3492" s="112">
        <v>280</v>
      </c>
      <c r="I3492" s="112">
        <v>30</v>
      </c>
      <c r="J3492" s="112">
        <v>30</v>
      </c>
      <c r="K3492" s="112">
        <v>1</v>
      </c>
      <c r="L3492" s="112">
        <v>211</v>
      </c>
      <c r="M3492" s="112">
        <v>206</v>
      </c>
      <c r="N3492" s="112">
        <v>5</v>
      </c>
    </row>
    <row r="3493" spans="1:17" s="110" customFormat="1" ht="17.5" customHeight="1">
      <c r="A3493" s="109" t="s">
        <v>7499</v>
      </c>
      <c r="B3493" s="109" t="s">
        <v>7500</v>
      </c>
      <c r="C3493" s="113">
        <v>2014</v>
      </c>
      <c r="D3493" s="99">
        <v>498</v>
      </c>
      <c r="E3493" s="99">
        <v>784</v>
      </c>
      <c r="F3493" s="99">
        <v>246</v>
      </c>
      <c r="G3493" s="99">
        <v>554</v>
      </c>
      <c r="H3493" s="99">
        <v>247</v>
      </c>
      <c r="I3493" s="99">
        <v>24</v>
      </c>
      <c r="J3493" s="99">
        <v>24</v>
      </c>
      <c r="K3493" s="99" t="s">
        <v>6952</v>
      </c>
      <c r="L3493" s="99">
        <v>209</v>
      </c>
      <c r="M3493" s="99">
        <v>201</v>
      </c>
      <c r="N3493" s="99">
        <v>8</v>
      </c>
    </row>
    <row r="3494" spans="1:17" s="110" customFormat="1" ht="17.5" customHeight="1">
      <c r="A3494" s="109" t="s">
        <v>7499</v>
      </c>
      <c r="B3494" s="109" t="s">
        <v>7500</v>
      </c>
      <c r="C3494" s="113">
        <v>2015</v>
      </c>
      <c r="D3494" s="112">
        <v>501</v>
      </c>
      <c r="E3494" s="112">
        <v>830</v>
      </c>
      <c r="F3494" s="112">
        <v>306</v>
      </c>
      <c r="G3494" s="112">
        <v>506</v>
      </c>
      <c r="H3494" s="112">
        <v>243</v>
      </c>
      <c r="I3494" s="112">
        <v>21</v>
      </c>
      <c r="J3494" s="112">
        <v>21</v>
      </c>
      <c r="K3494" s="99" t="s">
        <v>6952</v>
      </c>
      <c r="L3494" s="112">
        <v>173</v>
      </c>
      <c r="M3494" s="112">
        <v>204</v>
      </c>
      <c r="N3494" s="112">
        <v>-31</v>
      </c>
      <c r="O3494" s="119"/>
      <c r="P3494" s="119"/>
      <c r="Q3494" s="119"/>
    </row>
    <row r="3495" spans="1:17" s="110" customFormat="1" ht="17.5" customHeight="1">
      <c r="A3495" s="109" t="s">
        <v>7499</v>
      </c>
      <c r="B3495" s="109" t="s">
        <v>7500</v>
      </c>
      <c r="C3495" s="113">
        <v>2016</v>
      </c>
      <c r="D3495" s="112">
        <v>496</v>
      </c>
      <c r="E3495" s="112">
        <v>722</v>
      </c>
      <c r="F3495" s="112">
        <v>237</v>
      </c>
      <c r="G3495" s="112">
        <v>478</v>
      </c>
      <c r="H3495" s="112">
        <v>232</v>
      </c>
      <c r="I3495" s="112">
        <v>29</v>
      </c>
      <c r="J3495" s="112">
        <v>29</v>
      </c>
      <c r="K3495" s="99" t="s">
        <v>6952</v>
      </c>
      <c r="L3495" s="112">
        <v>170</v>
      </c>
      <c r="M3495" s="112">
        <v>186</v>
      </c>
      <c r="N3495" s="112">
        <v>-16</v>
      </c>
      <c r="O3495" s="119"/>
      <c r="P3495" s="119"/>
      <c r="Q3495" s="119"/>
    </row>
    <row r="3496" spans="1:17" s="110" customFormat="1" ht="17.5" customHeight="1">
      <c r="A3496" s="109" t="s">
        <v>7499</v>
      </c>
      <c r="B3496" s="109" t="s">
        <v>7500</v>
      </c>
      <c r="C3496" s="113">
        <v>2017</v>
      </c>
      <c r="D3496" s="112">
        <v>507</v>
      </c>
      <c r="E3496" s="112">
        <v>860</v>
      </c>
      <c r="F3496" s="112">
        <v>291</v>
      </c>
      <c r="G3496" s="112">
        <v>597</v>
      </c>
      <c r="H3496" s="112">
        <v>296</v>
      </c>
      <c r="I3496" s="112">
        <v>21</v>
      </c>
      <c r="J3496" s="112">
        <v>22</v>
      </c>
      <c r="K3496" s="112">
        <v>1</v>
      </c>
      <c r="L3496" s="112">
        <v>183</v>
      </c>
      <c r="M3496" s="112">
        <v>163</v>
      </c>
      <c r="N3496" s="112">
        <v>21</v>
      </c>
      <c r="O3496" s="119"/>
      <c r="P3496" s="119"/>
      <c r="Q3496" s="119"/>
    </row>
    <row r="3497" spans="1:17" s="110" customFormat="1" ht="17.5" customHeight="1">
      <c r="A3497" s="109" t="s">
        <v>7499</v>
      </c>
      <c r="B3497" s="109" t="s">
        <v>7500</v>
      </c>
      <c r="C3497" s="113">
        <v>2018</v>
      </c>
      <c r="D3497" s="112">
        <v>499</v>
      </c>
      <c r="E3497" s="112">
        <v>947</v>
      </c>
      <c r="F3497" s="112">
        <v>351</v>
      </c>
      <c r="G3497" s="112">
        <v>656</v>
      </c>
      <c r="H3497" s="112">
        <v>310</v>
      </c>
      <c r="I3497" s="112">
        <v>28</v>
      </c>
      <c r="J3497" s="112">
        <v>30</v>
      </c>
      <c r="K3497" s="112">
        <v>2</v>
      </c>
      <c r="L3497" s="112">
        <v>232</v>
      </c>
      <c r="M3497" s="112">
        <v>180</v>
      </c>
      <c r="N3497" s="112">
        <v>52</v>
      </c>
      <c r="O3497" s="119"/>
      <c r="P3497" s="119"/>
      <c r="Q3497" s="119"/>
    </row>
    <row r="3498" spans="1:17" s="110" customFormat="1" ht="17.5" customHeight="1">
      <c r="A3498" s="109" t="s">
        <v>7499</v>
      </c>
      <c r="B3498" s="109" t="s">
        <v>7500</v>
      </c>
      <c r="C3498" s="113">
        <v>2019</v>
      </c>
      <c r="D3498" s="112">
        <v>520</v>
      </c>
      <c r="E3498" s="112">
        <v>1041.6574430000001</v>
      </c>
      <c r="F3498" s="112">
        <v>381.65259200000003</v>
      </c>
      <c r="G3498" s="112">
        <v>660.71098600000005</v>
      </c>
      <c r="H3498" s="112">
        <v>374.887384</v>
      </c>
      <c r="I3498" s="112">
        <v>28.572765</v>
      </c>
      <c r="J3498" s="112">
        <v>29.560756999999999</v>
      </c>
      <c r="K3498" s="112">
        <v>0.98799199999999998</v>
      </c>
      <c r="L3498" s="112">
        <v>228.08999600000001</v>
      </c>
      <c r="M3498" s="112">
        <v>227.505494</v>
      </c>
      <c r="N3498" s="112">
        <v>0.58450199999999997</v>
      </c>
    </row>
    <row r="3499" spans="1:17" s="110" customFormat="1" ht="17.5" customHeight="1">
      <c r="A3499" s="114" t="s">
        <v>7499</v>
      </c>
      <c r="B3499" s="114" t="s">
        <v>7500</v>
      </c>
      <c r="C3499" s="113">
        <v>2020</v>
      </c>
      <c r="D3499" s="112">
        <v>515</v>
      </c>
      <c r="E3499" s="112">
        <v>751.42661999999996</v>
      </c>
      <c r="F3499" s="112">
        <v>234.76928799999999</v>
      </c>
      <c r="G3499" s="112">
        <v>482.66005699999999</v>
      </c>
      <c r="H3499" s="112">
        <v>297.637539</v>
      </c>
      <c r="I3499" s="112">
        <v>30.763290000000001</v>
      </c>
      <c r="J3499" s="112">
        <v>32.376921000000003</v>
      </c>
      <c r="K3499" s="112">
        <v>1.613632</v>
      </c>
      <c r="L3499" s="112">
        <v>167.03946199999999</v>
      </c>
      <c r="M3499" s="112">
        <v>211.355572</v>
      </c>
      <c r="N3499" s="112">
        <v>-44.316110000000002</v>
      </c>
    </row>
    <row r="3500" spans="1:17" s="110" customFormat="1" ht="31.75" customHeight="1">
      <c r="A3500" s="109" t="s">
        <v>7501</v>
      </c>
      <c r="B3500" s="109" t="s">
        <v>7502</v>
      </c>
      <c r="C3500" s="98">
        <v>2008</v>
      </c>
      <c r="D3500" s="99" t="s">
        <v>6953</v>
      </c>
      <c r="E3500" s="99" t="s">
        <v>6953</v>
      </c>
      <c r="F3500" s="99" t="s">
        <v>6953</v>
      </c>
      <c r="G3500" s="99" t="s">
        <v>6953</v>
      </c>
      <c r="H3500" s="99" t="s">
        <v>6953</v>
      </c>
      <c r="I3500" s="99" t="s">
        <v>6953</v>
      </c>
      <c r="J3500" s="99" t="s">
        <v>6953</v>
      </c>
      <c r="K3500" s="99" t="s">
        <v>6953</v>
      </c>
      <c r="L3500" s="99" t="s">
        <v>6953</v>
      </c>
      <c r="M3500" s="99" t="s">
        <v>6953</v>
      </c>
      <c r="N3500" s="99" t="s">
        <v>6953</v>
      </c>
      <c r="O3500" s="100"/>
      <c r="P3500" s="100"/>
      <c r="Q3500" s="100"/>
    </row>
    <row r="3501" spans="1:17" s="110" customFormat="1" ht="31.75" customHeight="1">
      <c r="A3501" s="109" t="s">
        <v>7501</v>
      </c>
      <c r="B3501" s="109" t="s">
        <v>7502</v>
      </c>
      <c r="C3501" s="98">
        <v>2009</v>
      </c>
      <c r="D3501" s="99">
        <v>40</v>
      </c>
      <c r="E3501" s="99">
        <v>1124</v>
      </c>
      <c r="F3501" s="99">
        <v>172</v>
      </c>
      <c r="G3501" s="99">
        <v>1075</v>
      </c>
      <c r="H3501" s="99" t="s">
        <v>6953</v>
      </c>
      <c r="I3501" s="99">
        <v>25</v>
      </c>
      <c r="J3501" s="99" t="s">
        <v>6953</v>
      </c>
      <c r="K3501" s="99" t="s">
        <v>6953</v>
      </c>
      <c r="L3501" s="99" t="s">
        <v>6953</v>
      </c>
      <c r="M3501" s="99" t="s">
        <v>6953</v>
      </c>
      <c r="N3501" s="99" t="s">
        <v>6953</v>
      </c>
    </row>
    <row r="3502" spans="1:17" s="110" customFormat="1" ht="31.75" customHeight="1">
      <c r="A3502" s="109" t="s">
        <v>7501</v>
      </c>
      <c r="B3502" s="109" t="s">
        <v>7502</v>
      </c>
      <c r="C3502" s="98">
        <v>2010</v>
      </c>
      <c r="D3502" s="99">
        <v>37</v>
      </c>
      <c r="E3502" s="99">
        <v>1320</v>
      </c>
      <c r="F3502" s="99">
        <v>356</v>
      </c>
      <c r="G3502" s="99">
        <v>893</v>
      </c>
      <c r="H3502" s="99" t="s">
        <v>6953</v>
      </c>
      <c r="I3502" s="99" t="s">
        <v>6953</v>
      </c>
      <c r="J3502" s="99" t="s">
        <v>6953</v>
      </c>
      <c r="K3502" s="99" t="s">
        <v>6953</v>
      </c>
      <c r="L3502" s="99" t="s">
        <v>6953</v>
      </c>
      <c r="M3502" s="99" t="s">
        <v>6953</v>
      </c>
      <c r="N3502" s="99" t="s">
        <v>6953</v>
      </c>
      <c r="O3502" s="100"/>
      <c r="P3502" s="100"/>
      <c r="Q3502" s="100"/>
    </row>
    <row r="3503" spans="1:17" s="110" customFormat="1" ht="31.75" customHeight="1">
      <c r="A3503" s="109" t="s">
        <v>7501</v>
      </c>
      <c r="B3503" s="109" t="s">
        <v>7502</v>
      </c>
      <c r="C3503" s="98">
        <v>2011</v>
      </c>
      <c r="D3503" s="99">
        <v>40</v>
      </c>
      <c r="E3503" s="99">
        <v>1549</v>
      </c>
      <c r="F3503" s="99">
        <v>419</v>
      </c>
      <c r="G3503" s="99">
        <v>849</v>
      </c>
      <c r="H3503" s="99">
        <v>176</v>
      </c>
      <c r="I3503" s="99">
        <v>12</v>
      </c>
      <c r="J3503" s="99">
        <v>12</v>
      </c>
      <c r="K3503" s="99" t="s">
        <v>6952</v>
      </c>
      <c r="L3503" s="99" t="s">
        <v>6953</v>
      </c>
      <c r="M3503" s="99" t="s">
        <v>6953</v>
      </c>
      <c r="N3503" s="99" t="s">
        <v>6953</v>
      </c>
      <c r="O3503" s="100"/>
      <c r="P3503" s="100"/>
      <c r="Q3503" s="100"/>
    </row>
    <row r="3504" spans="1:17" s="110" customFormat="1" ht="31.75" customHeight="1">
      <c r="A3504" s="109" t="s">
        <v>7501</v>
      </c>
      <c r="B3504" s="109" t="s">
        <v>7502</v>
      </c>
      <c r="C3504" s="111">
        <v>2012</v>
      </c>
      <c r="D3504" s="112">
        <v>52</v>
      </c>
      <c r="E3504" s="112">
        <v>1327</v>
      </c>
      <c r="F3504" s="112">
        <v>485</v>
      </c>
      <c r="G3504" s="112">
        <v>672</v>
      </c>
      <c r="H3504" s="112">
        <v>258</v>
      </c>
      <c r="I3504" s="112">
        <v>6</v>
      </c>
      <c r="J3504" s="99" t="s">
        <v>6953</v>
      </c>
      <c r="K3504" s="99" t="s">
        <v>6953</v>
      </c>
      <c r="L3504" s="112">
        <v>275</v>
      </c>
      <c r="M3504" s="99" t="s">
        <v>6953</v>
      </c>
      <c r="N3504" s="99" t="s">
        <v>6953</v>
      </c>
    </row>
    <row r="3505" spans="1:17" s="110" customFormat="1" ht="31.75" customHeight="1">
      <c r="A3505" s="109" t="s">
        <v>7501</v>
      </c>
      <c r="B3505" s="109" t="s">
        <v>7502</v>
      </c>
      <c r="C3505" s="113">
        <v>2013</v>
      </c>
      <c r="D3505" s="112">
        <v>65</v>
      </c>
      <c r="E3505" s="112">
        <v>1549</v>
      </c>
      <c r="F3505" s="112">
        <v>835</v>
      </c>
      <c r="G3505" s="112">
        <v>853</v>
      </c>
      <c r="H3505" s="112">
        <v>229</v>
      </c>
      <c r="I3505" s="112">
        <v>13</v>
      </c>
      <c r="J3505" s="112">
        <v>13</v>
      </c>
      <c r="K3505" s="112" t="s">
        <v>6952</v>
      </c>
      <c r="L3505" s="112">
        <v>412</v>
      </c>
      <c r="M3505" s="112">
        <v>272</v>
      </c>
      <c r="N3505" s="112">
        <v>139</v>
      </c>
    </row>
    <row r="3506" spans="1:17" s="110" customFormat="1" ht="31.75" customHeight="1">
      <c r="A3506" s="109" t="s">
        <v>7501</v>
      </c>
      <c r="B3506" s="109" t="s">
        <v>7502</v>
      </c>
      <c r="C3506" s="113">
        <v>2014</v>
      </c>
      <c r="D3506" s="99">
        <v>83</v>
      </c>
      <c r="E3506" s="99">
        <v>1298</v>
      </c>
      <c r="F3506" s="99">
        <v>422</v>
      </c>
      <c r="G3506" s="99">
        <v>704</v>
      </c>
      <c r="H3506" s="99">
        <v>261</v>
      </c>
      <c r="I3506" s="99">
        <v>18</v>
      </c>
      <c r="J3506" s="99">
        <v>18</v>
      </c>
      <c r="K3506" s="112" t="s">
        <v>6952</v>
      </c>
      <c r="L3506" s="99">
        <v>235</v>
      </c>
      <c r="M3506" s="99">
        <v>406</v>
      </c>
      <c r="N3506" s="99">
        <v>-172</v>
      </c>
      <c r="O3506" s="119"/>
      <c r="P3506" s="119"/>
      <c r="Q3506" s="119"/>
    </row>
    <row r="3507" spans="1:17" s="110" customFormat="1" ht="31.75" customHeight="1">
      <c r="A3507" s="109" t="s">
        <v>7501</v>
      </c>
      <c r="B3507" s="109" t="s">
        <v>7502</v>
      </c>
      <c r="C3507" s="113">
        <v>2015</v>
      </c>
      <c r="D3507" s="112">
        <v>106</v>
      </c>
      <c r="E3507" s="112">
        <v>1201</v>
      </c>
      <c r="F3507" s="112">
        <v>408</v>
      </c>
      <c r="G3507" s="112">
        <v>775</v>
      </c>
      <c r="H3507" s="112">
        <v>232</v>
      </c>
      <c r="I3507" s="99" t="s">
        <v>6953</v>
      </c>
      <c r="J3507" s="99" t="s">
        <v>6953</v>
      </c>
      <c r="K3507" s="112" t="s">
        <v>6952</v>
      </c>
      <c r="L3507" s="112">
        <v>214</v>
      </c>
      <c r="M3507" s="112">
        <v>237</v>
      </c>
      <c r="N3507" s="112">
        <v>-23</v>
      </c>
      <c r="O3507" s="119"/>
      <c r="P3507" s="119"/>
      <c r="Q3507" s="119"/>
    </row>
    <row r="3508" spans="1:17" s="110" customFormat="1" ht="31.75" customHeight="1">
      <c r="A3508" s="109" t="s">
        <v>7501</v>
      </c>
      <c r="B3508" s="109" t="s">
        <v>7502</v>
      </c>
      <c r="C3508" s="113">
        <v>2016</v>
      </c>
      <c r="D3508" s="112">
        <v>120</v>
      </c>
      <c r="E3508" s="112">
        <v>2079</v>
      </c>
      <c r="F3508" s="112">
        <v>554</v>
      </c>
      <c r="G3508" s="112">
        <v>1638</v>
      </c>
      <c r="H3508" s="112">
        <v>301</v>
      </c>
      <c r="I3508" s="99" t="s">
        <v>6953</v>
      </c>
      <c r="J3508" s="99" t="s">
        <v>6953</v>
      </c>
      <c r="K3508" s="99" t="s">
        <v>6953</v>
      </c>
      <c r="L3508" s="112">
        <v>336</v>
      </c>
      <c r="M3508" s="112">
        <v>232</v>
      </c>
      <c r="N3508" s="112">
        <v>104</v>
      </c>
      <c r="O3508" s="119"/>
      <c r="P3508" s="119"/>
      <c r="Q3508" s="119"/>
    </row>
    <row r="3509" spans="1:17" s="110" customFormat="1" ht="31.75" customHeight="1">
      <c r="A3509" s="109" t="s">
        <v>7501</v>
      </c>
      <c r="B3509" s="109" t="s">
        <v>7502</v>
      </c>
      <c r="C3509" s="113">
        <v>2017</v>
      </c>
      <c r="D3509" s="112">
        <v>127</v>
      </c>
      <c r="E3509" s="112">
        <v>2566</v>
      </c>
      <c r="F3509" s="112">
        <v>615</v>
      </c>
      <c r="G3509" s="112">
        <v>2192</v>
      </c>
      <c r="H3509" s="112">
        <v>347</v>
      </c>
      <c r="I3509" s="112">
        <v>70</v>
      </c>
      <c r="J3509" s="112">
        <v>70</v>
      </c>
      <c r="K3509" s="112" t="s">
        <v>6952</v>
      </c>
      <c r="L3509" s="112">
        <v>551</v>
      </c>
      <c r="M3509" s="112">
        <v>313</v>
      </c>
      <c r="N3509" s="112">
        <v>238</v>
      </c>
      <c r="O3509" s="119"/>
      <c r="P3509" s="119"/>
      <c r="Q3509" s="119"/>
    </row>
    <row r="3510" spans="1:17" s="110" customFormat="1" ht="31.75" customHeight="1">
      <c r="A3510" s="109" t="s">
        <v>7501</v>
      </c>
      <c r="B3510" s="109" t="s">
        <v>7502</v>
      </c>
      <c r="C3510" s="113">
        <v>2018</v>
      </c>
      <c r="D3510" s="112">
        <v>148</v>
      </c>
      <c r="E3510" s="112">
        <v>3219</v>
      </c>
      <c r="F3510" s="112">
        <v>1040</v>
      </c>
      <c r="G3510" s="112">
        <v>2448</v>
      </c>
      <c r="H3510" s="112">
        <v>424</v>
      </c>
      <c r="I3510" s="112">
        <v>11</v>
      </c>
      <c r="J3510" s="112">
        <v>13</v>
      </c>
      <c r="K3510" s="112">
        <v>2</v>
      </c>
      <c r="L3510" s="112">
        <v>655</v>
      </c>
      <c r="M3510" s="112">
        <v>389</v>
      </c>
      <c r="N3510" s="112">
        <v>266</v>
      </c>
    </row>
    <row r="3511" spans="1:17" s="110" customFormat="1" ht="31.75" customHeight="1">
      <c r="A3511" s="109" t="s">
        <v>7501</v>
      </c>
      <c r="B3511" s="109" t="s">
        <v>7502</v>
      </c>
      <c r="C3511" s="113">
        <v>2019</v>
      </c>
      <c r="D3511" s="112">
        <v>176</v>
      </c>
      <c r="E3511" s="112">
        <v>2497.2974869999998</v>
      </c>
      <c r="F3511" s="112" t="s">
        <v>6953</v>
      </c>
      <c r="G3511" s="112" t="s">
        <v>6953</v>
      </c>
      <c r="H3511" s="112">
        <v>436.14498500000002</v>
      </c>
      <c r="I3511" s="112">
        <v>15.408898000000001</v>
      </c>
      <c r="J3511" s="112">
        <v>15.860984999999999</v>
      </c>
      <c r="K3511" s="112" t="s">
        <v>6952</v>
      </c>
      <c r="L3511" s="112" t="s">
        <v>6953</v>
      </c>
      <c r="M3511" s="112" t="s">
        <v>6953</v>
      </c>
      <c r="N3511" s="112" t="s">
        <v>6953</v>
      </c>
    </row>
    <row r="3512" spans="1:17" s="110" customFormat="1" ht="31.75" customHeight="1">
      <c r="A3512" s="114" t="s">
        <v>7501</v>
      </c>
      <c r="B3512" s="114" t="s">
        <v>7502</v>
      </c>
      <c r="C3512" s="113">
        <v>2020</v>
      </c>
      <c r="D3512" s="112">
        <v>189</v>
      </c>
      <c r="E3512" s="112">
        <v>2098.9354490000001</v>
      </c>
      <c r="F3512" s="112">
        <v>1144.935661</v>
      </c>
      <c r="G3512" s="112">
        <v>1514.3386620000001</v>
      </c>
      <c r="H3512" s="112">
        <v>428.77873</v>
      </c>
      <c r="I3512" s="112">
        <v>19.069977000000002</v>
      </c>
      <c r="J3512" s="112">
        <v>19.243137999999998</v>
      </c>
      <c r="K3512" s="112" t="s">
        <v>6952</v>
      </c>
      <c r="L3512" s="112" t="s">
        <v>6953</v>
      </c>
      <c r="M3512" s="112" t="s">
        <v>6953</v>
      </c>
      <c r="N3512" s="112" t="s">
        <v>6953</v>
      </c>
      <c r="O3512" s="100"/>
      <c r="P3512" s="100"/>
      <c r="Q3512" s="100"/>
    </row>
    <row r="3513" spans="1:17" s="110" customFormat="1" ht="31.75" customHeight="1">
      <c r="A3513" s="109" t="s">
        <v>7503</v>
      </c>
      <c r="B3513" s="109" t="s">
        <v>7504</v>
      </c>
      <c r="C3513" s="98">
        <v>2008</v>
      </c>
      <c r="D3513" s="99">
        <v>379</v>
      </c>
      <c r="E3513" s="99">
        <v>17628</v>
      </c>
      <c r="F3513" s="99">
        <v>7038</v>
      </c>
      <c r="G3513" s="99">
        <v>11000</v>
      </c>
      <c r="H3513" s="99">
        <v>3840</v>
      </c>
      <c r="I3513" s="99">
        <v>464</v>
      </c>
      <c r="J3513" s="99">
        <v>508</v>
      </c>
      <c r="K3513" s="99">
        <v>44</v>
      </c>
      <c r="L3513" s="99">
        <v>3903</v>
      </c>
      <c r="M3513" s="99">
        <v>3505</v>
      </c>
      <c r="N3513" s="99">
        <v>398</v>
      </c>
    </row>
    <row r="3514" spans="1:17" s="110" customFormat="1" ht="31.75" customHeight="1">
      <c r="A3514" s="109" t="s">
        <v>7503</v>
      </c>
      <c r="B3514" s="109" t="s">
        <v>7504</v>
      </c>
      <c r="C3514" s="98">
        <v>2009</v>
      </c>
      <c r="D3514" s="99">
        <v>440</v>
      </c>
      <c r="E3514" s="99">
        <v>20103</v>
      </c>
      <c r="F3514" s="99">
        <v>6636</v>
      </c>
      <c r="G3514" s="99">
        <v>13644</v>
      </c>
      <c r="H3514" s="99">
        <v>3932</v>
      </c>
      <c r="I3514" s="99">
        <v>475</v>
      </c>
      <c r="J3514" s="99">
        <v>553</v>
      </c>
      <c r="K3514" s="99">
        <v>78</v>
      </c>
      <c r="L3514" s="99">
        <v>4242</v>
      </c>
      <c r="M3514" s="99">
        <v>4082</v>
      </c>
      <c r="N3514" s="99">
        <v>160</v>
      </c>
      <c r="O3514" s="100"/>
      <c r="P3514" s="100"/>
      <c r="Q3514" s="100"/>
    </row>
    <row r="3515" spans="1:17" s="110" customFormat="1" ht="31.75" customHeight="1">
      <c r="A3515" s="109" t="s">
        <v>7503</v>
      </c>
      <c r="B3515" s="109" t="s">
        <v>7504</v>
      </c>
      <c r="C3515" s="98">
        <v>2010</v>
      </c>
      <c r="D3515" s="99">
        <v>489</v>
      </c>
      <c r="E3515" s="99">
        <v>20472</v>
      </c>
      <c r="F3515" s="99">
        <v>5828</v>
      </c>
      <c r="G3515" s="99">
        <v>14610</v>
      </c>
      <c r="H3515" s="99">
        <v>3941</v>
      </c>
      <c r="I3515" s="99">
        <v>578</v>
      </c>
      <c r="J3515" s="99">
        <v>651</v>
      </c>
      <c r="K3515" s="99">
        <v>72</v>
      </c>
      <c r="L3515" s="99">
        <v>3985</v>
      </c>
      <c r="M3515" s="99">
        <v>4080</v>
      </c>
      <c r="N3515" s="99">
        <v>-95</v>
      </c>
      <c r="O3515" s="100"/>
      <c r="P3515" s="100"/>
      <c r="Q3515" s="100"/>
    </row>
    <row r="3516" spans="1:17" s="110" customFormat="1" ht="31.75" customHeight="1">
      <c r="A3516" s="109" t="s">
        <v>7503</v>
      </c>
      <c r="B3516" s="109" t="s">
        <v>7504</v>
      </c>
      <c r="C3516" s="98">
        <v>2011</v>
      </c>
      <c r="D3516" s="99">
        <v>495</v>
      </c>
      <c r="E3516" s="99">
        <v>21509</v>
      </c>
      <c r="F3516" s="99">
        <v>7245</v>
      </c>
      <c r="G3516" s="99">
        <v>14345</v>
      </c>
      <c r="H3516" s="99">
        <v>3773</v>
      </c>
      <c r="I3516" s="99">
        <v>542</v>
      </c>
      <c r="J3516" s="99">
        <v>677</v>
      </c>
      <c r="K3516" s="99">
        <v>135</v>
      </c>
      <c r="L3516" s="99">
        <v>4165</v>
      </c>
      <c r="M3516" s="99">
        <v>4110</v>
      </c>
      <c r="N3516" s="99">
        <v>55</v>
      </c>
    </row>
    <row r="3517" spans="1:17" s="110" customFormat="1" ht="31.75" customHeight="1">
      <c r="A3517" s="109" t="s">
        <v>7503</v>
      </c>
      <c r="B3517" s="109" t="s">
        <v>7504</v>
      </c>
      <c r="C3517" s="111">
        <v>2012</v>
      </c>
      <c r="D3517" s="112">
        <v>561</v>
      </c>
      <c r="E3517" s="112">
        <v>22322</v>
      </c>
      <c r="F3517" s="112">
        <v>7157</v>
      </c>
      <c r="G3517" s="112">
        <v>15672</v>
      </c>
      <c r="H3517" s="112">
        <v>3889</v>
      </c>
      <c r="I3517" s="112">
        <v>683</v>
      </c>
      <c r="J3517" s="112">
        <v>792</v>
      </c>
      <c r="K3517" s="112">
        <v>109</v>
      </c>
      <c r="L3517" s="112">
        <v>4664</v>
      </c>
      <c r="M3517" s="112">
        <v>4163</v>
      </c>
      <c r="N3517" s="112">
        <v>501</v>
      </c>
    </row>
    <row r="3518" spans="1:17" s="110" customFormat="1" ht="31.75" customHeight="1">
      <c r="A3518" s="109" t="s">
        <v>7503</v>
      </c>
      <c r="B3518" s="109" t="s">
        <v>7504</v>
      </c>
      <c r="C3518" s="113">
        <v>2013</v>
      </c>
      <c r="D3518" s="112">
        <v>636</v>
      </c>
      <c r="E3518" s="112">
        <v>24572</v>
      </c>
      <c r="F3518" s="112">
        <v>9044</v>
      </c>
      <c r="G3518" s="112">
        <v>15627</v>
      </c>
      <c r="H3518" s="112">
        <v>4128</v>
      </c>
      <c r="I3518" s="112">
        <v>722</v>
      </c>
      <c r="J3518" s="112">
        <v>789</v>
      </c>
      <c r="K3518" s="112">
        <v>66</v>
      </c>
      <c r="L3518" s="112">
        <v>4822</v>
      </c>
      <c r="M3518" s="112">
        <v>4742</v>
      </c>
      <c r="N3518" s="112">
        <v>80</v>
      </c>
      <c r="O3518" s="119"/>
      <c r="P3518" s="119"/>
      <c r="Q3518" s="119"/>
    </row>
    <row r="3519" spans="1:17" s="110" customFormat="1" ht="31.75" customHeight="1">
      <c r="A3519" s="109" t="s">
        <v>7503</v>
      </c>
      <c r="B3519" s="109" t="s">
        <v>7504</v>
      </c>
      <c r="C3519" s="113">
        <v>2014</v>
      </c>
      <c r="D3519" s="99">
        <v>709</v>
      </c>
      <c r="E3519" s="99">
        <v>24069</v>
      </c>
      <c r="F3519" s="99">
        <v>5134</v>
      </c>
      <c r="G3519" s="99">
        <v>19089</v>
      </c>
      <c r="H3519" s="99">
        <v>4148</v>
      </c>
      <c r="I3519" s="99">
        <v>793</v>
      </c>
      <c r="J3519" s="99">
        <v>809</v>
      </c>
      <c r="K3519" s="99">
        <v>17</v>
      </c>
      <c r="L3519" s="99">
        <v>4925</v>
      </c>
      <c r="M3519" s="99">
        <v>4821</v>
      </c>
      <c r="N3519" s="99">
        <v>104</v>
      </c>
      <c r="O3519" s="119"/>
      <c r="P3519" s="119"/>
      <c r="Q3519" s="119"/>
    </row>
    <row r="3520" spans="1:17" s="110" customFormat="1" ht="31.75" customHeight="1">
      <c r="A3520" s="109" t="s">
        <v>7503</v>
      </c>
      <c r="B3520" s="109" t="s">
        <v>7504</v>
      </c>
      <c r="C3520" s="113">
        <v>2015</v>
      </c>
      <c r="D3520" s="112">
        <v>774</v>
      </c>
      <c r="E3520" s="112">
        <v>25606</v>
      </c>
      <c r="F3520" s="112">
        <v>6944</v>
      </c>
      <c r="G3520" s="112">
        <v>18815</v>
      </c>
      <c r="H3520" s="112">
        <v>4598</v>
      </c>
      <c r="I3520" s="112">
        <v>731</v>
      </c>
      <c r="J3520" s="112">
        <v>824</v>
      </c>
      <c r="K3520" s="112">
        <v>93</v>
      </c>
      <c r="L3520" s="112">
        <v>4001</v>
      </c>
      <c r="M3520" s="112">
        <v>3913</v>
      </c>
      <c r="N3520" s="112">
        <v>89</v>
      </c>
      <c r="O3520" s="119"/>
      <c r="P3520" s="119"/>
      <c r="Q3520" s="119"/>
    </row>
    <row r="3521" spans="1:17" s="110" customFormat="1" ht="31.75" customHeight="1">
      <c r="A3521" s="109" t="s">
        <v>7503</v>
      </c>
      <c r="B3521" s="109" t="s">
        <v>7504</v>
      </c>
      <c r="C3521" s="113">
        <v>2016</v>
      </c>
      <c r="D3521" s="112">
        <v>858</v>
      </c>
      <c r="E3521" s="112">
        <v>28593</v>
      </c>
      <c r="F3521" s="112">
        <v>6421</v>
      </c>
      <c r="G3521" s="112">
        <v>22539</v>
      </c>
      <c r="H3521" s="112">
        <v>4999</v>
      </c>
      <c r="I3521" s="112">
        <v>1223</v>
      </c>
      <c r="J3521" s="112">
        <v>1311</v>
      </c>
      <c r="K3521" s="112">
        <v>88</v>
      </c>
      <c r="L3521" s="112">
        <v>5442</v>
      </c>
      <c r="M3521" s="112">
        <v>5059</v>
      </c>
      <c r="N3521" s="112">
        <v>383</v>
      </c>
      <c r="O3521" s="119"/>
      <c r="P3521" s="119"/>
      <c r="Q3521" s="119"/>
    </row>
    <row r="3522" spans="1:17" s="110" customFormat="1" ht="31.75" customHeight="1">
      <c r="A3522" s="109" t="s">
        <v>7503</v>
      </c>
      <c r="B3522" s="109" t="s">
        <v>7504</v>
      </c>
      <c r="C3522" s="113">
        <v>2017</v>
      </c>
      <c r="D3522" s="112">
        <v>909</v>
      </c>
      <c r="E3522" s="112">
        <v>31419</v>
      </c>
      <c r="F3522" s="112">
        <v>10091</v>
      </c>
      <c r="G3522" s="112">
        <v>20800</v>
      </c>
      <c r="H3522" s="112">
        <v>4932</v>
      </c>
      <c r="I3522" s="112">
        <v>866</v>
      </c>
      <c r="J3522" s="112">
        <v>901</v>
      </c>
      <c r="K3522" s="112">
        <v>34</v>
      </c>
      <c r="L3522" s="112">
        <v>4826</v>
      </c>
      <c r="M3522" s="112">
        <v>5402</v>
      </c>
      <c r="N3522" s="112">
        <v>-576</v>
      </c>
    </row>
    <row r="3523" spans="1:17" s="110" customFormat="1" ht="31.75" customHeight="1">
      <c r="A3523" s="109" t="s">
        <v>7503</v>
      </c>
      <c r="B3523" s="109" t="s">
        <v>7504</v>
      </c>
      <c r="C3523" s="113">
        <v>2018</v>
      </c>
      <c r="D3523" s="112">
        <v>853</v>
      </c>
      <c r="E3523" s="112">
        <v>27912</v>
      </c>
      <c r="F3523" s="112">
        <v>6423</v>
      </c>
      <c r="G3523" s="112">
        <v>21747</v>
      </c>
      <c r="H3523" s="112">
        <v>5415</v>
      </c>
      <c r="I3523" s="112">
        <v>1339</v>
      </c>
      <c r="J3523" s="112">
        <v>1393</v>
      </c>
      <c r="K3523" s="112">
        <v>54</v>
      </c>
      <c r="L3523" s="112">
        <v>4484</v>
      </c>
      <c r="M3523" s="112">
        <v>4280</v>
      </c>
      <c r="N3523" s="112">
        <v>203</v>
      </c>
    </row>
    <row r="3524" spans="1:17" s="110" customFormat="1" ht="31.75" customHeight="1">
      <c r="A3524" s="109" t="s">
        <v>7503</v>
      </c>
      <c r="B3524" s="109" t="s">
        <v>7504</v>
      </c>
      <c r="C3524" s="113">
        <v>2019</v>
      </c>
      <c r="D3524" s="112">
        <v>765</v>
      </c>
      <c r="E3524" s="112">
        <v>27527.934494000001</v>
      </c>
      <c r="F3524" s="112">
        <v>6177.3162419999999</v>
      </c>
      <c r="G3524" s="112">
        <v>21689.452411999999</v>
      </c>
      <c r="H3524" s="112">
        <v>5236.1117860000004</v>
      </c>
      <c r="I3524" s="112">
        <v>1282.1498859999999</v>
      </c>
      <c r="J3524" s="112">
        <v>1306.2691090000001</v>
      </c>
      <c r="K3524" s="112">
        <v>24.119223000000002</v>
      </c>
      <c r="L3524" s="112" t="s">
        <v>6953</v>
      </c>
      <c r="M3524" s="112" t="s">
        <v>6953</v>
      </c>
      <c r="N3524" s="112" t="s">
        <v>6953</v>
      </c>
      <c r="O3524" s="100"/>
      <c r="P3524" s="100"/>
      <c r="Q3524" s="100"/>
    </row>
    <row r="3525" spans="1:17" s="110" customFormat="1" ht="31.75" customHeight="1">
      <c r="A3525" s="114" t="s">
        <v>7503</v>
      </c>
      <c r="B3525" s="114" t="s">
        <v>7504</v>
      </c>
      <c r="C3525" s="113">
        <v>2020</v>
      </c>
      <c r="D3525" s="112">
        <v>724</v>
      </c>
      <c r="E3525" s="112">
        <v>20078.149407000001</v>
      </c>
      <c r="F3525" s="112">
        <v>4725.9426039999998</v>
      </c>
      <c r="G3525" s="112">
        <v>15331.021779000001</v>
      </c>
      <c r="H3525" s="112">
        <v>4803.7485569999999</v>
      </c>
      <c r="I3525" s="112">
        <v>977.22916899999996</v>
      </c>
      <c r="J3525" s="112">
        <v>998.74936400000001</v>
      </c>
      <c r="K3525" s="112">
        <v>21.520195000000001</v>
      </c>
      <c r="L3525" s="112">
        <v>4512.1610220000002</v>
      </c>
      <c r="M3525" s="112">
        <v>4612.2850609999996</v>
      </c>
      <c r="N3525" s="112">
        <v>-100.12403999999999</v>
      </c>
    </row>
    <row r="3526" spans="1:17" s="110" customFormat="1" ht="17.5" customHeight="1">
      <c r="A3526" s="109" t="s">
        <v>7505</v>
      </c>
      <c r="B3526" s="109" t="s">
        <v>7506</v>
      </c>
      <c r="C3526" s="98">
        <v>2008</v>
      </c>
      <c r="D3526" s="99" t="s">
        <v>6953</v>
      </c>
      <c r="E3526" s="99" t="s">
        <v>6953</v>
      </c>
      <c r="F3526" s="99" t="s">
        <v>6953</v>
      </c>
      <c r="G3526" s="99" t="s">
        <v>6953</v>
      </c>
      <c r="H3526" s="99" t="s">
        <v>6953</v>
      </c>
      <c r="I3526" s="99" t="s">
        <v>6953</v>
      </c>
      <c r="J3526" s="99" t="s">
        <v>6953</v>
      </c>
      <c r="K3526" s="99" t="s">
        <v>6953</v>
      </c>
      <c r="L3526" s="99" t="s">
        <v>6953</v>
      </c>
      <c r="M3526" s="99" t="s">
        <v>6953</v>
      </c>
      <c r="N3526" s="99" t="s">
        <v>6953</v>
      </c>
      <c r="O3526" s="100"/>
      <c r="P3526" s="100"/>
      <c r="Q3526" s="100"/>
    </row>
    <row r="3527" spans="1:17" s="110" customFormat="1" ht="17.5" customHeight="1">
      <c r="A3527" s="109" t="s">
        <v>7505</v>
      </c>
      <c r="B3527" s="109" t="s">
        <v>7506</v>
      </c>
      <c r="C3527" s="98">
        <v>2009</v>
      </c>
      <c r="D3527" s="99">
        <v>6</v>
      </c>
      <c r="E3527" s="99">
        <v>533</v>
      </c>
      <c r="F3527" s="99">
        <v>-4</v>
      </c>
      <c r="G3527" s="99">
        <v>553</v>
      </c>
      <c r="H3527" s="99" t="s">
        <v>6953</v>
      </c>
      <c r="I3527" s="99" t="s">
        <v>6953</v>
      </c>
      <c r="J3527" s="99" t="s">
        <v>6953</v>
      </c>
      <c r="K3527" s="99" t="s">
        <v>6953</v>
      </c>
      <c r="L3527" s="99" t="s">
        <v>6953</v>
      </c>
      <c r="M3527" s="99" t="s">
        <v>6953</v>
      </c>
      <c r="N3527" s="99" t="s">
        <v>6953</v>
      </c>
      <c r="O3527" s="100"/>
      <c r="P3527" s="100"/>
      <c r="Q3527" s="100"/>
    </row>
    <row r="3528" spans="1:17" s="110" customFormat="1" ht="17.5" customHeight="1">
      <c r="A3528" s="109" t="s">
        <v>7505</v>
      </c>
      <c r="B3528" s="109" t="s">
        <v>7506</v>
      </c>
      <c r="C3528" s="98">
        <v>2010</v>
      </c>
      <c r="D3528" s="99">
        <v>8</v>
      </c>
      <c r="E3528" s="99">
        <v>348</v>
      </c>
      <c r="F3528" s="99">
        <v>158</v>
      </c>
      <c r="G3528" s="99">
        <v>189</v>
      </c>
      <c r="H3528" s="99" t="s">
        <v>6953</v>
      </c>
      <c r="I3528" s="99" t="s">
        <v>6953</v>
      </c>
      <c r="J3528" s="99" t="s">
        <v>6953</v>
      </c>
      <c r="K3528" s="99" t="s">
        <v>6953</v>
      </c>
      <c r="L3528" s="99" t="s">
        <v>6953</v>
      </c>
      <c r="M3528" s="99" t="s">
        <v>6953</v>
      </c>
      <c r="N3528" s="99" t="s">
        <v>6953</v>
      </c>
    </row>
    <row r="3529" spans="1:17" s="110" customFormat="1" ht="17.5" customHeight="1">
      <c r="A3529" s="109" t="s">
        <v>7505</v>
      </c>
      <c r="B3529" s="109" t="s">
        <v>7506</v>
      </c>
      <c r="C3529" s="98">
        <v>2011</v>
      </c>
      <c r="D3529" s="99">
        <v>10</v>
      </c>
      <c r="E3529" s="99">
        <v>440</v>
      </c>
      <c r="F3529" s="99">
        <v>187</v>
      </c>
      <c r="G3529" s="99">
        <v>245</v>
      </c>
      <c r="H3529" s="99">
        <v>151</v>
      </c>
      <c r="I3529" s="99">
        <v>6</v>
      </c>
      <c r="J3529" s="99">
        <v>9</v>
      </c>
      <c r="K3529" s="99">
        <v>3</v>
      </c>
      <c r="L3529" s="99" t="s">
        <v>6953</v>
      </c>
      <c r="M3529" s="99" t="s">
        <v>6953</v>
      </c>
      <c r="N3529" s="99" t="s">
        <v>6953</v>
      </c>
    </row>
    <row r="3530" spans="1:17" s="110" customFormat="1" ht="17.5" customHeight="1">
      <c r="A3530" s="109" t="s">
        <v>7505</v>
      </c>
      <c r="B3530" s="109" t="s">
        <v>7506</v>
      </c>
      <c r="C3530" s="111">
        <v>2012</v>
      </c>
      <c r="D3530" s="112">
        <v>8</v>
      </c>
      <c r="E3530" s="112">
        <v>406</v>
      </c>
      <c r="F3530" s="112">
        <v>140</v>
      </c>
      <c r="G3530" s="112">
        <v>236</v>
      </c>
      <c r="H3530" s="112">
        <v>133</v>
      </c>
      <c r="I3530" s="112">
        <v>4</v>
      </c>
      <c r="J3530" s="99" t="s">
        <v>6953</v>
      </c>
      <c r="K3530" s="99" t="s">
        <v>6953</v>
      </c>
      <c r="L3530" s="112">
        <v>38</v>
      </c>
      <c r="M3530" s="99" t="s">
        <v>6953</v>
      </c>
      <c r="N3530" s="99" t="s">
        <v>6953</v>
      </c>
      <c r="O3530" s="119"/>
      <c r="P3530" s="119"/>
      <c r="Q3530" s="119"/>
    </row>
    <row r="3531" spans="1:17" s="110" customFormat="1" ht="17.5" customHeight="1">
      <c r="A3531" s="109" t="s">
        <v>7505</v>
      </c>
      <c r="B3531" s="109" t="s">
        <v>7506</v>
      </c>
      <c r="C3531" s="113">
        <v>2013</v>
      </c>
      <c r="D3531" s="112">
        <v>9</v>
      </c>
      <c r="E3531" s="112">
        <v>415</v>
      </c>
      <c r="F3531" s="112">
        <v>146</v>
      </c>
      <c r="G3531" s="112">
        <v>251</v>
      </c>
      <c r="H3531" s="112">
        <v>147</v>
      </c>
      <c r="I3531" s="112">
        <v>4</v>
      </c>
      <c r="J3531" s="112">
        <v>4</v>
      </c>
      <c r="K3531" s="112" t="s">
        <v>6952</v>
      </c>
      <c r="L3531" s="112">
        <v>21</v>
      </c>
      <c r="M3531" s="112">
        <v>39</v>
      </c>
      <c r="N3531" s="112">
        <v>-18</v>
      </c>
      <c r="O3531" s="119"/>
      <c r="P3531" s="119"/>
      <c r="Q3531" s="119"/>
    </row>
    <row r="3532" spans="1:17" s="110" customFormat="1" ht="17.5" customHeight="1">
      <c r="A3532" s="109" t="s">
        <v>7505</v>
      </c>
      <c r="B3532" s="109" t="s">
        <v>7506</v>
      </c>
      <c r="C3532" s="113">
        <v>2014</v>
      </c>
      <c r="D3532" s="99">
        <v>10</v>
      </c>
      <c r="E3532" s="99">
        <v>346</v>
      </c>
      <c r="F3532" s="99">
        <v>175</v>
      </c>
      <c r="G3532" s="99">
        <v>175</v>
      </c>
      <c r="H3532" s="99">
        <v>142</v>
      </c>
      <c r="I3532" s="99">
        <v>8</v>
      </c>
      <c r="J3532" s="99">
        <v>8</v>
      </c>
      <c r="K3532" s="112" t="s">
        <v>6952</v>
      </c>
      <c r="L3532" s="99">
        <v>24</v>
      </c>
      <c r="M3532" s="99">
        <v>20</v>
      </c>
      <c r="N3532" s="99">
        <v>4</v>
      </c>
      <c r="O3532" s="119"/>
      <c r="P3532" s="119"/>
      <c r="Q3532" s="119"/>
    </row>
    <row r="3533" spans="1:17" s="110" customFormat="1" ht="17.5" customHeight="1">
      <c r="A3533" s="109" t="s">
        <v>7505</v>
      </c>
      <c r="B3533" s="109" t="s">
        <v>7506</v>
      </c>
      <c r="C3533" s="113">
        <v>2015</v>
      </c>
      <c r="D3533" s="112">
        <v>10</v>
      </c>
      <c r="E3533" s="112">
        <v>405</v>
      </c>
      <c r="F3533" s="112">
        <v>189</v>
      </c>
      <c r="G3533" s="112">
        <v>212</v>
      </c>
      <c r="H3533" s="112">
        <v>149</v>
      </c>
      <c r="I3533" s="99" t="s">
        <v>6953</v>
      </c>
      <c r="J3533" s="99" t="s">
        <v>6953</v>
      </c>
      <c r="K3533" s="112" t="s">
        <v>6952</v>
      </c>
      <c r="L3533" s="112">
        <v>22</v>
      </c>
      <c r="M3533" s="112">
        <v>25</v>
      </c>
      <c r="N3533" s="112">
        <v>-4</v>
      </c>
      <c r="O3533" s="119"/>
      <c r="P3533" s="119"/>
      <c r="Q3533" s="119"/>
    </row>
    <row r="3534" spans="1:17" s="110" customFormat="1" ht="17.5" customHeight="1">
      <c r="A3534" s="109" t="s">
        <v>7505</v>
      </c>
      <c r="B3534" s="109" t="s">
        <v>7506</v>
      </c>
      <c r="C3534" s="113">
        <v>2016</v>
      </c>
      <c r="D3534" s="112">
        <v>10</v>
      </c>
      <c r="E3534" s="112">
        <v>518</v>
      </c>
      <c r="F3534" s="112">
        <v>218</v>
      </c>
      <c r="G3534" s="112">
        <v>324</v>
      </c>
      <c r="H3534" s="112">
        <v>119</v>
      </c>
      <c r="I3534" s="99" t="s">
        <v>6953</v>
      </c>
      <c r="J3534" s="99" t="s">
        <v>6953</v>
      </c>
      <c r="K3534" s="99" t="s">
        <v>6953</v>
      </c>
      <c r="L3534" s="112">
        <v>33</v>
      </c>
      <c r="M3534" s="112">
        <v>9</v>
      </c>
      <c r="N3534" s="112">
        <v>25</v>
      </c>
    </row>
    <row r="3535" spans="1:17" s="110" customFormat="1" ht="17.5" customHeight="1">
      <c r="A3535" s="109" t="s">
        <v>7505</v>
      </c>
      <c r="B3535" s="109" t="s">
        <v>7506</v>
      </c>
      <c r="C3535" s="113">
        <v>2017</v>
      </c>
      <c r="D3535" s="112">
        <v>16</v>
      </c>
      <c r="E3535" s="112">
        <v>566</v>
      </c>
      <c r="F3535" s="112">
        <v>240</v>
      </c>
      <c r="G3535" s="112">
        <v>331</v>
      </c>
      <c r="H3535" s="112">
        <v>131</v>
      </c>
      <c r="I3535" s="112">
        <v>7</v>
      </c>
      <c r="J3535" s="112">
        <v>7</v>
      </c>
      <c r="K3535" s="112" t="s">
        <v>6952</v>
      </c>
      <c r="L3535" s="112">
        <v>35</v>
      </c>
      <c r="M3535" s="112">
        <v>36</v>
      </c>
      <c r="N3535" s="112">
        <v>-1</v>
      </c>
    </row>
    <row r="3536" spans="1:17" s="110" customFormat="1" ht="17.5" customHeight="1">
      <c r="A3536" s="109" t="s">
        <v>7505</v>
      </c>
      <c r="B3536" s="109" t="s">
        <v>7506</v>
      </c>
      <c r="C3536" s="113">
        <v>2018</v>
      </c>
      <c r="D3536" s="112">
        <v>17</v>
      </c>
      <c r="E3536" s="112">
        <v>518</v>
      </c>
      <c r="F3536" s="112">
        <v>252</v>
      </c>
      <c r="G3536" s="112">
        <v>273</v>
      </c>
      <c r="H3536" s="112">
        <v>127</v>
      </c>
      <c r="I3536" s="112">
        <v>15</v>
      </c>
      <c r="J3536" s="112">
        <v>15</v>
      </c>
      <c r="K3536" s="112" t="s">
        <v>6952</v>
      </c>
      <c r="L3536" s="112">
        <v>37</v>
      </c>
      <c r="M3536" s="112">
        <v>39</v>
      </c>
      <c r="N3536" s="112">
        <v>-2</v>
      </c>
      <c r="O3536" s="100"/>
      <c r="P3536" s="100"/>
      <c r="Q3536" s="100"/>
    </row>
    <row r="3537" spans="1:17" s="110" customFormat="1" ht="17.5" customHeight="1">
      <c r="A3537" s="109" t="s">
        <v>7505</v>
      </c>
      <c r="B3537" s="109" t="s">
        <v>7506</v>
      </c>
      <c r="C3537" s="113">
        <v>2019</v>
      </c>
      <c r="D3537" s="112">
        <v>16</v>
      </c>
      <c r="E3537" s="112">
        <v>606.88686600000005</v>
      </c>
      <c r="F3537" s="112" t="s">
        <v>6953</v>
      </c>
      <c r="G3537" s="112" t="s">
        <v>6953</v>
      </c>
      <c r="H3537" s="112">
        <v>124.843339</v>
      </c>
      <c r="I3537" s="112">
        <v>17.066583000000001</v>
      </c>
      <c r="J3537" s="112">
        <v>17.108754999999999</v>
      </c>
      <c r="K3537" s="112" t="s">
        <v>6952</v>
      </c>
      <c r="L3537" s="112">
        <v>38.671799</v>
      </c>
      <c r="M3537" s="112">
        <v>41.404313000000002</v>
      </c>
      <c r="N3537" s="112">
        <v>-2.7325140000000001</v>
      </c>
    </row>
    <row r="3538" spans="1:17" s="110" customFormat="1" ht="17.5" customHeight="1">
      <c r="A3538" s="114" t="s">
        <v>7505</v>
      </c>
      <c r="B3538" s="114" t="s">
        <v>7506</v>
      </c>
      <c r="C3538" s="113">
        <v>2020</v>
      </c>
      <c r="D3538" s="112">
        <v>11</v>
      </c>
      <c r="E3538" s="112">
        <v>555.47863500000005</v>
      </c>
      <c r="F3538" s="112">
        <v>225.05110999999999</v>
      </c>
      <c r="G3538" s="112">
        <v>336.67670099999998</v>
      </c>
      <c r="H3538" s="112">
        <v>146.54313200000001</v>
      </c>
      <c r="I3538" s="112">
        <v>8.2915379999999992</v>
      </c>
      <c r="J3538" s="112">
        <v>8.6734880000000008</v>
      </c>
      <c r="K3538" s="112" t="s">
        <v>6952</v>
      </c>
      <c r="L3538" s="112">
        <v>44.810419000000003</v>
      </c>
      <c r="M3538" s="112">
        <v>39.964243000000003</v>
      </c>
      <c r="N3538" s="112">
        <v>4.8461759999999998</v>
      </c>
      <c r="O3538" s="100"/>
      <c r="P3538" s="100"/>
      <c r="Q3538" s="100"/>
    </row>
    <row r="3539" spans="1:17" s="110" customFormat="1" ht="31.75" customHeight="1">
      <c r="A3539" s="109" t="s">
        <v>7507</v>
      </c>
      <c r="B3539" s="109" t="s">
        <v>7508</v>
      </c>
      <c r="C3539" s="98">
        <v>2008</v>
      </c>
      <c r="D3539" s="99">
        <v>281</v>
      </c>
      <c r="E3539" s="99">
        <v>484</v>
      </c>
      <c r="F3539" s="99">
        <v>153</v>
      </c>
      <c r="G3539" s="99">
        <v>347</v>
      </c>
      <c r="H3539" s="99">
        <v>82</v>
      </c>
      <c r="I3539" s="99">
        <v>13</v>
      </c>
      <c r="J3539" s="99">
        <v>15</v>
      </c>
      <c r="K3539" s="99">
        <v>1</v>
      </c>
      <c r="L3539" s="99">
        <v>96</v>
      </c>
      <c r="M3539" s="99">
        <v>79</v>
      </c>
      <c r="N3539" s="99">
        <v>16</v>
      </c>
      <c r="O3539" s="100"/>
      <c r="P3539" s="100"/>
      <c r="Q3539" s="100"/>
    </row>
    <row r="3540" spans="1:17" s="110" customFormat="1" ht="31.75" customHeight="1">
      <c r="A3540" s="109" t="s">
        <v>7507</v>
      </c>
      <c r="B3540" s="109" t="s">
        <v>7508</v>
      </c>
      <c r="C3540" s="98">
        <v>2009</v>
      </c>
      <c r="D3540" s="99">
        <v>285</v>
      </c>
      <c r="E3540" s="99">
        <v>530</v>
      </c>
      <c r="F3540" s="99">
        <v>130</v>
      </c>
      <c r="G3540" s="99">
        <v>392</v>
      </c>
      <c r="H3540" s="99">
        <v>80</v>
      </c>
      <c r="I3540" s="99">
        <v>11</v>
      </c>
      <c r="J3540" s="99">
        <v>12</v>
      </c>
      <c r="K3540" s="99">
        <v>1</v>
      </c>
      <c r="L3540" s="99">
        <v>97</v>
      </c>
      <c r="M3540" s="99">
        <v>100</v>
      </c>
      <c r="N3540" s="99">
        <v>-3</v>
      </c>
    </row>
    <row r="3541" spans="1:17" s="110" customFormat="1" ht="31.75" customHeight="1">
      <c r="A3541" s="109" t="s">
        <v>7507</v>
      </c>
      <c r="B3541" s="109" t="s">
        <v>7508</v>
      </c>
      <c r="C3541" s="98">
        <v>2010</v>
      </c>
      <c r="D3541" s="99">
        <v>289</v>
      </c>
      <c r="E3541" s="99">
        <v>492</v>
      </c>
      <c r="F3541" s="99">
        <v>132</v>
      </c>
      <c r="G3541" s="99">
        <v>350</v>
      </c>
      <c r="H3541" s="99">
        <v>73</v>
      </c>
      <c r="I3541" s="99">
        <v>12</v>
      </c>
      <c r="J3541" s="99">
        <v>13</v>
      </c>
      <c r="K3541" s="99">
        <v>1</v>
      </c>
      <c r="L3541" s="99">
        <v>83</v>
      </c>
      <c r="M3541" s="99">
        <v>90</v>
      </c>
      <c r="N3541" s="99">
        <v>-6</v>
      </c>
    </row>
    <row r="3542" spans="1:17" s="110" customFormat="1" ht="31.75" customHeight="1">
      <c r="A3542" s="109" t="s">
        <v>7507</v>
      </c>
      <c r="B3542" s="109" t="s">
        <v>7508</v>
      </c>
      <c r="C3542" s="98">
        <v>2011</v>
      </c>
      <c r="D3542" s="99">
        <v>303</v>
      </c>
      <c r="E3542" s="99">
        <v>549</v>
      </c>
      <c r="F3542" s="99">
        <v>167</v>
      </c>
      <c r="G3542" s="99">
        <v>392</v>
      </c>
      <c r="H3542" s="99">
        <v>76</v>
      </c>
      <c r="I3542" s="99">
        <v>15</v>
      </c>
      <c r="J3542" s="99">
        <v>15</v>
      </c>
      <c r="K3542" s="99" t="s">
        <v>6952</v>
      </c>
      <c r="L3542" s="99">
        <v>102</v>
      </c>
      <c r="M3542" s="99">
        <v>90</v>
      </c>
      <c r="N3542" s="99">
        <v>13</v>
      </c>
      <c r="O3542" s="119"/>
      <c r="P3542" s="119"/>
      <c r="Q3542" s="119"/>
    </row>
    <row r="3543" spans="1:17" s="110" customFormat="1" ht="31.75" customHeight="1">
      <c r="A3543" s="109" t="s">
        <v>7507</v>
      </c>
      <c r="B3543" s="109" t="s">
        <v>7508</v>
      </c>
      <c r="C3543" s="111">
        <v>2012</v>
      </c>
      <c r="D3543" s="112">
        <v>323</v>
      </c>
      <c r="E3543" s="112">
        <v>620</v>
      </c>
      <c r="F3543" s="112">
        <v>205</v>
      </c>
      <c r="G3543" s="112">
        <v>450</v>
      </c>
      <c r="H3543" s="112">
        <v>94</v>
      </c>
      <c r="I3543" s="112">
        <v>25</v>
      </c>
      <c r="J3543" s="112">
        <v>27</v>
      </c>
      <c r="K3543" s="112">
        <v>2</v>
      </c>
      <c r="L3543" s="112">
        <v>135</v>
      </c>
      <c r="M3543" s="112">
        <v>97</v>
      </c>
      <c r="N3543" s="112">
        <v>37</v>
      </c>
      <c r="O3543" s="119"/>
      <c r="P3543" s="119"/>
      <c r="Q3543" s="119"/>
    </row>
    <row r="3544" spans="1:17" s="110" customFormat="1" ht="31.75" customHeight="1">
      <c r="A3544" s="109" t="s">
        <v>7507</v>
      </c>
      <c r="B3544" s="109" t="s">
        <v>7508</v>
      </c>
      <c r="C3544" s="113">
        <v>2013</v>
      </c>
      <c r="D3544" s="112">
        <v>308</v>
      </c>
      <c r="E3544" s="112">
        <v>567</v>
      </c>
      <c r="F3544" s="112">
        <v>114</v>
      </c>
      <c r="G3544" s="112">
        <v>454</v>
      </c>
      <c r="H3544" s="112">
        <v>86</v>
      </c>
      <c r="I3544" s="112">
        <v>20</v>
      </c>
      <c r="J3544" s="112">
        <v>21</v>
      </c>
      <c r="K3544" s="112">
        <v>1</v>
      </c>
      <c r="L3544" s="112">
        <v>104</v>
      </c>
      <c r="M3544" s="112">
        <v>100</v>
      </c>
      <c r="N3544" s="112">
        <v>4</v>
      </c>
      <c r="O3544" s="119"/>
      <c r="P3544" s="119"/>
      <c r="Q3544" s="119"/>
    </row>
    <row r="3545" spans="1:17" s="110" customFormat="1" ht="31.75" customHeight="1">
      <c r="A3545" s="109" t="s">
        <v>7507</v>
      </c>
      <c r="B3545" s="109" t="s">
        <v>7508</v>
      </c>
      <c r="C3545" s="113">
        <v>2014</v>
      </c>
      <c r="D3545" s="99">
        <v>316</v>
      </c>
      <c r="E3545" s="99">
        <v>666</v>
      </c>
      <c r="F3545" s="99">
        <v>143</v>
      </c>
      <c r="G3545" s="99">
        <v>517</v>
      </c>
      <c r="H3545" s="99">
        <v>90</v>
      </c>
      <c r="I3545" s="99">
        <v>12</v>
      </c>
      <c r="J3545" s="99">
        <v>12</v>
      </c>
      <c r="K3545" s="99">
        <v>1</v>
      </c>
      <c r="L3545" s="99">
        <v>105</v>
      </c>
      <c r="M3545" s="99">
        <v>109</v>
      </c>
      <c r="N3545" s="99">
        <v>-4</v>
      </c>
      <c r="O3545" s="119"/>
      <c r="P3545" s="119"/>
      <c r="Q3545" s="119"/>
    </row>
    <row r="3546" spans="1:17" s="110" customFormat="1" ht="31.75" customHeight="1">
      <c r="A3546" s="109" t="s">
        <v>7507</v>
      </c>
      <c r="B3546" s="109" t="s">
        <v>7508</v>
      </c>
      <c r="C3546" s="113">
        <v>2015</v>
      </c>
      <c r="D3546" s="112">
        <v>318</v>
      </c>
      <c r="E3546" s="112">
        <v>608</v>
      </c>
      <c r="F3546" s="112">
        <v>158</v>
      </c>
      <c r="G3546" s="112">
        <v>462</v>
      </c>
      <c r="H3546" s="112">
        <v>100</v>
      </c>
      <c r="I3546" s="112">
        <v>13</v>
      </c>
      <c r="J3546" s="112">
        <v>13</v>
      </c>
      <c r="K3546" s="112" t="s">
        <v>6952</v>
      </c>
      <c r="L3546" s="112">
        <v>126</v>
      </c>
      <c r="M3546" s="112">
        <v>111</v>
      </c>
      <c r="N3546" s="112">
        <v>15</v>
      </c>
    </row>
    <row r="3547" spans="1:17" s="110" customFormat="1" ht="31.75" customHeight="1">
      <c r="A3547" s="109" t="s">
        <v>7507</v>
      </c>
      <c r="B3547" s="109" t="s">
        <v>7508</v>
      </c>
      <c r="C3547" s="113">
        <v>2016</v>
      </c>
      <c r="D3547" s="112">
        <v>351</v>
      </c>
      <c r="E3547" s="112">
        <v>684</v>
      </c>
      <c r="F3547" s="112">
        <v>143</v>
      </c>
      <c r="G3547" s="112">
        <v>547</v>
      </c>
      <c r="H3547" s="112">
        <v>105</v>
      </c>
      <c r="I3547" s="112">
        <v>24</v>
      </c>
      <c r="J3547" s="112">
        <v>25</v>
      </c>
      <c r="K3547" s="112" t="s">
        <v>6952</v>
      </c>
      <c r="L3547" s="112">
        <v>145</v>
      </c>
      <c r="M3547" s="112">
        <v>133</v>
      </c>
      <c r="N3547" s="112">
        <v>11</v>
      </c>
    </row>
    <row r="3548" spans="1:17" s="110" customFormat="1" ht="31.75" customHeight="1">
      <c r="A3548" s="109" t="s">
        <v>7507</v>
      </c>
      <c r="B3548" s="109" t="s">
        <v>7508</v>
      </c>
      <c r="C3548" s="113">
        <v>2017</v>
      </c>
      <c r="D3548" s="112">
        <v>386</v>
      </c>
      <c r="E3548" s="112">
        <v>786</v>
      </c>
      <c r="F3548" s="112">
        <v>197</v>
      </c>
      <c r="G3548" s="112">
        <v>588</v>
      </c>
      <c r="H3548" s="112">
        <v>103</v>
      </c>
      <c r="I3548" s="112">
        <v>17</v>
      </c>
      <c r="J3548" s="112">
        <v>20</v>
      </c>
      <c r="K3548" s="112">
        <v>3</v>
      </c>
      <c r="L3548" s="112">
        <v>122</v>
      </c>
      <c r="M3548" s="112">
        <v>115</v>
      </c>
      <c r="N3548" s="112">
        <v>7</v>
      </c>
      <c r="O3548" s="100"/>
      <c r="P3548" s="100"/>
      <c r="Q3548" s="100"/>
    </row>
    <row r="3549" spans="1:17" s="110" customFormat="1" ht="31.75" customHeight="1">
      <c r="A3549" s="109" t="s">
        <v>7507</v>
      </c>
      <c r="B3549" s="109" t="s">
        <v>7508</v>
      </c>
      <c r="C3549" s="113">
        <v>2018</v>
      </c>
      <c r="D3549" s="112">
        <v>406</v>
      </c>
      <c r="E3549" s="112">
        <v>801</v>
      </c>
      <c r="F3549" s="112">
        <v>191</v>
      </c>
      <c r="G3549" s="112">
        <v>619</v>
      </c>
      <c r="H3549" s="112">
        <v>129</v>
      </c>
      <c r="I3549" s="112">
        <v>20</v>
      </c>
      <c r="J3549" s="112">
        <v>20</v>
      </c>
      <c r="K3549" s="112" t="s">
        <v>6952</v>
      </c>
      <c r="L3549" s="112">
        <v>131</v>
      </c>
      <c r="M3549" s="112">
        <v>114</v>
      </c>
      <c r="N3549" s="112">
        <v>17</v>
      </c>
    </row>
    <row r="3550" spans="1:17" s="110" customFormat="1" ht="31.75" customHeight="1">
      <c r="A3550" s="109" t="s">
        <v>7507</v>
      </c>
      <c r="B3550" s="109" t="s">
        <v>7508</v>
      </c>
      <c r="C3550" s="113">
        <v>2019</v>
      </c>
      <c r="D3550" s="112">
        <v>403</v>
      </c>
      <c r="E3550" s="112">
        <v>802.46794799999998</v>
      </c>
      <c r="F3550" s="112">
        <v>183.62044499999999</v>
      </c>
      <c r="G3550" s="112">
        <v>621.53801299999998</v>
      </c>
      <c r="H3550" s="112">
        <v>129.774247</v>
      </c>
      <c r="I3550" s="112">
        <v>3.573429</v>
      </c>
      <c r="J3550" s="112">
        <v>6.684253</v>
      </c>
      <c r="K3550" s="112">
        <v>3.110824</v>
      </c>
      <c r="L3550" s="112">
        <v>151.70065199999999</v>
      </c>
      <c r="M3550" s="112">
        <v>144.05219399999999</v>
      </c>
      <c r="N3550" s="112">
        <v>7.6484579999999998</v>
      </c>
      <c r="O3550" s="100"/>
      <c r="P3550" s="100"/>
      <c r="Q3550" s="100"/>
    </row>
    <row r="3551" spans="1:17" s="110" customFormat="1" ht="31.75" customHeight="1">
      <c r="A3551" s="114" t="s">
        <v>7507</v>
      </c>
      <c r="B3551" s="109" t="s">
        <v>7508</v>
      </c>
      <c r="C3551" s="113">
        <v>2020</v>
      </c>
      <c r="D3551" s="112">
        <v>397</v>
      </c>
      <c r="E3551" s="112">
        <v>830.49949100000003</v>
      </c>
      <c r="F3551" s="112">
        <v>170.49100200000001</v>
      </c>
      <c r="G3551" s="112">
        <v>661.01508699999999</v>
      </c>
      <c r="H3551" s="112">
        <v>128.07916700000001</v>
      </c>
      <c r="I3551" s="112">
        <v>14.376211</v>
      </c>
      <c r="J3551" s="112">
        <v>15.028335</v>
      </c>
      <c r="K3551" s="112">
        <v>0.65212400000000004</v>
      </c>
      <c r="L3551" s="112" t="s">
        <v>6953</v>
      </c>
      <c r="M3551" s="112" t="s">
        <v>6953</v>
      </c>
      <c r="N3551" s="112" t="s">
        <v>6953</v>
      </c>
      <c r="O3551" s="100"/>
      <c r="P3551" s="100"/>
      <c r="Q3551" s="100"/>
    </row>
    <row r="3552" spans="1:17" s="110" customFormat="1" ht="17.5" customHeight="1">
      <c r="A3552" s="109" t="s">
        <v>7509</v>
      </c>
      <c r="B3552" s="109" t="s">
        <v>7510</v>
      </c>
      <c r="C3552" s="98">
        <v>2008</v>
      </c>
      <c r="D3552" s="99">
        <v>89</v>
      </c>
      <c r="E3552" s="99">
        <v>290</v>
      </c>
      <c r="F3552" s="99">
        <v>91</v>
      </c>
      <c r="G3552" s="99">
        <v>215</v>
      </c>
      <c r="H3552" s="99">
        <v>30</v>
      </c>
      <c r="I3552" s="99">
        <v>10</v>
      </c>
      <c r="J3552" s="99">
        <v>10</v>
      </c>
      <c r="K3552" s="99" t="s">
        <v>6952</v>
      </c>
      <c r="L3552" s="99">
        <v>75</v>
      </c>
      <c r="M3552" s="99">
        <v>59</v>
      </c>
      <c r="N3552" s="99">
        <v>16</v>
      </c>
    </row>
    <row r="3553" spans="1:17" s="110" customFormat="1" ht="17.5" customHeight="1">
      <c r="A3553" s="109" t="s">
        <v>7509</v>
      </c>
      <c r="B3553" s="109" t="s">
        <v>7510</v>
      </c>
      <c r="C3553" s="98">
        <v>2009</v>
      </c>
      <c r="D3553" s="99">
        <v>86</v>
      </c>
      <c r="E3553" s="99">
        <v>307</v>
      </c>
      <c r="F3553" s="99" t="s">
        <v>6953</v>
      </c>
      <c r="G3553" s="99" t="s">
        <v>6953</v>
      </c>
      <c r="H3553" s="99">
        <v>27</v>
      </c>
      <c r="I3553" s="99">
        <v>9</v>
      </c>
      <c r="J3553" s="99">
        <v>9</v>
      </c>
      <c r="K3553" s="99">
        <v>0</v>
      </c>
      <c r="L3553" s="99">
        <v>73</v>
      </c>
      <c r="M3553" s="99">
        <v>75</v>
      </c>
      <c r="N3553" s="99">
        <v>-2</v>
      </c>
    </row>
    <row r="3554" spans="1:17" s="110" customFormat="1" ht="17.5" customHeight="1">
      <c r="A3554" s="109" t="s">
        <v>7509</v>
      </c>
      <c r="B3554" s="109" t="s">
        <v>7510</v>
      </c>
      <c r="C3554" s="98">
        <v>2010</v>
      </c>
      <c r="D3554" s="99">
        <v>82</v>
      </c>
      <c r="E3554" s="99">
        <v>308</v>
      </c>
      <c r="F3554" s="99" t="s">
        <v>6953</v>
      </c>
      <c r="G3554" s="99" t="s">
        <v>6953</v>
      </c>
      <c r="H3554" s="99">
        <v>24</v>
      </c>
      <c r="I3554" s="99" t="s">
        <v>6953</v>
      </c>
      <c r="J3554" s="99" t="s">
        <v>6953</v>
      </c>
      <c r="K3554" s="99">
        <v>1</v>
      </c>
      <c r="L3554" s="99">
        <v>64</v>
      </c>
      <c r="M3554" s="99">
        <v>71</v>
      </c>
      <c r="N3554" s="99">
        <v>-7</v>
      </c>
      <c r="O3554" s="119"/>
      <c r="P3554" s="119"/>
      <c r="Q3554" s="119"/>
    </row>
    <row r="3555" spans="1:17" s="110" customFormat="1" ht="17.5" customHeight="1">
      <c r="A3555" s="109" t="s">
        <v>7509</v>
      </c>
      <c r="B3555" s="109" t="s">
        <v>7510</v>
      </c>
      <c r="C3555" s="98">
        <v>2011</v>
      </c>
      <c r="D3555" s="99">
        <v>69</v>
      </c>
      <c r="E3555" s="99">
        <v>325</v>
      </c>
      <c r="F3555" s="99">
        <v>71</v>
      </c>
      <c r="G3555" s="99">
        <v>260</v>
      </c>
      <c r="H3555" s="99">
        <v>24</v>
      </c>
      <c r="I3555" s="99" t="s">
        <v>6953</v>
      </c>
      <c r="J3555" s="99" t="s">
        <v>6953</v>
      </c>
      <c r="K3555" s="99" t="s">
        <v>6952</v>
      </c>
      <c r="L3555" s="99">
        <v>77</v>
      </c>
      <c r="M3555" s="99">
        <v>68</v>
      </c>
      <c r="N3555" s="99">
        <v>9</v>
      </c>
      <c r="O3555" s="119"/>
      <c r="P3555" s="119"/>
      <c r="Q3555" s="119"/>
    </row>
    <row r="3556" spans="1:17" s="110" customFormat="1" ht="17.5" customHeight="1">
      <c r="A3556" s="109" t="s">
        <v>7509</v>
      </c>
      <c r="B3556" s="109" t="s">
        <v>7510</v>
      </c>
      <c r="C3556" s="111">
        <v>2012</v>
      </c>
      <c r="D3556" s="112">
        <v>69</v>
      </c>
      <c r="E3556" s="112">
        <v>351</v>
      </c>
      <c r="F3556" s="99" t="s">
        <v>6953</v>
      </c>
      <c r="G3556" s="99" t="s">
        <v>6953</v>
      </c>
      <c r="H3556" s="112">
        <v>28</v>
      </c>
      <c r="I3556" s="112">
        <v>16</v>
      </c>
      <c r="J3556" s="112">
        <v>17</v>
      </c>
      <c r="K3556" s="112">
        <v>1</v>
      </c>
      <c r="L3556" s="112">
        <v>81</v>
      </c>
      <c r="M3556" s="112">
        <v>67</v>
      </c>
      <c r="N3556" s="112">
        <v>13</v>
      </c>
      <c r="O3556" s="119"/>
      <c r="P3556" s="119"/>
      <c r="Q3556" s="119"/>
    </row>
    <row r="3557" spans="1:17" s="110" customFormat="1" ht="17.5" customHeight="1">
      <c r="A3557" s="109" t="s">
        <v>7509</v>
      </c>
      <c r="B3557" s="109" t="s">
        <v>7510</v>
      </c>
      <c r="C3557" s="113">
        <v>2013</v>
      </c>
      <c r="D3557" s="112">
        <v>71</v>
      </c>
      <c r="E3557" s="99" t="s">
        <v>6953</v>
      </c>
      <c r="F3557" s="112">
        <v>45</v>
      </c>
      <c r="G3557" s="99" t="s">
        <v>6953</v>
      </c>
      <c r="H3557" s="112">
        <v>30</v>
      </c>
      <c r="I3557" s="112">
        <v>10</v>
      </c>
      <c r="J3557" s="112">
        <v>10</v>
      </c>
      <c r="K3557" s="112" t="s">
        <v>6952</v>
      </c>
      <c r="L3557" s="99" t="s">
        <v>6953</v>
      </c>
      <c r="M3557" s="99" t="s">
        <v>6953</v>
      </c>
      <c r="N3557" s="99" t="s">
        <v>6953</v>
      </c>
      <c r="O3557" s="119"/>
      <c r="P3557" s="119"/>
      <c r="Q3557" s="119"/>
    </row>
    <row r="3558" spans="1:17" s="110" customFormat="1" ht="17.5" customHeight="1">
      <c r="A3558" s="109" t="s">
        <v>7509</v>
      </c>
      <c r="B3558" s="109" t="s">
        <v>7510</v>
      </c>
      <c r="C3558" s="113">
        <v>2014</v>
      </c>
      <c r="D3558" s="99">
        <v>83</v>
      </c>
      <c r="E3558" s="99" t="s">
        <v>6953</v>
      </c>
      <c r="F3558" s="99">
        <v>45</v>
      </c>
      <c r="G3558" s="99" t="s">
        <v>6953</v>
      </c>
      <c r="H3558" s="99">
        <v>33</v>
      </c>
      <c r="I3558" s="99" t="s">
        <v>6953</v>
      </c>
      <c r="J3558" s="99" t="s">
        <v>6953</v>
      </c>
      <c r="K3558" s="112" t="s">
        <v>6952</v>
      </c>
      <c r="L3558" s="99">
        <v>77</v>
      </c>
      <c r="M3558" s="99">
        <v>85</v>
      </c>
      <c r="N3558" s="99">
        <v>-8</v>
      </c>
    </row>
    <row r="3559" spans="1:17" s="110" customFormat="1" ht="17.5" customHeight="1">
      <c r="A3559" s="109" t="s">
        <v>7509</v>
      </c>
      <c r="B3559" s="109" t="s">
        <v>7510</v>
      </c>
      <c r="C3559" s="113">
        <v>2015</v>
      </c>
      <c r="D3559" s="112">
        <v>81</v>
      </c>
      <c r="E3559" s="99" t="s">
        <v>6953</v>
      </c>
      <c r="F3559" s="112">
        <v>65</v>
      </c>
      <c r="G3559" s="99" t="s">
        <v>6953</v>
      </c>
      <c r="H3559" s="112">
        <v>36</v>
      </c>
      <c r="I3559" s="112">
        <v>5</v>
      </c>
      <c r="J3559" s="112">
        <v>6</v>
      </c>
      <c r="K3559" s="112" t="s">
        <v>6952</v>
      </c>
      <c r="L3559" s="112">
        <v>89</v>
      </c>
      <c r="M3559" s="112">
        <v>82</v>
      </c>
      <c r="N3559" s="112">
        <v>7</v>
      </c>
    </row>
    <row r="3560" spans="1:17" s="110" customFormat="1" ht="17.5" customHeight="1">
      <c r="A3560" s="109" t="s">
        <v>7509</v>
      </c>
      <c r="B3560" s="109" t="s">
        <v>7510</v>
      </c>
      <c r="C3560" s="113">
        <v>2016</v>
      </c>
      <c r="D3560" s="112">
        <v>97</v>
      </c>
      <c r="E3560" s="112">
        <v>388</v>
      </c>
      <c r="F3560" s="112">
        <v>55</v>
      </c>
      <c r="G3560" s="112">
        <v>330</v>
      </c>
      <c r="H3560" s="112">
        <v>37</v>
      </c>
      <c r="I3560" s="99" t="s">
        <v>6953</v>
      </c>
      <c r="J3560" s="99" t="s">
        <v>6953</v>
      </c>
      <c r="K3560" s="112" t="s">
        <v>6952</v>
      </c>
      <c r="L3560" s="112">
        <v>85</v>
      </c>
      <c r="M3560" s="112">
        <v>84</v>
      </c>
      <c r="N3560" s="112">
        <v>2</v>
      </c>
      <c r="O3560" s="100"/>
      <c r="P3560" s="100"/>
      <c r="Q3560" s="100"/>
    </row>
    <row r="3561" spans="1:17" s="110" customFormat="1" ht="17.5" customHeight="1">
      <c r="A3561" s="109" t="s">
        <v>7509</v>
      </c>
      <c r="B3561" s="109" t="s">
        <v>7510</v>
      </c>
      <c r="C3561" s="113">
        <v>2017</v>
      </c>
      <c r="D3561" s="112">
        <v>109</v>
      </c>
      <c r="E3561" s="99" t="s">
        <v>6953</v>
      </c>
      <c r="F3561" s="112">
        <v>73</v>
      </c>
      <c r="G3561" s="99" t="s">
        <v>6953</v>
      </c>
      <c r="H3561" s="112">
        <v>38</v>
      </c>
      <c r="I3561" s="112">
        <v>9</v>
      </c>
      <c r="J3561" s="99" t="s">
        <v>6953</v>
      </c>
      <c r="K3561" s="99" t="s">
        <v>6953</v>
      </c>
      <c r="L3561" s="112">
        <v>90</v>
      </c>
      <c r="M3561" s="112">
        <v>85</v>
      </c>
      <c r="N3561" s="112">
        <v>5</v>
      </c>
    </row>
    <row r="3562" spans="1:17" s="110" customFormat="1" ht="17.5" customHeight="1">
      <c r="A3562" s="109" t="s">
        <v>7509</v>
      </c>
      <c r="B3562" s="109" t="s">
        <v>7510</v>
      </c>
      <c r="C3562" s="113">
        <v>2018</v>
      </c>
      <c r="D3562" s="112">
        <v>109</v>
      </c>
      <c r="E3562" s="99" t="s">
        <v>6953</v>
      </c>
      <c r="F3562" s="112">
        <v>61</v>
      </c>
      <c r="G3562" s="99" t="s">
        <v>6953</v>
      </c>
      <c r="H3562" s="112">
        <v>41</v>
      </c>
      <c r="I3562" s="112">
        <v>10</v>
      </c>
      <c r="J3562" s="112">
        <v>10</v>
      </c>
      <c r="K3562" s="112" t="s">
        <v>6952</v>
      </c>
      <c r="L3562" s="99" t="s">
        <v>6953</v>
      </c>
      <c r="M3562" s="99" t="s">
        <v>6953</v>
      </c>
      <c r="N3562" s="112">
        <v>12</v>
      </c>
      <c r="O3562" s="100"/>
      <c r="P3562" s="100"/>
      <c r="Q3562" s="100"/>
    </row>
    <row r="3563" spans="1:17" s="110" customFormat="1" ht="17.5" customHeight="1">
      <c r="A3563" s="109" t="s">
        <v>7509</v>
      </c>
      <c r="B3563" s="109" t="s">
        <v>7510</v>
      </c>
      <c r="C3563" s="113">
        <v>2019</v>
      </c>
      <c r="D3563" s="112">
        <v>114</v>
      </c>
      <c r="E3563" s="112" t="s">
        <v>6953</v>
      </c>
      <c r="F3563" s="112">
        <v>34.697029000000001</v>
      </c>
      <c r="G3563" s="112" t="s">
        <v>6953</v>
      </c>
      <c r="H3563" s="112">
        <v>42.054180000000002</v>
      </c>
      <c r="I3563" s="112" t="s">
        <v>6953</v>
      </c>
      <c r="J3563" s="112" t="s">
        <v>6953</v>
      </c>
      <c r="K3563" s="112" t="s">
        <v>6953</v>
      </c>
      <c r="L3563" s="112" t="s">
        <v>6953</v>
      </c>
      <c r="M3563" s="112" t="s">
        <v>6953</v>
      </c>
      <c r="N3563" s="112" t="s">
        <v>6953</v>
      </c>
      <c r="O3563" s="100"/>
      <c r="P3563" s="100"/>
      <c r="Q3563" s="100"/>
    </row>
    <row r="3564" spans="1:17" s="110" customFormat="1" ht="17.5" customHeight="1">
      <c r="A3564" s="114" t="s">
        <v>7509</v>
      </c>
      <c r="B3564" s="114" t="s">
        <v>7510</v>
      </c>
      <c r="C3564" s="113">
        <v>2020</v>
      </c>
      <c r="D3564" s="112">
        <v>109</v>
      </c>
      <c r="E3564" s="112" t="s">
        <v>6953</v>
      </c>
      <c r="F3564" s="112">
        <v>41.084125</v>
      </c>
      <c r="G3564" s="112" t="s">
        <v>6953</v>
      </c>
      <c r="H3564" s="112">
        <v>44.021462999999997</v>
      </c>
      <c r="I3564" s="112" t="s">
        <v>6953</v>
      </c>
      <c r="J3564" s="112" t="s">
        <v>6953</v>
      </c>
      <c r="K3564" s="112" t="s">
        <v>6952</v>
      </c>
      <c r="L3564" s="112" t="s">
        <v>6953</v>
      </c>
      <c r="M3564" s="112" t="s">
        <v>6953</v>
      </c>
      <c r="N3564" s="112" t="s">
        <v>6953</v>
      </c>
    </row>
    <row r="3565" spans="1:17" s="110" customFormat="1" ht="17.5" customHeight="1">
      <c r="A3565" s="109" t="s">
        <v>7511</v>
      </c>
      <c r="B3565" s="109" t="s">
        <v>7512</v>
      </c>
      <c r="C3565" s="98">
        <v>2008</v>
      </c>
      <c r="D3565" s="99">
        <v>81</v>
      </c>
      <c r="E3565" s="99">
        <v>103</v>
      </c>
      <c r="F3565" s="99">
        <v>40</v>
      </c>
      <c r="G3565" s="99">
        <v>63</v>
      </c>
      <c r="H3565" s="99">
        <v>28</v>
      </c>
      <c r="I3565" s="99">
        <v>1</v>
      </c>
      <c r="J3565" s="99">
        <v>2</v>
      </c>
      <c r="K3565" s="99">
        <v>1</v>
      </c>
      <c r="L3565" s="99">
        <v>15</v>
      </c>
      <c r="M3565" s="99">
        <v>15</v>
      </c>
      <c r="N3565" s="99" t="s">
        <v>6952</v>
      </c>
    </row>
    <row r="3566" spans="1:17" s="110" customFormat="1" ht="17.5" customHeight="1">
      <c r="A3566" s="109" t="s">
        <v>7511</v>
      </c>
      <c r="B3566" s="109" t="s">
        <v>7512</v>
      </c>
      <c r="C3566" s="98">
        <v>2009</v>
      </c>
      <c r="D3566" s="99">
        <v>84</v>
      </c>
      <c r="E3566" s="99">
        <v>155</v>
      </c>
      <c r="F3566" s="99" t="s">
        <v>6953</v>
      </c>
      <c r="G3566" s="99" t="s">
        <v>6953</v>
      </c>
      <c r="H3566" s="99">
        <v>39</v>
      </c>
      <c r="I3566" s="99">
        <v>1</v>
      </c>
      <c r="J3566" s="99">
        <v>2</v>
      </c>
      <c r="K3566" s="99">
        <v>1</v>
      </c>
      <c r="L3566" s="99">
        <v>18</v>
      </c>
      <c r="M3566" s="99">
        <v>19</v>
      </c>
      <c r="N3566" s="99">
        <v>-1</v>
      </c>
      <c r="O3566" s="119"/>
      <c r="P3566" s="119"/>
      <c r="Q3566" s="119"/>
    </row>
    <row r="3567" spans="1:17" s="110" customFormat="1" ht="17.5" customHeight="1">
      <c r="A3567" s="109" t="s">
        <v>7511</v>
      </c>
      <c r="B3567" s="109" t="s">
        <v>7512</v>
      </c>
      <c r="C3567" s="98">
        <v>2010</v>
      </c>
      <c r="D3567" s="99">
        <v>91</v>
      </c>
      <c r="E3567" s="99">
        <v>169</v>
      </c>
      <c r="F3567" s="99" t="s">
        <v>6953</v>
      </c>
      <c r="G3567" s="99" t="s">
        <v>6953</v>
      </c>
      <c r="H3567" s="99">
        <v>41</v>
      </c>
      <c r="I3567" s="99" t="s">
        <v>6953</v>
      </c>
      <c r="J3567" s="99" t="s">
        <v>6953</v>
      </c>
      <c r="K3567" s="99" t="s">
        <v>6952</v>
      </c>
      <c r="L3567" s="99" t="s">
        <v>6953</v>
      </c>
      <c r="M3567" s="99" t="s">
        <v>6953</v>
      </c>
      <c r="N3567" s="99" t="s">
        <v>6953</v>
      </c>
      <c r="O3567" s="119"/>
      <c r="P3567" s="119"/>
      <c r="Q3567" s="119"/>
    </row>
    <row r="3568" spans="1:17" s="110" customFormat="1" ht="17.5" customHeight="1">
      <c r="A3568" s="109" t="s">
        <v>7511</v>
      </c>
      <c r="B3568" s="109" t="s">
        <v>7512</v>
      </c>
      <c r="C3568" s="98">
        <v>2011</v>
      </c>
      <c r="D3568" s="99">
        <v>105</v>
      </c>
      <c r="E3568" s="99">
        <v>178</v>
      </c>
      <c r="F3568" s="99">
        <v>86</v>
      </c>
      <c r="G3568" s="99">
        <v>96</v>
      </c>
      <c r="H3568" s="99">
        <v>44</v>
      </c>
      <c r="I3568" s="99" t="s">
        <v>6953</v>
      </c>
      <c r="J3568" s="99" t="s">
        <v>6953</v>
      </c>
      <c r="K3568" s="99" t="s">
        <v>6952</v>
      </c>
      <c r="L3568" s="99">
        <v>25</v>
      </c>
      <c r="M3568" s="99">
        <v>21</v>
      </c>
      <c r="N3568" s="99">
        <v>4</v>
      </c>
      <c r="O3568" s="119"/>
      <c r="P3568" s="119"/>
      <c r="Q3568" s="119"/>
    </row>
    <row r="3569" spans="1:17" s="110" customFormat="1" ht="17.5" customHeight="1">
      <c r="A3569" s="109" t="s">
        <v>7511</v>
      </c>
      <c r="B3569" s="109" t="s">
        <v>7512</v>
      </c>
      <c r="C3569" s="111">
        <v>2012</v>
      </c>
      <c r="D3569" s="112">
        <v>104</v>
      </c>
      <c r="E3569" s="112">
        <v>202</v>
      </c>
      <c r="F3569" s="99" t="s">
        <v>6953</v>
      </c>
      <c r="G3569" s="99" t="s">
        <v>6953</v>
      </c>
      <c r="H3569" s="112">
        <v>47</v>
      </c>
      <c r="I3569" s="112">
        <v>9</v>
      </c>
      <c r="J3569" s="112">
        <v>10</v>
      </c>
      <c r="K3569" s="112">
        <v>1</v>
      </c>
      <c r="L3569" s="112">
        <v>53</v>
      </c>
      <c r="M3569" s="112">
        <v>29</v>
      </c>
      <c r="N3569" s="112">
        <v>24</v>
      </c>
      <c r="O3569" s="119"/>
      <c r="P3569" s="119"/>
      <c r="Q3569" s="119"/>
    </row>
    <row r="3570" spans="1:17" s="110" customFormat="1" ht="17.5" customHeight="1">
      <c r="A3570" s="109" t="s">
        <v>7511</v>
      </c>
      <c r="B3570" s="109" t="s">
        <v>7512</v>
      </c>
      <c r="C3570" s="113">
        <v>2013</v>
      </c>
      <c r="D3570" s="112">
        <v>113</v>
      </c>
      <c r="E3570" s="99" t="s">
        <v>6953</v>
      </c>
      <c r="F3570" s="112">
        <v>60</v>
      </c>
      <c r="G3570" s="99" t="s">
        <v>6953</v>
      </c>
      <c r="H3570" s="112">
        <v>48</v>
      </c>
      <c r="I3570" s="112">
        <v>9</v>
      </c>
      <c r="J3570" s="112">
        <v>10</v>
      </c>
      <c r="K3570" s="112">
        <v>1</v>
      </c>
      <c r="L3570" s="99" t="s">
        <v>6953</v>
      </c>
      <c r="M3570" s="99" t="s">
        <v>6953</v>
      </c>
      <c r="N3570" s="99" t="s">
        <v>6953</v>
      </c>
    </row>
    <row r="3571" spans="1:17" s="110" customFormat="1" ht="17.5" customHeight="1">
      <c r="A3571" s="109" t="s">
        <v>7511</v>
      </c>
      <c r="B3571" s="109" t="s">
        <v>7512</v>
      </c>
      <c r="C3571" s="113">
        <v>2014</v>
      </c>
      <c r="D3571" s="99">
        <v>128</v>
      </c>
      <c r="E3571" s="99" t="s">
        <v>6953</v>
      </c>
      <c r="F3571" s="99">
        <v>79</v>
      </c>
      <c r="G3571" s="99" t="s">
        <v>6953</v>
      </c>
      <c r="H3571" s="99">
        <v>47</v>
      </c>
      <c r="I3571" s="99" t="s">
        <v>6953</v>
      </c>
      <c r="J3571" s="99" t="s">
        <v>6953</v>
      </c>
      <c r="K3571" s="99" t="s">
        <v>6952</v>
      </c>
      <c r="L3571" s="99">
        <v>23</v>
      </c>
      <c r="M3571" s="99">
        <v>19</v>
      </c>
      <c r="N3571" s="99">
        <v>3</v>
      </c>
    </row>
    <row r="3572" spans="1:17" s="110" customFormat="1" ht="17.5" customHeight="1">
      <c r="A3572" s="109" t="s">
        <v>7511</v>
      </c>
      <c r="B3572" s="109" t="s">
        <v>7512</v>
      </c>
      <c r="C3572" s="113">
        <v>2015</v>
      </c>
      <c r="D3572" s="112">
        <v>133</v>
      </c>
      <c r="E3572" s="99" t="s">
        <v>6953</v>
      </c>
      <c r="F3572" s="112">
        <v>69</v>
      </c>
      <c r="G3572" s="99" t="s">
        <v>6953</v>
      </c>
      <c r="H3572" s="112">
        <v>50</v>
      </c>
      <c r="I3572" s="112">
        <v>7</v>
      </c>
      <c r="J3572" s="112">
        <v>7</v>
      </c>
      <c r="K3572" s="112" t="s">
        <v>6952</v>
      </c>
      <c r="L3572" s="112">
        <v>23</v>
      </c>
      <c r="M3572" s="112">
        <v>25</v>
      </c>
      <c r="N3572" s="112">
        <v>-2</v>
      </c>
      <c r="O3572" s="100"/>
      <c r="P3572" s="100"/>
      <c r="Q3572" s="100"/>
    </row>
    <row r="3573" spans="1:17" s="110" customFormat="1" ht="17.5" customHeight="1">
      <c r="A3573" s="109" t="s">
        <v>7511</v>
      </c>
      <c r="B3573" s="109" t="s">
        <v>7512</v>
      </c>
      <c r="C3573" s="113">
        <v>2016</v>
      </c>
      <c r="D3573" s="112">
        <v>164</v>
      </c>
      <c r="E3573" s="112">
        <v>218</v>
      </c>
      <c r="F3573" s="112">
        <v>78</v>
      </c>
      <c r="G3573" s="112">
        <v>146</v>
      </c>
      <c r="H3573" s="112">
        <v>57</v>
      </c>
      <c r="I3573" s="99" t="s">
        <v>6953</v>
      </c>
      <c r="J3573" s="99" t="s">
        <v>6953</v>
      </c>
      <c r="K3573" s="112" t="s">
        <v>6952</v>
      </c>
      <c r="L3573" s="112">
        <v>33</v>
      </c>
      <c r="M3573" s="112">
        <v>26</v>
      </c>
      <c r="N3573" s="112">
        <v>7</v>
      </c>
    </row>
    <row r="3574" spans="1:17" s="110" customFormat="1" ht="17.5" customHeight="1">
      <c r="A3574" s="109" t="s">
        <v>7511</v>
      </c>
      <c r="B3574" s="109" t="s">
        <v>7512</v>
      </c>
      <c r="C3574" s="113">
        <v>2017</v>
      </c>
      <c r="D3574" s="112">
        <v>170</v>
      </c>
      <c r="E3574" s="99" t="s">
        <v>6953</v>
      </c>
      <c r="F3574" s="112">
        <v>106</v>
      </c>
      <c r="G3574" s="99" t="s">
        <v>6953</v>
      </c>
      <c r="H3574" s="112">
        <v>51</v>
      </c>
      <c r="I3574" s="112">
        <v>7</v>
      </c>
      <c r="J3574" s="99" t="s">
        <v>6953</v>
      </c>
      <c r="K3574" s="99" t="s">
        <v>6953</v>
      </c>
      <c r="L3574" s="112">
        <v>25</v>
      </c>
      <c r="M3574" s="112">
        <v>23</v>
      </c>
      <c r="N3574" s="112">
        <v>2</v>
      </c>
      <c r="O3574" s="100"/>
      <c r="P3574" s="100"/>
      <c r="Q3574" s="100"/>
    </row>
    <row r="3575" spans="1:17" s="110" customFormat="1" ht="17.5" customHeight="1">
      <c r="A3575" s="109" t="s">
        <v>7511</v>
      </c>
      <c r="B3575" s="109" t="s">
        <v>7512</v>
      </c>
      <c r="C3575" s="113">
        <v>2018</v>
      </c>
      <c r="D3575" s="112">
        <v>188</v>
      </c>
      <c r="E3575" s="99" t="s">
        <v>6953</v>
      </c>
      <c r="F3575" s="112">
        <v>99</v>
      </c>
      <c r="G3575" s="99" t="s">
        <v>6953</v>
      </c>
      <c r="H3575" s="112">
        <v>68</v>
      </c>
      <c r="I3575" s="112">
        <v>5</v>
      </c>
      <c r="J3575" s="112">
        <v>5</v>
      </c>
      <c r="K3575" s="112" t="s">
        <v>6952</v>
      </c>
      <c r="L3575" s="99" t="s">
        <v>6953</v>
      </c>
      <c r="M3575" s="99" t="s">
        <v>6953</v>
      </c>
      <c r="N3575" s="112">
        <v>4</v>
      </c>
      <c r="O3575" s="100"/>
      <c r="P3575" s="100"/>
      <c r="Q3575" s="100"/>
    </row>
    <row r="3576" spans="1:17" s="110" customFormat="1" ht="17.5" customHeight="1">
      <c r="A3576" s="109" t="s">
        <v>7511</v>
      </c>
      <c r="B3576" s="109" t="s">
        <v>7512</v>
      </c>
      <c r="C3576" s="113">
        <v>2019</v>
      </c>
      <c r="D3576" s="112">
        <v>179</v>
      </c>
      <c r="E3576" s="112" t="s">
        <v>6953</v>
      </c>
      <c r="F3576" s="112">
        <v>105.847438</v>
      </c>
      <c r="G3576" s="112" t="s">
        <v>6953</v>
      </c>
      <c r="H3576" s="112">
        <v>71.220207000000002</v>
      </c>
      <c r="I3576" s="112" t="s">
        <v>6953</v>
      </c>
      <c r="J3576" s="112" t="s">
        <v>6953</v>
      </c>
      <c r="K3576" s="112" t="s">
        <v>6953</v>
      </c>
      <c r="L3576" s="112" t="s">
        <v>6953</v>
      </c>
      <c r="M3576" s="112" t="s">
        <v>6953</v>
      </c>
      <c r="N3576" s="112" t="s">
        <v>6953</v>
      </c>
    </row>
    <row r="3577" spans="1:17" s="110" customFormat="1" ht="17.5" customHeight="1">
      <c r="A3577" s="114" t="s">
        <v>7511</v>
      </c>
      <c r="B3577" s="114" t="s">
        <v>7512</v>
      </c>
      <c r="C3577" s="113">
        <v>2020</v>
      </c>
      <c r="D3577" s="112">
        <v>181</v>
      </c>
      <c r="E3577" s="112" t="s">
        <v>6953</v>
      </c>
      <c r="F3577" s="112">
        <v>113.816165</v>
      </c>
      <c r="G3577" s="112" t="s">
        <v>6953</v>
      </c>
      <c r="H3577" s="112">
        <v>69.091348999999994</v>
      </c>
      <c r="I3577" s="112" t="s">
        <v>6953</v>
      </c>
      <c r="J3577" s="112" t="s">
        <v>6953</v>
      </c>
      <c r="K3577" s="112">
        <v>0.50113099999999999</v>
      </c>
      <c r="L3577" s="112" t="s">
        <v>6953</v>
      </c>
      <c r="M3577" s="112" t="s">
        <v>6953</v>
      </c>
      <c r="N3577" s="112" t="s">
        <v>6953</v>
      </c>
    </row>
    <row r="3578" spans="1:17" s="110" customFormat="1" ht="31.75" customHeight="1">
      <c r="A3578" s="109" t="s">
        <v>7513</v>
      </c>
      <c r="B3578" s="109" t="s">
        <v>7514</v>
      </c>
      <c r="C3578" s="98">
        <v>2008</v>
      </c>
      <c r="D3578" s="99">
        <v>111</v>
      </c>
      <c r="E3578" s="99">
        <v>91</v>
      </c>
      <c r="F3578" s="99">
        <v>23</v>
      </c>
      <c r="G3578" s="99">
        <v>69</v>
      </c>
      <c r="H3578" s="99">
        <v>24</v>
      </c>
      <c r="I3578" s="99">
        <v>2</v>
      </c>
      <c r="J3578" s="99">
        <v>2</v>
      </c>
      <c r="K3578" s="99" t="s">
        <v>6952</v>
      </c>
      <c r="L3578" s="99">
        <v>6</v>
      </c>
      <c r="M3578" s="99">
        <v>6</v>
      </c>
      <c r="N3578" s="99" t="s">
        <v>6952</v>
      </c>
      <c r="O3578" s="119"/>
      <c r="P3578" s="119"/>
      <c r="Q3578" s="119"/>
    </row>
    <row r="3579" spans="1:17" s="110" customFormat="1" ht="31.75" customHeight="1">
      <c r="A3579" s="109" t="s">
        <v>7513</v>
      </c>
      <c r="B3579" s="109" t="s">
        <v>7514</v>
      </c>
      <c r="C3579" s="98">
        <v>2009</v>
      </c>
      <c r="D3579" s="99">
        <v>115</v>
      </c>
      <c r="E3579" s="99">
        <v>68</v>
      </c>
      <c r="F3579" s="99">
        <v>21</v>
      </c>
      <c r="G3579" s="99">
        <v>46</v>
      </c>
      <c r="H3579" s="99">
        <v>14</v>
      </c>
      <c r="I3579" s="99" t="s">
        <v>6952</v>
      </c>
      <c r="J3579" s="99">
        <v>1</v>
      </c>
      <c r="K3579" s="99" t="s">
        <v>6952</v>
      </c>
      <c r="L3579" s="99">
        <v>5</v>
      </c>
      <c r="M3579" s="99">
        <v>6</v>
      </c>
      <c r="N3579" s="99" t="s">
        <v>6952</v>
      </c>
      <c r="O3579" s="119"/>
      <c r="P3579" s="119"/>
      <c r="Q3579" s="119"/>
    </row>
    <row r="3580" spans="1:17" s="110" customFormat="1" ht="31.75" customHeight="1">
      <c r="A3580" s="109" t="s">
        <v>7513</v>
      </c>
      <c r="B3580" s="109" t="s">
        <v>7514</v>
      </c>
      <c r="C3580" s="98">
        <v>2010</v>
      </c>
      <c r="D3580" s="99">
        <v>116</v>
      </c>
      <c r="E3580" s="99">
        <v>14</v>
      </c>
      <c r="F3580" s="99">
        <v>5</v>
      </c>
      <c r="G3580" s="99">
        <v>9</v>
      </c>
      <c r="H3580" s="99">
        <v>8</v>
      </c>
      <c r="I3580" s="99" t="s">
        <v>6953</v>
      </c>
      <c r="J3580" s="99" t="s">
        <v>6953</v>
      </c>
      <c r="K3580" s="99" t="s">
        <v>6952</v>
      </c>
      <c r="L3580" s="99" t="s">
        <v>6953</v>
      </c>
      <c r="M3580" s="99" t="s">
        <v>6953</v>
      </c>
      <c r="N3580" s="99" t="s">
        <v>6953</v>
      </c>
      <c r="O3580" s="119"/>
      <c r="P3580" s="119"/>
      <c r="Q3580" s="119"/>
    </row>
    <row r="3581" spans="1:17" s="110" customFormat="1" ht="31.75" customHeight="1">
      <c r="A3581" s="109" t="s">
        <v>7513</v>
      </c>
      <c r="B3581" s="109" t="s">
        <v>7514</v>
      </c>
      <c r="C3581" s="98">
        <v>2011</v>
      </c>
      <c r="D3581" s="99">
        <v>129</v>
      </c>
      <c r="E3581" s="99">
        <v>46</v>
      </c>
      <c r="F3581" s="99">
        <v>10</v>
      </c>
      <c r="G3581" s="99">
        <v>36</v>
      </c>
      <c r="H3581" s="99">
        <v>8</v>
      </c>
      <c r="I3581" s="99" t="s">
        <v>6952</v>
      </c>
      <c r="J3581" s="99" t="s">
        <v>6952</v>
      </c>
      <c r="K3581" s="99" t="s">
        <v>6952</v>
      </c>
      <c r="L3581" s="99">
        <v>1</v>
      </c>
      <c r="M3581" s="99">
        <v>1</v>
      </c>
      <c r="N3581" s="99" t="s">
        <v>6952</v>
      </c>
      <c r="O3581" s="119"/>
      <c r="P3581" s="119"/>
      <c r="Q3581" s="119"/>
    </row>
    <row r="3582" spans="1:17" s="110" customFormat="1" ht="31.75" customHeight="1">
      <c r="A3582" s="109" t="s">
        <v>7513</v>
      </c>
      <c r="B3582" s="109" t="s">
        <v>7514</v>
      </c>
      <c r="C3582" s="111">
        <v>2012</v>
      </c>
      <c r="D3582" s="112">
        <v>150</v>
      </c>
      <c r="E3582" s="112">
        <v>67</v>
      </c>
      <c r="F3582" s="112">
        <v>19</v>
      </c>
      <c r="G3582" s="112">
        <v>48</v>
      </c>
      <c r="H3582" s="112">
        <v>20</v>
      </c>
      <c r="I3582" s="99" t="s">
        <v>6952</v>
      </c>
      <c r="J3582" s="99" t="s">
        <v>6952</v>
      </c>
      <c r="K3582" s="99" t="s">
        <v>6952</v>
      </c>
      <c r="L3582" s="112">
        <v>1</v>
      </c>
      <c r="M3582" s="112">
        <v>1</v>
      </c>
      <c r="N3582" s="99" t="s">
        <v>6952</v>
      </c>
    </row>
    <row r="3583" spans="1:17" s="110" customFormat="1" ht="31.75" customHeight="1">
      <c r="A3583" s="109" t="s">
        <v>7513</v>
      </c>
      <c r="B3583" s="109" t="s">
        <v>7514</v>
      </c>
      <c r="C3583" s="113">
        <v>2013</v>
      </c>
      <c r="D3583" s="112">
        <v>124</v>
      </c>
      <c r="E3583" s="112">
        <v>41</v>
      </c>
      <c r="F3583" s="112">
        <v>8</v>
      </c>
      <c r="G3583" s="112">
        <v>32</v>
      </c>
      <c r="H3583" s="112">
        <v>7</v>
      </c>
      <c r="I3583" s="99" t="s">
        <v>6952</v>
      </c>
      <c r="J3583" s="99" t="s">
        <v>6952</v>
      </c>
      <c r="K3583" s="99" t="s">
        <v>6952</v>
      </c>
      <c r="L3583" s="112">
        <v>3</v>
      </c>
      <c r="M3583" s="112">
        <v>3</v>
      </c>
      <c r="N3583" s="99" t="s">
        <v>6952</v>
      </c>
    </row>
    <row r="3584" spans="1:17" s="110" customFormat="1" ht="31.75" customHeight="1">
      <c r="A3584" s="109" t="s">
        <v>7513</v>
      </c>
      <c r="B3584" s="109" t="s">
        <v>7514</v>
      </c>
      <c r="C3584" s="113">
        <v>2014</v>
      </c>
      <c r="D3584" s="99">
        <v>105</v>
      </c>
      <c r="E3584" s="99">
        <v>70</v>
      </c>
      <c r="F3584" s="99">
        <v>20</v>
      </c>
      <c r="G3584" s="99">
        <v>51</v>
      </c>
      <c r="H3584" s="99">
        <v>9</v>
      </c>
      <c r="I3584" s="99">
        <v>2</v>
      </c>
      <c r="J3584" s="99">
        <v>2</v>
      </c>
      <c r="K3584" s="99" t="s">
        <v>6952</v>
      </c>
      <c r="L3584" s="99">
        <v>6</v>
      </c>
      <c r="M3584" s="99">
        <v>5</v>
      </c>
      <c r="N3584" s="99">
        <v>1</v>
      </c>
      <c r="O3584" s="100"/>
      <c r="P3584" s="100"/>
      <c r="Q3584" s="100"/>
    </row>
    <row r="3585" spans="1:17" s="110" customFormat="1" ht="31.75" customHeight="1">
      <c r="A3585" s="109" t="s">
        <v>7513</v>
      </c>
      <c r="B3585" s="109" t="s">
        <v>7514</v>
      </c>
      <c r="C3585" s="113">
        <v>2015</v>
      </c>
      <c r="D3585" s="112">
        <v>104</v>
      </c>
      <c r="E3585" s="112">
        <v>76</v>
      </c>
      <c r="F3585" s="112">
        <v>24</v>
      </c>
      <c r="G3585" s="112">
        <v>61</v>
      </c>
      <c r="H3585" s="112">
        <v>14</v>
      </c>
      <c r="I3585" s="112">
        <v>1</v>
      </c>
      <c r="J3585" s="112">
        <v>1</v>
      </c>
      <c r="K3585" s="99" t="s">
        <v>6952</v>
      </c>
      <c r="L3585" s="112">
        <v>14</v>
      </c>
      <c r="M3585" s="112">
        <v>5</v>
      </c>
      <c r="N3585" s="112">
        <v>9</v>
      </c>
    </row>
    <row r="3586" spans="1:17" s="110" customFormat="1" ht="31.75" customHeight="1">
      <c r="A3586" s="109" t="s">
        <v>7513</v>
      </c>
      <c r="B3586" s="109" t="s">
        <v>7514</v>
      </c>
      <c r="C3586" s="113">
        <v>2016</v>
      </c>
      <c r="D3586" s="112">
        <v>90</v>
      </c>
      <c r="E3586" s="112">
        <v>77</v>
      </c>
      <c r="F3586" s="112">
        <v>10</v>
      </c>
      <c r="G3586" s="112">
        <v>71</v>
      </c>
      <c r="H3586" s="112">
        <v>12</v>
      </c>
      <c r="I3586" s="112">
        <v>5</v>
      </c>
      <c r="J3586" s="112">
        <v>5</v>
      </c>
      <c r="K3586" s="99" t="s">
        <v>6952</v>
      </c>
      <c r="L3586" s="112">
        <v>27</v>
      </c>
      <c r="M3586" s="112">
        <v>23</v>
      </c>
      <c r="N3586" s="112">
        <v>3</v>
      </c>
      <c r="O3586" s="100"/>
      <c r="P3586" s="100"/>
      <c r="Q3586" s="100"/>
    </row>
    <row r="3587" spans="1:17" s="110" customFormat="1" ht="31.75" customHeight="1">
      <c r="A3587" s="109" t="s">
        <v>7513</v>
      </c>
      <c r="B3587" s="109" t="s">
        <v>7514</v>
      </c>
      <c r="C3587" s="113">
        <v>2017</v>
      </c>
      <c r="D3587" s="112">
        <v>107</v>
      </c>
      <c r="E3587" s="112">
        <v>68</v>
      </c>
      <c r="F3587" s="112">
        <v>18</v>
      </c>
      <c r="G3587" s="112">
        <v>49</v>
      </c>
      <c r="H3587" s="112">
        <v>14</v>
      </c>
      <c r="I3587" s="112">
        <v>1</v>
      </c>
      <c r="J3587" s="112">
        <v>1</v>
      </c>
      <c r="K3587" s="99" t="s">
        <v>6952</v>
      </c>
      <c r="L3587" s="112">
        <v>7</v>
      </c>
      <c r="M3587" s="112">
        <v>7</v>
      </c>
      <c r="N3587" s="112" t="s">
        <v>6952</v>
      </c>
      <c r="O3587" s="100"/>
      <c r="P3587" s="100"/>
      <c r="Q3587" s="100"/>
    </row>
    <row r="3588" spans="1:17" s="110" customFormat="1" ht="31.75" customHeight="1">
      <c r="A3588" s="109" t="s">
        <v>7513</v>
      </c>
      <c r="B3588" s="109" t="s">
        <v>7514</v>
      </c>
      <c r="C3588" s="113">
        <v>2018</v>
      </c>
      <c r="D3588" s="112">
        <v>109</v>
      </c>
      <c r="E3588" s="112">
        <v>71</v>
      </c>
      <c r="F3588" s="112">
        <v>31</v>
      </c>
      <c r="G3588" s="112">
        <v>41</v>
      </c>
      <c r="H3588" s="112">
        <v>20</v>
      </c>
      <c r="I3588" s="112">
        <v>5</v>
      </c>
      <c r="J3588" s="112">
        <v>5</v>
      </c>
      <c r="K3588" s="99" t="s">
        <v>6952</v>
      </c>
      <c r="L3588" s="112">
        <v>8</v>
      </c>
      <c r="M3588" s="112">
        <v>7</v>
      </c>
      <c r="N3588" s="112">
        <v>1</v>
      </c>
    </row>
    <row r="3589" spans="1:17" s="110" customFormat="1" ht="31.75" customHeight="1">
      <c r="A3589" s="109" t="s">
        <v>7513</v>
      </c>
      <c r="B3589" s="109" t="s">
        <v>7514</v>
      </c>
      <c r="C3589" s="113">
        <v>2019</v>
      </c>
      <c r="D3589" s="112">
        <v>110</v>
      </c>
      <c r="E3589" s="112">
        <v>79.447057000000001</v>
      </c>
      <c r="F3589" s="112">
        <v>43.075978999999997</v>
      </c>
      <c r="G3589" s="112">
        <v>34.725774999999999</v>
      </c>
      <c r="H3589" s="112">
        <v>16.499860000000002</v>
      </c>
      <c r="I3589" s="112" t="s">
        <v>6952</v>
      </c>
      <c r="J3589" s="112" t="s">
        <v>6952</v>
      </c>
      <c r="K3589" s="112" t="s">
        <v>6952</v>
      </c>
      <c r="L3589" s="112">
        <v>7.5440129999999996</v>
      </c>
      <c r="M3589" s="112">
        <v>8.7016880000000008</v>
      </c>
      <c r="N3589" s="112">
        <v>-1.1576740000000001</v>
      </c>
    </row>
    <row r="3590" spans="1:17" s="110" customFormat="1" ht="31.75" customHeight="1">
      <c r="A3590" s="114" t="s">
        <v>7513</v>
      </c>
      <c r="B3590" s="109" t="s">
        <v>7514</v>
      </c>
      <c r="C3590" s="113">
        <v>2020</v>
      </c>
      <c r="D3590" s="112">
        <v>107</v>
      </c>
      <c r="E3590" s="112">
        <v>77.269119000000003</v>
      </c>
      <c r="F3590" s="112">
        <v>15.590712</v>
      </c>
      <c r="G3590" s="112">
        <v>61.566063</v>
      </c>
      <c r="H3590" s="112">
        <v>14.966355</v>
      </c>
      <c r="I3590" s="112" t="s">
        <v>6952</v>
      </c>
      <c r="J3590" s="112" t="s">
        <v>6952</v>
      </c>
      <c r="K3590" s="112" t="s">
        <v>6952</v>
      </c>
      <c r="L3590" s="112">
        <v>7.3606590000000001</v>
      </c>
      <c r="M3590" s="112">
        <v>7.0772459999999997</v>
      </c>
      <c r="N3590" s="112" t="s">
        <v>6952</v>
      </c>
      <c r="O3590" s="119"/>
      <c r="P3590" s="119"/>
      <c r="Q3590" s="119"/>
    </row>
    <row r="3591" spans="1:17" s="110" customFormat="1" ht="17.5" customHeight="1">
      <c r="A3591" s="109" t="s">
        <v>7515</v>
      </c>
      <c r="B3591" s="109" t="s">
        <v>7516</v>
      </c>
      <c r="C3591" s="98">
        <v>2008</v>
      </c>
      <c r="D3591" s="99">
        <v>6397</v>
      </c>
      <c r="E3591" s="99">
        <v>8266</v>
      </c>
      <c r="F3591" s="99">
        <v>3091</v>
      </c>
      <c r="G3591" s="99">
        <v>5186</v>
      </c>
      <c r="H3591" s="99">
        <v>1890</v>
      </c>
      <c r="I3591" s="99">
        <v>108</v>
      </c>
      <c r="J3591" s="99">
        <v>131</v>
      </c>
      <c r="K3591" s="99">
        <v>23</v>
      </c>
      <c r="L3591" s="99">
        <v>714</v>
      </c>
      <c r="M3591" s="99">
        <v>709</v>
      </c>
      <c r="N3591" s="99">
        <v>5</v>
      </c>
      <c r="O3591" s="119"/>
      <c r="P3591" s="119"/>
      <c r="Q3591" s="119"/>
    </row>
    <row r="3592" spans="1:17" s="110" customFormat="1" ht="17.5" customHeight="1">
      <c r="A3592" s="109" t="s">
        <v>7515</v>
      </c>
      <c r="B3592" s="109" t="s">
        <v>7516</v>
      </c>
      <c r="C3592" s="98">
        <v>2009</v>
      </c>
      <c r="D3592" s="99">
        <v>6381</v>
      </c>
      <c r="E3592" s="99">
        <v>6817</v>
      </c>
      <c r="F3592" s="99">
        <v>2526</v>
      </c>
      <c r="G3592" s="99">
        <v>4287</v>
      </c>
      <c r="H3592" s="99">
        <v>1642</v>
      </c>
      <c r="I3592" s="99">
        <v>172</v>
      </c>
      <c r="J3592" s="99">
        <v>198</v>
      </c>
      <c r="K3592" s="99">
        <v>26</v>
      </c>
      <c r="L3592" s="99">
        <v>629</v>
      </c>
      <c r="M3592" s="99">
        <v>660</v>
      </c>
      <c r="N3592" s="99">
        <v>-31</v>
      </c>
      <c r="O3592" s="119"/>
      <c r="P3592" s="119"/>
      <c r="Q3592" s="119"/>
    </row>
    <row r="3593" spans="1:17" s="110" customFormat="1" ht="17.5" customHeight="1">
      <c r="A3593" s="109" t="s">
        <v>7515</v>
      </c>
      <c r="B3593" s="109" t="s">
        <v>7516</v>
      </c>
      <c r="C3593" s="98">
        <v>2010</v>
      </c>
      <c r="D3593" s="99">
        <v>6207</v>
      </c>
      <c r="E3593" s="99">
        <v>7091</v>
      </c>
      <c r="F3593" s="99">
        <v>2873</v>
      </c>
      <c r="G3593" s="99">
        <v>4239</v>
      </c>
      <c r="H3593" s="99">
        <v>1634</v>
      </c>
      <c r="I3593" s="99">
        <v>116</v>
      </c>
      <c r="J3593" s="99">
        <v>140</v>
      </c>
      <c r="K3593" s="99">
        <v>25</v>
      </c>
      <c r="L3593" s="99">
        <v>608</v>
      </c>
      <c r="M3593" s="99">
        <v>587</v>
      </c>
      <c r="N3593" s="99">
        <v>21</v>
      </c>
      <c r="O3593" s="119"/>
      <c r="P3593" s="119"/>
      <c r="Q3593" s="119"/>
    </row>
    <row r="3594" spans="1:17" s="110" customFormat="1" ht="17.5" customHeight="1">
      <c r="A3594" s="109" t="s">
        <v>7515</v>
      </c>
      <c r="B3594" s="109" t="s">
        <v>7516</v>
      </c>
      <c r="C3594" s="98">
        <v>2011</v>
      </c>
      <c r="D3594" s="99">
        <v>6129</v>
      </c>
      <c r="E3594" s="99">
        <v>6460</v>
      </c>
      <c r="F3594" s="99">
        <v>2599</v>
      </c>
      <c r="G3594" s="99">
        <v>3913</v>
      </c>
      <c r="H3594" s="99">
        <v>1663</v>
      </c>
      <c r="I3594" s="99">
        <v>124</v>
      </c>
      <c r="J3594" s="99">
        <v>168</v>
      </c>
      <c r="K3594" s="99">
        <v>44</v>
      </c>
      <c r="L3594" s="99">
        <v>587</v>
      </c>
      <c r="M3594" s="99">
        <v>533</v>
      </c>
      <c r="N3594" s="99">
        <v>54</v>
      </c>
    </row>
    <row r="3595" spans="1:17" s="110" customFormat="1" ht="17.5" customHeight="1">
      <c r="A3595" s="109" t="s">
        <v>7515</v>
      </c>
      <c r="B3595" s="109" t="s">
        <v>7516</v>
      </c>
      <c r="C3595" s="111">
        <v>2012</v>
      </c>
      <c r="D3595" s="112">
        <v>6131</v>
      </c>
      <c r="E3595" s="112">
        <v>6589</v>
      </c>
      <c r="F3595" s="112">
        <v>2585</v>
      </c>
      <c r="G3595" s="112">
        <v>4026</v>
      </c>
      <c r="H3595" s="112">
        <v>1613</v>
      </c>
      <c r="I3595" s="112">
        <v>124</v>
      </c>
      <c r="J3595" s="112">
        <v>137</v>
      </c>
      <c r="K3595" s="112">
        <v>13</v>
      </c>
      <c r="L3595" s="112">
        <v>680</v>
      </c>
      <c r="M3595" s="112">
        <v>656</v>
      </c>
      <c r="N3595" s="112">
        <v>24</v>
      </c>
    </row>
    <row r="3596" spans="1:17" s="110" customFormat="1" ht="17.5" customHeight="1">
      <c r="A3596" s="109" t="s">
        <v>7515</v>
      </c>
      <c r="B3596" s="109" t="s">
        <v>7516</v>
      </c>
      <c r="C3596" s="113">
        <v>2013</v>
      </c>
      <c r="D3596" s="112">
        <v>6022</v>
      </c>
      <c r="E3596" s="112">
        <v>7006</v>
      </c>
      <c r="F3596" s="112">
        <v>2838</v>
      </c>
      <c r="G3596" s="112">
        <v>4187</v>
      </c>
      <c r="H3596" s="112">
        <v>1664</v>
      </c>
      <c r="I3596" s="112">
        <v>142</v>
      </c>
      <c r="J3596" s="112">
        <v>160</v>
      </c>
      <c r="K3596" s="112">
        <v>18</v>
      </c>
      <c r="L3596" s="112">
        <v>587</v>
      </c>
      <c r="M3596" s="112">
        <v>570</v>
      </c>
      <c r="N3596" s="112">
        <v>17</v>
      </c>
      <c r="O3596" s="100"/>
      <c r="P3596" s="100"/>
      <c r="Q3596" s="100"/>
    </row>
    <row r="3597" spans="1:17" s="110" customFormat="1" ht="17.5" customHeight="1">
      <c r="A3597" s="109" t="s">
        <v>7515</v>
      </c>
      <c r="B3597" s="109" t="s">
        <v>7516</v>
      </c>
      <c r="C3597" s="113">
        <v>2014</v>
      </c>
      <c r="D3597" s="99">
        <v>5934</v>
      </c>
      <c r="E3597" s="99">
        <v>7496</v>
      </c>
      <c r="F3597" s="99">
        <v>2890</v>
      </c>
      <c r="G3597" s="99">
        <v>4641</v>
      </c>
      <c r="H3597" s="99">
        <v>1929</v>
      </c>
      <c r="I3597" s="99">
        <v>248</v>
      </c>
      <c r="J3597" s="99">
        <v>281</v>
      </c>
      <c r="K3597" s="99">
        <v>33</v>
      </c>
      <c r="L3597" s="99">
        <v>603</v>
      </c>
      <c r="M3597" s="99">
        <v>569</v>
      </c>
      <c r="N3597" s="99">
        <v>35</v>
      </c>
    </row>
    <row r="3598" spans="1:17" s="110" customFormat="1" ht="17.5" customHeight="1">
      <c r="A3598" s="109" t="s">
        <v>7515</v>
      </c>
      <c r="B3598" s="109" t="s">
        <v>7516</v>
      </c>
      <c r="C3598" s="113">
        <v>2015</v>
      </c>
      <c r="D3598" s="112">
        <v>5999</v>
      </c>
      <c r="E3598" s="112">
        <v>7968</v>
      </c>
      <c r="F3598" s="112">
        <v>3177</v>
      </c>
      <c r="G3598" s="112">
        <v>4845</v>
      </c>
      <c r="H3598" s="112">
        <v>1961</v>
      </c>
      <c r="I3598" s="112">
        <v>286</v>
      </c>
      <c r="J3598" s="112">
        <v>351</v>
      </c>
      <c r="K3598" s="112">
        <v>66</v>
      </c>
      <c r="L3598" s="112">
        <v>668</v>
      </c>
      <c r="M3598" s="112">
        <v>617</v>
      </c>
      <c r="N3598" s="112">
        <v>51</v>
      </c>
      <c r="O3598" s="100"/>
      <c r="P3598" s="100"/>
      <c r="Q3598" s="100"/>
    </row>
    <row r="3599" spans="1:17" s="110" customFormat="1" ht="17.5" customHeight="1">
      <c r="A3599" s="109" t="s">
        <v>7515</v>
      </c>
      <c r="B3599" s="109" t="s">
        <v>7516</v>
      </c>
      <c r="C3599" s="113">
        <v>2016</v>
      </c>
      <c r="D3599" s="112">
        <v>6223</v>
      </c>
      <c r="E3599" s="112">
        <v>8218</v>
      </c>
      <c r="F3599" s="112">
        <v>3321</v>
      </c>
      <c r="G3599" s="112">
        <v>4917</v>
      </c>
      <c r="H3599" s="112">
        <v>2023</v>
      </c>
      <c r="I3599" s="112">
        <v>253</v>
      </c>
      <c r="J3599" s="112">
        <v>277</v>
      </c>
      <c r="K3599" s="112">
        <v>24</v>
      </c>
      <c r="L3599" s="112">
        <v>665</v>
      </c>
      <c r="M3599" s="112">
        <v>648</v>
      </c>
      <c r="N3599" s="112">
        <v>16</v>
      </c>
      <c r="O3599" s="100"/>
      <c r="P3599" s="100"/>
      <c r="Q3599" s="100"/>
    </row>
    <row r="3600" spans="1:17" s="110" customFormat="1" ht="17.5" customHeight="1">
      <c r="A3600" s="109" t="s">
        <v>7515</v>
      </c>
      <c r="B3600" s="109" t="s">
        <v>7516</v>
      </c>
      <c r="C3600" s="113">
        <v>2017</v>
      </c>
      <c r="D3600" s="112">
        <v>6254</v>
      </c>
      <c r="E3600" s="112">
        <v>8774</v>
      </c>
      <c r="F3600" s="112">
        <v>3564</v>
      </c>
      <c r="G3600" s="112">
        <v>5243</v>
      </c>
      <c r="H3600" s="112">
        <v>2185</v>
      </c>
      <c r="I3600" s="112">
        <v>292</v>
      </c>
      <c r="J3600" s="112">
        <v>310</v>
      </c>
      <c r="K3600" s="112">
        <v>19</v>
      </c>
      <c r="L3600" s="112">
        <v>650</v>
      </c>
      <c r="M3600" s="112">
        <v>622</v>
      </c>
      <c r="N3600" s="112">
        <v>28</v>
      </c>
    </row>
    <row r="3601" spans="1:17" s="110" customFormat="1" ht="17.5" customHeight="1">
      <c r="A3601" s="109" t="s">
        <v>7515</v>
      </c>
      <c r="B3601" s="109" t="s">
        <v>7516</v>
      </c>
      <c r="C3601" s="113">
        <v>2018</v>
      </c>
      <c r="D3601" s="112">
        <v>6378</v>
      </c>
      <c r="E3601" s="112">
        <v>8861</v>
      </c>
      <c r="F3601" s="112">
        <v>3730</v>
      </c>
      <c r="G3601" s="112">
        <v>5153</v>
      </c>
      <c r="H3601" s="112">
        <v>2176</v>
      </c>
      <c r="I3601" s="112">
        <v>248</v>
      </c>
      <c r="J3601" s="112">
        <v>268</v>
      </c>
      <c r="K3601" s="112">
        <v>19</v>
      </c>
      <c r="L3601" s="112">
        <v>710</v>
      </c>
      <c r="M3601" s="112">
        <v>692</v>
      </c>
      <c r="N3601" s="112">
        <v>18</v>
      </c>
    </row>
    <row r="3602" spans="1:17" s="110" customFormat="1" ht="17.5" customHeight="1">
      <c r="A3602" s="109" t="s">
        <v>7515</v>
      </c>
      <c r="B3602" s="109" t="s">
        <v>7516</v>
      </c>
      <c r="C3602" s="113">
        <v>2019</v>
      </c>
      <c r="D3602" s="112">
        <v>6355</v>
      </c>
      <c r="E3602" s="112">
        <v>8993.8094369999999</v>
      </c>
      <c r="F3602" s="112">
        <v>3713.831455</v>
      </c>
      <c r="G3602" s="112">
        <v>5316.9218579999997</v>
      </c>
      <c r="H3602" s="112">
        <v>2267.1943550000001</v>
      </c>
      <c r="I3602" s="112">
        <v>397.96764300000001</v>
      </c>
      <c r="J3602" s="112">
        <v>435.98387600000001</v>
      </c>
      <c r="K3602" s="112">
        <v>38.016233</v>
      </c>
      <c r="L3602" s="112">
        <v>681.60339999999997</v>
      </c>
      <c r="M3602" s="112">
        <v>647.58122000000003</v>
      </c>
      <c r="N3602" s="112">
        <v>34.022179999999999</v>
      </c>
      <c r="O3602" s="119"/>
      <c r="P3602" s="119"/>
      <c r="Q3602" s="119"/>
    </row>
    <row r="3603" spans="1:17" s="110" customFormat="1" ht="17.5" customHeight="1">
      <c r="A3603" s="114" t="s">
        <v>7515</v>
      </c>
      <c r="B3603" s="114" t="s">
        <v>7516</v>
      </c>
      <c r="C3603" s="113">
        <v>2020</v>
      </c>
      <c r="D3603" s="112">
        <v>6503</v>
      </c>
      <c r="E3603" s="112">
        <v>8059.1114520000001</v>
      </c>
      <c r="F3603" s="112">
        <v>3216.5089929999999</v>
      </c>
      <c r="G3603" s="112">
        <v>4903.0793700000004</v>
      </c>
      <c r="H3603" s="112">
        <v>2171.2044369999999</v>
      </c>
      <c r="I3603" s="112">
        <v>340.341477</v>
      </c>
      <c r="J3603" s="112">
        <v>365.29592100000002</v>
      </c>
      <c r="K3603" s="112">
        <v>24.954443999999999</v>
      </c>
      <c r="L3603" s="112">
        <v>814.22992699999998</v>
      </c>
      <c r="M3603" s="112">
        <v>764.99898900000005</v>
      </c>
      <c r="N3603" s="112">
        <v>49.230938000000002</v>
      </c>
      <c r="O3603" s="119"/>
      <c r="P3603" s="119"/>
      <c r="Q3603" s="119"/>
    </row>
    <row r="3604" spans="1:17" s="110" customFormat="1" ht="17.5" customHeight="1">
      <c r="A3604" s="109" t="s">
        <v>7517</v>
      </c>
      <c r="B3604" s="109" t="s">
        <v>7518</v>
      </c>
      <c r="C3604" s="98">
        <v>2008</v>
      </c>
      <c r="D3604" s="99">
        <v>1075</v>
      </c>
      <c r="E3604" s="99">
        <v>2341</v>
      </c>
      <c r="F3604" s="99">
        <v>839</v>
      </c>
      <c r="G3604" s="99">
        <v>1526</v>
      </c>
      <c r="H3604" s="99">
        <v>528</v>
      </c>
      <c r="I3604" s="99">
        <v>30</v>
      </c>
      <c r="J3604" s="99">
        <v>37</v>
      </c>
      <c r="K3604" s="99">
        <v>8</v>
      </c>
      <c r="L3604" s="99">
        <v>186</v>
      </c>
      <c r="M3604" s="99">
        <v>169</v>
      </c>
      <c r="N3604" s="99">
        <v>17</v>
      </c>
      <c r="O3604" s="119"/>
      <c r="P3604" s="119"/>
      <c r="Q3604" s="119"/>
    </row>
    <row r="3605" spans="1:17" s="110" customFormat="1" ht="17.5" customHeight="1">
      <c r="A3605" s="109" t="s">
        <v>7517</v>
      </c>
      <c r="B3605" s="109" t="s">
        <v>7518</v>
      </c>
      <c r="C3605" s="98">
        <v>2009</v>
      </c>
      <c r="D3605" s="99">
        <v>940</v>
      </c>
      <c r="E3605" s="99">
        <v>1890</v>
      </c>
      <c r="F3605" s="99">
        <v>551</v>
      </c>
      <c r="G3605" s="99">
        <v>1324</v>
      </c>
      <c r="H3605" s="99">
        <v>468</v>
      </c>
      <c r="I3605" s="99">
        <v>89</v>
      </c>
      <c r="J3605" s="99">
        <v>93</v>
      </c>
      <c r="K3605" s="99">
        <v>4</v>
      </c>
      <c r="L3605" s="99">
        <v>130</v>
      </c>
      <c r="M3605" s="99">
        <v>149</v>
      </c>
      <c r="N3605" s="99">
        <v>-18</v>
      </c>
      <c r="O3605" s="119"/>
      <c r="P3605" s="119"/>
      <c r="Q3605" s="119"/>
    </row>
    <row r="3606" spans="1:17" s="110" customFormat="1" ht="17.5" customHeight="1">
      <c r="A3606" s="109" t="s">
        <v>7517</v>
      </c>
      <c r="B3606" s="109" t="s">
        <v>7518</v>
      </c>
      <c r="C3606" s="98">
        <v>2010</v>
      </c>
      <c r="D3606" s="99">
        <v>906</v>
      </c>
      <c r="E3606" s="99">
        <v>1905</v>
      </c>
      <c r="F3606" s="99">
        <v>783</v>
      </c>
      <c r="G3606" s="99">
        <v>1135</v>
      </c>
      <c r="H3606" s="99">
        <v>453</v>
      </c>
      <c r="I3606" s="99">
        <v>38</v>
      </c>
      <c r="J3606" s="99">
        <v>42</v>
      </c>
      <c r="K3606" s="99">
        <v>5</v>
      </c>
      <c r="L3606" s="99">
        <v>138</v>
      </c>
      <c r="M3606" s="99">
        <v>125</v>
      </c>
      <c r="N3606" s="99">
        <v>14</v>
      </c>
    </row>
    <row r="3607" spans="1:17" s="110" customFormat="1" ht="17.5" customHeight="1">
      <c r="A3607" s="109" t="s">
        <v>7517</v>
      </c>
      <c r="B3607" s="109" t="s">
        <v>7518</v>
      </c>
      <c r="C3607" s="98">
        <v>2011</v>
      </c>
      <c r="D3607" s="99">
        <v>894</v>
      </c>
      <c r="E3607" s="99">
        <v>1913</v>
      </c>
      <c r="F3607" s="99">
        <v>788</v>
      </c>
      <c r="G3607" s="99">
        <v>1146</v>
      </c>
      <c r="H3607" s="99">
        <v>439</v>
      </c>
      <c r="I3607" s="99">
        <v>33</v>
      </c>
      <c r="J3607" s="99">
        <v>68</v>
      </c>
      <c r="K3607" s="99">
        <v>34</v>
      </c>
      <c r="L3607" s="99">
        <v>159</v>
      </c>
      <c r="M3607" s="99">
        <v>138</v>
      </c>
      <c r="N3607" s="99">
        <v>21</v>
      </c>
    </row>
    <row r="3608" spans="1:17" s="110" customFormat="1" ht="17.5" customHeight="1">
      <c r="A3608" s="109" t="s">
        <v>7517</v>
      </c>
      <c r="B3608" s="109" t="s">
        <v>7518</v>
      </c>
      <c r="C3608" s="111">
        <v>2012</v>
      </c>
      <c r="D3608" s="112">
        <v>907</v>
      </c>
      <c r="E3608" s="112">
        <v>1931</v>
      </c>
      <c r="F3608" s="112">
        <v>814</v>
      </c>
      <c r="G3608" s="112">
        <v>1115</v>
      </c>
      <c r="H3608" s="112">
        <v>446</v>
      </c>
      <c r="I3608" s="112">
        <v>30</v>
      </c>
      <c r="J3608" s="112">
        <v>31</v>
      </c>
      <c r="K3608" s="112">
        <v>1</v>
      </c>
      <c r="L3608" s="112">
        <v>228</v>
      </c>
      <c r="M3608" s="112">
        <v>228</v>
      </c>
      <c r="N3608" s="112" t="s">
        <v>6952</v>
      </c>
      <c r="O3608" s="100"/>
      <c r="P3608" s="100"/>
      <c r="Q3608" s="100"/>
    </row>
    <row r="3609" spans="1:17" s="110" customFormat="1" ht="17.5" customHeight="1">
      <c r="A3609" s="109" t="s">
        <v>7517</v>
      </c>
      <c r="B3609" s="109" t="s">
        <v>7518</v>
      </c>
      <c r="C3609" s="113">
        <v>2013</v>
      </c>
      <c r="D3609" s="112">
        <v>898</v>
      </c>
      <c r="E3609" s="112">
        <v>2031</v>
      </c>
      <c r="F3609" s="112">
        <v>869</v>
      </c>
      <c r="G3609" s="112">
        <v>1162</v>
      </c>
      <c r="H3609" s="112">
        <v>473</v>
      </c>
      <c r="I3609" s="112">
        <v>27</v>
      </c>
      <c r="J3609" s="112">
        <v>35</v>
      </c>
      <c r="K3609" s="112">
        <v>7</v>
      </c>
      <c r="L3609" s="112">
        <v>148</v>
      </c>
      <c r="M3609" s="112">
        <v>150</v>
      </c>
      <c r="N3609" s="112">
        <v>-2</v>
      </c>
    </row>
    <row r="3610" spans="1:17" s="110" customFormat="1" ht="17.5" customHeight="1">
      <c r="A3610" s="109" t="s">
        <v>7517</v>
      </c>
      <c r="B3610" s="109" t="s">
        <v>7518</v>
      </c>
      <c r="C3610" s="113">
        <v>2014</v>
      </c>
      <c r="D3610" s="99">
        <v>896</v>
      </c>
      <c r="E3610" s="99">
        <v>2090</v>
      </c>
      <c r="F3610" s="99">
        <v>857</v>
      </c>
      <c r="G3610" s="99">
        <v>1244</v>
      </c>
      <c r="H3610" s="99">
        <v>535</v>
      </c>
      <c r="I3610" s="99">
        <v>61</v>
      </c>
      <c r="J3610" s="99">
        <v>64</v>
      </c>
      <c r="K3610" s="99">
        <v>2</v>
      </c>
      <c r="L3610" s="99">
        <v>155</v>
      </c>
      <c r="M3610" s="99">
        <v>144</v>
      </c>
      <c r="N3610" s="99">
        <v>11</v>
      </c>
      <c r="O3610" s="100"/>
      <c r="P3610" s="100"/>
      <c r="Q3610" s="100"/>
    </row>
    <row r="3611" spans="1:17" s="110" customFormat="1" ht="17.5" customHeight="1">
      <c r="A3611" s="109" t="s">
        <v>7517</v>
      </c>
      <c r="B3611" s="109" t="s">
        <v>7518</v>
      </c>
      <c r="C3611" s="113">
        <v>2015</v>
      </c>
      <c r="D3611" s="112">
        <v>900</v>
      </c>
      <c r="E3611" s="112">
        <v>2252</v>
      </c>
      <c r="F3611" s="112">
        <v>848</v>
      </c>
      <c r="G3611" s="112">
        <v>1415</v>
      </c>
      <c r="H3611" s="112">
        <v>543</v>
      </c>
      <c r="I3611" s="112">
        <v>100</v>
      </c>
      <c r="J3611" s="112">
        <v>102</v>
      </c>
      <c r="K3611" s="112">
        <v>2</v>
      </c>
      <c r="L3611" s="112">
        <v>196</v>
      </c>
      <c r="M3611" s="112">
        <v>184</v>
      </c>
      <c r="N3611" s="112">
        <v>12</v>
      </c>
      <c r="O3611" s="100"/>
      <c r="P3611" s="100"/>
      <c r="Q3611" s="100"/>
    </row>
    <row r="3612" spans="1:17" s="110" customFormat="1" ht="17.5" customHeight="1">
      <c r="A3612" s="109" t="s">
        <v>7517</v>
      </c>
      <c r="B3612" s="109" t="s">
        <v>7518</v>
      </c>
      <c r="C3612" s="113">
        <v>2016</v>
      </c>
      <c r="D3612" s="112">
        <v>910</v>
      </c>
      <c r="E3612" s="112">
        <v>2044</v>
      </c>
      <c r="F3612" s="112">
        <v>832</v>
      </c>
      <c r="G3612" s="112">
        <v>1218</v>
      </c>
      <c r="H3612" s="112">
        <v>530</v>
      </c>
      <c r="I3612" s="112">
        <v>57</v>
      </c>
      <c r="J3612" s="112">
        <v>67</v>
      </c>
      <c r="K3612" s="112">
        <v>10</v>
      </c>
      <c r="L3612" s="112">
        <v>162</v>
      </c>
      <c r="M3612" s="112">
        <v>158</v>
      </c>
      <c r="N3612" s="112">
        <v>5</v>
      </c>
    </row>
    <row r="3613" spans="1:17" s="110" customFormat="1" ht="17.5" customHeight="1">
      <c r="A3613" s="109" t="s">
        <v>7517</v>
      </c>
      <c r="B3613" s="109" t="s">
        <v>7518</v>
      </c>
      <c r="C3613" s="113">
        <v>2017</v>
      </c>
      <c r="D3613" s="112">
        <v>903</v>
      </c>
      <c r="E3613" s="112">
        <v>2048</v>
      </c>
      <c r="F3613" s="112">
        <v>822</v>
      </c>
      <c r="G3613" s="112">
        <v>1217</v>
      </c>
      <c r="H3613" s="112">
        <v>546</v>
      </c>
      <c r="I3613" s="112">
        <v>81</v>
      </c>
      <c r="J3613" s="112">
        <v>87</v>
      </c>
      <c r="K3613" s="112">
        <v>6</v>
      </c>
      <c r="L3613" s="112">
        <v>150</v>
      </c>
      <c r="M3613" s="112">
        <v>159</v>
      </c>
      <c r="N3613" s="112">
        <v>-9</v>
      </c>
    </row>
    <row r="3614" spans="1:17" s="110" customFormat="1" ht="17.5" customHeight="1">
      <c r="A3614" s="109" t="s">
        <v>7517</v>
      </c>
      <c r="B3614" s="109" t="s">
        <v>7518</v>
      </c>
      <c r="C3614" s="113">
        <v>2018</v>
      </c>
      <c r="D3614" s="112">
        <v>900</v>
      </c>
      <c r="E3614" s="112">
        <v>2173</v>
      </c>
      <c r="F3614" s="112">
        <v>955</v>
      </c>
      <c r="G3614" s="112">
        <v>1226</v>
      </c>
      <c r="H3614" s="112">
        <v>561</v>
      </c>
      <c r="I3614" s="112">
        <v>57</v>
      </c>
      <c r="J3614" s="112">
        <v>62</v>
      </c>
      <c r="K3614" s="112">
        <v>5</v>
      </c>
      <c r="L3614" s="112">
        <v>175</v>
      </c>
      <c r="M3614" s="112">
        <v>168</v>
      </c>
      <c r="N3614" s="112">
        <v>7</v>
      </c>
      <c r="O3614" s="119"/>
      <c r="P3614" s="119"/>
      <c r="Q3614" s="119"/>
    </row>
    <row r="3615" spans="1:17" s="110" customFormat="1" ht="17.5" customHeight="1">
      <c r="A3615" s="109" t="s">
        <v>7517</v>
      </c>
      <c r="B3615" s="109" t="s">
        <v>7518</v>
      </c>
      <c r="C3615" s="113">
        <v>2019</v>
      </c>
      <c r="D3615" s="112">
        <v>895</v>
      </c>
      <c r="E3615" s="112">
        <v>2201.380263</v>
      </c>
      <c r="F3615" s="112">
        <v>935.77186099999994</v>
      </c>
      <c r="G3615" s="112">
        <v>1276.356094</v>
      </c>
      <c r="H3615" s="112">
        <v>572.15999599999998</v>
      </c>
      <c r="I3615" s="112">
        <v>224.90638200000001</v>
      </c>
      <c r="J3615" s="112">
        <v>236.392853</v>
      </c>
      <c r="K3615" s="112">
        <v>11.486471</v>
      </c>
      <c r="L3615" s="112">
        <v>165.49059</v>
      </c>
      <c r="M3615" s="112">
        <v>151.314438</v>
      </c>
      <c r="N3615" s="112">
        <v>14.176152</v>
      </c>
      <c r="O3615" s="119"/>
      <c r="P3615" s="119"/>
      <c r="Q3615" s="119"/>
    </row>
    <row r="3616" spans="1:17" s="110" customFormat="1" ht="17.5" customHeight="1">
      <c r="A3616" s="114" t="s">
        <v>7517</v>
      </c>
      <c r="B3616" s="114" t="s">
        <v>7518</v>
      </c>
      <c r="C3616" s="113">
        <v>2020</v>
      </c>
      <c r="D3616" s="112">
        <v>876</v>
      </c>
      <c r="E3616" s="112">
        <v>1788.619543</v>
      </c>
      <c r="F3616" s="112">
        <v>720.06319399999995</v>
      </c>
      <c r="G3616" s="112">
        <v>1072.1342360000001</v>
      </c>
      <c r="H3616" s="112">
        <v>511.57268699999997</v>
      </c>
      <c r="I3616" s="112">
        <v>163.67973599999999</v>
      </c>
      <c r="J3616" s="112">
        <v>176.095493</v>
      </c>
      <c r="K3616" s="112">
        <v>12.415756999999999</v>
      </c>
      <c r="L3616" s="112">
        <v>183.44686100000001</v>
      </c>
      <c r="M3616" s="112">
        <v>179.18063900000001</v>
      </c>
      <c r="N3616" s="112">
        <v>4.266222</v>
      </c>
      <c r="O3616" s="119"/>
      <c r="P3616" s="119"/>
      <c r="Q3616" s="119"/>
    </row>
    <row r="3617" spans="1:17" s="110" customFormat="1" ht="17.5" customHeight="1">
      <c r="A3617" s="109" t="s">
        <v>7519</v>
      </c>
      <c r="B3617" s="109" t="s">
        <v>7520</v>
      </c>
      <c r="C3617" s="98">
        <v>2008</v>
      </c>
      <c r="D3617" s="99">
        <v>1241</v>
      </c>
      <c r="E3617" s="99">
        <v>1704</v>
      </c>
      <c r="F3617" s="99">
        <v>665</v>
      </c>
      <c r="G3617" s="99">
        <v>1027</v>
      </c>
      <c r="H3617" s="99">
        <v>360</v>
      </c>
      <c r="I3617" s="99">
        <v>22</v>
      </c>
      <c r="J3617" s="99">
        <v>28</v>
      </c>
      <c r="K3617" s="99">
        <v>6</v>
      </c>
      <c r="L3617" s="99">
        <v>134</v>
      </c>
      <c r="M3617" s="99">
        <v>146</v>
      </c>
      <c r="N3617" s="99">
        <v>-12</v>
      </c>
      <c r="O3617" s="119"/>
      <c r="P3617" s="119"/>
      <c r="Q3617" s="119"/>
    </row>
    <row r="3618" spans="1:17" s="110" customFormat="1" ht="17.5" customHeight="1">
      <c r="A3618" s="109" t="s">
        <v>7519</v>
      </c>
      <c r="B3618" s="109" t="s">
        <v>7520</v>
      </c>
      <c r="C3618" s="98">
        <v>2009</v>
      </c>
      <c r="D3618" s="99">
        <v>1209</v>
      </c>
      <c r="E3618" s="99">
        <v>1287</v>
      </c>
      <c r="F3618" s="99">
        <v>522</v>
      </c>
      <c r="G3618" s="99">
        <v>761</v>
      </c>
      <c r="H3618" s="99">
        <v>317</v>
      </c>
      <c r="I3618" s="99">
        <v>36</v>
      </c>
      <c r="J3618" s="99">
        <v>38</v>
      </c>
      <c r="K3618" s="99">
        <v>3</v>
      </c>
      <c r="L3618" s="99">
        <v>113</v>
      </c>
      <c r="M3618" s="99">
        <v>117</v>
      </c>
      <c r="N3618" s="99">
        <v>-4</v>
      </c>
    </row>
    <row r="3619" spans="1:17" s="110" customFormat="1" ht="17.5" customHeight="1">
      <c r="A3619" s="109" t="s">
        <v>7519</v>
      </c>
      <c r="B3619" s="109" t="s">
        <v>7520</v>
      </c>
      <c r="C3619" s="98">
        <v>2010</v>
      </c>
      <c r="D3619" s="99">
        <v>1177</v>
      </c>
      <c r="E3619" s="99">
        <v>1248</v>
      </c>
      <c r="F3619" s="99">
        <v>457</v>
      </c>
      <c r="G3619" s="99">
        <v>791</v>
      </c>
      <c r="H3619" s="99">
        <v>297</v>
      </c>
      <c r="I3619" s="99">
        <v>18</v>
      </c>
      <c r="J3619" s="99">
        <v>25</v>
      </c>
      <c r="K3619" s="99">
        <v>7</v>
      </c>
      <c r="L3619" s="99">
        <v>100</v>
      </c>
      <c r="M3619" s="99">
        <v>100</v>
      </c>
      <c r="N3619" s="99">
        <v>1</v>
      </c>
    </row>
    <row r="3620" spans="1:17" s="110" customFormat="1" ht="17.5" customHeight="1">
      <c r="A3620" s="109" t="s">
        <v>7519</v>
      </c>
      <c r="B3620" s="109" t="s">
        <v>7520</v>
      </c>
      <c r="C3620" s="98">
        <v>2011</v>
      </c>
      <c r="D3620" s="99">
        <v>1186</v>
      </c>
      <c r="E3620" s="99">
        <v>1148</v>
      </c>
      <c r="F3620" s="99">
        <v>438</v>
      </c>
      <c r="G3620" s="99">
        <v>715</v>
      </c>
      <c r="H3620" s="99">
        <v>311</v>
      </c>
      <c r="I3620" s="99">
        <v>24</v>
      </c>
      <c r="J3620" s="99">
        <v>25</v>
      </c>
      <c r="K3620" s="99">
        <v>1</v>
      </c>
      <c r="L3620" s="99">
        <v>94</v>
      </c>
      <c r="M3620" s="99">
        <v>88</v>
      </c>
      <c r="N3620" s="99">
        <v>6</v>
      </c>
      <c r="O3620" s="100"/>
      <c r="P3620" s="100"/>
      <c r="Q3620" s="100"/>
    </row>
    <row r="3621" spans="1:17" s="110" customFormat="1" ht="17.5" customHeight="1">
      <c r="A3621" s="109" t="s">
        <v>7519</v>
      </c>
      <c r="B3621" s="109" t="s">
        <v>7520</v>
      </c>
      <c r="C3621" s="111">
        <v>2012</v>
      </c>
      <c r="D3621" s="112">
        <v>1185</v>
      </c>
      <c r="E3621" s="112">
        <v>1215</v>
      </c>
      <c r="F3621" s="112">
        <v>413</v>
      </c>
      <c r="G3621" s="112">
        <v>800</v>
      </c>
      <c r="H3621" s="112">
        <v>297</v>
      </c>
      <c r="I3621" s="112">
        <v>21</v>
      </c>
      <c r="J3621" s="112">
        <v>24</v>
      </c>
      <c r="K3621" s="112">
        <v>3</v>
      </c>
      <c r="L3621" s="112">
        <v>108</v>
      </c>
      <c r="M3621" s="112">
        <v>110</v>
      </c>
      <c r="N3621" s="112">
        <v>-2</v>
      </c>
    </row>
    <row r="3622" spans="1:17" s="110" customFormat="1" ht="17.5" customHeight="1">
      <c r="A3622" s="109" t="s">
        <v>7519</v>
      </c>
      <c r="B3622" s="109" t="s">
        <v>7520</v>
      </c>
      <c r="C3622" s="113">
        <v>2013</v>
      </c>
      <c r="D3622" s="112">
        <v>1219</v>
      </c>
      <c r="E3622" s="112">
        <v>1435</v>
      </c>
      <c r="F3622" s="112">
        <v>561</v>
      </c>
      <c r="G3622" s="112">
        <v>883</v>
      </c>
      <c r="H3622" s="112">
        <v>330</v>
      </c>
      <c r="I3622" s="112">
        <v>75</v>
      </c>
      <c r="J3622" s="112">
        <v>77</v>
      </c>
      <c r="K3622" s="112">
        <v>1</v>
      </c>
      <c r="L3622" s="112">
        <v>144</v>
      </c>
      <c r="M3622" s="112">
        <v>136</v>
      </c>
      <c r="N3622" s="112">
        <v>8</v>
      </c>
      <c r="O3622" s="100"/>
      <c r="P3622" s="100"/>
      <c r="Q3622" s="100"/>
    </row>
    <row r="3623" spans="1:17" s="110" customFormat="1" ht="17.5" customHeight="1">
      <c r="A3623" s="109" t="s">
        <v>7519</v>
      </c>
      <c r="B3623" s="109" t="s">
        <v>7520</v>
      </c>
      <c r="C3623" s="113">
        <v>2014</v>
      </c>
      <c r="D3623" s="99">
        <v>1224</v>
      </c>
      <c r="E3623" s="99">
        <v>1726</v>
      </c>
      <c r="F3623" s="99">
        <v>586</v>
      </c>
      <c r="G3623" s="99">
        <v>1153</v>
      </c>
      <c r="H3623" s="99">
        <v>361</v>
      </c>
      <c r="I3623" s="99">
        <v>81</v>
      </c>
      <c r="J3623" s="99">
        <v>99</v>
      </c>
      <c r="K3623" s="99">
        <v>18</v>
      </c>
      <c r="L3623" s="99">
        <v>128</v>
      </c>
      <c r="M3623" s="99">
        <v>116</v>
      </c>
      <c r="N3623" s="99">
        <v>13</v>
      </c>
      <c r="O3623" s="100"/>
      <c r="P3623" s="100"/>
      <c r="Q3623" s="100"/>
    </row>
    <row r="3624" spans="1:17" s="110" customFormat="1" ht="17.5" customHeight="1">
      <c r="A3624" s="109" t="s">
        <v>7519</v>
      </c>
      <c r="B3624" s="109" t="s">
        <v>7520</v>
      </c>
      <c r="C3624" s="113">
        <v>2015</v>
      </c>
      <c r="D3624" s="112">
        <v>1228</v>
      </c>
      <c r="E3624" s="112">
        <v>1667</v>
      </c>
      <c r="F3624" s="112">
        <v>654</v>
      </c>
      <c r="G3624" s="112">
        <v>1029</v>
      </c>
      <c r="H3624" s="112">
        <v>393</v>
      </c>
      <c r="I3624" s="112">
        <v>56</v>
      </c>
      <c r="J3624" s="112">
        <v>60</v>
      </c>
      <c r="K3624" s="112">
        <v>4</v>
      </c>
      <c r="L3624" s="112">
        <v>124</v>
      </c>
      <c r="M3624" s="112">
        <v>117</v>
      </c>
      <c r="N3624" s="112">
        <v>7</v>
      </c>
    </row>
    <row r="3625" spans="1:17" s="110" customFormat="1" ht="17.5" customHeight="1">
      <c r="A3625" s="109" t="s">
        <v>7519</v>
      </c>
      <c r="B3625" s="109" t="s">
        <v>7520</v>
      </c>
      <c r="C3625" s="113">
        <v>2016</v>
      </c>
      <c r="D3625" s="112">
        <v>1267</v>
      </c>
      <c r="E3625" s="112">
        <v>2018</v>
      </c>
      <c r="F3625" s="112">
        <v>713</v>
      </c>
      <c r="G3625" s="112">
        <v>1293</v>
      </c>
      <c r="H3625" s="112">
        <v>451</v>
      </c>
      <c r="I3625" s="112">
        <v>86</v>
      </c>
      <c r="J3625" s="112">
        <v>92</v>
      </c>
      <c r="K3625" s="112">
        <v>6</v>
      </c>
      <c r="L3625" s="112">
        <v>143</v>
      </c>
      <c r="M3625" s="112">
        <v>154</v>
      </c>
      <c r="N3625" s="112">
        <v>-11</v>
      </c>
    </row>
    <row r="3626" spans="1:17" s="110" customFormat="1" ht="17.5" customHeight="1">
      <c r="A3626" s="109" t="s">
        <v>7519</v>
      </c>
      <c r="B3626" s="109" t="s">
        <v>7520</v>
      </c>
      <c r="C3626" s="113">
        <v>2017</v>
      </c>
      <c r="D3626" s="112">
        <v>1324</v>
      </c>
      <c r="E3626" s="112">
        <v>2333</v>
      </c>
      <c r="F3626" s="112">
        <v>813</v>
      </c>
      <c r="G3626" s="112">
        <v>1546</v>
      </c>
      <c r="H3626" s="112">
        <v>520</v>
      </c>
      <c r="I3626" s="112">
        <v>91</v>
      </c>
      <c r="J3626" s="112">
        <v>95</v>
      </c>
      <c r="K3626" s="112">
        <v>3</v>
      </c>
      <c r="L3626" s="112">
        <v>179</v>
      </c>
      <c r="M3626" s="112">
        <v>158</v>
      </c>
      <c r="N3626" s="112">
        <v>22</v>
      </c>
      <c r="O3626" s="119"/>
      <c r="P3626" s="119"/>
      <c r="Q3626" s="119"/>
    </row>
    <row r="3627" spans="1:17" s="110" customFormat="1" ht="17.5" customHeight="1">
      <c r="A3627" s="109" t="s">
        <v>7519</v>
      </c>
      <c r="B3627" s="109" t="s">
        <v>7520</v>
      </c>
      <c r="C3627" s="113">
        <v>2018</v>
      </c>
      <c r="D3627" s="112">
        <v>1413</v>
      </c>
      <c r="E3627" s="112">
        <v>2427</v>
      </c>
      <c r="F3627" s="112">
        <v>945</v>
      </c>
      <c r="G3627" s="112">
        <v>1476</v>
      </c>
      <c r="H3627" s="112">
        <v>536</v>
      </c>
      <c r="I3627" s="112">
        <v>81</v>
      </c>
      <c r="J3627" s="112">
        <v>90</v>
      </c>
      <c r="K3627" s="112">
        <v>9</v>
      </c>
      <c r="L3627" s="112">
        <v>172</v>
      </c>
      <c r="M3627" s="112">
        <v>177</v>
      </c>
      <c r="N3627" s="112">
        <v>-5</v>
      </c>
      <c r="O3627" s="119"/>
      <c r="P3627" s="119"/>
      <c r="Q3627" s="119"/>
    </row>
    <row r="3628" spans="1:17" s="110" customFormat="1" ht="17.5" customHeight="1">
      <c r="A3628" s="109" t="s">
        <v>7519</v>
      </c>
      <c r="B3628" s="109" t="s">
        <v>7520</v>
      </c>
      <c r="C3628" s="113">
        <v>2019</v>
      </c>
      <c r="D3628" s="112">
        <v>1445</v>
      </c>
      <c r="E3628" s="112">
        <v>2691.913317</v>
      </c>
      <c r="F3628" s="112">
        <v>1028.507977</v>
      </c>
      <c r="G3628" s="112">
        <v>1679.4836769999999</v>
      </c>
      <c r="H3628" s="112">
        <v>614.14829299999997</v>
      </c>
      <c r="I3628" s="112">
        <v>100.219926</v>
      </c>
      <c r="J3628" s="112">
        <v>115.10919199999999</v>
      </c>
      <c r="K3628" s="112">
        <v>14.889265999999999</v>
      </c>
      <c r="L3628" s="112">
        <v>195.58066199999999</v>
      </c>
      <c r="M3628" s="112">
        <v>182.650293</v>
      </c>
      <c r="N3628" s="112">
        <v>12.930369000000001</v>
      </c>
      <c r="O3628" s="119"/>
      <c r="P3628" s="119"/>
      <c r="Q3628" s="119"/>
    </row>
    <row r="3629" spans="1:17" s="110" customFormat="1" ht="17.5" customHeight="1">
      <c r="A3629" s="114" t="s">
        <v>7519</v>
      </c>
      <c r="B3629" s="114" t="s">
        <v>7520</v>
      </c>
      <c r="C3629" s="113">
        <v>2020</v>
      </c>
      <c r="D3629" s="112">
        <v>1490</v>
      </c>
      <c r="E3629" s="112">
        <v>2578.3038790000001</v>
      </c>
      <c r="F3629" s="112">
        <v>1025.0667980000001</v>
      </c>
      <c r="G3629" s="112">
        <v>1581.527495</v>
      </c>
      <c r="H3629" s="112">
        <v>642.63138700000002</v>
      </c>
      <c r="I3629" s="112">
        <v>84.250147999999996</v>
      </c>
      <c r="J3629" s="112">
        <v>88.506246000000004</v>
      </c>
      <c r="K3629" s="112">
        <v>4.2560969999999996</v>
      </c>
      <c r="L3629" s="112">
        <v>244.61345800000001</v>
      </c>
      <c r="M3629" s="112">
        <v>222.48705799999999</v>
      </c>
      <c r="N3629" s="112">
        <v>22.126398999999999</v>
      </c>
      <c r="O3629" s="119"/>
      <c r="P3629" s="119"/>
      <c r="Q3629" s="119"/>
    </row>
    <row r="3630" spans="1:17" s="110" customFormat="1" ht="17.5" customHeight="1">
      <c r="A3630" s="109" t="s">
        <v>7521</v>
      </c>
      <c r="B3630" s="109" t="s">
        <v>7522</v>
      </c>
      <c r="C3630" s="98">
        <v>2008</v>
      </c>
      <c r="D3630" s="99">
        <v>114</v>
      </c>
      <c r="E3630" s="99">
        <v>514</v>
      </c>
      <c r="F3630" s="99">
        <v>185</v>
      </c>
      <c r="G3630" s="99">
        <v>337</v>
      </c>
      <c r="H3630" s="99">
        <v>141</v>
      </c>
      <c r="I3630" s="99">
        <v>7</v>
      </c>
      <c r="J3630" s="99">
        <v>9</v>
      </c>
      <c r="K3630" s="99">
        <v>2</v>
      </c>
      <c r="L3630" s="99">
        <v>46</v>
      </c>
      <c r="M3630" s="99">
        <v>39</v>
      </c>
      <c r="N3630" s="99">
        <v>7</v>
      </c>
    </row>
    <row r="3631" spans="1:17" s="110" customFormat="1" ht="17.5" customHeight="1">
      <c r="A3631" s="109" t="s">
        <v>7521</v>
      </c>
      <c r="B3631" s="109" t="s">
        <v>7522</v>
      </c>
      <c r="C3631" s="98">
        <v>2009</v>
      </c>
      <c r="D3631" s="99">
        <v>114</v>
      </c>
      <c r="E3631" s="99">
        <v>542</v>
      </c>
      <c r="F3631" s="99">
        <v>192</v>
      </c>
      <c r="G3631" s="99">
        <v>352</v>
      </c>
      <c r="H3631" s="99">
        <v>126</v>
      </c>
      <c r="I3631" s="99">
        <v>7</v>
      </c>
      <c r="J3631" s="99">
        <v>7</v>
      </c>
      <c r="K3631" s="99" t="s">
        <v>6952</v>
      </c>
      <c r="L3631" s="99">
        <v>40</v>
      </c>
      <c r="M3631" s="99">
        <v>38</v>
      </c>
      <c r="N3631" s="99">
        <v>2</v>
      </c>
    </row>
    <row r="3632" spans="1:17" s="110" customFormat="1" ht="17.5" customHeight="1">
      <c r="A3632" s="109" t="s">
        <v>7521</v>
      </c>
      <c r="B3632" s="109" t="s">
        <v>7522</v>
      </c>
      <c r="C3632" s="98">
        <v>2010</v>
      </c>
      <c r="D3632" s="99">
        <v>114</v>
      </c>
      <c r="E3632" s="99">
        <v>504</v>
      </c>
      <c r="F3632" s="99">
        <v>184</v>
      </c>
      <c r="G3632" s="99">
        <v>318</v>
      </c>
      <c r="H3632" s="99">
        <v>129</v>
      </c>
      <c r="I3632" s="99">
        <v>4</v>
      </c>
      <c r="J3632" s="99">
        <v>7</v>
      </c>
      <c r="K3632" s="99">
        <v>4</v>
      </c>
      <c r="L3632" s="99">
        <v>27</v>
      </c>
      <c r="M3632" s="99">
        <v>29</v>
      </c>
      <c r="N3632" s="99">
        <v>-2</v>
      </c>
      <c r="O3632" s="100"/>
      <c r="P3632" s="100"/>
      <c r="Q3632" s="100"/>
    </row>
    <row r="3633" spans="1:17" s="110" customFormat="1" ht="17.5" customHeight="1">
      <c r="A3633" s="109" t="s">
        <v>7521</v>
      </c>
      <c r="B3633" s="109" t="s">
        <v>7522</v>
      </c>
      <c r="C3633" s="98">
        <v>2011</v>
      </c>
      <c r="D3633" s="99">
        <v>123</v>
      </c>
      <c r="E3633" s="99">
        <v>514</v>
      </c>
      <c r="F3633" s="99">
        <v>192</v>
      </c>
      <c r="G3633" s="99">
        <v>324</v>
      </c>
      <c r="H3633" s="99">
        <v>138</v>
      </c>
      <c r="I3633" s="99">
        <v>4</v>
      </c>
      <c r="J3633" s="99">
        <v>5</v>
      </c>
      <c r="K3633" s="99">
        <v>1</v>
      </c>
      <c r="L3633" s="99">
        <v>36</v>
      </c>
      <c r="M3633" s="99">
        <v>33</v>
      </c>
      <c r="N3633" s="99">
        <v>2</v>
      </c>
    </row>
    <row r="3634" spans="1:17" s="110" customFormat="1" ht="17.5" customHeight="1">
      <c r="A3634" s="109" t="s">
        <v>7521</v>
      </c>
      <c r="B3634" s="109" t="s">
        <v>7522</v>
      </c>
      <c r="C3634" s="111">
        <v>2012</v>
      </c>
      <c r="D3634" s="112">
        <v>108</v>
      </c>
      <c r="E3634" s="112">
        <v>562</v>
      </c>
      <c r="F3634" s="112">
        <v>194</v>
      </c>
      <c r="G3634" s="112">
        <v>375</v>
      </c>
      <c r="H3634" s="112">
        <v>130</v>
      </c>
      <c r="I3634" s="112">
        <v>11</v>
      </c>
      <c r="J3634" s="112">
        <v>13</v>
      </c>
      <c r="K3634" s="112">
        <v>1</v>
      </c>
      <c r="L3634" s="112">
        <v>59</v>
      </c>
      <c r="M3634" s="112">
        <v>51</v>
      </c>
      <c r="N3634" s="112">
        <v>7</v>
      </c>
      <c r="O3634" s="100"/>
      <c r="P3634" s="100"/>
      <c r="Q3634" s="100"/>
    </row>
    <row r="3635" spans="1:17" s="110" customFormat="1" ht="17.5" customHeight="1">
      <c r="A3635" s="109" t="s">
        <v>7521</v>
      </c>
      <c r="B3635" s="109" t="s">
        <v>7522</v>
      </c>
      <c r="C3635" s="113">
        <v>2013</v>
      </c>
      <c r="D3635" s="112">
        <v>134</v>
      </c>
      <c r="E3635" s="112">
        <v>619</v>
      </c>
      <c r="F3635" s="112">
        <v>226</v>
      </c>
      <c r="G3635" s="112">
        <v>398</v>
      </c>
      <c r="H3635" s="112">
        <v>132</v>
      </c>
      <c r="I3635" s="112">
        <v>11</v>
      </c>
      <c r="J3635" s="112">
        <v>11</v>
      </c>
      <c r="K3635" s="112" t="s">
        <v>6952</v>
      </c>
      <c r="L3635" s="112">
        <v>47</v>
      </c>
      <c r="M3635" s="112">
        <v>41</v>
      </c>
      <c r="N3635" s="112">
        <v>6</v>
      </c>
      <c r="O3635" s="100"/>
      <c r="P3635" s="100"/>
      <c r="Q3635" s="100"/>
    </row>
    <row r="3636" spans="1:17" s="110" customFormat="1" ht="17.5" customHeight="1">
      <c r="A3636" s="109" t="s">
        <v>7521</v>
      </c>
      <c r="B3636" s="109" t="s">
        <v>7522</v>
      </c>
      <c r="C3636" s="113">
        <v>2014</v>
      </c>
      <c r="D3636" s="99">
        <v>139</v>
      </c>
      <c r="E3636" s="99">
        <v>663</v>
      </c>
      <c r="F3636" s="99">
        <v>236</v>
      </c>
      <c r="G3636" s="99">
        <v>440</v>
      </c>
      <c r="H3636" s="99">
        <v>177</v>
      </c>
      <c r="I3636" s="99">
        <v>17</v>
      </c>
      <c r="J3636" s="99">
        <v>19</v>
      </c>
      <c r="K3636" s="99">
        <v>1</v>
      </c>
      <c r="L3636" s="99">
        <v>65</v>
      </c>
      <c r="M3636" s="99">
        <v>54</v>
      </c>
      <c r="N3636" s="99">
        <v>11</v>
      </c>
    </row>
    <row r="3637" spans="1:17" s="110" customFormat="1" ht="17.5" customHeight="1">
      <c r="A3637" s="109" t="s">
        <v>7521</v>
      </c>
      <c r="B3637" s="109" t="s">
        <v>7522</v>
      </c>
      <c r="C3637" s="113">
        <v>2015</v>
      </c>
      <c r="D3637" s="112">
        <v>139</v>
      </c>
      <c r="E3637" s="112">
        <v>746</v>
      </c>
      <c r="F3637" s="112">
        <v>336</v>
      </c>
      <c r="G3637" s="112">
        <v>412</v>
      </c>
      <c r="H3637" s="112">
        <v>174</v>
      </c>
      <c r="I3637" s="112">
        <v>17</v>
      </c>
      <c r="J3637" s="112">
        <v>20</v>
      </c>
      <c r="K3637" s="112">
        <v>3</v>
      </c>
      <c r="L3637" s="112">
        <v>58</v>
      </c>
      <c r="M3637" s="112">
        <v>57</v>
      </c>
      <c r="N3637" s="112">
        <v>1</v>
      </c>
    </row>
    <row r="3638" spans="1:17" s="110" customFormat="1" ht="17.5" customHeight="1">
      <c r="A3638" s="109" t="s">
        <v>7521</v>
      </c>
      <c r="B3638" s="109" t="s">
        <v>7522</v>
      </c>
      <c r="C3638" s="113">
        <v>2016</v>
      </c>
      <c r="D3638" s="112">
        <v>157</v>
      </c>
      <c r="E3638" s="112">
        <v>822</v>
      </c>
      <c r="F3638" s="112">
        <v>334</v>
      </c>
      <c r="G3638" s="112">
        <v>491</v>
      </c>
      <c r="H3638" s="112">
        <v>193</v>
      </c>
      <c r="I3638" s="112">
        <v>19</v>
      </c>
      <c r="J3638" s="112">
        <v>22</v>
      </c>
      <c r="K3638" s="112">
        <v>3</v>
      </c>
      <c r="L3638" s="112">
        <v>49</v>
      </c>
      <c r="M3638" s="112">
        <v>47</v>
      </c>
      <c r="N3638" s="112">
        <v>1</v>
      </c>
      <c r="O3638" s="119"/>
      <c r="P3638" s="119"/>
      <c r="Q3638" s="119"/>
    </row>
    <row r="3639" spans="1:17" s="110" customFormat="1" ht="17.5" customHeight="1">
      <c r="A3639" s="109" t="s">
        <v>7521</v>
      </c>
      <c r="B3639" s="109" t="s">
        <v>7522</v>
      </c>
      <c r="C3639" s="113">
        <v>2017</v>
      </c>
      <c r="D3639" s="112">
        <v>174</v>
      </c>
      <c r="E3639" s="112">
        <v>853</v>
      </c>
      <c r="F3639" s="112">
        <v>329</v>
      </c>
      <c r="G3639" s="112">
        <v>523</v>
      </c>
      <c r="H3639" s="112">
        <v>192</v>
      </c>
      <c r="I3639" s="112">
        <v>28</v>
      </c>
      <c r="J3639" s="112">
        <v>29</v>
      </c>
      <c r="K3639" s="112">
        <v>1</v>
      </c>
      <c r="L3639" s="112">
        <v>50</v>
      </c>
      <c r="M3639" s="112">
        <v>50</v>
      </c>
      <c r="N3639" s="112" t="s">
        <v>6952</v>
      </c>
      <c r="O3639" s="119"/>
      <c r="P3639" s="119"/>
      <c r="Q3639" s="119"/>
    </row>
    <row r="3640" spans="1:17" s="110" customFormat="1" ht="17.5" customHeight="1">
      <c r="A3640" s="109" t="s">
        <v>7521</v>
      </c>
      <c r="B3640" s="109" t="s">
        <v>7522</v>
      </c>
      <c r="C3640" s="113">
        <v>2018</v>
      </c>
      <c r="D3640" s="112">
        <v>172</v>
      </c>
      <c r="E3640" s="112">
        <v>823</v>
      </c>
      <c r="F3640" s="112">
        <v>322</v>
      </c>
      <c r="G3640" s="112">
        <v>504</v>
      </c>
      <c r="H3640" s="112">
        <v>192</v>
      </c>
      <c r="I3640" s="112">
        <v>22</v>
      </c>
      <c r="J3640" s="112">
        <v>24</v>
      </c>
      <c r="K3640" s="112">
        <v>2</v>
      </c>
      <c r="L3640" s="112">
        <v>55</v>
      </c>
      <c r="M3640" s="112">
        <v>53</v>
      </c>
      <c r="N3640" s="112">
        <v>2</v>
      </c>
      <c r="O3640" s="119"/>
      <c r="P3640" s="119"/>
      <c r="Q3640" s="119"/>
    </row>
    <row r="3641" spans="1:17" s="110" customFormat="1" ht="17.5" customHeight="1">
      <c r="A3641" s="109" t="s">
        <v>7521</v>
      </c>
      <c r="B3641" s="109" t="s">
        <v>7522</v>
      </c>
      <c r="C3641" s="113">
        <v>2019</v>
      </c>
      <c r="D3641" s="112">
        <v>191</v>
      </c>
      <c r="E3641" s="112">
        <v>776.33489299999997</v>
      </c>
      <c r="F3641" s="112">
        <v>298.35631899999998</v>
      </c>
      <c r="G3641" s="112">
        <v>481.44991599999997</v>
      </c>
      <c r="H3641" s="112">
        <v>201.48352700000001</v>
      </c>
      <c r="I3641" s="112">
        <v>17.035968</v>
      </c>
      <c r="J3641" s="112">
        <v>18.191144999999999</v>
      </c>
      <c r="K3641" s="112">
        <v>1.1551769999999999</v>
      </c>
      <c r="L3641" s="112">
        <v>59.130733999999997</v>
      </c>
      <c r="M3641" s="112">
        <v>59.091023999999997</v>
      </c>
      <c r="N3641" s="112" t="s">
        <v>6952</v>
      </c>
      <c r="O3641" s="119"/>
      <c r="P3641" s="119"/>
      <c r="Q3641" s="119"/>
    </row>
    <row r="3642" spans="1:17" s="110" customFormat="1" ht="17.5" customHeight="1">
      <c r="A3642" s="114" t="s">
        <v>7521</v>
      </c>
      <c r="B3642" s="114" t="s">
        <v>7522</v>
      </c>
      <c r="C3642" s="113">
        <v>2020</v>
      </c>
      <c r="D3642" s="112">
        <v>218</v>
      </c>
      <c r="E3642" s="112">
        <v>752.87722499999995</v>
      </c>
      <c r="F3642" s="112">
        <v>289.72521</v>
      </c>
      <c r="G3642" s="112">
        <v>468.59118599999999</v>
      </c>
      <c r="H3642" s="112">
        <v>177.93202700000001</v>
      </c>
      <c r="I3642" s="112">
        <v>24.463666</v>
      </c>
      <c r="J3642" s="112">
        <v>24.707443000000001</v>
      </c>
      <c r="K3642" s="112" t="s">
        <v>6952</v>
      </c>
      <c r="L3642" s="112">
        <v>57.913218000000001</v>
      </c>
      <c r="M3642" s="112">
        <v>53.006037999999997</v>
      </c>
      <c r="N3642" s="112">
        <v>4.9071809999999996</v>
      </c>
    </row>
    <row r="3643" spans="1:17" s="110" customFormat="1" ht="17.5" customHeight="1">
      <c r="A3643" s="109" t="s">
        <v>7523</v>
      </c>
      <c r="B3643" s="109" t="s">
        <v>7524</v>
      </c>
      <c r="C3643" s="98">
        <v>2008</v>
      </c>
      <c r="D3643" s="99">
        <v>3967</v>
      </c>
      <c r="E3643" s="99">
        <v>3707</v>
      </c>
      <c r="F3643" s="99">
        <v>1402</v>
      </c>
      <c r="G3643" s="99">
        <v>2296</v>
      </c>
      <c r="H3643" s="99">
        <v>861</v>
      </c>
      <c r="I3643" s="99">
        <v>49</v>
      </c>
      <c r="J3643" s="99">
        <v>57</v>
      </c>
      <c r="K3643" s="99">
        <v>8</v>
      </c>
      <c r="L3643" s="99">
        <v>348</v>
      </c>
      <c r="M3643" s="99">
        <v>355</v>
      </c>
      <c r="N3643" s="99">
        <v>-7</v>
      </c>
    </row>
    <row r="3644" spans="1:17" s="110" customFormat="1" ht="17.5" customHeight="1">
      <c r="A3644" s="109" t="s">
        <v>7523</v>
      </c>
      <c r="B3644" s="109" t="s">
        <v>7524</v>
      </c>
      <c r="C3644" s="98">
        <v>2009</v>
      </c>
      <c r="D3644" s="99">
        <v>4118</v>
      </c>
      <c r="E3644" s="99">
        <v>3098</v>
      </c>
      <c r="F3644" s="99">
        <v>1261</v>
      </c>
      <c r="G3644" s="99">
        <v>1850</v>
      </c>
      <c r="H3644" s="99">
        <v>731</v>
      </c>
      <c r="I3644" s="99">
        <v>41</v>
      </c>
      <c r="J3644" s="99">
        <v>60</v>
      </c>
      <c r="K3644" s="99">
        <v>19</v>
      </c>
      <c r="L3644" s="99">
        <v>346</v>
      </c>
      <c r="M3644" s="99">
        <v>356</v>
      </c>
      <c r="N3644" s="99">
        <v>-10</v>
      </c>
      <c r="O3644" s="100"/>
      <c r="P3644" s="100"/>
      <c r="Q3644" s="100"/>
    </row>
    <row r="3645" spans="1:17" s="110" customFormat="1" ht="17.5" customHeight="1">
      <c r="A3645" s="109" t="s">
        <v>7523</v>
      </c>
      <c r="B3645" s="109" t="s">
        <v>7524</v>
      </c>
      <c r="C3645" s="98">
        <v>2010</v>
      </c>
      <c r="D3645" s="99">
        <v>4010</v>
      </c>
      <c r="E3645" s="99">
        <v>3435</v>
      </c>
      <c r="F3645" s="99">
        <v>1450</v>
      </c>
      <c r="G3645" s="99">
        <v>1995</v>
      </c>
      <c r="H3645" s="99">
        <v>755</v>
      </c>
      <c r="I3645" s="99">
        <v>56</v>
      </c>
      <c r="J3645" s="99">
        <v>65</v>
      </c>
      <c r="K3645" s="99">
        <v>9</v>
      </c>
      <c r="L3645" s="99">
        <v>342</v>
      </c>
      <c r="M3645" s="99">
        <v>333</v>
      </c>
      <c r="N3645" s="99">
        <v>9</v>
      </c>
    </row>
    <row r="3646" spans="1:17" s="110" customFormat="1" ht="17.5" customHeight="1">
      <c r="A3646" s="109" t="s">
        <v>7523</v>
      </c>
      <c r="B3646" s="109" t="s">
        <v>7524</v>
      </c>
      <c r="C3646" s="98">
        <v>2011</v>
      </c>
      <c r="D3646" s="99">
        <v>3926</v>
      </c>
      <c r="E3646" s="99">
        <v>2885</v>
      </c>
      <c r="F3646" s="99">
        <v>1181</v>
      </c>
      <c r="G3646" s="99">
        <v>1728</v>
      </c>
      <c r="H3646" s="99">
        <v>775</v>
      </c>
      <c r="I3646" s="99">
        <v>62</v>
      </c>
      <c r="J3646" s="99">
        <v>70</v>
      </c>
      <c r="K3646" s="99">
        <v>8</v>
      </c>
      <c r="L3646" s="99">
        <v>298</v>
      </c>
      <c r="M3646" s="99">
        <v>273</v>
      </c>
      <c r="N3646" s="99">
        <v>24</v>
      </c>
      <c r="O3646" s="100"/>
      <c r="P3646" s="100"/>
      <c r="Q3646" s="100"/>
    </row>
    <row r="3647" spans="1:17" s="110" customFormat="1" ht="17.5" customHeight="1">
      <c r="A3647" s="109" t="s">
        <v>7523</v>
      </c>
      <c r="B3647" s="109" t="s">
        <v>7524</v>
      </c>
      <c r="C3647" s="111">
        <v>2012</v>
      </c>
      <c r="D3647" s="112">
        <v>3931</v>
      </c>
      <c r="E3647" s="112">
        <v>2881</v>
      </c>
      <c r="F3647" s="112">
        <v>1164</v>
      </c>
      <c r="G3647" s="112">
        <v>1735</v>
      </c>
      <c r="H3647" s="112">
        <v>738</v>
      </c>
      <c r="I3647" s="112">
        <v>62</v>
      </c>
      <c r="J3647" s="112">
        <v>69</v>
      </c>
      <c r="K3647" s="112">
        <v>7</v>
      </c>
      <c r="L3647" s="112">
        <v>285</v>
      </c>
      <c r="M3647" s="112">
        <v>266</v>
      </c>
      <c r="N3647" s="112">
        <v>19</v>
      </c>
      <c r="O3647" s="100"/>
      <c r="P3647" s="100"/>
      <c r="Q3647" s="100"/>
    </row>
    <row r="3648" spans="1:17" s="110" customFormat="1" ht="17.5" customHeight="1">
      <c r="A3648" s="109" t="s">
        <v>7523</v>
      </c>
      <c r="B3648" s="109" t="s">
        <v>7524</v>
      </c>
      <c r="C3648" s="113">
        <v>2013</v>
      </c>
      <c r="D3648" s="112">
        <v>3771</v>
      </c>
      <c r="E3648" s="112">
        <v>2921</v>
      </c>
      <c r="F3648" s="112">
        <v>1182</v>
      </c>
      <c r="G3648" s="112">
        <v>1743</v>
      </c>
      <c r="H3648" s="112">
        <v>729</v>
      </c>
      <c r="I3648" s="112">
        <v>28</v>
      </c>
      <c r="J3648" s="112">
        <v>37</v>
      </c>
      <c r="K3648" s="112">
        <v>9</v>
      </c>
      <c r="L3648" s="112">
        <v>248</v>
      </c>
      <c r="M3648" s="112">
        <v>243</v>
      </c>
      <c r="N3648" s="112">
        <v>5</v>
      </c>
    </row>
    <row r="3649" spans="1:14" s="110" customFormat="1" ht="17.5" customHeight="1">
      <c r="A3649" s="109" t="s">
        <v>7523</v>
      </c>
      <c r="B3649" s="109" t="s">
        <v>7524</v>
      </c>
      <c r="C3649" s="113">
        <v>2014</v>
      </c>
      <c r="D3649" s="99">
        <v>3675</v>
      </c>
      <c r="E3649" s="99">
        <v>3017</v>
      </c>
      <c r="F3649" s="99">
        <v>1211</v>
      </c>
      <c r="G3649" s="99">
        <v>1806</v>
      </c>
      <c r="H3649" s="99">
        <v>855</v>
      </c>
      <c r="I3649" s="99">
        <v>89</v>
      </c>
      <c r="J3649" s="99">
        <v>100</v>
      </c>
      <c r="K3649" s="99">
        <v>11</v>
      </c>
      <c r="L3649" s="99">
        <v>255</v>
      </c>
      <c r="M3649" s="99">
        <v>255</v>
      </c>
      <c r="N3649" s="99" t="s">
        <v>6952</v>
      </c>
    </row>
    <row r="3650" spans="1:14" ht="17.5" customHeight="1">
      <c r="A3650" s="109" t="s">
        <v>7523</v>
      </c>
      <c r="B3650" s="109" t="s">
        <v>7524</v>
      </c>
      <c r="C3650" s="113">
        <v>2015</v>
      </c>
      <c r="D3650" s="112">
        <v>3732</v>
      </c>
      <c r="E3650" s="112">
        <v>3303</v>
      </c>
      <c r="F3650" s="112">
        <v>1340</v>
      </c>
      <c r="G3650" s="112">
        <v>1989</v>
      </c>
      <c r="H3650" s="112">
        <v>850</v>
      </c>
      <c r="I3650" s="112">
        <v>112</v>
      </c>
      <c r="J3650" s="112">
        <v>169</v>
      </c>
      <c r="K3650" s="112">
        <v>56</v>
      </c>
      <c r="L3650" s="112">
        <v>289</v>
      </c>
      <c r="M3650" s="112">
        <v>258</v>
      </c>
      <c r="N3650" s="112">
        <v>31</v>
      </c>
    </row>
    <row r="3651" spans="1:14" ht="17.5" customHeight="1">
      <c r="A3651" s="109" t="s">
        <v>7523</v>
      </c>
      <c r="B3651" s="109" t="s">
        <v>7524</v>
      </c>
      <c r="C3651" s="113">
        <v>2016</v>
      </c>
      <c r="D3651" s="112">
        <v>3889</v>
      </c>
      <c r="E3651" s="112">
        <v>3334</v>
      </c>
      <c r="F3651" s="112">
        <v>1442</v>
      </c>
      <c r="G3651" s="112">
        <v>1915</v>
      </c>
      <c r="H3651" s="112">
        <v>849</v>
      </c>
      <c r="I3651" s="112">
        <v>90</v>
      </c>
      <c r="J3651" s="112">
        <v>96</v>
      </c>
      <c r="K3651" s="112">
        <v>6</v>
      </c>
      <c r="L3651" s="112">
        <v>311</v>
      </c>
      <c r="M3651" s="112">
        <v>289</v>
      </c>
      <c r="N3651" s="112">
        <v>22</v>
      </c>
    </row>
    <row r="3652" spans="1:14" ht="17.5" customHeight="1">
      <c r="A3652" s="109" t="s">
        <v>7523</v>
      </c>
      <c r="B3652" s="109" t="s">
        <v>7524</v>
      </c>
      <c r="C3652" s="113">
        <v>2017</v>
      </c>
      <c r="D3652" s="112">
        <v>3853</v>
      </c>
      <c r="E3652" s="112">
        <v>3540</v>
      </c>
      <c r="F3652" s="112">
        <v>1599</v>
      </c>
      <c r="G3652" s="112">
        <v>1957</v>
      </c>
      <c r="H3652" s="112">
        <v>926</v>
      </c>
      <c r="I3652" s="112">
        <v>91</v>
      </c>
      <c r="J3652" s="112">
        <v>100</v>
      </c>
      <c r="K3652" s="112">
        <v>8</v>
      </c>
      <c r="L3652" s="112">
        <v>271</v>
      </c>
      <c r="M3652" s="112">
        <v>256</v>
      </c>
      <c r="N3652" s="112">
        <v>15</v>
      </c>
    </row>
    <row r="3653" spans="1:14" ht="17.5" customHeight="1">
      <c r="A3653" s="109" t="s">
        <v>7523</v>
      </c>
      <c r="B3653" s="109" t="s">
        <v>7524</v>
      </c>
      <c r="C3653" s="113">
        <v>2018</v>
      </c>
      <c r="D3653" s="112">
        <v>3893</v>
      </c>
      <c r="E3653" s="112">
        <v>3437</v>
      </c>
      <c r="F3653" s="112">
        <v>1508</v>
      </c>
      <c r="G3653" s="112">
        <v>1947</v>
      </c>
      <c r="H3653" s="112">
        <v>888</v>
      </c>
      <c r="I3653" s="112">
        <v>88</v>
      </c>
      <c r="J3653" s="112">
        <v>92</v>
      </c>
      <c r="K3653" s="112">
        <v>4</v>
      </c>
      <c r="L3653" s="112">
        <v>309</v>
      </c>
      <c r="M3653" s="112">
        <v>295</v>
      </c>
      <c r="N3653" s="112">
        <v>14</v>
      </c>
    </row>
    <row r="3654" spans="1:14" ht="17.5" customHeight="1">
      <c r="A3654" s="109" t="s">
        <v>7523</v>
      </c>
      <c r="B3654" s="109" t="s">
        <v>7524</v>
      </c>
      <c r="C3654" s="113">
        <v>2019</v>
      </c>
      <c r="D3654" s="112">
        <v>3824</v>
      </c>
      <c r="E3654" s="112">
        <v>3324.1809640000001</v>
      </c>
      <c r="F3654" s="112">
        <v>1451.195299</v>
      </c>
      <c r="G3654" s="112">
        <v>1879.632171</v>
      </c>
      <c r="H3654" s="112">
        <v>879.40253800000005</v>
      </c>
      <c r="I3654" s="112">
        <v>55.805368000000001</v>
      </c>
      <c r="J3654" s="112">
        <v>66.290685999999994</v>
      </c>
      <c r="K3654" s="112">
        <v>10.485317999999999</v>
      </c>
      <c r="L3654" s="112">
        <v>261.40141399999999</v>
      </c>
      <c r="M3654" s="112">
        <v>254.52546599999999</v>
      </c>
      <c r="N3654" s="112">
        <v>6.8759480000000002</v>
      </c>
    </row>
    <row r="3655" spans="1:14" ht="17.5" customHeight="1">
      <c r="A3655" s="114" t="s">
        <v>7523</v>
      </c>
      <c r="B3655" s="114" t="s">
        <v>7524</v>
      </c>
      <c r="C3655" s="113">
        <v>2020</v>
      </c>
      <c r="D3655" s="112">
        <v>3919</v>
      </c>
      <c r="E3655" s="112">
        <v>2939.3108050000001</v>
      </c>
      <c r="F3655" s="112">
        <v>1181.653791</v>
      </c>
      <c r="G3655" s="112">
        <v>1780.8264529999999</v>
      </c>
      <c r="H3655" s="112">
        <v>839.06833600000004</v>
      </c>
      <c r="I3655" s="112">
        <v>67.947927000000007</v>
      </c>
      <c r="J3655" s="112">
        <v>75.986739</v>
      </c>
      <c r="K3655" s="112">
        <v>8.0388120000000001</v>
      </c>
      <c r="L3655" s="112">
        <v>328.25639100000001</v>
      </c>
      <c r="M3655" s="112">
        <v>310.32525500000003</v>
      </c>
      <c r="N3655" s="112">
        <v>17.931135999999999</v>
      </c>
    </row>
    <row r="3656" spans="1:14" ht="17.5" customHeight="1">
      <c r="A3656" s="109" t="s">
        <v>7525</v>
      </c>
      <c r="B3656" s="109" t="s">
        <v>7526</v>
      </c>
      <c r="C3656" s="98">
        <v>2008</v>
      </c>
      <c r="D3656" s="99">
        <v>9380</v>
      </c>
      <c r="E3656" s="99">
        <v>8963</v>
      </c>
      <c r="F3656" s="99">
        <v>3465</v>
      </c>
      <c r="G3656" s="99">
        <v>5601</v>
      </c>
      <c r="H3656" s="99">
        <v>2052</v>
      </c>
      <c r="I3656" s="99">
        <v>160</v>
      </c>
      <c r="J3656" s="99">
        <v>233</v>
      </c>
      <c r="K3656" s="99">
        <v>73</v>
      </c>
      <c r="L3656" s="99">
        <v>1293</v>
      </c>
      <c r="M3656" s="99">
        <v>1185</v>
      </c>
      <c r="N3656" s="99">
        <v>107</v>
      </c>
    </row>
    <row r="3657" spans="1:14" ht="17.5" customHeight="1">
      <c r="A3657" s="109" t="s">
        <v>7525</v>
      </c>
      <c r="B3657" s="109" t="s">
        <v>7526</v>
      </c>
      <c r="C3657" s="98">
        <v>2009</v>
      </c>
      <c r="D3657" s="99">
        <v>9820</v>
      </c>
      <c r="E3657" s="99">
        <v>8322</v>
      </c>
      <c r="F3657" s="99">
        <v>3618</v>
      </c>
      <c r="G3657" s="99">
        <v>4604</v>
      </c>
      <c r="H3657" s="99">
        <v>1980</v>
      </c>
      <c r="I3657" s="99">
        <v>260</v>
      </c>
      <c r="J3657" s="99">
        <v>318</v>
      </c>
      <c r="K3657" s="99">
        <v>58</v>
      </c>
      <c r="L3657" s="99">
        <v>1165</v>
      </c>
      <c r="M3657" s="99">
        <v>1264</v>
      </c>
      <c r="N3657" s="99">
        <v>-99</v>
      </c>
    </row>
    <row r="3658" spans="1:14" ht="17.5" customHeight="1">
      <c r="A3658" s="109" t="s">
        <v>7525</v>
      </c>
      <c r="B3658" s="109" t="s">
        <v>7526</v>
      </c>
      <c r="C3658" s="98">
        <v>2010</v>
      </c>
      <c r="D3658" s="99">
        <v>9732</v>
      </c>
      <c r="E3658" s="99">
        <v>8712</v>
      </c>
      <c r="F3658" s="99">
        <v>3938</v>
      </c>
      <c r="G3658" s="99">
        <v>4760</v>
      </c>
      <c r="H3658" s="99">
        <v>1986</v>
      </c>
      <c r="I3658" s="99">
        <v>196</v>
      </c>
      <c r="J3658" s="99">
        <v>276</v>
      </c>
      <c r="K3658" s="99">
        <v>79</v>
      </c>
      <c r="L3658" s="99">
        <v>1163</v>
      </c>
      <c r="M3658" s="99">
        <v>1175</v>
      </c>
      <c r="N3658" s="99">
        <v>-12</v>
      </c>
    </row>
    <row r="3659" spans="1:14" ht="17.5" customHeight="1">
      <c r="A3659" s="109" t="s">
        <v>7525</v>
      </c>
      <c r="B3659" s="109" t="s">
        <v>7526</v>
      </c>
      <c r="C3659" s="98">
        <v>2011</v>
      </c>
      <c r="D3659" s="99">
        <v>9838</v>
      </c>
      <c r="E3659" s="99">
        <v>9502</v>
      </c>
      <c r="F3659" s="99">
        <v>3987</v>
      </c>
      <c r="G3659" s="99">
        <v>5615</v>
      </c>
      <c r="H3659" s="99">
        <v>2139</v>
      </c>
      <c r="I3659" s="99">
        <v>275</v>
      </c>
      <c r="J3659" s="99">
        <v>319</v>
      </c>
      <c r="K3659" s="99">
        <v>45</v>
      </c>
      <c r="L3659" s="99">
        <v>1202</v>
      </c>
      <c r="M3659" s="99">
        <v>1140</v>
      </c>
      <c r="N3659" s="99">
        <v>62</v>
      </c>
    </row>
    <row r="3660" spans="1:14" ht="17.5" customHeight="1">
      <c r="A3660" s="109" t="s">
        <v>7525</v>
      </c>
      <c r="B3660" s="109" t="s">
        <v>7526</v>
      </c>
      <c r="C3660" s="111">
        <v>2012</v>
      </c>
      <c r="D3660" s="112">
        <v>9988</v>
      </c>
      <c r="E3660" s="112">
        <v>8949</v>
      </c>
      <c r="F3660" s="112">
        <v>3812</v>
      </c>
      <c r="G3660" s="112">
        <v>5194</v>
      </c>
      <c r="H3660" s="112">
        <v>2069</v>
      </c>
      <c r="I3660" s="112">
        <v>266</v>
      </c>
      <c r="J3660" s="112">
        <v>308</v>
      </c>
      <c r="K3660" s="112">
        <v>42</v>
      </c>
      <c r="L3660" s="112">
        <v>1125</v>
      </c>
      <c r="M3660" s="112">
        <v>1069</v>
      </c>
      <c r="N3660" s="112">
        <v>57</v>
      </c>
    </row>
    <row r="3661" spans="1:14" ht="17.5" customHeight="1">
      <c r="A3661" s="109" t="s">
        <v>7525</v>
      </c>
      <c r="B3661" s="109" t="s">
        <v>7526</v>
      </c>
      <c r="C3661" s="113">
        <v>2013</v>
      </c>
      <c r="D3661" s="112">
        <v>9759</v>
      </c>
      <c r="E3661" s="112">
        <v>9241</v>
      </c>
      <c r="F3661" s="112">
        <v>3644</v>
      </c>
      <c r="G3661" s="112">
        <v>5715</v>
      </c>
      <c r="H3661" s="112">
        <v>2057</v>
      </c>
      <c r="I3661" s="112">
        <v>360</v>
      </c>
      <c r="J3661" s="112">
        <v>392</v>
      </c>
      <c r="K3661" s="112">
        <v>33</v>
      </c>
      <c r="L3661" s="112">
        <v>1228</v>
      </c>
      <c r="M3661" s="112">
        <v>1123</v>
      </c>
      <c r="N3661" s="112">
        <v>106</v>
      </c>
    </row>
    <row r="3662" spans="1:14" ht="17.5" customHeight="1">
      <c r="A3662" s="109" t="s">
        <v>7525</v>
      </c>
      <c r="B3662" s="109" t="s">
        <v>7526</v>
      </c>
      <c r="C3662" s="113">
        <v>2014</v>
      </c>
      <c r="D3662" s="99">
        <v>9450</v>
      </c>
      <c r="E3662" s="99">
        <v>9160</v>
      </c>
      <c r="F3662" s="99">
        <v>3479</v>
      </c>
      <c r="G3662" s="99">
        <v>5717</v>
      </c>
      <c r="H3662" s="99">
        <v>2095</v>
      </c>
      <c r="I3662" s="99">
        <v>457</v>
      </c>
      <c r="J3662" s="99">
        <v>472</v>
      </c>
      <c r="K3662" s="99">
        <v>16</v>
      </c>
      <c r="L3662" s="99">
        <v>1097</v>
      </c>
      <c r="M3662" s="99">
        <v>1083</v>
      </c>
      <c r="N3662" s="99">
        <v>13</v>
      </c>
    </row>
    <row r="3663" spans="1:14" ht="17.5" customHeight="1">
      <c r="A3663" s="109" t="s">
        <v>7525</v>
      </c>
      <c r="B3663" s="109" t="s">
        <v>7526</v>
      </c>
      <c r="C3663" s="113">
        <v>2015</v>
      </c>
      <c r="D3663" s="112">
        <v>9569</v>
      </c>
      <c r="E3663" s="112">
        <v>9781</v>
      </c>
      <c r="F3663" s="112">
        <v>3917</v>
      </c>
      <c r="G3663" s="112">
        <v>5971</v>
      </c>
      <c r="H3663" s="112">
        <v>2137</v>
      </c>
      <c r="I3663" s="112">
        <v>503</v>
      </c>
      <c r="J3663" s="112">
        <v>533</v>
      </c>
      <c r="K3663" s="112">
        <v>30</v>
      </c>
      <c r="L3663" s="112">
        <v>1098</v>
      </c>
      <c r="M3663" s="112">
        <v>1066</v>
      </c>
      <c r="N3663" s="112">
        <v>32</v>
      </c>
    </row>
    <row r="3664" spans="1:14" ht="17.5" customHeight="1">
      <c r="A3664" s="109" t="s">
        <v>7525</v>
      </c>
      <c r="B3664" s="109" t="s">
        <v>7526</v>
      </c>
      <c r="C3664" s="113">
        <v>2016</v>
      </c>
      <c r="D3664" s="112">
        <v>9423</v>
      </c>
      <c r="E3664" s="112">
        <v>10995</v>
      </c>
      <c r="F3664" s="112">
        <v>4400</v>
      </c>
      <c r="G3664" s="112">
        <v>6771</v>
      </c>
      <c r="H3664" s="112">
        <v>2298</v>
      </c>
      <c r="I3664" s="112">
        <v>499</v>
      </c>
      <c r="J3664" s="112">
        <v>550</v>
      </c>
      <c r="K3664" s="112">
        <v>51</v>
      </c>
      <c r="L3664" s="112">
        <v>1505</v>
      </c>
      <c r="M3664" s="112">
        <v>1386</v>
      </c>
      <c r="N3664" s="112">
        <v>119</v>
      </c>
    </row>
    <row r="3665" spans="1:14" ht="17.5" customHeight="1">
      <c r="A3665" s="109" t="s">
        <v>7525</v>
      </c>
      <c r="B3665" s="109" t="s">
        <v>7526</v>
      </c>
      <c r="C3665" s="113">
        <v>2017</v>
      </c>
      <c r="D3665" s="112">
        <v>9551</v>
      </c>
      <c r="E3665" s="112">
        <v>10885</v>
      </c>
      <c r="F3665" s="112">
        <v>4411</v>
      </c>
      <c r="G3665" s="112">
        <v>6697</v>
      </c>
      <c r="H3665" s="112">
        <v>2423</v>
      </c>
      <c r="I3665" s="112">
        <v>432</v>
      </c>
      <c r="J3665" s="112">
        <v>460</v>
      </c>
      <c r="K3665" s="112">
        <v>27</v>
      </c>
      <c r="L3665" s="112">
        <v>1384</v>
      </c>
      <c r="M3665" s="112">
        <v>1245</v>
      </c>
      <c r="N3665" s="112">
        <v>139</v>
      </c>
    </row>
    <row r="3666" spans="1:14" ht="17.5" customHeight="1">
      <c r="A3666" s="109" t="s">
        <v>7525</v>
      </c>
      <c r="B3666" s="109" t="s">
        <v>7526</v>
      </c>
      <c r="C3666" s="113">
        <v>2018</v>
      </c>
      <c r="D3666" s="112">
        <v>9742</v>
      </c>
      <c r="E3666" s="112">
        <v>11513</v>
      </c>
      <c r="F3666" s="112">
        <v>4861</v>
      </c>
      <c r="G3666" s="112">
        <v>6908</v>
      </c>
      <c r="H3666" s="112">
        <v>2493</v>
      </c>
      <c r="I3666" s="112">
        <v>485</v>
      </c>
      <c r="J3666" s="112">
        <v>525</v>
      </c>
      <c r="K3666" s="112">
        <v>40</v>
      </c>
      <c r="L3666" s="112">
        <v>2100</v>
      </c>
      <c r="M3666" s="112">
        <v>1919</v>
      </c>
      <c r="N3666" s="112">
        <v>181</v>
      </c>
    </row>
    <row r="3667" spans="1:14" ht="17.5" customHeight="1">
      <c r="A3667" s="109" t="s">
        <v>7525</v>
      </c>
      <c r="B3667" s="109" t="s">
        <v>7526</v>
      </c>
      <c r="C3667" s="113">
        <v>2019</v>
      </c>
      <c r="D3667" s="112">
        <v>10058</v>
      </c>
      <c r="E3667" s="112">
        <v>11808.996487</v>
      </c>
      <c r="F3667" s="112">
        <v>5166.9692800000003</v>
      </c>
      <c r="G3667" s="112">
        <v>6952.5923750000002</v>
      </c>
      <c r="H3667" s="112">
        <v>2627.6168910000001</v>
      </c>
      <c r="I3667" s="112">
        <v>458.69677799999999</v>
      </c>
      <c r="J3667" s="112">
        <v>482.31905899999998</v>
      </c>
      <c r="K3667" s="112">
        <v>23.622281999999998</v>
      </c>
      <c r="L3667" s="112">
        <v>2295.8406669999999</v>
      </c>
      <c r="M3667" s="112">
        <v>2046.48125</v>
      </c>
      <c r="N3667" s="112">
        <v>249.35941700000001</v>
      </c>
    </row>
    <row r="3668" spans="1:14" ht="17.5" customHeight="1">
      <c r="A3668" s="114" t="s">
        <v>7525</v>
      </c>
      <c r="B3668" s="114" t="s">
        <v>7526</v>
      </c>
      <c r="C3668" s="113">
        <v>2020</v>
      </c>
      <c r="D3668" s="112">
        <v>10307</v>
      </c>
      <c r="E3668" s="112">
        <v>12760.759942999999</v>
      </c>
      <c r="F3668" s="112">
        <v>5016.5762860000004</v>
      </c>
      <c r="G3668" s="112">
        <v>7753.9247880000003</v>
      </c>
      <c r="H3668" s="112">
        <v>2415.9745130000001</v>
      </c>
      <c r="I3668" s="112">
        <v>854.73714199999995</v>
      </c>
      <c r="J3668" s="112">
        <v>1026.300651</v>
      </c>
      <c r="K3668" s="112">
        <v>171.56350900000001</v>
      </c>
      <c r="L3668" s="112">
        <v>2118.5744709999999</v>
      </c>
      <c r="M3668" s="112">
        <v>2155.7724859999998</v>
      </c>
      <c r="N3668" s="112">
        <v>-37.198014999999998</v>
      </c>
    </row>
    <row r="3669" spans="1:14" ht="31.75" customHeight="1">
      <c r="A3669" s="109" t="s">
        <v>7527</v>
      </c>
      <c r="B3669" s="109" t="s">
        <v>7528</v>
      </c>
      <c r="C3669" s="98">
        <v>2008</v>
      </c>
      <c r="D3669" s="99">
        <v>1491</v>
      </c>
      <c r="E3669" s="99">
        <v>914</v>
      </c>
      <c r="F3669" s="99">
        <v>241</v>
      </c>
      <c r="G3669" s="99">
        <v>661</v>
      </c>
      <c r="H3669" s="99">
        <v>137</v>
      </c>
      <c r="I3669" s="99">
        <v>11</v>
      </c>
      <c r="J3669" s="99">
        <v>13</v>
      </c>
      <c r="K3669" s="99">
        <v>2</v>
      </c>
      <c r="L3669" s="99">
        <v>202</v>
      </c>
      <c r="M3669" s="99">
        <v>213</v>
      </c>
      <c r="N3669" s="99">
        <v>-11</v>
      </c>
    </row>
    <row r="3670" spans="1:14" ht="31.75" customHeight="1">
      <c r="A3670" s="109" t="s">
        <v>7527</v>
      </c>
      <c r="B3670" s="109" t="s">
        <v>7528</v>
      </c>
      <c r="C3670" s="98">
        <v>2009</v>
      </c>
      <c r="D3670" s="99">
        <v>1408</v>
      </c>
      <c r="E3670" s="99">
        <v>858</v>
      </c>
      <c r="F3670" s="99">
        <v>290</v>
      </c>
      <c r="G3670" s="99">
        <v>561</v>
      </c>
      <c r="H3670" s="99">
        <v>127</v>
      </c>
      <c r="I3670" s="99">
        <v>12</v>
      </c>
      <c r="J3670" s="99">
        <v>16</v>
      </c>
      <c r="K3670" s="99">
        <v>5</v>
      </c>
      <c r="L3670" s="99">
        <v>251</v>
      </c>
      <c r="M3670" s="99">
        <v>257</v>
      </c>
      <c r="N3670" s="99">
        <v>-7</v>
      </c>
    </row>
    <row r="3671" spans="1:14" ht="31.75" customHeight="1">
      <c r="A3671" s="109" t="s">
        <v>7527</v>
      </c>
      <c r="B3671" s="109" t="s">
        <v>7528</v>
      </c>
      <c r="C3671" s="98">
        <v>2010</v>
      </c>
      <c r="D3671" s="99">
        <v>1385</v>
      </c>
      <c r="E3671" s="99">
        <v>989</v>
      </c>
      <c r="F3671" s="99">
        <v>331</v>
      </c>
      <c r="G3671" s="99">
        <v>672</v>
      </c>
      <c r="H3671" s="99">
        <v>121</v>
      </c>
      <c r="I3671" s="99">
        <v>30</v>
      </c>
      <c r="J3671" s="99">
        <v>34</v>
      </c>
      <c r="K3671" s="99">
        <v>4</v>
      </c>
      <c r="L3671" s="99">
        <v>232</v>
      </c>
      <c r="M3671" s="99">
        <v>218</v>
      </c>
      <c r="N3671" s="99">
        <v>14</v>
      </c>
    </row>
    <row r="3672" spans="1:14" ht="31.75" customHeight="1">
      <c r="A3672" s="109" t="s">
        <v>7527</v>
      </c>
      <c r="B3672" s="109" t="s">
        <v>7528</v>
      </c>
      <c r="C3672" s="98">
        <v>2011</v>
      </c>
      <c r="D3672" s="99">
        <v>1402</v>
      </c>
      <c r="E3672" s="99">
        <v>1170</v>
      </c>
      <c r="F3672" s="99">
        <v>334</v>
      </c>
      <c r="G3672" s="99">
        <v>834</v>
      </c>
      <c r="H3672" s="99">
        <v>154</v>
      </c>
      <c r="I3672" s="99">
        <v>21</v>
      </c>
      <c r="J3672" s="99">
        <v>25</v>
      </c>
      <c r="K3672" s="99">
        <v>4</v>
      </c>
      <c r="L3672" s="99">
        <v>199</v>
      </c>
      <c r="M3672" s="99">
        <v>199</v>
      </c>
      <c r="N3672" s="99" t="s">
        <v>6952</v>
      </c>
    </row>
    <row r="3673" spans="1:14" ht="31.75" customHeight="1">
      <c r="A3673" s="109" t="s">
        <v>7527</v>
      </c>
      <c r="B3673" s="109" t="s">
        <v>7528</v>
      </c>
      <c r="C3673" s="111">
        <v>2012</v>
      </c>
      <c r="D3673" s="112">
        <v>1374</v>
      </c>
      <c r="E3673" s="112">
        <v>1038</v>
      </c>
      <c r="F3673" s="112">
        <v>295</v>
      </c>
      <c r="G3673" s="112">
        <v>752</v>
      </c>
      <c r="H3673" s="112">
        <v>146</v>
      </c>
      <c r="I3673" s="112">
        <v>14</v>
      </c>
      <c r="J3673" s="112">
        <v>16</v>
      </c>
      <c r="K3673" s="112">
        <v>2</v>
      </c>
      <c r="L3673" s="112">
        <v>288</v>
      </c>
      <c r="M3673" s="112">
        <v>278</v>
      </c>
      <c r="N3673" s="112">
        <v>9</v>
      </c>
    </row>
    <row r="3674" spans="1:14" ht="31.75" customHeight="1">
      <c r="A3674" s="109" t="s">
        <v>7527</v>
      </c>
      <c r="B3674" s="109" t="s">
        <v>7528</v>
      </c>
      <c r="C3674" s="113">
        <v>2013</v>
      </c>
      <c r="D3674" s="112">
        <v>1402</v>
      </c>
      <c r="E3674" s="112">
        <v>1079</v>
      </c>
      <c r="F3674" s="112">
        <v>191</v>
      </c>
      <c r="G3674" s="112">
        <v>893</v>
      </c>
      <c r="H3674" s="112">
        <v>127</v>
      </c>
      <c r="I3674" s="112">
        <v>143</v>
      </c>
      <c r="J3674" s="112">
        <v>148</v>
      </c>
      <c r="K3674" s="112">
        <v>5</v>
      </c>
      <c r="L3674" s="112">
        <v>279</v>
      </c>
      <c r="M3674" s="112">
        <v>275</v>
      </c>
      <c r="N3674" s="112">
        <v>4</v>
      </c>
    </row>
    <row r="3675" spans="1:14" ht="31.75" customHeight="1">
      <c r="A3675" s="109" t="s">
        <v>7527</v>
      </c>
      <c r="B3675" s="109" t="s">
        <v>7528</v>
      </c>
      <c r="C3675" s="113">
        <v>2014</v>
      </c>
      <c r="D3675" s="99">
        <v>1395</v>
      </c>
      <c r="E3675" s="99">
        <v>996</v>
      </c>
      <c r="F3675" s="99">
        <v>310</v>
      </c>
      <c r="G3675" s="99">
        <v>690</v>
      </c>
      <c r="H3675" s="99">
        <v>130</v>
      </c>
      <c r="I3675" s="99">
        <v>31</v>
      </c>
      <c r="J3675" s="99">
        <v>33</v>
      </c>
      <c r="K3675" s="99">
        <v>1</v>
      </c>
      <c r="L3675" s="99">
        <v>213</v>
      </c>
      <c r="M3675" s="99">
        <v>205</v>
      </c>
      <c r="N3675" s="99">
        <v>7</v>
      </c>
    </row>
    <row r="3676" spans="1:14" ht="31.75" customHeight="1">
      <c r="A3676" s="109" t="s">
        <v>7527</v>
      </c>
      <c r="B3676" s="109" t="s">
        <v>7528</v>
      </c>
      <c r="C3676" s="113">
        <v>2015</v>
      </c>
      <c r="D3676" s="112">
        <v>1419</v>
      </c>
      <c r="E3676" s="112">
        <v>1210</v>
      </c>
      <c r="F3676" s="112">
        <v>385</v>
      </c>
      <c r="G3676" s="112">
        <v>821</v>
      </c>
      <c r="H3676" s="112">
        <v>138</v>
      </c>
      <c r="I3676" s="112">
        <v>35</v>
      </c>
      <c r="J3676" s="112">
        <v>36</v>
      </c>
      <c r="K3676" s="112">
        <v>2</v>
      </c>
      <c r="L3676" s="112">
        <v>176</v>
      </c>
      <c r="M3676" s="112">
        <v>181</v>
      </c>
      <c r="N3676" s="112">
        <v>-5</v>
      </c>
    </row>
    <row r="3677" spans="1:14" ht="31.75" customHeight="1">
      <c r="A3677" s="109" t="s">
        <v>7527</v>
      </c>
      <c r="B3677" s="109" t="s">
        <v>7528</v>
      </c>
      <c r="C3677" s="113">
        <v>2016</v>
      </c>
      <c r="D3677" s="112">
        <v>1414</v>
      </c>
      <c r="E3677" s="112">
        <v>1495</v>
      </c>
      <c r="F3677" s="112">
        <v>336</v>
      </c>
      <c r="G3677" s="112">
        <v>1163</v>
      </c>
      <c r="H3677" s="112">
        <v>151</v>
      </c>
      <c r="I3677" s="112">
        <v>27</v>
      </c>
      <c r="J3677" s="112">
        <v>28</v>
      </c>
      <c r="K3677" s="112">
        <v>1</v>
      </c>
      <c r="L3677" s="112">
        <v>296</v>
      </c>
      <c r="M3677" s="112">
        <v>292</v>
      </c>
      <c r="N3677" s="112">
        <v>4</v>
      </c>
    </row>
    <row r="3678" spans="1:14" ht="31.75" customHeight="1">
      <c r="A3678" s="109" t="s">
        <v>7527</v>
      </c>
      <c r="B3678" s="109" t="s">
        <v>7528</v>
      </c>
      <c r="C3678" s="113">
        <v>2017</v>
      </c>
      <c r="D3678" s="112">
        <v>1452</v>
      </c>
      <c r="E3678" s="112">
        <v>1205</v>
      </c>
      <c r="F3678" s="112">
        <v>373</v>
      </c>
      <c r="G3678" s="112">
        <v>858</v>
      </c>
      <c r="H3678" s="112">
        <v>151</v>
      </c>
      <c r="I3678" s="112">
        <v>24</v>
      </c>
      <c r="J3678" s="112">
        <v>24</v>
      </c>
      <c r="K3678" s="112">
        <v>1</v>
      </c>
      <c r="L3678" s="112">
        <v>163</v>
      </c>
      <c r="M3678" s="112">
        <v>135</v>
      </c>
      <c r="N3678" s="112">
        <v>28</v>
      </c>
    </row>
    <row r="3679" spans="1:14" ht="31.75" customHeight="1">
      <c r="A3679" s="109" t="s">
        <v>7527</v>
      </c>
      <c r="B3679" s="109" t="s">
        <v>7528</v>
      </c>
      <c r="C3679" s="113">
        <v>2018</v>
      </c>
      <c r="D3679" s="112">
        <v>1473</v>
      </c>
      <c r="E3679" s="112">
        <v>1581</v>
      </c>
      <c r="F3679" s="112">
        <v>464</v>
      </c>
      <c r="G3679" s="112">
        <v>1177</v>
      </c>
      <c r="H3679" s="112">
        <v>158</v>
      </c>
      <c r="I3679" s="112">
        <v>28</v>
      </c>
      <c r="J3679" s="112">
        <v>40</v>
      </c>
      <c r="K3679" s="112">
        <v>12</v>
      </c>
      <c r="L3679" s="112">
        <v>813</v>
      </c>
      <c r="M3679" s="112">
        <v>750</v>
      </c>
      <c r="N3679" s="112">
        <v>63</v>
      </c>
    </row>
    <row r="3680" spans="1:14" ht="31.75" customHeight="1">
      <c r="A3680" s="109" t="s">
        <v>7527</v>
      </c>
      <c r="B3680" s="109" t="s">
        <v>7528</v>
      </c>
      <c r="C3680" s="113">
        <v>2019</v>
      </c>
      <c r="D3680" s="112">
        <v>1472</v>
      </c>
      <c r="E3680" s="112">
        <v>1659.7466879999999</v>
      </c>
      <c r="F3680" s="112">
        <v>399.55907000000002</v>
      </c>
      <c r="G3680" s="112">
        <v>1307.6790060000001</v>
      </c>
      <c r="H3680" s="112">
        <v>184.58682899999999</v>
      </c>
      <c r="I3680" s="112">
        <v>16.550159000000001</v>
      </c>
      <c r="J3680" s="112">
        <v>19.113146</v>
      </c>
      <c r="K3680" s="112">
        <v>2.5629870000000001</v>
      </c>
      <c r="L3680" s="112">
        <v>839.23992999999996</v>
      </c>
      <c r="M3680" s="112">
        <v>797.57078999999999</v>
      </c>
      <c r="N3680" s="112">
        <v>41.669139999999999</v>
      </c>
    </row>
    <row r="3681" spans="1:14" ht="31.75" customHeight="1">
      <c r="A3681" s="114" t="s">
        <v>7527</v>
      </c>
      <c r="B3681" s="114" t="s">
        <v>7528</v>
      </c>
      <c r="C3681" s="113">
        <v>2020</v>
      </c>
      <c r="D3681" s="112">
        <v>1506</v>
      </c>
      <c r="E3681" s="112">
        <v>1837.3791120000001</v>
      </c>
      <c r="F3681" s="112">
        <v>246.43891300000001</v>
      </c>
      <c r="G3681" s="112">
        <v>1503.5083770000001</v>
      </c>
      <c r="H3681" s="112">
        <v>159.977191</v>
      </c>
      <c r="I3681" s="112">
        <v>14.558408999999999</v>
      </c>
      <c r="J3681" s="112">
        <v>15.101509</v>
      </c>
      <c r="K3681" s="112">
        <v>0.543099</v>
      </c>
      <c r="L3681" s="112">
        <v>712.89234199999999</v>
      </c>
      <c r="M3681" s="112">
        <v>802.15126399999997</v>
      </c>
      <c r="N3681" s="112">
        <v>-89.258921999999998</v>
      </c>
    </row>
    <row r="3682" spans="1:14" ht="17.5" customHeight="1">
      <c r="A3682" s="109" t="s">
        <v>7529</v>
      </c>
      <c r="B3682" s="109" t="s">
        <v>7530</v>
      </c>
      <c r="C3682" s="98">
        <v>2008</v>
      </c>
      <c r="D3682" s="99" t="s">
        <v>6953</v>
      </c>
      <c r="E3682" s="99" t="s">
        <v>6953</v>
      </c>
      <c r="F3682" s="99" t="s">
        <v>6953</v>
      </c>
      <c r="G3682" s="99" t="s">
        <v>6953</v>
      </c>
      <c r="H3682" s="99" t="s">
        <v>6953</v>
      </c>
      <c r="I3682" s="99" t="s">
        <v>6953</v>
      </c>
      <c r="J3682" s="99" t="s">
        <v>6953</v>
      </c>
      <c r="K3682" s="99" t="s">
        <v>6953</v>
      </c>
      <c r="L3682" s="99" t="s">
        <v>6953</v>
      </c>
      <c r="M3682" s="99" t="s">
        <v>6953</v>
      </c>
      <c r="N3682" s="99" t="s">
        <v>6953</v>
      </c>
    </row>
    <row r="3683" spans="1:14" ht="17.5" customHeight="1">
      <c r="A3683" s="109" t="s">
        <v>7529</v>
      </c>
      <c r="B3683" s="109" t="s">
        <v>7530</v>
      </c>
      <c r="C3683" s="98">
        <v>2009</v>
      </c>
      <c r="D3683" s="99" t="s">
        <v>6953</v>
      </c>
      <c r="E3683" s="99" t="s">
        <v>6953</v>
      </c>
      <c r="F3683" s="99" t="s">
        <v>6953</v>
      </c>
      <c r="G3683" s="99" t="s">
        <v>6953</v>
      </c>
      <c r="H3683" s="99" t="s">
        <v>6953</v>
      </c>
      <c r="I3683" s="99" t="s">
        <v>6953</v>
      </c>
      <c r="J3683" s="99" t="s">
        <v>6953</v>
      </c>
      <c r="K3683" s="99" t="s">
        <v>6953</v>
      </c>
      <c r="L3683" s="99" t="s">
        <v>6953</v>
      </c>
      <c r="M3683" s="99" t="s">
        <v>6953</v>
      </c>
      <c r="N3683" s="99" t="s">
        <v>6953</v>
      </c>
    </row>
    <row r="3684" spans="1:14" ht="17.5" customHeight="1">
      <c r="A3684" s="109" t="s">
        <v>7529</v>
      </c>
      <c r="B3684" s="109" t="s">
        <v>7530</v>
      </c>
      <c r="C3684" s="98">
        <v>2010</v>
      </c>
      <c r="D3684" s="99" t="s">
        <v>6953</v>
      </c>
      <c r="E3684" s="99" t="s">
        <v>6953</v>
      </c>
      <c r="F3684" s="99" t="s">
        <v>6953</v>
      </c>
      <c r="G3684" s="99" t="s">
        <v>6953</v>
      </c>
      <c r="H3684" s="99" t="s">
        <v>6953</v>
      </c>
      <c r="I3684" s="99" t="s">
        <v>6953</v>
      </c>
      <c r="J3684" s="99" t="s">
        <v>6953</v>
      </c>
      <c r="K3684" s="99" t="s">
        <v>6953</v>
      </c>
      <c r="L3684" s="99" t="s">
        <v>6953</v>
      </c>
      <c r="M3684" s="99" t="s">
        <v>6953</v>
      </c>
      <c r="N3684" s="99" t="s">
        <v>6953</v>
      </c>
    </row>
    <row r="3685" spans="1:14" ht="17.5" customHeight="1">
      <c r="A3685" s="109" t="s">
        <v>7529</v>
      </c>
      <c r="B3685" s="109" t="s">
        <v>7530</v>
      </c>
      <c r="C3685" s="98">
        <v>2011</v>
      </c>
      <c r="D3685" s="99" t="s">
        <v>6953</v>
      </c>
      <c r="E3685" s="99" t="s">
        <v>6953</v>
      </c>
      <c r="F3685" s="99" t="s">
        <v>6953</v>
      </c>
      <c r="G3685" s="99" t="s">
        <v>6953</v>
      </c>
      <c r="H3685" s="99" t="s">
        <v>6953</v>
      </c>
      <c r="I3685" s="99" t="s">
        <v>6953</v>
      </c>
      <c r="J3685" s="99" t="s">
        <v>6953</v>
      </c>
      <c r="K3685" s="99" t="s">
        <v>6953</v>
      </c>
      <c r="L3685" s="99" t="s">
        <v>6953</v>
      </c>
      <c r="M3685" s="99" t="s">
        <v>6953</v>
      </c>
      <c r="N3685" s="99" t="s">
        <v>6953</v>
      </c>
    </row>
    <row r="3686" spans="1:14" ht="17.5" customHeight="1">
      <c r="A3686" s="109" t="s">
        <v>7529</v>
      </c>
      <c r="B3686" s="109" t="s">
        <v>7530</v>
      </c>
      <c r="C3686" s="111">
        <v>2012</v>
      </c>
      <c r="D3686" s="99" t="s">
        <v>6953</v>
      </c>
      <c r="E3686" s="99" t="s">
        <v>6953</v>
      </c>
      <c r="F3686" s="99" t="s">
        <v>6953</v>
      </c>
      <c r="G3686" s="99" t="s">
        <v>6953</v>
      </c>
      <c r="H3686" s="99" t="s">
        <v>6953</v>
      </c>
      <c r="I3686" s="99" t="s">
        <v>6953</v>
      </c>
      <c r="J3686" s="99" t="s">
        <v>6953</v>
      </c>
      <c r="K3686" s="99" t="s">
        <v>6953</v>
      </c>
      <c r="L3686" s="99" t="s">
        <v>6953</v>
      </c>
      <c r="M3686" s="99" t="s">
        <v>6953</v>
      </c>
      <c r="N3686" s="99" t="s">
        <v>6953</v>
      </c>
    </row>
    <row r="3687" spans="1:14" ht="17.5" customHeight="1">
      <c r="A3687" s="109" t="s">
        <v>7529</v>
      </c>
      <c r="B3687" s="109" t="s">
        <v>7530</v>
      </c>
      <c r="C3687" s="113">
        <v>2013</v>
      </c>
      <c r="D3687" s="99" t="s">
        <v>6953</v>
      </c>
      <c r="E3687" s="99" t="s">
        <v>6953</v>
      </c>
      <c r="F3687" s="99" t="s">
        <v>6953</v>
      </c>
      <c r="G3687" s="99" t="s">
        <v>6953</v>
      </c>
      <c r="H3687" s="99" t="s">
        <v>6953</v>
      </c>
      <c r="I3687" s="99" t="s">
        <v>6953</v>
      </c>
      <c r="J3687" s="99" t="s">
        <v>6953</v>
      </c>
      <c r="K3687" s="99" t="s">
        <v>6953</v>
      </c>
      <c r="L3687" s="99" t="s">
        <v>6953</v>
      </c>
      <c r="M3687" s="99" t="s">
        <v>6953</v>
      </c>
      <c r="N3687" s="99" t="s">
        <v>6953</v>
      </c>
    </row>
    <row r="3688" spans="1:14" ht="17.5" customHeight="1">
      <c r="A3688" s="109" t="s">
        <v>7529</v>
      </c>
      <c r="B3688" s="109" t="s">
        <v>7530</v>
      </c>
      <c r="C3688" s="113">
        <v>2014</v>
      </c>
      <c r="D3688" s="99" t="s">
        <v>6953</v>
      </c>
      <c r="E3688" s="99" t="s">
        <v>6953</v>
      </c>
      <c r="F3688" s="99" t="s">
        <v>6953</v>
      </c>
      <c r="G3688" s="99" t="s">
        <v>6953</v>
      </c>
      <c r="H3688" s="99" t="s">
        <v>6953</v>
      </c>
      <c r="I3688" s="99" t="s">
        <v>6953</v>
      </c>
      <c r="J3688" s="99" t="s">
        <v>6953</v>
      </c>
      <c r="K3688" s="99" t="s">
        <v>6953</v>
      </c>
      <c r="L3688" s="99" t="s">
        <v>6953</v>
      </c>
      <c r="M3688" s="99" t="s">
        <v>6953</v>
      </c>
      <c r="N3688" s="99" t="s">
        <v>6953</v>
      </c>
    </row>
    <row r="3689" spans="1:14" ht="17.5" customHeight="1">
      <c r="A3689" s="109" t="s">
        <v>7529</v>
      </c>
      <c r="B3689" s="109" t="s">
        <v>7530</v>
      </c>
      <c r="C3689" s="113">
        <v>2015</v>
      </c>
      <c r="D3689" s="99" t="s">
        <v>6953</v>
      </c>
      <c r="E3689" s="99" t="s">
        <v>6953</v>
      </c>
      <c r="F3689" s="99" t="s">
        <v>6953</v>
      </c>
      <c r="G3689" s="99" t="s">
        <v>6953</v>
      </c>
      <c r="H3689" s="99" t="s">
        <v>6953</v>
      </c>
      <c r="I3689" s="99" t="s">
        <v>6953</v>
      </c>
      <c r="J3689" s="99" t="s">
        <v>6953</v>
      </c>
      <c r="K3689" s="99" t="s">
        <v>6953</v>
      </c>
      <c r="L3689" s="99" t="s">
        <v>6953</v>
      </c>
      <c r="M3689" s="99" t="s">
        <v>6953</v>
      </c>
      <c r="N3689" s="99" t="s">
        <v>6953</v>
      </c>
    </row>
    <row r="3690" spans="1:14" ht="17.5" customHeight="1">
      <c r="A3690" s="109" t="s">
        <v>7529</v>
      </c>
      <c r="B3690" s="109" t="s">
        <v>7530</v>
      </c>
      <c r="C3690" s="113">
        <v>2016</v>
      </c>
      <c r="D3690" s="99" t="s">
        <v>6953</v>
      </c>
      <c r="E3690" s="99" t="s">
        <v>6953</v>
      </c>
      <c r="F3690" s="99" t="s">
        <v>6953</v>
      </c>
      <c r="G3690" s="99" t="s">
        <v>6953</v>
      </c>
      <c r="H3690" s="99" t="s">
        <v>6953</v>
      </c>
      <c r="I3690" s="99" t="s">
        <v>6953</v>
      </c>
      <c r="J3690" s="99" t="s">
        <v>6953</v>
      </c>
      <c r="K3690" s="99" t="s">
        <v>6953</v>
      </c>
      <c r="L3690" s="99" t="s">
        <v>6953</v>
      </c>
      <c r="M3690" s="99" t="s">
        <v>6953</v>
      </c>
      <c r="N3690" s="99" t="s">
        <v>6953</v>
      </c>
    </row>
    <row r="3691" spans="1:14" ht="17.5" customHeight="1">
      <c r="A3691" s="109" t="s">
        <v>7529</v>
      </c>
      <c r="B3691" s="109" t="s">
        <v>7530</v>
      </c>
      <c r="C3691" s="113">
        <v>2017</v>
      </c>
      <c r="D3691" s="99" t="s">
        <v>6953</v>
      </c>
      <c r="E3691" s="99" t="s">
        <v>6953</v>
      </c>
      <c r="F3691" s="99" t="s">
        <v>6953</v>
      </c>
      <c r="G3691" s="99" t="s">
        <v>6953</v>
      </c>
      <c r="H3691" s="99" t="s">
        <v>6953</v>
      </c>
      <c r="I3691" s="99" t="s">
        <v>6953</v>
      </c>
      <c r="J3691" s="99" t="s">
        <v>6953</v>
      </c>
      <c r="K3691" s="99" t="s">
        <v>6953</v>
      </c>
      <c r="L3691" s="99" t="s">
        <v>6953</v>
      </c>
      <c r="M3691" s="99" t="s">
        <v>6953</v>
      </c>
      <c r="N3691" s="99" t="s">
        <v>6953</v>
      </c>
    </row>
    <row r="3692" spans="1:14" ht="17.5" customHeight="1">
      <c r="A3692" s="109" t="s">
        <v>7529</v>
      </c>
      <c r="B3692" s="109" t="s">
        <v>7530</v>
      </c>
      <c r="C3692" s="113">
        <v>2018</v>
      </c>
      <c r="D3692" s="99" t="s">
        <v>6953</v>
      </c>
      <c r="E3692" s="99" t="s">
        <v>6953</v>
      </c>
      <c r="F3692" s="99" t="s">
        <v>6953</v>
      </c>
      <c r="G3692" s="99" t="s">
        <v>6953</v>
      </c>
      <c r="H3692" s="99" t="s">
        <v>6953</v>
      </c>
      <c r="I3692" s="99" t="s">
        <v>6953</v>
      </c>
      <c r="J3692" s="99" t="s">
        <v>6953</v>
      </c>
      <c r="K3692" s="99" t="s">
        <v>6953</v>
      </c>
      <c r="L3692" s="99" t="s">
        <v>6953</v>
      </c>
      <c r="M3692" s="99" t="s">
        <v>6953</v>
      </c>
      <c r="N3692" s="99" t="s">
        <v>6953</v>
      </c>
    </row>
    <row r="3693" spans="1:14" ht="17.5" customHeight="1">
      <c r="A3693" s="109" t="s">
        <v>7529</v>
      </c>
      <c r="B3693" s="109" t="s">
        <v>7530</v>
      </c>
      <c r="C3693" s="113">
        <v>2019</v>
      </c>
      <c r="D3693" s="112" t="s">
        <v>6953</v>
      </c>
      <c r="E3693" s="112" t="s">
        <v>6953</v>
      </c>
      <c r="F3693" s="112" t="s">
        <v>6953</v>
      </c>
      <c r="G3693" s="112" t="s">
        <v>6953</v>
      </c>
      <c r="H3693" s="112" t="s">
        <v>6953</v>
      </c>
      <c r="I3693" s="112" t="s">
        <v>6953</v>
      </c>
      <c r="J3693" s="112" t="s">
        <v>6953</v>
      </c>
      <c r="K3693" s="112" t="s">
        <v>6953</v>
      </c>
      <c r="L3693" s="112" t="s">
        <v>6953</v>
      </c>
      <c r="M3693" s="112" t="s">
        <v>6953</v>
      </c>
      <c r="N3693" s="112" t="s">
        <v>6953</v>
      </c>
    </row>
    <row r="3694" spans="1:14" ht="17.5" customHeight="1">
      <c r="A3694" s="114" t="s">
        <v>7529</v>
      </c>
      <c r="B3694" s="114" t="s">
        <v>7530</v>
      </c>
      <c r="C3694" s="113">
        <v>2020</v>
      </c>
      <c r="D3694" s="112" t="s">
        <v>6953</v>
      </c>
      <c r="E3694" s="112" t="s">
        <v>6953</v>
      </c>
      <c r="F3694" s="112" t="s">
        <v>6953</v>
      </c>
      <c r="G3694" s="112" t="s">
        <v>6953</v>
      </c>
      <c r="H3694" s="112" t="s">
        <v>6953</v>
      </c>
      <c r="I3694" s="112" t="s">
        <v>6953</v>
      </c>
      <c r="J3694" s="112" t="s">
        <v>6953</v>
      </c>
      <c r="K3694" s="112" t="s">
        <v>6952</v>
      </c>
      <c r="L3694" s="112" t="s">
        <v>6953</v>
      </c>
      <c r="M3694" s="112" t="s">
        <v>6953</v>
      </c>
      <c r="N3694" s="112" t="s">
        <v>6953</v>
      </c>
    </row>
    <row r="3695" spans="1:14" ht="17.5" customHeight="1">
      <c r="A3695" s="109" t="s">
        <v>7531</v>
      </c>
      <c r="B3695" s="109" t="s">
        <v>7532</v>
      </c>
      <c r="C3695" s="98">
        <v>2008</v>
      </c>
      <c r="D3695" s="99">
        <v>1372</v>
      </c>
      <c r="E3695" s="99">
        <v>699</v>
      </c>
      <c r="F3695" s="99">
        <v>195</v>
      </c>
      <c r="G3695" s="99">
        <v>505</v>
      </c>
      <c r="H3695" s="99">
        <v>97</v>
      </c>
      <c r="I3695" s="99">
        <v>8</v>
      </c>
      <c r="J3695" s="99">
        <v>9</v>
      </c>
      <c r="K3695" s="99">
        <v>1</v>
      </c>
      <c r="L3695" s="99">
        <v>159</v>
      </c>
      <c r="M3695" s="99">
        <v>157</v>
      </c>
      <c r="N3695" s="99">
        <v>2</v>
      </c>
    </row>
    <row r="3696" spans="1:14" ht="17.5" customHeight="1">
      <c r="A3696" s="109" t="s">
        <v>7531</v>
      </c>
      <c r="B3696" s="109" t="s">
        <v>7532</v>
      </c>
      <c r="C3696" s="98">
        <v>2009</v>
      </c>
      <c r="D3696" s="99">
        <v>1286</v>
      </c>
      <c r="E3696" s="99">
        <v>614</v>
      </c>
      <c r="F3696" s="99">
        <v>218</v>
      </c>
      <c r="G3696" s="99">
        <v>387</v>
      </c>
      <c r="H3696" s="99">
        <v>84</v>
      </c>
      <c r="I3696" s="99">
        <v>8</v>
      </c>
      <c r="J3696" s="99">
        <v>11</v>
      </c>
      <c r="K3696" s="99">
        <v>3</v>
      </c>
      <c r="L3696" s="99">
        <v>205</v>
      </c>
      <c r="M3696" s="99">
        <v>213</v>
      </c>
      <c r="N3696" s="99">
        <v>-8</v>
      </c>
    </row>
    <row r="3697" spans="1:14" ht="17.5" customHeight="1">
      <c r="A3697" s="109" t="s">
        <v>7531</v>
      </c>
      <c r="B3697" s="109" t="s">
        <v>7532</v>
      </c>
      <c r="C3697" s="98">
        <v>2010</v>
      </c>
      <c r="D3697" s="99">
        <v>1277</v>
      </c>
      <c r="E3697" s="99">
        <v>715</v>
      </c>
      <c r="F3697" s="99">
        <v>268</v>
      </c>
      <c r="G3697" s="99">
        <v>463</v>
      </c>
      <c r="H3697" s="99">
        <v>79</v>
      </c>
      <c r="I3697" s="99">
        <v>14</v>
      </c>
      <c r="J3697" s="99">
        <v>16</v>
      </c>
      <c r="K3697" s="99">
        <v>2</v>
      </c>
      <c r="L3697" s="99">
        <v>187</v>
      </c>
      <c r="M3697" s="99">
        <v>172</v>
      </c>
      <c r="N3697" s="99">
        <v>15</v>
      </c>
    </row>
    <row r="3698" spans="1:14" ht="17.5" customHeight="1">
      <c r="A3698" s="109" t="s">
        <v>7531</v>
      </c>
      <c r="B3698" s="109" t="s">
        <v>7532</v>
      </c>
      <c r="C3698" s="98">
        <v>2011</v>
      </c>
      <c r="D3698" s="99">
        <v>1292</v>
      </c>
      <c r="E3698" s="99">
        <v>814</v>
      </c>
      <c r="F3698" s="99">
        <v>264</v>
      </c>
      <c r="G3698" s="99">
        <v>549</v>
      </c>
      <c r="H3698" s="99">
        <v>110</v>
      </c>
      <c r="I3698" s="99">
        <v>16</v>
      </c>
      <c r="J3698" s="99">
        <v>19</v>
      </c>
      <c r="K3698" s="99">
        <v>4</v>
      </c>
      <c r="L3698" s="99">
        <v>156</v>
      </c>
      <c r="M3698" s="99">
        <v>156</v>
      </c>
      <c r="N3698" s="99" t="s">
        <v>6952</v>
      </c>
    </row>
    <row r="3699" spans="1:14" ht="17.5" customHeight="1">
      <c r="A3699" s="109" t="s">
        <v>7531</v>
      </c>
      <c r="B3699" s="109" t="s">
        <v>7532</v>
      </c>
      <c r="C3699" s="111">
        <v>2012</v>
      </c>
      <c r="D3699" s="112">
        <v>1274</v>
      </c>
      <c r="E3699" s="112">
        <v>701</v>
      </c>
      <c r="F3699" s="112">
        <v>248</v>
      </c>
      <c r="G3699" s="112">
        <v>460</v>
      </c>
      <c r="H3699" s="112">
        <v>93</v>
      </c>
      <c r="I3699" s="112">
        <v>10</v>
      </c>
      <c r="J3699" s="112">
        <v>11</v>
      </c>
      <c r="K3699" s="112">
        <v>1</v>
      </c>
      <c r="L3699" s="112">
        <v>245</v>
      </c>
      <c r="M3699" s="112">
        <v>238</v>
      </c>
      <c r="N3699" s="112">
        <v>7</v>
      </c>
    </row>
    <row r="3700" spans="1:14" ht="17.5" customHeight="1">
      <c r="A3700" s="109" t="s">
        <v>7531</v>
      </c>
      <c r="B3700" s="109" t="s">
        <v>7532</v>
      </c>
      <c r="C3700" s="113">
        <v>2013</v>
      </c>
      <c r="D3700" s="112">
        <v>1289</v>
      </c>
      <c r="E3700" s="112">
        <v>692</v>
      </c>
      <c r="F3700" s="112">
        <v>162</v>
      </c>
      <c r="G3700" s="112">
        <v>546</v>
      </c>
      <c r="H3700" s="112">
        <v>77</v>
      </c>
      <c r="I3700" s="112">
        <v>143</v>
      </c>
      <c r="J3700" s="112">
        <v>144</v>
      </c>
      <c r="K3700" s="112">
        <v>1</v>
      </c>
      <c r="L3700" s="112">
        <v>244</v>
      </c>
      <c r="M3700" s="112">
        <v>229</v>
      </c>
      <c r="N3700" s="112">
        <v>15</v>
      </c>
    </row>
    <row r="3701" spans="1:14" ht="17.5" customHeight="1">
      <c r="A3701" s="109" t="s">
        <v>7531</v>
      </c>
      <c r="B3701" s="109" t="s">
        <v>7532</v>
      </c>
      <c r="C3701" s="113">
        <v>2014</v>
      </c>
      <c r="D3701" s="99">
        <v>1258</v>
      </c>
      <c r="E3701" s="99">
        <v>704</v>
      </c>
      <c r="F3701" s="99">
        <v>299</v>
      </c>
      <c r="G3701" s="99">
        <v>403</v>
      </c>
      <c r="H3701" s="99">
        <v>84</v>
      </c>
      <c r="I3701" s="99">
        <v>16</v>
      </c>
      <c r="J3701" s="99">
        <v>18</v>
      </c>
      <c r="K3701" s="99">
        <v>1</v>
      </c>
      <c r="L3701" s="99">
        <v>173</v>
      </c>
      <c r="M3701" s="99">
        <v>172</v>
      </c>
      <c r="N3701" s="99" t="s">
        <v>6952</v>
      </c>
    </row>
    <row r="3702" spans="1:14" ht="17.5" customHeight="1">
      <c r="A3702" s="109" t="s">
        <v>7531</v>
      </c>
      <c r="B3702" s="109" t="s">
        <v>7532</v>
      </c>
      <c r="C3702" s="113">
        <v>2015</v>
      </c>
      <c r="D3702" s="112">
        <v>1273</v>
      </c>
      <c r="E3702" s="112">
        <v>762</v>
      </c>
      <c r="F3702" s="112">
        <v>286</v>
      </c>
      <c r="G3702" s="112">
        <v>470</v>
      </c>
      <c r="H3702" s="112">
        <v>91</v>
      </c>
      <c r="I3702" s="112">
        <v>7</v>
      </c>
      <c r="J3702" s="112">
        <v>8</v>
      </c>
      <c r="K3702" s="112">
        <v>1</v>
      </c>
      <c r="L3702" s="112">
        <v>139</v>
      </c>
      <c r="M3702" s="112">
        <v>147</v>
      </c>
      <c r="N3702" s="112">
        <v>-8</v>
      </c>
    </row>
    <row r="3703" spans="1:14" ht="17.5" customHeight="1">
      <c r="A3703" s="109" t="s">
        <v>7531</v>
      </c>
      <c r="B3703" s="109" t="s">
        <v>7532</v>
      </c>
      <c r="C3703" s="113">
        <v>2016</v>
      </c>
      <c r="D3703" s="112">
        <v>1262</v>
      </c>
      <c r="E3703" s="112">
        <v>939</v>
      </c>
      <c r="F3703" s="112">
        <v>256</v>
      </c>
      <c r="G3703" s="112">
        <v>688</v>
      </c>
      <c r="H3703" s="112">
        <v>99</v>
      </c>
      <c r="I3703" s="112">
        <v>16</v>
      </c>
      <c r="J3703" s="112">
        <v>17</v>
      </c>
      <c r="K3703" s="112">
        <v>1</v>
      </c>
      <c r="L3703" s="112">
        <v>256</v>
      </c>
      <c r="M3703" s="112">
        <v>251</v>
      </c>
      <c r="N3703" s="112">
        <v>5</v>
      </c>
    </row>
    <row r="3704" spans="1:14" ht="17.5" customHeight="1">
      <c r="A3704" s="109" t="s">
        <v>7531</v>
      </c>
      <c r="B3704" s="109" t="s">
        <v>7532</v>
      </c>
      <c r="C3704" s="113">
        <v>2017</v>
      </c>
      <c r="D3704" s="112">
        <v>1287</v>
      </c>
      <c r="E3704" s="112">
        <v>717</v>
      </c>
      <c r="F3704" s="112">
        <v>289</v>
      </c>
      <c r="G3704" s="112">
        <v>436</v>
      </c>
      <c r="H3704" s="112">
        <v>91</v>
      </c>
      <c r="I3704" s="112">
        <v>18</v>
      </c>
      <c r="J3704" s="112">
        <v>19</v>
      </c>
      <c r="K3704" s="112">
        <v>1</v>
      </c>
      <c r="L3704" s="112">
        <v>97</v>
      </c>
      <c r="M3704" s="112">
        <v>89</v>
      </c>
      <c r="N3704" s="112">
        <v>8</v>
      </c>
    </row>
    <row r="3705" spans="1:14" ht="17.5" customHeight="1">
      <c r="A3705" s="109" t="s">
        <v>7531</v>
      </c>
      <c r="B3705" s="109" t="s">
        <v>7532</v>
      </c>
      <c r="C3705" s="113">
        <v>2018</v>
      </c>
      <c r="D3705" s="112">
        <v>1304</v>
      </c>
      <c r="E3705" s="112">
        <v>1099</v>
      </c>
      <c r="F3705" s="112">
        <v>391</v>
      </c>
      <c r="G3705" s="112">
        <v>765</v>
      </c>
      <c r="H3705" s="112">
        <v>105</v>
      </c>
      <c r="I3705" s="112">
        <v>22</v>
      </c>
      <c r="J3705" s="112">
        <v>33</v>
      </c>
      <c r="K3705" s="112">
        <v>12</v>
      </c>
      <c r="L3705" s="112">
        <v>745</v>
      </c>
      <c r="M3705" s="112">
        <v>685</v>
      </c>
      <c r="N3705" s="112">
        <v>60</v>
      </c>
    </row>
    <row r="3706" spans="1:14" ht="17.5" customHeight="1">
      <c r="A3706" s="109" t="s">
        <v>7531</v>
      </c>
      <c r="B3706" s="109" t="s">
        <v>7532</v>
      </c>
      <c r="C3706" s="113">
        <v>2019</v>
      </c>
      <c r="D3706" s="112">
        <v>1319</v>
      </c>
      <c r="E3706" s="112">
        <v>1086.5434270000001</v>
      </c>
      <c r="F3706" s="112">
        <v>342.74608499999999</v>
      </c>
      <c r="G3706" s="112">
        <v>772.47908800000005</v>
      </c>
      <c r="H3706" s="112">
        <v>137.52518000000001</v>
      </c>
      <c r="I3706" s="112">
        <v>8.1411269999999991</v>
      </c>
      <c r="J3706" s="112">
        <v>10.625565999999999</v>
      </c>
      <c r="K3706" s="112">
        <v>2.4844379999999999</v>
      </c>
      <c r="L3706" s="112">
        <v>764.71258899999998</v>
      </c>
      <c r="M3706" s="112">
        <v>740.94349899999997</v>
      </c>
      <c r="N3706" s="112">
        <v>23.769089999999998</v>
      </c>
    </row>
    <row r="3707" spans="1:14" ht="17.5" customHeight="1">
      <c r="A3707" s="114" t="s">
        <v>7531</v>
      </c>
      <c r="B3707" s="114" t="s">
        <v>7532</v>
      </c>
      <c r="C3707" s="113">
        <v>2020</v>
      </c>
      <c r="D3707" s="112">
        <v>1349</v>
      </c>
      <c r="E3707" s="112">
        <v>714.33850399999994</v>
      </c>
      <c r="F3707" s="112">
        <v>148.997544</v>
      </c>
      <c r="G3707" s="112">
        <v>487.43044500000002</v>
      </c>
      <c r="H3707" s="112">
        <v>102.078988</v>
      </c>
      <c r="I3707" s="112">
        <v>5.3255309999999998</v>
      </c>
      <c r="J3707" s="112">
        <v>5.856967</v>
      </c>
      <c r="K3707" s="112">
        <v>0.53143499999999999</v>
      </c>
      <c r="L3707" s="112">
        <v>643.33593499999995</v>
      </c>
      <c r="M3707" s="112">
        <v>722.38259100000005</v>
      </c>
      <c r="N3707" s="112">
        <v>-79.046655000000001</v>
      </c>
    </row>
    <row r="3708" spans="1:14" ht="31.75" customHeight="1">
      <c r="A3708" s="109" t="s">
        <v>7533</v>
      </c>
      <c r="B3708" s="109" t="s">
        <v>7534</v>
      </c>
      <c r="C3708" s="98">
        <v>2008</v>
      </c>
      <c r="D3708" s="99" t="s">
        <v>6953</v>
      </c>
      <c r="E3708" s="99" t="s">
        <v>6953</v>
      </c>
      <c r="F3708" s="99" t="s">
        <v>6953</v>
      </c>
      <c r="G3708" s="99" t="s">
        <v>6953</v>
      </c>
      <c r="H3708" s="99" t="s">
        <v>6953</v>
      </c>
      <c r="I3708" s="99" t="s">
        <v>6953</v>
      </c>
      <c r="J3708" s="99" t="s">
        <v>6953</v>
      </c>
      <c r="K3708" s="99" t="s">
        <v>6953</v>
      </c>
      <c r="L3708" s="99" t="s">
        <v>6953</v>
      </c>
      <c r="M3708" s="99" t="s">
        <v>6953</v>
      </c>
      <c r="N3708" s="99" t="s">
        <v>6953</v>
      </c>
    </row>
    <row r="3709" spans="1:14" ht="31.75" customHeight="1">
      <c r="A3709" s="109" t="s">
        <v>7533</v>
      </c>
      <c r="B3709" s="109" t="s">
        <v>7534</v>
      </c>
      <c r="C3709" s="98">
        <v>2009</v>
      </c>
      <c r="D3709" s="99" t="s">
        <v>6953</v>
      </c>
      <c r="E3709" s="99" t="s">
        <v>6953</v>
      </c>
      <c r="F3709" s="99" t="s">
        <v>6953</v>
      </c>
      <c r="G3709" s="99" t="s">
        <v>6953</v>
      </c>
      <c r="H3709" s="99" t="s">
        <v>6953</v>
      </c>
      <c r="I3709" s="99" t="s">
        <v>6953</v>
      </c>
      <c r="J3709" s="99" t="s">
        <v>6953</v>
      </c>
      <c r="K3709" s="99" t="s">
        <v>6953</v>
      </c>
      <c r="L3709" s="99" t="s">
        <v>6953</v>
      </c>
      <c r="M3709" s="99" t="s">
        <v>6953</v>
      </c>
      <c r="N3709" s="99" t="s">
        <v>6953</v>
      </c>
    </row>
    <row r="3710" spans="1:14" ht="31.75" customHeight="1">
      <c r="A3710" s="109" t="s">
        <v>7533</v>
      </c>
      <c r="B3710" s="109" t="s">
        <v>7534</v>
      </c>
      <c r="C3710" s="98">
        <v>2010</v>
      </c>
      <c r="D3710" s="99" t="s">
        <v>6953</v>
      </c>
      <c r="E3710" s="99" t="s">
        <v>6953</v>
      </c>
      <c r="F3710" s="99" t="s">
        <v>6953</v>
      </c>
      <c r="G3710" s="99" t="s">
        <v>6953</v>
      </c>
      <c r="H3710" s="99" t="s">
        <v>6953</v>
      </c>
      <c r="I3710" s="99" t="s">
        <v>6953</v>
      </c>
      <c r="J3710" s="99" t="s">
        <v>6953</v>
      </c>
      <c r="K3710" s="99" t="s">
        <v>6953</v>
      </c>
      <c r="L3710" s="99" t="s">
        <v>6953</v>
      </c>
      <c r="M3710" s="99" t="s">
        <v>6953</v>
      </c>
      <c r="N3710" s="99" t="s">
        <v>6953</v>
      </c>
    </row>
    <row r="3711" spans="1:14" ht="31.75" customHeight="1">
      <c r="A3711" s="109" t="s">
        <v>7533</v>
      </c>
      <c r="B3711" s="109" t="s">
        <v>7534</v>
      </c>
      <c r="C3711" s="98">
        <v>2011</v>
      </c>
      <c r="D3711" s="99" t="s">
        <v>6953</v>
      </c>
      <c r="E3711" s="99" t="s">
        <v>6953</v>
      </c>
      <c r="F3711" s="99" t="s">
        <v>6953</v>
      </c>
      <c r="G3711" s="99" t="s">
        <v>6953</v>
      </c>
      <c r="H3711" s="99" t="s">
        <v>6953</v>
      </c>
      <c r="I3711" s="99" t="s">
        <v>6953</v>
      </c>
      <c r="J3711" s="99" t="s">
        <v>6953</v>
      </c>
      <c r="K3711" s="99" t="s">
        <v>6953</v>
      </c>
      <c r="L3711" s="99" t="s">
        <v>6953</v>
      </c>
      <c r="M3711" s="99" t="s">
        <v>6953</v>
      </c>
      <c r="N3711" s="99" t="s">
        <v>6953</v>
      </c>
    </row>
    <row r="3712" spans="1:14" ht="31.75" customHeight="1">
      <c r="A3712" s="109" t="s">
        <v>7533</v>
      </c>
      <c r="B3712" s="109" t="s">
        <v>7534</v>
      </c>
      <c r="C3712" s="111">
        <v>2012</v>
      </c>
      <c r="D3712" s="99" t="s">
        <v>6953</v>
      </c>
      <c r="E3712" s="99" t="s">
        <v>6953</v>
      </c>
      <c r="F3712" s="99" t="s">
        <v>6953</v>
      </c>
      <c r="G3712" s="99" t="s">
        <v>6953</v>
      </c>
      <c r="H3712" s="99" t="s">
        <v>6953</v>
      </c>
      <c r="I3712" s="99" t="s">
        <v>6953</v>
      </c>
      <c r="J3712" s="99" t="s">
        <v>6953</v>
      </c>
      <c r="K3712" s="99" t="s">
        <v>6953</v>
      </c>
      <c r="L3712" s="99" t="s">
        <v>6953</v>
      </c>
      <c r="M3712" s="99" t="s">
        <v>6953</v>
      </c>
      <c r="N3712" s="99" t="s">
        <v>6953</v>
      </c>
    </row>
    <row r="3713" spans="1:14" ht="31.75" customHeight="1">
      <c r="A3713" s="109" t="s">
        <v>7533</v>
      </c>
      <c r="B3713" s="109" t="s">
        <v>7534</v>
      </c>
      <c r="C3713" s="113">
        <v>2013</v>
      </c>
      <c r="D3713" s="99" t="s">
        <v>6953</v>
      </c>
      <c r="E3713" s="99" t="s">
        <v>6953</v>
      </c>
      <c r="F3713" s="99" t="s">
        <v>6953</v>
      </c>
      <c r="G3713" s="99" t="s">
        <v>6953</v>
      </c>
      <c r="H3713" s="99" t="s">
        <v>6953</v>
      </c>
      <c r="I3713" s="99" t="s">
        <v>6953</v>
      </c>
      <c r="J3713" s="99" t="s">
        <v>6953</v>
      </c>
      <c r="K3713" s="99" t="s">
        <v>6953</v>
      </c>
      <c r="L3713" s="99" t="s">
        <v>6953</v>
      </c>
      <c r="M3713" s="99" t="s">
        <v>6953</v>
      </c>
      <c r="N3713" s="99" t="s">
        <v>6953</v>
      </c>
    </row>
    <row r="3714" spans="1:14" ht="31.75" customHeight="1">
      <c r="A3714" s="109" t="s">
        <v>7533</v>
      </c>
      <c r="B3714" s="109" t="s">
        <v>7534</v>
      </c>
      <c r="C3714" s="113">
        <v>2014</v>
      </c>
      <c r="D3714" s="99" t="s">
        <v>6953</v>
      </c>
      <c r="E3714" s="99" t="s">
        <v>6953</v>
      </c>
      <c r="F3714" s="99" t="s">
        <v>6953</v>
      </c>
      <c r="G3714" s="99" t="s">
        <v>6953</v>
      </c>
      <c r="H3714" s="99" t="s">
        <v>6953</v>
      </c>
      <c r="I3714" s="99" t="s">
        <v>6953</v>
      </c>
      <c r="J3714" s="99" t="s">
        <v>6953</v>
      </c>
      <c r="K3714" s="99" t="s">
        <v>6953</v>
      </c>
      <c r="L3714" s="99" t="s">
        <v>6953</v>
      </c>
      <c r="M3714" s="99" t="s">
        <v>6953</v>
      </c>
      <c r="N3714" s="99" t="s">
        <v>6953</v>
      </c>
    </row>
    <row r="3715" spans="1:14" ht="31.75" customHeight="1">
      <c r="A3715" s="109" t="s">
        <v>7533</v>
      </c>
      <c r="B3715" s="109" t="s">
        <v>7534</v>
      </c>
      <c r="C3715" s="113">
        <v>2015</v>
      </c>
      <c r="D3715" s="99" t="s">
        <v>6953</v>
      </c>
      <c r="E3715" s="99" t="s">
        <v>6953</v>
      </c>
      <c r="F3715" s="99" t="s">
        <v>6953</v>
      </c>
      <c r="G3715" s="99" t="s">
        <v>6953</v>
      </c>
      <c r="H3715" s="99" t="s">
        <v>6953</v>
      </c>
      <c r="I3715" s="99" t="s">
        <v>6953</v>
      </c>
      <c r="J3715" s="99" t="s">
        <v>6953</v>
      </c>
      <c r="K3715" s="99" t="s">
        <v>6953</v>
      </c>
      <c r="L3715" s="99" t="s">
        <v>6953</v>
      </c>
      <c r="M3715" s="99" t="s">
        <v>6953</v>
      </c>
      <c r="N3715" s="99" t="s">
        <v>6953</v>
      </c>
    </row>
    <row r="3716" spans="1:14" ht="31.75" customHeight="1">
      <c r="A3716" s="109" t="s">
        <v>7533</v>
      </c>
      <c r="B3716" s="109" t="s">
        <v>7534</v>
      </c>
      <c r="C3716" s="113">
        <v>2016</v>
      </c>
      <c r="D3716" s="99" t="s">
        <v>6953</v>
      </c>
      <c r="E3716" s="99" t="s">
        <v>6953</v>
      </c>
      <c r="F3716" s="99" t="s">
        <v>6953</v>
      </c>
      <c r="G3716" s="99" t="s">
        <v>6953</v>
      </c>
      <c r="H3716" s="99" t="s">
        <v>6953</v>
      </c>
      <c r="I3716" s="99" t="s">
        <v>6953</v>
      </c>
      <c r="J3716" s="99" t="s">
        <v>6953</v>
      </c>
      <c r="K3716" s="99" t="s">
        <v>6953</v>
      </c>
      <c r="L3716" s="99" t="s">
        <v>6953</v>
      </c>
      <c r="M3716" s="99" t="s">
        <v>6953</v>
      </c>
      <c r="N3716" s="99" t="s">
        <v>6953</v>
      </c>
    </row>
    <row r="3717" spans="1:14" ht="31.75" customHeight="1">
      <c r="A3717" s="109" t="s">
        <v>7533</v>
      </c>
      <c r="B3717" s="109" t="s">
        <v>7534</v>
      </c>
      <c r="C3717" s="113">
        <v>2017</v>
      </c>
      <c r="D3717" s="99" t="s">
        <v>6953</v>
      </c>
      <c r="E3717" s="99" t="s">
        <v>6953</v>
      </c>
      <c r="F3717" s="99" t="s">
        <v>6953</v>
      </c>
      <c r="G3717" s="99" t="s">
        <v>6953</v>
      </c>
      <c r="H3717" s="99" t="s">
        <v>6953</v>
      </c>
      <c r="I3717" s="99" t="s">
        <v>6953</v>
      </c>
      <c r="J3717" s="99" t="s">
        <v>6953</v>
      </c>
      <c r="K3717" s="99" t="s">
        <v>6953</v>
      </c>
      <c r="L3717" s="99" t="s">
        <v>6953</v>
      </c>
      <c r="M3717" s="99" t="s">
        <v>6953</v>
      </c>
      <c r="N3717" s="99" t="s">
        <v>6953</v>
      </c>
    </row>
    <row r="3718" spans="1:14" ht="31.75" customHeight="1">
      <c r="A3718" s="109" t="s">
        <v>7533</v>
      </c>
      <c r="B3718" s="109" t="s">
        <v>7534</v>
      </c>
      <c r="C3718" s="113">
        <v>2018</v>
      </c>
      <c r="D3718" s="99" t="s">
        <v>6953</v>
      </c>
      <c r="E3718" s="99" t="s">
        <v>6953</v>
      </c>
      <c r="F3718" s="99" t="s">
        <v>6953</v>
      </c>
      <c r="G3718" s="99" t="s">
        <v>6953</v>
      </c>
      <c r="H3718" s="99" t="s">
        <v>6953</v>
      </c>
      <c r="I3718" s="99" t="s">
        <v>6953</v>
      </c>
      <c r="J3718" s="99" t="s">
        <v>6953</v>
      </c>
      <c r="K3718" s="99" t="s">
        <v>6953</v>
      </c>
      <c r="L3718" s="99" t="s">
        <v>6953</v>
      </c>
      <c r="M3718" s="99" t="s">
        <v>6953</v>
      </c>
      <c r="N3718" s="99" t="s">
        <v>6953</v>
      </c>
    </row>
    <row r="3719" spans="1:14" ht="31.75" customHeight="1">
      <c r="A3719" s="109" t="s">
        <v>7533</v>
      </c>
      <c r="B3719" s="109" t="s">
        <v>7534</v>
      </c>
      <c r="C3719" s="113">
        <v>2019</v>
      </c>
      <c r="D3719" s="112" t="s">
        <v>6953</v>
      </c>
      <c r="E3719" s="112" t="s">
        <v>6953</v>
      </c>
      <c r="F3719" s="112" t="s">
        <v>6953</v>
      </c>
      <c r="G3719" s="112" t="s">
        <v>6953</v>
      </c>
      <c r="H3719" s="112" t="s">
        <v>6953</v>
      </c>
      <c r="I3719" s="112" t="s">
        <v>6953</v>
      </c>
      <c r="J3719" s="112" t="s">
        <v>6953</v>
      </c>
      <c r="K3719" s="112" t="s">
        <v>6953</v>
      </c>
      <c r="L3719" s="112" t="s">
        <v>6953</v>
      </c>
      <c r="M3719" s="112" t="s">
        <v>6953</v>
      </c>
      <c r="N3719" s="112" t="s">
        <v>6953</v>
      </c>
    </row>
    <row r="3720" spans="1:14" ht="31.75" customHeight="1">
      <c r="A3720" s="114" t="s">
        <v>7533</v>
      </c>
      <c r="B3720" s="114" t="s">
        <v>7534</v>
      </c>
      <c r="C3720" s="113">
        <v>2020</v>
      </c>
      <c r="D3720" s="112" t="s">
        <v>6953</v>
      </c>
      <c r="E3720" s="112" t="s">
        <v>6953</v>
      </c>
      <c r="F3720" s="112" t="s">
        <v>6953</v>
      </c>
      <c r="G3720" s="112" t="s">
        <v>6953</v>
      </c>
      <c r="H3720" s="112" t="s">
        <v>6953</v>
      </c>
      <c r="I3720" s="112" t="s">
        <v>6953</v>
      </c>
      <c r="J3720" s="112" t="s">
        <v>6953</v>
      </c>
      <c r="K3720" s="112" t="s">
        <v>6953</v>
      </c>
      <c r="L3720" s="112" t="s">
        <v>6953</v>
      </c>
      <c r="M3720" s="112" t="s">
        <v>6953</v>
      </c>
      <c r="N3720" s="112" t="s">
        <v>6953</v>
      </c>
    </row>
    <row r="3721" spans="1:14" ht="17.5" customHeight="1">
      <c r="A3721" s="109" t="s">
        <v>7535</v>
      </c>
      <c r="B3721" s="109" t="s">
        <v>7536</v>
      </c>
      <c r="C3721" s="98">
        <v>2008</v>
      </c>
      <c r="D3721" s="99">
        <v>276</v>
      </c>
      <c r="E3721" s="99">
        <v>74</v>
      </c>
      <c r="F3721" s="99">
        <v>35</v>
      </c>
      <c r="G3721" s="99">
        <v>38</v>
      </c>
      <c r="H3721" s="99">
        <v>24</v>
      </c>
      <c r="I3721" s="99" t="s">
        <v>6952</v>
      </c>
      <c r="J3721" s="99" t="s">
        <v>6952</v>
      </c>
      <c r="K3721" s="99" t="s">
        <v>6952</v>
      </c>
      <c r="L3721" s="99">
        <v>14</v>
      </c>
      <c r="M3721" s="99">
        <v>14</v>
      </c>
      <c r="N3721" s="99">
        <v>-1</v>
      </c>
    </row>
    <row r="3722" spans="1:14" ht="17.5" customHeight="1">
      <c r="A3722" s="109" t="s">
        <v>7535</v>
      </c>
      <c r="B3722" s="109" t="s">
        <v>7536</v>
      </c>
      <c r="C3722" s="98">
        <v>2009</v>
      </c>
      <c r="D3722" s="99">
        <v>279</v>
      </c>
      <c r="E3722" s="99">
        <v>61</v>
      </c>
      <c r="F3722" s="99">
        <v>24</v>
      </c>
      <c r="G3722" s="99">
        <v>40</v>
      </c>
      <c r="H3722" s="99">
        <v>16</v>
      </c>
      <c r="I3722" s="99" t="s">
        <v>6952</v>
      </c>
      <c r="J3722" s="99" t="s">
        <v>6952</v>
      </c>
      <c r="K3722" s="99" t="s">
        <v>6952</v>
      </c>
      <c r="L3722" s="99">
        <v>16</v>
      </c>
      <c r="M3722" s="99">
        <v>13</v>
      </c>
      <c r="N3722" s="99">
        <v>4</v>
      </c>
    </row>
    <row r="3723" spans="1:14" ht="17.5" customHeight="1">
      <c r="A3723" s="109" t="s">
        <v>7535</v>
      </c>
      <c r="B3723" s="109" t="s">
        <v>7536</v>
      </c>
      <c r="C3723" s="98">
        <v>2010</v>
      </c>
      <c r="D3723" s="99">
        <v>275</v>
      </c>
      <c r="E3723" s="99">
        <v>71</v>
      </c>
      <c r="F3723" s="99">
        <v>42</v>
      </c>
      <c r="G3723" s="99">
        <v>30</v>
      </c>
      <c r="H3723" s="99">
        <v>30</v>
      </c>
      <c r="I3723" s="99" t="s">
        <v>6952</v>
      </c>
      <c r="J3723" s="99" t="s">
        <v>6952</v>
      </c>
      <c r="K3723" s="99" t="s">
        <v>6952</v>
      </c>
      <c r="L3723" s="99">
        <v>7</v>
      </c>
      <c r="M3723" s="99">
        <v>7</v>
      </c>
      <c r="N3723" s="99" t="s">
        <v>6952</v>
      </c>
    </row>
    <row r="3724" spans="1:14" ht="17.5" customHeight="1">
      <c r="A3724" s="109" t="s">
        <v>7535</v>
      </c>
      <c r="B3724" s="109" t="s">
        <v>7536</v>
      </c>
      <c r="C3724" s="98">
        <v>2011</v>
      </c>
      <c r="D3724" s="99">
        <v>268</v>
      </c>
      <c r="E3724" s="99">
        <v>73</v>
      </c>
      <c r="F3724" s="99">
        <v>27</v>
      </c>
      <c r="G3724" s="99">
        <v>42</v>
      </c>
      <c r="H3724" s="99">
        <v>27</v>
      </c>
      <c r="I3724" s="99">
        <v>1</v>
      </c>
      <c r="J3724" s="99">
        <v>1</v>
      </c>
      <c r="K3724" s="99" t="s">
        <v>6952</v>
      </c>
      <c r="L3724" s="99">
        <v>19</v>
      </c>
      <c r="M3724" s="99">
        <v>22</v>
      </c>
      <c r="N3724" s="99">
        <v>-3</v>
      </c>
    </row>
    <row r="3725" spans="1:14" ht="17.5" customHeight="1">
      <c r="A3725" s="109" t="s">
        <v>7535</v>
      </c>
      <c r="B3725" s="109" t="s">
        <v>7536</v>
      </c>
      <c r="C3725" s="111">
        <v>2012</v>
      </c>
      <c r="D3725" s="112">
        <v>261</v>
      </c>
      <c r="E3725" s="112">
        <v>63</v>
      </c>
      <c r="F3725" s="112">
        <v>33</v>
      </c>
      <c r="G3725" s="112">
        <v>27</v>
      </c>
      <c r="H3725" s="112">
        <v>15</v>
      </c>
      <c r="I3725" s="99" t="s">
        <v>6952</v>
      </c>
      <c r="J3725" s="99" t="s">
        <v>6952</v>
      </c>
      <c r="K3725" s="99" t="s">
        <v>6952</v>
      </c>
      <c r="L3725" s="112">
        <v>9</v>
      </c>
      <c r="M3725" s="112">
        <v>11</v>
      </c>
      <c r="N3725" s="112">
        <v>-3</v>
      </c>
    </row>
    <row r="3726" spans="1:14" ht="17.5" customHeight="1">
      <c r="A3726" s="109" t="s">
        <v>7535</v>
      </c>
      <c r="B3726" s="109" t="s">
        <v>7536</v>
      </c>
      <c r="C3726" s="113">
        <v>2013</v>
      </c>
      <c r="D3726" s="112">
        <v>274</v>
      </c>
      <c r="E3726" s="112">
        <v>41</v>
      </c>
      <c r="F3726" s="112">
        <v>24</v>
      </c>
      <c r="G3726" s="112">
        <v>19</v>
      </c>
      <c r="H3726" s="112">
        <v>12</v>
      </c>
      <c r="I3726" s="99" t="s">
        <v>6952</v>
      </c>
      <c r="J3726" s="112">
        <v>1</v>
      </c>
      <c r="K3726" s="99" t="s">
        <v>6952</v>
      </c>
      <c r="L3726" s="112">
        <v>12</v>
      </c>
      <c r="M3726" s="112">
        <v>10</v>
      </c>
      <c r="N3726" s="112">
        <v>2</v>
      </c>
    </row>
    <row r="3727" spans="1:14" ht="17.5" customHeight="1">
      <c r="A3727" s="109" t="s">
        <v>7535</v>
      </c>
      <c r="B3727" s="109" t="s">
        <v>7536</v>
      </c>
      <c r="C3727" s="113">
        <v>2014</v>
      </c>
      <c r="D3727" s="99">
        <v>289</v>
      </c>
      <c r="E3727" s="99">
        <v>77</v>
      </c>
      <c r="F3727" s="99">
        <v>39</v>
      </c>
      <c r="G3727" s="99">
        <v>39</v>
      </c>
      <c r="H3727" s="99">
        <v>18</v>
      </c>
      <c r="I3727" s="99">
        <v>2</v>
      </c>
      <c r="J3727" s="99">
        <v>3</v>
      </c>
      <c r="K3727" s="99" t="s">
        <v>6952</v>
      </c>
      <c r="L3727" s="99">
        <v>13</v>
      </c>
      <c r="M3727" s="99">
        <v>12</v>
      </c>
      <c r="N3727" s="99">
        <v>1</v>
      </c>
    </row>
    <row r="3728" spans="1:14" ht="17.5" customHeight="1">
      <c r="A3728" s="109" t="s">
        <v>7535</v>
      </c>
      <c r="B3728" s="109" t="s">
        <v>7536</v>
      </c>
      <c r="C3728" s="113">
        <v>2015</v>
      </c>
      <c r="D3728" s="112">
        <v>293</v>
      </c>
      <c r="E3728" s="112">
        <v>68</v>
      </c>
      <c r="F3728" s="112">
        <v>32</v>
      </c>
      <c r="G3728" s="112">
        <v>39</v>
      </c>
      <c r="H3728" s="112">
        <v>21</v>
      </c>
      <c r="I3728" s="112">
        <v>2</v>
      </c>
      <c r="J3728" s="112">
        <v>2</v>
      </c>
      <c r="K3728" s="99" t="s">
        <v>6952</v>
      </c>
      <c r="L3728" s="112">
        <v>14</v>
      </c>
      <c r="M3728" s="112">
        <v>13</v>
      </c>
      <c r="N3728" s="112">
        <v>1</v>
      </c>
    </row>
    <row r="3729" spans="1:14" ht="17.5" customHeight="1">
      <c r="A3729" s="109" t="s">
        <v>7535</v>
      </c>
      <c r="B3729" s="109" t="s">
        <v>7536</v>
      </c>
      <c r="C3729" s="113">
        <v>2016</v>
      </c>
      <c r="D3729" s="112">
        <v>268</v>
      </c>
      <c r="E3729" s="112">
        <v>69</v>
      </c>
      <c r="F3729" s="112">
        <v>29</v>
      </c>
      <c r="G3729" s="112">
        <v>48</v>
      </c>
      <c r="H3729" s="112">
        <v>22</v>
      </c>
      <c r="I3729" s="112">
        <v>1</v>
      </c>
      <c r="J3729" s="112">
        <v>2</v>
      </c>
      <c r="K3729" s="112">
        <v>1</v>
      </c>
      <c r="L3729" s="112">
        <v>21</v>
      </c>
      <c r="M3729" s="112">
        <v>12</v>
      </c>
      <c r="N3729" s="112">
        <v>8</v>
      </c>
    </row>
    <row r="3730" spans="1:14" ht="17.5" customHeight="1">
      <c r="A3730" s="109" t="s">
        <v>7535</v>
      </c>
      <c r="B3730" s="109" t="s">
        <v>7536</v>
      </c>
      <c r="C3730" s="113">
        <v>2017</v>
      </c>
      <c r="D3730" s="112">
        <v>272</v>
      </c>
      <c r="E3730" s="112">
        <v>74</v>
      </c>
      <c r="F3730" s="112">
        <v>39</v>
      </c>
      <c r="G3730" s="112">
        <v>38</v>
      </c>
      <c r="H3730" s="112">
        <v>18</v>
      </c>
      <c r="I3730" s="112">
        <v>2</v>
      </c>
      <c r="J3730" s="112">
        <v>2</v>
      </c>
      <c r="K3730" s="112">
        <v>1</v>
      </c>
      <c r="L3730" s="112">
        <v>20</v>
      </c>
      <c r="M3730" s="112">
        <v>18</v>
      </c>
      <c r="N3730" s="112">
        <v>2</v>
      </c>
    </row>
    <row r="3731" spans="1:14" ht="17.5" customHeight="1">
      <c r="A3731" s="109" t="s">
        <v>7535</v>
      </c>
      <c r="B3731" s="109" t="s">
        <v>7536</v>
      </c>
      <c r="C3731" s="113">
        <v>2018</v>
      </c>
      <c r="D3731" s="112">
        <v>274</v>
      </c>
      <c r="E3731" s="112">
        <v>79</v>
      </c>
      <c r="F3731" s="112">
        <v>50</v>
      </c>
      <c r="G3731" s="112">
        <v>32</v>
      </c>
      <c r="H3731" s="112">
        <v>19</v>
      </c>
      <c r="I3731" s="112">
        <v>1</v>
      </c>
      <c r="J3731" s="112">
        <v>1</v>
      </c>
      <c r="K3731" s="112" t="s">
        <v>6952</v>
      </c>
      <c r="L3731" s="112">
        <v>10</v>
      </c>
      <c r="M3731" s="112">
        <v>9</v>
      </c>
      <c r="N3731" s="112">
        <v>1</v>
      </c>
    </row>
    <row r="3732" spans="1:14" ht="17.5" customHeight="1">
      <c r="A3732" s="109" t="s">
        <v>7535</v>
      </c>
      <c r="B3732" s="109" t="s">
        <v>7536</v>
      </c>
      <c r="C3732" s="113">
        <v>2019</v>
      </c>
      <c r="D3732" s="112">
        <v>260</v>
      </c>
      <c r="E3732" s="112">
        <v>68.016378000000003</v>
      </c>
      <c r="F3732" s="112">
        <v>44.768037999999997</v>
      </c>
      <c r="G3732" s="112">
        <v>26.831112999999998</v>
      </c>
      <c r="H3732" s="112">
        <v>16.334232</v>
      </c>
      <c r="I3732" s="112">
        <v>1.8343149999999999</v>
      </c>
      <c r="J3732" s="112">
        <v>2.4695299999999998</v>
      </c>
      <c r="K3732" s="112">
        <v>0.63521499999999997</v>
      </c>
      <c r="L3732" s="112">
        <v>15.396285000000001</v>
      </c>
      <c r="M3732" s="112">
        <v>11.300144</v>
      </c>
      <c r="N3732" s="112">
        <v>4.0961410000000003</v>
      </c>
    </row>
    <row r="3733" spans="1:14" ht="17.5" customHeight="1">
      <c r="A3733" s="114" t="s">
        <v>7535</v>
      </c>
      <c r="B3733" s="114" t="s">
        <v>7536</v>
      </c>
      <c r="C3733" s="113">
        <v>2020</v>
      </c>
      <c r="D3733" s="112">
        <v>267</v>
      </c>
      <c r="E3733" s="112">
        <v>55.654812</v>
      </c>
      <c r="F3733" s="112">
        <v>22.894349999999999</v>
      </c>
      <c r="G3733" s="112">
        <v>26.047847999999998</v>
      </c>
      <c r="H3733" s="112">
        <v>20.851832999999999</v>
      </c>
      <c r="I3733" s="112">
        <v>5.5713809999999997</v>
      </c>
      <c r="J3733" s="112">
        <v>5.8416370000000004</v>
      </c>
      <c r="K3733" s="112" t="s">
        <v>6952</v>
      </c>
      <c r="L3733" s="112">
        <v>12.120089999999999</v>
      </c>
      <c r="M3733" s="112">
        <v>19.067463</v>
      </c>
      <c r="N3733" s="112">
        <v>-6.9473729999999998</v>
      </c>
    </row>
    <row r="3734" spans="1:14" ht="17.5" customHeight="1">
      <c r="A3734" s="109" t="s">
        <v>7537</v>
      </c>
      <c r="B3734" s="109" t="s">
        <v>7538</v>
      </c>
      <c r="C3734" s="98">
        <v>2008</v>
      </c>
      <c r="D3734" s="99">
        <v>708</v>
      </c>
      <c r="E3734" s="99">
        <v>584</v>
      </c>
      <c r="F3734" s="99">
        <v>256</v>
      </c>
      <c r="G3734" s="99">
        <v>354</v>
      </c>
      <c r="H3734" s="99">
        <v>111</v>
      </c>
      <c r="I3734" s="99">
        <v>8</v>
      </c>
      <c r="J3734" s="99">
        <v>9</v>
      </c>
      <c r="K3734" s="99">
        <v>1</v>
      </c>
      <c r="L3734" s="99">
        <v>111</v>
      </c>
      <c r="M3734" s="99">
        <v>86</v>
      </c>
      <c r="N3734" s="99">
        <v>24</v>
      </c>
    </row>
    <row r="3735" spans="1:14" ht="17.5" customHeight="1">
      <c r="A3735" s="109" t="s">
        <v>7537</v>
      </c>
      <c r="B3735" s="109" t="s">
        <v>7538</v>
      </c>
      <c r="C3735" s="98">
        <v>2009</v>
      </c>
      <c r="D3735" s="99">
        <v>568</v>
      </c>
      <c r="E3735" s="99">
        <v>572</v>
      </c>
      <c r="F3735" s="99">
        <v>113</v>
      </c>
      <c r="G3735" s="99">
        <v>444</v>
      </c>
      <c r="H3735" s="99">
        <v>126</v>
      </c>
      <c r="I3735" s="99">
        <v>4</v>
      </c>
      <c r="J3735" s="99">
        <v>6</v>
      </c>
      <c r="K3735" s="99">
        <v>3</v>
      </c>
      <c r="L3735" s="99">
        <v>90</v>
      </c>
      <c r="M3735" s="99">
        <v>105</v>
      </c>
      <c r="N3735" s="99">
        <v>-15</v>
      </c>
    </row>
    <row r="3736" spans="1:14" ht="17.5" customHeight="1">
      <c r="A3736" s="109" t="s">
        <v>7537</v>
      </c>
      <c r="B3736" s="109" t="s">
        <v>7538</v>
      </c>
      <c r="C3736" s="98">
        <v>2010</v>
      </c>
      <c r="D3736" s="99">
        <v>570</v>
      </c>
      <c r="E3736" s="99">
        <v>568</v>
      </c>
      <c r="F3736" s="99">
        <v>191</v>
      </c>
      <c r="G3736" s="99">
        <v>373</v>
      </c>
      <c r="H3736" s="99">
        <v>113</v>
      </c>
      <c r="I3736" s="99">
        <v>15</v>
      </c>
      <c r="J3736" s="99">
        <v>17</v>
      </c>
      <c r="K3736" s="99">
        <v>2</v>
      </c>
      <c r="L3736" s="99">
        <v>75</v>
      </c>
      <c r="M3736" s="99">
        <v>78</v>
      </c>
      <c r="N3736" s="99">
        <v>-3</v>
      </c>
    </row>
    <row r="3737" spans="1:14" ht="17.5" customHeight="1">
      <c r="A3737" s="109" t="s">
        <v>7537</v>
      </c>
      <c r="B3737" s="109" t="s">
        <v>7538</v>
      </c>
      <c r="C3737" s="98">
        <v>2011</v>
      </c>
      <c r="D3737" s="99">
        <v>546</v>
      </c>
      <c r="E3737" s="99">
        <v>585</v>
      </c>
      <c r="F3737" s="99">
        <v>186</v>
      </c>
      <c r="G3737" s="99">
        <v>401</v>
      </c>
      <c r="H3737" s="99">
        <v>106</v>
      </c>
      <c r="I3737" s="99">
        <v>4</v>
      </c>
      <c r="J3737" s="99">
        <v>4</v>
      </c>
      <c r="K3737" s="99">
        <v>1</v>
      </c>
      <c r="L3737" s="99">
        <v>83</v>
      </c>
      <c r="M3737" s="99">
        <v>82</v>
      </c>
      <c r="N3737" s="99">
        <v>2</v>
      </c>
    </row>
    <row r="3738" spans="1:14" ht="17.5" customHeight="1">
      <c r="A3738" s="109" t="s">
        <v>7537</v>
      </c>
      <c r="B3738" s="109" t="s">
        <v>7538</v>
      </c>
      <c r="C3738" s="111">
        <v>2012</v>
      </c>
      <c r="D3738" s="112">
        <v>568</v>
      </c>
      <c r="E3738" s="112">
        <v>548</v>
      </c>
      <c r="F3738" s="112">
        <v>193</v>
      </c>
      <c r="G3738" s="112">
        <v>367</v>
      </c>
      <c r="H3738" s="112">
        <v>105</v>
      </c>
      <c r="I3738" s="112">
        <v>14</v>
      </c>
      <c r="J3738" s="112">
        <v>15</v>
      </c>
      <c r="K3738" s="112">
        <v>1</v>
      </c>
      <c r="L3738" s="112">
        <v>77</v>
      </c>
      <c r="M3738" s="112">
        <v>63</v>
      </c>
      <c r="N3738" s="112">
        <v>13</v>
      </c>
    </row>
    <row r="3739" spans="1:14" ht="17.5" customHeight="1">
      <c r="A3739" s="109" t="s">
        <v>7537</v>
      </c>
      <c r="B3739" s="109" t="s">
        <v>7538</v>
      </c>
      <c r="C3739" s="113">
        <v>2013</v>
      </c>
      <c r="D3739" s="112">
        <v>615</v>
      </c>
      <c r="E3739" s="112">
        <v>515</v>
      </c>
      <c r="F3739" s="112">
        <v>188</v>
      </c>
      <c r="G3739" s="112">
        <v>337</v>
      </c>
      <c r="H3739" s="112">
        <v>99</v>
      </c>
      <c r="I3739" s="112">
        <v>6</v>
      </c>
      <c r="J3739" s="112">
        <v>6</v>
      </c>
      <c r="K3739" s="112">
        <v>1</v>
      </c>
      <c r="L3739" s="112">
        <v>81</v>
      </c>
      <c r="M3739" s="112">
        <v>71</v>
      </c>
      <c r="N3739" s="112">
        <v>10</v>
      </c>
    </row>
    <row r="3740" spans="1:14" ht="17.5" customHeight="1">
      <c r="A3740" s="109" t="s">
        <v>7537</v>
      </c>
      <c r="B3740" s="109" t="s">
        <v>7538</v>
      </c>
      <c r="C3740" s="113">
        <v>2014</v>
      </c>
      <c r="D3740" s="99">
        <v>671</v>
      </c>
      <c r="E3740" s="99">
        <v>578</v>
      </c>
      <c r="F3740" s="99">
        <v>174</v>
      </c>
      <c r="G3740" s="99">
        <v>401</v>
      </c>
      <c r="H3740" s="99">
        <v>97</v>
      </c>
      <c r="I3740" s="99">
        <v>32</v>
      </c>
      <c r="J3740" s="99">
        <v>32</v>
      </c>
      <c r="K3740" s="99">
        <v>1</v>
      </c>
      <c r="L3740" s="99">
        <v>105</v>
      </c>
      <c r="M3740" s="99">
        <v>108</v>
      </c>
      <c r="N3740" s="99">
        <v>-3</v>
      </c>
    </row>
    <row r="3741" spans="1:14" ht="17.5" customHeight="1">
      <c r="A3741" s="109" t="s">
        <v>7537</v>
      </c>
      <c r="B3741" s="109" t="s">
        <v>7538</v>
      </c>
      <c r="C3741" s="113">
        <v>2015</v>
      </c>
      <c r="D3741" s="112">
        <v>736</v>
      </c>
      <c r="E3741" s="112">
        <v>638</v>
      </c>
      <c r="F3741" s="112">
        <v>229</v>
      </c>
      <c r="G3741" s="112">
        <v>420</v>
      </c>
      <c r="H3741" s="112">
        <v>95</v>
      </c>
      <c r="I3741" s="112">
        <v>11</v>
      </c>
      <c r="J3741" s="112">
        <v>14</v>
      </c>
      <c r="K3741" s="112">
        <v>3</v>
      </c>
      <c r="L3741" s="112">
        <v>93</v>
      </c>
      <c r="M3741" s="112">
        <v>82</v>
      </c>
      <c r="N3741" s="112">
        <v>11</v>
      </c>
    </row>
    <row r="3742" spans="1:14" ht="17.5" customHeight="1">
      <c r="A3742" s="109" t="s">
        <v>7537</v>
      </c>
      <c r="B3742" s="109" t="s">
        <v>7538</v>
      </c>
      <c r="C3742" s="113">
        <v>2016</v>
      </c>
      <c r="D3742" s="112">
        <v>772</v>
      </c>
      <c r="E3742" s="112">
        <v>679</v>
      </c>
      <c r="F3742" s="112">
        <v>214</v>
      </c>
      <c r="G3742" s="112">
        <v>473</v>
      </c>
      <c r="H3742" s="112">
        <v>123</v>
      </c>
      <c r="I3742" s="112">
        <v>39</v>
      </c>
      <c r="J3742" s="112">
        <v>40</v>
      </c>
      <c r="K3742" s="112">
        <v>1</v>
      </c>
      <c r="L3742" s="112">
        <v>130</v>
      </c>
      <c r="M3742" s="112">
        <v>121</v>
      </c>
      <c r="N3742" s="112">
        <v>9</v>
      </c>
    </row>
    <row r="3743" spans="1:14" ht="17.5" customHeight="1">
      <c r="A3743" s="109" t="s">
        <v>7537</v>
      </c>
      <c r="B3743" s="109" t="s">
        <v>7538</v>
      </c>
      <c r="C3743" s="113">
        <v>2017</v>
      </c>
      <c r="D3743" s="112">
        <v>803</v>
      </c>
      <c r="E3743" s="112">
        <v>638</v>
      </c>
      <c r="F3743" s="112">
        <v>244</v>
      </c>
      <c r="G3743" s="112">
        <v>402</v>
      </c>
      <c r="H3743" s="112">
        <v>102</v>
      </c>
      <c r="I3743" s="112">
        <v>14</v>
      </c>
      <c r="J3743" s="112">
        <v>14</v>
      </c>
      <c r="K3743" s="112">
        <v>1</v>
      </c>
      <c r="L3743" s="112">
        <v>117</v>
      </c>
      <c r="M3743" s="112">
        <v>108</v>
      </c>
      <c r="N3743" s="112">
        <v>8</v>
      </c>
    </row>
    <row r="3744" spans="1:14" ht="17.5" customHeight="1">
      <c r="A3744" s="109" t="s">
        <v>7537</v>
      </c>
      <c r="B3744" s="109" t="s">
        <v>7538</v>
      </c>
      <c r="C3744" s="113">
        <v>2018</v>
      </c>
      <c r="D3744" s="112">
        <v>820</v>
      </c>
      <c r="E3744" s="112">
        <v>785</v>
      </c>
      <c r="F3744" s="112">
        <v>274</v>
      </c>
      <c r="G3744" s="112">
        <v>512</v>
      </c>
      <c r="H3744" s="112">
        <v>147</v>
      </c>
      <c r="I3744" s="112">
        <v>12</v>
      </c>
      <c r="J3744" s="112">
        <v>14</v>
      </c>
      <c r="K3744" s="112">
        <v>2</v>
      </c>
      <c r="L3744" s="112">
        <v>132</v>
      </c>
      <c r="M3744" s="112">
        <v>131</v>
      </c>
      <c r="N3744" s="112" t="s">
        <v>6952</v>
      </c>
    </row>
    <row r="3745" spans="1:14" ht="17.5" customHeight="1">
      <c r="A3745" s="109" t="s">
        <v>7537</v>
      </c>
      <c r="B3745" s="109" t="s">
        <v>7538</v>
      </c>
      <c r="C3745" s="113">
        <v>2019</v>
      </c>
      <c r="D3745" s="112">
        <v>791</v>
      </c>
      <c r="E3745" s="112">
        <v>839.95820800000001</v>
      </c>
      <c r="F3745" s="112">
        <v>274.77460600000001</v>
      </c>
      <c r="G3745" s="112">
        <v>616.47825899999998</v>
      </c>
      <c r="H3745" s="112">
        <v>132.247186</v>
      </c>
      <c r="I3745" s="112">
        <v>26.693729999999999</v>
      </c>
      <c r="J3745" s="112">
        <v>27.288695000000001</v>
      </c>
      <c r="K3745" s="112">
        <v>0.59496499999999997</v>
      </c>
      <c r="L3745" s="112">
        <v>203.16351700000001</v>
      </c>
      <c r="M3745" s="112">
        <v>151.91565700000001</v>
      </c>
      <c r="N3745" s="112">
        <v>51.247860000000003</v>
      </c>
    </row>
    <row r="3746" spans="1:14" ht="17.5" customHeight="1">
      <c r="A3746" s="114" t="s">
        <v>7537</v>
      </c>
      <c r="B3746" s="114" t="s">
        <v>7538</v>
      </c>
      <c r="C3746" s="113">
        <v>2020</v>
      </c>
      <c r="D3746" s="112">
        <v>849</v>
      </c>
      <c r="E3746" s="112">
        <v>800.81261800000004</v>
      </c>
      <c r="F3746" s="112">
        <v>262.65106800000001</v>
      </c>
      <c r="G3746" s="112">
        <v>531.51535200000001</v>
      </c>
      <c r="H3746" s="112">
        <v>126.428752</v>
      </c>
      <c r="I3746" s="112">
        <v>14.212729</v>
      </c>
      <c r="J3746" s="112">
        <v>18.366627000000001</v>
      </c>
      <c r="K3746" s="112">
        <v>4.1538979999999999</v>
      </c>
      <c r="L3746" s="112">
        <v>117.376491</v>
      </c>
      <c r="M3746" s="112">
        <v>123.245976</v>
      </c>
      <c r="N3746" s="112">
        <v>-5.8694850000000001</v>
      </c>
    </row>
    <row r="3747" spans="1:14" ht="17.5" customHeight="1">
      <c r="A3747" s="109" t="s">
        <v>7539</v>
      </c>
      <c r="B3747" s="109" t="s">
        <v>7540</v>
      </c>
      <c r="C3747" s="98">
        <v>2008</v>
      </c>
      <c r="D3747" s="99">
        <v>591</v>
      </c>
      <c r="E3747" s="99">
        <v>576</v>
      </c>
      <c r="F3747" s="99">
        <v>313</v>
      </c>
      <c r="G3747" s="99">
        <v>263</v>
      </c>
      <c r="H3747" s="99">
        <v>116</v>
      </c>
      <c r="I3747" s="99">
        <v>14</v>
      </c>
      <c r="J3747" s="99">
        <v>16</v>
      </c>
      <c r="K3747" s="99">
        <v>2</v>
      </c>
      <c r="L3747" s="99">
        <v>64</v>
      </c>
      <c r="M3747" s="99">
        <v>64</v>
      </c>
      <c r="N3747" s="99" t="s">
        <v>6952</v>
      </c>
    </row>
    <row r="3748" spans="1:14" ht="17.5" customHeight="1">
      <c r="A3748" s="109" t="s">
        <v>7539</v>
      </c>
      <c r="B3748" s="109" t="s">
        <v>7540</v>
      </c>
      <c r="C3748" s="98">
        <v>2009</v>
      </c>
      <c r="D3748" s="99">
        <v>567</v>
      </c>
      <c r="E3748" s="99">
        <v>551</v>
      </c>
      <c r="F3748" s="99">
        <v>233</v>
      </c>
      <c r="G3748" s="99">
        <v>318</v>
      </c>
      <c r="H3748" s="99">
        <v>123</v>
      </c>
      <c r="I3748" s="99">
        <v>11</v>
      </c>
      <c r="J3748" s="99">
        <v>11</v>
      </c>
      <c r="K3748" s="99" t="s">
        <v>6952</v>
      </c>
      <c r="L3748" s="99">
        <v>83</v>
      </c>
      <c r="M3748" s="99">
        <v>84</v>
      </c>
      <c r="N3748" s="99">
        <v>-1</v>
      </c>
    </row>
    <row r="3749" spans="1:14" ht="17.5" customHeight="1">
      <c r="A3749" s="109" t="s">
        <v>7539</v>
      </c>
      <c r="B3749" s="109" t="s">
        <v>7540</v>
      </c>
      <c r="C3749" s="98">
        <v>2010</v>
      </c>
      <c r="D3749" s="99">
        <v>533</v>
      </c>
      <c r="E3749" s="99">
        <v>506</v>
      </c>
      <c r="F3749" s="99">
        <v>243</v>
      </c>
      <c r="G3749" s="99">
        <v>256</v>
      </c>
      <c r="H3749" s="99">
        <v>110</v>
      </c>
      <c r="I3749" s="99">
        <v>7</v>
      </c>
      <c r="J3749" s="99">
        <v>10</v>
      </c>
      <c r="K3749" s="99">
        <v>3</v>
      </c>
      <c r="L3749" s="99">
        <v>49</v>
      </c>
      <c r="M3749" s="99">
        <v>56</v>
      </c>
      <c r="N3749" s="99">
        <v>-7</v>
      </c>
    </row>
    <row r="3750" spans="1:14" ht="17.5" customHeight="1">
      <c r="A3750" s="109" t="s">
        <v>7539</v>
      </c>
      <c r="B3750" s="109" t="s">
        <v>7540</v>
      </c>
      <c r="C3750" s="98">
        <v>2011</v>
      </c>
      <c r="D3750" s="99">
        <v>500</v>
      </c>
      <c r="E3750" s="99">
        <v>493</v>
      </c>
      <c r="F3750" s="99">
        <v>217</v>
      </c>
      <c r="G3750" s="99">
        <v>287</v>
      </c>
      <c r="H3750" s="99">
        <v>128</v>
      </c>
      <c r="I3750" s="99">
        <v>10</v>
      </c>
      <c r="J3750" s="99">
        <v>17</v>
      </c>
      <c r="K3750" s="99">
        <v>7</v>
      </c>
      <c r="L3750" s="99">
        <v>64</v>
      </c>
      <c r="M3750" s="99">
        <v>53</v>
      </c>
      <c r="N3750" s="99">
        <v>11</v>
      </c>
    </row>
    <row r="3751" spans="1:14" ht="17.5" customHeight="1">
      <c r="A3751" s="109" t="s">
        <v>7539</v>
      </c>
      <c r="B3751" s="109" t="s">
        <v>7540</v>
      </c>
      <c r="C3751" s="111">
        <v>2012</v>
      </c>
      <c r="D3751" s="112">
        <v>483</v>
      </c>
      <c r="E3751" s="112">
        <v>438</v>
      </c>
      <c r="F3751" s="112">
        <v>226</v>
      </c>
      <c r="G3751" s="112">
        <v>202</v>
      </c>
      <c r="H3751" s="112">
        <v>93</v>
      </c>
      <c r="I3751" s="112">
        <v>11</v>
      </c>
      <c r="J3751" s="112">
        <v>13</v>
      </c>
      <c r="K3751" s="112">
        <v>2</v>
      </c>
      <c r="L3751" s="112">
        <v>53</v>
      </c>
      <c r="M3751" s="112">
        <v>63</v>
      </c>
      <c r="N3751" s="112">
        <v>-10</v>
      </c>
    </row>
    <row r="3752" spans="1:14" ht="17.5" customHeight="1">
      <c r="A3752" s="109" t="s">
        <v>7539</v>
      </c>
      <c r="B3752" s="109" t="s">
        <v>7540</v>
      </c>
      <c r="C3752" s="113">
        <v>2013</v>
      </c>
      <c r="D3752" s="112">
        <v>504</v>
      </c>
      <c r="E3752" s="112">
        <v>527</v>
      </c>
      <c r="F3752" s="112">
        <v>238</v>
      </c>
      <c r="G3752" s="112">
        <v>284</v>
      </c>
      <c r="H3752" s="112">
        <v>102</v>
      </c>
      <c r="I3752" s="112">
        <v>7</v>
      </c>
      <c r="J3752" s="112">
        <v>8</v>
      </c>
      <c r="K3752" s="112">
        <v>1</v>
      </c>
      <c r="L3752" s="112">
        <v>94</v>
      </c>
      <c r="M3752" s="112">
        <v>98</v>
      </c>
      <c r="N3752" s="112">
        <v>-5</v>
      </c>
    </row>
    <row r="3753" spans="1:14" ht="17.5" customHeight="1">
      <c r="A3753" s="109" t="s">
        <v>7539</v>
      </c>
      <c r="B3753" s="109" t="s">
        <v>7540</v>
      </c>
      <c r="C3753" s="113">
        <v>2014</v>
      </c>
      <c r="D3753" s="99">
        <v>516</v>
      </c>
      <c r="E3753" s="99">
        <v>600</v>
      </c>
      <c r="F3753" s="99">
        <v>344</v>
      </c>
      <c r="G3753" s="99">
        <v>276</v>
      </c>
      <c r="H3753" s="99">
        <v>129</v>
      </c>
      <c r="I3753" s="99">
        <v>43</v>
      </c>
      <c r="J3753" s="99">
        <v>44</v>
      </c>
      <c r="K3753" s="99">
        <v>2</v>
      </c>
      <c r="L3753" s="99">
        <v>85</v>
      </c>
      <c r="M3753" s="99">
        <v>78</v>
      </c>
      <c r="N3753" s="99">
        <v>7</v>
      </c>
    </row>
    <row r="3754" spans="1:14" ht="17.5" customHeight="1">
      <c r="A3754" s="109" t="s">
        <v>7539</v>
      </c>
      <c r="B3754" s="109" t="s">
        <v>7540</v>
      </c>
      <c r="C3754" s="113">
        <v>2015</v>
      </c>
      <c r="D3754" s="112">
        <v>564</v>
      </c>
      <c r="E3754" s="112">
        <v>469</v>
      </c>
      <c r="F3754" s="112">
        <v>277</v>
      </c>
      <c r="G3754" s="112">
        <v>218</v>
      </c>
      <c r="H3754" s="112">
        <v>131</v>
      </c>
      <c r="I3754" s="112">
        <v>40</v>
      </c>
      <c r="J3754" s="112">
        <v>43</v>
      </c>
      <c r="K3754" s="112">
        <v>4</v>
      </c>
      <c r="L3754" s="112">
        <v>41</v>
      </c>
      <c r="M3754" s="112">
        <v>37</v>
      </c>
      <c r="N3754" s="112">
        <v>4</v>
      </c>
    </row>
    <row r="3755" spans="1:14" ht="17.5" customHeight="1">
      <c r="A3755" s="109" t="s">
        <v>7539</v>
      </c>
      <c r="B3755" s="109" t="s">
        <v>7540</v>
      </c>
      <c r="C3755" s="113">
        <v>2016</v>
      </c>
      <c r="D3755" s="112">
        <v>594</v>
      </c>
      <c r="E3755" s="112">
        <v>741</v>
      </c>
      <c r="F3755" s="112">
        <v>442</v>
      </c>
      <c r="G3755" s="112">
        <v>340</v>
      </c>
      <c r="H3755" s="112">
        <v>130</v>
      </c>
      <c r="I3755" s="112">
        <v>35</v>
      </c>
      <c r="J3755" s="112">
        <v>36</v>
      </c>
      <c r="K3755" s="112" t="s">
        <v>6952</v>
      </c>
      <c r="L3755" s="112">
        <v>69</v>
      </c>
      <c r="M3755" s="112">
        <v>59</v>
      </c>
      <c r="N3755" s="112">
        <v>10</v>
      </c>
    </row>
    <row r="3756" spans="1:14" ht="17.5" customHeight="1">
      <c r="A3756" s="109" t="s">
        <v>7539</v>
      </c>
      <c r="B3756" s="109" t="s">
        <v>7540</v>
      </c>
      <c r="C3756" s="113">
        <v>2017</v>
      </c>
      <c r="D3756" s="112">
        <v>675</v>
      </c>
      <c r="E3756" s="112">
        <v>479</v>
      </c>
      <c r="F3756" s="112">
        <v>312</v>
      </c>
      <c r="G3756" s="112">
        <v>199</v>
      </c>
      <c r="H3756" s="112">
        <v>196</v>
      </c>
      <c r="I3756" s="112">
        <v>43</v>
      </c>
      <c r="J3756" s="112">
        <v>44</v>
      </c>
      <c r="K3756" s="112" t="s">
        <v>6952</v>
      </c>
      <c r="L3756" s="112">
        <v>62</v>
      </c>
      <c r="M3756" s="112">
        <v>54</v>
      </c>
      <c r="N3756" s="112">
        <v>8</v>
      </c>
    </row>
    <row r="3757" spans="1:14" ht="17.5" customHeight="1">
      <c r="A3757" s="109" t="s">
        <v>7539</v>
      </c>
      <c r="B3757" s="109" t="s">
        <v>7540</v>
      </c>
      <c r="C3757" s="113">
        <v>2018</v>
      </c>
      <c r="D3757" s="112">
        <v>674</v>
      </c>
      <c r="E3757" s="112">
        <v>694</v>
      </c>
      <c r="F3757" s="112">
        <v>461</v>
      </c>
      <c r="G3757" s="112">
        <v>266</v>
      </c>
      <c r="H3757" s="112">
        <v>159</v>
      </c>
      <c r="I3757" s="112">
        <v>50</v>
      </c>
      <c r="J3757" s="112">
        <v>51</v>
      </c>
      <c r="K3757" s="112">
        <v>1</v>
      </c>
      <c r="L3757" s="112">
        <v>87</v>
      </c>
      <c r="M3757" s="112">
        <v>78</v>
      </c>
      <c r="N3757" s="112">
        <v>9</v>
      </c>
    </row>
    <row r="3758" spans="1:14" ht="17.5" customHeight="1">
      <c r="A3758" s="109" t="s">
        <v>7539</v>
      </c>
      <c r="B3758" s="109" t="s">
        <v>7540</v>
      </c>
      <c r="C3758" s="113">
        <v>2019</v>
      </c>
      <c r="D3758" s="112">
        <v>636</v>
      </c>
      <c r="E3758" s="112">
        <v>770.64219300000002</v>
      </c>
      <c r="F3758" s="112">
        <v>544.96587999999997</v>
      </c>
      <c r="G3758" s="112">
        <v>254.01206999999999</v>
      </c>
      <c r="H3758" s="112">
        <v>189.29681099999999</v>
      </c>
      <c r="I3758" s="112">
        <v>21.610088999999999</v>
      </c>
      <c r="J3758" s="112">
        <v>22.012789999999999</v>
      </c>
      <c r="K3758" s="112" t="s">
        <v>6952</v>
      </c>
      <c r="L3758" s="112">
        <v>139.43015500000001</v>
      </c>
      <c r="M3758" s="112">
        <v>122.830288</v>
      </c>
      <c r="N3758" s="112">
        <v>16.599867</v>
      </c>
    </row>
    <row r="3759" spans="1:14" ht="17.5" customHeight="1">
      <c r="A3759" s="114" t="s">
        <v>7539</v>
      </c>
      <c r="B3759" s="114" t="s">
        <v>7540</v>
      </c>
      <c r="C3759" s="113">
        <v>2020</v>
      </c>
      <c r="D3759" s="112">
        <v>684</v>
      </c>
      <c r="E3759" s="112">
        <v>547.95328400000005</v>
      </c>
      <c r="F3759" s="112">
        <v>341.73099500000001</v>
      </c>
      <c r="G3759" s="112">
        <v>215.74028200000001</v>
      </c>
      <c r="H3759" s="112">
        <v>143.77645000000001</v>
      </c>
      <c r="I3759" s="112">
        <v>24.193628</v>
      </c>
      <c r="J3759" s="112">
        <v>24.460802000000001</v>
      </c>
      <c r="K3759" s="112" t="s">
        <v>6952</v>
      </c>
      <c r="L3759" s="112">
        <v>86.472871999999995</v>
      </c>
      <c r="M3759" s="112">
        <v>90.418841999999998</v>
      </c>
      <c r="N3759" s="112">
        <v>-3.94597</v>
      </c>
    </row>
    <row r="3760" spans="1:14" ht="31.75" customHeight="1">
      <c r="A3760" s="109" t="s">
        <v>7541</v>
      </c>
      <c r="B3760" s="109" t="s">
        <v>7542</v>
      </c>
      <c r="C3760" s="98">
        <v>2008</v>
      </c>
      <c r="D3760" s="99">
        <v>1805</v>
      </c>
      <c r="E3760" s="99">
        <v>4850</v>
      </c>
      <c r="F3760" s="99">
        <v>1846</v>
      </c>
      <c r="G3760" s="99">
        <v>3065</v>
      </c>
      <c r="H3760" s="99">
        <v>1217</v>
      </c>
      <c r="I3760" s="99">
        <v>112</v>
      </c>
      <c r="J3760" s="99">
        <v>156</v>
      </c>
      <c r="K3760" s="99">
        <v>44</v>
      </c>
      <c r="L3760" s="99">
        <v>633</v>
      </c>
      <c r="M3760" s="99">
        <v>574</v>
      </c>
      <c r="N3760" s="99">
        <v>59</v>
      </c>
    </row>
    <row r="3761" spans="1:14" ht="31.75" customHeight="1">
      <c r="A3761" s="109" t="s">
        <v>7541</v>
      </c>
      <c r="B3761" s="109" t="s">
        <v>7542</v>
      </c>
      <c r="C3761" s="98">
        <v>2009</v>
      </c>
      <c r="D3761" s="99">
        <v>1869</v>
      </c>
      <c r="E3761" s="99">
        <v>4325</v>
      </c>
      <c r="F3761" s="99">
        <v>2014</v>
      </c>
      <c r="G3761" s="99">
        <v>2232</v>
      </c>
      <c r="H3761" s="99">
        <v>1070</v>
      </c>
      <c r="I3761" s="99">
        <v>166</v>
      </c>
      <c r="J3761" s="99">
        <v>195</v>
      </c>
      <c r="K3761" s="99">
        <v>29</v>
      </c>
      <c r="L3761" s="99">
        <v>520</v>
      </c>
      <c r="M3761" s="99">
        <v>598</v>
      </c>
      <c r="N3761" s="99">
        <v>-78</v>
      </c>
    </row>
    <row r="3762" spans="1:14" ht="31.75" customHeight="1">
      <c r="A3762" s="109" t="s">
        <v>7541</v>
      </c>
      <c r="B3762" s="109" t="s">
        <v>7542</v>
      </c>
      <c r="C3762" s="98">
        <v>2010</v>
      </c>
      <c r="D3762" s="99">
        <v>1821</v>
      </c>
      <c r="E3762" s="99">
        <v>4343</v>
      </c>
      <c r="F3762" s="99">
        <v>2209</v>
      </c>
      <c r="G3762" s="99">
        <v>2110</v>
      </c>
      <c r="H3762" s="99">
        <v>1146</v>
      </c>
      <c r="I3762" s="99">
        <v>94</v>
      </c>
      <c r="J3762" s="99">
        <v>147</v>
      </c>
      <c r="K3762" s="99">
        <v>53</v>
      </c>
      <c r="L3762" s="99">
        <v>606</v>
      </c>
      <c r="M3762" s="99">
        <v>627</v>
      </c>
      <c r="N3762" s="99">
        <v>-21</v>
      </c>
    </row>
    <row r="3763" spans="1:14" ht="31.75" customHeight="1">
      <c r="A3763" s="109" t="s">
        <v>7541</v>
      </c>
      <c r="B3763" s="109" t="s">
        <v>7542</v>
      </c>
      <c r="C3763" s="98">
        <v>2011</v>
      </c>
      <c r="D3763" s="99">
        <v>1782</v>
      </c>
      <c r="E3763" s="99">
        <v>4253</v>
      </c>
      <c r="F3763" s="99">
        <v>2021</v>
      </c>
      <c r="G3763" s="99">
        <v>2313</v>
      </c>
      <c r="H3763" s="99">
        <v>1120</v>
      </c>
      <c r="I3763" s="99">
        <v>187</v>
      </c>
      <c r="J3763" s="99">
        <v>203</v>
      </c>
      <c r="K3763" s="99">
        <v>16</v>
      </c>
      <c r="L3763" s="99">
        <v>549</v>
      </c>
      <c r="M3763" s="99">
        <v>509</v>
      </c>
      <c r="N3763" s="99">
        <v>40</v>
      </c>
    </row>
    <row r="3764" spans="1:14" ht="31.75" customHeight="1">
      <c r="A3764" s="109" t="s">
        <v>7541</v>
      </c>
      <c r="B3764" s="109" t="s">
        <v>7542</v>
      </c>
      <c r="C3764" s="111">
        <v>2012</v>
      </c>
      <c r="D3764" s="112">
        <v>1743</v>
      </c>
      <c r="E3764" s="112">
        <v>3960</v>
      </c>
      <c r="F3764" s="112">
        <v>1892</v>
      </c>
      <c r="G3764" s="112">
        <v>2103</v>
      </c>
      <c r="H3764" s="112">
        <v>1075</v>
      </c>
      <c r="I3764" s="112">
        <v>161</v>
      </c>
      <c r="J3764" s="112">
        <v>182</v>
      </c>
      <c r="K3764" s="112">
        <v>21</v>
      </c>
      <c r="L3764" s="112">
        <v>457</v>
      </c>
      <c r="M3764" s="112">
        <v>424</v>
      </c>
      <c r="N3764" s="112">
        <v>33</v>
      </c>
    </row>
    <row r="3765" spans="1:14" ht="31.75" customHeight="1">
      <c r="A3765" s="109" t="s">
        <v>7541</v>
      </c>
      <c r="B3765" s="109" t="s">
        <v>7542</v>
      </c>
      <c r="C3765" s="113">
        <v>2013</v>
      </c>
      <c r="D3765" s="112">
        <v>1800</v>
      </c>
      <c r="E3765" s="112">
        <v>4204</v>
      </c>
      <c r="F3765" s="112">
        <v>1818</v>
      </c>
      <c r="G3765" s="112">
        <v>2481</v>
      </c>
      <c r="H3765" s="112">
        <v>1114</v>
      </c>
      <c r="I3765" s="112">
        <v>128</v>
      </c>
      <c r="J3765" s="112">
        <v>144</v>
      </c>
      <c r="K3765" s="112">
        <v>15</v>
      </c>
      <c r="L3765" s="112">
        <v>513</v>
      </c>
      <c r="M3765" s="112">
        <v>432</v>
      </c>
      <c r="N3765" s="112">
        <v>81</v>
      </c>
    </row>
    <row r="3766" spans="1:14" ht="31.75" customHeight="1">
      <c r="A3766" s="109" t="s">
        <v>7541</v>
      </c>
      <c r="B3766" s="109" t="s">
        <v>7542</v>
      </c>
      <c r="C3766" s="113">
        <v>2014</v>
      </c>
      <c r="D3766" s="99">
        <v>1835</v>
      </c>
      <c r="E3766" s="99">
        <v>4144</v>
      </c>
      <c r="F3766" s="99">
        <v>1613</v>
      </c>
      <c r="G3766" s="99">
        <v>2539</v>
      </c>
      <c r="H3766" s="99">
        <v>1109</v>
      </c>
      <c r="I3766" s="99">
        <v>235</v>
      </c>
      <c r="J3766" s="99">
        <v>245</v>
      </c>
      <c r="K3766" s="99">
        <v>9</v>
      </c>
      <c r="L3766" s="99">
        <v>427</v>
      </c>
      <c r="M3766" s="99">
        <v>432</v>
      </c>
      <c r="N3766" s="99">
        <v>-5</v>
      </c>
    </row>
    <row r="3767" spans="1:14" ht="31.75" customHeight="1">
      <c r="A3767" s="109" t="s">
        <v>7541</v>
      </c>
      <c r="B3767" s="109" t="s">
        <v>7542</v>
      </c>
      <c r="C3767" s="113">
        <v>2015</v>
      </c>
      <c r="D3767" s="112">
        <v>1998</v>
      </c>
      <c r="E3767" s="112">
        <v>4590</v>
      </c>
      <c r="F3767" s="112">
        <v>1860</v>
      </c>
      <c r="G3767" s="112">
        <v>2788</v>
      </c>
      <c r="H3767" s="112">
        <v>1237</v>
      </c>
      <c r="I3767" s="112">
        <v>243</v>
      </c>
      <c r="J3767" s="112">
        <v>254</v>
      </c>
      <c r="K3767" s="112">
        <v>11</v>
      </c>
      <c r="L3767" s="112">
        <v>517</v>
      </c>
      <c r="M3767" s="112">
        <v>505</v>
      </c>
      <c r="N3767" s="112">
        <v>12</v>
      </c>
    </row>
    <row r="3768" spans="1:14" ht="31.75" customHeight="1">
      <c r="A3768" s="109" t="s">
        <v>7541</v>
      </c>
      <c r="B3768" s="109" t="s">
        <v>7542</v>
      </c>
      <c r="C3768" s="113">
        <v>2016</v>
      </c>
      <c r="D3768" s="112">
        <v>2044</v>
      </c>
      <c r="E3768" s="112">
        <v>4728</v>
      </c>
      <c r="F3768" s="112">
        <v>2252</v>
      </c>
      <c r="G3768" s="112">
        <v>2522</v>
      </c>
      <c r="H3768" s="112">
        <v>1327</v>
      </c>
      <c r="I3768" s="112">
        <v>286</v>
      </c>
      <c r="J3768" s="112">
        <v>301</v>
      </c>
      <c r="K3768" s="112">
        <v>15</v>
      </c>
      <c r="L3768" s="112">
        <v>505</v>
      </c>
      <c r="M3768" s="112">
        <v>488</v>
      </c>
      <c r="N3768" s="112">
        <v>17</v>
      </c>
    </row>
    <row r="3769" spans="1:14" ht="31.75" customHeight="1">
      <c r="A3769" s="109" t="s">
        <v>7541</v>
      </c>
      <c r="B3769" s="109" t="s">
        <v>7542</v>
      </c>
      <c r="C3769" s="113">
        <v>2017</v>
      </c>
      <c r="D3769" s="112">
        <v>2038</v>
      </c>
      <c r="E3769" s="112">
        <v>5121</v>
      </c>
      <c r="F3769" s="112">
        <v>2129</v>
      </c>
      <c r="G3769" s="112">
        <v>3057</v>
      </c>
      <c r="H3769" s="112">
        <v>1307</v>
      </c>
      <c r="I3769" s="112">
        <v>246</v>
      </c>
      <c r="J3769" s="112">
        <v>259</v>
      </c>
      <c r="K3769" s="112">
        <v>14</v>
      </c>
      <c r="L3769" s="112">
        <v>631</v>
      </c>
      <c r="M3769" s="112">
        <v>584</v>
      </c>
      <c r="N3769" s="112">
        <v>47</v>
      </c>
    </row>
    <row r="3770" spans="1:14" ht="31.75" customHeight="1">
      <c r="A3770" s="109" t="s">
        <v>7541</v>
      </c>
      <c r="B3770" s="109" t="s">
        <v>7542</v>
      </c>
      <c r="C3770" s="113">
        <v>2018</v>
      </c>
      <c r="D3770" s="112">
        <v>2014</v>
      </c>
      <c r="E3770" s="112">
        <v>4996</v>
      </c>
      <c r="F3770" s="112">
        <v>2282</v>
      </c>
      <c r="G3770" s="112">
        <v>2840</v>
      </c>
      <c r="H3770" s="112">
        <v>1362</v>
      </c>
      <c r="I3770" s="112">
        <v>285</v>
      </c>
      <c r="J3770" s="112">
        <v>301</v>
      </c>
      <c r="K3770" s="112">
        <v>16</v>
      </c>
      <c r="L3770" s="112">
        <v>596</v>
      </c>
      <c r="M3770" s="112">
        <v>503</v>
      </c>
      <c r="N3770" s="112">
        <v>92</v>
      </c>
    </row>
    <row r="3771" spans="1:14" ht="31.75" customHeight="1">
      <c r="A3771" s="109" t="s">
        <v>7541</v>
      </c>
      <c r="B3771" s="109" t="s">
        <v>7542</v>
      </c>
      <c r="C3771" s="113">
        <v>2019</v>
      </c>
      <c r="D3771" s="112">
        <v>1957</v>
      </c>
      <c r="E3771" s="112">
        <v>5274.4958619999998</v>
      </c>
      <c r="F3771" s="112">
        <v>2390.216426</v>
      </c>
      <c r="G3771" s="112">
        <v>3030.3740109999999</v>
      </c>
      <c r="H3771" s="112">
        <v>1423.496525</v>
      </c>
      <c r="I3771" s="112">
        <v>251.00800000000001</v>
      </c>
      <c r="J3771" s="112">
        <v>266.324207</v>
      </c>
      <c r="K3771" s="112">
        <v>15.316207</v>
      </c>
      <c r="L3771" s="112">
        <v>790.39950399999998</v>
      </c>
      <c r="M3771" s="112">
        <v>686.18460400000004</v>
      </c>
      <c r="N3771" s="112">
        <v>104.2149</v>
      </c>
    </row>
    <row r="3772" spans="1:14" ht="31.75" customHeight="1">
      <c r="A3772" s="114" t="s">
        <v>7541</v>
      </c>
      <c r="B3772" s="114" t="s">
        <v>7542</v>
      </c>
      <c r="C3772" s="113">
        <v>2020</v>
      </c>
      <c r="D3772" s="112">
        <v>2067</v>
      </c>
      <c r="E3772" s="112">
        <v>6150.7026269999997</v>
      </c>
      <c r="F3772" s="112">
        <v>2536.6999470000001</v>
      </c>
      <c r="G3772" s="112">
        <v>3720.24926</v>
      </c>
      <c r="H3772" s="112">
        <v>1375.0440579999999</v>
      </c>
      <c r="I3772" s="112">
        <v>697.80182200000002</v>
      </c>
      <c r="J3772" s="112" t="s">
        <v>6953</v>
      </c>
      <c r="K3772" s="112" t="s">
        <v>6953</v>
      </c>
      <c r="L3772" s="112">
        <v>840.97050400000001</v>
      </c>
      <c r="M3772" s="112">
        <v>758.05829000000006</v>
      </c>
      <c r="N3772" s="112">
        <v>82.912214000000006</v>
      </c>
    </row>
    <row r="3773" spans="1:14" ht="17.5" customHeight="1">
      <c r="A3773" s="109" t="s">
        <v>7543</v>
      </c>
      <c r="B3773" s="109" t="s">
        <v>7526</v>
      </c>
      <c r="C3773" s="98">
        <v>2008</v>
      </c>
      <c r="D3773" s="99">
        <v>4509</v>
      </c>
      <c r="E3773" s="99">
        <v>1964</v>
      </c>
      <c r="F3773" s="99">
        <v>774</v>
      </c>
      <c r="G3773" s="99">
        <v>1220</v>
      </c>
      <c r="H3773" s="99">
        <v>448</v>
      </c>
      <c r="I3773" s="99">
        <v>14</v>
      </c>
      <c r="J3773" s="99">
        <v>39</v>
      </c>
      <c r="K3773" s="99">
        <v>24</v>
      </c>
      <c r="L3773" s="99">
        <v>269</v>
      </c>
      <c r="M3773" s="99">
        <v>234</v>
      </c>
      <c r="N3773" s="99">
        <v>35</v>
      </c>
    </row>
    <row r="3774" spans="1:14" ht="17.5" customHeight="1">
      <c r="A3774" s="109" t="s">
        <v>7543</v>
      </c>
      <c r="B3774" s="109" t="s">
        <v>7526</v>
      </c>
      <c r="C3774" s="98">
        <v>2009</v>
      </c>
      <c r="D3774" s="99">
        <v>5129</v>
      </c>
      <c r="E3774" s="99">
        <v>1956</v>
      </c>
      <c r="F3774" s="99">
        <v>944</v>
      </c>
      <c r="G3774" s="99">
        <v>1009</v>
      </c>
      <c r="H3774" s="99">
        <v>519</v>
      </c>
      <c r="I3774" s="99">
        <v>67</v>
      </c>
      <c r="J3774" s="99">
        <v>89</v>
      </c>
      <c r="K3774" s="99">
        <v>22</v>
      </c>
      <c r="L3774" s="99">
        <v>205</v>
      </c>
      <c r="M3774" s="99">
        <v>207</v>
      </c>
      <c r="N3774" s="99">
        <v>-2</v>
      </c>
    </row>
    <row r="3775" spans="1:14" ht="17.5" customHeight="1">
      <c r="A3775" s="109" t="s">
        <v>7543</v>
      </c>
      <c r="B3775" s="109" t="s">
        <v>7526</v>
      </c>
      <c r="C3775" s="98">
        <v>2010</v>
      </c>
      <c r="D3775" s="99">
        <v>5148</v>
      </c>
      <c r="E3775" s="99">
        <v>2236</v>
      </c>
      <c r="F3775" s="99">
        <v>922</v>
      </c>
      <c r="G3775" s="99">
        <v>1320</v>
      </c>
      <c r="H3775" s="99">
        <v>466</v>
      </c>
      <c r="I3775" s="99">
        <v>50</v>
      </c>
      <c r="J3775" s="99">
        <v>68</v>
      </c>
      <c r="K3775" s="99">
        <v>18</v>
      </c>
      <c r="L3775" s="99">
        <v>194</v>
      </c>
      <c r="M3775" s="99">
        <v>189</v>
      </c>
      <c r="N3775" s="99">
        <v>4</v>
      </c>
    </row>
    <row r="3776" spans="1:14" ht="17.5" customHeight="1">
      <c r="A3776" s="109" t="s">
        <v>7543</v>
      </c>
      <c r="B3776" s="109" t="s">
        <v>7526</v>
      </c>
      <c r="C3776" s="98">
        <v>2011</v>
      </c>
      <c r="D3776" s="99">
        <v>5340</v>
      </c>
      <c r="E3776" s="99">
        <v>2928</v>
      </c>
      <c r="F3776" s="99">
        <v>1202</v>
      </c>
      <c r="G3776" s="99">
        <v>1736</v>
      </c>
      <c r="H3776" s="99">
        <v>603</v>
      </c>
      <c r="I3776" s="99">
        <v>52</v>
      </c>
      <c r="J3776" s="99">
        <v>68</v>
      </c>
      <c r="K3776" s="99">
        <v>16</v>
      </c>
      <c r="L3776" s="99">
        <v>286</v>
      </c>
      <c r="M3776" s="99">
        <v>275</v>
      </c>
      <c r="N3776" s="99">
        <v>12</v>
      </c>
    </row>
    <row r="3777" spans="1:14" ht="17.5" customHeight="1">
      <c r="A3777" s="109" t="s">
        <v>7543</v>
      </c>
      <c r="B3777" s="109" t="s">
        <v>7526</v>
      </c>
      <c r="C3777" s="111">
        <v>2012</v>
      </c>
      <c r="D3777" s="112">
        <v>5559</v>
      </c>
      <c r="E3777" s="112">
        <v>2902</v>
      </c>
      <c r="F3777" s="112">
        <v>1172</v>
      </c>
      <c r="G3777" s="112">
        <v>1743</v>
      </c>
      <c r="H3777" s="112">
        <v>636</v>
      </c>
      <c r="I3777" s="112">
        <v>66</v>
      </c>
      <c r="J3777" s="112">
        <v>81</v>
      </c>
      <c r="K3777" s="112">
        <v>16</v>
      </c>
      <c r="L3777" s="112">
        <v>243</v>
      </c>
      <c r="M3777" s="112">
        <v>228</v>
      </c>
      <c r="N3777" s="112">
        <v>15</v>
      </c>
    </row>
    <row r="3778" spans="1:14" ht="17.5" customHeight="1">
      <c r="A3778" s="109" t="s">
        <v>7543</v>
      </c>
      <c r="B3778" s="109" t="s">
        <v>7526</v>
      </c>
      <c r="C3778" s="113">
        <v>2013</v>
      </c>
      <c r="D3778" s="112">
        <v>5164</v>
      </c>
      <c r="E3778" s="112">
        <v>2874</v>
      </c>
      <c r="F3778" s="112">
        <v>1185</v>
      </c>
      <c r="G3778" s="112">
        <v>1701</v>
      </c>
      <c r="H3778" s="112">
        <v>601</v>
      </c>
      <c r="I3778" s="112">
        <v>75</v>
      </c>
      <c r="J3778" s="112">
        <v>86</v>
      </c>
      <c r="K3778" s="112">
        <v>11</v>
      </c>
      <c r="L3778" s="112">
        <v>250</v>
      </c>
      <c r="M3778" s="112">
        <v>237</v>
      </c>
      <c r="N3778" s="112">
        <v>13</v>
      </c>
    </row>
    <row r="3779" spans="1:14" ht="17.5" customHeight="1">
      <c r="A3779" s="109" t="s">
        <v>7543</v>
      </c>
      <c r="B3779" s="109" t="s">
        <v>7526</v>
      </c>
      <c r="C3779" s="113">
        <v>2014</v>
      </c>
      <c r="D3779" s="99">
        <v>4744</v>
      </c>
      <c r="E3779" s="99">
        <v>2765</v>
      </c>
      <c r="F3779" s="99">
        <v>999</v>
      </c>
      <c r="G3779" s="99">
        <v>1770</v>
      </c>
      <c r="H3779" s="99">
        <v>613</v>
      </c>
      <c r="I3779" s="99">
        <v>113</v>
      </c>
      <c r="J3779" s="99">
        <v>116</v>
      </c>
      <c r="K3779" s="99">
        <v>3</v>
      </c>
      <c r="L3779" s="99">
        <v>254</v>
      </c>
      <c r="M3779" s="99">
        <v>248</v>
      </c>
      <c r="N3779" s="99">
        <v>6</v>
      </c>
    </row>
    <row r="3780" spans="1:14" ht="17.5" customHeight="1">
      <c r="A3780" s="109" t="s">
        <v>7543</v>
      </c>
      <c r="B3780" s="109" t="s">
        <v>7526</v>
      </c>
      <c r="C3780" s="113">
        <v>2015</v>
      </c>
      <c r="D3780" s="112">
        <v>4559</v>
      </c>
      <c r="E3780" s="112">
        <v>2807</v>
      </c>
      <c r="F3780" s="112">
        <v>1133</v>
      </c>
      <c r="G3780" s="112">
        <v>1684</v>
      </c>
      <c r="H3780" s="112">
        <v>515</v>
      </c>
      <c r="I3780" s="112">
        <v>172</v>
      </c>
      <c r="J3780" s="112">
        <v>183</v>
      </c>
      <c r="K3780" s="112">
        <v>11</v>
      </c>
      <c r="L3780" s="112">
        <v>256</v>
      </c>
      <c r="M3780" s="112">
        <v>247</v>
      </c>
      <c r="N3780" s="112">
        <v>9</v>
      </c>
    </row>
    <row r="3781" spans="1:14" ht="17.5" customHeight="1">
      <c r="A3781" s="109" t="s">
        <v>7543</v>
      </c>
      <c r="B3781" s="109" t="s">
        <v>7526</v>
      </c>
      <c r="C3781" s="113">
        <v>2016</v>
      </c>
      <c r="D3781" s="112">
        <v>4331</v>
      </c>
      <c r="E3781" s="112">
        <v>3284</v>
      </c>
      <c r="F3781" s="112">
        <v>1126</v>
      </c>
      <c r="G3781" s="112">
        <v>2225</v>
      </c>
      <c r="H3781" s="112">
        <v>544</v>
      </c>
      <c r="I3781" s="112">
        <v>110</v>
      </c>
      <c r="J3781" s="112">
        <v>143</v>
      </c>
      <c r="K3781" s="112">
        <v>33</v>
      </c>
      <c r="L3781" s="112">
        <v>484</v>
      </c>
      <c r="M3781" s="112">
        <v>413</v>
      </c>
      <c r="N3781" s="112">
        <v>71</v>
      </c>
    </row>
    <row r="3782" spans="1:14" ht="17.5" customHeight="1">
      <c r="A3782" s="109" t="s">
        <v>7543</v>
      </c>
      <c r="B3782" s="109" t="s">
        <v>7526</v>
      </c>
      <c r="C3782" s="113">
        <v>2017</v>
      </c>
      <c r="D3782" s="112">
        <v>4311</v>
      </c>
      <c r="E3782" s="112">
        <v>3368</v>
      </c>
      <c r="F3782" s="112">
        <v>1314</v>
      </c>
      <c r="G3782" s="112">
        <v>2143</v>
      </c>
      <c r="H3782" s="112">
        <v>649</v>
      </c>
      <c r="I3782" s="112">
        <v>104</v>
      </c>
      <c r="J3782" s="112">
        <v>116</v>
      </c>
      <c r="K3782" s="112">
        <v>11</v>
      </c>
      <c r="L3782" s="112">
        <v>392</v>
      </c>
      <c r="M3782" s="112">
        <v>346</v>
      </c>
      <c r="N3782" s="112">
        <v>46</v>
      </c>
    </row>
    <row r="3783" spans="1:14" ht="17.5" customHeight="1">
      <c r="A3783" s="109" t="s">
        <v>7543</v>
      </c>
      <c r="B3783" s="109" t="s">
        <v>7526</v>
      </c>
      <c r="C3783" s="113">
        <v>2018</v>
      </c>
      <c r="D3783" s="112">
        <v>4487</v>
      </c>
      <c r="E3783" s="112">
        <v>3379</v>
      </c>
      <c r="F3783" s="112">
        <v>1331</v>
      </c>
      <c r="G3783" s="112">
        <v>2081</v>
      </c>
      <c r="H3783" s="112">
        <v>648</v>
      </c>
      <c r="I3783" s="112">
        <v>109</v>
      </c>
      <c r="J3783" s="112">
        <v>118</v>
      </c>
      <c r="K3783" s="112">
        <v>8</v>
      </c>
      <c r="L3783" s="112">
        <v>463</v>
      </c>
      <c r="M3783" s="112">
        <v>447</v>
      </c>
      <c r="N3783" s="112">
        <v>15</v>
      </c>
    </row>
    <row r="3784" spans="1:14" ht="17.5" customHeight="1">
      <c r="A3784" s="109" t="s">
        <v>7543</v>
      </c>
      <c r="B3784" s="109" t="s">
        <v>7526</v>
      </c>
      <c r="C3784" s="113">
        <v>2019</v>
      </c>
      <c r="D3784" s="112">
        <v>4942</v>
      </c>
      <c r="E3784" s="112">
        <v>3196.137158</v>
      </c>
      <c r="F3784" s="112">
        <v>1512.68526</v>
      </c>
      <c r="G3784" s="112">
        <v>1717.2179160000001</v>
      </c>
      <c r="H3784" s="112">
        <v>681.65530799999999</v>
      </c>
      <c r="I3784" s="112">
        <v>141.000485</v>
      </c>
      <c r="J3784" s="112">
        <v>145.110691</v>
      </c>
      <c r="K3784" s="112">
        <v>4.1102059999999998</v>
      </c>
      <c r="L3784" s="112">
        <v>308.211275</v>
      </c>
      <c r="M3784" s="112">
        <v>276.67976700000003</v>
      </c>
      <c r="N3784" s="112">
        <v>31.531507999999999</v>
      </c>
    </row>
    <row r="3785" spans="1:14" ht="17.5" customHeight="1">
      <c r="A3785" s="114" t="s">
        <v>7543</v>
      </c>
      <c r="B3785" s="114" t="s">
        <v>7526</v>
      </c>
      <c r="C3785" s="113">
        <v>2020</v>
      </c>
      <c r="D3785" s="112">
        <v>4934</v>
      </c>
      <c r="E3785" s="112">
        <v>3368.2574920000002</v>
      </c>
      <c r="F3785" s="112">
        <v>1606.1610129999999</v>
      </c>
      <c r="G3785" s="112">
        <v>1756.863668</v>
      </c>
      <c r="H3785" s="112">
        <v>589.89622799999995</v>
      </c>
      <c r="I3785" s="112">
        <v>98.399170999999996</v>
      </c>
      <c r="J3785" s="112" t="s">
        <v>6953</v>
      </c>
      <c r="K3785" s="112" t="s">
        <v>6953</v>
      </c>
      <c r="L3785" s="112">
        <v>348.74217099999998</v>
      </c>
      <c r="M3785" s="112">
        <v>362.83064999999999</v>
      </c>
      <c r="N3785" s="112">
        <v>-14.088479</v>
      </c>
    </row>
    <row r="3786" spans="1:14" ht="17.5" customHeight="1">
      <c r="A3786" s="109" t="s">
        <v>7544</v>
      </c>
      <c r="B3786" s="109" t="s">
        <v>7545</v>
      </c>
      <c r="C3786" s="98">
        <v>2008</v>
      </c>
      <c r="D3786" s="99">
        <v>61</v>
      </c>
      <c r="E3786" s="99">
        <v>146</v>
      </c>
      <c r="F3786" s="99">
        <v>47</v>
      </c>
      <c r="G3786" s="99">
        <v>102</v>
      </c>
      <c r="H3786" s="99">
        <v>32</v>
      </c>
      <c r="I3786" s="99">
        <v>1</v>
      </c>
      <c r="J3786" s="99">
        <v>4</v>
      </c>
      <c r="K3786" s="99">
        <v>3</v>
      </c>
      <c r="L3786" s="99">
        <v>26</v>
      </c>
      <c r="M3786" s="99">
        <v>22</v>
      </c>
      <c r="N3786" s="99">
        <v>4</v>
      </c>
    </row>
    <row r="3787" spans="1:14" ht="17.5" customHeight="1">
      <c r="A3787" s="109" t="s">
        <v>7544</v>
      </c>
      <c r="B3787" s="109" t="s">
        <v>7545</v>
      </c>
      <c r="C3787" s="98">
        <v>2009</v>
      </c>
      <c r="D3787" s="99">
        <v>61</v>
      </c>
      <c r="E3787" s="99">
        <v>168</v>
      </c>
      <c r="F3787" s="99">
        <v>54</v>
      </c>
      <c r="G3787" s="99">
        <v>112</v>
      </c>
      <c r="H3787" s="99">
        <v>36</v>
      </c>
      <c r="I3787" s="99">
        <v>2</v>
      </c>
      <c r="J3787" s="99">
        <v>3</v>
      </c>
      <c r="K3787" s="99">
        <v>1</v>
      </c>
      <c r="L3787" s="99">
        <v>28</v>
      </c>
      <c r="M3787" s="99">
        <v>29</v>
      </c>
      <c r="N3787" s="99">
        <v>-1</v>
      </c>
    </row>
    <row r="3788" spans="1:14" ht="17.5" customHeight="1">
      <c r="A3788" s="109" t="s">
        <v>7544</v>
      </c>
      <c r="B3788" s="109" t="s">
        <v>7545</v>
      </c>
      <c r="C3788" s="98">
        <v>2010</v>
      </c>
      <c r="D3788" s="99">
        <v>56</v>
      </c>
      <c r="E3788" s="99">
        <v>205</v>
      </c>
      <c r="F3788" s="99">
        <v>69</v>
      </c>
      <c r="G3788" s="99">
        <v>139</v>
      </c>
      <c r="H3788" s="99">
        <v>35</v>
      </c>
      <c r="I3788" s="99">
        <v>6</v>
      </c>
      <c r="J3788" s="99">
        <v>7</v>
      </c>
      <c r="K3788" s="99">
        <v>1</v>
      </c>
      <c r="L3788" s="99">
        <v>31</v>
      </c>
      <c r="M3788" s="99">
        <v>28</v>
      </c>
      <c r="N3788" s="99">
        <v>3</v>
      </c>
    </row>
    <row r="3789" spans="1:14" ht="17.5" customHeight="1">
      <c r="A3789" s="109" t="s">
        <v>7544</v>
      </c>
      <c r="B3789" s="109" t="s">
        <v>7545</v>
      </c>
      <c r="C3789" s="98">
        <v>2011</v>
      </c>
      <c r="D3789" s="99">
        <v>51</v>
      </c>
      <c r="E3789" s="99">
        <v>183</v>
      </c>
      <c r="F3789" s="99">
        <v>55</v>
      </c>
      <c r="G3789" s="99">
        <v>130</v>
      </c>
      <c r="H3789" s="99">
        <v>34</v>
      </c>
      <c r="I3789" s="99">
        <v>4</v>
      </c>
      <c r="J3789" s="99">
        <v>4</v>
      </c>
      <c r="K3789" s="99">
        <v>1</v>
      </c>
      <c r="L3789" s="99">
        <v>32</v>
      </c>
      <c r="M3789" s="99">
        <v>28</v>
      </c>
      <c r="N3789" s="99">
        <v>3</v>
      </c>
    </row>
    <row r="3790" spans="1:14" ht="17.5" customHeight="1">
      <c r="A3790" s="109" t="s">
        <v>7544</v>
      </c>
      <c r="B3790" s="109" t="s">
        <v>7545</v>
      </c>
      <c r="C3790" s="111">
        <v>2012</v>
      </c>
      <c r="D3790" s="112">
        <v>45</v>
      </c>
      <c r="E3790" s="112">
        <v>112</v>
      </c>
      <c r="F3790" s="112">
        <v>38</v>
      </c>
      <c r="G3790" s="112">
        <v>73</v>
      </c>
      <c r="H3790" s="112">
        <v>26</v>
      </c>
      <c r="I3790" s="112">
        <v>1</v>
      </c>
      <c r="J3790" s="112">
        <v>2</v>
      </c>
      <c r="K3790" s="112" t="s">
        <v>6952</v>
      </c>
      <c r="L3790" s="112">
        <v>19</v>
      </c>
      <c r="M3790" s="112">
        <v>19</v>
      </c>
      <c r="N3790" s="112" t="s">
        <v>6952</v>
      </c>
    </row>
    <row r="3791" spans="1:14" ht="17.5" customHeight="1">
      <c r="A3791" s="109" t="s">
        <v>7544</v>
      </c>
      <c r="B3791" s="109" t="s">
        <v>7545</v>
      </c>
      <c r="C3791" s="113">
        <v>2013</v>
      </c>
      <c r="D3791" s="112">
        <v>49</v>
      </c>
      <c r="E3791" s="112">
        <v>64</v>
      </c>
      <c r="F3791" s="112">
        <v>24</v>
      </c>
      <c r="G3791" s="112">
        <v>40</v>
      </c>
      <c r="H3791" s="112">
        <v>17</v>
      </c>
      <c r="I3791" s="112">
        <v>3</v>
      </c>
      <c r="J3791" s="112">
        <v>3</v>
      </c>
      <c r="K3791" s="112" t="s">
        <v>6952</v>
      </c>
      <c r="L3791" s="112">
        <v>14</v>
      </c>
      <c r="M3791" s="112">
        <v>14</v>
      </c>
      <c r="N3791" s="112" t="s">
        <v>6952</v>
      </c>
    </row>
    <row r="3792" spans="1:14" ht="17.5" customHeight="1">
      <c r="A3792" s="109" t="s">
        <v>7544</v>
      </c>
      <c r="B3792" s="109" t="s">
        <v>7545</v>
      </c>
      <c r="C3792" s="113">
        <v>2014</v>
      </c>
      <c r="D3792" s="99">
        <v>52</v>
      </c>
      <c r="E3792" s="99">
        <v>65</v>
      </c>
      <c r="F3792" s="99">
        <v>31</v>
      </c>
      <c r="G3792" s="99">
        <v>34</v>
      </c>
      <c r="H3792" s="99">
        <v>16</v>
      </c>
      <c r="I3792" s="99">
        <v>2</v>
      </c>
      <c r="J3792" s="99">
        <v>2</v>
      </c>
      <c r="K3792" s="112" t="s">
        <v>6952</v>
      </c>
      <c r="L3792" s="99">
        <v>10</v>
      </c>
      <c r="M3792" s="99">
        <v>11</v>
      </c>
      <c r="N3792" s="112" t="s">
        <v>6952</v>
      </c>
    </row>
    <row r="3793" spans="1:14" ht="17.5" customHeight="1">
      <c r="A3793" s="109" t="s">
        <v>7544</v>
      </c>
      <c r="B3793" s="109" t="s">
        <v>7545</v>
      </c>
      <c r="C3793" s="113">
        <v>2015</v>
      </c>
      <c r="D3793" s="112">
        <v>53</v>
      </c>
      <c r="E3793" s="112">
        <v>96</v>
      </c>
      <c r="F3793" s="112">
        <v>53</v>
      </c>
      <c r="G3793" s="112">
        <v>46</v>
      </c>
      <c r="H3793" s="112">
        <v>22</v>
      </c>
      <c r="I3793" s="112">
        <v>2</v>
      </c>
      <c r="J3793" s="112">
        <v>2</v>
      </c>
      <c r="K3793" s="112" t="s">
        <v>6952</v>
      </c>
      <c r="L3793" s="112">
        <v>14</v>
      </c>
      <c r="M3793" s="112">
        <v>11</v>
      </c>
      <c r="N3793" s="112">
        <v>3</v>
      </c>
    </row>
    <row r="3794" spans="1:14" ht="17.5" customHeight="1">
      <c r="A3794" s="109" t="s">
        <v>7544</v>
      </c>
      <c r="B3794" s="109" t="s">
        <v>7545</v>
      </c>
      <c r="C3794" s="113">
        <v>2016</v>
      </c>
      <c r="D3794" s="112">
        <v>53</v>
      </c>
      <c r="E3794" s="112">
        <v>157</v>
      </c>
      <c r="F3794" s="112">
        <v>61</v>
      </c>
      <c r="G3794" s="112">
        <v>100</v>
      </c>
      <c r="H3794" s="112">
        <v>28</v>
      </c>
      <c r="I3794" s="112">
        <v>9</v>
      </c>
      <c r="J3794" s="112">
        <v>10</v>
      </c>
      <c r="K3794" s="112" t="s">
        <v>6952</v>
      </c>
      <c r="L3794" s="112">
        <v>26</v>
      </c>
      <c r="M3794" s="112">
        <v>22</v>
      </c>
      <c r="N3794" s="112">
        <v>4</v>
      </c>
    </row>
    <row r="3795" spans="1:14" ht="17.5" customHeight="1">
      <c r="A3795" s="109" t="s">
        <v>7544</v>
      </c>
      <c r="B3795" s="109" t="s">
        <v>7545</v>
      </c>
      <c r="C3795" s="113">
        <v>2017</v>
      </c>
      <c r="D3795" s="112">
        <v>52</v>
      </c>
      <c r="E3795" s="112">
        <v>151</v>
      </c>
      <c r="F3795" s="112">
        <v>54</v>
      </c>
      <c r="G3795" s="112">
        <v>102</v>
      </c>
      <c r="H3795" s="112">
        <v>31</v>
      </c>
      <c r="I3795" s="112">
        <v>6</v>
      </c>
      <c r="J3795" s="112">
        <v>6</v>
      </c>
      <c r="K3795" s="112" t="s">
        <v>6952</v>
      </c>
      <c r="L3795" s="112">
        <v>31</v>
      </c>
      <c r="M3795" s="112">
        <v>25</v>
      </c>
      <c r="N3795" s="112">
        <v>6</v>
      </c>
    </row>
    <row r="3796" spans="1:14" ht="17.5" customHeight="1">
      <c r="A3796" s="109" t="s">
        <v>7544</v>
      </c>
      <c r="B3796" s="109" t="s">
        <v>7545</v>
      </c>
      <c r="C3796" s="113">
        <v>2018</v>
      </c>
      <c r="D3796" s="112">
        <v>53</v>
      </c>
      <c r="E3796" s="112">
        <v>142</v>
      </c>
      <c r="F3796" s="112">
        <v>37</v>
      </c>
      <c r="G3796" s="112">
        <v>100</v>
      </c>
      <c r="H3796" s="112">
        <v>33</v>
      </c>
      <c r="I3796" s="112">
        <v>2</v>
      </c>
      <c r="J3796" s="112">
        <v>2</v>
      </c>
      <c r="K3796" s="112" t="s">
        <v>6952</v>
      </c>
      <c r="L3796" s="112">
        <v>29</v>
      </c>
      <c r="M3796" s="112">
        <v>33</v>
      </c>
      <c r="N3796" s="112">
        <v>-4</v>
      </c>
    </row>
    <row r="3797" spans="1:14" ht="17.5" customHeight="1">
      <c r="A3797" s="109" t="s">
        <v>7544</v>
      </c>
      <c r="B3797" s="109" t="s">
        <v>7545</v>
      </c>
      <c r="C3797" s="113">
        <v>2019</v>
      </c>
      <c r="D3797" s="112">
        <v>65</v>
      </c>
      <c r="E3797" s="112">
        <v>171.44208800000001</v>
      </c>
      <c r="F3797" s="112">
        <v>78.911851999999996</v>
      </c>
      <c r="G3797" s="112">
        <v>102.56959500000001</v>
      </c>
      <c r="H3797" s="112">
        <v>49.310808999999999</v>
      </c>
      <c r="I3797" s="112">
        <v>6.7309830000000002</v>
      </c>
      <c r="J3797" s="112">
        <v>7.6152990000000003</v>
      </c>
      <c r="K3797" s="112">
        <v>0.88431599999999999</v>
      </c>
      <c r="L3797" s="112">
        <v>39.957281000000002</v>
      </c>
      <c r="M3797" s="112">
        <v>29.001421000000001</v>
      </c>
      <c r="N3797" s="112">
        <v>10.955859</v>
      </c>
    </row>
    <row r="3798" spans="1:14" ht="17.5" customHeight="1">
      <c r="A3798" s="114" t="s">
        <v>7544</v>
      </c>
      <c r="B3798" s="114" t="s">
        <v>7545</v>
      </c>
      <c r="C3798" s="113">
        <v>2020</v>
      </c>
      <c r="D3798" s="112">
        <v>61</v>
      </c>
      <c r="E3798" s="112">
        <v>143.89081400000001</v>
      </c>
      <c r="F3798" s="112">
        <v>57.277191000000002</v>
      </c>
      <c r="G3798" s="112">
        <v>83.864123000000006</v>
      </c>
      <c r="H3798" s="112">
        <v>33.598925000000001</v>
      </c>
      <c r="I3798" s="112">
        <v>4.3277840000000003</v>
      </c>
      <c r="J3798" s="112" t="s">
        <v>6953</v>
      </c>
      <c r="K3798" s="112" t="s">
        <v>6953</v>
      </c>
      <c r="L3798" s="112">
        <v>24.869433000000001</v>
      </c>
      <c r="M3798" s="112">
        <v>27.456727000000001</v>
      </c>
      <c r="N3798" s="112">
        <v>-2.587294</v>
      </c>
    </row>
    <row r="3799" spans="1:14" ht="17.5" customHeight="1">
      <c r="A3799" s="109" t="s">
        <v>7546</v>
      </c>
      <c r="B3799" s="109" t="s">
        <v>7547</v>
      </c>
      <c r="C3799" s="98">
        <v>2008</v>
      </c>
      <c r="D3799" s="99">
        <v>4448</v>
      </c>
      <c r="E3799" s="99">
        <v>1818</v>
      </c>
      <c r="F3799" s="99">
        <v>727</v>
      </c>
      <c r="G3799" s="99">
        <v>1117</v>
      </c>
      <c r="H3799" s="99">
        <v>415</v>
      </c>
      <c r="I3799" s="99">
        <v>13</v>
      </c>
      <c r="J3799" s="99">
        <v>35</v>
      </c>
      <c r="K3799" s="99">
        <v>22</v>
      </c>
      <c r="L3799" s="99">
        <v>243</v>
      </c>
      <c r="M3799" s="99">
        <v>211</v>
      </c>
      <c r="N3799" s="99">
        <v>31</v>
      </c>
    </row>
    <row r="3800" spans="1:14" ht="17.5" customHeight="1">
      <c r="A3800" s="109" t="s">
        <v>7546</v>
      </c>
      <c r="B3800" s="109" t="s">
        <v>7547</v>
      </c>
      <c r="C3800" s="98">
        <v>2009</v>
      </c>
      <c r="D3800" s="99">
        <v>5068</v>
      </c>
      <c r="E3800" s="99">
        <v>1787</v>
      </c>
      <c r="F3800" s="99">
        <v>891</v>
      </c>
      <c r="G3800" s="99">
        <v>896</v>
      </c>
      <c r="H3800" s="99">
        <v>483</v>
      </c>
      <c r="I3800" s="99">
        <v>65</v>
      </c>
      <c r="J3800" s="99">
        <v>85</v>
      </c>
      <c r="K3800" s="99">
        <v>20</v>
      </c>
      <c r="L3800" s="99">
        <v>177</v>
      </c>
      <c r="M3800" s="99">
        <v>178</v>
      </c>
      <c r="N3800" s="99" t="s">
        <v>6952</v>
      </c>
    </row>
    <row r="3801" spans="1:14" ht="17.5" customHeight="1">
      <c r="A3801" s="109" t="s">
        <v>7546</v>
      </c>
      <c r="B3801" s="109" t="s">
        <v>7547</v>
      </c>
      <c r="C3801" s="98">
        <v>2010</v>
      </c>
      <c r="D3801" s="99">
        <v>5092</v>
      </c>
      <c r="E3801" s="99">
        <v>2031</v>
      </c>
      <c r="F3801" s="99">
        <v>853</v>
      </c>
      <c r="G3801" s="99">
        <v>1181</v>
      </c>
      <c r="H3801" s="99">
        <v>431</v>
      </c>
      <c r="I3801" s="99">
        <v>44</v>
      </c>
      <c r="J3801" s="99">
        <v>61</v>
      </c>
      <c r="K3801" s="99">
        <v>17</v>
      </c>
      <c r="L3801" s="99">
        <v>163</v>
      </c>
      <c r="M3801" s="99">
        <v>161</v>
      </c>
      <c r="N3801" s="99">
        <v>2</v>
      </c>
    </row>
    <row r="3802" spans="1:14" ht="17.5" customHeight="1">
      <c r="A3802" s="109" t="s">
        <v>7546</v>
      </c>
      <c r="B3802" s="109" t="s">
        <v>7547</v>
      </c>
      <c r="C3802" s="98">
        <v>2011</v>
      </c>
      <c r="D3802" s="99">
        <v>5289</v>
      </c>
      <c r="E3802" s="99">
        <v>2745</v>
      </c>
      <c r="F3802" s="99">
        <v>1147</v>
      </c>
      <c r="G3802" s="99">
        <v>1607</v>
      </c>
      <c r="H3802" s="99">
        <v>569</v>
      </c>
      <c r="I3802" s="99">
        <v>48</v>
      </c>
      <c r="J3802" s="99">
        <v>64</v>
      </c>
      <c r="K3802" s="99">
        <v>15</v>
      </c>
      <c r="L3802" s="99">
        <v>255</v>
      </c>
      <c r="M3802" s="99">
        <v>247</v>
      </c>
      <c r="N3802" s="99">
        <v>8</v>
      </c>
    </row>
    <row r="3803" spans="1:14" ht="17.5" customHeight="1">
      <c r="A3803" s="109" t="s">
        <v>7546</v>
      </c>
      <c r="B3803" s="109" t="s">
        <v>7547</v>
      </c>
      <c r="C3803" s="111">
        <v>2012</v>
      </c>
      <c r="D3803" s="112">
        <v>5514</v>
      </c>
      <c r="E3803" s="112">
        <v>2790</v>
      </c>
      <c r="F3803" s="112">
        <v>1134</v>
      </c>
      <c r="G3803" s="112">
        <v>1670</v>
      </c>
      <c r="H3803" s="112">
        <v>609</v>
      </c>
      <c r="I3803" s="112">
        <v>65</v>
      </c>
      <c r="J3803" s="112">
        <v>80</v>
      </c>
      <c r="K3803" s="112">
        <v>15</v>
      </c>
      <c r="L3803" s="112">
        <v>224</v>
      </c>
      <c r="M3803" s="112">
        <v>209</v>
      </c>
      <c r="N3803" s="112">
        <v>15</v>
      </c>
    </row>
    <row r="3804" spans="1:14" ht="17.5" customHeight="1">
      <c r="A3804" s="109" t="s">
        <v>7546</v>
      </c>
      <c r="B3804" s="109" t="s">
        <v>7547</v>
      </c>
      <c r="C3804" s="113">
        <v>2013</v>
      </c>
      <c r="D3804" s="112">
        <v>5115</v>
      </c>
      <c r="E3804" s="112">
        <v>2810</v>
      </c>
      <c r="F3804" s="112">
        <v>1161</v>
      </c>
      <c r="G3804" s="112">
        <v>1661</v>
      </c>
      <c r="H3804" s="112">
        <v>584</v>
      </c>
      <c r="I3804" s="112">
        <v>73</v>
      </c>
      <c r="J3804" s="112">
        <v>83</v>
      </c>
      <c r="K3804" s="112">
        <v>10</v>
      </c>
      <c r="L3804" s="112">
        <v>237</v>
      </c>
      <c r="M3804" s="112">
        <v>223</v>
      </c>
      <c r="N3804" s="112">
        <v>13</v>
      </c>
    </row>
    <row r="3805" spans="1:14" ht="17.5" customHeight="1">
      <c r="A3805" s="109" t="s">
        <v>7546</v>
      </c>
      <c r="B3805" s="109" t="s">
        <v>7547</v>
      </c>
      <c r="C3805" s="113">
        <v>2014</v>
      </c>
      <c r="D3805" s="99">
        <v>4692</v>
      </c>
      <c r="E3805" s="99">
        <v>2700</v>
      </c>
      <c r="F3805" s="99">
        <v>969</v>
      </c>
      <c r="G3805" s="99">
        <v>1736</v>
      </c>
      <c r="H3805" s="99">
        <v>597</v>
      </c>
      <c r="I3805" s="99">
        <v>111</v>
      </c>
      <c r="J3805" s="99">
        <v>113</v>
      </c>
      <c r="K3805" s="99">
        <v>3</v>
      </c>
      <c r="L3805" s="99">
        <v>244</v>
      </c>
      <c r="M3805" s="99">
        <v>237</v>
      </c>
      <c r="N3805" s="99">
        <v>6</v>
      </c>
    </row>
    <row r="3806" spans="1:14" ht="17.5" customHeight="1">
      <c r="A3806" s="109" t="s">
        <v>7546</v>
      </c>
      <c r="B3806" s="109" t="s">
        <v>7547</v>
      </c>
      <c r="C3806" s="113">
        <v>2015</v>
      </c>
      <c r="D3806" s="112">
        <v>4506</v>
      </c>
      <c r="E3806" s="112">
        <v>2711</v>
      </c>
      <c r="F3806" s="112">
        <v>1080</v>
      </c>
      <c r="G3806" s="112">
        <v>1638</v>
      </c>
      <c r="H3806" s="112">
        <v>493</v>
      </c>
      <c r="I3806" s="112">
        <v>170</v>
      </c>
      <c r="J3806" s="112">
        <v>181</v>
      </c>
      <c r="K3806" s="112">
        <v>11</v>
      </c>
      <c r="L3806" s="112">
        <v>242</v>
      </c>
      <c r="M3806" s="112">
        <v>236</v>
      </c>
      <c r="N3806" s="112">
        <v>7</v>
      </c>
    </row>
    <row r="3807" spans="1:14" ht="17.5" customHeight="1">
      <c r="A3807" s="109" t="s">
        <v>7546</v>
      </c>
      <c r="B3807" s="109" t="s">
        <v>7547</v>
      </c>
      <c r="C3807" s="113">
        <v>2016</v>
      </c>
      <c r="D3807" s="112">
        <v>4278</v>
      </c>
      <c r="E3807" s="112">
        <v>3127</v>
      </c>
      <c r="F3807" s="112">
        <v>1065</v>
      </c>
      <c r="G3807" s="112">
        <v>2126</v>
      </c>
      <c r="H3807" s="112">
        <v>516</v>
      </c>
      <c r="I3807" s="112">
        <v>101</v>
      </c>
      <c r="J3807" s="112">
        <v>133</v>
      </c>
      <c r="K3807" s="112">
        <v>32</v>
      </c>
      <c r="L3807" s="112">
        <v>458</v>
      </c>
      <c r="M3807" s="112">
        <v>391</v>
      </c>
      <c r="N3807" s="112">
        <v>67</v>
      </c>
    </row>
    <row r="3808" spans="1:14" ht="17.5" customHeight="1">
      <c r="A3808" s="109" t="s">
        <v>7546</v>
      </c>
      <c r="B3808" s="109" t="s">
        <v>7547</v>
      </c>
      <c r="C3808" s="113">
        <v>2017</v>
      </c>
      <c r="D3808" s="112">
        <v>4259</v>
      </c>
      <c r="E3808" s="112">
        <v>3217</v>
      </c>
      <c r="F3808" s="112">
        <v>1260</v>
      </c>
      <c r="G3808" s="112">
        <v>2041</v>
      </c>
      <c r="H3808" s="112">
        <v>617</v>
      </c>
      <c r="I3808" s="112">
        <v>99</v>
      </c>
      <c r="J3808" s="112">
        <v>110</v>
      </c>
      <c r="K3808" s="112">
        <v>11</v>
      </c>
      <c r="L3808" s="112">
        <v>360</v>
      </c>
      <c r="M3808" s="112">
        <v>320</v>
      </c>
      <c r="N3808" s="112">
        <v>40</v>
      </c>
    </row>
    <row r="3809" spans="1:14" ht="17.5" customHeight="1">
      <c r="A3809" s="109" t="s">
        <v>7546</v>
      </c>
      <c r="B3809" s="109" t="s">
        <v>7547</v>
      </c>
      <c r="C3809" s="113">
        <v>2018</v>
      </c>
      <c r="D3809" s="112">
        <v>4434</v>
      </c>
      <c r="E3809" s="112">
        <v>3237</v>
      </c>
      <c r="F3809" s="112">
        <v>1294</v>
      </c>
      <c r="G3809" s="112">
        <v>1981</v>
      </c>
      <c r="H3809" s="112">
        <v>615</v>
      </c>
      <c r="I3809" s="112">
        <v>108</v>
      </c>
      <c r="J3809" s="112">
        <v>116</v>
      </c>
      <c r="K3809" s="112">
        <v>8</v>
      </c>
      <c r="L3809" s="112">
        <v>434</v>
      </c>
      <c r="M3809" s="112">
        <v>414</v>
      </c>
      <c r="N3809" s="112">
        <v>19</v>
      </c>
    </row>
    <row r="3810" spans="1:14" ht="17.5" customHeight="1">
      <c r="A3810" s="109" t="s">
        <v>7546</v>
      </c>
      <c r="B3810" s="109" t="s">
        <v>7547</v>
      </c>
      <c r="C3810" s="113">
        <v>2019</v>
      </c>
      <c r="D3810" s="112">
        <v>4877</v>
      </c>
      <c r="E3810" s="112">
        <v>3024.6950710000001</v>
      </c>
      <c r="F3810" s="112">
        <v>1433.773408</v>
      </c>
      <c r="G3810" s="112">
        <v>1614.6483209999999</v>
      </c>
      <c r="H3810" s="112">
        <v>632.34450000000004</v>
      </c>
      <c r="I3810" s="112">
        <v>134.26950199999999</v>
      </c>
      <c r="J3810" s="112">
        <v>137.49539200000001</v>
      </c>
      <c r="K3810" s="112">
        <v>3.2258900000000001</v>
      </c>
      <c r="L3810" s="112">
        <v>268.25399399999998</v>
      </c>
      <c r="M3810" s="112">
        <v>247.678346</v>
      </c>
      <c r="N3810" s="112">
        <v>20.575648999999999</v>
      </c>
    </row>
    <row r="3811" spans="1:14" ht="17.5" customHeight="1">
      <c r="A3811" s="114" t="s">
        <v>7546</v>
      </c>
      <c r="B3811" s="109" t="s">
        <v>7547</v>
      </c>
      <c r="C3811" s="113">
        <v>2020</v>
      </c>
      <c r="D3811" s="112">
        <v>4873</v>
      </c>
      <c r="E3811" s="112">
        <v>3224.3666779999999</v>
      </c>
      <c r="F3811" s="112">
        <v>1548.883822</v>
      </c>
      <c r="G3811" s="112">
        <v>1672.9995449999999</v>
      </c>
      <c r="H3811" s="112">
        <v>556.29730400000005</v>
      </c>
      <c r="I3811" s="112">
        <v>94.071387999999999</v>
      </c>
      <c r="J3811" s="112" t="s">
        <v>6953</v>
      </c>
      <c r="K3811" s="112" t="s">
        <v>6953</v>
      </c>
      <c r="L3811" s="112">
        <v>323.87273800000003</v>
      </c>
      <c r="M3811" s="112">
        <v>335.37392399999999</v>
      </c>
      <c r="N3811" s="112">
        <v>-11.501186000000001</v>
      </c>
    </row>
    <row r="3812" spans="1:14" ht="31.75" customHeight="1">
      <c r="A3812" s="109" t="s">
        <v>7548</v>
      </c>
      <c r="B3812" s="109" t="s">
        <v>7549</v>
      </c>
      <c r="C3812" s="98">
        <v>2008</v>
      </c>
      <c r="D3812" s="99">
        <v>4619</v>
      </c>
      <c r="E3812" s="99">
        <v>14110</v>
      </c>
      <c r="F3812" s="99">
        <v>5602</v>
      </c>
      <c r="G3812" s="99">
        <v>8589</v>
      </c>
      <c r="H3812" s="99">
        <v>3515</v>
      </c>
      <c r="I3812" s="99">
        <v>457</v>
      </c>
      <c r="J3812" s="99">
        <v>527</v>
      </c>
      <c r="K3812" s="99">
        <v>69</v>
      </c>
      <c r="L3812" s="99">
        <v>1872</v>
      </c>
      <c r="M3812" s="99">
        <v>1784</v>
      </c>
      <c r="N3812" s="99">
        <v>88</v>
      </c>
    </row>
    <row r="3813" spans="1:14" ht="31.75" customHeight="1">
      <c r="A3813" s="109" t="s">
        <v>7548</v>
      </c>
      <c r="B3813" s="109" t="s">
        <v>7549</v>
      </c>
      <c r="C3813" s="98">
        <v>2009</v>
      </c>
      <c r="D3813" s="99">
        <v>5276</v>
      </c>
      <c r="E3813" s="99">
        <v>12054</v>
      </c>
      <c r="F3813" s="99">
        <v>5134</v>
      </c>
      <c r="G3813" s="99">
        <v>6884</v>
      </c>
      <c r="H3813" s="99">
        <v>3201</v>
      </c>
      <c r="I3813" s="99">
        <v>178</v>
      </c>
      <c r="J3813" s="99">
        <v>258</v>
      </c>
      <c r="K3813" s="99">
        <v>81</v>
      </c>
      <c r="L3813" s="99">
        <v>1353</v>
      </c>
      <c r="M3813" s="99">
        <v>1395</v>
      </c>
      <c r="N3813" s="99">
        <v>-41</v>
      </c>
    </row>
    <row r="3814" spans="1:14" ht="31.75" customHeight="1">
      <c r="A3814" s="109" t="s">
        <v>7548</v>
      </c>
      <c r="B3814" s="109" t="s">
        <v>7549</v>
      </c>
      <c r="C3814" s="98">
        <v>2010</v>
      </c>
      <c r="D3814" s="99">
        <v>6226</v>
      </c>
      <c r="E3814" s="99">
        <v>12191</v>
      </c>
      <c r="F3814" s="99">
        <v>5364</v>
      </c>
      <c r="G3814" s="99">
        <v>6938</v>
      </c>
      <c r="H3814" s="99">
        <v>2854</v>
      </c>
      <c r="I3814" s="99">
        <v>87</v>
      </c>
      <c r="J3814" s="99">
        <v>221</v>
      </c>
      <c r="K3814" s="99">
        <v>134</v>
      </c>
      <c r="L3814" s="99">
        <v>1290</v>
      </c>
      <c r="M3814" s="99">
        <v>1176</v>
      </c>
      <c r="N3814" s="99">
        <v>114</v>
      </c>
    </row>
    <row r="3815" spans="1:14" ht="31.75" customHeight="1">
      <c r="A3815" s="109" t="s">
        <v>7548</v>
      </c>
      <c r="B3815" s="109" t="s">
        <v>7549</v>
      </c>
      <c r="C3815" s="98">
        <v>2011</v>
      </c>
      <c r="D3815" s="99">
        <v>7697</v>
      </c>
      <c r="E3815" s="99">
        <v>12336</v>
      </c>
      <c r="F3815" s="99">
        <v>5634</v>
      </c>
      <c r="G3815" s="99">
        <v>6651</v>
      </c>
      <c r="H3815" s="99">
        <v>2969</v>
      </c>
      <c r="I3815" s="99">
        <v>198</v>
      </c>
      <c r="J3815" s="99">
        <v>260</v>
      </c>
      <c r="K3815" s="99">
        <v>62</v>
      </c>
      <c r="L3815" s="99">
        <v>1138</v>
      </c>
      <c r="M3815" s="99">
        <v>1187</v>
      </c>
      <c r="N3815" s="99">
        <v>-50</v>
      </c>
    </row>
    <row r="3816" spans="1:14" ht="31.75" customHeight="1">
      <c r="A3816" s="109" t="s">
        <v>7548</v>
      </c>
      <c r="B3816" s="109" t="s">
        <v>7549</v>
      </c>
      <c r="C3816" s="111">
        <v>2012</v>
      </c>
      <c r="D3816" s="112">
        <v>11773</v>
      </c>
      <c r="E3816" s="112">
        <v>14104</v>
      </c>
      <c r="F3816" s="112">
        <v>6564</v>
      </c>
      <c r="G3816" s="112">
        <v>7686</v>
      </c>
      <c r="H3816" s="112">
        <v>3356</v>
      </c>
      <c r="I3816" s="112">
        <v>193</v>
      </c>
      <c r="J3816" s="112">
        <v>298</v>
      </c>
      <c r="K3816" s="112">
        <v>105</v>
      </c>
      <c r="L3816" s="112">
        <v>1448</v>
      </c>
      <c r="M3816" s="112">
        <v>1304</v>
      </c>
      <c r="N3816" s="112">
        <v>144</v>
      </c>
    </row>
    <row r="3817" spans="1:14" ht="31.75" customHeight="1">
      <c r="A3817" s="109" t="s">
        <v>7548</v>
      </c>
      <c r="B3817" s="109" t="s">
        <v>7549</v>
      </c>
      <c r="C3817" s="113">
        <v>2013</v>
      </c>
      <c r="D3817" s="112">
        <v>14280</v>
      </c>
      <c r="E3817" s="112">
        <v>15604</v>
      </c>
      <c r="F3817" s="112">
        <v>7761</v>
      </c>
      <c r="G3817" s="112">
        <v>8025</v>
      </c>
      <c r="H3817" s="112">
        <v>3817</v>
      </c>
      <c r="I3817" s="112">
        <v>248</v>
      </c>
      <c r="J3817" s="112">
        <v>317</v>
      </c>
      <c r="K3817" s="112">
        <v>69</v>
      </c>
      <c r="L3817" s="112">
        <v>1565</v>
      </c>
      <c r="M3817" s="112">
        <v>1394</v>
      </c>
      <c r="N3817" s="112">
        <v>170</v>
      </c>
    </row>
    <row r="3818" spans="1:14" ht="31.75" customHeight="1">
      <c r="A3818" s="109" t="s">
        <v>7548</v>
      </c>
      <c r="B3818" s="109" t="s">
        <v>7549</v>
      </c>
      <c r="C3818" s="113">
        <v>2014</v>
      </c>
      <c r="D3818" s="99">
        <v>11549</v>
      </c>
      <c r="E3818" s="99">
        <v>16370</v>
      </c>
      <c r="F3818" s="99">
        <v>7398</v>
      </c>
      <c r="G3818" s="99">
        <v>9185</v>
      </c>
      <c r="H3818" s="99">
        <v>3669</v>
      </c>
      <c r="I3818" s="99">
        <v>392</v>
      </c>
      <c r="J3818" s="99">
        <v>496</v>
      </c>
      <c r="K3818" s="99">
        <v>104</v>
      </c>
      <c r="L3818" s="99">
        <v>1768</v>
      </c>
      <c r="M3818" s="99">
        <v>1577</v>
      </c>
      <c r="N3818" s="99">
        <v>191</v>
      </c>
    </row>
    <row r="3819" spans="1:14" ht="31.75" customHeight="1">
      <c r="A3819" s="109" t="s">
        <v>7548</v>
      </c>
      <c r="B3819" s="109" t="s">
        <v>7549</v>
      </c>
      <c r="C3819" s="113">
        <v>2015</v>
      </c>
      <c r="D3819" s="112">
        <v>12742</v>
      </c>
      <c r="E3819" s="112">
        <v>16966</v>
      </c>
      <c r="F3819" s="112">
        <v>6889</v>
      </c>
      <c r="G3819" s="112">
        <v>10085</v>
      </c>
      <c r="H3819" s="112">
        <v>3674</v>
      </c>
      <c r="I3819" s="112">
        <v>445</v>
      </c>
      <c r="J3819" s="112">
        <v>470</v>
      </c>
      <c r="K3819" s="112">
        <v>25</v>
      </c>
      <c r="L3819" s="112">
        <v>1555</v>
      </c>
      <c r="M3819" s="112">
        <v>1582</v>
      </c>
      <c r="N3819" s="112">
        <v>-27</v>
      </c>
    </row>
    <row r="3820" spans="1:14" ht="31.75" customHeight="1">
      <c r="A3820" s="109" t="s">
        <v>7548</v>
      </c>
      <c r="B3820" s="109" t="s">
        <v>7549</v>
      </c>
      <c r="C3820" s="113">
        <v>2016</v>
      </c>
      <c r="D3820" s="112">
        <v>14036</v>
      </c>
      <c r="E3820" s="112">
        <v>16629</v>
      </c>
      <c r="F3820" s="112">
        <v>6562</v>
      </c>
      <c r="G3820" s="112">
        <v>10390</v>
      </c>
      <c r="H3820" s="112">
        <v>3735</v>
      </c>
      <c r="I3820" s="112">
        <v>314</v>
      </c>
      <c r="J3820" s="112">
        <v>361</v>
      </c>
      <c r="K3820" s="112">
        <v>48</v>
      </c>
      <c r="L3820" s="112">
        <v>1858</v>
      </c>
      <c r="M3820" s="112">
        <v>1550</v>
      </c>
      <c r="N3820" s="112">
        <v>308</v>
      </c>
    </row>
    <row r="3821" spans="1:14" ht="31.75" customHeight="1">
      <c r="A3821" s="109" t="s">
        <v>7548</v>
      </c>
      <c r="B3821" s="109" t="s">
        <v>7549</v>
      </c>
      <c r="C3821" s="113">
        <v>2017</v>
      </c>
      <c r="D3821" s="112">
        <v>13706</v>
      </c>
      <c r="E3821" s="112">
        <v>18790</v>
      </c>
      <c r="F3821" s="112">
        <v>7084</v>
      </c>
      <c r="G3821" s="112">
        <v>11801</v>
      </c>
      <c r="H3821" s="112">
        <v>4105</v>
      </c>
      <c r="I3821" s="112">
        <v>450</v>
      </c>
      <c r="J3821" s="112">
        <v>499</v>
      </c>
      <c r="K3821" s="112">
        <v>49</v>
      </c>
      <c r="L3821" s="112">
        <v>1977</v>
      </c>
      <c r="M3821" s="112">
        <v>1899</v>
      </c>
      <c r="N3821" s="112">
        <v>77</v>
      </c>
    </row>
    <row r="3822" spans="1:14" ht="31.75" customHeight="1">
      <c r="A3822" s="109" t="s">
        <v>7548</v>
      </c>
      <c r="B3822" s="109" t="s">
        <v>7549</v>
      </c>
      <c r="C3822" s="113">
        <v>2018</v>
      </c>
      <c r="D3822" s="112">
        <v>14176</v>
      </c>
      <c r="E3822" s="112">
        <v>18420</v>
      </c>
      <c r="F3822" s="112">
        <v>7105</v>
      </c>
      <c r="G3822" s="112">
        <v>11372</v>
      </c>
      <c r="H3822" s="112">
        <v>4040</v>
      </c>
      <c r="I3822" s="112">
        <v>388</v>
      </c>
      <c r="J3822" s="112">
        <v>428</v>
      </c>
      <c r="K3822" s="112">
        <v>39</v>
      </c>
      <c r="L3822" s="112">
        <v>1953</v>
      </c>
      <c r="M3822" s="112">
        <v>1938</v>
      </c>
      <c r="N3822" s="112">
        <v>15</v>
      </c>
    </row>
    <row r="3823" spans="1:14" ht="31.75" customHeight="1">
      <c r="A3823" s="109" t="s">
        <v>7548</v>
      </c>
      <c r="B3823" s="109" t="s">
        <v>7549</v>
      </c>
      <c r="C3823" s="113">
        <v>2019</v>
      </c>
      <c r="D3823" s="112">
        <v>15135</v>
      </c>
      <c r="E3823" s="112">
        <v>17583.603985000002</v>
      </c>
      <c r="F3823" s="112">
        <v>7407.2918300000001</v>
      </c>
      <c r="G3823" s="112">
        <v>10331.6353</v>
      </c>
      <c r="H3823" s="112">
        <v>4056.5261350000001</v>
      </c>
      <c r="I3823" s="112">
        <v>484.52513699999997</v>
      </c>
      <c r="J3823" s="112">
        <v>563.93289400000003</v>
      </c>
      <c r="K3823" s="112">
        <v>79.407757000000004</v>
      </c>
      <c r="L3823" s="112">
        <v>1764.41815</v>
      </c>
      <c r="M3823" s="112">
        <v>1654.3996529999999</v>
      </c>
      <c r="N3823" s="112">
        <v>110.018497</v>
      </c>
    </row>
    <row r="3824" spans="1:14" ht="31.75" customHeight="1">
      <c r="A3824" s="114" t="s">
        <v>7548</v>
      </c>
      <c r="B3824" s="114" t="s">
        <v>7549</v>
      </c>
      <c r="C3824" s="113">
        <v>2020</v>
      </c>
      <c r="D3824" s="112">
        <v>15410</v>
      </c>
      <c r="E3824" s="112">
        <v>16471.01802</v>
      </c>
      <c r="F3824" s="112">
        <v>7107.9515469999997</v>
      </c>
      <c r="G3824" s="112">
        <v>9392.452045</v>
      </c>
      <c r="H3824" s="112">
        <v>4087.9572589999998</v>
      </c>
      <c r="I3824" s="112">
        <v>271.60725000000002</v>
      </c>
      <c r="J3824" s="112">
        <v>380.730974</v>
      </c>
      <c r="K3824" s="112">
        <v>109.123723</v>
      </c>
      <c r="L3824" s="112">
        <v>1745.034881</v>
      </c>
      <c r="M3824" s="112">
        <v>1767.5397390000001</v>
      </c>
      <c r="N3824" s="112">
        <v>-22.504859</v>
      </c>
    </row>
    <row r="3825" spans="1:14" ht="31.75" customHeight="1">
      <c r="A3825" s="109" t="s">
        <v>7550</v>
      </c>
      <c r="B3825" s="109" t="s">
        <v>7551</v>
      </c>
      <c r="C3825" s="98">
        <v>2008</v>
      </c>
      <c r="D3825" s="99">
        <v>4053</v>
      </c>
      <c r="E3825" s="99">
        <v>11754</v>
      </c>
      <c r="F3825" s="99">
        <v>4706</v>
      </c>
      <c r="G3825" s="99">
        <v>7108</v>
      </c>
      <c r="H3825" s="99">
        <v>2890</v>
      </c>
      <c r="I3825" s="99">
        <v>438</v>
      </c>
      <c r="J3825" s="99">
        <v>502</v>
      </c>
      <c r="K3825" s="99">
        <v>64</v>
      </c>
      <c r="L3825" s="99">
        <v>1577</v>
      </c>
      <c r="M3825" s="99">
        <v>1510</v>
      </c>
      <c r="N3825" s="99">
        <v>68</v>
      </c>
    </row>
    <row r="3826" spans="1:14" ht="31.75" customHeight="1">
      <c r="A3826" s="109" t="s">
        <v>7550</v>
      </c>
      <c r="B3826" s="109" t="s">
        <v>7551</v>
      </c>
      <c r="C3826" s="98">
        <v>2009</v>
      </c>
      <c r="D3826" s="99">
        <v>4510</v>
      </c>
      <c r="E3826" s="99">
        <v>9069</v>
      </c>
      <c r="F3826" s="99">
        <v>3995</v>
      </c>
      <c r="G3826" s="99">
        <v>5071</v>
      </c>
      <c r="H3826" s="99">
        <v>2454</v>
      </c>
      <c r="I3826" s="99">
        <v>168</v>
      </c>
      <c r="J3826" s="99">
        <v>220</v>
      </c>
      <c r="K3826" s="99">
        <v>52</v>
      </c>
      <c r="L3826" s="99">
        <v>1119</v>
      </c>
      <c r="M3826" s="99">
        <v>1127</v>
      </c>
      <c r="N3826" s="99">
        <v>-8</v>
      </c>
    </row>
    <row r="3827" spans="1:14" ht="31.75" customHeight="1">
      <c r="A3827" s="109" t="s">
        <v>7550</v>
      </c>
      <c r="B3827" s="109" t="s">
        <v>7551</v>
      </c>
      <c r="C3827" s="98">
        <v>2010</v>
      </c>
      <c r="D3827" s="99">
        <v>5320</v>
      </c>
      <c r="E3827" s="99">
        <v>8488</v>
      </c>
      <c r="F3827" s="99">
        <v>3879</v>
      </c>
      <c r="G3827" s="99">
        <v>4729</v>
      </c>
      <c r="H3827" s="99">
        <v>2080</v>
      </c>
      <c r="I3827" s="99">
        <v>60</v>
      </c>
      <c r="J3827" s="99">
        <v>175</v>
      </c>
      <c r="K3827" s="99">
        <v>115</v>
      </c>
      <c r="L3827" s="99">
        <v>994</v>
      </c>
      <c r="M3827" s="99">
        <v>876</v>
      </c>
      <c r="N3827" s="99">
        <v>118</v>
      </c>
    </row>
    <row r="3828" spans="1:14" ht="31.75" customHeight="1">
      <c r="A3828" s="109" t="s">
        <v>7550</v>
      </c>
      <c r="B3828" s="109" t="s">
        <v>7551</v>
      </c>
      <c r="C3828" s="98">
        <v>2011</v>
      </c>
      <c r="D3828" s="99">
        <v>6607</v>
      </c>
      <c r="E3828" s="99">
        <v>9502</v>
      </c>
      <c r="F3828" s="99">
        <v>4258</v>
      </c>
      <c r="G3828" s="99">
        <v>5197</v>
      </c>
      <c r="H3828" s="99">
        <v>2295</v>
      </c>
      <c r="I3828" s="99">
        <v>184</v>
      </c>
      <c r="J3828" s="99">
        <v>230</v>
      </c>
      <c r="K3828" s="99">
        <v>46</v>
      </c>
      <c r="L3828" s="99">
        <v>961</v>
      </c>
      <c r="M3828" s="99">
        <v>1006</v>
      </c>
      <c r="N3828" s="99">
        <v>-45</v>
      </c>
    </row>
    <row r="3829" spans="1:14" ht="31.75" customHeight="1">
      <c r="A3829" s="109" t="s">
        <v>7550</v>
      </c>
      <c r="B3829" s="109" t="s">
        <v>7551</v>
      </c>
      <c r="C3829" s="111">
        <v>2012</v>
      </c>
      <c r="D3829" s="112">
        <v>10555</v>
      </c>
      <c r="E3829" s="112">
        <v>11016</v>
      </c>
      <c r="F3829" s="112">
        <v>5238</v>
      </c>
      <c r="G3829" s="112">
        <v>5923</v>
      </c>
      <c r="H3829" s="112">
        <v>2674</v>
      </c>
      <c r="I3829" s="112">
        <v>180</v>
      </c>
      <c r="J3829" s="112">
        <v>222</v>
      </c>
      <c r="K3829" s="112">
        <v>42</v>
      </c>
      <c r="L3829" s="112">
        <v>1292</v>
      </c>
      <c r="M3829" s="112">
        <v>1145</v>
      </c>
      <c r="N3829" s="112">
        <v>147</v>
      </c>
    </row>
    <row r="3830" spans="1:14" ht="31.75" customHeight="1">
      <c r="A3830" s="109" t="s">
        <v>7550</v>
      </c>
      <c r="B3830" s="109" t="s">
        <v>7551</v>
      </c>
      <c r="C3830" s="113">
        <v>2013</v>
      </c>
      <c r="D3830" s="112">
        <v>12770</v>
      </c>
      <c r="E3830" s="112">
        <v>12446</v>
      </c>
      <c r="F3830" s="112">
        <v>6351</v>
      </c>
      <c r="G3830" s="112">
        <v>6233</v>
      </c>
      <c r="H3830" s="112">
        <v>2965</v>
      </c>
      <c r="I3830" s="112">
        <v>215</v>
      </c>
      <c r="J3830" s="112">
        <v>263</v>
      </c>
      <c r="K3830" s="112">
        <v>48</v>
      </c>
      <c r="L3830" s="112">
        <v>1358</v>
      </c>
      <c r="M3830" s="112">
        <v>1231</v>
      </c>
      <c r="N3830" s="112">
        <v>127</v>
      </c>
    </row>
    <row r="3831" spans="1:14" ht="31.75" customHeight="1">
      <c r="A3831" s="109" t="s">
        <v>7550</v>
      </c>
      <c r="B3831" s="109" t="s">
        <v>7551</v>
      </c>
      <c r="C3831" s="113">
        <v>2014</v>
      </c>
      <c r="D3831" s="99">
        <v>9843</v>
      </c>
      <c r="E3831" s="99">
        <v>13231</v>
      </c>
      <c r="F3831" s="99">
        <v>5947</v>
      </c>
      <c r="G3831" s="99">
        <v>7468</v>
      </c>
      <c r="H3831" s="99">
        <v>2906</v>
      </c>
      <c r="I3831" s="99">
        <v>326</v>
      </c>
      <c r="J3831" s="99">
        <v>418</v>
      </c>
      <c r="K3831" s="99">
        <v>92</v>
      </c>
      <c r="L3831" s="99">
        <v>1499</v>
      </c>
      <c r="M3831" s="99">
        <v>1330</v>
      </c>
      <c r="N3831" s="99">
        <v>169</v>
      </c>
    </row>
    <row r="3832" spans="1:14" ht="31.75" customHeight="1">
      <c r="A3832" s="109" t="s">
        <v>7550</v>
      </c>
      <c r="B3832" s="109" t="s">
        <v>7551</v>
      </c>
      <c r="C3832" s="113">
        <v>2015</v>
      </c>
      <c r="D3832" s="112">
        <v>10765</v>
      </c>
      <c r="E3832" s="112">
        <v>13796</v>
      </c>
      <c r="F3832" s="112">
        <v>5490</v>
      </c>
      <c r="G3832" s="112">
        <v>8264</v>
      </c>
      <c r="H3832" s="112">
        <v>2893</v>
      </c>
      <c r="I3832" s="112">
        <v>347</v>
      </c>
      <c r="J3832" s="112">
        <v>369</v>
      </c>
      <c r="K3832" s="112">
        <v>22</v>
      </c>
      <c r="L3832" s="112">
        <v>1321</v>
      </c>
      <c r="M3832" s="112">
        <v>1372</v>
      </c>
      <c r="N3832" s="112">
        <v>-52</v>
      </c>
    </row>
    <row r="3833" spans="1:14" ht="31.75" customHeight="1">
      <c r="A3833" s="109" t="s">
        <v>7550</v>
      </c>
      <c r="B3833" s="109" t="s">
        <v>7551</v>
      </c>
      <c r="C3833" s="113">
        <v>2016</v>
      </c>
      <c r="D3833" s="112">
        <v>11861</v>
      </c>
      <c r="E3833" s="112">
        <v>13522</v>
      </c>
      <c r="F3833" s="112">
        <v>5242</v>
      </c>
      <c r="G3833" s="112">
        <v>8553</v>
      </c>
      <c r="H3833" s="112">
        <v>2925</v>
      </c>
      <c r="I3833" s="112">
        <v>280</v>
      </c>
      <c r="J3833" s="112">
        <v>323</v>
      </c>
      <c r="K3833" s="112">
        <v>43</v>
      </c>
      <c r="L3833" s="112">
        <v>1597</v>
      </c>
      <c r="M3833" s="112">
        <v>1332</v>
      </c>
      <c r="N3833" s="112">
        <v>265</v>
      </c>
    </row>
    <row r="3834" spans="1:14" ht="31.75" customHeight="1">
      <c r="A3834" s="109" t="s">
        <v>7550</v>
      </c>
      <c r="B3834" s="109" t="s">
        <v>7551</v>
      </c>
      <c r="C3834" s="113">
        <v>2017</v>
      </c>
      <c r="D3834" s="112">
        <v>11583</v>
      </c>
      <c r="E3834" s="112">
        <v>15631</v>
      </c>
      <c r="F3834" s="112">
        <v>5712</v>
      </c>
      <c r="G3834" s="112">
        <v>9989</v>
      </c>
      <c r="H3834" s="112">
        <v>3293</v>
      </c>
      <c r="I3834" s="112">
        <v>313</v>
      </c>
      <c r="J3834" s="112">
        <v>356</v>
      </c>
      <c r="K3834" s="112">
        <v>43</v>
      </c>
      <c r="L3834" s="112">
        <v>1788</v>
      </c>
      <c r="M3834" s="112">
        <v>1729</v>
      </c>
      <c r="N3834" s="112">
        <v>59</v>
      </c>
    </row>
    <row r="3835" spans="1:14" ht="31.75" customHeight="1">
      <c r="A3835" s="109" t="s">
        <v>7550</v>
      </c>
      <c r="B3835" s="109" t="s">
        <v>7551</v>
      </c>
      <c r="C3835" s="113">
        <v>2018</v>
      </c>
      <c r="D3835" s="112">
        <v>12006</v>
      </c>
      <c r="E3835" s="112">
        <v>14207</v>
      </c>
      <c r="F3835" s="112">
        <v>5662</v>
      </c>
      <c r="G3835" s="112">
        <v>8724</v>
      </c>
      <c r="H3835" s="112">
        <v>3131</v>
      </c>
      <c r="I3835" s="112">
        <v>303</v>
      </c>
      <c r="J3835" s="112">
        <v>337</v>
      </c>
      <c r="K3835" s="112">
        <v>34</v>
      </c>
      <c r="L3835" s="112">
        <v>1639</v>
      </c>
      <c r="M3835" s="112">
        <v>1487</v>
      </c>
      <c r="N3835" s="112">
        <v>152</v>
      </c>
    </row>
    <row r="3836" spans="1:14" ht="31.75" customHeight="1">
      <c r="A3836" s="109" t="s">
        <v>7550</v>
      </c>
      <c r="B3836" s="109" t="s">
        <v>7551</v>
      </c>
      <c r="C3836" s="113">
        <v>2019</v>
      </c>
      <c r="D3836" s="112">
        <v>12948</v>
      </c>
      <c r="E3836" s="112">
        <v>13938.331203</v>
      </c>
      <c r="F3836" s="112">
        <v>5981.2817990000003</v>
      </c>
      <c r="G3836" s="112">
        <v>8085.1395169999996</v>
      </c>
      <c r="H3836" s="112">
        <v>3183.0742449999998</v>
      </c>
      <c r="I3836" s="112">
        <v>368.13067699999999</v>
      </c>
      <c r="J3836" s="112">
        <v>420.78090300000002</v>
      </c>
      <c r="K3836" s="112">
        <v>52.650226000000004</v>
      </c>
      <c r="L3836" s="112">
        <v>1424.6883640000001</v>
      </c>
      <c r="M3836" s="112">
        <v>1341.7367019999999</v>
      </c>
      <c r="N3836" s="112">
        <v>82.951661999999999</v>
      </c>
    </row>
    <row r="3837" spans="1:14" ht="31.75" customHeight="1">
      <c r="A3837" s="114" t="s">
        <v>7550</v>
      </c>
      <c r="B3837" s="114" t="s">
        <v>7551</v>
      </c>
      <c r="C3837" s="113">
        <v>2020</v>
      </c>
      <c r="D3837" s="112">
        <v>13174</v>
      </c>
      <c r="E3837" s="112">
        <v>12672.502904000001</v>
      </c>
      <c r="F3837" s="112">
        <v>5659.2214219999996</v>
      </c>
      <c r="G3837" s="112">
        <v>6994.8524589999997</v>
      </c>
      <c r="H3837" s="112">
        <v>3181.706275</v>
      </c>
      <c r="I3837" s="112">
        <v>237.25980999999999</v>
      </c>
      <c r="J3837" s="112">
        <v>325.75522699999999</v>
      </c>
      <c r="K3837" s="112">
        <v>88.495417000000003</v>
      </c>
      <c r="L3837" s="112">
        <v>1373.460413</v>
      </c>
      <c r="M3837" s="112">
        <v>1440.2658220000001</v>
      </c>
      <c r="N3837" s="112">
        <v>-66.805408999999997</v>
      </c>
    </row>
    <row r="3838" spans="1:14" ht="17.5" customHeight="1">
      <c r="A3838" s="109" t="s">
        <v>7552</v>
      </c>
      <c r="B3838" s="109" t="s">
        <v>7553</v>
      </c>
      <c r="C3838" s="98">
        <v>2008</v>
      </c>
      <c r="D3838" s="99">
        <v>366</v>
      </c>
      <c r="E3838" s="99">
        <v>1163</v>
      </c>
      <c r="F3838" s="99">
        <v>552</v>
      </c>
      <c r="G3838" s="99">
        <v>610</v>
      </c>
      <c r="H3838" s="99">
        <v>416</v>
      </c>
      <c r="I3838" s="99">
        <v>16</v>
      </c>
      <c r="J3838" s="99">
        <v>20</v>
      </c>
      <c r="K3838" s="99">
        <v>4</v>
      </c>
      <c r="L3838" s="99">
        <v>82</v>
      </c>
      <c r="M3838" s="99">
        <v>84</v>
      </c>
      <c r="N3838" s="99">
        <v>-2</v>
      </c>
    </row>
    <row r="3839" spans="1:14" ht="17.5" customHeight="1">
      <c r="A3839" s="109" t="s">
        <v>7552</v>
      </c>
      <c r="B3839" s="109" t="s">
        <v>7553</v>
      </c>
      <c r="C3839" s="98">
        <v>2009</v>
      </c>
      <c r="D3839" s="99">
        <v>315</v>
      </c>
      <c r="E3839" s="99">
        <v>1110</v>
      </c>
      <c r="F3839" s="99">
        <v>582</v>
      </c>
      <c r="G3839" s="99">
        <v>532</v>
      </c>
      <c r="H3839" s="99">
        <v>429</v>
      </c>
      <c r="I3839" s="99">
        <v>13</v>
      </c>
      <c r="J3839" s="99">
        <v>14</v>
      </c>
      <c r="K3839" s="99" t="s">
        <v>6952</v>
      </c>
      <c r="L3839" s="99">
        <v>47</v>
      </c>
      <c r="M3839" s="99">
        <v>43</v>
      </c>
      <c r="N3839" s="99">
        <v>4</v>
      </c>
    </row>
    <row r="3840" spans="1:14" ht="17.5" customHeight="1">
      <c r="A3840" s="109" t="s">
        <v>7552</v>
      </c>
      <c r="B3840" s="109" t="s">
        <v>7553</v>
      </c>
      <c r="C3840" s="98">
        <v>2010</v>
      </c>
      <c r="D3840" s="99">
        <v>427</v>
      </c>
      <c r="E3840" s="99">
        <v>787</v>
      </c>
      <c r="F3840" s="99">
        <v>403</v>
      </c>
      <c r="G3840" s="99">
        <v>394</v>
      </c>
      <c r="H3840" s="99">
        <v>305</v>
      </c>
      <c r="I3840" s="99">
        <v>11</v>
      </c>
      <c r="J3840" s="99">
        <v>14</v>
      </c>
      <c r="K3840" s="99">
        <v>3</v>
      </c>
      <c r="L3840" s="99">
        <v>29</v>
      </c>
      <c r="M3840" s="99">
        <v>19</v>
      </c>
      <c r="N3840" s="99">
        <v>10</v>
      </c>
    </row>
    <row r="3841" spans="1:14" ht="17.5" customHeight="1">
      <c r="A3841" s="109" t="s">
        <v>7552</v>
      </c>
      <c r="B3841" s="109" t="s">
        <v>7553</v>
      </c>
      <c r="C3841" s="98">
        <v>2011</v>
      </c>
      <c r="D3841" s="99">
        <v>536</v>
      </c>
      <c r="E3841" s="99">
        <v>691</v>
      </c>
      <c r="F3841" s="99">
        <v>367</v>
      </c>
      <c r="G3841" s="99">
        <v>320</v>
      </c>
      <c r="H3841" s="99">
        <v>260</v>
      </c>
      <c r="I3841" s="99">
        <v>11</v>
      </c>
      <c r="J3841" s="99">
        <v>13</v>
      </c>
      <c r="K3841" s="99">
        <v>2</v>
      </c>
      <c r="L3841" s="99">
        <v>10</v>
      </c>
      <c r="M3841" s="99">
        <v>15</v>
      </c>
      <c r="N3841" s="99">
        <v>-5</v>
      </c>
    </row>
    <row r="3842" spans="1:14" ht="17.5" customHeight="1">
      <c r="A3842" s="109" t="s">
        <v>7552</v>
      </c>
      <c r="B3842" s="109" t="s">
        <v>7553</v>
      </c>
      <c r="C3842" s="111">
        <v>2012</v>
      </c>
      <c r="D3842" s="112">
        <v>655</v>
      </c>
      <c r="E3842" s="112">
        <v>863</v>
      </c>
      <c r="F3842" s="112">
        <v>421</v>
      </c>
      <c r="G3842" s="112">
        <v>437</v>
      </c>
      <c r="H3842" s="112">
        <v>228</v>
      </c>
      <c r="I3842" s="112">
        <v>18</v>
      </c>
      <c r="J3842" s="112">
        <v>19</v>
      </c>
      <c r="K3842" s="112">
        <v>2</v>
      </c>
      <c r="L3842" s="112">
        <v>44</v>
      </c>
      <c r="M3842" s="112">
        <v>50</v>
      </c>
      <c r="N3842" s="112">
        <v>-5</v>
      </c>
    </row>
    <row r="3843" spans="1:14" ht="17.5" customHeight="1">
      <c r="A3843" s="109" t="s">
        <v>7552</v>
      </c>
      <c r="B3843" s="109" t="s">
        <v>7553</v>
      </c>
      <c r="C3843" s="113">
        <v>2013</v>
      </c>
      <c r="D3843" s="112">
        <v>751</v>
      </c>
      <c r="E3843" s="112">
        <v>844</v>
      </c>
      <c r="F3843" s="112">
        <v>486</v>
      </c>
      <c r="G3843" s="112">
        <v>358</v>
      </c>
      <c r="H3843" s="112">
        <v>349</v>
      </c>
      <c r="I3843" s="112">
        <v>16</v>
      </c>
      <c r="J3843" s="112">
        <v>24</v>
      </c>
      <c r="K3843" s="112">
        <v>8</v>
      </c>
      <c r="L3843" s="112">
        <v>50</v>
      </c>
      <c r="M3843" s="112">
        <v>57</v>
      </c>
      <c r="N3843" s="112">
        <v>-7</v>
      </c>
    </row>
    <row r="3844" spans="1:14" ht="17.5" customHeight="1">
      <c r="A3844" s="109" t="s">
        <v>7552</v>
      </c>
      <c r="B3844" s="109" t="s">
        <v>7553</v>
      </c>
      <c r="C3844" s="113">
        <v>2014</v>
      </c>
      <c r="D3844" s="99">
        <v>845</v>
      </c>
      <c r="E3844" s="99">
        <v>946</v>
      </c>
      <c r="F3844" s="99">
        <v>557</v>
      </c>
      <c r="G3844" s="99">
        <v>405</v>
      </c>
      <c r="H3844" s="99">
        <v>305</v>
      </c>
      <c r="I3844" s="99">
        <v>17</v>
      </c>
      <c r="J3844" s="99">
        <v>18</v>
      </c>
      <c r="K3844" s="99">
        <v>1</v>
      </c>
      <c r="L3844" s="99">
        <v>51</v>
      </c>
      <c r="M3844" s="99">
        <v>38</v>
      </c>
      <c r="N3844" s="99">
        <v>13</v>
      </c>
    </row>
    <row r="3845" spans="1:14" ht="17.5" customHeight="1">
      <c r="A3845" s="109" t="s">
        <v>7552</v>
      </c>
      <c r="B3845" s="109" t="s">
        <v>7553</v>
      </c>
      <c r="C3845" s="113">
        <v>2015</v>
      </c>
      <c r="D3845" s="112">
        <v>941</v>
      </c>
      <c r="E3845" s="112">
        <v>716</v>
      </c>
      <c r="F3845" s="112">
        <v>440</v>
      </c>
      <c r="G3845" s="112">
        <v>270</v>
      </c>
      <c r="H3845" s="112">
        <v>281</v>
      </c>
      <c r="I3845" s="112">
        <v>18</v>
      </c>
      <c r="J3845" s="112">
        <v>19</v>
      </c>
      <c r="K3845" s="112">
        <v>1</v>
      </c>
      <c r="L3845" s="112">
        <v>13</v>
      </c>
      <c r="M3845" s="112">
        <v>19</v>
      </c>
      <c r="N3845" s="112">
        <v>-6</v>
      </c>
    </row>
    <row r="3846" spans="1:14" ht="17.5" customHeight="1">
      <c r="A3846" s="109" t="s">
        <v>7552</v>
      </c>
      <c r="B3846" s="109" t="s">
        <v>7553</v>
      </c>
      <c r="C3846" s="113">
        <v>2016</v>
      </c>
      <c r="D3846" s="112">
        <v>1013</v>
      </c>
      <c r="E3846" s="112">
        <v>794</v>
      </c>
      <c r="F3846" s="112">
        <v>407</v>
      </c>
      <c r="G3846" s="112">
        <v>390</v>
      </c>
      <c r="H3846" s="112">
        <v>292</v>
      </c>
      <c r="I3846" s="112">
        <v>37</v>
      </c>
      <c r="J3846" s="112">
        <v>40</v>
      </c>
      <c r="K3846" s="112">
        <v>4</v>
      </c>
      <c r="L3846" s="112">
        <v>13</v>
      </c>
      <c r="M3846" s="112">
        <v>11</v>
      </c>
      <c r="N3846" s="112">
        <v>2</v>
      </c>
    </row>
    <row r="3847" spans="1:14" ht="17.5" customHeight="1">
      <c r="A3847" s="109" t="s">
        <v>7552</v>
      </c>
      <c r="B3847" s="109" t="s">
        <v>7553</v>
      </c>
      <c r="C3847" s="113">
        <v>2017</v>
      </c>
      <c r="D3847" s="112">
        <v>987</v>
      </c>
      <c r="E3847" s="112">
        <v>721</v>
      </c>
      <c r="F3847" s="112">
        <v>384</v>
      </c>
      <c r="G3847" s="112">
        <v>337</v>
      </c>
      <c r="H3847" s="112">
        <v>250</v>
      </c>
      <c r="I3847" s="112">
        <v>12</v>
      </c>
      <c r="J3847" s="112">
        <v>14</v>
      </c>
      <c r="K3847" s="112">
        <v>2</v>
      </c>
      <c r="L3847" s="112">
        <v>16</v>
      </c>
      <c r="M3847" s="112">
        <v>15</v>
      </c>
      <c r="N3847" s="112">
        <v>1</v>
      </c>
    </row>
    <row r="3848" spans="1:14" ht="17.5" customHeight="1">
      <c r="A3848" s="109" t="s">
        <v>7552</v>
      </c>
      <c r="B3848" s="109" t="s">
        <v>7553</v>
      </c>
      <c r="C3848" s="113">
        <v>2018</v>
      </c>
      <c r="D3848" s="112">
        <v>1030</v>
      </c>
      <c r="E3848" s="112">
        <v>682</v>
      </c>
      <c r="F3848" s="112">
        <v>376</v>
      </c>
      <c r="G3848" s="112">
        <v>308</v>
      </c>
      <c r="H3848" s="112">
        <v>244</v>
      </c>
      <c r="I3848" s="112">
        <v>13</v>
      </c>
      <c r="J3848" s="112">
        <v>14</v>
      </c>
      <c r="K3848" s="112">
        <v>1</v>
      </c>
      <c r="L3848" s="112">
        <v>11</v>
      </c>
      <c r="M3848" s="112">
        <v>10</v>
      </c>
      <c r="N3848" s="112">
        <v>1</v>
      </c>
    </row>
    <row r="3849" spans="1:14" ht="17.5" customHeight="1">
      <c r="A3849" s="109" t="s">
        <v>7552</v>
      </c>
      <c r="B3849" s="109" t="s">
        <v>7553</v>
      </c>
      <c r="C3849" s="113">
        <v>2019</v>
      </c>
      <c r="D3849" s="112">
        <v>1099</v>
      </c>
      <c r="E3849" s="112">
        <v>767.09345299999995</v>
      </c>
      <c r="F3849" s="112">
        <v>491.16657600000002</v>
      </c>
      <c r="G3849" s="112">
        <v>283.51419399999997</v>
      </c>
      <c r="H3849" s="112">
        <v>181.77645999999999</v>
      </c>
      <c r="I3849" s="112">
        <v>19.948848999999999</v>
      </c>
      <c r="J3849" s="112">
        <v>20.762639</v>
      </c>
      <c r="K3849" s="112">
        <v>0.81379000000000001</v>
      </c>
      <c r="L3849" s="112">
        <v>21.596509999999999</v>
      </c>
      <c r="M3849" s="112">
        <v>14.953339</v>
      </c>
      <c r="N3849" s="112">
        <v>6.6431709999999997</v>
      </c>
    </row>
    <row r="3850" spans="1:14" ht="17.5" customHeight="1">
      <c r="A3850" s="114" t="s">
        <v>7552</v>
      </c>
      <c r="B3850" s="114" t="s">
        <v>7553</v>
      </c>
      <c r="C3850" s="113">
        <v>2020</v>
      </c>
      <c r="D3850" s="112">
        <v>1157</v>
      </c>
      <c r="E3850" s="112">
        <v>670.70153000000005</v>
      </c>
      <c r="F3850" s="112">
        <v>387.953937</v>
      </c>
      <c r="G3850" s="112">
        <v>278.76075700000001</v>
      </c>
      <c r="H3850" s="112">
        <v>173.44521</v>
      </c>
      <c r="I3850" s="112">
        <v>7.3312520000000001</v>
      </c>
      <c r="J3850" s="112">
        <v>10.940594000000001</v>
      </c>
      <c r="K3850" s="112">
        <v>3.609343</v>
      </c>
      <c r="L3850" s="112">
        <v>12.091626</v>
      </c>
      <c r="M3850" s="112">
        <v>14.224192</v>
      </c>
      <c r="N3850" s="112">
        <v>-2.1325660000000002</v>
      </c>
    </row>
    <row r="3851" spans="1:14" ht="17.5" customHeight="1">
      <c r="A3851" s="109" t="s">
        <v>7554</v>
      </c>
      <c r="B3851" s="109" t="s">
        <v>7555</v>
      </c>
      <c r="C3851" s="98">
        <v>2008</v>
      </c>
      <c r="D3851" s="99">
        <v>1869</v>
      </c>
      <c r="E3851" s="99">
        <v>3429</v>
      </c>
      <c r="F3851" s="99">
        <v>1618</v>
      </c>
      <c r="G3851" s="99">
        <v>1835</v>
      </c>
      <c r="H3851" s="99">
        <v>960</v>
      </c>
      <c r="I3851" s="99">
        <v>68</v>
      </c>
      <c r="J3851" s="99">
        <v>88</v>
      </c>
      <c r="K3851" s="99">
        <v>20</v>
      </c>
      <c r="L3851" s="99">
        <v>574</v>
      </c>
      <c r="M3851" s="99">
        <v>548</v>
      </c>
      <c r="N3851" s="99">
        <v>27</v>
      </c>
    </row>
    <row r="3852" spans="1:14" ht="17.5" customHeight="1">
      <c r="A3852" s="109" t="s">
        <v>7554</v>
      </c>
      <c r="B3852" s="109" t="s">
        <v>7555</v>
      </c>
      <c r="C3852" s="98">
        <v>2009</v>
      </c>
      <c r="D3852" s="99">
        <v>1969</v>
      </c>
      <c r="E3852" s="99">
        <v>2757</v>
      </c>
      <c r="F3852" s="99">
        <v>1236</v>
      </c>
      <c r="G3852" s="99">
        <v>1496</v>
      </c>
      <c r="H3852" s="99">
        <v>934</v>
      </c>
      <c r="I3852" s="99">
        <v>30</v>
      </c>
      <c r="J3852" s="99">
        <v>69</v>
      </c>
      <c r="K3852" s="99">
        <v>40</v>
      </c>
      <c r="L3852" s="99">
        <v>354</v>
      </c>
      <c r="M3852" s="99">
        <v>379</v>
      </c>
      <c r="N3852" s="99">
        <v>-25</v>
      </c>
    </row>
    <row r="3853" spans="1:14" ht="17.5" customHeight="1">
      <c r="A3853" s="109" t="s">
        <v>7554</v>
      </c>
      <c r="B3853" s="109" t="s">
        <v>7555</v>
      </c>
      <c r="C3853" s="98">
        <v>2010</v>
      </c>
      <c r="D3853" s="99">
        <v>2046</v>
      </c>
      <c r="E3853" s="99">
        <v>2792</v>
      </c>
      <c r="F3853" s="99">
        <v>1252</v>
      </c>
      <c r="G3853" s="99">
        <v>1581</v>
      </c>
      <c r="H3853" s="99">
        <v>818</v>
      </c>
      <c r="I3853" s="99">
        <v>54</v>
      </c>
      <c r="J3853" s="99">
        <v>78</v>
      </c>
      <c r="K3853" s="99">
        <v>24</v>
      </c>
      <c r="L3853" s="99">
        <v>365</v>
      </c>
      <c r="M3853" s="99">
        <v>323</v>
      </c>
      <c r="N3853" s="99">
        <v>42</v>
      </c>
    </row>
    <row r="3854" spans="1:14" ht="17.5" customHeight="1">
      <c r="A3854" s="109" t="s">
        <v>7554</v>
      </c>
      <c r="B3854" s="109" t="s">
        <v>7555</v>
      </c>
      <c r="C3854" s="98">
        <v>2011</v>
      </c>
      <c r="D3854" s="99">
        <v>2413</v>
      </c>
      <c r="E3854" s="99">
        <v>3246</v>
      </c>
      <c r="F3854" s="99">
        <v>1481</v>
      </c>
      <c r="G3854" s="99">
        <v>1725</v>
      </c>
      <c r="H3854" s="99">
        <v>907</v>
      </c>
      <c r="I3854" s="99">
        <v>63</v>
      </c>
      <c r="J3854" s="99">
        <v>98</v>
      </c>
      <c r="K3854" s="99">
        <v>35</v>
      </c>
      <c r="L3854" s="99">
        <v>378</v>
      </c>
      <c r="M3854" s="99">
        <v>417</v>
      </c>
      <c r="N3854" s="99">
        <v>-39</v>
      </c>
    </row>
    <row r="3855" spans="1:14" ht="17.5" customHeight="1">
      <c r="A3855" s="109" t="s">
        <v>7554</v>
      </c>
      <c r="B3855" s="109" t="s">
        <v>7555</v>
      </c>
      <c r="C3855" s="111">
        <v>2012</v>
      </c>
      <c r="D3855" s="112">
        <v>2704</v>
      </c>
      <c r="E3855" s="112">
        <v>3525</v>
      </c>
      <c r="F3855" s="112">
        <v>1623</v>
      </c>
      <c r="G3855" s="112">
        <v>1955</v>
      </c>
      <c r="H3855" s="112">
        <v>1002</v>
      </c>
      <c r="I3855" s="112">
        <v>65</v>
      </c>
      <c r="J3855" s="112">
        <v>86</v>
      </c>
      <c r="K3855" s="112">
        <v>21</v>
      </c>
      <c r="L3855" s="112">
        <v>372</v>
      </c>
      <c r="M3855" s="112">
        <v>315</v>
      </c>
      <c r="N3855" s="112">
        <v>57</v>
      </c>
    </row>
    <row r="3856" spans="1:14" ht="17.5" customHeight="1">
      <c r="A3856" s="109" t="s">
        <v>7554</v>
      </c>
      <c r="B3856" s="109" t="s">
        <v>7555</v>
      </c>
      <c r="C3856" s="113">
        <v>2013</v>
      </c>
      <c r="D3856" s="112">
        <v>3125</v>
      </c>
      <c r="E3856" s="112">
        <v>3806</v>
      </c>
      <c r="F3856" s="112">
        <v>1847</v>
      </c>
      <c r="G3856" s="112">
        <v>2045</v>
      </c>
      <c r="H3856" s="112">
        <v>994</v>
      </c>
      <c r="I3856" s="112">
        <v>77</v>
      </c>
      <c r="J3856" s="112">
        <v>101</v>
      </c>
      <c r="K3856" s="112">
        <v>25</v>
      </c>
      <c r="L3856" s="112">
        <v>436</v>
      </c>
      <c r="M3856" s="112">
        <v>352</v>
      </c>
      <c r="N3856" s="112">
        <v>84</v>
      </c>
    </row>
    <row r="3857" spans="1:14" ht="17.5" customHeight="1">
      <c r="A3857" s="109" t="s">
        <v>7554</v>
      </c>
      <c r="B3857" s="109" t="s">
        <v>7555</v>
      </c>
      <c r="C3857" s="113">
        <v>2014</v>
      </c>
      <c r="D3857" s="99">
        <v>3560</v>
      </c>
      <c r="E3857" s="99">
        <v>4489</v>
      </c>
      <c r="F3857" s="99">
        <v>2020</v>
      </c>
      <c r="G3857" s="99">
        <v>2577</v>
      </c>
      <c r="H3857" s="99">
        <v>1130</v>
      </c>
      <c r="I3857" s="99">
        <v>112</v>
      </c>
      <c r="J3857" s="99">
        <v>162</v>
      </c>
      <c r="K3857" s="99">
        <v>50</v>
      </c>
      <c r="L3857" s="99">
        <v>558</v>
      </c>
      <c r="M3857" s="99">
        <v>451</v>
      </c>
      <c r="N3857" s="99">
        <v>107</v>
      </c>
    </row>
    <row r="3858" spans="1:14" ht="17.5" customHeight="1">
      <c r="A3858" s="109" t="s">
        <v>7554</v>
      </c>
      <c r="B3858" s="109" t="s">
        <v>7555</v>
      </c>
      <c r="C3858" s="113">
        <v>2015</v>
      </c>
      <c r="D3858" s="112">
        <v>4005</v>
      </c>
      <c r="E3858" s="112">
        <v>4749</v>
      </c>
      <c r="F3858" s="112">
        <v>2238</v>
      </c>
      <c r="G3858" s="112">
        <v>2430</v>
      </c>
      <c r="H3858" s="112">
        <v>1100</v>
      </c>
      <c r="I3858" s="112">
        <v>110</v>
      </c>
      <c r="J3858" s="112">
        <v>115</v>
      </c>
      <c r="K3858" s="112">
        <v>5</v>
      </c>
      <c r="L3858" s="112">
        <v>354</v>
      </c>
      <c r="M3858" s="112">
        <v>435</v>
      </c>
      <c r="N3858" s="112">
        <v>-81</v>
      </c>
    </row>
    <row r="3859" spans="1:14" ht="17.5" customHeight="1">
      <c r="A3859" s="109" t="s">
        <v>7554</v>
      </c>
      <c r="B3859" s="109" t="s">
        <v>7555</v>
      </c>
      <c r="C3859" s="113">
        <v>2016</v>
      </c>
      <c r="D3859" s="112">
        <v>4389</v>
      </c>
      <c r="E3859" s="112">
        <v>4651</v>
      </c>
      <c r="F3859" s="112">
        <v>2036</v>
      </c>
      <c r="G3859" s="112">
        <v>2620</v>
      </c>
      <c r="H3859" s="112">
        <v>1186</v>
      </c>
      <c r="I3859" s="112">
        <v>141</v>
      </c>
      <c r="J3859" s="112">
        <v>166</v>
      </c>
      <c r="K3859" s="112">
        <v>25</v>
      </c>
      <c r="L3859" s="112">
        <v>526</v>
      </c>
      <c r="M3859" s="112">
        <v>522</v>
      </c>
      <c r="N3859" s="112">
        <v>4</v>
      </c>
    </row>
    <row r="3860" spans="1:14" ht="17.5" customHeight="1">
      <c r="A3860" s="109" t="s">
        <v>7554</v>
      </c>
      <c r="B3860" s="109" t="s">
        <v>7555</v>
      </c>
      <c r="C3860" s="113">
        <v>2017</v>
      </c>
      <c r="D3860" s="112">
        <v>4452</v>
      </c>
      <c r="E3860" s="112">
        <v>5634</v>
      </c>
      <c r="F3860" s="112">
        <v>2300</v>
      </c>
      <c r="G3860" s="112">
        <v>3315</v>
      </c>
      <c r="H3860" s="112">
        <v>1332</v>
      </c>
      <c r="I3860" s="112">
        <v>91</v>
      </c>
      <c r="J3860" s="112">
        <v>111</v>
      </c>
      <c r="K3860" s="112">
        <v>20</v>
      </c>
      <c r="L3860" s="112">
        <v>622</v>
      </c>
      <c r="M3860" s="112">
        <v>643</v>
      </c>
      <c r="N3860" s="112">
        <v>-21</v>
      </c>
    </row>
    <row r="3861" spans="1:14" ht="17.5" customHeight="1">
      <c r="A3861" s="109" t="s">
        <v>7554</v>
      </c>
      <c r="B3861" s="109" t="s">
        <v>7555</v>
      </c>
      <c r="C3861" s="113">
        <v>2018</v>
      </c>
      <c r="D3861" s="112">
        <v>4627</v>
      </c>
      <c r="E3861" s="112">
        <v>4283</v>
      </c>
      <c r="F3861" s="112">
        <v>2064</v>
      </c>
      <c r="G3861" s="112">
        <v>2230</v>
      </c>
      <c r="H3861" s="112">
        <v>1153</v>
      </c>
      <c r="I3861" s="112">
        <v>81</v>
      </c>
      <c r="J3861" s="112">
        <v>99</v>
      </c>
      <c r="K3861" s="112">
        <v>18</v>
      </c>
      <c r="L3861" s="112">
        <v>327</v>
      </c>
      <c r="M3861" s="112">
        <v>318</v>
      </c>
      <c r="N3861" s="112">
        <v>9</v>
      </c>
    </row>
    <row r="3862" spans="1:14" ht="17.5" customHeight="1">
      <c r="A3862" s="109" t="s">
        <v>7554</v>
      </c>
      <c r="B3862" s="109" t="s">
        <v>7555</v>
      </c>
      <c r="C3862" s="113">
        <v>2019</v>
      </c>
      <c r="D3862" s="112">
        <v>4728</v>
      </c>
      <c r="E3862" s="112">
        <v>4138.0911120000001</v>
      </c>
      <c r="F3862" s="112">
        <v>2208.1824510000001</v>
      </c>
      <c r="G3862" s="112">
        <v>2010.6437800000001</v>
      </c>
      <c r="H3862" s="112">
        <v>1142.5451210000001</v>
      </c>
      <c r="I3862" s="112">
        <v>151.73383799999999</v>
      </c>
      <c r="J3862" s="112">
        <v>181.80811199999999</v>
      </c>
      <c r="K3862" s="112">
        <v>30.074273999999999</v>
      </c>
      <c r="L3862" s="112">
        <v>476.24584299999998</v>
      </c>
      <c r="M3862" s="112">
        <v>410.24860799999999</v>
      </c>
      <c r="N3862" s="112">
        <v>65.997235000000003</v>
      </c>
    </row>
    <row r="3863" spans="1:14" ht="17.5" customHeight="1">
      <c r="A3863" s="114" t="s">
        <v>7554</v>
      </c>
      <c r="B3863" s="114" t="s">
        <v>7555</v>
      </c>
      <c r="C3863" s="113">
        <v>2020</v>
      </c>
      <c r="D3863" s="112">
        <v>4908</v>
      </c>
      <c r="E3863" s="112">
        <v>4106.5590860000002</v>
      </c>
      <c r="F3863" s="112">
        <v>2065.9166909999999</v>
      </c>
      <c r="G3863" s="112">
        <v>2028.129694</v>
      </c>
      <c r="H3863" s="112">
        <v>1142.733921</v>
      </c>
      <c r="I3863" s="112">
        <v>101.72853000000001</v>
      </c>
      <c r="J3863" s="112">
        <v>111.61689800000001</v>
      </c>
      <c r="K3863" s="112">
        <v>9.8883690000000009</v>
      </c>
      <c r="L3863" s="112">
        <v>408.72597400000001</v>
      </c>
      <c r="M3863" s="112">
        <v>433.39805100000001</v>
      </c>
      <c r="N3863" s="112">
        <v>-24.672077000000002</v>
      </c>
    </row>
    <row r="3864" spans="1:14" ht="17.5" customHeight="1">
      <c r="A3864" s="109" t="s">
        <v>7556</v>
      </c>
      <c r="B3864" s="109" t="s">
        <v>7557</v>
      </c>
      <c r="C3864" s="98">
        <v>2008</v>
      </c>
      <c r="D3864" s="99">
        <v>152</v>
      </c>
      <c r="E3864" s="99">
        <v>434</v>
      </c>
      <c r="F3864" s="99">
        <v>150</v>
      </c>
      <c r="G3864" s="99">
        <v>285</v>
      </c>
      <c r="H3864" s="99">
        <v>94</v>
      </c>
      <c r="I3864" s="99">
        <v>-1</v>
      </c>
      <c r="J3864" s="99">
        <v>3</v>
      </c>
      <c r="K3864" s="99">
        <v>4</v>
      </c>
      <c r="L3864" s="99">
        <v>102</v>
      </c>
      <c r="M3864" s="99">
        <v>103</v>
      </c>
      <c r="N3864" s="99">
        <v>-1</v>
      </c>
    </row>
    <row r="3865" spans="1:14" ht="17.5" customHeight="1">
      <c r="A3865" s="109" t="s">
        <v>7556</v>
      </c>
      <c r="B3865" s="109" t="s">
        <v>7557</v>
      </c>
      <c r="C3865" s="98">
        <v>2009</v>
      </c>
      <c r="D3865" s="99">
        <v>133</v>
      </c>
      <c r="E3865" s="99">
        <v>326</v>
      </c>
      <c r="F3865" s="99">
        <v>94</v>
      </c>
      <c r="G3865" s="99">
        <v>223</v>
      </c>
      <c r="H3865" s="99">
        <v>71</v>
      </c>
      <c r="I3865" s="99" t="s">
        <v>6953</v>
      </c>
      <c r="J3865" s="99">
        <v>2</v>
      </c>
      <c r="K3865" s="99" t="s">
        <v>6953</v>
      </c>
      <c r="L3865" s="99">
        <v>42</v>
      </c>
      <c r="M3865" s="99">
        <v>51</v>
      </c>
      <c r="N3865" s="99">
        <v>-10</v>
      </c>
    </row>
    <row r="3866" spans="1:14" ht="17.5" customHeight="1">
      <c r="A3866" s="109" t="s">
        <v>7556</v>
      </c>
      <c r="B3866" s="109" t="s">
        <v>7557</v>
      </c>
      <c r="C3866" s="98">
        <v>2010</v>
      </c>
      <c r="D3866" s="99">
        <v>163</v>
      </c>
      <c r="E3866" s="99">
        <v>213</v>
      </c>
      <c r="F3866" s="99">
        <v>100</v>
      </c>
      <c r="G3866" s="99">
        <v>114</v>
      </c>
      <c r="H3866" s="99">
        <v>58</v>
      </c>
      <c r="I3866" s="99">
        <v>1</v>
      </c>
      <c r="J3866" s="99">
        <v>4</v>
      </c>
      <c r="K3866" s="99">
        <v>3</v>
      </c>
      <c r="L3866" s="99">
        <v>18</v>
      </c>
      <c r="M3866" s="99">
        <v>18</v>
      </c>
      <c r="N3866" s="99">
        <v>1</v>
      </c>
    </row>
    <row r="3867" spans="1:14" ht="17.5" customHeight="1">
      <c r="A3867" s="109" t="s">
        <v>7556</v>
      </c>
      <c r="B3867" s="109" t="s">
        <v>7557</v>
      </c>
      <c r="C3867" s="98">
        <v>2011</v>
      </c>
      <c r="D3867" s="99">
        <v>189</v>
      </c>
      <c r="E3867" s="99">
        <v>510</v>
      </c>
      <c r="F3867" s="99">
        <v>189</v>
      </c>
      <c r="G3867" s="99">
        <v>319</v>
      </c>
      <c r="H3867" s="99">
        <v>106</v>
      </c>
      <c r="I3867" s="99">
        <v>8</v>
      </c>
      <c r="J3867" s="99">
        <v>9</v>
      </c>
      <c r="K3867" s="99">
        <v>1</v>
      </c>
      <c r="L3867" s="99">
        <v>42</v>
      </c>
      <c r="M3867" s="99">
        <v>43</v>
      </c>
      <c r="N3867" s="99">
        <v>-2</v>
      </c>
    </row>
    <row r="3868" spans="1:14" ht="17.5" customHeight="1">
      <c r="A3868" s="109" t="s">
        <v>7556</v>
      </c>
      <c r="B3868" s="109" t="s">
        <v>7557</v>
      </c>
      <c r="C3868" s="111">
        <v>2012</v>
      </c>
      <c r="D3868" s="112">
        <v>243</v>
      </c>
      <c r="E3868" s="112">
        <v>652</v>
      </c>
      <c r="F3868" s="112">
        <v>221</v>
      </c>
      <c r="G3868" s="112">
        <v>429</v>
      </c>
      <c r="H3868" s="112">
        <v>147</v>
      </c>
      <c r="I3868" s="112">
        <v>5</v>
      </c>
      <c r="J3868" s="112">
        <v>6</v>
      </c>
      <c r="K3868" s="112">
        <v>1</v>
      </c>
      <c r="L3868" s="112">
        <v>60</v>
      </c>
      <c r="M3868" s="112">
        <v>63</v>
      </c>
      <c r="N3868" s="112">
        <v>-3</v>
      </c>
    </row>
    <row r="3869" spans="1:14" ht="17.5" customHeight="1">
      <c r="A3869" s="109" t="s">
        <v>7556</v>
      </c>
      <c r="B3869" s="109" t="s">
        <v>7557</v>
      </c>
      <c r="C3869" s="113">
        <v>2013</v>
      </c>
      <c r="D3869" s="112">
        <v>307</v>
      </c>
      <c r="E3869" s="112">
        <v>678</v>
      </c>
      <c r="F3869" s="112">
        <v>292</v>
      </c>
      <c r="G3869" s="112">
        <v>388</v>
      </c>
      <c r="H3869" s="112">
        <v>153</v>
      </c>
      <c r="I3869" s="112">
        <v>14</v>
      </c>
      <c r="J3869" s="112">
        <v>15</v>
      </c>
      <c r="K3869" s="112">
        <v>1</v>
      </c>
      <c r="L3869" s="112">
        <v>46</v>
      </c>
      <c r="M3869" s="112">
        <v>46</v>
      </c>
      <c r="N3869" s="112" t="s">
        <v>6952</v>
      </c>
    </row>
    <row r="3870" spans="1:14" ht="17.5" customHeight="1">
      <c r="A3870" s="109" t="s">
        <v>7556</v>
      </c>
      <c r="B3870" s="109" t="s">
        <v>7557</v>
      </c>
      <c r="C3870" s="113">
        <v>2014</v>
      </c>
      <c r="D3870" s="99">
        <v>344</v>
      </c>
      <c r="E3870" s="99">
        <v>893</v>
      </c>
      <c r="F3870" s="99">
        <v>297</v>
      </c>
      <c r="G3870" s="99">
        <v>600</v>
      </c>
      <c r="H3870" s="99">
        <v>140</v>
      </c>
      <c r="I3870" s="99">
        <v>31</v>
      </c>
      <c r="J3870" s="99">
        <v>33</v>
      </c>
      <c r="K3870" s="99">
        <v>2</v>
      </c>
      <c r="L3870" s="99">
        <v>55</v>
      </c>
      <c r="M3870" s="99">
        <v>50</v>
      </c>
      <c r="N3870" s="99">
        <v>4</v>
      </c>
    </row>
    <row r="3871" spans="1:14" ht="17.5" customHeight="1">
      <c r="A3871" s="109" t="s">
        <v>7556</v>
      </c>
      <c r="B3871" s="109" t="s">
        <v>7557</v>
      </c>
      <c r="C3871" s="113">
        <v>2015</v>
      </c>
      <c r="D3871" s="112">
        <v>377</v>
      </c>
      <c r="E3871" s="112">
        <v>856</v>
      </c>
      <c r="F3871" s="112">
        <v>278</v>
      </c>
      <c r="G3871" s="112">
        <v>573</v>
      </c>
      <c r="H3871" s="112">
        <v>146</v>
      </c>
      <c r="I3871" s="99" t="s">
        <v>6953</v>
      </c>
      <c r="J3871" s="99" t="s">
        <v>6953</v>
      </c>
      <c r="K3871" s="112">
        <v>1</v>
      </c>
      <c r="L3871" s="112">
        <v>63</v>
      </c>
      <c r="M3871" s="112">
        <v>68</v>
      </c>
      <c r="N3871" s="112">
        <v>-5</v>
      </c>
    </row>
    <row r="3872" spans="1:14" ht="17.5" customHeight="1">
      <c r="A3872" s="109" t="s">
        <v>7556</v>
      </c>
      <c r="B3872" s="109" t="s">
        <v>7557</v>
      </c>
      <c r="C3872" s="113">
        <v>2016</v>
      </c>
      <c r="D3872" s="112">
        <v>403</v>
      </c>
      <c r="E3872" s="112">
        <v>932</v>
      </c>
      <c r="F3872" s="112">
        <v>287</v>
      </c>
      <c r="G3872" s="112">
        <v>661</v>
      </c>
      <c r="H3872" s="112">
        <v>180</v>
      </c>
      <c r="I3872" s="112">
        <v>18</v>
      </c>
      <c r="J3872" s="112">
        <v>20</v>
      </c>
      <c r="K3872" s="112">
        <v>2</v>
      </c>
      <c r="L3872" s="112">
        <v>86</v>
      </c>
      <c r="M3872" s="112">
        <v>70</v>
      </c>
      <c r="N3872" s="112">
        <v>16</v>
      </c>
    </row>
    <row r="3873" spans="1:14" ht="17.5" customHeight="1">
      <c r="A3873" s="109" t="s">
        <v>7556</v>
      </c>
      <c r="B3873" s="109" t="s">
        <v>7557</v>
      </c>
      <c r="C3873" s="113">
        <v>2017</v>
      </c>
      <c r="D3873" s="112">
        <v>394</v>
      </c>
      <c r="E3873" s="112">
        <v>784</v>
      </c>
      <c r="F3873" s="112">
        <v>289</v>
      </c>
      <c r="G3873" s="112">
        <v>474</v>
      </c>
      <c r="H3873" s="112">
        <v>164</v>
      </c>
      <c r="I3873" s="112">
        <v>64</v>
      </c>
      <c r="J3873" s="112">
        <v>68</v>
      </c>
      <c r="K3873" s="112">
        <v>4</v>
      </c>
      <c r="L3873" s="112">
        <v>65</v>
      </c>
      <c r="M3873" s="112">
        <v>86</v>
      </c>
      <c r="N3873" s="112">
        <v>-20</v>
      </c>
    </row>
    <row r="3874" spans="1:14" ht="17.5" customHeight="1">
      <c r="A3874" s="109" t="s">
        <v>7556</v>
      </c>
      <c r="B3874" s="109" t="s">
        <v>7557</v>
      </c>
      <c r="C3874" s="113">
        <v>2018</v>
      </c>
      <c r="D3874" s="112">
        <v>395</v>
      </c>
      <c r="E3874" s="112">
        <v>762</v>
      </c>
      <c r="F3874" s="112">
        <v>336</v>
      </c>
      <c r="G3874" s="112">
        <v>458</v>
      </c>
      <c r="H3874" s="112">
        <v>169</v>
      </c>
      <c r="I3874" s="112">
        <v>22</v>
      </c>
      <c r="J3874" s="112">
        <v>23</v>
      </c>
      <c r="K3874" s="112" t="s">
        <v>6952</v>
      </c>
      <c r="L3874" s="112">
        <v>90</v>
      </c>
      <c r="M3874" s="112">
        <v>57</v>
      </c>
      <c r="N3874" s="112">
        <v>32</v>
      </c>
    </row>
    <row r="3875" spans="1:14" ht="17.5" customHeight="1">
      <c r="A3875" s="109" t="s">
        <v>7556</v>
      </c>
      <c r="B3875" s="109" t="s">
        <v>7557</v>
      </c>
      <c r="C3875" s="113">
        <v>2019</v>
      </c>
      <c r="D3875" s="112">
        <v>407</v>
      </c>
      <c r="E3875" s="112">
        <v>693.34768699999995</v>
      </c>
      <c r="F3875" s="112">
        <v>340.35480799999999</v>
      </c>
      <c r="G3875" s="112">
        <v>350.48282999999998</v>
      </c>
      <c r="H3875" s="112">
        <v>166.36752899999999</v>
      </c>
      <c r="I3875" s="112">
        <v>18.339231999999999</v>
      </c>
      <c r="J3875" s="112">
        <v>18.785077999999999</v>
      </c>
      <c r="K3875" s="112" t="s">
        <v>6952</v>
      </c>
      <c r="L3875" s="112">
        <v>69.294470000000004</v>
      </c>
      <c r="M3875" s="112">
        <v>80.936108000000004</v>
      </c>
      <c r="N3875" s="112">
        <v>-11.641639</v>
      </c>
    </row>
    <row r="3876" spans="1:14" ht="17.5" customHeight="1">
      <c r="A3876" s="114" t="s">
        <v>7556</v>
      </c>
      <c r="B3876" s="114" t="s">
        <v>7557</v>
      </c>
      <c r="C3876" s="113">
        <v>2020</v>
      </c>
      <c r="D3876" s="112">
        <v>427</v>
      </c>
      <c r="E3876" s="112">
        <v>764.31517099999996</v>
      </c>
      <c r="F3876" s="112">
        <v>388.01481000000001</v>
      </c>
      <c r="G3876" s="112">
        <v>392.68423899999999</v>
      </c>
      <c r="H3876" s="112">
        <v>174.73839599999999</v>
      </c>
      <c r="I3876" s="112">
        <v>30.031041999999999</v>
      </c>
      <c r="J3876" s="112">
        <v>30.709206999999999</v>
      </c>
      <c r="K3876" s="112">
        <v>0.67816399999999999</v>
      </c>
      <c r="L3876" s="112">
        <v>64.597613999999993</v>
      </c>
      <c r="M3876" s="112">
        <v>65.969329999999999</v>
      </c>
      <c r="N3876" s="112">
        <v>-1.3717159999999999</v>
      </c>
    </row>
    <row r="3877" spans="1:14" ht="17.5" customHeight="1">
      <c r="A3877" s="109" t="s">
        <v>7558</v>
      </c>
      <c r="B3877" s="109" t="s">
        <v>7559</v>
      </c>
      <c r="C3877" s="98">
        <v>2008</v>
      </c>
      <c r="D3877" s="99">
        <v>560</v>
      </c>
      <c r="E3877" s="99">
        <v>991</v>
      </c>
      <c r="F3877" s="99">
        <v>469</v>
      </c>
      <c r="G3877" s="99">
        <v>527</v>
      </c>
      <c r="H3877" s="99">
        <v>218</v>
      </c>
      <c r="I3877" s="99">
        <v>11</v>
      </c>
      <c r="J3877" s="99">
        <v>17</v>
      </c>
      <c r="K3877" s="99">
        <v>6</v>
      </c>
      <c r="L3877" s="99">
        <v>102</v>
      </c>
      <c r="M3877" s="99">
        <v>91</v>
      </c>
      <c r="N3877" s="99">
        <v>11</v>
      </c>
    </row>
    <row r="3878" spans="1:14" ht="17.5" customHeight="1">
      <c r="A3878" s="109" t="s">
        <v>7558</v>
      </c>
      <c r="B3878" s="109" t="s">
        <v>7559</v>
      </c>
      <c r="C3878" s="98">
        <v>2009</v>
      </c>
      <c r="D3878" s="99">
        <v>660</v>
      </c>
      <c r="E3878" s="99">
        <v>449</v>
      </c>
      <c r="F3878" s="99">
        <v>197</v>
      </c>
      <c r="G3878" s="99">
        <v>259</v>
      </c>
      <c r="H3878" s="99">
        <v>117</v>
      </c>
      <c r="I3878" s="99" t="s">
        <v>6953</v>
      </c>
      <c r="J3878" s="99">
        <v>6</v>
      </c>
      <c r="K3878" s="99" t="s">
        <v>6953</v>
      </c>
      <c r="L3878" s="99">
        <v>51</v>
      </c>
      <c r="M3878" s="99">
        <v>44</v>
      </c>
      <c r="N3878" s="99">
        <v>7</v>
      </c>
    </row>
    <row r="3879" spans="1:14" ht="17.5" customHeight="1">
      <c r="A3879" s="109" t="s">
        <v>7558</v>
      </c>
      <c r="B3879" s="109" t="s">
        <v>7559</v>
      </c>
      <c r="C3879" s="98">
        <v>2010</v>
      </c>
      <c r="D3879" s="99">
        <v>687</v>
      </c>
      <c r="E3879" s="99">
        <v>440</v>
      </c>
      <c r="F3879" s="99">
        <v>287</v>
      </c>
      <c r="G3879" s="99">
        <v>156</v>
      </c>
      <c r="H3879" s="99">
        <v>114</v>
      </c>
      <c r="I3879" s="99">
        <v>7</v>
      </c>
      <c r="J3879" s="99">
        <v>8</v>
      </c>
      <c r="K3879" s="99">
        <v>1</v>
      </c>
      <c r="L3879" s="99">
        <v>19</v>
      </c>
      <c r="M3879" s="99">
        <v>15</v>
      </c>
      <c r="N3879" s="99">
        <v>4</v>
      </c>
    </row>
    <row r="3880" spans="1:14" ht="17.5" customHeight="1">
      <c r="A3880" s="109" t="s">
        <v>7558</v>
      </c>
      <c r="B3880" s="109" t="s">
        <v>7559</v>
      </c>
      <c r="C3880" s="98">
        <v>2011</v>
      </c>
      <c r="D3880" s="99">
        <v>769</v>
      </c>
      <c r="E3880" s="99">
        <v>446</v>
      </c>
      <c r="F3880" s="99">
        <v>235</v>
      </c>
      <c r="G3880" s="99">
        <v>213</v>
      </c>
      <c r="H3880" s="99">
        <v>123</v>
      </c>
      <c r="I3880" s="99">
        <v>7</v>
      </c>
      <c r="J3880" s="99">
        <v>11</v>
      </c>
      <c r="K3880" s="99">
        <v>3</v>
      </c>
      <c r="L3880" s="99">
        <v>27</v>
      </c>
      <c r="M3880" s="99">
        <v>24</v>
      </c>
      <c r="N3880" s="99">
        <v>2</v>
      </c>
    </row>
    <row r="3881" spans="1:14" ht="17.5" customHeight="1">
      <c r="A3881" s="109" t="s">
        <v>7558</v>
      </c>
      <c r="B3881" s="109" t="s">
        <v>7559</v>
      </c>
      <c r="C3881" s="111">
        <v>2012</v>
      </c>
      <c r="D3881" s="112">
        <v>954</v>
      </c>
      <c r="E3881" s="112">
        <v>479</v>
      </c>
      <c r="F3881" s="112">
        <v>222</v>
      </c>
      <c r="G3881" s="112">
        <v>259</v>
      </c>
      <c r="H3881" s="112">
        <v>161</v>
      </c>
      <c r="I3881" s="112">
        <v>5</v>
      </c>
      <c r="J3881" s="112">
        <v>5</v>
      </c>
      <c r="K3881" s="112" t="s">
        <v>6952</v>
      </c>
      <c r="L3881" s="112">
        <v>30</v>
      </c>
      <c r="M3881" s="112">
        <v>28</v>
      </c>
      <c r="N3881" s="112">
        <v>2</v>
      </c>
    </row>
    <row r="3882" spans="1:14" ht="17.5" customHeight="1">
      <c r="A3882" s="109" t="s">
        <v>7558</v>
      </c>
      <c r="B3882" s="109" t="s">
        <v>7559</v>
      </c>
      <c r="C3882" s="113">
        <v>2013</v>
      </c>
      <c r="D3882" s="112">
        <v>976</v>
      </c>
      <c r="E3882" s="112">
        <v>623</v>
      </c>
      <c r="F3882" s="112">
        <v>298</v>
      </c>
      <c r="G3882" s="112">
        <v>326</v>
      </c>
      <c r="H3882" s="112">
        <v>200</v>
      </c>
      <c r="I3882" s="112">
        <v>9</v>
      </c>
      <c r="J3882" s="112">
        <v>12</v>
      </c>
      <c r="K3882" s="112">
        <v>3</v>
      </c>
      <c r="L3882" s="112">
        <v>34</v>
      </c>
      <c r="M3882" s="112">
        <v>34</v>
      </c>
      <c r="N3882" s="112" t="s">
        <v>6952</v>
      </c>
    </row>
    <row r="3883" spans="1:14" ht="17.5" customHeight="1">
      <c r="A3883" s="109" t="s">
        <v>7558</v>
      </c>
      <c r="B3883" s="109" t="s">
        <v>7559</v>
      </c>
      <c r="C3883" s="113">
        <v>2014</v>
      </c>
      <c r="D3883" s="99">
        <v>958</v>
      </c>
      <c r="E3883" s="99">
        <v>538</v>
      </c>
      <c r="F3883" s="99">
        <v>268</v>
      </c>
      <c r="G3883" s="99">
        <v>269</v>
      </c>
      <c r="H3883" s="99">
        <v>146</v>
      </c>
      <c r="I3883" s="99">
        <v>10</v>
      </c>
      <c r="J3883" s="99">
        <v>11</v>
      </c>
      <c r="K3883" s="99" t="s">
        <v>6952</v>
      </c>
      <c r="L3883" s="99">
        <v>29</v>
      </c>
      <c r="M3883" s="99">
        <v>30</v>
      </c>
      <c r="N3883" s="99">
        <v>-1</v>
      </c>
    </row>
    <row r="3884" spans="1:14" ht="17.5" customHeight="1">
      <c r="A3884" s="109" t="s">
        <v>7558</v>
      </c>
      <c r="B3884" s="109" t="s">
        <v>7559</v>
      </c>
      <c r="C3884" s="113">
        <v>2015</v>
      </c>
      <c r="D3884" s="112">
        <v>981</v>
      </c>
      <c r="E3884" s="112">
        <v>579</v>
      </c>
      <c r="F3884" s="112">
        <v>269</v>
      </c>
      <c r="G3884" s="112">
        <v>307</v>
      </c>
      <c r="H3884" s="112">
        <v>152</v>
      </c>
      <c r="I3884" s="99" t="s">
        <v>6953</v>
      </c>
      <c r="J3884" s="99" t="s">
        <v>6953</v>
      </c>
      <c r="K3884" s="112">
        <v>1</v>
      </c>
      <c r="L3884" s="112">
        <v>38</v>
      </c>
      <c r="M3884" s="112">
        <v>39</v>
      </c>
      <c r="N3884" s="112">
        <v>-1</v>
      </c>
    </row>
    <row r="3885" spans="1:14" ht="17.5" customHeight="1">
      <c r="A3885" s="109" t="s">
        <v>7558</v>
      </c>
      <c r="B3885" s="109" t="s">
        <v>7559</v>
      </c>
      <c r="C3885" s="113">
        <v>2016</v>
      </c>
      <c r="D3885" s="112">
        <v>1032</v>
      </c>
      <c r="E3885" s="112">
        <v>541</v>
      </c>
      <c r="F3885" s="112">
        <v>290</v>
      </c>
      <c r="G3885" s="112">
        <v>250</v>
      </c>
      <c r="H3885" s="112">
        <v>179</v>
      </c>
      <c r="I3885" s="112">
        <v>14</v>
      </c>
      <c r="J3885" s="112">
        <v>15</v>
      </c>
      <c r="K3885" s="112">
        <v>1</v>
      </c>
      <c r="L3885" s="112">
        <v>33</v>
      </c>
      <c r="M3885" s="112">
        <v>33</v>
      </c>
      <c r="N3885" s="112" t="s">
        <v>6952</v>
      </c>
    </row>
    <row r="3886" spans="1:14" ht="17.5" customHeight="1">
      <c r="A3886" s="109" t="s">
        <v>7558</v>
      </c>
      <c r="B3886" s="109" t="s">
        <v>7559</v>
      </c>
      <c r="C3886" s="113">
        <v>2017</v>
      </c>
      <c r="D3886" s="112">
        <v>1090</v>
      </c>
      <c r="E3886" s="112">
        <v>638</v>
      </c>
      <c r="F3886" s="112">
        <v>366</v>
      </c>
      <c r="G3886" s="112">
        <v>273</v>
      </c>
      <c r="H3886" s="112">
        <v>192</v>
      </c>
      <c r="I3886" s="112">
        <v>37</v>
      </c>
      <c r="J3886" s="112">
        <v>38</v>
      </c>
      <c r="K3886" s="112">
        <v>1</v>
      </c>
      <c r="L3886" s="112">
        <v>28</v>
      </c>
      <c r="M3886" s="112">
        <v>26</v>
      </c>
      <c r="N3886" s="112">
        <v>2</v>
      </c>
    </row>
    <row r="3887" spans="1:14" ht="17.5" customHeight="1">
      <c r="A3887" s="109" t="s">
        <v>7558</v>
      </c>
      <c r="B3887" s="109" t="s">
        <v>7559</v>
      </c>
      <c r="C3887" s="113">
        <v>2018</v>
      </c>
      <c r="D3887" s="112">
        <v>1144</v>
      </c>
      <c r="E3887" s="112">
        <v>615</v>
      </c>
      <c r="F3887" s="112">
        <v>332</v>
      </c>
      <c r="G3887" s="112">
        <v>287</v>
      </c>
      <c r="H3887" s="112">
        <v>175</v>
      </c>
      <c r="I3887" s="112">
        <v>28</v>
      </c>
      <c r="J3887" s="112">
        <v>29</v>
      </c>
      <c r="K3887" s="112">
        <v>1</v>
      </c>
      <c r="L3887" s="112">
        <v>37</v>
      </c>
      <c r="M3887" s="112">
        <v>32</v>
      </c>
      <c r="N3887" s="112">
        <v>6</v>
      </c>
    </row>
    <row r="3888" spans="1:14" ht="17.5" customHeight="1">
      <c r="A3888" s="109" t="s">
        <v>7558</v>
      </c>
      <c r="B3888" s="109" t="s">
        <v>7559</v>
      </c>
      <c r="C3888" s="113">
        <v>2019</v>
      </c>
      <c r="D3888" s="112">
        <v>1303</v>
      </c>
      <c r="E3888" s="112">
        <v>634.30069800000001</v>
      </c>
      <c r="F3888" s="112">
        <v>379.21723400000002</v>
      </c>
      <c r="G3888" s="112">
        <v>257.34133000000003</v>
      </c>
      <c r="H3888" s="112">
        <v>168.76691099999999</v>
      </c>
      <c r="I3888" s="112">
        <v>27.140307</v>
      </c>
      <c r="J3888" s="112">
        <v>28.756343999999999</v>
      </c>
      <c r="K3888" s="112">
        <v>1.6160369999999999</v>
      </c>
      <c r="L3888" s="112">
        <v>34.309351999999997</v>
      </c>
      <c r="M3888" s="112">
        <v>32.225718999999998</v>
      </c>
      <c r="N3888" s="112">
        <v>2.083634</v>
      </c>
    </row>
    <row r="3889" spans="1:14" ht="17.5" customHeight="1">
      <c r="A3889" s="114" t="s">
        <v>7558</v>
      </c>
      <c r="B3889" s="114" t="s">
        <v>7559</v>
      </c>
      <c r="C3889" s="113">
        <v>2020</v>
      </c>
      <c r="D3889" s="112">
        <v>1328</v>
      </c>
      <c r="E3889" s="112">
        <v>662.28985599999999</v>
      </c>
      <c r="F3889" s="112">
        <v>352.93182000000002</v>
      </c>
      <c r="G3889" s="112">
        <v>310.85636399999999</v>
      </c>
      <c r="H3889" s="112">
        <v>199.61668</v>
      </c>
      <c r="I3889" s="112">
        <v>29.418120999999999</v>
      </c>
      <c r="J3889" s="112">
        <v>30.093070999999998</v>
      </c>
      <c r="K3889" s="112">
        <v>0.67495000000000005</v>
      </c>
      <c r="L3889" s="112">
        <v>36.225510999999997</v>
      </c>
      <c r="M3889" s="112">
        <v>38.931164000000003</v>
      </c>
      <c r="N3889" s="112">
        <v>-2.7056529999999999</v>
      </c>
    </row>
    <row r="3890" spans="1:14" ht="17.5" customHeight="1">
      <c r="A3890" s="109" t="s">
        <v>7560</v>
      </c>
      <c r="B3890" s="109" t="s">
        <v>7561</v>
      </c>
      <c r="C3890" s="98">
        <v>2008</v>
      </c>
      <c r="D3890" s="99">
        <v>426</v>
      </c>
      <c r="E3890" s="99">
        <v>511</v>
      </c>
      <c r="F3890" s="99">
        <v>203</v>
      </c>
      <c r="G3890" s="99">
        <v>313</v>
      </c>
      <c r="H3890" s="99">
        <v>108</v>
      </c>
      <c r="I3890" s="99">
        <v>10</v>
      </c>
      <c r="J3890" s="99">
        <v>11</v>
      </c>
      <c r="K3890" s="99">
        <v>1</v>
      </c>
      <c r="L3890" s="99">
        <v>25</v>
      </c>
      <c r="M3890" s="99">
        <v>23</v>
      </c>
      <c r="N3890" s="99">
        <v>2</v>
      </c>
    </row>
    <row r="3891" spans="1:14" ht="17.5" customHeight="1">
      <c r="A3891" s="109" t="s">
        <v>7560</v>
      </c>
      <c r="B3891" s="109" t="s">
        <v>7561</v>
      </c>
      <c r="C3891" s="98">
        <v>2009</v>
      </c>
      <c r="D3891" s="99">
        <v>334</v>
      </c>
      <c r="E3891" s="99">
        <v>331</v>
      </c>
      <c r="F3891" s="99">
        <v>154</v>
      </c>
      <c r="G3891" s="99">
        <v>179</v>
      </c>
      <c r="H3891" s="99">
        <v>92</v>
      </c>
      <c r="I3891" s="99">
        <v>15</v>
      </c>
      <c r="J3891" s="99">
        <v>15</v>
      </c>
      <c r="K3891" s="99" t="s">
        <v>6952</v>
      </c>
      <c r="L3891" s="99">
        <v>13</v>
      </c>
      <c r="M3891" s="99">
        <v>11</v>
      </c>
      <c r="N3891" s="99">
        <v>2</v>
      </c>
    </row>
    <row r="3892" spans="1:14" ht="17.5" customHeight="1">
      <c r="A3892" s="109" t="s">
        <v>7560</v>
      </c>
      <c r="B3892" s="109" t="s">
        <v>7561</v>
      </c>
      <c r="C3892" s="98">
        <v>2010</v>
      </c>
      <c r="D3892" s="99">
        <v>392</v>
      </c>
      <c r="E3892" s="99">
        <v>335</v>
      </c>
      <c r="F3892" s="99">
        <v>133</v>
      </c>
      <c r="G3892" s="99">
        <v>204</v>
      </c>
      <c r="H3892" s="99">
        <v>124</v>
      </c>
      <c r="I3892" s="99">
        <v>8</v>
      </c>
      <c r="J3892" s="99">
        <v>9</v>
      </c>
      <c r="K3892" s="99" t="s">
        <v>6952</v>
      </c>
      <c r="L3892" s="99">
        <v>15</v>
      </c>
      <c r="M3892" s="99">
        <v>13</v>
      </c>
      <c r="N3892" s="99">
        <v>2</v>
      </c>
    </row>
    <row r="3893" spans="1:14" ht="17.5" customHeight="1">
      <c r="A3893" s="109" t="s">
        <v>7560</v>
      </c>
      <c r="B3893" s="109" t="s">
        <v>7561</v>
      </c>
      <c r="C3893" s="98">
        <v>2011</v>
      </c>
      <c r="D3893" s="99">
        <v>422</v>
      </c>
      <c r="E3893" s="99">
        <v>388</v>
      </c>
      <c r="F3893" s="99">
        <v>202</v>
      </c>
      <c r="G3893" s="99">
        <v>190</v>
      </c>
      <c r="H3893" s="99">
        <v>119</v>
      </c>
      <c r="I3893" s="99">
        <v>15</v>
      </c>
      <c r="J3893" s="99">
        <v>16</v>
      </c>
      <c r="K3893" s="99">
        <v>1</v>
      </c>
      <c r="L3893" s="99">
        <v>22</v>
      </c>
      <c r="M3893" s="99">
        <v>19</v>
      </c>
      <c r="N3893" s="99">
        <v>3</v>
      </c>
    </row>
    <row r="3894" spans="1:14" ht="17.5" customHeight="1">
      <c r="A3894" s="109" t="s">
        <v>7560</v>
      </c>
      <c r="B3894" s="109" t="s">
        <v>7561</v>
      </c>
      <c r="C3894" s="111">
        <v>2012</v>
      </c>
      <c r="D3894" s="112">
        <v>449</v>
      </c>
      <c r="E3894" s="112">
        <v>865</v>
      </c>
      <c r="F3894" s="112">
        <v>490</v>
      </c>
      <c r="G3894" s="112">
        <v>372</v>
      </c>
      <c r="H3894" s="112">
        <v>210</v>
      </c>
      <c r="I3894" s="112">
        <v>39</v>
      </c>
      <c r="J3894" s="112">
        <v>45</v>
      </c>
      <c r="K3894" s="112">
        <v>6</v>
      </c>
      <c r="L3894" s="112">
        <v>57</v>
      </c>
      <c r="M3894" s="112">
        <v>59</v>
      </c>
      <c r="N3894" s="112">
        <v>-2</v>
      </c>
    </row>
    <row r="3895" spans="1:14" ht="17.5" customHeight="1">
      <c r="A3895" s="109" t="s">
        <v>7560</v>
      </c>
      <c r="B3895" s="109" t="s">
        <v>7561</v>
      </c>
      <c r="C3895" s="113">
        <v>2013</v>
      </c>
      <c r="D3895" s="112">
        <v>494</v>
      </c>
      <c r="E3895" s="112">
        <v>969</v>
      </c>
      <c r="F3895" s="112">
        <v>512</v>
      </c>
      <c r="G3895" s="112">
        <v>469</v>
      </c>
      <c r="H3895" s="112">
        <v>251</v>
      </c>
      <c r="I3895" s="112">
        <v>26</v>
      </c>
      <c r="J3895" s="112">
        <v>26</v>
      </c>
      <c r="K3895" s="112" t="s">
        <v>6952</v>
      </c>
      <c r="L3895" s="112">
        <v>67</v>
      </c>
      <c r="M3895" s="112">
        <v>56</v>
      </c>
      <c r="N3895" s="112">
        <v>11</v>
      </c>
    </row>
    <row r="3896" spans="1:14" ht="17.5" customHeight="1">
      <c r="A3896" s="109" t="s">
        <v>7560</v>
      </c>
      <c r="B3896" s="109" t="s">
        <v>7561</v>
      </c>
      <c r="C3896" s="113">
        <v>2014</v>
      </c>
      <c r="D3896" s="99">
        <v>506</v>
      </c>
      <c r="E3896" s="99">
        <v>882</v>
      </c>
      <c r="F3896" s="99">
        <v>459</v>
      </c>
      <c r="G3896" s="99">
        <v>420</v>
      </c>
      <c r="H3896" s="99">
        <v>246</v>
      </c>
      <c r="I3896" s="99">
        <v>20</v>
      </c>
      <c r="J3896" s="99" t="s">
        <v>6953</v>
      </c>
      <c r="K3896" s="99" t="s">
        <v>6953</v>
      </c>
      <c r="L3896" s="99">
        <v>75</v>
      </c>
      <c r="M3896" s="99">
        <v>83</v>
      </c>
      <c r="N3896" s="99">
        <v>-8</v>
      </c>
    </row>
    <row r="3897" spans="1:14" ht="17.5" customHeight="1">
      <c r="A3897" s="109" t="s">
        <v>7560</v>
      </c>
      <c r="B3897" s="109" t="s">
        <v>7561</v>
      </c>
      <c r="C3897" s="113">
        <v>2015</v>
      </c>
      <c r="D3897" s="112">
        <v>536</v>
      </c>
      <c r="E3897" s="112">
        <v>936</v>
      </c>
      <c r="F3897" s="112">
        <v>289</v>
      </c>
      <c r="G3897" s="112">
        <v>647</v>
      </c>
      <c r="H3897" s="112">
        <v>251</v>
      </c>
      <c r="I3897" s="112">
        <v>31</v>
      </c>
      <c r="J3897" s="112">
        <v>32</v>
      </c>
      <c r="K3897" s="112">
        <v>1</v>
      </c>
      <c r="L3897" s="112">
        <v>45</v>
      </c>
      <c r="M3897" s="112">
        <v>54</v>
      </c>
      <c r="N3897" s="112">
        <v>-9</v>
      </c>
    </row>
    <row r="3898" spans="1:14" ht="17.5" customHeight="1">
      <c r="A3898" s="109" t="s">
        <v>7560</v>
      </c>
      <c r="B3898" s="109" t="s">
        <v>7561</v>
      </c>
      <c r="C3898" s="113">
        <v>2016</v>
      </c>
      <c r="D3898" s="112">
        <v>570</v>
      </c>
      <c r="E3898" s="112">
        <v>627</v>
      </c>
      <c r="F3898" s="112">
        <v>193</v>
      </c>
      <c r="G3898" s="112">
        <v>432</v>
      </c>
      <c r="H3898" s="112">
        <v>132</v>
      </c>
      <c r="I3898" s="112">
        <v>11</v>
      </c>
      <c r="J3898" s="112">
        <v>12</v>
      </c>
      <c r="K3898" s="112">
        <v>1</v>
      </c>
      <c r="L3898" s="112">
        <v>25</v>
      </c>
      <c r="M3898" s="112">
        <v>25</v>
      </c>
      <c r="N3898" s="112" t="s">
        <v>6952</v>
      </c>
    </row>
    <row r="3899" spans="1:14" ht="17.5" customHeight="1">
      <c r="A3899" s="109" t="s">
        <v>7560</v>
      </c>
      <c r="B3899" s="109" t="s">
        <v>7561</v>
      </c>
      <c r="C3899" s="113">
        <v>2017</v>
      </c>
      <c r="D3899" s="112">
        <v>620</v>
      </c>
      <c r="E3899" s="112">
        <v>1142</v>
      </c>
      <c r="F3899" s="112">
        <v>543</v>
      </c>
      <c r="G3899" s="112">
        <v>573</v>
      </c>
      <c r="H3899" s="112">
        <v>329</v>
      </c>
      <c r="I3899" s="112">
        <v>40</v>
      </c>
      <c r="J3899" s="112">
        <v>41</v>
      </c>
      <c r="K3899" s="112">
        <v>1</v>
      </c>
      <c r="L3899" s="112">
        <v>36</v>
      </c>
      <c r="M3899" s="112">
        <v>63</v>
      </c>
      <c r="N3899" s="112">
        <v>-27</v>
      </c>
    </row>
    <row r="3900" spans="1:14" ht="17.5" customHeight="1">
      <c r="A3900" s="109" t="s">
        <v>7560</v>
      </c>
      <c r="B3900" s="109" t="s">
        <v>7561</v>
      </c>
      <c r="C3900" s="113">
        <v>2018</v>
      </c>
      <c r="D3900" s="112">
        <v>671</v>
      </c>
      <c r="E3900" s="112">
        <v>1226</v>
      </c>
      <c r="F3900" s="112">
        <v>540</v>
      </c>
      <c r="G3900" s="112">
        <v>727</v>
      </c>
      <c r="H3900" s="112">
        <v>338</v>
      </c>
      <c r="I3900" s="112">
        <v>50</v>
      </c>
      <c r="J3900" s="112">
        <v>51</v>
      </c>
      <c r="K3900" s="112">
        <v>1</v>
      </c>
      <c r="L3900" s="112">
        <v>73</v>
      </c>
      <c r="M3900" s="112">
        <v>50</v>
      </c>
      <c r="N3900" s="112">
        <v>23</v>
      </c>
    </row>
    <row r="3901" spans="1:14" ht="17.5" customHeight="1">
      <c r="A3901" s="109" t="s">
        <v>7560</v>
      </c>
      <c r="B3901" s="109" t="s">
        <v>7561</v>
      </c>
      <c r="C3901" s="113">
        <v>2019</v>
      </c>
      <c r="D3901" s="112">
        <v>740</v>
      </c>
      <c r="E3901" s="112">
        <v>1095.2979740000001</v>
      </c>
      <c r="F3901" s="112">
        <v>456.58315700000003</v>
      </c>
      <c r="G3901" s="112">
        <v>641.82875100000001</v>
      </c>
      <c r="H3901" s="112">
        <v>297.02359999999999</v>
      </c>
      <c r="I3901" s="112">
        <v>47.567642999999997</v>
      </c>
      <c r="J3901" s="112">
        <v>48.323642</v>
      </c>
      <c r="K3901" s="112">
        <v>0.75599899999999998</v>
      </c>
      <c r="L3901" s="112">
        <v>50.100951999999999</v>
      </c>
      <c r="M3901" s="112">
        <v>49.128869000000002</v>
      </c>
      <c r="N3901" s="112">
        <v>0.97208300000000003</v>
      </c>
    </row>
    <row r="3902" spans="1:14" ht="17.5" customHeight="1">
      <c r="A3902" s="114" t="s">
        <v>7560</v>
      </c>
      <c r="B3902" s="114" t="s">
        <v>7561</v>
      </c>
      <c r="C3902" s="113">
        <v>2020</v>
      </c>
      <c r="D3902" s="112">
        <v>779</v>
      </c>
      <c r="E3902" s="112">
        <v>1139.620703</v>
      </c>
      <c r="F3902" s="112">
        <v>506.39521500000001</v>
      </c>
      <c r="G3902" s="112">
        <v>635.41013499999997</v>
      </c>
      <c r="H3902" s="112">
        <v>323.84389499999997</v>
      </c>
      <c r="I3902" s="112">
        <v>35.707993999999999</v>
      </c>
      <c r="J3902" s="112">
        <v>36.077655</v>
      </c>
      <c r="K3902" s="112" t="s">
        <v>6952</v>
      </c>
      <c r="L3902" s="112">
        <v>61.672764999999998</v>
      </c>
      <c r="M3902" s="112">
        <v>60.550136999999999</v>
      </c>
      <c r="N3902" s="112">
        <v>1.122627</v>
      </c>
    </row>
    <row r="3903" spans="1:14" ht="17.5" customHeight="1">
      <c r="A3903" s="109" t="s">
        <v>7562</v>
      </c>
      <c r="B3903" s="109" t="s">
        <v>7563</v>
      </c>
      <c r="C3903" s="98">
        <v>2008</v>
      </c>
      <c r="D3903" s="99">
        <v>238</v>
      </c>
      <c r="E3903" s="99">
        <v>3412</v>
      </c>
      <c r="F3903" s="99">
        <v>995</v>
      </c>
      <c r="G3903" s="99">
        <v>2486</v>
      </c>
      <c r="H3903" s="99">
        <v>694</v>
      </c>
      <c r="I3903" s="99" t="s">
        <v>6953</v>
      </c>
      <c r="J3903" s="99" t="s">
        <v>6953</v>
      </c>
      <c r="K3903" s="99">
        <v>24</v>
      </c>
      <c r="L3903" s="99">
        <v>567</v>
      </c>
      <c r="M3903" s="99">
        <v>498</v>
      </c>
      <c r="N3903" s="99">
        <v>68</v>
      </c>
    </row>
    <row r="3904" spans="1:14" ht="17.5" customHeight="1">
      <c r="A3904" s="109" t="s">
        <v>7562</v>
      </c>
      <c r="B3904" s="109" t="s">
        <v>7563</v>
      </c>
      <c r="C3904" s="98">
        <v>2009</v>
      </c>
      <c r="D3904" s="99">
        <v>346</v>
      </c>
      <c r="E3904" s="99">
        <v>3399</v>
      </c>
      <c r="F3904" s="99">
        <v>1433</v>
      </c>
      <c r="G3904" s="99">
        <v>1967</v>
      </c>
      <c r="H3904" s="99">
        <v>640</v>
      </c>
      <c r="I3904" s="99">
        <v>101</v>
      </c>
      <c r="J3904" s="99">
        <v>104</v>
      </c>
      <c r="K3904" s="99">
        <v>3</v>
      </c>
      <c r="L3904" s="99">
        <v>467</v>
      </c>
      <c r="M3904" s="99">
        <v>470</v>
      </c>
      <c r="N3904" s="99">
        <v>-4</v>
      </c>
    </row>
    <row r="3905" spans="1:14" ht="17.5" customHeight="1">
      <c r="A3905" s="109" t="s">
        <v>7562</v>
      </c>
      <c r="B3905" s="109" t="s">
        <v>7563</v>
      </c>
      <c r="C3905" s="98">
        <v>2010</v>
      </c>
      <c r="D3905" s="99">
        <v>458</v>
      </c>
      <c r="E3905" s="99">
        <v>3252</v>
      </c>
      <c r="F3905" s="99">
        <v>1420</v>
      </c>
      <c r="G3905" s="99">
        <v>1887</v>
      </c>
      <c r="H3905" s="99">
        <v>504</v>
      </c>
      <c r="I3905" s="99">
        <v>-34</v>
      </c>
      <c r="J3905" s="99">
        <v>50</v>
      </c>
      <c r="K3905" s="99">
        <v>84</v>
      </c>
      <c r="L3905" s="99">
        <v>413</v>
      </c>
      <c r="M3905" s="99">
        <v>358</v>
      </c>
      <c r="N3905" s="99">
        <v>55</v>
      </c>
    </row>
    <row r="3906" spans="1:14" ht="17.5" customHeight="1">
      <c r="A3906" s="109" t="s">
        <v>7562</v>
      </c>
      <c r="B3906" s="109" t="s">
        <v>7563</v>
      </c>
      <c r="C3906" s="98">
        <v>2011</v>
      </c>
      <c r="D3906" s="99">
        <v>582</v>
      </c>
      <c r="E3906" s="99">
        <v>3372</v>
      </c>
      <c r="F3906" s="99">
        <v>1380</v>
      </c>
      <c r="G3906" s="99">
        <v>1973</v>
      </c>
      <c r="H3906" s="99">
        <v>579</v>
      </c>
      <c r="I3906" s="99">
        <v>39</v>
      </c>
      <c r="J3906" s="99">
        <v>41</v>
      </c>
      <c r="K3906" s="99">
        <v>3</v>
      </c>
      <c r="L3906" s="99">
        <v>373</v>
      </c>
      <c r="M3906" s="99">
        <v>390</v>
      </c>
      <c r="N3906" s="99">
        <v>-18</v>
      </c>
    </row>
    <row r="3907" spans="1:14" ht="17.5" customHeight="1">
      <c r="A3907" s="109" t="s">
        <v>7562</v>
      </c>
      <c r="B3907" s="109" t="s">
        <v>7563</v>
      </c>
      <c r="C3907" s="111">
        <v>2012</v>
      </c>
      <c r="D3907" s="112">
        <v>752</v>
      </c>
      <c r="E3907" s="112">
        <v>3604</v>
      </c>
      <c r="F3907" s="112">
        <v>1739</v>
      </c>
      <c r="G3907" s="112">
        <v>1943</v>
      </c>
      <c r="H3907" s="112">
        <v>659</v>
      </c>
      <c r="I3907" s="112">
        <v>39</v>
      </c>
      <c r="J3907" s="112">
        <v>49</v>
      </c>
      <c r="K3907" s="112">
        <v>11</v>
      </c>
      <c r="L3907" s="112">
        <v>555</v>
      </c>
      <c r="M3907" s="112">
        <v>478</v>
      </c>
      <c r="N3907" s="112">
        <v>77</v>
      </c>
    </row>
    <row r="3908" spans="1:14" ht="17.5" customHeight="1">
      <c r="A3908" s="109" t="s">
        <v>7562</v>
      </c>
      <c r="B3908" s="109" t="s">
        <v>7563</v>
      </c>
      <c r="C3908" s="113">
        <v>2013</v>
      </c>
      <c r="D3908" s="112">
        <v>925</v>
      </c>
      <c r="E3908" s="112">
        <v>3975</v>
      </c>
      <c r="F3908" s="112">
        <v>2058</v>
      </c>
      <c r="G3908" s="112">
        <v>1934</v>
      </c>
      <c r="H3908" s="112">
        <v>612</v>
      </c>
      <c r="I3908" s="99" t="s">
        <v>6953</v>
      </c>
      <c r="J3908" s="99" t="s">
        <v>6953</v>
      </c>
      <c r="K3908" s="112">
        <v>7</v>
      </c>
      <c r="L3908" s="112">
        <v>524</v>
      </c>
      <c r="M3908" s="112">
        <v>507</v>
      </c>
      <c r="N3908" s="112">
        <v>17</v>
      </c>
    </row>
    <row r="3909" spans="1:14" ht="17.5" customHeight="1">
      <c r="A3909" s="109" t="s">
        <v>7562</v>
      </c>
      <c r="B3909" s="109" t="s">
        <v>7563</v>
      </c>
      <c r="C3909" s="113">
        <v>2014</v>
      </c>
      <c r="D3909" s="99">
        <v>1272</v>
      </c>
      <c r="E3909" s="99">
        <v>4227</v>
      </c>
      <c r="F3909" s="99">
        <v>1798</v>
      </c>
      <c r="G3909" s="99">
        <v>2433</v>
      </c>
      <c r="H3909" s="99">
        <v>740</v>
      </c>
      <c r="I3909" s="99" t="s">
        <v>6953</v>
      </c>
      <c r="J3909" s="99" t="s">
        <v>6953</v>
      </c>
      <c r="K3909" s="99" t="s">
        <v>6953</v>
      </c>
      <c r="L3909" s="99">
        <v>524</v>
      </c>
      <c r="M3909" s="99">
        <v>522</v>
      </c>
      <c r="N3909" s="99">
        <v>3</v>
      </c>
    </row>
    <row r="3910" spans="1:14" ht="17.5" customHeight="1">
      <c r="A3910" s="109" t="s">
        <v>7562</v>
      </c>
      <c r="B3910" s="109" t="s">
        <v>7563</v>
      </c>
      <c r="C3910" s="113">
        <v>2015</v>
      </c>
      <c r="D3910" s="112">
        <v>1624</v>
      </c>
      <c r="E3910" s="112">
        <v>4288</v>
      </c>
      <c r="F3910" s="112">
        <v>1448</v>
      </c>
      <c r="G3910" s="112">
        <v>2871</v>
      </c>
      <c r="H3910" s="112">
        <v>702</v>
      </c>
      <c r="I3910" s="112">
        <v>45</v>
      </c>
      <c r="J3910" s="112">
        <v>58</v>
      </c>
      <c r="K3910" s="112">
        <v>13</v>
      </c>
      <c r="L3910" s="112">
        <v>587</v>
      </c>
      <c r="M3910" s="112">
        <v>559</v>
      </c>
      <c r="N3910" s="112">
        <v>27</v>
      </c>
    </row>
    <row r="3911" spans="1:14" ht="17.5" customHeight="1">
      <c r="A3911" s="109" t="s">
        <v>7562</v>
      </c>
      <c r="B3911" s="109" t="s">
        <v>7563</v>
      </c>
      <c r="C3911" s="113">
        <v>2016</v>
      </c>
      <c r="D3911" s="112">
        <v>2037</v>
      </c>
      <c r="E3911" s="112">
        <v>4773</v>
      </c>
      <c r="F3911" s="112">
        <v>1518</v>
      </c>
      <c r="G3911" s="112">
        <v>3460</v>
      </c>
      <c r="H3911" s="112">
        <v>677</v>
      </c>
      <c r="I3911" s="112">
        <v>42</v>
      </c>
      <c r="J3911" s="112">
        <v>50</v>
      </c>
      <c r="K3911" s="112">
        <v>8</v>
      </c>
      <c r="L3911" s="112">
        <v>728</v>
      </c>
      <c r="M3911" s="112">
        <v>526</v>
      </c>
      <c r="N3911" s="112">
        <v>202</v>
      </c>
    </row>
    <row r="3912" spans="1:14" ht="17.5" customHeight="1">
      <c r="A3912" s="109" t="s">
        <v>7562</v>
      </c>
      <c r="B3912" s="109" t="s">
        <v>7563</v>
      </c>
      <c r="C3912" s="113">
        <v>2017</v>
      </c>
      <c r="D3912" s="112">
        <v>1783</v>
      </c>
      <c r="E3912" s="112">
        <v>5433</v>
      </c>
      <c r="F3912" s="112">
        <v>1230</v>
      </c>
      <c r="G3912" s="112">
        <v>4333</v>
      </c>
      <c r="H3912" s="112">
        <v>714</v>
      </c>
      <c r="I3912" s="112">
        <v>44</v>
      </c>
      <c r="J3912" s="112">
        <v>54</v>
      </c>
      <c r="K3912" s="112">
        <v>10</v>
      </c>
      <c r="L3912" s="112">
        <v>850</v>
      </c>
      <c r="M3912" s="112">
        <v>719</v>
      </c>
      <c r="N3912" s="112">
        <v>131</v>
      </c>
    </row>
    <row r="3913" spans="1:14" ht="17.5" customHeight="1">
      <c r="A3913" s="109" t="s">
        <v>7562</v>
      </c>
      <c r="B3913" s="109" t="s">
        <v>7563</v>
      </c>
      <c r="C3913" s="113">
        <v>2018</v>
      </c>
      <c r="D3913" s="112">
        <v>1809</v>
      </c>
      <c r="E3913" s="112">
        <v>5487</v>
      </c>
      <c r="F3913" s="112">
        <v>1534</v>
      </c>
      <c r="G3913" s="112">
        <v>4016</v>
      </c>
      <c r="H3913" s="112">
        <v>778</v>
      </c>
      <c r="I3913" s="112">
        <v>63</v>
      </c>
      <c r="J3913" s="112">
        <v>74</v>
      </c>
      <c r="K3913" s="112">
        <v>11</v>
      </c>
      <c r="L3913" s="112">
        <v>929</v>
      </c>
      <c r="M3913" s="112">
        <v>872</v>
      </c>
      <c r="N3913" s="112">
        <v>57</v>
      </c>
    </row>
    <row r="3914" spans="1:14" ht="17.5" customHeight="1">
      <c r="A3914" s="109" t="s">
        <v>7562</v>
      </c>
      <c r="B3914" s="109" t="s">
        <v>7563</v>
      </c>
      <c r="C3914" s="113">
        <v>2019</v>
      </c>
      <c r="D3914" s="112">
        <v>2010</v>
      </c>
      <c r="E3914" s="112">
        <v>5021.2023330000002</v>
      </c>
      <c r="F3914" s="112">
        <v>1390.9725109999999</v>
      </c>
      <c r="G3914" s="112">
        <v>3685.8437699999999</v>
      </c>
      <c r="H3914" s="112">
        <v>821.438086</v>
      </c>
      <c r="I3914" s="112">
        <v>73.644745999999998</v>
      </c>
      <c r="J3914" s="112">
        <v>80.050449999999998</v>
      </c>
      <c r="K3914" s="112">
        <v>6.4057029999999999</v>
      </c>
      <c r="L3914" s="112">
        <v>490.18305900000001</v>
      </c>
      <c r="M3914" s="112">
        <v>445.80027999999999</v>
      </c>
      <c r="N3914" s="112">
        <v>44.382778000000002</v>
      </c>
    </row>
    <row r="3915" spans="1:14" ht="17.5" customHeight="1">
      <c r="A3915" s="114" t="s">
        <v>7562</v>
      </c>
      <c r="B3915" s="114" t="s">
        <v>7563</v>
      </c>
      <c r="C3915" s="113">
        <v>2020</v>
      </c>
      <c r="D3915" s="112">
        <v>1870</v>
      </c>
      <c r="E3915" s="112">
        <v>3858.9641580000002</v>
      </c>
      <c r="F3915" s="112">
        <v>1265.7359690000001</v>
      </c>
      <c r="G3915" s="112">
        <v>2557.9338750000002</v>
      </c>
      <c r="H3915" s="112">
        <v>779.62228000000005</v>
      </c>
      <c r="I3915" s="112">
        <v>-15.466752</v>
      </c>
      <c r="J3915" s="112">
        <v>56.131475000000002</v>
      </c>
      <c r="K3915" s="112">
        <v>71.598226999999994</v>
      </c>
      <c r="L3915" s="112">
        <v>504.62273599999997</v>
      </c>
      <c r="M3915" s="112">
        <v>539.28390300000001</v>
      </c>
      <c r="N3915" s="112">
        <v>-34.661166000000001</v>
      </c>
    </row>
    <row r="3916" spans="1:14" ht="31.75" customHeight="1">
      <c r="A3916" s="109" t="s">
        <v>7564</v>
      </c>
      <c r="B3916" s="109" t="s">
        <v>7565</v>
      </c>
      <c r="C3916" s="98">
        <v>2008</v>
      </c>
      <c r="D3916" s="99">
        <v>213</v>
      </c>
      <c r="E3916" s="99">
        <v>1703</v>
      </c>
      <c r="F3916" s="99">
        <v>672</v>
      </c>
      <c r="G3916" s="99">
        <v>989</v>
      </c>
      <c r="H3916" s="99">
        <v>374</v>
      </c>
      <c r="I3916" s="99" t="s">
        <v>6953</v>
      </c>
      <c r="J3916" s="99" t="s">
        <v>6953</v>
      </c>
      <c r="K3916" s="99">
        <v>4</v>
      </c>
      <c r="L3916" s="99">
        <v>115</v>
      </c>
      <c r="M3916" s="99">
        <v>153</v>
      </c>
      <c r="N3916" s="99">
        <v>-38</v>
      </c>
    </row>
    <row r="3917" spans="1:14" ht="31.75" customHeight="1">
      <c r="A3917" s="109" t="s">
        <v>7564</v>
      </c>
      <c r="B3917" s="109" t="s">
        <v>7565</v>
      </c>
      <c r="C3917" s="98">
        <v>2009</v>
      </c>
      <c r="D3917" s="99">
        <v>268</v>
      </c>
      <c r="E3917" s="99">
        <v>585</v>
      </c>
      <c r="F3917" s="99">
        <v>230</v>
      </c>
      <c r="G3917" s="99">
        <v>374</v>
      </c>
      <c r="H3917" s="99">
        <v>142</v>
      </c>
      <c r="I3917" s="99">
        <v>6</v>
      </c>
      <c r="J3917" s="99">
        <v>7</v>
      </c>
      <c r="K3917" s="99" t="s">
        <v>6952</v>
      </c>
      <c r="L3917" s="99">
        <v>141</v>
      </c>
      <c r="M3917" s="99">
        <v>121</v>
      </c>
      <c r="N3917" s="99">
        <v>20</v>
      </c>
    </row>
    <row r="3918" spans="1:14" ht="31.75" customHeight="1">
      <c r="A3918" s="109" t="s">
        <v>7564</v>
      </c>
      <c r="B3918" s="109" t="s">
        <v>7565</v>
      </c>
      <c r="C3918" s="98">
        <v>2010</v>
      </c>
      <c r="D3918" s="99">
        <v>408</v>
      </c>
      <c r="E3918" s="99">
        <v>588</v>
      </c>
      <c r="F3918" s="99">
        <v>257</v>
      </c>
      <c r="G3918" s="99">
        <v>336</v>
      </c>
      <c r="H3918" s="99">
        <v>143</v>
      </c>
      <c r="I3918" s="99">
        <v>12</v>
      </c>
      <c r="J3918" s="99">
        <v>13</v>
      </c>
      <c r="K3918" s="99">
        <v>1</v>
      </c>
      <c r="L3918" s="99">
        <v>133</v>
      </c>
      <c r="M3918" s="99">
        <v>128</v>
      </c>
      <c r="N3918" s="99">
        <v>5</v>
      </c>
    </row>
    <row r="3919" spans="1:14" ht="31.75" customHeight="1">
      <c r="A3919" s="109" t="s">
        <v>7564</v>
      </c>
      <c r="B3919" s="109" t="s">
        <v>7565</v>
      </c>
      <c r="C3919" s="98">
        <v>2011</v>
      </c>
      <c r="D3919" s="99">
        <v>545</v>
      </c>
      <c r="E3919" s="99">
        <v>666</v>
      </c>
      <c r="F3919" s="99">
        <v>320</v>
      </c>
      <c r="G3919" s="99">
        <v>356</v>
      </c>
      <c r="H3919" s="99">
        <v>172</v>
      </c>
      <c r="I3919" s="99">
        <v>38</v>
      </c>
      <c r="J3919" s="99">
        <v>38</v>
      </c>
      <c r="K3919" s="99" t="s">
        <v>6952</v>
      </c>
      <c r="L3919" s="99">
        <v>104</v>
      </c>
      <c r="M3919" s="99">
        <v>95</v>
      </c>
      <c r="N3919" s="99">
        <v>9</v>
      </c>
    </row>
    <row r="3920" spans="1:14" ht="31.75" customHeight="1">
      <c r="A3920" s="109" t="s">
        <v>7564</v>
      </c>
      <c r="B3920" s="109" t="s">
        <v>7565</v>
      </c>
      <c r="C3920" s="111">
        <v>2012</v>
      </c>
      <c r="D3920" s="112">
        <v>794</v>
      </c>
      <c r="E3920" s="112">
        <v>649</v>
      </c>
      <c r="F3920" s="112">
        <v>275</v>
      </c>
      <c r="G3920" s="112">
        <v>382</v>
      </c>
      <c r="H3920" s="112">
        <v>165</v>
      </c>
      <c r="I3920" s="112">
        <v>6</v>
      </c>
      <c r="J3920" s="112">
        <v>6</v>
      </c>
      <c r="K3920" s="112" t="s">
        <v>6952</v>
      </c>
      <c r="L3920" s="112">
        <v>125</v>
      </c>
      <c r="M3920" s="112">
        <v>118</v>
      </c>
      <c r="N3920" s="112">
        <v>7</v>
      </c>
    </row>
    <row r="3921" spans="1:14" ht="31.75" customHeight="1">
      <c r="A3921" s="109" t="s">
        <v>7564</v>
      </c>
      <c r="B3921" s="109" t="s">
        <v>7565</v>
      </c>
      <c r="C3921" s="113">
        <v>2013</v>
      </c>
      <c r="D3921" s="112">
        <v>857</v>
      </c>
      <c r="E3921" s="112">
        <v>902</v>
      </c>
      <c r="F3921" s="112">
        <v>432</v>
      </c>
      <c r="G3921" s="112">
        <v>493</v>
      </c>
      <c r="H3921" s="112">
        <v>210</v>
      </c>
      <c r="I3921" s="99" t="s">
        <v>6953</v>
      </c>
      <c r="J3921" s="99" t="s">
        <v>6953</v>
      </c>
      <c r="K3921" s="112">
        <v>2</v>
      </c>
      <c r="L3921" s="112">
        <v>188</v>
      </c>
      <c r="M3921" s="112">
        <v>165</v>
      </c>
      <c r="N3921" s="112">
        <v>23</v>
      </c>
    </row>
    <row r="3922" spans="1:14" ht="31.75" customHeight="1">
      <c r="A3922" s="109" t="s">
        <v>7564</v>
      </c>
      <c r="B3922" s="109" t="s">
        <v>7565</v>
      </c>
      <c r="C3922" s="113">
        <v>2014</v>
      </c>
      <c r="D3922" s="99">
        <v>957</v>
      </c>
      <c r="E3922" s="99">
        <v>759</v>
      </c>
      <c r="F3922" s="99">
        <v>312</v>
      </c>
      <c r="G3922" s="99">
        <v>496</v>
      </c>
      <c r="H3922" s="99">
        <v>160</v>
      </c>
      <c r="I3922" s="99" t="s">
        <v>6953</v>
      </c>
      <c r="J3922" s="99" t="s">
        <v>6953</v>
      </c>
      <c r="K3922" s="99" t="s">
        <v>6952</v>
      </c>
      <c r="L3922" s="99">
        <v>170</v>
      </c>
      <c r="M3922" s="99">
        <v>120</v>
      </c>
      <c r="N3922" s="99">
        <v>50</v>
      </c>
    </row>
    <row r="3923" spans="1:14" ht="31.75" customHeight="1">
      <c r="A3923" s="109" t="s">
        <v>7564</v>
      </c>
      <c r="B3923" s="109" t="s">
        <v>7565</v>
      </c>
      <c r="C3923" s="113">
        <v>2015</v>
      </c>
      <c r="D3923" s="112">
        <v>1099</v>
      </c>
      <c r="E3923" s="112">
        <v>1494</v>
      </c>
      <c r="F3923" s="112">
        <v>428</v>
      </c>
      <c r="G3923" s="112">
        <v>1086</v>
      </c>
      <c r="H3923" s="112">
        <v>244</v>
      </c>
      <c r="I3923" s="112">
        <v>45</v>
      </c>
      <c r="J3923" s="112">
        <v>46</v>
      </c>
      <c r="K3923" s="112">
        <v>1</v>
      </c>
      <c r="L3923" s="112">
        <v>208</v>
      </c>
      <c r="M3923" s="112">
        <v>187</v>
      </c>
      <c r="N3923" s="112">
        <v>20</v>
      </c>
    </row>
    <row r="3924" spans="1:14" ht="31.75" customHeight="1">
      <c r="A3924" s="109" t="s">
        <v>7564</v>
      </c>
      <c r="B3924" s="109" t="s">
        <v>7565</v>
      </c>
      <c r="C3924" s="113">
        <v>2016</v>
      </c>
      <c r="D3924" s="112">
        <v>1252</v>
      </c>
      <c r="E3924" s="112">
        <v>870</v>
      </c>
      <c r="F3924" s="112">
        <v>373</v>
      </c>
      <c r="G3924" s="112">
        <v>540</v>
      </c>
      <c r="H3924" s="112">
        <v>204</v>
      </c>
      <c r="I3924" s="112">
        <v>9</v>
      </c>
      <c r="J3924" s="112">
        <v>10</v>
      </c>
      <c r="K3924" s="112">
        <v>1</v>
      </c>
      <c r="L3924" s="112">
        <v>170</v>
      </c>
      <c r="M3924" s="112">
        <v>130</v>
      </c>
      <c r="N3924" s="112">
        <v>40</v>
      </c>
    </row>
    <row r="3925" spans="1:14" ht="31.75" customHeight="1">
      <c r="A3925" s="109" t="s">
        <v>7564</v>
      </c>
      <c r="B3925" s="109" t="s">
        <v>7565</v>
      </c>
      <c r="C3925" s="113">
        <v>2017</v>
      </c>
      <c r="D3925" s="112">
        <v>1048</v>
      </c>
      <c r="E3925" s="112">
        <v>983</v>
      </c>
      <c r="F3925" s="112">
        <v>445</v>
      </c>
      <c r="G3925" s="112">
        <v>531</v>
      </c>
      <c r="H3925" s="112">
        <v>263</v>
      </c>
      <c r="I3925" s="112">
        <v>10</v>
      </c>
      <c r="J3925" s="112">
        <v>11</v>
      </c>
      <c r="K3925" s="112" t="s">
        <v>6952</v>
      </c>
      <c r="L3925" s="112">
        <v>160</v>
      </c>
      <c r="M3925" s="112">
        <v>168</v>
      </c>
      <c r="N3925" s="112">
        <v>-8</v>
      </c>
    </row>
    <row r="3926" spans="1:14" ht="31.75" customHeight="1">
      <c r="A3926" s="109" t="s">
        <v>7564</v>
      </c>
      <c r="B3926" s="109" t="s">
        <v>7565</v>
      </c>
      <c r="C3926" s="113">
        <v>2018</v>
      </c>
      <c r="D3926" s="112">
        <v>1120</v>
      </c>
      <c r="E3926" s="112">
        <v>806</v>
      </c>
      <c r="F3926" s="112">
        <v>259</v>
      </c>
      <c r="G3926" s="112">
        <v>550</v>
      </c>
      <c r="H3926" s="112">
        <v>218</v>
      </c>
      <c r="I3926" s="112">
        <v>23</v>
      </c>
      <c r="J3926" s="112">
        <v>23</v>
      </c>
      <c r="K3926" s="112">
        <v>1</v>
      </c>
      <c r="L3926" s="112">
        <v>138</v>
      </c>
      <c r="M3926" s="112">
        <v>136</v>
      </c>
      <c r="N3926" s="112">
        <v>2</v>
      </c>
    </row>
    <row r="3927" spans="1:14" ht="31.75" customHeight="1">
      <c r="A3927" s="109" t="s">
        <v>7564</v>
      </c>
      <c r="B3927" s="109" t="s">
        <v>7565</v>
      </c>
      <c r="C3927" s="113">
        <v>2019</v>
      </c>
      <c r="D3927" s="112">
        <v>1375</v>
      </c>
      <c r="E3927" s="112">
        <v>1232.300665</v>
      </c>
      <c r="F3927" s="112">
        <v>508.82792899999998</v>
      </c>
      <c r="G3927" s="112">
        <v>693.85020699999995</v>
      </c>
      <c r="H3927" s="112">
        <v>320.07167700000002</v>
      </c>
      <c r="I3927" s="112">
        <v>24.962334999999999</v>
      </c>
      <c r="J3927" s="112">
        <v>30.191991999999999</v>
      </c>
      <c r="K3927" s="112">
        <v>5.2296579999999997</v>
      </c>
      <c r="L3927" s="112">
        <v>263.51187299999998</v>
      </c>
      <c r="M3927" s="112">
        <v>292.09645</v>
      </c>
      <c r="N3927" s="112">
        <v>-28.584576999999999</v>
      </c>
    </row>
    <row r="3928" spans="1:14" ht="31.75" customHeight="1">
      <c r="A3928" s="114" t="s">
        <v>7564</v>
      </c>
      <c r="B3928" s="109" t="s">
        <v>7565</v>
      </c>
      <c r="C3928" s="113">
        <v>2020</v>
      </c>
      <c r="D3928" s="112">
        <v>1424</v>
      </c>
      <c r="E3928" s="112">
        <v>1053.6224689999999</v>
      </c>
      <c r="F3928" s="112">
        <v>457.64912299999997</v>
      </c>
      <c r="G3928" s="112">
        <v>601.08096899999998</v>
      </c>
      <c r="H3928" s="112">
        <v>302.19153999999997</v>
      </c>
      <c r="I3928" s="112">
        <v>24.972169000000001</v>
      </c>
      <c r="J3928" s="112">
        <v>25.603802999999999</v>
      </c>
      <c r="K3928" s="112">
        <v>0.63163400000000003</v>
      </c>
      <c r="L3928" s="112">
        <v>257.37129700000003</v>
      </c>
      <c r="M3928" s="112">
        <v>252.719098</v>
      </c>
      <c r="N3928" s="112">
        <v>4.6521990000000004</v>
      </c>
    </row>
    <row r="3929" spans="1:14" ht="17.5" customHeight="1">
      <c r="A3929" s="109" t="s">
        <v>7566</v>
      </c>
      <c r="B3929" s="109" t="s">
        <v>7567</v>
      </c>
      <c r="C3929" s="98">
        <v>2008</v>
      </c>
      <c r="D3929" s="99">
        <v>229</v>
      </c>
      <c r="E3929" s="99">
        <v>111</v>
      </c>
      <c r="F3929" s="99">
        <v>48</v>
      </c>
      <c r="G3929" s="99">
        <v>64</v>
      </c>
      <c r="H3929" s="99">
        <v>25</v>
      </c>
      <c r="I3929" s="99">
        <v>2</v>
      </c>
      <c r="J3929" s="99">
        <v>3</v>
      </c>
      <c r="K3929" s="99">
        <v>1</v>
      </c>
      <c r="L3929" s="99">
        <v>11</v>
      </c>
      <c r="M3929" s="99">
        <v>10</v>
      </c>
      <c r="N3929" s="99">
        <v>1</v>
      </c>
    </row>
    <row r="3930" spans="1:14" ht="17.5" customHeight="1">
      <c r="A3930" s="109" t="s">
        <v>7566</v>
      </c>
      <c r="B3930" s="109" t="s">
        <v>7567</v>
      </c>
      <c r="C3930" s="98">
        <v>2009</v>
      </c>
      <c r="D3930" s="99">
        <v>485</v>
      </c>
      <c r="E3930" s="99">
        <v>110</v>
      </c>
      <c r="F3930" s="99">
        <v>69</v>
      </c>
      <c r="G3930" s="99">
        <v>40</v>
      </c>
      <c r="H3930" s="99">
        <v>30</v>
      </c>
      <c r="I3930" s="99">
        <v>2</v>
      </c>
      <c r="J3930" s="99">
        <v>3</v>
      </c>
      <c r="K3930" s="99">
        <v>1</v>
      </c>
      <c r="L3930" s="99">
        <v>5</v>
      </c>
      <c r="M3930" s="99">
        <v>7</v>
      </c>
      <c r="N3930" s="99">
        <v>-2</v>
      </c>
    </row>
    <row r="3931" spans="1:14" ht="17.5" customHeight="1">
      <c r="A3931" s="109" t="s">
        <v>7566</v>
      </c>
      <c r="B3931" s="109" t="s">
        <v>7567</v>
      </c>
      <c r="C3931" s="98">
        <v>2010</v>
      </c>
      <c r="D3931" s="99">
        <v>739</v>
      </c>
      <c r="E3931" s="99">
        <v>81</v>
      </c>
      <c r="F3931" s="99">
        <v>25</v>
      </c>
      <c r="G3931" s="99">
        <v>56</v>
      </c>
      <c r="H3931" s="99">
        <v>14</v>
      </c>
      <c r="I3931" s="99" t="s">
        <v>6952</v>
      </c>
      <c r="J3931" s="99">
        <v>1</v>
      </c>
      <c r="K3931" s="99" t="s">
        <v>6952</v>
      </c>
      <c r="L3931" s="99">
        <v>2</v>
      </c>
      <c r="M3931" s="99">
        <v>2</v>
      </c>
      <c r="N3931" s="99" t="s">
        <v>6952</v>
      </c>
    </row>
    <row r="3932" spans="1:14" ht="17.5" customHeight="1">
      <c r="A3932" s="109" t="s">
        <v>7566</v>
      </c>
      <c r="B3932" s="109" t="s">
        <v>7567</v>
      </c>
      <c r="C3932" s="98">
        <v>2011</v>
      </c>
      <c r="D3932" s="99">
        <v>1151</v>
      </c>
      <c r="E3932" s="99">
        <v>183</v>
      </c>
      <c r="F3932" s="99">
        <v>85</v>
      </c>
      <c r="G3932" s="99">
        <v>101</v>
      </c>
      <c r="H3932" s="99">
        <v>28</v>
      </c>
      <c r="I3932" s="99">
        <v>3</v>
      </c>
      <c r="J3932" s="99">
        <v>4</v>
      </c>
      <c r="K3932" s="99">
        <v>1</v>
      </c>
      <c r="L3932" s="99">
        <v>6</v>
      </c>
      <c r="M3932" s="99">
        <v>3</v>
      </c>
      <c r="N3932" s="99">
        <v>4</v>
      </c>
    </row>
    <row r="3933" spans="1:14" ht="17.5" customHeight="1">
      <c r="A3933" s="109" t="s">
        <v>7566</v>
      </c>
      <c r="B3933" s="109" t="s">
        <v>7567</v>
      </c>
      <c r="C3933" s="111">
        <v>2012</v>
      </c>
      <c r="D3933" s="112">
        <v>4004</v>
      </c>
      <c r="E3933" s="112">
        <v>378</v>
      </c>
      <c r="F3933" s="112">
        <v>248</v>
      </c>
      <c r="G3933" s="112">
        <v>144</v>
      </c>
      <c r="H3933" s="112">
        <v>102</v>
      </c>
      <c r="I3933" s="112">
        <v>4</v>
      </c>
      <c r="J3933" s="112">
        <v>5</v>
      </c>
      <c r="K3933" s="112">
        <v>1</v>
      </c>
      <c r="L3933" s="112">
        <v>48</v>
      </c>
      <c r="M3933" s="112">
        <v>34</v>
      </c>
      <c r="N3933" s="112">
        <v>14</v>
      </c>
    </row>
    <row r="3934" spans="1:14" ht="17.5" customHeight="1">
      <c r="A3934" s="109" t="s">
        <v>7566</v>
      </c>
      <c r="B3934" s="109" t="s">
        <v>7567</v>
      </c>
      <c r="C3934" s="113">
        <v>2013</v>
      </c>
      <c r="D3934" s="112">
        <v>5335</v>
      </c>
      <c r="E3934" s="112">
        <v>649</v>
      </c>
      <c r="F3934" s="112">
        <v>427</v>
      </c>
      <c r="G3934" s="112">
        <v>220</v>
      </c>
      <c r="H3934" s="112">
        <v>196</v>
      </c>
      <c r="I3934" s="112">
        <v>8</v>
      </c>
      <c r="J3934" s="112">
        <v>10</v>
      </c>
      <c r="K3934" s="112">
        <v>2</v>
      </c>
      <c r="L3934" s="112">
        <v>13</v>
      </c>
      <c r="M3934" s="112">
        <v>15</v>
      </c>
      <c r="N3934" s="112">
        <v>-2</v>
      </c>
    </row>
    <row r="3935" spans="1:14" ht="17.5" customHeight="1">
      <c r="A3935" s="109" t="s">
        <v>7566</v>
      </c>
      <c r="B3935" s="109" t="s">
        <v>7567</v>
      </c>
      <c r="C3935" s="113">
        <v>2014</v>
      </c>
      <c r="D3935" s="99">
        <v>1401</v>
      </c>
      <c r="E3935" s="99">
        <v>497</v>
      </c>
      <c r="F3935" s="99">
        <v>235</v>
      </c>
      <c r="G3935" s="99">
        <v>267</v>
      </c>
      <c r="H3935" s="99">
        <v>40</v>
      </c>
      <c r="I3935" s="99">
        <v>53</v>
      </c>
      <c r="J3935" s="99">
        <v>53</v>
      </c>
      <c r="K3935" s="99" t="s">
        <v>6952</v>
      </c>
      <c r="L3935" s="99">
        <v>37</v>
      </c>
      <c r="M3935" s="99">
        <v>36</v>
      </c>
      <c r="N3935" s="99">
        <v>1</v>
      </c>
    </row>
    <row r="3936" spans="1:14" ht="17.5" customHeight="1">
      <c r="A3936" s="109" t="s">
        <v>7566</v>
      </c>
      <c r="B3936" s="109" t="s">
        <v>7567</v>
      </c>
      <c r="C3936" s="113">
        <v>2015</v>
      </c>
      <c r="D3936" s="112">
        <v>1202</v>
      </c>
      <c r="E3936" s="112">
        <v>178</v>
      </c>
      <c r="F3936" s="112">
        <v>100</v>
      </c>
      <c r="G3936" s="112">
        <v>81</v>
      </c>
      <c r="H3936" s="112">
        <v>18</v>
      </c>
      <c r="I3936" s="112">
        <v>45</v>
      </c>
      <c r="J3936" s="112">
        <v>45</v>
      </c>
      <c r="K3936" s="112">
        <v>1</v>
      </c>
      <c r="L3936" s="112">
        <v>13</v>
      </c>
      <c r="M3936" s="112">
        <v>11</v>
      </c>
      <c r="N3936" s="112">
        <v>2</v>
      </c>
    </row>
    <row r="3937" spans="1:14" ht="17.5" customHeight="1">
      <c r="A3937" s="109" t="s">
        <v>7566</v>
      </c>
      <c r="B3937" s="109" t="s">
        <v>7567</v>
      </c>
      <c r="C3937" s="113">
        <v>2016</v>
      </c>
      <c r="D3937" s="112">
        <v>1165</v>
      </c>
      <c r="E3937" s="112">
        <v>334</v>
      </c>
      <c r="F3937" s="112">
        <v>140</v>
      </c>
      <c r="G3937" s="112">
        <v>199</v>
      </c>
      <c r="H3937" s="112">
        <v>75</v>
      </c>
      <c r="I3937" s="112">
        <v>9</v>
      </c>
      <c r="J3937" s="112">
        <v>11</v>
      </c>
      <c r="K3937" s="112">
        <v>2</v>
      </c>
      <c r="L3937" s="112">
        <v>16</v>
      </c>
      <c r="M3937" s="112">
        <v>15</v>
      </c>
      <c r="N3937" s="112">
        <v>1</v>
      </c>
    </row>
    <row r="3938" spans="1:14" ht="17.5" customHeight="1">
      <c r="A3938" s="109" t="s">
        <v>7566</v>
      </c>
      <c r="B3938" s="109" t="s">
        <v>7567</v>
      </c>
      <c r="C3938" s="113">
        <v>2017</v>
      </c>
      <c r="D3938" s="112">
        <v>1209</v>
      </c>
      <c r="E3938" s="112">
        <v>295</v>
      </c>
      <c r="F3938" s="112">
        <v>156</v>
      </c>
      <c r="G3938" s="112">
        <v>153</v>
      </c>
      <c r="H3938" s="112">
        <v>49</v>
      </c>
      <c r="I3938" s="112">
        <v>14</v>
      </c>
      <c r="J3938" s="112">
        <v>20</v>
      </c>
      <c r="K3938" s="112">
        <v>6</v>
      </c>
      <c r="L3938" s="112">
        <v>10</v>
      </c>
      <c r="M3938" s="112">
        <v>8</v>
      </c>
      <c r="N3938" s="112">
        <v>1</v>
      </c>
    </row>
    <row r="3939" spans="1:14" ht="17.5" customHeight="1">
      <c r="A3939" s="109" t="s">
        <v>7566</v>
      </c>
      <c r="B3939" s="109" t="s">
        <v>7567</v>
      </c>
      <c r="C3939" s="113">
        <v>2018</v>
      </c>
      <c r="D3939" s="112">
        <v>1210</v>
      </c>
      <c r="E3939" s="112">
        <v>347</v>
      </c>
      <c r="F3939" s="112">
        <v>221</v>
      </c>
      <c r="G3939" s="112">
        <v>147</v>
      </c>
      <c r="H3939" s="112">
        <v>56</v>
      </c>
      <c r="I3939" s="112">
        <v>24</v>
      </c>
      <c r="J3939" s="112">
        <v>25</v>
      </c>
      <c r="K3939" s="112">
        <v>2</v>
      </c>
      <c r="L3939" s="112">
        <v>34</v>
      </c>
      <c r="M3939" s="112">
        <v>13</v>
      </c>
      <c r="N3939" s="112">
        <v>21</v>
      </c>
    </row>
    <row r="3940" spans="1:14" ht="17.5" customHeight="1">
      <c r="A3940" s="109" t="s">
        <v>7566</v>
      </c>
      <c r="B3940" s="109" t="s">
        <v>7567</v>
      </c>
      <c r="C3940" s="113">
        <v>2019</v>
      </c>
      <c r="D3940" s="112">
        <v>1286</v>
      </c>
      <c r="E3940" s="112">
        <v>356.69728199999997</v>
      </c>
      <c r="F3940" s="112">
        <v>205.97713200000001</v>
      </c>
      <c r="G3940" s="112">
        <v>161.63465400000001</v>
      </c>
      <c r="H3940" s="112">
        <v>85.084862000000001</v>
      </c>
      <c r="I3940" s="112">
        <v>4.7937269999999996</v>
      </c>
      <c r="J3940" s="112">
        <v>12.102644</v>
      </c>
      <c r="K3940" s="112">
        <v>7.3089180000000002</v>
      </c>
      <c r="L3940" s="112">
        <v>19.446304999999999</v>
      </c>
      <c r="M3940" s="112">
        <v>16.347328999999998</v>
      </c>
      <c r="N3940" s="112">
        <v>3.098976</v>
      </c>
    </row>
    <row r="3941" spans="1:14" ht="17.5" customHeight="1">
      <c r="A3941" s="114" t="s">
        <v>7566</v>
      </c>
      <c r="B3941" s="114" t="s">
        <v>7567</v>
      </c>
      <c r="C3941" s="113">
        <v>2020</v>
      </c>
      <c r="D3941" s="112">
        <v>1281</v>
      </c>
      <c r="E3941" s="112">
        <v>416.42993200000001</v>
      </c>
      <c r="F3941" s="112">
        <v>234.62385699999999</v>
      </c>
      <c r="G3941" s="112">
        <v>189.99642700000001</v>
      </c>
      <c r="H3941" s="112">
        <v>85.514353</v>
      </c>
      <c r="I3941" s="112">
        <v>23.537455000000001</v>
      </c>
      <c r="J3941" s="112">
        <v>24.582523999999999</v>
      </c>
      <c r="K3941" s="112">
        <v>1.045069</v>
      </c>
      <c r="L3941" s="112">
        <v>28.152889999999999</v>
      </c>
      <c r="M3941" s="112">
        <v>35.189946999999997</v>
      </c>
      <c r="N3941" s="112">
        <v>-7.0370569999999999</v>
      </c>
    </row>
    <row r="3942" spans="1:14" ht="17.5" customHeight="1">
      <c r="A3942" s="109" t="s">
        <v>7568</v>
      </c>
      <c r="B3942" s="109" t="s">
        <v>7569</v>
      </c>
      <c r="C3942" s="98">
        <v>2008</v>
      </c>
      <c r="D3942" s="99">
        <v>566</v>
      </c>
      <c r="E3942" s="99">
        <v>2356</v>
      </c>
      <c r="F3942" s="99">
        <v>896</v>
      </c>
      <c r="G3942" s="99">
        <v>1480</v>
      </c>
      <c r="H3942" s="99">
        <v>626</v>
      </c>
      <c r="I3942" s="99">
        <v>19</v>
      </c>
      <c r="J3942" s="99">
        <v>25</v>
      </c>
      <c r="K3942" s="99">
        <v>5</v>
      </c>
      <c r="L3942" s="99">
        <v>295</v>
      </c>
      <c r="M3942" s="99">
        <v>275</v>
      </c>
      <c r="N3942" s="99">
        <v>20</v>
      </c>
    </row>
    <row r="3943" spans="1:14" ht="17.5" customHeight="1">
      <c r="A3943" s="109" t="s">
        <v>7568</v>
      </c>
      <c r="B3943" s="109" t="s">
        <v>7569</v>
      </c>
      <c r="C3943" s="98">
        <v>2009</v>
      </c>
      <c r="D3943" s="99">
        <v>766</v>
      </c>
      <c r="E3943" s="99">
        <v>2986</v>
      </c>
      <c r="F3943" s="99">
        <v>1139</v>
      </c>
      <c r="G3943" s="99">
        <v>1814</v>
      </c>
      <c r="H3943" s="99">
        <v>747</v>
      </c>
      <c r="I3943" s="99">
        <v>10</v>
      </c>
      <c r="J3943" s="99">
        <v>38</v>
      </c>
      <c r="K3943" s="99">
        <v>28</v>
      </c>
      <c r="L3943" s="99">
        <v>235</v>
      </c>
      <c r="M3943" s="99">
        <v>268</v>
      </c>
      <c r="N3943" s="99">
        <v>-33</v>
      </c>
    </row>
    <row r="3944" spans="1:14" ht="17.5" customHeight="1">
      <c r="A3944" s="109" t="s">
        <v>7568</v>
      </c>
      <c r="B3944" s="109" t="s">
        <v>7569</v>
      </c>
      <c r="C3944" s="98">
        <v>2010</v>
      </c>
      <c r="D3944" s="99">
        <v>906</v>
      </c>
      <c r="E3944" s="99">
        <v>3703</v>
      </c>
      <c r="F3944" s="99">
        <v>1485</v>
      </c>
      <c r="G3944" s="99">
        <v>2209</v>
      </c>
      <c r="H3944" s="99">
        <v>774</v>
      </c>
      <c r="I3944" s="99">
        <v>28</v>
      </c>
      <c r="J3944" s="99">
        <v>46</v>
      </c>
      <c r="K3944" s="99">
        <v>19</v>
      </c>
      <c r="L3944" s="99">
        <v>296</v>
      </c>
      <c r="M3944" s="99">
        <v>300</v>
      </c>
      <c r="N3944" s="99">
        <v>-5</v>
      </c>
    </row>
    <row r="3945" spans="1:14" ht="17.5" customHeight="1">
      <c r="A3945" s="109" t="s">
        <v>7568</v>
      </c>
      <c r="B3945" s="109" t="s">
        <v>7569</v>
      </c>
      <c r="C3945" s="98">
        <v>2011</v>
      </c>
      <c r="D3945" s="99">
        <v>1090</v>
      </c>
      <c r="E3945" s="99">
        <v>2834</v>
      </c>
      <c r="F3945" s="99">
        <v>1376</v>
      </c>
      <c r="G3945" s="99">
        <v>1455</v>
      </c>
      <c r="H3945" s="99">
        <v>674</v>
      </c>
      <c r="I3945" s="99">
        <v>15</v>
      </c>
      <c r="J3945" s="99">
        <v>30</v>
      </c>
      <c r="K3945" s="99">
        <v>16</v>
      </c>
      <c r="L3945" s="99">
        <v>177</v>
      </c>
      <c r="M3945" s="99">
        <v>182</v>
      </c>
      <c r="N3945" s="99" t="s">
        <v>6953</v>
      </c>
    </row>
    <row r="3946" spans="1:14" ht="17.5" customHeight="1">
      <c r="A3946" s="109" t="s">
        <v>7568</v>
      </c>
      <c r="B3946" s="109" t="s">
        <v>7569</v>
      </c>
      <c r="C3946" s="111">
        <v>2012</v>
      </c>
      <c r="D3946" s="112">
        <v>1218</v>
      </c>
      <c r="E3946" s="112">
        <v>3088</v>
      </c>
      <c r="F3946" s="112">
        <v>1327</v>
      </c>
      <c r="G3946" s="112">
        <v>1763</v>
      </c>
      <c r="H3946" s="112">
        <v>682</v>
      </c>
      <c r="I3946" s="112">
        <v>12</v>
      </c>
      <c r="J3946" s="112">
        <v>76</v>
      </c>
      <c r="K3946" s="112">
        <v>64</v>
      </c>
      <c r="L3946" s="112">
        <v>156</v>
      </c>
      <c r="M3946" s="112">
        <v>159</v>
      </c>
      <c r="N3946" s="112">
        <v>-3</v>
      </c>
    </row>
    <row r="3947" spans="1:14" ht="17.5" customHeight="1">
      <c r="A3947" s="109" t="s">
        <v>7568</v>
      </c>
      <c r="B3947" s="109" t="s">
        <v>7569</v>
      </c>
      <c r="C3947" s="113">
        <v>2013</v>
      </c>
      <c r="D3947" s="112">
        <v>1510</v>
      </c>
      <c r="E3947" s="112">
        <v>3158</v>
      </c>
      <c r="F3947" s="112">
        <v>1410</v>
      </c>
      <c r="G3947" s="112">
        <v>1792</v>
      </c>
      <c r="H3947" s="112">
        <v>852</v>
      </c>
      <c r="I3947" s="112">
        <v>33</v>
      </c>
      <c r="J3947" s="112">
        <v>54</v>
      </c>
      <c r="K3947" s="112">
        <v>21</v>
      </c>
      <c r="L3947" s="112">
        <v>207</v>
      </c>
      <c r="M3947" s="112">
        <v>163</v>
      </c>
      <c r="N3947" s="112">
        <v>44</v>
      </c>
    </row>
    <row r="3948" spans="1:14" ht="17.5" customHeight="1">
      <c r="A3948" s="109" t="s">
        <v>7568</v>
      </c>
      <c r="B3948" s="109" t="s">
        <v>7569</v>
      </c>
      <c r="C3948" s="113">
        <v>2014</v>
      </c>
      <c r="D3948" s="99">
        <v>1706</v>
      </c>
      <c r="E3948" s="99">
        <v>3139</v>
      </c>
      <c r="F3948" s="99">
        <v>1452</v>
      </c>
      <c r="G3948" s="99">
        <v>1717</v>
      </c>
      <c r="H3948" s="99">
        <v>763</v>
      </c>
      <c r="I3948" s="99">
        <v>67</v>
      </c>
      <c r="J3948" s="99">
        <v>78</v>
      </c>
      <c r="K3948" s="99">
        <v>12</v>
      </c>
      <c r="L3948" s="99">
        <v>270</v>
      </c>
      <c r="M3948" s="99">
        <v>247</v>
      </c>
      <c r="N3948" s="99">
        <v>23</v>
      </c>
    </row>
    <row r="3949" spans="1:14" ht="17.5" customHeight="1">
      <c r="A3949" s="109" t="s">
        <v>7568</v>
      </c>
      <c r="B3949" s="109" t="s">
        <v>7569</v>
      </c>
      <c r="C3949" s="113">
        <v>2015</v>
      </c>
      <c r="D3949" s="112">
        <v>1977</v>
      </c>
      <c r="E3949" s="112">
        <v>3170</v>
      </c>
      <c r="F3949" s="112">
        <v>1399</v>
      </c>
      <c r="G3949" s="112">
        <v>1821</v>
      </c>
      <c r="H3949" s="112">
        <v>781</v>
      </c>
      <c r="I3949" s="112">
        <v>98</v>
      </c>
      <c r="J3949" s="112">
        <v>101</v>
      </c>
      <c r="K3949" s="112">
        <v>4</v>
      </c>
      <c r="L3949" s="112">
        <v>235</v>
      </c>
      <c r="M3949" s="112">
        <v>210</v>
      </c>
      <c r="N3949" s="112">
        <v>25</v>
      </c>
    </row>
    <row r="3950" spans="1:14" ht="17.5" customHeight="1">
      <c r="A3950" s="109" t="s">
        <v>7568</v>
      </c>
      <c r="B3950" s="109" t="s">
        <v>7569</v>
      </c>
      <c r="C3950" s="113">
        <v>2016</v>
      </c>
      <c r="D3950" s="112">
        <v>2175</v>
      </c>
      <c r="E3950" s="112">
        <v>3107</v>
      </c>
      <c r="F3950" s="112">
        <v>1320</v>
      </c>
      <c r="G3950" s="112">
        <v>1837</v>
      </c>
      <c r="H3950" s="112">
        <v>810</v>
      </c>
      <c r="I3950" s="112">
        <v>34</v>
      </c>
      <c r="J3950" s="112">
        <v>38</v>
      </c>
      <c r="K3950" s="112">
        <v>5</v>
      </c>
      <c r="L3950" s="112">
        <v>261</v>
      </c>
      <c r="M3950" s="112">
        <v>218</v>
      </c>
      <c r="N3950" s="112">
        <v>43</v>
      </c>
    </row>
    <row r="3951" spans="1:14" ht="17.5" customHeight="1">
      <c r="A3951" s="109" t="s">
        <v>7568</v>
      </c>
      <c r="B3951" s="109" t="s">
        <v>7569</v>
      </c>
      <c r="C3951" s="113">
        <v>2017</v>
      </c>
      <c r="D3951" s="112">
        <v>2123</v>
      </c>
      <c r="E3951" s="112">
        <v>3159</v>
      </c>
      <c r="F3951" s="112">
        <v>1371</v>
      </c>
      <c r="G3951" s="112">
        <v>1812</v>
      </c>
      <c r="H3951" s="112">
        <v>812</v>
      </c>
      <c r="I3951" s="112">
        <v>137</v>
      </c>
      <c r="J3951" s="112">
        <v>143</v>
      </c>
      <c r="K3951" s="112">
        <v>6</v>
      </c>
      <c r="L3951" s="112">
        <v>188</v>
      </c>
      <c r="M3951" s="112">
        <v>171</v>
      </c>
      <c r="N3951" s="112">
        <v>18</v>
      </c>
    </row>
    <row r="3952" spans="1:14" ht="17.5" customHeight="1">
      <c r="A3952" s="109" t="s">
        <v>7568</v>
      </c>
      <c r="B3952" s="109" t="s">
        <v>7569</v>
      </c>
      <c r="C3952" s="113">
        <v>2018</v>
      </c>
      <c r="D3952" s="112">
        <v>2170</v>
      </c>
      <c r="E3952" s="112">
        <v>4212</v>
      </c>
      <c r="F3952" s="112">
        <v>1442</v>
      </c>
      <c r="G3952" s="112">
        <v>2648</v>
      </c>
      <c r="H3952" s="112">
        <v>909</v>
      </c>
      <c r="I3952" s="112">
        <v>85</v>
      </c>
      <c r="J3952" s="112">
        <v>90</v>
      </c>
      <c r="K3952" s="112">
        <v>5</v>
      </c>
      <c r="L3952" s="112">
        <v>313</v>
      </c>
      <c r="M3952" s="112">
        <v>450</v>
      </c>
      <c r="N3952" s="112">
        <v>-137</v>
      </c>
    </row>
    <row r="3953" spans="1:14" ht="17.5" customHeight="1">
      <c r="A3953" s="109" t="s">
        <v>7568</v>
      </c>
      <c r="B3953" s="109" t="s">
        <v>7569</v>
      </c>
      <c r="C3953" s="113">
        <v>2019</v>
      </c>
      <c r="D3953" s="112">
        <v>2187</v>
      </c>
      <c r="E3953" s="112">
        <v>3645.272782</v>
      </c>
      <c r="F3953" s="112">
        <v>1426.0100299999999</v>
      </c>
      <c r="G3953" s="112">
        <v>2246.4957829999998</v>
      </c>
      <c r="H3953" s="112">
        <v>873.45189000000005</v>
      </c>
      <c r="I3953" s="112">
        <v>116.39446</v>
      </c>
      <c r="J3953" s="112">
        <v>143.15199100000001</v>
      </c>
      <c r="K3953" s="112">
        <v>26.757531</v>
      </c>
      <c r="L3953" s="112">
        <v>339.72978599999999</v>
      </c>
      <c r="M3953" s="112">
        <v>312.66295100000002</v>
      </c>
      <c r="N3953" s="112">
        <v>27.066835000000001</v>
      </c>
    </row>
    <row r="3954" spans="1:14" ht="17.5" customHeight="1">
      <c r="A3954" s="114" t="s">
        <v>7568</v>
      </c>
      <c r="B3954" s="114" t="s">
        <v>7569</v>
      </c>
      <c r="C3954" s="113">
        <v>2020</v>
      </c>
      <c r="D3954" s="112">
        <v>2236</v>
      </c>
      <c r="E3954" s="112">
        <v>3798.515116</v>
      </c>
      <c r="F3954" s="112">
        <v>1448.730125</v>
      </c>
      <c r="G3954" s="112">
        <v>2397.5995849999999</v>
      </c>
      <c r="H3954" s="112">
        <v>906.25098400000002</v>
      </c>
      <c r="I3954" s="112">
        <v>34.347439999999999</v>
      </c>
      <c r="J3954" s="112">
        <v>54.975746000000001</v>
      </c>
      <c r="K3954" s="112">
        <v>20.628305999999998</v>
      </c>
      <c r="L3954" s="112">
        <v>371.57446800000002</v>
      </c>
      <c r="M3954" s="112">
        <v>327.27391799999998</v>
      </c>
      <c r="N3954" s="112">
        <v>44.300550000000001</v>
      </c>
    </row>
    <row r="3955" spans="1:14" ht="34">
      <c r="A3955" s="109" t="s">
        <v>7625</v>
      </c>
      <c r="B3955" s="109" t="s">
        <v>7626</v>
      </c>
      <c r="C3955" s="111">
        <v>2008</v>
      </c>
      <c r="D3955" s="112">
        <v>4367</v>
      </c>
      <c r="E3955" s="112">
        <v>15279</v>
      </c>
      <c r="F3955" s="112">
        <v>5094</v>
      </c>
      <c r="G3955" s="112">
        <v>10013</v>
      </c>
      <c r="H3955" s="112">
        <v>2353</v>
      </c>
      <c r="I3955" s="112" t="s">
        <v>6953</v>
      </c>
      <c r="J3955" s="112" t="s">
        <v>6953</v>
      </c>
      <c r="K3955" s="112">
        <v>186</v>
      </c>
      <c r="L3955" s="112">
        <v>472</v>
      </c>
      <c r="M3955" s="112">
        <v>348</v>
      </c>
      <c r="N3955" s="141">
        <v>123</v>
      </c>
    </row>
    <row r="3956" spans="1:14" ht="34">
      <c r="A3956" s="109" t="s">
        <v>7625</v>
      </c>
      <c r="B3956" s="109" t="s">
        <v>7626</v>
      </c>
      <c r="C3956" s="111">
        <v>2009</v>
      </c>
      <c r="D3956" s="112">
        <v>4443</v>
      </c>
      <c r="E3956" s="112">
        <v>14158</v>
      </c>
      <c r="F3956" s="112">
        <v>4477</v>
      </c>
      <c r="G3956" s="112">
        <v>9432</v>
      </c>
      <c r="H3956" s="112">
        <v>2202</v>
      </c>
      <c r="I3956" s="112" t="s">
        <v>6953</v>
      </c>
      <c r="J3956" s="112" t="s">
        <v>6953</v>
      </c>
      <c r="K3956" s="112" t="s">
        <v>6953</v>
      </c>
      <c r="L3956" s="112">
        <v>635</v>
      </c>
      <c r="M3956" s="112">
        <v>585</v>
      </c>
      <c r="N3956" s="141">
        <v>50</v>
      </c>
    </row>
    <row r="3957" spans="1:14" ht="34">
      <c r="A3957" s="109" t="s">
        <v>7625</v>
      </c>
      <c r="B3957" s="109" t="s">
        <v>7626</v>
      </c>
      <c r="C3957" s="111">
        <v>2010</v>
      </c>
      <c r="D3957" s="112">
        <v>4596</v>
      </c>
      <c r="E3957" s="112">
        <v>15895</v>
      </c>
      <c r="F3957" s="112">
        <v>5245</v>
      </c>
      <c r="G3957" s="112">
        <v>10373</v>
      </c>
      <c r="H3957" s="112">
        <v>2331</v>
      </c>
      <c r="I3957" s="112" t="s">
        <v>6953</v>
      </c>
      <c r="J3957" s="112" t="s">
        <v>6953</v>
      </c>
      <c r="K3957" s="112">
        <v>167</v>
      </c>
      <c r="L3957" s="112">
        <v>774</v>
      </c>
      <c r="M3957" s="112">
        <v>607</v>
      </c>
      <c r="N3957" s="141">
        <v>167</v>
      </c>
    </row>
    <row r="3958" spans="1:14" ht="34">
      <c r="A3958" s="109" t="s">
        <v>7625</v>
      </c>
      <c r="B3958" s="109" t="s">
        <v>7626</v>
      </c>
      <c r="C3958" s="111">
        <v>2011</v>
      </c>
      <c r="D3958" s="112">
        <v>4940</v>
      </c>
      <c r="E3958" s="112">
        <v>18789</v>
      </c>
      <c r="F3958" s="112">
        <v>6098</v>
      </c>
      <c r="G3958" s="112">
        <v>12546</v>
      </c>
      <c r="H3958" s="112">
        <v>2611</v>
      </c>
      <c r="I3958" s="112" t="s">
        <v>6953</v>
      </c>
      <c r="J3958" s="112" t="s">
        <v>6953</v>
      </c>
      <c r="K3958" s="112">
        <v>98</v>
      </c>
      <c r="L3958" s="112">
        <v>715</v>
      </c>
      <c r="M3958" s="112">
        <v>579</v>
      </c>
      <c r="N3958" s="141">
        <v>137</v>
      </c>
    </row>
    <row r="3959" spans="1:14" ht="34">
      <c r="A3959" s="109" t="s">
        <v>7625</v>
      </c>
      <c r="B3959" s="109" t="s">
        <v>7626</v>
      </c>
      <c r="C3959" s="111">
        <v>2012</v>
      </c>
      <c r="D3959" s="112">
        <v>5186</v>
      </c>
      <c r="E3959" s="112">
        <v>17804</v>
      </c>
      <c r="F3959" s="112">
        <v>5734</v>
      </c>
      <c r="G3959" s="112">
        <v>11851</v>
      </c>
      <c r="H3959" s="112">
        <v>2740</v>
      </c>
      <c r="I3959" s="112" t="s">
        <v>6953</v>
      </c>
      <c r="J3959" s="112" t="s">
        <v>6953</v>
      </c>
      <c r="K3959" s="112">
        <v>91</v>
      </c>
      <c r="L3959" s="112">
        <v>766</v>
      </c>
      <c r="M3959" s="112">
        <v>791</v>
      </c>
      <c r="N3959" s="141">
        <v>-24</v>
      </c>
    </row>
    <row r="3960" spans="1:14" ht="34">
      <c r="A3960" s="109" t="s">
        <v>7625</v>
      </c>
      <c r="B3960" s="109" t="s">
        <v>7626</v>
      </c>
      <c r="C3960" s="113">
        <v>2013</v>
      </c>
      <c r="D3960" s="112">
        <v>5343</v>
      </c>
      <c r="E3960" s="112">
        <v>18066</v>
      </c>
      <c r="F3960" s="112">
        <v>5286</v>
      </c>
      <c r="G3960" s="112">
        <v>12402</v>
      </c>
      <c r="H3960" s="112">
        <v>2893</v>
      </c>
      <c r="I3960" s="112" t="s">
        <v>6953</v>
      </c>
      <c r="J3960" s="112" t="s">
        <v>6953</v>
      </c>
      <c r="K3960" s="112">
        <v>169</v>
      </c>
      <c r="L3960" s="112">
        <v>691</v>
      </c>
      <c r="M3960" s="112">
        <v>824</v>
      </c>
      <c r="N3960" s="141">
        <v>-133</v>
      </c>
    </row>
    <row r="3961" spans="1:14" ht="34">
      <c r="A3961" s="109" t="s">
        <v>7625</v>
      </c>
      <c r="B3961" s="109" t="s">
        <v>7626</v>
      </c>
      <c r="C3961" s="113">
        <v>2014</v>
      </c>
      <c r="D3961" s="112">
        <v>5259</v>
      </c>
      <c r="E3961" s="112">
        <v>18880</v>
      </c>
      <c r="F3961" s="112">
        <v>6446</v>
      </c>
      <c r="G3961" s="112">
        <v>12256</v>
      </c>
      <c r="H3961" s="112">
        <v>3126</v>
      </c>
      <c r="I3961" s="112" t="s">
        <v>6953</v>
      </c>
      <c r="J3961" s="112" t="s">
        <v>6953</v>
      </c>
      <c r="K3961" s="112">
        <v>97</v>
      </c>
      <c r="L3961" s="112">
        <v>775</v>
      </c>
      <c r="M3961" s="112">
        <v>818</v>
      </c>
      <c r="N3961" s="141">
        <v>-43</v>
      </c>
    </row>
    <row r="3962" spans="1:14" ht="34">
      <c r="A3962" s="109" t="s">
        <v>7625</v>
      </c>
      <c r="B3962" s="109" t="s">
        <v>7626</v>
      </c>
      <c r="C3962" s="113">
        <v>2015</v>
      </c>
      <c r="D3962" s="112">
        <v>5331</v>
      </c>
      <c r="E3962" s="112">
        <v>18189</v>
      </c>
      <c r="F3962" s="112">
        <v>6604</v>
      </c>
      <c r="G3962" s="112">
        <v>11338</v>
      </c>
      <c r="H3962" s="112">
        <v>2988</v>
      </c>
      <c r="I3962" s="112">
        <v>1172</v>
      </c>
      <c r="J3962" s="112">
        <v>1330</v>
      </c>
      <c r="K3962" s="112">
        <v>159</v>
      </c>
      <c r="L3962" s="112">
        <v>554</v>
      </c>
      <c r="M3962" s="112">
        <v>669</v>
      </c>
      <c r="N3962" s="141">
        <v>-115</v>
      </c>
    </row>
    <row r="3963" spans="1:14" ht="34">
      <c r="A3963" s="109" t="s">
        <v>7625</v>
      </c>
      <c r="B3963" s="109" t="s">
        <v>7626</v>
      </c>
      <c r="C3963" s="113">
        <v>2016</v>
      </c>
      <c r="D3963" s="112">
        <v>5400</v>
      </c>
      <c r="E3963" s="112">
        <v>17862</v>
      </c>
      <c r="F3963" s="112">
        <v>6154</v>
      </c>
      <c r="G3963" s="112">
        <v>11772</v>
      </c>
      <c r="H3963" s="112">
        <v>3204</v>
      </c>
      <c r="I3963" s="112" t="s">
        <v>6953</v>
      </c>
      <c r="J3963" s="112" t="s">
        <v>6953</v>
      </c>
      <c r="K3963" s="112">
        <v>122</v>
      </c>
      <c r="L3963" s="112">
        <v>607</v>
      </c>
      <c r="M3963" s="112">
        <v>571</v>
      </c>
      <c r="N3963" s="141">
        <v>36</v>
      </c>
    </row>
    <row r="3964" spans="1:14" ht="34">
      <c r="A3964" s="109" t="s">
        <v>7625</v>
      </c>
      <c r="B3964" s="109" t="s">
        <v>7626</v>
      </c>
      <c r="C3964" s="113">
        <v>2017</v>
      </c>
      <c r="D3964" s="112">
        <v>5506</v>
      </c>
      <c r="E3964" s="112">
        <v>21249</v>
      </c>
      <c r="F3964" s="112">
        <v>7543</v>
      </c>
      <c r="G3964" s="112">
        <v>13753</v>
      </c>
      <c r="H3964" s="112">
        <v>3529</v>
      </c>
      <c r="I3964" s="112" t="s">
        <v>6953</v>
      </c>
      <c r="J3964" s="112" t="s">
        <v>6953</v>
      </c>
      <c r="K3964" s="112">
        <v>212</v>
      </c>
      <c r="L3964" s="112">
        <v>661</v>
      </c>
      <c r="M3964" s="112">
        <v>556</v>
      </c>
      <c r="N3964" s="141">
        <v>106</v>
      </c>
    </row>
    <row r="3965" spans="1:14" ht="34">
      <c r="A3965" s="109" t="s">
        <v>7625</v>
      </c>
      <c r="B3965" s="109" t="s">
        <v>7626</v>
      </c>
      <c r="C3965" s="113">
        <v>2018</v>
      </c>
      <c r="D3965" s="112">
        <v>5611</v>
      </c>
      <c r="E3965" s="112">
        <v>22030</v>
      </c>
      <c r="F3965" s="112">
        <v>7823</v>
      </c>
      <c r="G3965" s="112">
        <v>14134</v>
      </c>
      <c r="H3965" s="112">
        <v>3689</v>
      </c>
      <c r="I3965" s="112" t="s">
        <v>6953</v>
      </c>
      <c r="J3965" s="112" t="s">
        <v>6953</v>
      </c>
      <c r="K3965" s="112">
        <v>92</v>
      </c>
      <c r="L3965" s="112">
        <v>621</v>
      </c>
      <c r="M3965" s="112">
        <v>624</v>
      </c>
      <c r="N3965" s="141">
        <v>-3</v>
      </c>
    </row>
    <row r="3966" spans="1:14" ht="34">
      <c r="A3966" s="109" t="s">
        <v>7625</v>
      </c>
      <c r="B3966" s="109" t="s">
        <v>7626</v>
      </c>
      <c r="C3966" s="113">
        <v>2019</v>
      </c>
      <c r="D3966" s="112">
        <v>5683</v>
      </c>
      <c r="E3966" s="112">
        <v>21978.823839000001</v>
      </c>
      <c r="F3966" s="112">
        <v>7836.5522369999999</v>
      </c>
      <c r="G3966" s="112">
        <v>14098.742679999999</v>
      </c>
      <c r="H3966" s="112">
        <v>4037.7909979999999</v>
      </c>
      <c r="I3966" s="112" t="s">
        <v>6953</v>
      </c>
      <c r="J3966" s="112" t="s">
        <v>6953</v>
      </c>
      <c r="K3966" s="112" t="s">
        <v>6953</v>
      </c>
      <c r="L3966" s="112">
        <v>795.59664499999997</v>
      </c>
      <c r="M3966" s="112">
        <v>780.13164300000005</v>
      </c>
      <c r="N3966" s="141">
        <v>15.465002999999999</v>
      </c>
    </row>
    <row r="3967" spans="1:14" ht="34">
      <c r="A3967" s="109" t="s">
        <v>7625</v>
      </c>
      <c r="B3967" s="109" t="s">
        <v>7626</v>
      </c>
      <c r="C3967" s="113">
        <v>2020</v>
      </c>
      <c r="D3967" s="112">
        <v>5827</v>
      </c>
      <c r="E3967" s="112">
        <v>20608.628895999998</v>
      </c>
      <c r="F3967" s="112">
        <v>7782.0876029999999</v>
      </c>
      <c r="G3967" s="112">
        <v>12813.854692999999</v>
      </c>
      <c r="H3967" s="112">
        <v>3936.1626040000001</v>
      </c>
      <c r="I3967" s="112" t="s">
        <v>6953</v>
      </c>
      <c r="J3967" s="112" t="s">
        <v>6953</v>
      </c>
      <c r="K3967" s="112">
        <v>126.63426</v>
      </c>
      <c r="L3967" s="112">
        <v>598.82862799999998</v>
      </c>
      <c r="M3967" s="112">
        <v>645.50820199999998</v>
      </c>
      <c r="N3967" s="141">
        <v>-46.679575</v>
      </c>
    </row>
    <row r="3968" spans="1:14" ht="17">
      <c r="A3968" s="109" t="s">
        <v>7627</v>
      </c>
      <c r="B3968" s="109" t="s">
        <v>7628</v>
      </c>
      <c r="C3968" s="111">
        <v>2008</v>
      </c>
      <c r="D3968" s="112">
        <v>1461</v>
      </c>
      <c r="E3968" s="112">
        <v>4862</v>
      </c>
      <c r="F3968" s="112">
        <v>1922</v>
      </c>
      <c r="G3968" s="112">
        <v>2794</v>
      </c>
      <c r="H3968" s="112">
        <v>1073</v>
      </c>
      <c r="I3968" s="112" t="s">
        <v>6953</v>
      </c>
      <c r="J3968" s="112" t="s">
        <v>6953</v>
      </c>
      <c r="K3968" s="112">
        <v>33</v>
      </c>
      <c r="L3968" s="112">
        <v>29</v>
      </c>
      <c r="M3968" s="112">
        <v>38</v>
      </c>
      <c r="N3968" s="141">
        <v>-9</v>
      </c>
    </row>
    <row r="3969" spans="1:14" ht="17">
      <c r="A3969" s="109" t="s">
        <v>7627</v>
      </c>
      <c r="B3969" s="109" t="s">
        <v>7628</v>
      </c>
      <c r="C3969" s="111">
        <v>2009</v>
      </c>
      <c r="D3969" s="112">
        <v>1921</v>
      </c>
      <c r="E3969" s="112">
        <v>5381</v>
      </c>
      <c r="F3969" s="112">
        <v>2242</v>
      </c>
      <c r="G3969" s="112">
        <v>2956</v>
      </c>
      <c r="H3969" s="112">
        <v>1101</v>
      </c>
      <c r="I3969" s="112" t="s">
        <v>6953</v>
      </c>
      <c r="J3969" s="112" t="s">
        <v>6953</v>
      </c>
      <c r="K3969" s="112" t="s">
        <v>6953</v>
      </c>
      <c r="L3969" s="112">
        <v>250</v>
      </c>
      <c r="M3969" s="112">
        <v>215</v>
      </c>
      <c r="N3969" s="141">
        <v>35</v>
      </c>
    </row>
    <row r="3970" spans="1:14" ht="17">
      <c r="A3970" s="109" t="s">
        <v>7627</v>
      </c>
      <c r="B3970" s="109" t="s">
        <v>7628</v>
      </c>
      <c r="C3970" s="111">
        <v>2010</v>
      </c>
      <c r="D3970" s="112">
        <v>2053</v>
      </c>
      <c r="E3970" s="112">
        <v>5590</v>
      </c>
      <c r="F3970" s="112">
        <v>2199</v>
      </c>
      <c r="G3970" s="112">
        <v>3184</v>
      </c>
      <c r="H3970" s="112">
        <v>1165</v>
      </c>
      <c r="I3970" s="112" t="s">
        <v>6953</v>
      </c>
      <c r="J3970" s="112" t="s">
        <v>6953</v>
      </c>
      <c r="K3970" s="112">
        <v>39</v>
      </c>
      <c r="L3970" s="112">
        <v>62</v>
      </c>
      <c r="M3970" s="112">
        <v>46</v>
      </c>
      <c r="N3970" s="141">
        <v>16</v>
      </c>
    </row>
    <row r="3971" spans="1:14" ht="17">
      <c r="A3971" s="109" t="s">
        <v>7627</v>
      </c>
      <c r="B3971" s="109" t="s">
        <v>7628</v>
      </c>
      <c r="C3971" s="111">
        <v>2011</v>
      </c>
      <c r="D3971" s="112">
        <v>2186</v>
      </c>
      <c r="E3971" s="112">
        <v>6327</v>
      </c>
      <c r="F3971" s="112">
        <v>2533</v>
      </c>
      <c r="G3971" s="112">
        <v>3596</v>
      </c>
      <c r="H3971" s="112">
        <v>1240</v>
      </c>
      <c r="I3971" s="112" t="s">
        <v>6953</v>
      </c>
      <c r="J3971" s="112" t="s">
        <v>6953</v>
      </c>
      <c r="K3971" s="112">
        <v>29</v>
      </c>
      <c r="L3971" s="112">
        <v>54</v>
      </c>
      <c r="M3971" s="112">
        <v>45</v>
      </c>
      <c r="N3971" s="141">
        <v>8</v>
      </c>
    </row>
    <row r="3972" spans="1:14" ht="17">
      <c r="A3972" s="109" t="s">
        <v>7627</v>
      </c>
      <c r="B3972" s="109" t="s">
        <v>7628</v>
      </c>
      <c r="C3972" s="111">
        <v>2012</v>
      </c>
      <c r="D3972" s="112">
        <v>2356</v>
      </c>
      <c r="E3972" s="112">
        <v>6484</v>
      </c>
      <c r="F3972" s="112">
        <v>2746</v>
      </c>
      <c r="G3972" s="112">
        <v>3553</v>
      </c>
      <c r="H3972" s="112">
        <v>1288</v>
      </c>
      <c r="I3972" s="112" t="s">
        <v>6953</v>
      </c>
      <c r="J3972" s="112" t="s">
        <v>6953</v>
      </c>
      <c r="K3972" s="112">
        <v>42</v>
      </c>
      <c r="L3972" s="112">
        <v>80</v>
      </c>
      <c r="M3972" s="112">
        <v>75</v>
      </c>
      <c r="N3972" s="141">
        <v>5</v>
      </c>
    </row>
    <row r="3973" spans="1:14" ht="17">
      <c r="A3973" s="109" t="s">
        <v>7627</v>
      </c>
      <c r="B3973" s="109" t="s">
        <v>7628</v>
      </c>
      <c r="C3973" s="113">
        <v>2013</v>
      </c>
      <c r="D3973" s="112">
        <v>2377</v>
      </c>
      <c r="E3973" s="112">
        <v>6655</v>
      </c>
      <c r="F3973" s="112">
        <v>2628</v>
      </c>
      <c r="G3973" s="112">
        <v>3787</v>
      </c>
      <c r="H3973" s="112">
        <v>1393</v>
      </c>
      <c r="I3973" s="112" t="s">
        <v>6953</v>
      </c>
      <c r="J3973" s="112" t="s">
        <v>6953</v>
      </c>
      <c r="K3973" s="112">
        <v>72</v>
      </c>
      <c r="L3973" s="112">
        <v>63</v>
      </c>
      <c r="M3973" s="112">
        <v>67</v>
      </c>
      <c r="N3973" s="141">
        <v>-3</v>
      </c>
    </row>
    <row r="3974" spans="1:14" ht="17">
      <c r="A3974" s="109" t="s">
        <v>7627</v>
      </c>
      <c r="B3974" s="109" t="s">
        <v>7628</v>
      </c>
      <c r="C3974" s="113">
        <v>2014</v>
      </c>
      <c r="D3974" s="112">
        <v>2363</v>
      </c>
      <c r="E3974" s="112">
        <v>8040</v>
      </c>
      <c r="F3974" s="112">
        <v>3389</v>
      </c>
      <c r="G3974" s="112">
        <v>4528</v>
      </c>
      <c r="H3974" s="112">
        <v>1616</v>
      </c>
      <c r="I3974" s="112" t="s">
        <v>6953</v>
      </c>
      <c r="J3974" s="112" t="s">
        <v>6953</v>
      </c>
      <c r="K3974" s="112">
        <v>63</v>
      </c>
      <c r="L3974" s="112">
        <v>85</v>
      </c>
      <c r="M3974" s="112">
        <v>71</v>
      </c>
      <c r="N3974" s="141">
        <v>14</v>
      </c>
    </row>
    <row r="3975" spans="1:14" ht="17">
      <c r="A3975" s="109" t="s">
        <v>7627</v>
      </c>
      <c r="B3975" s="109" t="s">
        <v>7628</v>
      </c>
      <c r="C3975" s="113">
        <v>2015</v>
      </c>
      <c r="D3975" s="112">
        <v>2433</v>
      </c>
      <c r="E3975" s="112">
        <v>8351</v>
      </c>
      <c r="F3975" s="112">
        <v>3417</v>
      </c>
      <c r="G3975" s="112">
        <v>4705</v>
      </c>
      <c r="H3975" s="112">
        <v>1655</v>
      </c>
      <c r="I3975" s="112">
        <v>672</v>
      </c>
      <c r="J3975" s="112">
        <v>727</v>
      </c>
      <c r="K3975" s="112">
        <v>55</v>
      </c>
      <c r="L3975" s="112">
        <v>75</v>
      </c>
      <c r="M3975" s="112">
        <v>66</v>
      </c>
      <c r="N3975" s="141">
        <v>8</v>
      </c>
    </row>
    <row r="3976" spans="1:14" ht="17">
      <c r="A3976" s="109" t="s">
        <v>7627</v>
      </c>
      <c r="B3976" s="109" t="s">
        <v>7628</v>
      </c>
      <c r="C3976" s="113">
        <v>2016</v>
      </c>
      <c r="D3976" s="112">
        <v>2522</v>
      </c>
      <c r="E3976" s="112">
        <v>7646</v>
      </c>
      <c r="F3976" s="112">
        <v>2758</v>
      </c>
      <c r="G3976" s="112">
        <v>4789</v>
      </c>
      <c r="H3976" s="112">
        <v>1694</v>
      </c>
      <c r="I3976" s="112" t="s">
        <v>6953</v>
      </c>
      <c r="J3976" s="112" t="s">
        <v>6953</v>
      </c>
      <c r="K3976" s="112">
        <v>51</v>
      </c>
      <c r="L3976" s="112">
        <v>122</v>
      </c>
      <c r="M3976" s="112">
        <v>136</v>
      </c>
      <c r="N3976" s="141">
        <v>-14</v>
      </c>
    </row>
    <row r="3977" spans="1:14" ht="17">
      <c r="A3977" s="109" t="s">
        <v>7627</v>
      </c>
      <c r="B3977" s="109" t="s">
        <v>7628</v>
      </c>
      <c r="C3977" s="113">
        <v>2017</v>
      </c>
      <c r="D3977" s="112">
        <v>2648</v>
      </c>
      <c r="E3977" s="112">
        <v>8635</v>
      </c>
      <c r="F3977" s="112">
        <v>3264</v>
      </c>
      <c r="G3977" s="112">
        <v>5325</v>
      </c>
      <c r="H3977" s="112">
        <v>1874</v>
      </c>
      <c r="I3977" s="112" t="s">
        <v>6953</v>
      </c>
      <c r="J3977" s="112" t="s">
        <v>6953</v>
      </c>
      <c r="K3977" s="112">
        <v>68</v>
      </c>
      <c r="L3977" s="112">
        <v>141</v>
      </c>
      <c r="M3977" s="112">
        <v>108</v>
      </c>
      <c r="N3977" s="141">
        <v>33</v>
      </c>
    </row>
    <row r="3978" spans="1:14" ht="17">
      <c r="A3978" s="109" t="s">
        <v>7627</v>
      </c>
      <c r="B3978" s="109" t="s">
        <v>7628</v>
      </c>
      <c r="C3978" s="113">
        <v>2018</v>
      </c>
      <c r="D3978" s="112">
        <v>2766</v>
      </c>
      <c r="E3978" s="112">
        <v>9315</v>
      </c>
      <c r="F3978" s="112">
        <v>3758</v>
      </c>
      <c r="G3978" s="112">
        <v>5481</v>
      </c>
      <c r="H3978" s="112">
        <v>1986</v>
      </c>
      <c r="I3978" s="112" t="s">
        <v>6953</v>
      </c>
      <c r="J3978" s="112" t="s">
        <v>6953</v>
      </c>
      <c r="K3978" s="112">
        <v>48</v>
      </c>
      <c r="L3978" s="112">
        <v>135</v>
      </c>
      <c r="M3978" s="112">
        <v>146</v>
      </c>
      <c r="N3978" s="141">
        <v>-10</v>
      </c>
    </row>
    <row r="3979" spans="1:14" ht="17">
      <c r="A3979" s="109" t="s">
        <v>7627</v>
      </c>
      <c r="B3979" s="109" t="s">
        <v>7628</v>
      </c>
      <c r="C3979" s="113">
        <v>2019</v>
      </c>
      <c r="D3979" s="112">
        <v>2843</v>
      </c>
      <c r="E3979" s="112">
        <v>9675.7200850000008</v>
      </c>
      <c r="F3979" s="112">
        <v>4274.1653779999997</v>
      </c>
      <c r="G3979" s="112">
        <v>5408.950527</v>
      </c>
      <c r="H3979" s="112">
        <v>2236.32609</v>
      </c>
      <c r="I3979" s="112" t="s">
        <v>6953</v>
      </c>
      <c r="J3979" s="112" t="s">
        <v>6953</v>
      </c>
      <c r="K3979" s="112" t="s">
        <v>6953</v>
      </c>
      <c r="L3979" s="112">
        <v>204.821943</v>
      </c>
      <c r="M3979" s="112">
        <v>173.03443200000001</v>
      </c>
      <c r="N3979" s="141">
        <v>31.787510999999999</v>
      </c>
    </row>
    <row r="3980" spans="1:14" ht="17">
      <c r="A3980" s="109" t="s">
        <v>7627</v>
      </c>
      <c r="B3980" s="109" t="s">
        <v>7628</v>
      </c>
      <c r="C3980" s="113">
        <v>2020</v>
      </c>
      <c r="D3980" s="112">
        <v>2972</v>
      </c>
      <c r="E3980" s="112">
        <v>9580.1285119999993</v>
      </c>
      <c r="F3980" s="112">
        <v>4238.3217979999999</v>
      </c>
      <c r="G3980" s="112">
        <v>5340.9012089999997</v>
      </c>
      <c r="H3980" s="112">
        <v>2208.4625599999999</v>
      </c>
      <c r="I3980" s="112">
        <v>868.13731700000005</v>
      </c>
      <c r="J3980" s="112">
        <v>897.71762699999999</v>
      </c>
      <c r="K3980" s="112">
        <v>29.580310000000001</v>
      </c>
      <c r="L3980" s="112">
        <v>179.92148</v>
      </c>
      <c r="M3980" s="112">
        <v>203.25376</v>
      </c>
      <c r="N3980" s="141">
        <v>-23.332280000000001</v>
      </c>
    </row>
    <row r="3981" spans="1:14" ht="17">
      <c r="A3981" s="109" t="s">
        <v>7629</v>
      </c>
      <c r="B3981" s="109" t="s">
        <v>7630</v>
      </c>
      <c r="C3981" s="111">
        <v>2008</v>
      </c>
      <c r="D3981" s="112">
        <v>1438</v>
      </c>
      <c r="E3981" s="112">
        <v>4816</v>
      </c>
      <c r="F3981" s="112">
        <v>1897</v>
      </c>
      <c r="G3981" s="112">
        <v>2773</v>
      </c>
      <c r="H3981" s="112">
        <v>1064</v>
      </c>
      <c r="I3981" s="112" t="s">
        <v>6953</v>
      </c>
      <c r="J3981" s="112" t="s">
        <v>6953</v>
      </c>
      <c r="K3981" s="112">
        <v>33</v>
      </c>
      <c r="L3981" s="112">
        <v>29</v>
      </c>
      <c r="M3981" s="112">
        <v>38</v>
      </c>
      <c r="N3981" s="141">
        <v>-9</v>
      </c>
    </row>
    <row r="3982" spans="1:14" ht="17">
      <c r="A3982" s="109" t="s">
        <v>7629</v>
      </c>
      <c r="B3982" s="109" t="s">
        <v>7630</v>
      </c>
      <c r="C3982" s="111">
        <v>2009</v>
      </c>
      <c r="D3982" s="112">
        <v>1873</v>
      </c>
      <c r="E3982" s="112">
        <v>5269</v>
      </c>
      <c r="F3982" s="112">
        <v>2205</v>
      </c>
      <c r="G3982" s="112">
        <v>2882</v>
      </c>
      <c r="H3982" s="112">
        <v>1080</v>
      </c>
      <c r="I3982" s="112" t="s">
        <v>6953</v>
      </c>
      <c r="J3982" s="112" t="s">
        <v>6953</v>
      </c>
      <c r="K3982" s="112" t="s">
        <v>6953</v>
      </c>
      <c r="L3982" s="112">
        <v>248</v>
      </c>
      <c r="M3982" s="112">
        <v>213</v>
      </c>
      <c r="N3982" s="141">
        <v>34</v>
      </c>
    </row>
    <row r="3983" spans="1:14" ht="17">
      <c r="A3983" s="109" t="s">
        <v>7629</v>
      </c>
      <c r="B3983" s="109" t="s">
        <v>7630</v>
      </c>
      <c r="C3983" s="111">
        <v>2010</v>
      </c>
      <c r="D3983" s="112">
        <v>1984</v>
      </c>
      <c r="E3983" s="112">
        <v>5458</v>
      </c>
      <c r="F3983" s="112">
        <v>2137</v>
      </c>
      <c r="G3983" s="112">
        <v>3107</v>
      </c>
      <c r="H3983" s="112">
        <v>1132</v>
      </c>
      <c r="I3983" s="112" t="s">
        <v>6953</v>
      </c>
      <c r="J3983" s="112" t="s">
        <v>6953</v>
      </c>
      <c r="K3983" s="112" t="s">
        <v>6953</v>
      </c>
      <c r="L3983" s="112">
        <v>43</v>
      </c>
      <c r="M3983" s="112">
        <v>34</v>
      </c>
      <c r="N3983" s="141">
        <v>9</v>
      </c>
    </row>
    <row r="3984" spans="1:14" ht="17">
      <c r="A3984" s="109" t="s">
        <v>7629</v>
      </c>
      <c r="B3984" s="109" t="s">
        <v>7630</v>
      </c>
      <c r="C3984" s="111">
        <v>2011</v>
      </c>
      <c r="D3984" s="112">
        <v>2087</v>
      </c>
      <c r="E3984" s="112">
        <v>6173</v>
      </c>
      <c r="F3984" s="112">
        <v>2467</v>
      </c>
      <c r="G3984" s="112">
        <v>3508</v>
      </c>
      <c r="H3984" s="112">
        <v>1216</v>
      </c>
      <c r="I3984" s="112" t="s">
        <v>6953</v>
      </c>
      <c r="J3984" s="112" t="s">
        <v>6953</v>
      </c>
      <c r="K3984" s="112">
        <v>29</v>
      </c>
      <c r="L3984" s="112">
        <v>50</v>
      </c>
      <c r="M3984" s="112">
        <v>43</v>
      </c>
      <c r="N3984" s="141">
        <v>8</v>
      </c>
    </row>
    <row r="3985" spans="1:14" ht="17">
      <c r="A3985" s="109" t="s">
        <v>7629</v>
      </c>
      <c r="B3985" s="109" t="s">
        <v>7630</v>
      </c>
      <c r="C3985" s="111">
        <v>2012</v>
      </c>
      <c r="D3985" s="112">
        <v>2240</v>
      </c>
      <c r="E3985" s="112">
        <v>6330</v>
      </c>
      <c r="F3985" s="112">
        <v>2697</v>
      </c>
      <c r="G3985" s="112">
        <v>3448</v>
      </c>
      <c r="H3985" s="112">
        <v>1255</v>
      </c>
      <c r="I3985" s="112" t="s">
        <v>6953</v>
      </c>
      <c r="J3985" s="112" t="s">
        <v>6953</v>
      </c>
      <c r="K3985" s="112">
        <v>42</v>
      </c>
      <c r="L3985" s="112">
        <v>79</v>
      </c>
      <c r="M3985" s="112" t="s">
        <v>6953</v>
      </c>
      <c r="N3985" s="141" t="s">
        <v>6953</v>
      </c>
    </row>
    <row r="3986" spans="1:14" ht="17">
      <c r="A3986" s="109" t="s">
        <v>7629</v>
      </c>
      <c r="B3986" s="109" t="s">
        <v>7630</v>
      </c>
      <c r="C3986" s="113">
        <v>2013</v>
      </c>
      <c r="D3986" s="112">
        <v>2259</v>
      </c>
      <c r="E3986" s="112">
        <v>6367</v>
      </c>
      <c r="F3986" s="112">
        <v>2479</v>
      </c>
      <c r="G3986" s="112">
        <v>3646</v>
      </c>
      <c r="H3986" s="112">
        <v>1332</v>
      </c>
      <c r="I3986" s="112" t="s">
        <v>6953</v>
      </c>
      <c r="J3986" s="112" t="s">
        <v>6953</v>
      </c>
      <c r="K3986" s="112">
        <v>71</v>
      </c>
      <c r="L3986" s="112">
        <v>62</v>
      </c>
      <c r="M3986" s="112">
        <v>66</v>
      </c>
      <c r="N3986" s="141">
        <v>-4</v>
      </c>
    </row>
    <row r="3987" spans="1:14" ht="17">
      <c r="A3987" s="109" t="s">
        <v>7629</v>
      </c>
      <c r="B3987" s="109" t="s">
        <v>7630</v>
      </c>
      <c r="C3987" s="113">
        <v>2014</v>
      </c>
      <c r="D3987" s="112">
        <v>2246</v>
      </c>
      <c r="E3987" s="112">
        <v>7870</v>
      </c>
      <c r="F3987" s="112">
        <v>3327</v>
      </c>
      <c r="G3987" s="112">
        <v>4419</v>
      </c>
      <c r="H3987" s="112">
        <v>1584</v>
      </c>
      <c r="I3987" s="112" t="s">
        <v>6953</v>
      </c>
      <c r="J3987" s="112" t="s">
        <v>6953</v>
      </c>
      <c r="K3987" s="112">
        <v>63</v>
      </c>
      <c r="L3987" s="112">
        <v>76</v>
      </c>
      <c r="M3987" s="112">
        <v>63</v>
      </c>
      <c r="N3987" s="141">
        <v>13</v>
      </c>
    </row>
    <row r="3988" spans="1:14" ht="17">
      <c r="A3988" s="109" t="s">
        <v>7629</v>
      </c>
      <c r="B3988" s="109" t="s">
        <v>7630</v>
      </c>
      <c r="C3988" s="113">
        <v>2015</v>
      </c>
      <c r="D3988" s="112">
        <v>2310</v>
      </c>
      <c r="E3988" s="112">
        <v>8203</v>
      </c>
      <c r="F3988" s="112">
        <v>3370</v>
      </c>
      <c r="G3988" s="112">
        <v>4604</v>
      </c>
      <c r="H3988" s="112">
        <v>1621</v>
      </c>
      <c r="I3988" s="112">
        <v>674</v>
      </c>
      <c r="J3988" s="112">
        <v>724</v>
      </c>
      <c r="K3988" s="112">
        <v>49</v>
      </c>
      <c r="L3988" s="112">
        <v>73</v>
      </c>
      <c r="M3988" s="112">
        <v>64</v>
      </c>
      <c r="N3988" s="141">
        <v>8</v>
      </c>
    </row>
    <row r="3989" spans="1:14" ht="17">
      <c r="A3989" s="109" t="s">
        <v>7629</v>
      </c>
      <c r="B3989" s="109" t="s">
        <v>7630</v>
      </c>
      <c r="C3989" s="113">
        <v>2016</v>
      </c>
      <c r="D3989" s="112">
        <v>2409</v>
      </c>
      <c r="E3989" s="112">
        <v>7464</v>
      </c>
      <c r="F3989" s="112">
        <v>2693</v>
      </c>
      <c r="G3989" s="112">
        <v>4672</v>
      </c>
      <c r="H3989" s="112">
        <v>1652</v>
      </c>
      <c r="I3989" s="112" t="s">
        <v>6953</v>
      </c>
      <c r="J3989" s="112" t="s">
        <v>6953</v>
      </c>
      <c r="K3989" s="112">
        <v>50</v>
      </c>
      <c r="L3989" s="112">
        <v>121</v>
      </c>
      <c r="M3989" s="112">
        <v>135</v>
      </c>
      <c r="N3989" s="141">
        <v>-14</v>
      </c>
    </row>
    <row r="3990" spans="1:14" ht="17">
      <c r="A3990" s="109" t="s">
        <v>7629</v>
      </c>
      <c r="B3990" s="109" t="s">
        <v>7630</v>
      </c>
      <c r="C3990" s="113">
        <v>2017</v>
      </c>
      <c r="D3990" s="112">
        <v>2536</v>
      </c>
      <c r="E3990" s="112">
        <v>8391</v>
      </c>
      <c r="F3990" s="112">
        <v>3223</v>
      </c>
      <c r="G3990" s="112">
        <v>5124</v>
      </c>
      <c r="H3990" s="112">
        <v>1827</v>
      </c>
      <c r="I3990" s="112" t="s">
        <v>6953</v>
      </c>
      <c r="J3990" s="112" t="s">
        <v>6953</v>
      </c>
      <c r="K3990" s="112">
        <v>67</v>
      </c>
      <c r="L3990" s="112">
        <v>137</v>
      </c>
      <c r="M3990" s="112">
        <v>105</v>
      </c>
      <c r="N3990" s="141">
        <v>33</v>
      </c>
    </row>
    <row r="3991" spans="1:14" ht="17">
      <c r="A3991" s="109" t="s">
        <v>7629</v>
      </c>
      <c r="B3991" s="109" t="s">
        <v>7630</v>
      </c>
      <c r="C3991" s="113">
        <v>2018</v>
      </c>
      <c r="D3991" s="112">
        <v>2647</v>
      </c>
      <c r="E3991" s="112">
        <v>9015</v>
      </c>
      <c r="F3991" s="112">
        <v>3658</v>
      </c>
      <c r="G3991" s="112">
        <v>5285</v>
      </c>
      <c r="H3991" s="112">
        <v>1937</v>
      </c>
      <c r="I3991" s="112" t="s">
        <v>6953</v>
      </c>
      <c r="J3991" s="112" t="s">
        <v>6953</v>
      </c>
      <c r="K3991" s="112">
        <v>48</v>
      </c>
      <c r="L3991" s="112">
        <v>132</v>
      </c>
      <c r="M3991" s="112">
        <v>138</v>
      </c>
      <c r="N3991" s="141">
        <v>-6</v>
      </c>
    </row>
    <row r="3992" spans="1:14" ht="17">
      <c r="A3992" s="109" t="s">
        <v>7629</v>
      </c>
      <c r="B3992" s="109" t="s">
        <v>7630</v>
      </c>
      <c r="C3992" s="113">
        <v>2019</v>
      </c>
      <c r="D3992" s="112">
        <v>2711</v>
      </c>
      <c r="E3992" s="112">
        <v>9445.1193289999992</v>
      </c>
      <c r="F3992" s="112">
        <v>4170.8246349999999</v>
      </c>
      <c r="G3992" s="112">
        <v>5281.875438</v>
      </c>
      <c r="H3992" s="112">
        <v>2195.5586509999998</v>
      </c>
      <c r="I3992" s="112" t="s">
        <v>6953</v>
      </c>
      <c r="J3992" s="112" t="s">
        <v>6953</v>
      </c>
      <c r="K3992" s="112" t="s">
        <v>6953</v>
      </c>
      <c r="L3992" s="112">
        <v>204.801907</v>
      </c>
      <c r="M3992" s="112">
        <v>173.021682</v>
      </c>
      <c r="N3992" s="141">
        <v>31.780225999999999</v>
      </c>
    </row>
    <row r="3993" spans="1:14" ht="17">
      <c r="A3993" s="109" t="s">
        <v>7629</v>
      </c>
      <c r="B3993" s="109" t="s">
        <v>7630</v>
      </c>
      <c r="C3993" s="113">
        <v>2020</v>
      </c>
      <c r="D3993" s="112">
        <v>2838</v>
      </c>
      <c r="E3993" s="112">
        <v>9358.3858450000007</v>
      </c>
      <c r="F3993" s="112">
        <v>4129.5309969999998</v>
      </c>
      <c r="G3993" s="112">
        <v>5228.3982480000004</v>
      </c>
      <c r="H3993" s="112">
        <v>2157.2449689999999</v>
      </c>
      <c r="I3993" s="112">
        <v>833.213122</v>
      </c>
      <c r="J3993" s="112">
        <v>861.99065900000005</v>
      </c>
      <c r="K3993" s="112">
        <v>28.777536999999999</v>
      </c>
      <c r="L3993" s="112">
        <v>170.17695399999999</v>
      </c>
      <c r="M3993" s="112">
        <v>191.526161</v>
      </c>
      <c r="N3993" s="141">
        <v>-21.349207</v>
      </c>
    </row>
    <row r="3994" spans="1:14" ht="17">
      <c r="A3994" s="109" t="s">
        <v>7631</v>
      </c>
      <c r="B3994" s="109" t="s">
        <v>7632</v>
      </c>
      <c r="C3994" s="111">
        <v>2008</v>
      </c>
      <c r="D3994" s="112">
        <v>23</v>
      </c>
      <c r="E3994" s="112">
        <v>46</v>
      </c>
      <c r="F3994" s="112">
        <v>25</v>
      </c>
      <c r="G3994" s="112">
        <v>22</v>
      </c>
      <c r="H3994" s="112">
        <v>9</v>
      </c>
      <c r="I3994" s="112">
        <v>2</v>
      </c>
      <c r="J3994" s="112">
        <v>2</v>
      </c>
      <c r="K3994" s="112" t="s">
        <v>6952</v>
      </c>
      <c r="L3994" s="112" t="s">
        <v>6952</v>
      </c>
      <c r="M3994" s="112" t="s">
        <v>6952</v>
      </c>
      <c r="N3994" s="141" t="s">
        <v>6952</v>
      </c>
    </row>
    <row r="3995" spans="1:14" ht="17">
      <c r="A3995" s="109" t="s">
        <v>7631</v>
      </c>
      <c r="B3995" s="109" t="s">
        <v>7632</v>
      </c>
      <c r="C3995" s="111">
        <v>2009</v>
      </c>
      <c r="D3995" s="112">
        <v>48</v>
      </c>
      <c r="E3995" s="112">
        <v>112</v>
      </c>
      <c r="F3995" s="112">
        <v>37</v>
      </c>
      <c r="G3995" s="112">
        <v>75</v>
      </c>
      <c r="H3995" s="112">
        <v>21</v>
      </c>
      <c r="I3995" s="112">
        <v>1</v>
      </c>
      <c r="J3995" s="112">
        <v>1</v>
      </c>
      <c r="K3995" s="112" t="s">
        <v>6952</v>
      </c>
      <c r="L3995" s="112">
        <v>2</v>
      </c>
      <c r="M3995" s="112">
        <v>2</v>
      </c>
      <c r="N3995" s="141" t="s">
        <v>6952</v>
      </c>
    </row>
    <row r="3996" spans="1:14" ht="17">
      <c r="A3996" s="109" t="s">
        <v>7631</v>
      </c>
      <c r="B3996" s="109" t="s">
        <v>7632</v>
      </c>
      <c r="C3996" s="111">
        <v>2010</v>
      </c>
      <c r="D3996" s="112">
        <v>69</v>
      </c>
      <c r="E3996" s="112">
        <v>132</v>
      </c>
      <c r="F3996" s="112">
        <v>62</v>
      </c>
      <c r="G3996" s="112">
        <v>76</v>
      </c>
      <c r="H3996" s="112">
        <v>33</v>
      </c>
      <c r="I3996" s="112" t="s">
        <v>6953</v>
      </c>
      <c r="J3996" s="112">
        <v>1</v>
      </c>
      <c r="K3996" s="112" t="s">
        <v>6953</v>
      </c>
      <c r="L3996" s="112">
        <v>19</v>
      </c>
      <c r="M3996" s="112">
        <v>12</v>
      </c>
      <c r="N3996" s="141">
        <v>6</v>
      </c>
    </row>
    <row r="3997" spans="1:14" ht="17">
      <c r="A3997" s="109" t="s">
        <v>7631</v>
      </c>
      <c r="B3997" s="109" t="s">
        <v>7632</v>
      </c>
      <c r="C3997" s="111">
        <v>2011</v>
      </c>
      <c r="D3997" s="112">
        <v>99</v>
      </c>
      <c r="E3997" s="112">
        <v>154</v>
      </c>
      <c r="F3997" s="112">
        <v>66</v>
      </c>
      <c r="G3997" s="112">
        <v>88</v>
      </c>
      <c r="H3997" s="112">
        <v>24</v>
      </c>
      <c r="I3997" s="112">
        <v>2</v>
      </c>
      <c r="J3997" s="112">
        <v>2</v>
      </c>
      <c r="K3997" s="112" t="s">
        <v>6952</v>
      </c>
      <c r="L3997" s="112">
        <v>3</v>
      </c>
      <c r="M3997" s="112">
        <v>3</v>
      </c>
      <c r="N3997" s="141" t="s">
        <v>6952</v>
      </c>
    </row>
    <row r="3998" spans="1:14" ht="17">
      <c r="A3998" s="109" t="s">
        <v>7631</v>
      </c>
      <c r="B3998" s="109" t="s">
        <v>7632</v>
      </c>
      <c r="C3998" s="111">
        <v>2012</v>
      </c>
      <c r="D3998" s="112">
        <v>116</v>
      </c>
      <c r="E3998" s="112">
        <v>154</v>
      </c>
      <c r="F3998" s="112">
        <v>50</v>
      </c>
      <c r="G3998" s="112">
        <v>105</v>
      </c>
      <c r="H3998" s="112">
        <v>33</v>
      </c>
      <c r="I3998" s="112">
        <v>1</v>
      </c>
      <c r="J3998" s="112">
        <v>1</v>
      </c>
      <c r="K3998" s="112" t="s">
        <v>6952</v>
      </c>
      <c r="L3998" s="112">
        <v>1</v>
      </c>
      <c r="M3998" s="112" t="s">
        <v>6953</v>
      </c>
      <c r="N3998" s="141" t="s">
        <v>6953</v>
      </c>
    </row>
    <row r="3999" spans="1:14" ht="17">
      <c r="A3999" s="109" t="s">
        <v>7631</v>
      </c>
      <c r="B3999" s="109" t="s">
        <v>7632</v>
      </c>
      <c r="C3999" s="113">
        <v>2013</v>
      </c>
      <c r="D3999" s="112">
        <v>118</v>
      </c>
      <c r="E3999" s="112">
        <v>289</v>
      </c>
      <c r="F3999" s="112">
        <v>148</v>
      </c>
      <c r="G3999" s="112">
        <v>141</v>
      </c>
      <c r="H3999" s="112">
        <v>61</v>
      </c>
      <c r="I3999" s="112">
        <v>5</v>
      </c>
      <c r="J3999" s="112">
        <v>5</v>
      </c>
      <c r="K3999" s="112" t="s">
        <v>6952</v>
      </c>
      <c r="L3999" s="112">
        <v>2</v>
      </c>
      <c r="M3999" s="112">
        <v>1</v>
      </c>
      <c r="N3999" s="141">
        <v>1</v>
      </c>
    </row>
    <row r="4000" spans="1:14" ht="17">
      <c r="A4000" s="109" t="s">
        <v>7631</v>
      </c>
      <c r="B4000" s="109" t="s">
        <v>7632</v>
      </c>
      <c r="C4000" s="113">
        <v>2014</v>
      </c>
      <c r="D4000" s="112">
        <v>117</v>
      </c>
      <c r="E4000" s="112">
        <v>170</v>
      </c>
      <c r="F4000" s="112">
        <v>62</v>
      </c>
      <c r="G4000" s="112">
        <v>109</v>
      </c>
      <c r="H4000" s="112">
        <v>32</v>
      </c>
      <c r="I4000" s="112">
        <v>6</v>
      </c>
      <c r="J4000" s="112">
        <v>6</v>
      </c>
      <c r="K4000" s="112" t="s">
        <v>6952</v>
      </c>
      <c r="L4000" s="112">
        <v>9</v>
      </c>
      <c r="M4000" s="112">
        <v>8</v>
      </c>
      <c r="N4000" s="141">
        <v>1</v>
      </c>
    </row>
    <row r="4001" spans="1:14" ht="17">
      <c r="A4001" s="109" t="s">
        <v>7631</v>
      </c>
      <c r="B4001" s="109" t="s">
        <v>7632</v>
      </c>
      <c r="C4001" s="113">
        <v>2015</v>
      </c>
      <c r="D4001" s="112">
        <v>123</v>
      </c>
      <c r="E4001" s="112">
        <v>149</v>
      </c>
      <c r="F4001" s="112">
        <v>47</v>
      </c>
      <c r="G4001" s="112">
        <v>101</v>
      </c>
      <c r="H4001" s="112">
        <v>34</v>
      </c>
      <c r="I4001" s="112">
        <v>-3</v>
      </c>
      <c r="J4001" s="112">
        <v>3</v>
      </c>
      <c r="K4001" s="112">
        <v>6</v>
      </c>
      <c r="L4001" s="112">
        <v>2</v>
      </c>
      <c r="M4001" s="112">
        <v>2</v>
      </c>
      <c r="N4001" s="141" t="s">
        <v>6952</v>
      </c>
    </row>
    <row r="4002" spans="1:14" ht="17">
      <c r="A4002" s="109" t="s">
        <v>7631</v>
      </c>
      <c r="B4002" s="109" t="s">
        <v>7632</v>
      </c>
      <c r="C4002" s="113">
        <v>2016</v>
      </c>
      <c r="D4002" s="112">
        <v>113</v>
      </c>
      <c r="E4002" s="112">
        <v>182</v>
      </c>
      <c r="F4002" s="112">
        <v>65</v>
      </c>
      <c r="G4002" s="112">
        <v>117</v>
      </c>
      <c r="H4002" s="112">
        <v>42</v>
      </c>
      <c r="I4002" s="112">
        <v>3</v>
      </c>
      <c r="J4002" s="112">
        <v>3</v>
      </c>
      <c r="K4002" s="112" t="s">
        <v>6952</v>
      </c>
      <c r="L4002" s="112">
        <v>1</v>
      </c>
      <c r="M4002" s="112">
        <v>1</v>
      </c>
      <c r="N4002" s="141" t="s">
        <v>6952</v>
      </c>
    </row>
    <row r="4003" spans="1:14" ht="17">
      <c r="A4003" s="109" t="s">
        <v>7631</v>
      </c>
      <c r="B4003" s="109" t="s">
        <v>7632</v>
      </c>
      <c r="C4003" s="113">
        <v>2017</v>
      </c>
      <c r="D4003" s="112">
        <v>112</v>
      </c>
      <c r="E4003" s="112">
        <v>244</v>
      </c>
      <c r="F4003" s="112">
        <v>41</v>
      </c>
      <c r="G4003" s="112">
        <v>201</v>
      </c>
      <c r="H4003" s="112">
        <v>47</v>
      </c>
      <c r="I4003" s="112">
        <v>9</v>
      </c>
      <c r="J4003" s="112">
        <v>10</v>
      </c>
      <c r="K4003" s="112" t="s">
        <v>6952</v>
      </c>
      <c r="L4003" s="112">
        <v>4</v>
      </c>
      <c r="M4003" s="112">
        <v>4</v>
      </c>
      <c r="N4003" s="141" t="s">
        <v>6952</v>
      </c>
    </row>
    <row r="4004" spans="1:14" ht="17">
      <c r="A4004" s="109" t="s">
        <v>7631</v>
      </c>
      <c r="B4004" s="109" t="s">
        <v>7632</v>
      </c>
      <c r="C4004" s="113">
        <v>2018</v>
      </c>
      <c r="D4004" s="112">
        <v>119</v>
      </c>
      <c r="E4004" s="112">
        <v>300</v>
      </c>
      <c r="F4004" s="112">
        <v>101</v>
      </c>
      <c r="G4004" s="112">
        <v>195</v>
      </c>
      <c r="H4004" s="112">
        <v>50</v>
      </c>
      <c r="I4004" s="112">
        <v>5</v>
      </c>
      <c r="J4004" s="112">
        <v>5</v>
      </c>
      <c r="K4004" s="112" t="s">
        <v>6952</v>
      </c>
      <c r="L4004" s="112">
        <v>3</v>
      </c>
      <c r="M4004" s="112">
        <v>8</v>
      </c>
      <c r="N4004" s="141">
        <v>-4</v>
      </c>
    </row>
    <row r="4005" spans="1:14" ht="17">
      <c r="A4005" s="109" t="s">
        <v>7631</v>
      </c>
      <c r="B4005" s="109" t="s">
        <v>7632</v>
      </c>
      <c r="C4005" s="113">
        <v>2019</v>
      </c>
      <c r="D4005" s="112">
        <v>132</v>
      </c>
      <c r="E4005" s="112">
        <v>230.60075599999999</v>
      </c>
      <c r="F4005" s="112">
        <v>103.340743</v>
      </c>
      <c r="G4005" s="112">
        <v>127.07508900000001</v>
      </c>
      <c r="H4005" s="112">
        <v>40.767439000000003</v>
      </c>
      <c r="I4005" s="112">
        <v>61.372000999999997</v>
      </c>
      <c r="J4005" s="112">
        <v>61.642688999999997</v>
      </c>
      <c r="K4005" s="112" t="s">
        <v>6952</v>
      </c>
      <c r="L4005" s="112" t="s">
        <v>6952</v>
      </c>
      <c r="M4005" s="112" t="s">
        <v>6952</v>
      </c>
      <c r="N4005" s="141" t="s">
        <v>6952</v>
      </c>
    </row>
    <row r="4006" spans="1:14" ht="17">
      <c r="A4006" s="109" t="s">
        <v>7631</v>
      </c>
      <c r="B4006" s="109" t="s">
        <v>7632</v>
      </c>
      <c r="C4006" s="113">
        <v>2020</v>
      </c>
      <c r="D4006" s="112">
        <v>134</v>
      </c>
      <c r="E4006" s="112">
        <v>221.74266700000001</v>
      </c>
      <c r="F4006" s="112">
        <v>108.790802</v>
      </c>
      <c r="G4006" s="112">
        <v>112.502961</v>
      </c>
      <c r="H4006" s="112">
        <v>51.217590999999999</v>
      </c>
      <c r="I4006" s="112">
        <v>34.924194999999997</v>
      </c>
      <c r="J4006" s="112">
        <v>35.726967000000002</v>
      </c>
      <c r="K4006" s="112">
        <v>0.80277200000000004</v>
      </c>
      <c r="L4006" s="112">
        <v>9.7445249999999994</v>
      </c>
      <c r="M4006" s="112">
        <v>11.727598</v>
      </c>
      <c r="N4006" s="141">
        <v>-1.9830730000000001</v>
      </c>
    </row>
    <row r="4007" spans="1:14" ht="17">
      <c r="A4007" s="109" t="s">
        <v>7633</v>
      </c>
      <c r="B4007" s="109" t="s">
        <v>7634</v>
      </c>
      <c r="C4007" s="111">
        <v>2008</v>
      </c>
      <c r="D4007" s="112">
        <v>879</v>
      </c>
      <c r="E4007" s="112">
        <v>3141</v>
      </c>
      <c r="F4007" s="112">
        <v>1427</v>
      </c>
      <c r="G4007" s="112">
        <v>1568</v>
      </c>
      <c r="H4007" s="112">
        <v>666</v>
      </c>
      <c r="I4007" s="112">
        <v>166</v>
      </c>
      <c r="J4007" s="112">
        <v>283</v>
      </c>
      <c r="K4007" s="112">
        <v>117</v>
      </c>
      <c r="L4007" s="112">
        <v>25</v>
      </c>
      <c r="M4007" s="112">
        <v>21</v>
      </c>
      <c r="N4007" s="141">
        <v>4</v>
      </c>
    </row>
    <row r="4008" spans="1:14" ht="17">
      <c r="A4008" s="109" t="s">
        <v>7633</v>
      </c>
      <c r="B4008" s="109" t="s">
        <v>7634</v>
      </c>
      <c r="C4008" s="111">
        <v>2009</v>
      </c>
      <c r="D4008" s="112">
        <v>617</v>
      </c>
      <c r="E4008" s="112">
        <v>2510</v>
      </c>
      <c r="F4008" s="112">
        <v>1014</v>
      </c>
      <c r="G4008" s="112">
        <v>1387</v>
      </c>
      <c r="H4008" s="112">
        <v>588</v>
      </c>
      <c r="I4008" s="112">
        <v>221</v>
      </c>
      <c r="J4008" s="112">
        <v>241</v>
      </c>
      <c r="K4008" s="112">
        <v>20</v>
      </c>
      <c r="L4008" s="112">
        <v>14</v>
      </c>
      <c r="M4008" s="112">
        <v>15</v>
      </c>
      <c r="N4008" s="141">
        <v>-1</v>
      </c>
    </row>
    <row r="4009" spans="1:14" ht="17">
      <c r="A4009" s="109" t="s">
        <v>7633</v>
      </c>
      <c r="B4009" s="109" t="s">
        <v>7634</v>
      </c>
      <c r="C4009" s="111">
        <v>2010</v>
      </c>
      <c r="D4009" s="112">
        <v>706</v>
      </c>
      <c r="E4009" s="112">
        <v>2672</v>
      </c>
      <c r="F4009" s="112">
        <v>1161</v>
      </c>
      <c r="G4009" s="112">
        <v>1283</v>
      </c>
      <c r="H4009" s="112">
        <v>516</v>
      </c>
      <c r="I4009" s="112">
        <v>159</v>
      </c>
      <c r="J4009" s="112">
        <v>189</v>
      </c>
      <c r="K4009" s="112">
        <v>30</v>
      </c>
      <c r="L4009" s="112">
        <v>15</v>
      </c>
      <c r="M4009" s="112">
        <v>15</v>
      </c>
      <c r="N4009" s="141" t="s">
        <v>6952</v>
      </c>
    </row>
    <row r="4010" spans="1:14" ht="17">
      <c r="A4010" s="109" t="s">
        <v>7633</v>
      </c>
      <c r="B4010" s="109" t="s">
        <v>7634</v>
      </c>
      <c r="C4010" s="111">
        <v>2011</v>
      </c>
      <c r="D4010" s="112">
        <v>803</v>
      </c>
      <c r="E4010" s="112">
        <v>3598</v>
      </c>
      <c r="F4010" s="112">
        <v>1577</v>
      </c>
      <c r="G4010" s="112">
        <v>1970</v>
      </c>
      <c r="H4010" s="112">
        <v>696</v>
      </c>
      <c r="I4010" s="112">
        <v>186</v>
      </c>
      <c r="J4010" s="112">
        <v>229</v>
      </c>
      <c r="K4010" s="112">
        <v>42</v>
      </c>
      <c r="L4010" s="112">
        <v>35</v>
      </c>
      <c r="M4010" s="112">
        <v>25</v>
      </c>
      <c r="N4010" s="141">
        <v>10</v>
      </c>
    </row>
    <row r="4011" spans="1:14" ht="17">
      <c r="A4011" s="109" t="s">
        <v>7633</v>
      </c>
      <c r="B4011" s="109" t="s">
        <v>7634</v>
      </c>
      <c r="C4011" s="111">
        <v>2012</v>
      </c>
      <c r="D4011" s="112">
        <v>946</v>
      </c>
      <c r="E4011" s="112">
        <v>3134</v>
      </c>
      <c r="F4011" s="112">
        <v>1174</v>
      </c>
      <c r="G4011" s="112">
        <v>1953</v>
      </c>
      <c r="H4011" s="112">
        <v>737</v>
      </c>
      <c r="I4011" s="112">
        <v>250</v>
      </c>
      <c r="J4011" s="112">
        <v>273</v>
      </c>
      <c r="K4011" s="112">
        <v>23</v>
      </c>
      <c r="L4011" s="112">
        <v>30</v>
      </c>
      <c r="M4011" s="112">
        <v>31</v>
      </c>
      <c r="N4011" s="141">
        <v>-1</v>
      </c>
    </row>
    <row r="4012" spans="1:14" ht="17">
      <c r="A4012" s="109" t="s">
        <v>7633</v>
      </c>
      <c r="B4012" s="109" t="s">
        <v>7634</v>
      </c>
      <c r="C4012" s="113">
        <v>2013</v>
      </c>
      <c r="D4012" s="112">
        <v>989</v>
      </c>
      <c r="E4012" s="112">
        <v>3980</v>
      </c>
      <c r="F4012" s="112">
        <v>1397</v>
      </c>
      <c r="G4012" s="112">
        <v>2577</v>
      </c>
      <c r="H4012" s="112">
        <v>751</v>
      </c>
      <c r="I4012" s="112">
        <v>165</v>
      </c>
      <c r="J4012" s="112">
        <v>197</v>
      </c>
      <c r="K4012" s="112">
        <v>32</v>
      </c>
      <c r="L4012" s="112">
        <v>42</v>
      </c>
      <c r="M4012" s="112">
        <v>41</v>
      </c>
      <c r="N4012" s="141">
        <v>1</v>
      </c>
    </row>
    <row r="4013" spans="1:14" ht="17">
      <c r="A4013" s="109" t="s">
        <v>7633</v>
      </c>
      <c r="B4013" s="109" t="s">
        <v>7634</v>
      </c>
      <c r="C4013" s="113">
        <v>2014</v>
      </c>
      <c r="D4013" s="112">
        <v>994</v>
      </c>
      <c r="E4013" s="112">
        <v>3333</v>
      </c>
      <c r="F4013" s="112">
        <v>1407</v>
      </c>
      <c r="G4013" s="112">
        <v>1929</v>
      </c>
      <c r="H4013" s="112">
        <v>833</v>
      </c>
      <c r="I4013" s="112">
        <v>179</v>
      </c>
      <c r="J4013" s="112">
        <v>191</v>
      </c>
      <c r="K4013" s="112">
        <v>12</v>
      </c>
      <c r="L4013" s="112">
        <v>59</v>
      </c>
      <c r="M4013" s="112">
        <v>56</v>
      </c>
      <c r="N4013" s="141">
        <v>2</v>
      </c>
    </row>
    <row r="4014" spans="1:14" ht="17">
      <c r="A4014" s="109" t="s">
        <v>7633</v>
      </c>
      <c r="B4014" s="109" t="s">
        <v>7634</v>
      </c>
      <c r="C4014" s="113">
        <v>2015</v>
      </c>
      <c r="D4014" s="112">
        <v>1037</v>
      </c>
      <c r="E4014" s="112">
        <v>3858</v>
      </c>
      <c r="F4014" s="112">
        <v>1763</v>
      </c>
      <c r="G4014" s="112">
        <v>2099</v>
      </c>
      <c r="H4014" s="112">
        <v>667</v>
      </c>
      <c r="I4014" s="112">
        <v>346</v>
      </c>
      <c r="J4014" s="112">
        <v>384</v>
      </c>
      <c r="K4014" s="112">
        <v>38</v>
      </c>
      <c r="L4014" s="112">
        <v>60</v>
      </c>
      <c r="M4014" s="112">
        <v>55</v>
      </c>
      <c r="N4014" s="141">
        <v>5</v>
      </c>
    </row>
    <row r="4015" spans="1:14" ht="17">
      <c r="A4015" s="109" t="s">
        <v>7633</v>
      </c>
      <c r="B4015" s="109" t="s">
        <v>7634</v>
      </c>
      <c r="C4015" s="113">
        <v>2016</v>
      </c>
      <c r="D4015" s="112">
        <v>1099</v>
      </c>
      <c r="E4015" s="112">
        <v>4287</v>
      </c>
      <c r="F4015" s="112">
        <v>1891</v>
      </c>
      <c r="G4015" s="112">
        <v>2507</v>
      </c>
      <c r="H4015" s="112">
        <v>873</v>
      </c>
      <c r="I4015" s="112">
        <v>445</v>
      </c>
      <c r="J4015" s="112">
        <v>467</v>
      </c>
      <c r="K4015" s="112">
        <v>22</v>
      </c>
      <c r="L4015" s="112">
        <v>61</v>
      </c>
      <c r="M4015" s="112">
        <v>51</v>
      </c>
      <c r="N4015" s="141">
        <v>10</v>
      </c>
    </row>
    <row r="4016" spans="1:14" ht="17">
      <c r="A4016" s="109" t="s">
        <v>7633</v>
      </c>
      <c r="B4016" s="109" t="s">
        <v>7634</v>
      </c>
      <c r="C4016" s="113">
        <v>2017</v>
      </c>
      <c r="D4016" s="112">
        <v>1140</v>
      </c>
      <c r="E4016" s="112">
        <v>4729</v>
      </c>
      <c r="F4016" s="112">
        <v>2008</v>
      </c>
      <c r="G4016" s="112">
        <v>2748</v>
      </c>
      <c r="H4016" s="112">
        <v>983</v>
      </c>
      <c r="I4016" s="112">
        <v>269</v>
      </c>
      <c r="J4016" s="112">
        <v>290</v>
      </c>
      <c r="K4016" s="112">
        <v>21</v>
      </c>
      <c r="L4016" s="112">
        <v>57</v>
      </c>
      <c r="M4016" s="112">
        <v>46</v>
      </c>
      <c r="N4016" s="141">
        <v>12</v>
      </c>
    </row>
    <row r="4017" spans="1:14" ht="17">
      <c r="A4017" s="109" t="s">
        <v>7633</v>
      </c>
      <c r="B4017" s="109" t="s">
        <v>7634</v>
      </c>
      <c r="C4017" s="113">
        <v>2018</v>
      </c>
      <c r="D4017" s="112">
        <v>1178</v>
      </c>
      <c r="E4017" s="112">
        <v>4706</v>
      </c>
      <c r="F4017" s="112">
        <v>2103</v>
      </c>
      <c r="G4017" s="112">
        <v>2598</v>
      </c>
      <c r="H4017" s="112">
        <v>937</v>
      </c>
      <c r="I4017" s="112">
        <v>303</v>
      </c>
      <c r="J4017" s="112">
        <v>330</v>
      </c>
      <c r="K4017" s="112">
        <v>27</v>
      </c>
      <c r="L4017" s="112">
        <v>52</v>
      </c>
      <c r="M4017" s="112">
        <v>50</v>
      </c>
      <c r="N4017" s="141">
        <v>2</v>
      </c>
    </row>
    <row r="4018" spans="1:14" ht="17">
      <c r="A4018" s="109" t="s">
        <v>7633</v>
      </c>
      <c r="B4018" s="109" t="s">
        <v>7634</v>
      </c>
      <c r="C4018" s="113">
        <v>2019</v>
      </c>
      <c r="D4018" s="112">
        <v>1178</v>
      </c>
      <c r="E4018" s="112">
        <v>4597.0264260000004</v>
      </c>
      <c r="F4018" s="112">
        <v>1947.702779</v>
      </c>
      <c r="G4018" s="112">
        <v>2581.9968979999999</v>
      </c>
      <c r="H4018" s="112">
        <v>943.01863200000003</v>
      </c>
      <c r="I4018" s="112">
        <v>301.024179</v>
      </c>
      <c r="J4018" s="112">
        <v>372.84686900000003</v>
      </c>
      <c r="K4018" s="112">
        <v>71.822689999999994</v>
      </c>
      <c r="L4018" s="112">
        <v>57.658925000000004</v>
      </c>
      <c r="M4018" s="112">
        <v>75.556657000000001</v>
      </c>
      <c r="N4018" s="141">
        <v>-17.897732000000001</v>
      </c>
    </row>
    <row r="4019" spans="1:14" ht="17">
      <c r="A4019" s="109" t="s">
        <v>7633</v>
      </c>
      <c r="B4019" s="109" t="s">
        <v>7634</v>
      </c>
      <c r="C4019" s="113">
        <v>2020</v>
      </c>
      <c r="D4019" s="112">
        <v>1175</v>
      </c>
      <c r="E4019" s="112">
        <v>4399.6799110000002</v>
      </c>
      <c r="F4019" s="112">
        <v>1925.4002439999999</v>
      </c>
      <c r="G4019" s="112">
        <v>2457.6620250000001</v>
      </c>
      <c r="H4019" s="112">
        <v>939.76366299999995</v>
      </c>
      <c r="I4019" s="112">
        <v>308.68178999999998</v>
      </c>
      <c r="J4019" s="112">
        <v>376.78967699999998</v>
      </c>
      <c r="K4019" s="112">
        <v>68.107885999999993</v>
      </c>
      <c r="L4019" s="112">
        <v>53.101905000000002</v>
      </c>
      <c r="M4019" s="112">
        <v>45.438445999999999</v>
      </c>
      <c r="N4019" s="141">
        <v>7.6634589999999996</v>
      </c>
    </row>
    <row r="4020" spans="1:14" ht="17">
      <c r="A4020" s="109" t="s">
        <v>7635</v>
      </c>
      <c r="B4020" s="109" t="s">
        <v>7636</v>
      </c>
      <c r="C4020" s="111">
        <v>2008</v>
      </c>
      <c r="D4020" s="112">
        <v>870</v>
      </c>
      <c r="E4020" s="112" t="s">
        <v>6953</v>
      </c>
      <c r="F4020" s="112" t="s">
        <v>6953</v>
      </c>
      <c r="G4020" s="112" t="s">
        <v>6953</v>
      </c>
      <c r="H4020" s="112" t="s">
        <v>6953</v>
      </c>
      <c r="I4020" s="112">
        <v>162</v>
      </c>
      <c r="J4020" s="112">
        <v>279</v>
      </c>
      <c r="K4020" s="112">
        <v>116</v>
      </c>
      <c r="L4020" s="112" t="s">
        <v>6953</v>
      </c>
      <c r="M4020" s="112" t="s">
        <v>6953</v>
      </c>
      <c r="N4020" s="141" t="s">
        <v>6953</v>
      </c>
    </row>
    <row r="4021" spans="1:14" ht="17">
      <c r="A4021" s="109" t="s">
        <v>7635</v>
      </c>
      <c r="B4021" s="109" t="s">
        <v>7636</v>
      </c>
      <c r="C4021" s="111">
        <v>2009</v>
      </c>
      <c r="D4021" s="112">
        <v>587</v>
      </c>
      <c r="E4021" s="112">
        <v>2073</v>
      </c>
      <c r="F4021" s="112">
        <v>869</v>
      </c>
      <c r="G4021" s="112">
        <v>1101</v>
      </c>
      <c r="H4021" s="112">
        <v>451</v>
      </c>
      <c r="I4021" s="112">
        <v>204</v>
      </c>
      <c r="J4021" s="112" t="s">
        <v>6953</v>
      </c>
      <c r="K4021" s="112" t="s">
        <v>6953</v>
      </c>
      <c r="L4021" s="112" t="s">
        <v>6953</v>
      </c>
      <c r="M4021" s="112" t="s">
        <v>6953</v>
      </c>
      <c r="N4021" s="141" t="s">
        <v>6953</v>
      </c>
    </row>
    <row r="4022" spans="1:14" ht="17">
      <c r="A4022" s="109" t="s">
        <v>7635</v>
      </c>
      <c r="B4022" s="109" t="s">
        <v>7636</v>
      </c>
      <c r="C4022" s="111">
        <v>2010</v>
      </c>
      <c r="D4022" s="112">
        <v>653</v>
      </c>
      <c r="E4022" s="112">
        <v>2357</v>
      </c>
      <c r="F4022" s="112">
        <v>1048</v>
      </c>
      <c r="G4022" s="112">
        <v>1083</v>
      </c>
      <c r="H4022" s="112">
        <v>412</v>
      </c>
      <c r="I4022" s="112" t="s">
        <v>6953</v>
      </c>
      <c r="J4022" s="112" t="s">
        <v>6953</v>
      </c>
      <c r="K4022" s="112" t="s">
        <v>6953</v>
      </c>
      <c r="L4022" s="112">
        <v>13</v>
      </c>
      <c r="M4022" s="112" t="s">
        <v>6953</v>
      </c>
      <c r="N4022" s="141" t="s">
        <v>6953</v>
      </c>
    </row>
    <row r="4023" spans="1:14" ht="17">
      <c r="A4023" s="109" t="s">
        <v>7635</v>
      </c>
      <c r="B4023" s="109" t="s">
        <v>7636</v>
      </c>
      <c r="C4023" s="111">
        <v>2011</v>
      </c>
      <c r="D4023" s="112">
        <v>747</v>
      </c>
      <c r="E4023" s="112">
        <v>3167</v>
      </c>
      <c r="F4023" s="112">
        <v>1419</v>
      </c>
      <c r="G4023" s="112">
        <v>1707</v>
      </c>
      <c r="H4023" s="112">
        <v>577</v>
      </c>
      <c r="I4023" s="112">
        <v>183</v>
      </c>
      <c r="J4023" s="112">
        <v>225</v>
      </c>
      <c r="K4023" s="112">
        <v>42</v>
      </c>
      <c r="L4023" s="112">
        <v>34</v>
      </c>
      <c r="M4023" s="112">
        <v>23</v>
      </c>
      <c r="N4023" s="141">
        <v>11</v>
      </c>
    </row>
    <row r="4024" spans="1:14" ht="17">
      <c r="A4024" s="109" t="s">
        <v>7635</v>
      </c>
      <c r="B4024" s="109" t="s">
        <v>7636</v>
      </c>
      <c r="C4024" s="111">
        <v>2012</v>
      </c>
      <c r="D4024" s="112">
        <v>863</v>
      </c>
      <c r="E4024" s="112">
        <v>2702</v>
      </c>
      <c r="F4024" s="112">
        <v>1022</v>
      </c>
      <c r="G4024" s="112">
        <v>1676</v>
      </c>
      <c r="H4024" s="112">
        <v>617</v>
      </c>
      <c r="I4024" s="112">
        <v>241</v>
      </c>
      <c r="J4024" s="112">
        <v>263</v>
      </c>
      <c r="K4024" s="112">
        <v>22</v>
      </c>
      <c r="L4024" s="112">
        <v>27</v>
      </c>
      <c r="M4024" s="112">
        <v>28</v>
      </c>
      <c r="N4024" s="141">
        <v>-1</v>
      </c>
    </row>
    <row r="4025" spans="1:14" ht="17">
      <c r="A4025" s="109" t="s">
        <v>7635</v>
      </c>
      <c r="B4025" s="109" t="s">
        <v>7636</v>
      </c>
      <c r="C4025" s="113">
        <v>2013</v>
      </c>
      <c r="D4025" s="112">
        <v>896</v>
      </c>
      <c r="E4025" s="112">
        <v>3368</v>
      </c>
      <c r="F4025" s="112">
        <v>1193</v>
      </c>
      <c r="G4025" s="112">
        <v>2174</v>
      </c>
      <c r="H4025" s="112">
        <v>604</v>
      </c>
      <c r="I4025" s="112">
        <v>138</v>
      </c>
      <c r="J4025" s="112">
        <v>170</v>
      </c>
      <c r="K4025" s="112">
        <v>32</v>
      </c>
      <c r="L4025" s="112">
        <v>38</v>
      </c>
      <c r="M4025" s="112">
        <v>39</v>
      </c>
      <c r="N4025" s="141">
        <v>-1</v>
      </c>
    </row>
    <row r="4026" spans="1:14" ht="17">
      <c r="A4026" s="109" t="s">
        <v>7635</v>
      </c>
      <c r="B4026" s="109" t="s">
        <v>7636</v>
      </c>
      <c r="C4026" s="113">
        <v>2014</v>
      </c>
      <c r="D4026" s="112">
        <v>893</v>
      </c>
      <c r="E4026" s="112">
        <v>2736</v>
      </c>
      <c r="F4026" s="112">
        <v>1167</v>
      </c>
      <c r="G4026" s="112">
        <v>1582</v>
      </c>
      <c r="H4026" s="112">
        <v>504</v>
      </c>
      <c r="I4026" s="112">
        <v>178</v>
      </c>
      <c r="J4026" s="112">
        <v>190</v>
      </c>
      <c r="K4026" s="112">
        <v>12</v>
      </c>
      <c r="L4026" s="112">
        <v>57</v>
      </c>
      <c r="M4026" s="112">
        <v>53</v>
      </c>
      <c r="N4026" s="141">
        <v>4</v>
      </c>
    </row>
    <row r="4027" spans="1:14" ht="17">
      <c r="A4027" s="109" t="s">
        <v>7635</v>
      </c>
      <c r="B4027" s="109" t="s">
        <v>7636</v>
      </c>
      <c r="C4027" s="113">
        <v>2015</v>
      </c>
      <c r="D4027" s="112">
        <v>927</v>
      </c>
      <c r="E4027" s="112">
        <v>3065</v>
      </c>
      <c r="F4027" s="112">
        <v>1389</v>
      </c>
      <c r="G4027" s="112">
        <v>1680</v>
      </c>
      <c r="H4027" s="112">
        <v>469</v>
      </c>
      <c r="I4027" s="112">
        <v>315</v>
      </c>
      <c r="J4027" s="112">
        <v>352</v>
      </c>
      <c r="K4027" s="112">
        <v>37</v>
      </c>
      <c r="L4027" s="112">
        <v>58</v>
      </c>
      <c r="M4027" s="112">
        <v>53</v>
      </c>
      <c r="N4027" s="141">
        <v>5</v>
      </c>
    </row>
    <row r="4028" spans="1:14" ht="17">
      <c r="A4028" s="109" t="s">
        <v>7635</v>
      </c>
      <c r="B4028" s="109" t="s">
        <v>7636</v>
      </c>
      <c r="C4028" s="113">
        <v>2016</v>
      </c>
      <c r="D4028" s="112">
        <v>998</v>
      </c>
      <c r="E4028" s="112">
        <v>3155</v>
      </c>
      <c r="F4028" s="112">
        <v>1455</v>
      </c>
      <c r="G4028" s="112">
        <v>1806</v>
      </c>
      <c r="H4028" s="112">
        <v>483</v>
      </c>
      <c r="I4028" s="112" t="s">
        <v>6953</v>
      </c>
      <c r="J4028" s="112" t="s">
        <v>6953</v>
      </c>
      <c r="K4028" s="112" t="s">
        <v>6953</v>
      </c>
      <c r="L4028" s="112" t="s">
        <v>6953</v>
      </c>
      <c r="M4028" s="112" t="s">
        <v>6953</v>
      </c>
      <c r="N4028" s="141" t="s">
        <v>6953</v>
      </c>
    </row>
    <row r="4029" spans="1:14" ht="17">
      <c r="A4029" s="109" t="s">
        <v>7635</v>
      </c>
      <c r="B4029" s="109" t="s">
        <v>7636</v>
      </c>
      <c r="C4029" s="113">
        <v>2017</v>
      </c>
      <c r="D4029" s="112">
        <v>1042</v>
      </c>
      <c r="E4029" s="112">
        <v>3657</v>
      </c>
      <c r="F4029" s="112">
        <v>1664</v>
      </c>
      <c r="G4029" s="112">
        <v>2013</v>
      </c>
      <c r="H4029" s="112">
        <v>584</v>
      </c>
      <c r="I4029" s="112">
        <v>260</v>
      </c>
      <c r="J4029" s="112">
        <v>280</v>
      </c>
      <c r="K4029" s="112">
        <v>20</v>
      </c>
      <c r="L4029" s="112">
        <v>43</v>
      </c>
      <c r="M4029" s="112">
        <v>37</v>
      </c>
      <c r="N4029" s="141">
        <v>6</v>
      </c>
    </row>
    <row r="4030" spans="1:14" ht="17">
      <c r="A4030" s="109" t="s">
        <v>7635</v>
      </c>
      <c r="B4030" s="109" t="s">
        <v>7636</v>
      </c>
      <c r="C4030" s="113">
        <v>2018</v>
      </c>
      <c r="D4030" s="112">
        <v>1064</v>
      </c>
      <c r="E4030" s="112">
        <v>3715</v>
      </c>
      <c r="F4030" s="112">
        <v>1785</v>
      </c>
      <c r="G4030" s="112">
        <v>1927</v>
      </c>
      <c r="H4030" s="112">
        <v>597</v>
      </c>
      <c r="I4030" s="112">
        <v>301</v>
      </c>
      <c r="J4030" s="112">
        <v>327</v>
      </c>
      <c r="K4030" s="112">
        <v>27</v>
      </c>
      <c r="L4030" s="112" t="s">
        <v>6953</v>
      </c>
      <c r="M4030" s="112" t="s">
        <v>6953</v>
      </c>
      <c r="N4030" s="141">
        <v>3</v>
      </c>
    </row>
    <row r="4031" spans="1:14" ht="17">
      <c r="A4031" s="109" t="s">
        <v>7635</v>
      </c>
      <c r="B4031" s="109" t="s">
        <v>7636</v>
      </c>
      <c r="C4031" s="113">
        <v>2019</v>
      </c>
      <c r="D4031" s="112">
        <v>1055</v>
      </c>
      <c r="E4031" s="112">
        <v>3650.2815139999998</v>
      </c>
      <c r="F4031" s="112">
        <v>1635.7638219999999</v>
      </c>
      <c r="G4031" s="112">
        <v>1968.414653</v>
      </c>
      <c r="H4031" s="112">
        <v>579.30635700000005</v>
      </c>
      <c r="I4031" s="112">
        <v>293.70425599999999</v>
      </c>
      <c r="J4031" s="112">
        <v>364.88511299999999</v>
      </c>
      <c r="K4031" s="112">
        <v>71.180857000000003</v>
      </c>
      <c r="L4031" s="112">
        <v>41.751759999999997</v>
      </c>
      <c r="M4031" s="112">
        <v>38.683655999999999</v>
      </c>
      <c r="N4031" s="141">
        <v>3.0681039999999999</v>
      </c>
    </row>
    <row r="4032" spans="1:14" ht="17">
      <c r="A4032" s="109" t="s">
        <v>7635</v>
      </c>
      <c r="B4032" s="109" t="s">
        <v>7636</v>
      </c>
      <c r="C4032" s="113">
        <v>2020</v>
      </c>
      <c r="D4032" s="112">
        <v>1052</v>
      </c>
      <c r="E4032" s="112">
        <v>3565.3512270000001</v>
      </c>
      <c r="F4032" s="112">
        <v>1625.0007639999999</v>
      </c>
      <c r="G4032" s="112">
        <v>1928.7578289999999</v>
      </c>
      <c r="H4032" s="112">
        <v>584.00729999999999</v>
      </c>
      <c r="I4032" s="112">
        <v>301.88667600000002</v>
      </c>
      <c r="J4032" s="112">
        <v>369.28926799999999</v>
      </c>
      <c r="K4032" s="112">
        <v>67.402591999999999</v>
      </c>
      <c r="L4032" s="112">
        <v>40.790120999999999</v>
      </c>
      <c r="M4032" s="112">
        <v>28.685072000000002</v>
      </c>
      <c r="N4032" s="141">
        <v>12.105048999999999</v>
      </c>
    </row>
    <row r="4033" spans="1:14" ht="17">
      <c r="A4033" s="109" t="s">
        <v>7637</v>
      </c>
      <c r="B4033" s="109" t="s">
        <v>7638</v>
      </c>
      <c r="C4033" s="111">
        <v>2008</v>
      </c>
      <c r="D4033" s="112">
        <v>9</v>
      </c>
      <c r="E4033" s="112" t="s">
        <v>6953</v>
      </c>
      <c r="F4033" s="112" t="s">
        <v>6953</v>
      </c>
      <c r="G4033" s="112" t="s">
        <v>6953</v>
      </c>
      <c r="H4033" s="112" t="s">
        <v>6953</v>
      </c>
      <c r="I4033" s="112">
        <v>4</v>
      </c>
      <c r="J4033" s="112">
        <v>4</v>
      </c>
      <c r="K4033" s="112" t="s">
        <v>6952</v>
      </c>
      <c r="L4033" s="112" t="s">
        <v>6953</v>
      </c>
      <c r="M4033" s="112" t="s">
        <v>6953</v>
      </c>
      <c r="N4033" s="141" t="s">
        <v>6953</v>
      </c>
    </row>
    <row r="4034" spans="1:14" ht="17">
      <c r="A4034" s="109" t="s">
        <v>7637</v>
      </c>
      <c r="B4034" s="109" t="s">
        <v>7638</v>
      </c>
      <c r="C4034" s="111">
        <v>2009</v>
      </c>
      <c r="D4034" s="112">
        <v>30</v>
      </c>
      <c r="E4034" s="112">
        <v>438</v>
      </c>
      <c r="F4034" s="112">
        <v>145</v>
      </c>
      <c r="G4034" s="112">
        <v>285</v>
      </c>
      <c r="H4034" s="112">
        <v>138</v>
      </c>
      <c r="I4034" s="112">
        <v>17</v>
      </c>
      <c r="J4034" s="112" t="s">
        <v>6953</v>
      </c>
      <c r="K4034" s="112" t="s">
        <v>6953</v>
      </c>
      <c r="L4034" s="112" t="s">
        <v>6953</v>
      </c>
      <c r="M4034" s="112" t="s">
        <v>6953</v>
      </c>
      <c r="N4034" s="141" t="s">
        <v>6953</v>
      </c>
    </row>
    <row r="4035" spans="1:14" ht="17">
      <c r="A4035" s="109" t="s">
        <v>7637</v>
      </c>
      <c r="B4035" s="109" t="s">
        <v>7638</v>
      </c>
      <c r="C4035" s="111">
        <v>2010</v>
      </c>
      <c r="D4035" s="112">
        <v>53</v>
      </c>
      <c r="E4035" s="112">
        <v>315</v>
      </c>
      <c r="F4035" s="112">
        <v>113</v>
      </c>
      <c r="G4035" s="112">
        <v>200</v>
      </c>
      <c r="H4035" s="112">
        <v>104</v>
      </c>
      <c r="I4035" s="112" t="s">
        <v>6953</v>
      </c>
      <c r="J4035" s="112" t="s">
        <v>6953</v>
      </c>
      <c r="K4035" s="112" t="s">
        <v>6953</v>
      </c>
      <c r="L4035" s="112">
        <v>2</v>
      </c>
      <c r="M4035" s="112" t="s">
        <v>6953</v>
      </c>
      <c r="N4035" s="141" t="s">
        <v>6953</v>
      </c>
    </row>
    <row r="4036" spans="1:14" ht="17">
      <c r="A4036" s="109" t="s">
        <v>7637</v>
      </c>
      <c r="B4036" s="109" t="s">
        <v>7638</v>
      </c>
      <c r="C4036" s="111">
        <v>2011</v>
      </c>
      <c r="D4036" s="112">
        <v>56</v>
      </c>
      <c r="E4036" s="112">
        <v>431</v>
      </c>
      <c r="F4036" s="112">
        <v>158</v>
      </c>
      <c r="G4036" s="112">
        <v>263</v>
      </c>
      <c r="H4036" s="112">
        <v>118</v>
      </c>
      <c r="I4036" s="112">
        <v>3</v>
      </c>
      <c r="J4036" s="112">
        <v>4</v>
      </c>
      <c r="K4036" s="112">
        <v>1</v>
      </c>
      <c r="L4036" s="112">
        <v>1</v>
      </c>
      <c r="M4036" s="112">
        <v>2</v>
      </c>
      <c r="N4036" s="141">
        <v>-1</v>
      </c>
    </row>
    <row r="4037" spans="1:14" ht="17">
      <c r="A4037" s="109" t="s">
        <v>7637</v>
      </c>
      <c r="B4037" s="109" t="s">
        <v>7638</v>
      </c>
      <c r="C4037" s="111">
        <v>2012</v>
      </c>
      <c r="D4037" s="112">
        <v>83</v>
      </c>
      <c r="E4037" s="112">
        <v>432</v>
      </c>
      <c r="F4037" s="112">
        <v>152</v>
      </c>
      <c r="G4037" s="112">
        <v>277</v>
      </c>
      <c r="H4037" s="112">
        <v>121</v>
      </c>
      <c r="I4037" s="112">
        <v>9</v>
      </c>
      <c r="J4037" s="112">
        <v>9</v>
      </c>
      <c r="K4037" s="112" t="s">
        <v>6952</v>
      </c>
      <c r="L4037" s="112">
        <v>3</v>
      </c>
      <c r="M4037" s="112">
        <v>2</v>
      </c>
      <c r="N4037" s="141">
        <v>1</v>
      </c>
    </row>
    <row r="4038" spans="1:14" ht="17">
      <c r="A4038" s="109" t="s">
        <v>7637</v>
      </c>
      <c r="B4038" s="109" t="s">
        <v>7638</v>
      </c>
      <c r="C4038" s="113">
        <v>2013</v>
      </c>
      <c r="D4038" s="112">
        <v>93</v>
      </c>
      <c r="E4038" s="112">
        <v>612</v>
      </c>
      <c r="F4038" s="112">
        <v>204</v>
      </c>
      <c r="G4038" s="112">
        <v>403</v>
      </c>
      <c r="H4038" s="112">
        <v>147</v>
      </c>
      <c r="I4038" s="112">
        <v>26</v>
      </c>
      <c r="J4038" s="112">
        <v>26</v>
      </c>
      <c r="K4038" s="112" t="s">
        <v>6952</v>
      </c>
      <c r="L4038" s="112">
        <v>3</v>
      </c>
      <c r="M4038" s="112">
        <v>2</v>
      </c>
      <c r="N4038" s="141">
        <v>2</v>
      </c>
    </row>
    <row r="4039" spans="1:14" ht="17">
      <c r="A4039" s="109" t="s">
        <v>7637</v>
      </c>
      <c r="B4039" s="109" t="s">
        <v>7638</v>
      </c>
      <c r="C4039" s="113">
        <v>2014</v>
      </c>
      <c r="D4039" s="112">
        <v>101</v>
      </c>
      <c r="E4039" s="112">
        <v>597</v>
      </c>
      <c r="F4039" s="112">
        <v>240</v>
      </c>
      <c r="G4039" s="112">
        <v>347</v>
      </c>
      <c r="H4039" s="112">
        <v>329</v>
      </c>
      <c r="I4039" s="112">
        <v>1</v>
      </c>
      <c r="J4039" s="112">
        <v>1</v>
      </c>
      <c r="K4039" s="112" t="s">
        <v>6952</v>
      </c>
      <c r="L4039" s="112">
        <v>1</v>
      </c>
      <c r="M4039" s="112">
        <v>3</v>
      </c>
      <c r="N4039" s="141">
        <v>-2</v>
      </c>
    </row>
    <row r="4040" spans="1:14" ht="17">
      <c r="A4040" s="109" t="s">
        <v>7637</v>
      </c>
      <c r="B4040" s="109" t="s">
        <v>7638</v>
      </c>
      <c r="C4040" s="113">
        <v>2015</v>
      </c>
      <c r="D4040" s="112">
        <v>110</v>
      </c>
      <c r="E4040" s="112">
        <v>792</v>
      </c>
      <c r="F4040" s="112">
        <v>374</v>
      </c>
      <c r="G4040" s="112">
        <v>419</v>
      </c>
      <c r="H4040" s="112">
        <v>198</v>
      </c>
      <c r="I4040" s="112">
        <v>31</v>
      </c>
      <c r="J4040" s="112">
        <v>32</v>
      </c>
      <c r="K4040" s="112">
        <v>1</v>
      </c>
      <c r="L4040" s="112">
        <v>2</v>
      </c>
      <c r="M4040" s="112">
        <v>3</v>
      </c>
      <c r="N4040" s="141" t="s">
        <v>6952</v>
      </c>
    </row>
    <row r="4041" spans="1:14" ht="17">
      <c r="A4041" s="109" t="s">
        <v>7637</v>
      </c>
      <c r="B4041" s="109" t="s">
        <v>7638</v>
      </c>
      <c r="C4041" s="113">
        <v>2016</v>
      </c>
      <c r="D4041" s="112">
        <v>101</v>
      </c>
      <c r="E4041" s="112">
        <v>1132</v>
      </c>
      <c r="F4041" s="112">
        <v>436</v>
      </c>
      <c r="G4041" s="112">
        <v>701</v>
      </c>
      <c r="H4041" s="112">
        <v>390</v>
      </c>
      <c r="I4041" s="112" t="s">
        <v>6953</v>
      </c>
      <c r="J4041" s="112" t="s">
        <v>6953</v>
      </c>
      <c r="K4041" s="112" t="s">
        <v>6953</v>
      </c>
      <c r="L4041" s="112" t="s">
        <v>6953</v>
      </c>
      <c r="M4041" s="112" t="s">
        <v>6953</v>
      </c>
      <c r="N4041" s="141" t="s">
        <v>6953</v>
      </c>
    </row>
    <row r="4042" spans="1:14" ht="17">
      <c r="A4042" s="109" t="s">
        <v>7637</v>
      </c>
      <c r="B4042" s="109" t="s">
        <v>7638</v>
      </c>
      <c r="C4042" s="113">
        <v>2017</v>
      </c>
      <c r="D4042" s="112">
        <v>98</v>
      </c>
      <c r="E4042" s="112">
        <v>1072</v>
      </c>
      <c r="F4042" s="112">
        <v>344</v>
      </c>
      <c r="G4042" s="112">
        <v>735</v>
      </c>
      <c r="H4042" s="112">
        <v>400</v>
      </c>
      <c r="I4042" s="112">
        <v>9</v>
      </c>
      <c r="J4042" s="112">
        <v>10</v>
      </c>
      <c r="K4042" s="112">
        <v>1</v>
      </c>
      <c r="L4042" s="112">
        <v>15</v>
      </c>
      <c r="M4042" s="112">
        <v>9</v>
      </c>
      <c r="N4042" s="141">
        <v>6</v>
      </c>
    </row>
    <row r="4043" spans="1:14" ht="17">
      <c r="A4043" s="109" t="s">
        <v>7637</v>
      </c>
      <c r="B4043" s="109" t="s">
        <v>7638</v>
      </c>
      <c r="C4043" s="113">
        <v>2018</v>
      </c>
      <c r="D4043" s="112">
        <v>114</v>
      </c>
      <c r="E4043" s="112">
        <v>991</v>
      </c>
      <c r="F4043" s="112">
        <v>319</v>
      </c>
      <c r="G4043" s="112">
        <v>671</v>
      </c>
      <c r="H4043" s="112">
        <v>340</v>
      </c>
      <c r="I4043" s="112">
        <v>2</v>
      </c>
      <c r="J4043" s="112">
        <v>2</v>
      </c>
      <c r="K4043" s="112" t="s">
        <v>6952</v>
      </c>
      <c r="L4043" s="112" t="s">
        <v>6953</v>
      </c>
      <c r="M4043" s="112" t="s">
        <v>6953</v>
      </c>
      <c r="N4043" s="141">
        <v>-1</v>
      </c>
    </row>
    <row r="4044" spans="1:14" ht="17">
      <c r="A4044" s="109" t="s">
        <v>7637</v>
      </c>
      <c r="B4044" s="109" t="s">
        <v>7638</v>
      </c>
      <c r="C4044" s="113">
        <v>2019</v>
      </c>
      <c r="D4044" s="112">
        <v>123</v>
      </c>
      <c r="E4044" s="112">
        <v>946.744912</v>
      </c>
      <c r="F4044" s="112">
        <v>311.93895600000002</v>
      </c>
      <c r="G4044" s="112">
        <v>613.58224499999994</v>
      </c>
      <c r="H4044" s="112">
        <v>363.71227499999998</v>
      </c>
      <c r="I4044" s="112">
        <v>7.3199230000000002</v>
      </c>
      <c r="J4044" s="112">
        <v>7.9617560000000003</v>
      </c>
      <c r="K4044" s="112">
        <v>0.64183299999999999</v>
      </c>
      <c r="L4044" s="112">
        <v>15.907165000000001</v>
      </c>
      <c r="M4044" s="112">
        <v>36.873002</v>
      </c>
      <c r="N4044" s="141">
        <v>-20.965835999999999</v>
      </c>
    </row>
    <row r="4045" spans="1:14" ht="17">
      <c r="A4045" s="109" t="s">
        <v>7637</v>
      </c>
      <c r="B4045" s="109" t="s">
        <v>7638</v>
      </c>
      <c r="C4045" s="113">
        <v>2020</v>
      </c>
      <c r="D4045" s="112">
        <v>123</v>
      </c>
      <c r="E4045" s="112">
        <v>834.32868399999995</v>
      </c>
      <c r="F4045" s="112">
        <v>300.39947999999998</v>
      </c>
      <c r="G4045" s="112">
        <v>528.90419599999996</v>
      </c>
      <c r="H4045" s="112">
        <v>355.75636300000002</v>
      </c>
      <c r="I4045" s="112">
        <v>6.7951139999999999</v>
      </c>
      <c r="J4045" s="112">
        <v>7.5004090000000003</v>
      </c>
      <c r="K4045" s="112">
        <v>0.70529500000000001</v>
      </c>
      <c r="L4045" s="112">
        <v>12.311783999999999</v>
      </c>
      <c r="M4045" s="112">
        <v>16.753373</v>
      </c>
      <c r="N4045" s="141">
        <v>-4.4415889999999996</v>
      </c>
    </row>
    <row r="4046" spans="1:14" ht="17">
      <c r="A4046" s="109" t="s">
        <v>7639</v>
      </c>
      <c r="B4046" s="109" t="s">
        <v>7640</v>
      </c>
      <c r="C4046" s="111">
        <v>2008</v>
      </c>
      <c r="D4046" s="112">
        <v>2027</v>
      </c>
      <c r="E4046" s="112">
        <v>7275</v>
      </c>
      <c r="F4046" s="112">
        <v>1746</v>
      </c>
      <c r="G4046" s="112">
        <v>5651</v>
      </c>
      <c r="H4046" s="112">
        <v>614</v>
      </c>
      <c r="I4046" s="112">
        <v>330</v>
      </c>
      <c r="J4046" s="112">
        <v>367</v>
      </c>
      <c r="K4046" s="112">
        <v>36</v>
      </c>
      <c r="L4046" s="112">
        <v>418</v>
      </c>
      <c r="M4046" s="112">
        <v>289</v>
      </c>
      <c r="N4046" s="141">
        <v>128</v>
      </c>
    </row>
    <row r="4047" spans="1:14" ht="17">
      <c r="A4047" s="109" t="s">
        <v>7639</v>
      </c>
      <c r="B4047" s="109" t="s">
        <v>7640</v>
      </c>
      <c r="C4047" s="111">
        <v>2009</v>
      </c>
      <c r="D4047" s="112">
        <v>1905</v>
      </c>
      <c r="E4047" s="112">
        <v>6267</v>
      </c>
      <c r="F4047" s="112">
        <v>1221</v>
      </c>
      <c r="G4047" s="112">
        <v>5089</v>
      </c>
      <c r="H4047" s="112">
        <v>513</v>
      </c>
      <c r="I4047" s="112">
        <v>230</v>
      </c>
      <c r="J4047" s="112">
        <v>261</v>
      </c>
      <c r="K4047" s="112">
        <v>31</v>
      </c>
      <c r="L4047" s="112">
        <v>371</v>
      </c>
      <c r="M4047" s="112">
        <v>355</v>
      </c>
      <c r="N4047" s="141">
        <v>16</v>
      </c>
    </row>
    <row r="4048" spans="1:14" ht="17">
      <c r="A4048" s="109" t="s">
        <v>7639</v>
      </c>
      <c r="B4048" s="109" t="s">
        <v>7640</v>
      </c>
      <c r="C4048" s="111">
        <v>2010</v>
      </c>
      <c r="D4048" s="112">
        <v>1837</v>
      </c>
      <c r="E4048" s="112">
        <v>7633</v>
      </c>
      <c r="F4048" s="112">
        <v>1884</v>
      </c>
      <c r="G4048" s="112">
        <v>5907</v>
      </c>
      <c r="H4048" s="112">
        <v>651</v>
      </c>
      <c r="I4048" s="112">
        <v>280</v>
      </c>
      <c r="J4048" s="112">
        <v>379</v>
      </c>
      <c r="K4048" s="112">
        <v>99</v>
      </c>
      <c r="L4048" s="112">
        <v>697</v>
      </c>
      <c r="M4048" s="112">
        <v>546</v>
      </c>
      <c r="N4048" s="141">
        <v>152</v>
      </c>
    </row>
    <row r="4049" spans="1:14" ht="17">
      <c r="A4049" s="109" t="s">
        <v>7639</v>
      </c>
      <c r="B4049" s="109" t="s">
        <v>7640</v>
      </c>
      <c r="C4049" s="111">
        <v>2011</v>
      </c>
      <c r="D4049" s="112">
        <v>1951</v>
      </c>
      <c r="E4049" s="112">
        <v>8864</v>
      </c>
      <c r="F4049" s="112">
        <v>1988</v>
      </c>
      <c r="G4049" s="112">
        <v>6980</v>
      </c>
      <c r="H4049" s="112">
        <v>675</v>
      </c>
      <c r="I4049" s="112">
        <v>252</v>
      </c>
      <c r="J4049" s="112">
        <v>279</v>
      </c>
      <c r="K4049" s="112">
        <v>27</v>
      </c>
      <c r="L4049" s="112">
        <v>626</v>
      </c>
      <c r="M4049" s="112">
        <v>508</v>
      </c>
      <c r="N4049" s="141">
        <v>118</v>
      </c>
    </row>
    <row r="4050" spans="1:14" ht="17">
      <c r="A4050" s="109" t="s">
        <v>7639</v>
      </c>
      <c r="B4050" s="109" t="s">
        <v>7640</v>
      </c>
      <c r="C4050" s="111">
        <v>2012</v>
      </c>
      <c r="D4050" s="112">
        <v>1884</v>
      </c>
      <c r="E4050" s="112">
        <v>8187</v>
      </c>
      <c r="F4050" s="112">
        <v>1813</v>
      </c>
      <c r="G4050" s="112">
        <v>6345</v>
      </c>
      <c r="H4050" s="112">
        <v>715</v>
      </c>
      <c r="I4050" s="112">
        <v>230</v>
      </c>
      <c r="J4050" s="112">
        <v>256</v>
      </c>
      <c r="K4050" s="112">
        <v>26</v>
      </c>
      <c r="L4050" s="112">
        <v>657</v>
      </c>
      <c r="M4050" s="112">
        <v>685</v>
      </c>
      <c r="N4050" s="141">
        <v>-29</v>
      </c>
    </row>
    <row r="4051" spans="1:14" ht="17">
      <c r="A4051" s="109" t="s">
        <v>7639</v>
      </c>
      <c r="B4051" s="109" t="s">
        <v>7640</v>
      </c>
      <c r="C4051" s="113">
        <v>2013</v>
      </c>
      <c r="D4051" s="112">
        <v>1977</v>
      </c>
      <c r="E4051" s="112">
        <v>7430</v>
      </c>
      <c r="F4051" s="112">
        <v>1262</v>
      </c>
      <c r="G4051" s="112">
        <v>6037</v>
      </c>
      <c r="H4051" s="112">
        <v>750</v>
      </c>
      <c r="I4051" s="112">
        <v>178</v>
      </c>
      <c r="J4051" s="112">
        <v>243</v>
      </c>
      <c r="K4051" s="112">
        <v>65</v>
      </c>
      <c r="L4051" s="112">
        <v>586</v>
      </c>
      <c r="M4051" s="112">
        <v>717</v>
      </c>
      <c r="N4051" s="141">
        <v>-131</v>
      </c>
    </row>
    <row r="4052" spans="1:14" ht="17">
      <c r="A4052" s="109" t="s">
        <v>7639</v>
      </c>
      <c r="B4052" s="109" t="s">
        <v>7640</v>
      </c>
      <c r="C4052" s="113">
        <v>2014</v>
      </c>
      <c r="D4052" s="112">
        <v>1902</v>
      </c>
      <c r="E4052" s="112">
        <v>7507</v>
      </c>
      <c r="F4052" s="112">
        <v>1650</v>
      </c>
      <c r="G4052" s="112">
        <v>5799</v>
      </c>
      <c r="H4052" s="112">
        <v>677</v>
      </c>
      <c r="I4052" s="112">
        <v>372</v>
      </c>
      <c r="J4052" s="112">
        <v>394</v>
      </c>
      <c r="K4052" s="112">
        <v>22</v>
      </c>
      <c r="L4052" s="112">
        <v>631</v>
      </c>
      <c r="M4052" s="112">
        <v>691</v>
      </c>
      <c r="N4052" s="141">
        <v>-60</v>
      </c>
    </row>
    <row r="4053" spans="1:14" ht="17">
      <c r="A4053" s="109" t="s">
        <v>7639</v>
      </c>
      <c r="B4053" s="109" t="s">
        <v>7640</v>
      </c>
      <c r="C4053" s="113">
        <v>2015</v>
      </c>
      <c r="D4053" s="112">
        <v>1861</v>
      </c>
      <c r="E4053" s="112">
        <v>5980</v>
      </c>
      <c r="F4053" s="112">
        <v>1424</v>
      </c>
      <c r="G4053" s="112">
        <v>4533</v>
      </c>
      <c r="H4053" s="112">
        <v>665</v>
      </c>
      <c r="I4053" s="112">
        <v>154</v>
      </c>
      <c r="J4053" s="112">
        <v>220</v>
      </c>
      <c r="K4053" s="112">
        <v>66</v>
      </c>
      <c r="L4053" s="112">
        <v>419</v>
      </c>
      <c r="M4053" s="112">
        <v>547</v>
      </c>
      <c r="N4053" s="141">
        <v>-128</v>
      </c>
    </row>
    <row r="4054" spans="1:14" ht="17">
      <c r="A4054" s="109" t="s">
        <v>7639</v>
      </c>
      <c r="B4054" s="109" t="s">
        <v>7640</v>
      </c>
      <c r="C4054" s="113">
        <v>2016</v>
      </c>
      <c r="D4054" s="112">
        <v>1779</v>
      </c>
      <c r="E4054" s="112">
        <v>5929</v>
      </c>
      <c r="F4054" s="112">
        <v>1505</v>
      </c>
      <c r="G4054" s="112">
        <v>4477</v>
      </c>
      <c r="H4054" s="112">
        <v>637</v>
      </c>
      <c r="I4054" s="112">
        <v>272</v>
      </c>
      <c r="J4054" s="112">
        <v>321</v>
      </c>
      <c r="K4054" s="112">
        <v>49</v>
      </c>
      <c r="L4054" s="112">
        <v>424</v>
      </c>
      <c r="M4054" s="112">
        <v>384</v>
      </c>
      <c r="N4054" s="141">
        <v>40</v>
      </c>
    </row>
    <row r="4055" spans="1:14" ht="17">
      <c r="A4055" s="109" t="s">
        <v>7639</v>
      </c>
      <c r="B4055" s="109" t="s">
        <v>7640</v>
      </c>
      <c r="C4055" s="113">
        <v>2017</v>
      </c>
      <c r="D4055" s="112">
        <v>1718</v>
      </c>
      <c r="E4055" s="112">
        <v>7885</v>
      </c>
      <c r="F4055" s="112">
        <v>2271</v>
      </c>
      <c r="G4055" s="112">
        <v>5680</v>
      </c>
      <c r="H4055" s="112">
        <v>672</v>
      </c>
      <c r="I4055" s="112">
        <v>127</v>
      </c>
      <c r="J4055" s="112">
        <v>251</v>
      </c>
      <c r="K4055" s="112">
        <v>123</v>
      </c>
      <c r="L4055" s="112">
        <v>463</v>
      </c>
      <c r="M4055" s="112">
        <v>402</v>
      </c>
      <c r="N4055" s="141">
        <v>61</v>
      </c>
    </row>
    <row r="4056" spans="1:14" ht="17">
      <c r="A4056" s="109" t="s">
        <v>7639</v>
      </c>
      <c r="B4056" s="109" t="s">
        <v>7640</v>
      </c>
      <c r="C4056" s="113">
        <v>2018</v>
      </c>
      <c r="D4056" s="112">
        <v>1667</v>
      </c>
      <c r="E4056" s="112">
        <v>8008</v>
      </c>
      <c r="F4056" s="112">
        <v>1962</v>
      </c>
      <c r="G4056" s="112">
        <v>6056</v>
      </c>
      <c r="H4056" s="112">
        <v>766</v>
      </c>
      <c r="I4056" s="112">
        <v>219</v>
      </c>
      <c r="J4056" s="112">
        <v>236</v>
      </c>
      <c r="K4056" s="112">
        <v>18</v>
      </c>
      <c r="L4056" s="112">
        <v>433</v>
      </c>
      <c r="M4056" s="112">
        <v>428</v>
      </c>
      <c r="N4056" s="141">
        <v>5</v>
      </c>
    </row>
    <row r="4057" spans="1:14" ht="17">
      <c r="A4057" s="109" t="s">
        <v>7639</v>
      </c>
      <c r="B4057" s="109" t="s">
        <v>7640</v>
      </c>
      <c r="C4057" s="113">
        <v>2019</v>
      </c>
      <c r="D4057" s="112">
        <v>1662</v>
      </c>
      <c r="E4057" s="112">
        <v>7706.0773280000003</v>
      </c>
      <c r="F4057" s="112">
        <v>1614.6840810000001</v>
      </c>
      <c r="G4057" s="112">
        <v>6107.795255</v>
      </c>
      <c r="H4057" s="112">
        <v>858.44627600000001</v>
      </c>
      <c r="I4057" s="112">
        <v>300.119688</v>
      </c>
      <c r="J4057" s="112">
        <v>346.67289399999999</v>
      </c>
      <c r="K4057" s="112">
        <v>46.553204999999998</v>
      </c>
      <c r="L4057" s="112">
        <v>533.11577699999998</v>
      </c>
      <c r="M4057" s="112">
        <v>531.54055400000004</v>
      </c>
      <c r="N4057" s="141">
        <v>1.575224</v>
      </c>
    </row>
    <row r="4058" spans="1:14" ht="17">
      <c r="A4058" s="109" t="s">
        <v>7639</v>
      </c>
      <c r="B4058" s="109" t="s">
        <v>7640</v>
      </c>
      <c r="C4058" s="113">
        <v>2020</v>
      </c>
      <c r="D4058" s="112">
        <v>1680</v>
      </c>
      <c r="E4058" s="112">
        <v>6628.8204729999998</v>
      </c>
      <c r="F4058" s="112">
        <v>1618.36556</v>
      </c>
      <c r="G4058" s="112">
        <v>5015.291459</v>
      </c>
      <c r="H4058" s="112">
        <v>787.93638099999998</v>
      </c>
      <c r="I4058" s="112">
        <v>297.28946400000001</v>
      </c>
      <c r="J4058" s="112">
        <v>326.23552799999999</v>
      </c>
      <c r="K4058" s="112">
        <v>28.946064</v>
      </c>
      <c r="L4058" s="112">
        <v>365.80524300000002</v>
      </c>
      <c r="M4058" s="112">
        <v>396.81599699999998</v>
      </c>
      <c r="N4058" s="141">
        <v>-31.010753999999999</v>
      </c>
    </row>
    <row r="4059" spans="1:14" ht="17">
      <c r="A4059" s="109" t="s">
        <v>7641</v>
      </c>
      <c r="B4059" s="109" t="s">
        <v>7642</v>
      </c>
      <c r="C4059" s="111">
        <v>2008</v>
      </c>
      <c r="D4059" s="112">
        <v>10</v>
      </c>
      <c r="E4059" s="112">
        <v>1</v>
      </c>
      <c r="F4059" s="112" t="s">
        <v>6952</v>
      </c>
      <c r="G4059" s="112">
        <v>1</v>
      </c>
      <c r="H4059" s="112" t="s">
        <v>6952</v>
      </c>
      <c r="I4059" s="112" t="s">
        <v>6952</v>
      </c>
      <c r="J4059" s="112" t="s">
        <v>6952</v>
      </c>
      <c r="K4059" s="112">
        <v>0</v>
      </c>
      <c r="L4059" s="112" t="s">
        <v>6952</v>
      </c>
      <c r="M4059" s="112" t="s">
        <v>6952</v>
      </c>
      <c r="N4059" s="141" t="s">
        <v>6952</v>
      </c>
    </row>
    <row r="4060" spans="1:14" ht="17">
      <c r="A4060" s="109" t="s">
        <v>7641</v>
      </c>
      <c r="B4060" s="109" t="s">
        <v>7642</v>
      </c>
      <c r="C4060" s="111">
        <v>2009</v>
      </c>
      <c r="D4060" s="112" t="s">
        <v>6953</v>
      </c>
      <c r="E4060" s="112" t="s">
        <v>6953</v>
      </c>
      <c r="F4060" s="112" t="s">
        <v>6953</v>
      </c>
      <c r="G4060" s="112" t="s">
        <v>6953</v>
      </c>
      <c r="H4060" s="112" t="s">
        <v>6953</v>
      </c>
      <c r="I4060" s="112" t="s">
        <v>6953</v>
      </c>
      <c r="J4060" s="112" t="s">
        <v>6953</v>
      </c>
      <c r="K4060" s="112" t="s">
        <v>6953</v>
      </c>
      <c r="L4060" s="112" t="s">
        <v>6953</v>
      </c>
      <c r="M4060" s="112" t="s">
        <v>6953</v>
      </c>
      <c r="N4060" s="141" t="s">
        <v>6953</v>
      </c>
    </row>
    <row r="4061" spans="1:14" ht="17">
      <c r="A4061" s="109" t="s">
        <v>7641</v>
      </c>
      <c r="B4061" s="109" t="s">
        <v>7642</v>
      </c>
      <c r="C4061" s="111">
        <v>2010</v>
      </c>
      <c r="D4061" s="112">
        <v>31</v>
      </c>
      <c r="E4061" s="112">
        <v>25</v>
      </c>
      <c r="F4061" s="112">
        <v>7</v>
      </c>
      <c r="G4061" s="112">
        <v>18</v>
      </c>
      <c r="H4061" s="112">
        <v>2</v>
      </c>
      <c r="I4061" s="112">
        <v>2</v>
      </c>
      <c r="J4061" s="112">
        <v>2</v>
      </c>
      <c r="K4061" s="112" t="s">
        <v>6952</v>
      </c>
      <c r="L4061" s="112">
        <v>1</v>
      </c>
      <c r="M4061" s="112">
        <v>1</v>
      </c>
      <c r="N4061" s="141" t="s">
        <v>6952</v>
      </c>
    </row>
    <row r="4062" spans="1:14" ht="17">
      <c r="A4062" s="109" t="s">
        <v>7641</v>
      </c>
      <c r="B4062" s="109" t="s">
        <v>7642</v>
      </c>
      <c r="C4062" s="111">
        <v>2011</v>
      </c>
      <c r="D4062" s="112">
        <v>36</v>
      </c>
      <c r="E4062" s="112">
        <v>5</v>
      </c>
      <c r="F4062" s="112">
        <v>1</v>
      </c>
      <c r="G4062" s="112">
        <v>4</v>
      </c>
      <c r="H4062" s="112">
        <v>1</v>
      </c>
      <c r="I4062" s="112" t="s">
        <v>6952</v>
      </c>
      <c r="J4062" s="112" t="s">
        <v>6952</v>
      </c>
      <c r="K4062" s="112" t="s">
        <v>6952</v>
      </c>
      <c r="L4062" s="112" t="s">
        <v>6952</v>
      </c>
      <c r="M4062" s="112" t="s">
        <v>6952</v>
      </c>
      <c r="N4062" s="141" t="s">
        <v>6952</v>
      </c>
    </row>
    <row r="4063" spans="1:14" ht="17">
      <c r="A4063" s="109" t="s">
        <v>7641</v>
      </c>
      <c r="B4063" s="109" t="s">
        <v>7642</v>
      </c>
      <c r="C4063" s="111">
        <v>2012</v>
      </c>
      <c r="D4063" s="112">
        <v>50</v>
      </c>
      <c r="E4063" s="112">
        <v>5</v>
      </c>
      <c r="F4063" s="112">
        <v>3</v>
      </c>
      <c r="G4063" s="112">
        <v>2</v>
      </c>
      <c r="H4063" s="112">
        <v>1</v>
      </c>
      <c r="I4063" s="112" t="s">
        <v>6952</v>
      </c>
      <c r="J4063" s="112" t="s">
        <v>6952</v>
      </c>
      <c r="K4063" s="112" t="s">
        <v>6952</v>
      </c>
      <c r="L4063" s="112" t="s">
        <v>6952</v>
      </c>
      <c r="M4063" s="112" t="s">
        <v>6952</v>
      </c>
      <c r="N4063" s="141" t="s">
        <v>6952</v>
      </c>
    </row>
    <row r="4064" spans="1:14" ht="17">
      <c r="A4064" s="109" t="s">
        <v>7641</v>
      </c>
      <c r="B4064" s="109" t="s">
        <v>7642</v>
      </c>
      <c r="C4064" s="113">
        <v>2013</v>
      </c>
      <c r="D4064" s="112" t="s">
        <v>6953</v>
      </c>
      <c r="E4064" s="112" t="s">
        <v>6953</v>
      </c>
      <c r="F4064" s="112" t="s">
        <v>6953</v>
      </c>
      <c r="G4064" s="112" t="s">
        <v>6953</v>
      </c>
      <c r="H4064" s="112" t="s">
        <v>6953</v>
      </c>
      <c r="I4064" s="112" t="s">
        <v>6953</v>
      </c>
      <c r="J4064" s="112" t="s">
        <v>6953</v>
      </c>
      <c r="K4064" s="112" t="s">
        <v>6953</v>
      </c>
      <c r="L4064" s="112" t="s">
        <v>6953</v>
      </c>
      <c r="M4064" s="112" t="s">
        <v>6953</v>
      </c>
      <c r="N4064" s="141" t="s">
        <v>6953</v>
      </c>
    </row>
    <row r="4065" spans="1:14" ht="17">
      <c r="A4065" s="109" t="s">
        <v>7641</v>
      </c>
      <c r="B4065" s="109" t="s">
        <v>7642</v>
      </c>
      <c r="C4065" s="113">
        <v>2014</v>
      </c>
      <c r="D4065" s="112">
        <v>60</v>
      </c>
      <c r="E4065" s="112">
        <v>2</v>
      </c>
      <c r="F4065" s="112">
        <v>1</v>
      </c>
      <c r="G4065" s="112">
        <v>1</v>
      </c>
      <c r="H4065" s="112">
        <v>2</v>
      </c>
      <c r="I4065" s="112" t="s">
        <v>6952</v>
      </c>
      <c r="J4065" s="112" t="s">
        <v>6952</v>
      </c>
      <c r="K4065" s="112" t="s">
        <v>6952</v>
      </c>
      <c r="L4065" s="112" t="s">
        <v>6952</v>
      </c>
      <c r="M4065" s="112" t="s">
        <v>6952</v>
      </c>
      <c r="N4065" s="141" t="s">
        <v>6952</v>
      </c>
    </row>
    <row r="4066" spans="1:14" ht="17">
      <c r="A4066" s="109" t="s">
        <v>7641</v>
      </c>
      <c r="B4066" s="109" t="s">
        <v>7642</v>
      </c>
      <c r="C4066" s="113">
        <v>2015</v>
      </c>
      <c r="D4066" s="112">
        <v>63</v>
      </c>
      <c r="E4066" s="112">
        <v>28</v>
      </c>
      <c r="F4066" s="112">
        <v>8</v>
      </c>
      <c r="G4066" s="112">
        <v>21</v>
      </c>
      <c r="H4066" s="112">
        <v>3</v>
      </c>
      <c r="I4066" s="112" t="s">
        <v>6952</v>
      </c>
      <c r="J4066" s="112" t="s">
        <v>6952</v>
      </c>
      <c r="K4066" s="112" t="s">
        <v>6952</v>
      </c>
      <c r="L4066" s="112">
        <v>4</v>
      </c>
      <c r="M4066" s="112">
        <v>3</v>
      </c>
      <c r="N4066" s="141">
        <v>1</v>
      </c>
    </row>
    <row r="4067" spans="1:14" ht="17">
      <c r="A4067" s="109" t="s">
        <v>7641</v>
      </c>
      <c r="B4067" s="109" t="s">
        <v>7642</v>
      </c>
      <c r="C4067" s="113">
        <v>2016</v>
      </c>
      <c r="D4067" s="112">
        <v>61</v>
      </c>
      <c r="E4067" s="112">
        <v>54</v>
      </c>
      <c r="F4067" s="112">
        <v>21</v>
      </c>
      <c r="G4067" s="112">
        <v>33</v>
      </c>
      <c r="H4067" s="112">
        <v>6</v>
      </c>
      <c r="I4067" s="112" t="s">
        <v>6952</v>
      </c>
      <c r="J4067" s="112">
        <v>1</v>
      </c>
      <c r="K4067" s="112" t="s">
        <v>6952</v>
      </c>
      <c r="L4067" s="112" t="s">
        <v>6952</v>
      </c>
      <c r="M4067" s="112" t="s">
        <v>6952</v>
      </c>
      <c r="N4067" s="141" t="s">
        <v>6952</v>
      </c>
    </row>
    <row r="4068" spans="1:14" ht="17">
      <c r="A4068" s="109" t="s">
        <v>7641</v>
      </c>
      <c r="B4068" s="109" t="s">
        <v>7642</v>
      </c>
      <c r="C4068" s="113">
        <v>2017</v>
      </c>
      <c r="D4068" s="112">
        <v>59</v>
      </c>
      <c r="E4068" s="112">
        <v>5</v>
      </c>
      <c r="F4068" s="112">
        <v>2</v>
      </c>
      <c r="G4068" s="112">
        <v>4</v>
      </c>
      <c r="H4068" s="112">
        <v>2</v>
      </c>
      <c r="I4068" s="112" t="s">
        <v>6952</v>
      </c>
      <c r="J4068" s="112" t="s">
        <v>6952</v>
      </c>
      <c r="K4068" s="112" t="s">
        <v>6952</v>
      </c>
      <c r="L4068" s="112" t="s">
        <v>6952</v>
      </c>
      <c r="M4068" s="112" t="s">
        <v>6952</v>
      </c>
      <c r="N4068" s="141" t="s">
        <v>6952</v>
      </c>
    </row>
    <row r="4069" spans="1:14" ht="17">
      <c r="A4069" s="109" t="s">
        <v>7641</v>
      </c>
      <c r="B4069" s="109" t="s">
        <v>7642</v>
      </c>
      <c r="C4069" s="113">
        <v>2018</v>
      </c>
      <c r="D4069" s="112">
        <v>59</v>
      </c>
      <c r="E4069" s="112">
        <v>19</v>
      </c>
      <c r="F4069" s="112">
        <v>5</v>
      </c>
      <c r="G4069" s="112">
        <v>15</v>
      </c>
      <c r="H4069" s="112">
        <v>3</v>
      </c>
      <c r="I4069" s="112" t="s">
        <v>6952</v>
      </c>
      <c r="J4069" s="112">
        <v>1</v>
      </c>
      <c r="K4069" s="112" t="s">
        <v>6952</v>
      </c>
      <c r="L4069" s="112">
        <v>1</v>
      </c>
      <c r="M4069" s="112">
        <v>1</v>
      </c>
      <c r="N4069" s="141" t="s">
        <v>6952</v>
      </c>
    </row>
    <row r="4070" spans="1:14" ht="17">
      <c r="A4070" s="109" t="s">
        <v>7641</v>
      </c>
      <c r="B4070" s="109" t="s">
        <v>7642</v>
      </c>
      <c r="C4070" s="113">
        <v>2019</v>
      </c>
      <c r="D4070" s="112">
        <v>55</v>
      </c>
      <c r="E4070" s="112">
        <v>19.923012</v>
      </c>
      <c r="F4070" s="112">
        <v>3.4474170000000002</v>
      </c>
      <c r="G4070" s="112">
        <v>17.684056999999999</v>
      </c>
      <c r="H4070" s="112">
        <v>3.1978499999999999</v>
      </c>
      <c r="I4070" s="112">
        <v>0.79115199999999997</v>
      </c>
      <c r="J4070" s="112">
        <v>0.83104199999999995</v>
      </c>
      <c r="K4070" s="112" t="s">
        <v>6952</v>
      </c>
      <c r="L4070" s="112">
        <v>0.92923299999999998</v>
      </c>
      <c r="M4070" s="112" t="s">
        <v>6952</v>
      </c>
      <c r="N4070" s="141">
        <v>0.748193</v>
      </c>
    </row>
    <row r="4071" spans="1:14" ht="17">
      <c r="A4071" s="109" t="s">
        <v>7641</v>
      </c>
      <c r="B4071" s="109" t="s">
        <v>7642</v>
      </c>
      <c r="C4071" s="113">
        <v>2020</v>
      </c>
      <c r="D4071" s="112">
        <v>61</v>
      </c>
      <c r="E4071" s="112">
        <v>25.121963999999998</v>
      </c>
      <c r="F4071" s="112">
        <v>9.1487309999999997</v>
      </c>
      <c r="G4071" s="112">
        <v>15.652509999999999</v>
      </c>
      <c r="H4071" s="112">
        <v>5.2199119999999999</v>
      </c>
      <c r="I4071" s="112">
        <v>0.67798400000000003</v>
      </c>
      <c r="J4071" s="112">
        <v>0.68813400000000002</v>
      </c>
      <c r="K4071" s="112" t="s">
        <v>6952</v>
      </c>
      <c r="L4071" s="112">
        <v>0.78759900000000005</v>
      </c>
      <c r="M4071" s="112">
        <v>1.110352</v>
      </c>
      <c r="N4071" s="141" t="s">
        <v>6952</v>
      </c>
    </row>
    <row r="4072" spans="1:14" ht="17">
      <c r="A4072" s="109" t="s">
        <v>7643</v>
      </c>
      <c r="B4072" s="109" t="s">
        <v>7644</v>
      </c>
      <c r="C4072" s="111">
        <v>2008</v>
      </c>
      <c r="D4072" s="112">
        <v>2017</v>
      </c>
      <c r="E4072" s="112">
        <v>7274</v>
      </c>
      <c r="F4072" s="112">
        <v>1745</v>
      </c>
      <c r="G4072" s="112">
        <v>5650</v>
      </c>
      <c r="H4072" s="112">
        <v>614</v>
      </c>
      <c r="I4072" s="112">
        <v>330</v>
      </c>
      <c r="J4072" s="112">
        <v>367</v>
      </c>
      <c r="K4072" s="112">
        <v>36</v>
      </c>
      <c r="L4072" s="112">
        <v>417</v>
      </c>
      <c r="M4072" s="112">
        <v>289</v>
      </c>
      <c r="N4072" s="141">
        <v>128</v>
      </c>
    </row>
    <row r="4073" spans="1:14" ht="17">
      <c r="A4073" s="109" t="s">
        <v>7643</v>
      </c>
      <c r="B4073" s="109" t="s">
        <v>7644</v>
      </c>
      <c r="C4073" s="111">
        <v>2009</v>
      </c>
      <c r="D4073" s="112" t="s">
        <v>6953</v>
      </c>
      <c r="E4073" s="112" t="s">
        <v>6953</v>
      </c>
      <c r="F4073" s="112" t="s">
        <v>6953</v>
      </c>
      <c r="G4073" s="112" t="s">
        <v>6953</v>
      </c>
      <c r="H4073" s="112" t="s">
        <v>6953</v>
      </c>
      <c r="I4073" s="112" t="s">
        <v>6953</v>
      </c>
      <c r="J4073" s="112" t="s">
        <v>6953</v>
      </c>
      <c r="K4073" s="112" t="s">
        <v>6953</v>
      </c>
      <c r="L4073" s="112" t="s">
        <v>6953</v>
      </c>
      <c r="M4073" s="112" t="s">
        <v>6953</v>
      </c>
      <c r="N4073" s="141" t="s">
        <v>6953</v>
      </c>
    </row>
    <row r="4074" spans="1:14" ht="17">
      <c r="A4074" s="109" t="s">
        <v>7643</v>
      </c>
      <c r="B4074" s="109" t="s">
        <v>7644</v>
      </c>
      <c r="C4074" s="111">
        <v>2010</v>
      </c>
      <c r="D4074" s="112">
        <v>1806</v>
      </c>
      <c r="E4074" s="112">
        <v>7609</v>
      </c>
      <c r="F4074" s="112">
        <v>1877</v>
      </c>
      <c r="G4074" s="112">
        <v>5889</v>
      </c>
      <c r="H4074" s="112">
        <v>649</v>
      </c>
      <c r="I4074" s="112">
        <v>279</v>
      </c>
      <c r="J4074" s="112">
        <v>377</v>
      </c>
      <c r="K4074" s="112">
        <v>99</v>
      </c>
      <c r="L4074" s="112">
        <v>697</v>
      </c>
      <c r="M4074" s="112">
        <v>545</v>
      </c>
      <c r="N4074" s="141">
        <v>152</v>
      </c>
    </row>
    <row r="4075" spans="1:14" ht="17">
      <c r="A4075" s="109" t="s">
        <v>7643</v>
      </c>
      <c r="B4075" s="109" t="s">
        <v>7644</v>
      </c>
      <c r="C4075" s="111">
        <v>2011</v>
      </c>
      <c r="D4075" s="112">
        <v>1915</v>
      </c>
      <c r="E4075" s="112">
        <v>8859</v>
      </c>
      <c r="F4075" s="112">
        <v>1986</v>
      </c>
      <c r="G4075" s="112">
        <v>6976</v>
      </c>
      <c r="H4075" s="112">
        <v>675</v>
      </c>
      <c r="I4075" s="112">
        <v>252</v>
      </c>
      <c r="J4075" s="112">
        <v>279</v>
      </c>
      <c r="K4075" s="112">
        <v>27</v>
      </c>
      <c r="L4075" s="112">
        <v>626</v>
      </c>
      <c r="M4075" s="112">
        <v>508</v>
      </c>
      <c r="N4075" s="141">
        <v>118</v>
      </c>
    </row>
    <row r="4076" spans="1:14" ht="17">
      <c r="A4076" s="109" t="s">
        <v>7643</v>
      </c>
      <c r="B4076" s="109" t="s">
        <v>7644</v>
      </c>
      <c r="C4076" s="111">
        <v>2012</v>
      </c>
      <c r="D4076" s="112">
        <v>1834</v>
      </c>
      <c r="E4076" s="112">
        <v>8182</v>
      </c>
      <c r="F4076" s="112">
        <v>1811</v>
      </c>
      <c r="G4076" s="112">
        <v>6343</v>
      </c>
      <c r="H4076" s="112">
        <v>714</v>
      </c>
      <c r="I4076" s="112">
        <v>230</v>
      </c>
      <c r="J4076" s="112">
        <v>256</v>
      </c>
      <c r="K4076" s="112">
        <v>26</v>
      </c>
      <c r="L4076" s="112">
        <v>657</v>
      </c>
      <c r="M4076" s="112">
        <v>685</v>
      </c>
      <c r="N4076" s="141">
        <v>-29</v>
      </c>
    </row>
    <row r="4077" spans="1:14" ht="17">
      <c r="A4077" s="109" t="s">
        <v>7643</v>
      </c>
      <c r="B4077" s="109" t="s">
        <v>7644</v>
      </c>
      <c r="C4077" s="113">
        <v>2013</v>
      </c>
      <c r="D4077" s="112" t="s">
        <v>6953</v>
      </c>
      <c r="E4077" s="112" t="s">
        <v>6953</v>
      </c>
      <c r="F4077" s="112" t="s">
        <v>6953</v>
      </c>
      <c r="G4077" s="112" t="s">
        <v>6953</v>
      </c>
      <c r="H4077" s="112" t="s">
        <v>6953</v>
      </c>
      <c r="I4077" s="112" t="s">
        <v>6953</v>
      </c>
      <c r="J4077" s="112" t="s">
        <v>6953</v>
      </c>
      <c r="K4077" s="112" t="s">
        <v>6953</v>
      </c>
      <c r="L4077" s="112" t="s">
        <v>6953</v>
      </c>
      <c r="M4077" s="112" t="s">
        <v>6953</v>
      </c>
      <c r="N4077" s="141" t="s">
        <v>6953</v>
      </c>
    </row>
    <row r="4078" spans="1:14" ht="17">
      <c r="A4078" s="109" t="s">
        <v>7643</v>
      </c>
      <c r="B4078" s="109" t="s">
        <v>7644</v>
      </c>
      <c r="C4078" s="113">
        <v>2014</v>
      </c>
      <c r="D4078" s="112">
        <v>1842</v>
      </c>
      <c r="E4078" s="112">
        <v>7505</v>
      </c>
      <c r="F4078" s="112">
        <v>1649</v>
      </c>
      <c r="G4078" s="112">
        <v>5798</v>
      </c>
      <c r="H4078" s="112">
        <v>676</v>
      </c>
      <c r="I4078" s="112">
        <v>372</v>
      </c>
      <c r="J4078" s="112">
        <v>394</v>
      </c>
      <c r="K4078" s="112">
        <v>22</v>
      </c>
      <c r="L4078" s="112">
        <v>631</v>
      </c>
      <c r="M4078" s="112">
        <v>691</v>
      </c>
      <c r="N4078" s="141">
        <v>-60</v>
      </c>
    </row>
    <row r="4079" spans="1:14" ht="17">
      <c r="A4079" s="109" t="s">
        <v>7643</v>
      </c>
      <c r="B4079" s="109" t="s">
        <v>7644</v>
      </c>
      <c r="C4079" s="113">
        <v>2015</v>
      </c>
      <c r="D4079" s="112">
        <v>1798</v>
      </c>
      <c r="E4079" s="112">
        <v>5952</v>
      </c>
      <c r="F4079" s="112">
        <v>1416</v>
      </c>
      <c r="G4079" s="112">
        <v>4512</v>
      </c>
      <c r="H4079" s="112">
        <v>662</v>
      </c>
      <c r="I4079" s="112">
        <v>154</v>
      </c>
      <c r="J4079" s="112">
        <v>219</v>
      </c>
      <c r="K4079" s="112">
        <v>66</v>
      </c>
      <c r="L4079" s="112">
        <v>415</v>
      </c>
      <c r="M4079" s="112">
        <v>544</v>
      </c>
      <c r="N4079" s="141">
        <v>-129</v>
      </c>
    </row>
    <row r="4080" spans="1:14" ht="17">
      <c r="A4080" s="109" t="s">
        <v>7643</v>
      </c>
      <c r="B4080" s="109" t="s">
        <v>7644</v>
      </c>
      <c r="C4080" s="113">
        <v>2016</v>
      </c>
      <c r="D4080" s="112">
        <v>1718</v>
      </c>
      <c r="E4080" s="112">
        <v>5875</v>
      </c>
      <c r="F4080" s="112">
        <v>1484</v>
      </c>
      <c r="G4080" s="112">
        <v>4443</v>
      </c>
      <c r="H4080" s="112">
        <v>631</v>
      </c>
      <c r="I4080" s="112">
        <v>272</v>
      </c>
      <c r="J4080" s="112">
        <v>320</v>
      </c>
      <c r="K4080" s="112">
        <v>49</v>
      </c>
      <c r="L4080" s="112">
        <v>423</v>
      </c>
      <c r="M4080" s="112">
        <v>383</v>
      </c>
      <c r="N4080" s="141">
        <v>40</v>
      </c>
    </row>
    <row r="4081" spans="1:14" ht="17">
      <c r="A4081" s="109" t="s">
        <v>7643</v>
      </c>
      <c r="B4081" s="109" t="s">
        <v>7644</v>
      </c>
      <c r="C4081" s="113">
        <v>2017</v>
      </c>
      <c r="D4081" s="112">
        <v>1659</v>
      </c>
      <c r="E4081" s="112">
        <v>7879</v>
      </c>
      <c r="F4081" s="112">
        <v>2269</v>
      </c>
      <c r="G4081" s="112">
        <v>5676</v>
      </c>
      <c r="H4081" s="112">
        <v>670</v>
      </c>
      <c r="I4081" s="112">
        <v>127</v>
      </c>
      <c r="J4081" s="112">
        <v>250</v>
      </c>
      <c r="K4081" s="112">
        <v>123</v>
      </c>
      <c r="L4081" s="112">
        <v>463</v>
      </c>
      <c r="M4081" s="112">
        <v>402</v>
      </c>
      <c r="N4081" s="141">
        <v>60</v>
      </c>
    </row>
    <row r="4082" spans="1:14" ht="17">
      <c r="A4082" s="109" t="s">
        <v>7643</v>
      </c>
      <c r="B4082" s="109" t="s">
        <v>7644</v>
      </c>
      <c r="C4082" s="113">
        <v>2018</v>
      </c>
      <c r="D4082" s="112">
        <v>1608</v>
      </c>
      <c r="E4082" s="112">
        <v>7989</v>
      </c>
      <c r="F4082" s="112">
        <v>1957</v>
      </c>
      <c r="G4082" s="112">
        <v>6041</v>
      </c>
      <c r="H4082" s="112">
        <v>763</v>
      </c>
      <c r="I4082" s="112">
        <v>218</v>
      </c>
      <c r="J4082" s="112">
        <v>236</v>
      </c>
      <c r="K4082" s="112">
        <v>17</v>
      </c>
      <c r="L4082" s="112">
        <v>432</v>
      </c>
      <c r="M4082" s="112">
        <v>428</v>
      </c>
      <c r="N4082" s="141">
        <v>4</v>
      </c>
    </row>
    <row r="4083" spans="1:14" ht="17">
      <c r="A4083" s="109" t="s">
        <v>7643</v>
      </c>
      <c r="B4083" s="109" t="s">
        <v>7644</v>
      </c>
      <c r="C4083" s="113">
        <v>2019</v>
      </c>
      <c r="D4083" s="112">
        <v>1607</v>
      </c>
      <c r="E4083" s="112">
        <v>7686.1543170000004</v>
      </c>
      <c r="F4083" s="112">
        <v>1611.236664</v>
      </c>
      <c r="G4083" s="112">
        <v>6090.1111979999996</v>
      </c>
      <c r="H4083" s="112">
        <v>855.24842699999999</v>
      </c>
      <c r="I4083" s="112">
        <v>299.32853699999998</v>
      </c>
      <c r="J4083" s="112">
        <v>345.84185200000002</v>
      </c>
      <c r="K4083" s="112">
        <v>46.513314999999999</v>
      </c>
      <c r="L4083" s="112">
        <v>532.18654500000002</v>
      </c>
      <c r="M4083" s="112">
        <v>531.35951399999999</v>
      </c>
      <c r="N4083" s="141">
        <v>0.82703000000000004</v>
      </c>
    </row>
    <row r="4084" spans="1:14" ht="17">
      <c r="A4084" s="109" t="s">
        <v>7643</v>
      </c>
      <c r="B4084" s="109" t="s">
        <v>7644</v>
      </c>
      <c r="C4084" s="113">
        <v>2020</v>
      </c>
      <c r="D4084" s="112">
        <v>1619</v>
      </c>
      <c r="E4084" s="112">
        <v>6603.6985089999998</v>
      </c>
      <c r="F4084" s="112">
        <v>1609.216829</v>
      </c>
      <c r="G4084" s="112">
        <v>4999.6389490000001</v>
      </c>
      <c r="H4084" s="112">
        <v>782.71646999999996</v>
      </c>
      <c r="I4084" s="112">
        <v>296.61147999999997</v>
      </c>
      <c r="J4084" s="112">
        <v>325.547394</v>
      </c>
      <c r="K4084" s="112">
        <v>28.935915000000001</v>
      </c>
      <c r="L4084" s="112">
        <v>365.01764400000002</v>
      </c>
      <c r="M4084" s="112">
        <v>395.705645</v>
      </c>
      <c r="N4084" s="141">
        <v>-30.688001</v>
      </c>
    </row>
    <row r="4085" spans="1:14" ht="34">
      <c r="A4085" s="109" t="s">
        <v>7645</v>
      </c>
      <c r="B4085" s="109" t="s">
        <v>7646</v>
      </c>
      <c r="C4085" s="111">
        <v>2008</v>
      </c>
      <c r="D4085" s="112">
        <v>132</v>
      </c>
      <c r="E4085" s="112">
        <v>108</v>
      </c>
      <c r="F4085" s="112">
        <v>56</v>
      </c>
      <c r="G4085" s="112">
        <v>52</v>
      </c>
      <c r="H4085" s="112">
        <v>30</v>
      </c>
      <c r="I4085" s="112">
        <v>7</v>
      </c>
      <c r="J4085" s="112">
        <v>9</v>
      </c>
      <c r="K4085" s="112">
        <v>2</v>
      </c>
      <c r="L4085" s="112">
        <v>3</v>
      </c>
      <c r="M4085" s="112">
        <v>4</v>
      </c>
      <c r="N4085" s="141">
        <v>-1</v>
      </c>
    </row>
    <row r="4086" spans="1:14" ht="34">
      <c r="A4086" s="109" t="s">
        <v>7645</v>
      </c>
      <c r="B4086" s="109" t="s">
        <v>7646</v>
      </c>
      <c r="C4086" s="111">
        <v>2009</v>
      </c>
      <c r="D4086" s="112">
        <v>245</v>
      </c>
      <c r="E4086" s="112">
        <v>99</v>
      </c>
      <c r="F4086" s="112">
        <v>57</v>
      </c>
      <c r="G4086" s="112">
        <v>49</v>
      </c>
      <c r="H4086" s="112">
        <v>47</v>
      </c>
      <c r="I4086" s="112">
        <v>17</v>
      </c>
      <c r="J4086" s="112">
        <v>18</v>
      </c>
      <c r="K4086" s="112">
        <v>2</v>
      </c>
      <c r="L4086" s="112">
        <v>5</v>
      </c>
      <c r="M4086" s="112">
        <v>2</v>
      </c>
      <c r="N4086" s="141">
        <v>3</v>
      </c>
    </row>
    <row r="4087" spans="1:14" ht="34">
      <c r="A4087" s="109" t="s">
        <v>7645</v>
      </c>
      <c r="B4087" s="109" t="s">
        <v>7646</v>
      </c>
      <c r="C4087" s="111">
        <v>2010</v>
      </c>
      <c r="D4087" s="112">
        <v>347</v>
      </c>
      <c r="E4087" s="112">
        <v>189</v>
      </c>
      <c r="F4087" s="112">
        <v>97</v>
      </c>
      <c r="G4087" s="112">
        <v>90</v>
      </c>
      <c r="H4087" s="112">
        <v>34</v>
      </c>
      <c r="I4087" s="112">
        <v>10</v>
      </c>
      <c r="J4087" s="112">
        <v>12</v>
      </c>
      <c r="K4087" s="112">
        <v>1</v>
      </c>
      <c r="L4087" s="112">
        <v>3</v>
      </c>
      <c r="M4087" s="112">
        <v>5</v>
      </c>
      <c r="N4087" s="141">
        <v>-2</v>
      </c>
    </row>
    <row r="4088" spans="1:14" ht="34">
      <c r="A4088" s="109" t="s">
        <v>7645</v>
      </c>
      <c r="B4088" s="109" t="s">
        <v>7646</v>
      </c>
      <c r="C4088" s="111">
        <v>2011</v>
      </c>
      <c r="D4088" s="112">
        <v>459</v>
      </c>
      <c r="E4088" s="112">
        <v>148</v>
      </c>
      <c r="F4088" s="112">
        <v>96</v>
      </c>
      <c r="G4088" s="112">
        <v>55</v>
      </c>
      <c r="H4088" s="112">
        <v>68</v>
      </c>
      <c r="I4088" s="112">
        <v>30</v>
      </c>
      <c r="J4088" s="112">
        <v>30</v>
      </c>
      <c r="K4088" s="112" t="s">
        <v>6952</v>
      </c>
      <c r="L4088" s="112">
        <v>4</v>
      </c>
      <c r="M4088" s="112">
        <v>1</v>
      </c>
      <c r="N4088" s="141">
        <v>3</v>
      </c>
    </row>
    <row r="4089" spans="1:14" ht="34">
      <c r="A4089" s="109" t="s">
        <v>7645</v>
      </c>
      <c r="B4089" s="109" t="s">
        <v>7646</v>
      </c>
      <c r="C4089" s="111">
        <v>2012</v>
      </c>
      <c r="D4089" s="112">
        <v>603</v>
      </c>
      <c r="E4089" s="112">
        <v>311</v>
      </c>
      <c r="F4089" s="112">
        <v>199</v>
      </c>
      <c r="G4089" s="112">
        <v>123</v>
      </c>
      <c r="H4089" s="112">
        <v>67</v>
      </c>
      <c r="I4089" s="112">
        <v>11</v>
      </c>
      <c r="J4089" s="112">
        <v>13</v>
      </c>
      <c r="K4089" s="112">
        <v>2</v>
      </c>
      <c r="L4089" s="112">
        <v>18</v>
      </c>
      <c r="M4089" s="112">
        <v>7</v>
      </c>
      <c r="N4089" s="141">
        <v>11</v>
      </c>
    </row>
    <row r="4090" spans="1:14" ht="34">
      <c r="A4090" s="109" t="s">
        <v>7645</v>
      </c>
      <c r="B4090" s="109" t="s">
        <v>7646</v>
      </c>
      <c r="C4090" s="113">
        <v>2013</v>
      </c>
      <c r="D4090" s="112">
        <v>696</v>
      </c>
      <c r="E4090" s="112">
        <v>372</v>
      </c>
      <c r="F4090" s="112">
        <v>173</v>
      </c>
      <c r="G4090" s="112">
        <v>204</v>
      </c>
      <c r="H4090" s="112">
        <v>63</v>
      </c>
      <c r="I4090" s="112">
        <v>7</v>
      </c>
      <c r="J4090" s="112">
        <v>8</v>
      </c>
      <c r="K4090" s="112">
        <v>1</v>
      </c>
      <c r="L4090" s="112">
        <v>14</v>
      </c>
      <c r="M4090" s="112">
        <v>9</v>
      </c>
      <c r="N4090" s="141">
        <v>5</v>
      </c>
    </row>
    <row r="4091" spans="1:14" ht="34">
      <c r="A4091" s="109" t="s">
        <v>7645</v>
      </c>
      <c r="B4091" s="109" t="s">
        <v>7646</v>
      </c>
      <c r="C4091" s="113">
        <v>2014</v>
      </c>
      <c r="D4091" s="112">
        <v>768</v>
      </c>
      <c r="E4091" s="112">
        <v>639</v>
      </c>
      <c r="F4091" s="112">
        <v>401</v>
      </c>
      <c r="G4091" s="112">
        <v>243</v>
      </c>
      <c r="H4091" s="112">
        <v>113</v>
      </c>
      <c r="I4091" s="112">
        <v>51</v>
      </c>
      <c r="J4091" s="112">
        <v>52</v>
      </c>
      <c r="K4091" s="112">
        <v>2</v>
      </c>
      <c r="L4091" s="112">
        <v>27</v>
      </c>
      <c r="M4091" s="112">
        <v>22</v>
      </c>
      <c r="N4091" s="141">
        <v>5</v>
      </c>
    </row>
    <row r="4092" spans="1:14" ht="34">
      <c r="A4092" s="109" t="s">
        <v>7645</v>
      </c>
      <c r="B4092" s="109" t="s">
        <v>7646</v>
      </c>
      <c r="C4092" s="113">
        <v>2015</v>
      </c>
      <c r="D4092" s="112">
        <v>794</v>
      </c>
      <c r="E4092" s="112">
        <v>624</v>
      </c>
      <c r="F4092" s="112">
        <v>478</v>
      </c>
      <c r="G4092" s="112">
        <v>155</v>
      </c>
      <c r="H4092" s="112">
        <v>109</v>
      </c>
      <c r="I4092" s="112">
        <v>14</v>
      </c>
      <c r="J4092" s="112">
        <v>16</v>
      </c>
      <c r="K4092" s="112">
        <v>2</v>
      </c>
      <c r="L4092" s="112">
        <v>19</v>
      </c>
      <c r="M4092" s="112">
        <v>10</v>
      </c>
      <c r="N4092" s="141">
        <v>9</v>
      </c>
    </row>
    <row r="4093" spans="1:14" ht="34">
      <c r="A4093" s="109" t="s">
        <v>7645</v>
      </c>
      <c r="B4093" s="109" t="s">
        <v>7646</v>
      </c>
      <c r="C4093" s="113">
        <v>2016</v>
      </c>
      <c r="D4093" s="112">
        <v>897</v>
      </c>
      <c r="E4093" s="112">
        <v>995</v>
      </c>
      <c r="F4093" s="112">
        <v>516</v>
      </c>
      <c r="G4093" s="112">
        <v>486</v>
      </c>
      <c r="H4093" s="112">
        <v>195</v>
      </c>
      <c r="I4093" s="112">
        <v>36</v>
      </c>
      <c r="J4093" s="112">
        <v>39</v>
      </c>
      <c r="K4093" s="112">
        <v>3</v>
      </c>
      <c r="L4093" s="112">
        <v>25</v>
      </c>
      <c r="M4093" s="112">
        <v>19</v>
      </c>
      <c r="N4093" s="141">
        <v>6</v>
      </c>
    </row>
    <row r="4094" spans="1:14" ht="34">
      <c r="A4094" s="109" t="s">
        <v>7645</v>
      </c>
      <c r="B4094" s="109" t="s">
        <v>7646</v>
      </c>
      <c r="C4094" s="113">
        <v>2017</v>
      </c>
      <c r="D4094" s="112">
        <v>962</v>
      </c>
      <c r="E4094" s="112">
        <v>984</v>
      </c>
      <c r="F4094" s="112">
        <v>391</v>
      </c>
      <c r="G4094" s="112">
        <v>590</v>
      </c>
      <c r="H4094" s="112">
        <v>222</v>
      </c>
      <c r="I4094" s="112">
        <v>30</v>
      </c>
      <c r="J4094" s="112">
        <v>32</v>
      </c>
      <c r="K4094" s="112">
        <v>2</v>
      </c>
      <c r="L4094" s="112">
        <v>12</v>
      </c>
      <c r="M4094" s="112">
        <v>16</v>
      </c>
      <c r="N4094" s="141">
        <v>-4</v>
      </c>
    </row>
    <row r="4095" spans="1:14" ht="34">
      <c r="A4095" s="109" t="s">
        <v>7645</v>
      </c>
      <c r="B4095" s="109" t="s">
        <v>7646</v>
      </c>
      <c r="C4095" s="113">
        <v>2018</v>
      </c>
      <c r="D4095" s="112">
        <v>1001</v>
      </c>
      <c r="E4095" s="112">
        <v>1004</v>
      </c>
      <c r="F4095" s="112">
        <v>500</v>
      </c>
      <c r="G4095" s="112">
        <v>504</v>
      </c>
      <c r="H4095" s="112">
        <v>200</v>
      </c>
      <c r="I4095" s="112">
        <v>79</v>
      </c>
      <c r="J4095" s="112">
        <v>81</v>
      </c>
      <c r="K4095" s="112">
        <v>2</v>
      </c>
      <c r="L4095" s="112">
        <v>20</v>
      </c>
      <c r="M4095" s="112">
        <v>18</v>
      </c>
      <c r="N4095" s="141">
        <v>2</v>
      </c>
    </row>
    <row r="4096" spans="1:14" ht="34">
      <c r="A4096" s="109" t="s">
        <v>7645</v>
      </c>
      <c r="B4096" s="109" t="s">
        <v>7646</v>
      </c>
      <c r="C4096" s="113">
        <v>2019</v>
      </c>
      <c r="D4096" s="112">
        <v>1049</v>
      </c>
      <c r="E4096" s="112">
        <v>1148.041221</v>
      </c>
      <c r="F4096" s="112">
        <v>587.37251800000001</v>
      </c>
      <c r="G4096" s="112">
        <v>558.92054900000005</v>
      </c>
      <c r="H4096" s="112">
        <v>280.12363399999998</v>
      </c>
      <c r="I4096" s="112">
        <v>49.353240999999997</v>
      </c>
      <c r="J4096" s="112">
        <v>65.743223999999998</v>
      </c>
      <c r="K4096" s="112">
        <v>16.389983000000001</v>
      </c>
      <c r="L4096" s="112">
        <v>16.237386999999998</v>
      </c>
      <c r="M4096" s="112">
        <v>18.591075</v>
      </c>
      <c r="N4096" s="141">
        <v>-2.353688</v>
      </c>
    </row>
    <row r="4097" spans="1:14" ht="34">
      <c r="A4097" s="109" t="s">
        <v>7645</v>
      </c>
      <c r="B4097" s="109" t="s">
        <v>7646</v>
      </c>
      <c r="C4097" s="113">
        <v>2020</v>
      </c>
      <c r="D4097" s="112">
        <v>1154</v>
      </c>
      <c r="E4097" s="112">
        <v>1078.7371989999999</v>
      </c>
      <c r="F4097" s="112">
        <v>616.86951699999997</v>
      </c>
      <c r="G4097" s="112">
        <v>481.15047700000002</v>
      </c>
      <c r="H4097" s="112">
        <v>274.388488</v>
      </c>
      <c r="I4097" s="112">
        <v>28.596195000000002</v>
      </c>
      <c r="J4097" s="112">
        <v>30.916018000000001</v>
      </c>
      <c r="K4097" s="112">
        <v>2.319823</v>
      </c>
      <c r="L4097" s="112">
        <v>47.974986000000001</v>
      </c>
      <c r="M4097" s="112">
        <v>44.873157999999997</v>
      </c>
      <c r="N4097" s="141">
        <v>3.1018279999999998</v>
      </c>
    </row>
  </sheetData>
  <pageMargins left="0.7" right="0.7" top="0.75" bottom="0.75" header="0.3" footer="0.3"/>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EC243-299E-C94B-B44C-021FFD234DAE}">
  <dimension ref="A1:X495"/>
  <sheetViews>
    <sheetView zoomScale="80" zoomScaleNormal="80" workbookViewId="0">
      <selection activeCell="H6" sqref="H6"/>
    </sheetView>
  </sheetViews>
  <sheetFormatPr baseColWidth="10" defaultRowHeight="16"/>
  <cols>
    <col min="2" max="2" width="46.5" customWidth="1"/>
    <col min="5" max="5" width="17.6640625" customWidth="1"/>
    <col min="9" max="9" width="33.1640625" customWidth="1"/>
    <col min="10" max="10" width="42.5" customWidth="1"/>
    <col min="11" max="11" width="39.33203125" customWidth="1"/>
  </cols>
  <sheetData>
    <row r="1" spans="1:24" ht="170">
      <c r="A1" s="148" t="s">
        <v>6932</v>
      </c>
      <c r="B1" s="148" t="s">
        <v>6933</v>
      </c>
      <c r="C1" s="149" t="s">
        <v>175</v>
      </c>
      <c r="D1" s="150" t="s">
        <v>6934</v>
      </c>
      <c r="E1" s="150" t="s">
        <v>6935</v>
      </c>
      <c r="F1" s="150" t="s">
        <v>6936</v>
      </c>
      <c r="G1" s="150" t="s">
        <v>6937</v>
      </c>
      <c r="H1" s="150" t="s">
        <v>6938</v>
      </c>
      <c r="I1" s="150" t="s">
        <v>7570</v>
      </c>
      <c r="J1" s="150" t="s">
        <v>7571</v>
      </c>
      <c r="K1" s="150" t="s">
        <v>7624</v>
      </c>
      <c r="L1" s="150" t="s">
        <v>6939</v>
      </c>
      <c r="M1" s="150" t="s">
        <v>6940</v>
      </c>
      <c r="N1" s="151" t="s">
        <v>6941</v>
      </c>
    </row>
    <row r="2" spans="1:24" s="100" customFormat="1" ht="17">
      <c r="A2" s="109" t="s">
        <v>7572</v>
      </c>
      <c r="B2" s="109" t="s">
        <v>7573</v>
      </c>
      <c r="C2" s="109">
        <v>2008</v>
      </c>
      <c r="D2" s="127">
        <v>4054</v>
      </c>
      <c r="E2" s="127">
        <v>1899</v>
      </c>
      <c r="F2" s="127">
        <v>702</v>
      </c>
      <c r="G2" s="127">
        <v>1239</v>
      </c>
      <c r="H2" s="127">
        <v>347</v>
      </c>
      <c r="I2" s="127">
        <v>19</v>
      </c>
      <c r="J2" s="127">
        <v>39</v>
      </c>
      <c r="K2" s="127">
        <v>20</v>
      </c>
      <c r="L2" s="127">
        <v>568</v>
      </c>
      <c r="M2" s="127">
        <v>526</v>
      </c>
      <c r="N2" s="128">
        <v>42</v>
      </c>
      <c r="O2" s="112"/>
      <c r="P2" s="112"/>
      <c r="Q2" s="112"/>
      <c r="R2" s="112"/>
      <c r="S2" s="112"/>
      <c r="T2" s="112"/>
      <c r="U2" s="112"/>
      <c r="V2" s="112"/>
      <c r="W2" s="112"/>
      <c r="X2" s="112"/>
    </row>
    <row r="3" spans="1:24" s="100" customFormat="1" ht="17">
      <c r="A3" s="109" t="s">
        <v>7572</v>
      </c>
      <c r="B3" s="109" t="s">
        <v>7573</v>
      </c>
      <c r="C3" s="109">
        <v>2009</v>
      </c>
      <c r="D3" s="127">
        <v>3907</v>
      </c>
      <c r="E3" s="127">
        <v>1868</v>
      </c>
      <c r="F3" s="127">
        <v>718</v>
      </c>
      <c r="G3" s="127">
        <v>1067</v>
      </c>
      <c r="H3" s="127">
        <v>338</v>
      </c>
      <c r="I3" s="127">
        <v>39</v>
      </c>
      <c r="J3" s="127">
        <v>41</v>
      </c>
      <c r="K3" s="127">
        <v>2</v>
      </c>
      <c r="L3" s="127">
        <v>475</v>
      </c>
      <c r="M3" s="127">
        <v>559</v>
      </c>
      <c r="N3" s="128">
        <v>-84</v>
      </c>
      <c r="O3" s="112"/>
      <c r="P3" s="112"/>
      <c r="Q3" s="112"/>
      <c r="R3" s="112"/>
      <c r="S3" s="112"/>
      <c r="T3" s="112"/>
      <c r="U3" s="112"/>
      <c r="V3" s="112"/>
      <c r="W3" s="112"/>
      <c r="X3" s="112"/>
    </row>
    <row r="4" spans="1:24" s="100" customFormat="1" ht="17">
      <c r="A4" s="109" t="s">
        <v>7572</v>
      </c>
      <c r="B4" s="109" t="s">
        <v>7573</v>
      </c>
      <c r="C4" s="109">
        <v>2010</v>
      </c>
      <c r="D4" s="127">
        <v>3862</v>
      </c>
      <c r="E4" s="127">
        <v>1865</v>
      </c>
      <c r="F4" s="127">
        <v>715</v>
      </c>
      <c r="G4" s="127">
        <v>1158</v>
      </c>
      <c r="H4" s="127">
        <v>373</v>
      </c>
      <c r="I4" s="127">
        <v>29</v>
      </c>
      <c r="J4" s="127">
        <v>32</v>
      </c>
      <c r="K4" s="127">
        <v>4</v>
      </c>
      <c r="L4" s="127">
        <v>322</v>
      </c>
      <c r="M4" s="127">
        <v>315</v>
      </c>
      <c r="N4" s="128">
        <v>7</v>
      </c>
      <c r="O4" s="112"/>
      <c r="P4" s="112"/>
      <c r="Q4" s="112"/>
      <c r="R4" s="112"/>
      <c r="S4" s="112"/>
      <c r="T4" s="112"/>
      <c r="U4" s="112"/>
      <c r="V4" s="112"/>
      <c r="W4" s="112"/>
      <c r="X4" s="112"/>
    </row>
    <row r="5" spans="1:24" s="100" customFormat="1" ht="17">
      <c r="A5" s="109" t="s">
        <v>7572</v>
      </c>
      <c r="B5" s="109" t="s">
        <v>7573</v>
      </c>
      <c r="C5" s="109">
        <v>2011</v>
      </c>
      <c r="D5" s="127">
        <v>3843</v>
      </c>
      <c r="E5" s="127">
        <v>2229</v>
      </c>
      <c r="F5" s="127">
        <v>1064</v>
      </c>
      <c r="G5" s="127">
        <v>1272</v>
      </c>
      <c r="H5" s="127">
        <v>373</v>
      </c>
      <c r="I5" s="127">
        <v>52</v>
      </c>
      <c r="J5" s="127">
        <v>61</v>
      </c>
      <c r="K5" s="127">
        <v>9</v>
      </c>
      <c r="L5" s="127">
        <v>528</v>
      </c>
      <c r="M5" s="127">
        <v>421</v>
      </c>
      <c r="N5" s="128">
        <v>107</v>
      </c>
      <c r="O5" s="112"/>
      <c r="P5" s="112"/>
      <c r="Q5" s="112"/>
      <c r="R5" s="112"/>
      <c r="S5" s="112"/>
      <c r="T5" s="112"/>
      <c r="U5" s="112"/>
      <c r="V5" s="112"/>
      <c r="W5" s="112"/>
      <c r="X5" s="112"/>
    </row>
    <row r="6" spans="1:24" s="100" customFormat="1" ht="17">
      <c r="A6" s="109" t="s">
        <v>7572</v>
      </c>
      <c r="B6" s="109" t="s">
        <v>7573</v>
      </c>
      <c r="C6" s="109">
        <v>2012</v>
      </c>
      <c r="D6" s="127">
        <v>3833</v>
      </c>
      <c r="E6" s="127">
        <v>2158</v>
      </c>
      <c r="F6" s="127">
        <v>853</v>
      </c>
      <c r="G6" s="127">
        <v>1305</v>
      </c>
      <c r="H6" s="127">
        <v>414</v>
      </c>
      <c r="I6" s="127">
        <v>50</v>
      </c>
      <c r="J6" s="127">
        <v>79</v>
      </c>
      <c r="K6" s="127">
        <v>29</v>
      </c>
      <c r="L6" s="127">
        <v>341</v>
      </c>
      <c r="M6" s="127">
        <v>339</v>
      </c>
      <c r="N6" s="128">
        <v>2</v>
      </c>
      <c r="O6" s="112"/>
      <c r="P6" s="112"/>
      <c r="Q6" s="112"/>
      <c r="R6" s="112"/>
      <c r="S6" s="112"/>
      <c r="T6" s="112"/>
      <c r="U6" s="112"/>
      <c r="V6" s="112"/>
      <c r="W6" s="112"/>
      <c r="X6" s="112"/>
    </row>
    <row r="7" spans="1:24" s="100" customFormat="1" ht="17">
      <c r="A7" s="109" t="s">
        <v>7572</v>
      </c>
      <c r="B7" s="109" t="s">
        <v>7573</v>
      </c>
      <c r="C7" s="109">
        <v>2013</v>
      </c>
      <c r="D7" s="127">
        <v>3896</v>
      </c>
      <c r="E7" s="127">
        <v>2532</v>
      </c>
      <c r="F7" s="127">
        <v>1008</v>
      </c>
      <c r="G7" s="127">
        <v>1572</v>
      </c>
      <c r="H7" s="127">
        <v>482</v>
      </c>
      <c r="I7" s="127">
        <v>57</v>
      </c>
      <c r="J7" s="127">
        <v>103</v>
      </c>
      <c r="K7" s="127">
        <v>46</v>
      </c>
      <c r="L7" s="127">
        <v>622</v>
      </c>
      <c r="M7" s="127">
        <v>574</v>
      </c>
      <c r="N7" s="128">
        <v>48</v>
      </c>
      <c r="O7" s="112"/>
      <c r="P7" s="112"/>
      <c r="Q7" s="112"/>
      <c r="R7" s="112"/>
      <c r="S7" s="112"/>
      <c r="T7" s="112"/>
      <c r="U7" s="112"/>
      <c r="V7" s="112"/>
      <c r="W7" s="112"/>
      <c r="X7" s="112"/>
    </row>
    <row r="8" spans="1:24" s="100" customFormat="1" ht="17">
      <c r="A8" s="109" t="s">
        <v>7572</v>
      </c>
      <c r="B8" s="109" t="s">
        <v>7573</v>
      </c>
      <c r="C8" s="109">
        <v>2014</v>
      </c>
      <c r="D8" s="127">
        <v>3903</v>
      </c>
      <c r="E8" s="127">
        <v>2523</v>
      </c>
      <c r="F8" s="127">
        <v>1034</v>
      </c>
      <c r="G8" s="127">
        <v>1486</v>
      </c>
      <c r="H8" s="127">
        <v>535</v>
      </c>
      <c r="I8" s="127">
        <v>170</v>
      </c>
      <c r="J8" s="127">
        <v>212</v>
      </c>
      <c r="K8" s="127">
        <v>41</v>
      </c>
      <c r="L8" s="127">
        <v>757</v>
      </c>
      <c r="M8" s="127">
        <v>758</v>
      </c>
      <c r="N8" s="128" t="s">
        <v>6952</v>
      </c>
      <c r="O8" s="112"/>
      <c r="P8" s="112"/>
      <c r="Q8" s="112"/>
      <c r="R8" s="112"/>
      <c r="S8" s="112"/>
      <c r="T8" s="112"/>
      <c r="U8" s="112"/>
      <c r="V8" s="112"/>
      <c r="W8" s="112"/>
      <c r="X8" s="112"/>
    </row>
    <row r="9" spans="1:24" s="100" customFormat="1" ht="17">
      <c r="A9" s="109" t="s">
        <v>7572</v>
      </c>
      <c r="B9" s="109" t="s">
        <v>7573</v>
      </c>
      <c r="C9" s="109">
        <v>2015</v>
      </c>
      <c r="D9" s="127">
        <v>3880</v>
      </c>
      <c r="E9" s="127">
        <v>2366</v>
      </c>
      <c r="F9" s="127">
        <v>774</v>
      </c>
      <c r="G9" s="127">
        <v>1633</v>
      </c>
      <c r="H9" s="127">
        <v>534</v>
      </c>
      <c r="I9" s="127">
        <v>134</v>
      </c>
      <c r="J9" s="127">
        <v>146</v>
      </c>
      <c r="K9" s="127">
        <v>12</v>
      </c>
      <c r="L9" s="127">
        <v>489</v>
      </c>
      <c r="M9" s="127">
        <v>466</v>
      </c>
      <c r="N9" s="128">
        <v>23</v>
      </c>
      <c r="O9" s="112"/>
      <c r="P9" s="112"/>
      <c r="Q9" s="112"/>
      <c r="R9" s="112"/>
      <c r="S9" s="112"/>
      <c r="T9" s="112"/>
      <c r="U9" s="112"/>
      <c r="V9" s="112"/>
      <c r="W9" s="112"/>
      <c r="X9" s="112"/>
    </row>
    <row r="10" spans="1:24" s="100" customFormat="1" ht="17">
      <c r="A10" s="109" t="s">
        <v>7572</v>
      </c>
      <c r="B10" s="109" t="s">
        <v>7573</v>
      </c>
      <c r="C10" s="109">
        <v>2016</v>
      </c>
      <c r="D10" s="127">
        <v>3994</v>
      </c>
      <c r="E10" s="127">
        <v>2547</v>
      </c>
      <c r="F10" s="127">
        <v>789</v>
      </c>
      <c r="G10" s="127">
        <v>1809</v>
      </c>
      <c r="H10" s="127">
        <v>513</v>
      </c>
      <c r="I10" s="127">
        <v>90</v>
      </c>
      <c r="J10" s="127">
        <v>100</v>
      </c>
      <c r="K10" s="127">
        <v>10</v>
      </c>
      <c r="L10" s="127">
        <v>359</v>
      </c>
      <c r="M10" s="127">
        <v>326</v>
      </c>
      <c r="N10" s="128">
        <v>33</v>
      </c>
      <c r="O10" s="112"/>
      <c r="P10" s="112"/>
      <c r="Q10" s="112"/>
      <c r="R10" s="112"/>
      <c r="S10" s="112"/>
      <c r="T10" s="112"/>
      <c r="U10" s="112"/>
      <c r="V10" s="112"/>
      <c r="W10" s="112"/>
      <c r="X10" s="112"/>
    </row>
    <row r="11" spans="1:24" s="100" customFormat="1" ht="17">
      <c r="A11" s="109" t="s">
        <v>7572</v>
      </c>
      <c r="B11" s="109" t="s">
        <v>7573</v>
      </c>
      <c r="C11" s="109">
        <v>2017</v>
      </c>
      <c r="D11" s="127">
        <v>3914</v>
      </c>
      <c r="E11" s="127">
        <v>2442</v>
      </c>
      <c r="F11" s="127">
        <v>1035</v>
      </c>
      <c r="G11" s="127">
        <v>1435</v>
      </c>
      <c r="H11" s="127">
        <v>507</v>
      </c>
      <c r="I11" s="127">
        <v>56</v>
      </c>
      <c r="J11" s="127">
        <v>65</v>
      </c>
      <c r="K11" s="127">
        <v>9</v>
      </c>
      <c r="L11" s="127">
        <v>784</v>
      </c>
      <c r="M11" s="127">
        <v>767</v>
      </c>
      <c r="N11" s="128">
        <v>17</v>
      </c>
      <c r="O11" s="112"/>
      <c r="P11" s="112"/>
      <c r="Q11" s="112"/>
      <c r="R11" s="112"/>
      <c r="S11" s="112"/>
      <c r="T11" s="112"/>
      <c r="U11" s="112"/>
      <c r="V11" s="112"/>
      <c r="W11" s="112"/>
      <c r="X11" s="112"/>
    </row>
    <row r="12" spans="1:24" s="100" customFormat="1" ht="17">
      <c r="A12" s="109" t="s">
        <v>7572</v>
      </c>
      <c r="B12" s="109" t="s">
        <v>7573</v>
      </c>
      <c r="C12" s="109">
        <v>2018</v>
      </c>
      <c r="D12" s="127">
        <v>3942</v>
      </c>
      <c r="E12" s="127">
        <v>2349</v>
      </c>
      <c r="F12" s="127">
        <v>894</v>
      </c>
      <c r="G12" s="127">
        <v>1439</v>
      </c>
      <c r="H12" s="127">
        <v>618</v>
      </c>
      <c r="I12" s="127">
        <v>44</v>
      </c>
      <c r="J12" s="127">
        <v>52</v>
      </c>
      <c r="K12" s="127">
        <v>7</v>
      </c>
      <c r="L12" s="127">
        <v>426</v>
      </c>
      <c r="M12" s="127">
        <v>470</v>
      </c>
      <c r="N12" s="128">
        <v>-44</v>
      </c>
      <c r="O12" s="112"/>
      <c r="P12" s="112"/>
      <c r="Q12" s="112"/>
      <c r="R12" s="112"/>
      <c r="S12" s="112"/>
      <c r="T12" s="112"/>
      <c r="U12" s="112"/>
      <c r="V12" s="112"/>
      <c r="W12" s="112"/>
      <c r="X12" s="112"/>
    </row>
    <row r="13" spans="1:24" s="100" customFormat="1" ht="17">
      <c r="A13" s="109" t="s">
        <v>7572</v>
      </c>
      <c r="B13" s="109" t="s">
        <v>7573</v>
      </c>
      <c r="C13" s="109">
        <v>2019</v>
      </c>
      <c r="D13" s="127">
        <v>3765</v>
      </c>
      <c r="E13" s="127">
        <v>2689.59501</v>
      </c>
      <c r="F13" s="127">
        <v>1208.8988099999999</v>
      </c>
      <c r="G13" s="127">
        <v>1560.9670610000001</v>
      </c>
      <c r="H13" s="127">
        <v>697.26656200000002</v>
      </c>
      <c r="I13" s="127">
        <v>188.306736</v>
      </c>
      <c r="J13" s="127">
        <v>191.13403600000001</v>
      </c>
      <c r="K13" s="127">
        <v>2.8273009999999998</v>
      </c>
      <c r="L13" s="127">
        <v>492.87894699999998</v>
      </c>
      <c r="M13" s="127">
        <v>431.68717600000002</v>
      </c>
      <c r="N13" s="128">
        <v>61.191771000000003</v>
      </c>
      <c r="O13" s="112"/>
      <c r="P13" s="112"/>
      <c r="Q13" s="112"/>
      <c r="R13" s="112"/>
      <c r="S13" s="112"/>
      <c r="T13" s="112"/>
      <c r="U13" s="112"/>
      <c r="V13" s="112"/>
      <c r="W13" s="112"/>
      <c r="X13" s="112"/>
    </row>
    <row r="14" spans="1:24" s="100" customFormat="1" ht="17">
      <c r="A14" s="111" t="s">
        <v>7572</v>
      </c>
      <c r="B14" s="111" t="s">
        <v>7573</v>
      </c>
      <c r="C14" s="111">
        <v>2020</v>
      </c>
      <c r="D14" s="127">
        <v>3820</v>
      </c>
      <c r="E14" s="127">
        <v>1861.3308959999999</v>
      </c>
      <c r="F14" s="127">
        <v>508.93904199999997</v>
      </c>
      <c r="G14" s="127">
        <v>1354.2382640000001</v>
      </c>
      <c r="H14" s="127">
        <v>564.74571700000001</v>
      </c>
      <c r="I14" s="127">
        <v>161.850244</v>
      </c>
      <c r="J14" s="127">
        <v>175.13624899999999</v>
      </c>
      <c r="K14" s="127">
        <v>13.286006</v>
      </c>
      <c r="L14" s="127">
        <v>579.82458699999995</v>
      </c>
      <c r="M14" s="127">
        <v>600.86768400000005</v>
      </c>
      <c r="N14" s="128">
        <v>-21.043096999999999</v>
      </c>
      <c r="O14" s="112"/>
      <c r="P14" s="112"/>
      <c r="Q14" s="112"/>
      <c r="R14" s="112"/>
      <c r="S14" s="112"/>
      <c r="T14" s="112"/>
      <c r="U14" s="112"/>
      <c r="V14" s="112"/>
      <c r="W14" s="112"/>
      <c r="X14" s="112"/>
    </row>
    <row r="15" spans="1:24" s="131" customFormat="1" ht="34">
      <c r="A15" s="129" t="s">
        <v>7574</v>
      </c>
      <c r="B15" s="129" t="s">
        <v>7575</v>
      </c>
      <c r="C15" s="130">
        <v>2008</v>
      </c>
      <c r="D15" s="123">
        <v>2296</v>
      </c>
      <c r="E15" s="123">
        <v>1781</v>
      </c>
      <c r="F15" s="123">
        <v>800</v>
      </c>
      <c r="G15" s="123">
        <v>983</v>
      </c>
      <c r="H15" s="123">
        <v>530</v>
      </c>
      <c r="I15" s="123">
        <v>51</v>
      </c>
      <c r="J15" s="123">
        <v>52</v>
      </c>
      <c r="K15" s="123">
        <v>1</v>
      </c>
      <c r="L15" s="123">
        <v>12</v>
      </c>
      <c r="M15" s="123">
        <v>20</v>
      </c>
      <c r="N15" s="123">
        <v>-8</v>
      </c>
    </row>
    <row r="16" spans="1:24" s="131" customFormat="1" ht="34">
      <c r="A16" s="129" t="s">
        <v>7574</v>
      </c>
      <c r="B16" s="129" t="s">
        <v>7575</v>
      </c>
      <c r="C16" s="130">
        <v>2009</v>
      </c>
      <c r="D16" s="123">
        <v>3014</v>
      </c>
      <c r="E16" s="123">
        <v>2095</v>
      </c>
      <c r="F16" s="123">
        <v>870</v>
      </c>
      <c r="G16" s="123">
        <v>1231</v>
      </c>
      <c r="H16" s="123">
        <v>735</v>
      </c>
      <c r="I16" s="123">
        <v>46</v>
      </c>
      <c r="J16" s="123">
        <v>54</v>
      </c>
      <c r="K16" s="123">
        <v>8</v>
      </c>
      <c r="L16" s="123">
        <v>12</v>
      </c>
      <c r="M16" s="123">
        <v>9</v>
      </c>
      <c r="N16" s="123">
        <v>3</v>
      </c>
      <c r="O16" s="132"/>
      <c r="S16" s="133"/>
    </row>
    <row r="17" spans="1:19" s="131" customFormat="1" ht="34">
      <c r="A17" s="129" t="s">
        <v>7574</v>
      </c>
      <c r="B17" s="129" t="s">
        <v>7575</v>
      </c>
      <c r="C17" s="130">
        <v>2010</v>
      </c>
      <c r="D17" s="123">
        <v>3159</v>
      </c>
      <c r="E17" s="123">
        <v>2172</v>
      </c>
      <c r="F17" s="123">
        <v>944</v>
      </c>
      <c r="G17" s="123">
        <v>1219</v>
      </c>
      <c r="H17" s="123">
        <v>691</v>
      </c>
      <c r="I17" s="123">
        <v>39</v>
      </c>
      <c r="J17" s="123">
        <v>65</v>
      </c>
      <c r="K17" s="123">
        <v>25</v>
      </c>
      <c r="L17" s="123">
        <v>32</v>
      </c>
      <c r="M17" s="123">
        <v>39</v>
      </c>
      <c r="N17" s="123">
        <v>-7</v>
      </c>
      <c r="O17" s="134"/>
      <c r="S17" s="133"/>
    </row>
    <row r="18" spans="1:19" s="131" customFormat="1" ht="34">
      <c r="A18" s="129" t="s">
        <v>7574</v>
      </c>
      <c r="B18" s="129" t="s">
        <v>7575</v>
      </c>
      <c r="C18" s="130">
        <v>2011</v>
      </c>
      <c r="D18" s="123">
        <v>3398</v>
      </c>
      <c r="E18" s="123">
        <v>2070</v>
      </c>
      <c r="F18" s="123">
        <v>1022</v>
      </c>
      <c r="G18" s="123">
        <v>1040</v>
      </c>
      <c r="H18" s="123">
        <v>673</v>
      </c>
      <c r="I18" s="123">
        <v>137</v>
      </c>
      <c r="J18" s="123">
        <v>142</v>
      </c>
      <c r="K18" s="123">
        <v>5</v>
      </c>
      <c r="L18" s="123">
        <v>12</v>
      </c>
      <c r="M18" s="123">
        <v>21</v>
      </c>
      <c r="N18" s="123">
        <v>-9</v>
      </c>
      <c r="S18" s="133"/>
    </row>
    <row r="19" spans="1:19" s="131" customFormat="1" ht="34">
      <c r="A19" s="129" t="s">
        <v>7574</v>
      </c>
      <c r="B19" s="129" t="s">
        <v>7575</v>
      </c>
      <c r="C19" s="130">
        <v>2012</v>
      </c>
      <c r="D19" s="135">
        <v>3807</v>
      </c>
      <c r="E19" s="135">
        <v>2186</v>
      </c>
      <c r="F19" s="135">
        <v>1140</v>
      </c>
      <c r="G19" s="135">
        <v>1046</v>
      </c>
      <c r="H19" s="135">
        <v>632</v>
      </c>
      <c r="I19" s="135">
        <v>49</v>
      </c>
      <c r="J19" s="135">
        <v>61</v>
      </c>
      <c r="K19" s="135">
        <v>12</v>
      </c>
      <c r="L19" s="135">
        <v>16</v>
      </c>
      <c r="M19" s="135">
        <v>15</v>
      </c>
      <c r="N19" s="135">
        <v>1</v>
      </c>
      <c r="S19" s="133"/>
    </row>
    <row r="20" spans="1:19" s="131" customFormat="1" ht="34">
      <c r="A20" s="129" t="s">
        <v>7574</v>
      </c>
      <c r="B20" s="129" t="s">
        <v>7575</v>
      </c>
      <c r="C20" s="130">
        <v>2013</v>
      </c>
      <c r="D20" s="135">
        <v>3783</v>
      </c>
      <c r="E20" s="135">
        <v>2336</v>
      </c>
      <c r="F20" s="135">
        <v>1153</v>
      </c>
      <c r="G20" s="135">
        <v>1177</v>
      </c>
      <c r="H20" s="135">
        <v>691</v>
      </c>
      <c r="I20" s="135">
        <v>64</v>
      </c>
      <c r="J20" s="135">
        <v>82</v>
      </c>
      <c r="K20" s="135">
        <v>17</v>
      </c>
      <c r="L20" s="135">
        <v>17</v>
      </c>
      <c r="M20" s="135">
        <v>23</v>
      </c>
      <c r="N20" s="135">
        <v>-6</v>
      </c>
    </row>
    <row r="21" spans="1:19" s="131" customFormat="1" ht="34">
      <c r="A21" s="129" t="s">
        <v>7574</v>
      </c>
      <c r="B21" s="129" t="s">
        <v>7575</v>
      </c>
      <c r="C21" s="130">
        <v>2014</v>
      </c>
      <c r="D21" s="123">
        <v>3848</v>
      </c>
      <c r="E21" s="123">
        <v>3942</v>
      </c>
      <c r="F21" s="123">
        <v>1647</v>
      </c>
      <c r="G21" s="123">
        <v>2299</v>
      </c>
      <c r="H21" s="123">
        <v>1013</v>
      </c>
      <c r="I21" s="123">
        <v>65</v>
      </c>
      <c r="J21" s="123">
        <v>67</v>
      </c>
      <c r="K21" s="123">
        <v>3</v>
      </c>
      <c r="L21" s="123">
        <v>21</v>
      </c>
      <c r="M21" s="123">
        <v>13</v>
      </c>
      <c r="N21" s="123">
        <v>7</v>
      </c>
    </row>
    <row r="22" spans="1:19" s="131" customFormat="1" ht="34">
      <c r="A22" s="129" t="s">
        <v>7574</v>
      </c>
      <c r="B22" s="129" t="s">
        <v>7575</v>
      </c>
      <c r="C22" s="130">
        <v>2015</v>
      </c>
      <c r="D22" s="135">
        <v>4376</v>
      </c>
      <c r="E22" s="135">
        <v>3999</v>
      </c>
      <c r="F22" s="135">
        <v>1817</v>
      </c>
      <c r="G22" s="135">
        <v>2178</v>
      </c>
      <c r="H22" s="135">
        <v>1219</v>
      </c>
      <c r="I22" s="135">
        <v>63</v>
      </c>
      <c r="J22" s="135">
        <v>67</v>
      </c>
      <c r="K22" s="135">
        <v>4</v>
      </c>
      <c r="L22" s="135">
        <v>17</v>
      </c>
      <c r="M22" s="135">
        <v>21</v>
      </c>
      <c r="N22" s="135">
        <v>-4</v>
      </c>
      <c r="S22" s="133"/>
    </row>
    <row r="23" spans="1:19" s="131" customFormat="1" ht="34">
      <c r="A23" s="129" t="s">
        <v>7574</v>
      </c>
      <c r="B23" s="129" t="s">
        <v>7575</v>
      </c>
      <c r="C23" s="130">
        <v>2016</v>
      </c>
      <c r="D23" s="135">
        <v>4771</v>
      </c>
      <c r="E23" s="135">
        <v>4665</v>
      </c>
      <c r="F23" s="135">
        <v>2162</v>
      </c>
      <c r="G23" s="135">
        <v>2515</v>
      </c>
      <c r="H23" s="135">
        <v>1348</v>
      </c>
      <c r="I23" s="135">
        <v>56</v>
      </c>
      <c r="J23" s="135">
        <v>58</v>
      </c>
      <c r="K23" s="135">
        <v>2</v>
      </c>
      <c r="L23" s="135">
        <v>31</v>
      </c>
      <c r="M23" s="135">
        <v>33</v>
      </c>
      <c r="N23" s="135">
        <v>-2</v>
      </c>
    </row>
    <row r="24" spans="1:19" s="131" customFormat="1" ht="34">
      <c r="A24" s="129" t="s">
        <v>7574</v>
      </c>
      <c r="B24" s="129" t="s">
        <v>7575</v>
      </c>
      <c r="C24" s="130">
        <v>2017</v>
      </c>
      <c r="D24" s="135">
        <v>4994</v>
      </c>
      <c r="E24" s="135">
        <v>4909</v>
      </c>
      <c r="F24" s="135">
        <v>2335</v>
      </c>
      <c r="G24" s="135">
        <v>2597</v>
      </c>
      <c r="H24" s="135">
        <v>1276</v>
      </c>
      <c r="I24" s="135">
        <v>101</v>
      </c>
      <c r="J24" s="135">
        <v>107</v>
      </c>
      <c r="K24" s="135">
        <v>6</v>
      </c>
      <c r="L24" s="135">
        <v>62</v>
      </c>
      <c r="M24" s="135">
        <v>60</v>
      </c>
      <c r="N24" s="135">
        <v>2</v>
      </c>
    </row>
    <row r="25" spans="1:19" s="131" customFormat="1" ht="34">
      <c r="A25" s="129" t="s">
        <v>7574</v>
      </c>
      <c r="B25" s="129" t="s">
        <v>7575</v>
      </c>
      <c r="C25" s="130">
        <v>2018</v>
      </c>
      <c r="D25" s="135">
        <v>5236</v>
      </c>
      <c r="E25" s="135">
        <v>4621</v>
      </c>
      <c r="F25" s="135">
        <v>1691</v>
      </c>
      <c r="G25" s="135">
        <v>2940</v>
      </c>
      <c r="H25" s="135">
        <v>973</v>
      </c>
      <c r="I25" s="135">
        <v>80</v>
      </c>
      <c r="J25" s="135">
        <v>88</v>
      </c>
      <c r="K25" s="135">
        <v>8</v>
      </c>
      <c r="L25" s="135">
        <v>67</v>
      </c>
      <c r="M25" s="135">
        <v>63</v>
      </c>
      <c r="N25" s="135">
        <v>4</v>
      </c>
      <c r="S25" s="133"/>
    </row>
    <row r="26" spans="1:19" s="131" customFormat="1" ht="34">
      <c r="A26" s="129" t="s">
        <v>7574</v>
      </c>
      <c r="B26" s="129" t="s">
        <v>7575</v>
      </c>
      <c r="C26" s="130">
        <v>2019</v>
      </c>
      <c r="D26" s="135">
        <v>4566</v>
      </c>
      <c r="E26" s="135">
        <v>4497.7753769999999</v>
      </c>
      <c r="F26" s="135">
        <v>1571.66021</v>
      </c>
      <c r="G26" s="135">
        <v>2938.724858</v>
      </c>
      <c r="H26" s="135">
        <v>965.67744900000002</v>
      </c>
      <c r="I26" s="135">
        <v>84.699648999999994</v>
      </c>
      <c r="J26" s="135">
        <v>97.558307999999997</v>
      </c>
      <c r="K26" s="135">
        <v>12.858658999999999</v>
      </c>
      <c r="L26" s="135">
        <v>259.61310600000002</v>
      </c>
      <c r="M26" s="135">
        <v>267.00412299999999</v>
      </c>
      <c r="N26" s="135">
        <v>-7.3910169999999997</v>
      </c>
      <c r="S26" s="133"/>
    </row>
    <row r="27" spans="1:19" s="131" customFormat="1" ht="34">
      <c r="A27" s="130" t="s">
        <v>7574</v>
      </c>
      <c r="B27" s="130" t="s">
        <v>7575</v>
      </c>
      <c r="C27" s="130">
        <v>2020</v>
      </c>
      <c r="D27" s="135">
        <v>4639</v>
      </c>
      <c r="E27" s="135">
        <v>4592.6589190000004</v>
      </c>
      <c r="F27" s="135">
        <v>1592.1920709999999</v>
      </c>
      <c r="G27" s="135">
        <v>3011.3057060000001</v>
      </c>
      <c r="H27" s="135">
        <v>952.48889599999995</v>
      </c>
      <c r="I27" s="135">
        <v>65.87482</v>
      </c>
      <c r="J27" s="135">
        <v>74.790655999999998</v>
      </c>
      <c r="K27" s="135">
        <v>8.9158360000000005</v>
      </c>
      <c r="L27" s="135">
        <v>73.894701999999995</v>
      </c>
      <c r="M27" s="135">
        <v>71.344633000000002</v>
      </c>
      <c r="N27" s="135">
        <v>2.5500690000000001</v>
      </c>
      <c r="S27" s="133"/>
    </row>
    <row r="28" spans="1:19" s="131" customFormat="1" ht="17">
      <c r="A28" s="129" t="s">
        <v>7576</v>
      </c>
      <c r="B28" s="129" t="s">
        <v>7577</v>
      </c>
      <c r="C28" s="130">
        <v>2008</v>
      </c>
      <c r="D28" s="123">
        <v>2063</v>
      </c>
      <c r="E28" s="123">
        <v>1348</v>
      </c>
      <c r="F28" s="123">
        <v>664</v>
      </c>
      <c r="G28" s="123">
        <v>692</v>
      </c>
      <c r="H28" s="123">
        <v>418</v>
      </c>
      <c r="I28" s="123" t="s">
        <v>6953</v>
      </c>
      <c r="J28" s="123" t="s">
        <v>6953</v>
      </c>
      <c r="K28" s="123">
        <v>1</v>
      </c>
      <c r="L28" s="123">
        <v>5</v>
      </c>
      <c r="M28" s="123">
        <v>7</v>
      </c>
      <c r="N28" s="123">
        <v>-1</v>
      </c>
    </row>
    <row r="29" spans="1:19" s="131" customFormat="1" ht="17">
      <c r="A29" s="129" t="s">
        <v>7576</v>
      </c>
      <c r="B29" s="129" t="s">
        <v>7577</v>
      </c>
      <c r="C29" s="130">
        <v>2009</v>
      </c>
      <c r="D29" s="123">
        <v>2875</v>
      </c>
      <c r="E29" s="123">
        <v>1637</v>
      </c>
      <c r="F29" s="123">
        <v>706</v>
      </c>
      <c r="G29" s="123">
        <v>933</v>
      </c>
      <c r="H29" s="123">
        <v>599</v>
      </c>
      <c r="I29" s="123">
        <v>38</v>
      </c>
      <c r="J29" s="123">
        <v>44</v>
      </c>
      <c r="K29" s="123">
        <v>5</v>
      </c>
      <c r="L29" s="123">
        <v>1</v>
      </c>
      <c r="M29" s="123">
        <v>1</v>
      </c>
      <c r="N29" s="123" t="s">
        <v>6952</v>
      </c>
      <c r="O29" s="132"/>
      <c r="S29" s="133"/>
    </row>
    <row r="30" spans="1:19" s="131" customFormat="1" ht="17">
      <c r="A30" s="129" t="s">
        <v>7576</v>
      </c>
      <c r="B30" s="129" t="s">
        <v>7577</v>
      </c>
      <c r="C30" s="130">
        <v>2010</v>
      </c>
      <c r="D30" s="123">
        <v>3001</v>
      </c>
      <c r="E30" s="123">
        <v>1772</v>
      </c>
      <c r="F30" s="123">
        <v>780</v>
      </c>
      <c r="G30" s="123">
        <v>977</v>
      </c>
      <c r="H30" s="123">
        <v>564</v>
      </c>
      <c r="I30" s="123" t="s">
        <v>6953</v>
      </c>
      <c r="J30" s="123">
        <v>58</v>
      </c>
      <c r="K30" s="123" t="s">
        <v>6953</v>
      </c>
      <c r="L30" s="123">
        <v>18</v>
      </c>
      <c r="M30" s="123">
        <v>31</v>
      </c>
      <c r="N30" s="123">
        <v>-13</v>
      </c>
      <c r="O30" s="134"/>
      <c r="S30" s="133"/>
    </row>
    <row r="31" spans="1:19" s="131" customFormat="1" ht="17">
      <c r="A31" s="129" t="s">
        <v>7576</v>
      </c>
      <c r="B31" s="129" t="s">
        <v>7577</v>
      </c>
      <c r="C31" s="130">
        <v>2011</v>
      </c>
      <c r="D31" s="123">
        <v>3212</v>
      </c>
      <c r="E31" s="123">
        <v>1652</v>
      </c>
      <c r="F31" s="123">
        <v>855</v>
      </c>
      <c r="G31" s="123">
        <v>795</v>
      </c>
      <c r="H31" s="123">
        <v>497</v>
      </c>
      <c r="I31" s="123">
        <v>134</v>
      </c>
      <c r="J31" s="123">
        <v>138</v>
      </c>
      <c r="K31" s="123">
        <v>5</v>
      </c>
      <c r="L31" s="123">
        <v>5</v>
      </c>
      <c r="M31" s="123">
        <v>7</v>
      </c>
      <c r="N31" s="123">
        <v>-2</v>
      </c>
      <c r="S31" s="133"/>
    </row>
    <row r="32" spans="1:19" s="131" customFormat="1" ht="17">
      <c r="A32" s="129" t="s">
        <v>7576</v>
      </c>
      <c r="B32" s="129" t="s">
        <v>7577</v>
      </c>
      <c r="C32" s="130">
        <v>2012</v>
      </c>
      <c r="D32" s="135">
        <v>3594</v>
      </c>
      <c r="E32" s="135">
        <v>1789</v>
      </c>
      <c r="F32" s="135">
        <v>1012</v>
      </c>
      <c r="G32" s="135">
        <v>776</v>
      </c>
      <c r="H32" s="135">
        <v>465</v>
      </c>
      <c r="I32" s="123" t="s">
        <v>6953</v>
      </c>
      <c r="J32" s="135">
        <v>59</v>
      </c>
      <c r="K32" s="123" t="s">
        <v>6953</v>
      </c>
      <c r="L32" s="123" t="s">
        <v>6953</v>
      </c>
      <c r="M32" s="123" t="s">
        <v>6953</v>
      </c>
      <c r="N32" s="123" t="s">
        <v>6953</v>
      </c>
      <c r="S32" s="133"/>
    </row>
    <row r="33" spans="1:19" s="131" customFormat="1" ht="17">
      <c r="A33" s="129" t="s">
        <v>7576</v>
      </c>
      <c r="B33" s="129" t="s">
        <v>7577</v>
      </c>
      <c r="C33" s="130">
        <v>2013</v>
      </c>
      <c r="D33" s="135">
        <v>3517</v>
      </c>
      <c r="E33" s="135">
        <v>1802</v>
      </c>
      <c r="F33" s="135">
        <v>936</v>
      </c>
      <c r="G33" s="135">
        <v>864</v>
      </c>
      <c r="H33" s="135">
        <v>515</v>
      </c>
      <c r="I33" s="135">
        <v>60</v>
      </c>
      <c r="J33" s="135">
        <v>78</v>
      </c>
      <c r="K33" s="135">
        <v>17</v>
      </c>
      <c r="L33" s="135">
        <v>12</v>
      </c>
      <c r="M33" s="135">
        <v>13</v>
      </c>
      <c r="N33" s="135">
        <v>-1</v>
      </c>
    </row>
    <row r="34" spans="1:19" s="131" customFormat="1" ht="17">
      <c r="A34" s="129" t="s">
        <v>7576</v>
      </c>
      <c r="B34" s="129" t="s">
        <v>7577</v>
      </c>
      <c r="C34" s="130">
        <v>2014</v>
      </c>
      <c r="D34" s="123">
        <v>3531</v>
      </c>
      <c r="E34" s="123">
        <v>3476</v>
      </c>
      <c r="F34" s="123">
        <v>1502</v>
      </c>
      <c r="G34" s="123">
        <v>1975</v>
      </c>
      <c r="H34" s="123">
        <v>841</v>
      </c>
      <c r="I34" s="123">
        <v>41</v>
      </c>
      <c r="J34" s="123">
        <v>44</v>
      </c>
      <c r="K34" s="123">
        <v>3</v>
      </c>
      <c r="L34" s="123">
        <v>13</v>
      </c>
      <c r="M34" s="123">
        <v>8</v>
      </c>
      <c r="N34" s="123">
        <v>4</v>
      </c>
    </row>
    <row r="35" spans="1:19" s="131" customFormat="1" ht="17">
      <c r="A35" s="129" t="s">
        <v>7576</v>
      </c>
      <c r="B35" s="129" t="s">
        <v>7577</v>
      </c>
      <c r="C35" s="130">
        <v>2015</v>
      </c>
      <c r="D35" s="135">
        <v>3939</v>
      </c>
      <c r="E35" s="135">
        <v>3512</v>
      </c>
      <c r="F35" s="135">
        <v>1583</v>
      </c>
      <c r="G35" s="135">
        <v>1923</v>
      </c>
      <c r="H35" s="135">
        <v>1011</v>
      </c>
      <c r="I35" s="135">
        <v>50</v>
      </c>
      <c r="J35" s="135">
        <v>54</v>
      </c>
      <c r="K35" s="135">
        <v>4</v>
      </c>
      <c r="L35" s="135">
        <v>7</v>
      </c>
      <c r="M35" s="135">
        <v>14</v>
      </c>
      <c r="N35" s="135">
        <v>-7</v>
      </c>
      <c r="S35" s="133"/>
    </row>
    <row r="36" spans="1:19" s="131" customFormat="1" ht="17">
      <c r="A36" s="129" t="s">
        <v>7576</v>
      </c>
      <c r="B36" s="129" t="s">
        <v>7577</v>
      </c>
      <c r="C36" s="130">
        <v>2016</v>
      </c>
      <c r="D36" s="135">
        <v>4190</v>
      </c>
      <c r="E36" s="135">
        <v>4078</v>
      </c>
      <c r="F36" s="135">
        <v>1903</v>
      </c>
      <c r="G36" s="135">
        <v>2186</v>
      </c>
      <c r="H36" s="135">
        <v>1124</v>
      </c>
      <c r="I36" s="135">
        <v>47</v>
      </c>
      <c r="J36" s="135">
        <v>49</v>
      </c>
      <c r="K36" s="135">
        <v>2</v>
      </c>
      <c r="L36" s="135">
        <v>21</v>
      </c>
      <c r="M36" s="135">
        <v>23</v>
      </c>
      <c r="N36" s="135">
        <v>-2</v>
      </c>
    </row>
    <row r="37" spans="1:19" s="131" customFormat="1" ht="17">
      <c r="A37" s="129" t="s">
        <v>7576</v>
      </c>
      <c r="B37" s="129" t="s">
        <v>7577</v>
      </c>
      <c r="C37" s="130">
        <v>2017</v>
      </c>
      <c r="D37" s="135">
        <v>4383</v>
      </c>
      <c r="E37" s="135">
        <v>4205</v>
      </c>
      <c r="F37" s="135">
        <v>2034</v>
      </c>
      <c r="G37" s="135">
        <v>2204</v>
      </c>
      <c r="H37" s="135">
        <v>1037</v>
      </c>
      <c r="I37" s="135">
        <v>85</v>
      </c>
      <c r="J37" s="135">
        <v>90</v>
      </c>
      <c r="K37" s="135">
        <v>5</v>
      </c>
      <c r="L37" s="135">
        <v>42</v>
      </c>
      <c r="M37" s="135">
        <v>30</v>
      </c>
      <c r="N37" s="135">
        <v>13</v>
      </c>
    </row>
    <row r="38" spans="1:19" s="131" customFormat="1" ht="17">
      <c r="A38" s="129" t="s">
        <v>7576</v>
      </c>
      <c r="B38" s="129" t="s">
        <v>7577</v>
      </c>
      <c r="C38" s="130">
        <v>2018</v>
      </c>
      <c r="D38" s="135">
        <v>4566</v>
      </c>
      <c r="E38" s="135">
        <v>3650</v>
      </c>
      <c r="F38" s="135">
        <v>1362</v>
      </c>
      <c r="G38" s="135">
        <v>2296</v>
      </c>
      <c r="H38" s="135">
        <v>770</v>
      </c>
      <c r="I38" s="135">
        <v>64</v>
      </c>
      <c r="J38" s="135">
        <v>72</v>
      </c>
      <c r="K38" s="135">
        <v>8</v>
      </c>
      <c r="L38" s="135">
        <v>45</v>
      </c>
      <c r="M38" s="135">
        <v>44</v>
      </c>
      <c r="N38" s="135">
        <v>1</v>
      </c>
      <c r="S38" s="133"/>
    </row>
    <row r="39" spans="1:19" s="131" customFormat="1" ht="17">
      <c r="A39" s="129" t="s">
        <v>7576</v>
      </c>
      <c r="B39" s="129" t="s">
        <v>7577</v>
      </c>
      <c r="C39" s="130">
        <v>2019</v>
      </c>
      <c r="D39" s="135">
        <v>3929</v>
      </c>
      <c r="E39" s="135">
        <v>3519.9307789999998</v>
      </c>
      <c r="F39" s="135">
        <v>1237.3053339999999</v>
      </c>
      <c r="G39" s="135">
        <v>2298.6215080000002</v>
      </c>
      <c r="H39" s="135">
        <v>770.55762800000002</v>
      </c>
      <c r="I39" s="135">
        <v>63.486803999999999</v>
      </c>
      <c r="J39" s="135">
        <v>68.342814000000004</v>
      </c>
      <c r="K39" s="135">
        <v>4.8560100000000004</v>
      </c>
      <c r="L39" s="135">
        <v>241.03906000000001</v>
      </c>
      <c r="M39" s="135">
        <v>245.224131</v>
      </c>
      <c r="N39" s="135">
        <v>-4.1850709999999998</v>
      </c>
      <c r="S39" s="133"/>
    </row>
    <row r="40" spans="1:19" s="131" customFormat="1" ht="17">
      <c r="A40" s="130" t="s">
        <v>7576</v>
      </c>
      <c r="B40" s="130" t="s">
        <v>7577</v>
      </c>
      <c r="C40" s="130">
        <v>2020</v>
      </c>
      <c r="D40" s="135">
        <v>3959</v>
      </c>
      <c r="E40" s="135">
        <v>3650.0080779999998</v>
      </c>
      <c r="F40" s="135">
        <v>1290.925943</v>
      </c>
      <c r="G40" s="135">
        <v>2369.7482789999999</v>
      </c>
      <c r="H40" s="135">
        <v>741.33461</v>
      </c>
      <c r="I40" s="135">
        <v>43.459350000000001</v>
      </c>
      <c r="J40" s="135">
        <v>51.854771999999997</v>
      </c>
      <c r="K40" s="135">
        <v>8.3954219999999999</v>
      </c>
      <c r="L40" s="135">
        <v>54.701577999999998</v>
      </c>
      <c r="M40" s="135">
        <v>52.281179000000002</v>
      </c>
      <c r="N40" s="135">
        <v>2.4203990000000002</v>
      </c>
      <c r="S40" s="133"/>
    </row>
    <row r="41" spans="1:19" s="131" customFormat="1" ht="17">
      <c r="A41" s="129" t="s">
        <v>7578</v>
      </c>
      <c r="B41" s="129" t="s">
        <v>7579</v>
      </c>
      <c r="C41" s="130">
        <v>2008</v>
      </c>
      <c r="D41" s="123">
        <v>233</v>
      </c>
      <c r="E41" s="123">
        <v>433</v>
      </c>
      <c r="F41" s="123">
        <v>136</v>
      </c>
      <c r="G41" s="123">
        <v>291</v>
      </c>
      <c r="H41" s="123">
        <v>112</v>
      </c>
      <c r="I41" s="123" t="s">
        <v>6953</v>
      </c>
      <c r="J41" s="123" t="s">
        <v>6953</v>
      </c>
      <c r="K41" s="123" t="s">
        <v>6952</v>
      </c>
      <c r="L41" s="123">
        <v>6</v>
      </c>
      <c r="M41" s="123">
        <v>13</v>
      </c>
      <c r="N41" s="123">
        <v>-6</v>
      </c>
    </row>
    <row r="42" spans="1:19" s="131" customFormat="1" ht="17">
      <c r="A42" s="129" t="s">
        <v>7578</v>
      </c>
      <c r="B42" s="129" t="s">
        <v>7579</v>
      </c>
      <c r="C42" s="130">
        <v>2009</v>
      </c>
      <c r="D42" s="123">
        <v>139</v>
      </c>
      <c r="E42" s="123">
        <v>458</v>
      </c>
      <c r="F42" s="123">
        <v>164</v>
      </c>
      <c r="G42" s="123">
        <v>298</v>
      </c>
      <c r="H42" s="123">
        <v>136</v>
      </c>
      <c r="I42" s="123">
        <v>8</v>
      </c>
      <c r="J42" s="123">
        <v>10</v>
      </c>
      <c r="K42" s="123">
        <v>3</v>
      </c>
      <c r="L42" s="123">
        <v>11</v>
      </c>
      <c r="M42" s="123">
        <v>8</v>
      </c>
      <c r="N42" s="123">
        <v>3</v>
      </c>
      <c r="O42" s="132"/>
      <c r="S42" s="133"/>
    </row>
    <row r="43" spans="1:19" s="131" customFormat="1" ht="17">
      <c r="A43" s="129" t="s">
        <v>7578</v>
      </c>
      <c r="B43" s="129" t="s">
        <v>7579</v>
      </c>
      <c r="C43" s="130">
        <v>2010</v>
      </c>
      <c r="D43" s="123">
        <v>158</v>
      </c>
      <c r="E43" s="123">
        <v>400</v>
      </c>
      <c r="F43" s="123">
        <v>163</v>
      </c>
      <c r="G43" s="123">
        <v>242</v>
      </c>
      <c r="H43" s="123">
        <v>127</v>
      </c>
      <c r="I43" s="123" t="s">
        <v>6953</v>
      </c>
      <c r="J43" s="123">
        <v>7</v>
      </c>
      <c r="K43" s="123" t="s">
        <v>6953</v>
      </c>
      <c r="L43" s="123">
        <v>14</v>
      </c>
      <c r="M43" s="123">
        <v>8</v>
      </c>
      <c r="N43" s="123">
        <v>6</v>
      </c>
      <c r="O43" s="134"/>
      <c r="S43" s="133"/>
    </row>
    <row r="44" spans="1:19" s="131" customFormat="1" ht="17">
      <c r="A44" s="129" t="s">
        <v>7578</v>
      </c>
      <c r="B44" s="129" t="s">
        <v>7579</v>
      </c>
      <c r="C44" s="130">
        <v>2011</v>
      </c>
      <c r="D44" s="123">
        <v>186</v>
      </c>
      <c r="E44" s="123">
        <v>418</v>
      </c>
      <c r="F44" s="123">
        <v>167</v>
      </c>
      <c r="G44" s="123">
        <v>245</v>
      </c>
      <c r="H44" s="123">
        <v>176</v>
      </c>
      <c r="I44" s="123">
        <v>3</v>
      </c>
      <c r="J44" s="123">
        <v>3</v>
      </c>
      <c r="K44" s="123" t="s">
        <v>6952</v>
      </c>
      <c r="L44" s="123">
        <v>7</v>
      </c>
      <c r="M44" s="123">
        <v>14</v>
      </c>
      <c r="N44" s="123">
        <v>-7</v>
      </c>
      <c r="S44" s="133"/>
    </row>
    <row r="45" spans="1:19" s="131" customFormat="1" ht="17">
      <c r="A45" s="129" t="s">
        <v>7578</v>
      </c>
      <c r="B45" s="129" t="s">
        <v>7579</v>
      </c>
      <c r="C45" s="130">
        <v>2012</v>
      </c>
      <c r="D45" s="135">
        <v>213</v>
      </c>
      <c r="E45" s="135">
        <v>397</v>
      </c>
      <c r="F45" s="135">
        <v>128</v>
      </c>
      <c r="G45" s="135">
        <v>270</v>
      </c>
      <c r="H45" s="135">
        <v>168</v>
      </c>
      <c r="I45" s="123" t="s">
        <v>6953</v>
      </c>
      <c r="J45" s="135">
        <v>3</v>
      </c>
      <c r="K45" s="123" t="s">
        <v>6953</v>
      </c>
      <c r="L45" s="123" t="s">
        <v>6953</v>
      </c>
      <c r="M45" s="123" t="s">
        <v>6953</v>
      </c>
      <c r="N45" s="123" t="s">
        <v>6953</v>
      </c>
      <c r="S45" s="133"/>
    </row>
    <row r="46" spans="1:19" s="131" customFormat="1" ht="17">
      <c r="A46" s="129" t="s">
        <v>7578</v>
      </c>
      <c r="B46" s="129" t="s">
        <v>7579</v>
      </c>
      <c r="C46" s="130">
        <v>2013</v>
      </c>
      <c r="D46" s="135">
        <v>266</v>
      </c>
      <c r="E46" s="135">
        <v>535</v>
      </c>
      <c r="F46" s="135">
        <v>217</v>
      </c>
      <c r="G46" s="135">
        <v>313</v>
      </c>
      <c r="H46" s="135">
        <v>175</v>
      </c>
      <c r="I46" s="135">
        <v>4</v>
      </c>
      <c r="J46" s="135">
        <v>4</v>
      </c>
      <c r="K46" s="135" t="s">
        <v>6952</v>
      </c>
      <c r="L46" s="135">
        <v>5</v>
      </c>
      <c r="M46" s="135">
        <v>10</v>
      </c>
      <c r="N46" s="135">
        <v>-4</v>
      </c>
    </row>
    <row r="47" spans="1:19" s="131" customFormat="1" ht="17">
      <c r="A47" s="129" t="s">
        <v>7578</v>
      </c>
      <c r="B47" s="129" t="s">
        <v>7579</v>
      </c>
      <c r="C47" s="130">
        <v>2014</v>
      </c>
      <c r="D47" s="123">
        <v>317</v>
      </c>
      <c r="E47" s="123">
        <v>466</v>
      </c>
      <c r="F47" s="123">
        <v>145</v>
      </c>
      <c r="G47" s="123">
        <v>324</v>
      </c>
      <c r="H47" s="123">
        <v>172</v>
      </c>
      <c r="I47" s="123">
        <v>23</v>
      </c>
      <c r="J47" s="123">
        <v>23</v>
      </c>
      <c r="K47" s="135" t="s">
        <v>6952</v>
      </c>
      <c r="L47" s="123">
        <v>8</v>
      </c>
      <c r="M47" s="123">
        <v>5</v>
      </c>
      <c r="N47" s="123">
        <v>3</v>
      </c>
    </row>
    <row r="48" spans="1:19" s="131" customFormat="1" ht="17">
      <c r="A48" s="129" t="s">
        <v>7578</v>
      </c>
      <c r="B48" s="129" t="s">
        <v>7579</v>
      </c>
      <c r="C48" s="130">
        <v>2015</v>
      </c>
      <c r="D48" s="135">
        <v>437</v>
      </c>
      <c r="E48" s="135">
        <v>487</v>
      </c>
      <c r="F48" s="135">
        <v>235</v>
      </c>
      <c r="G48" s="135">
        <v>255</v>
      </c>
      <c r="H48" s="135">
        <v>208</v>
      </c>
      <c r="I48" s="135">
        <v>13</v>
      </c>
      <c r="J48" s="135">
        <v>13</v>
      </c>
      <c r="K48" s="135" t="s">
        <v>6952</v>
      </c>
      <c r="L48" s="135">
        <v>9</v>
      </c>
      <c r="M48" s="135">
        <v>7</v>
      </c>
      <c r="N48" s="135">
        <v>3</v>
      </c>
      <c r="S48" s="133"/>
    </row>
    <row r="49" spans="1:19" s="131" customFormat="1" ht="17">
      <c r="A49" s="129" t="s">
        <v>7578</v>
      </c>
      <c r="B49" s="129" t="s">
        <v>7579</v>
      </c>
      <c r="C49" s="130">
        <v>2016</v>
      </c>
      <c r="D49" s="135">
        <v>581</v>
      </c>
      <c r="E49" s="135">
        <v>587</v>
      </c>
      <c r="F49" s="135">
        <v>258</v>
      </c>
      <c r="G49" s="135">
        <v>329</v>
      </c>
      <c r="H49" s="135">
        <v>223</v>
      </c>
      <c r="I49" s="135">
        <v>9</v>
      </c>
      <c r="J49" s="135">
        <v>10</v>
      </c>
      <c r="K49" s="135" t="s">
        <v>6952</v>
      </c>
      <c r="L49" s="135">
        <v>10</v>
      </c>
      <c r="M49" s="135">
        <v>10</v>
      </c>
      <c r="N49" s="135" t="s">
        <v>6952</v>
      </c>
    </row>
    <row r="50" spans="1:19" s="131" customFormat="1" ht="17">
      <c r="A50" s="129" t="s">
        <v>7578</v>
      </c>
      <c r="B50" s="129" t="s">
        <v>7579</v>
      </c>
      <c r="C50" s="130">
        <v>2017</v>
      </c>
      <c r="D50" s="135">
        <v>611</v>
      </c>
      <c r="E50" s="135">
        <v>705</v>
      </c>
      <c r="F50" s="135">
        <v>301</v>
      </c>
      <c r="G50" s="135">
        <v>393</v>
      </c>
      <c r="H50" s="135">
        <v>240</v>
      </c>
      <c r="I50" s="135">
        <v>17</v>
      </c>
      <c r="J50" s="135">
        <v>18</v>
      </c>
      <c r="K50" s="135">
        <v>1</v>
      </c>
      <c r="L50" s="135">
        <v>19</v>
      </c>
      <c r="M50" s="135">
        <v>31</v>
      </c>
      <c r="N50" s="135">
        <v>-11</v>
      </c>
    </row>
    <row r="51" spans="1:19" s="131" customFormat="1" ht="17">
      <c r="A51" s="129" t="s">
        <v>7578</v>
      </c>
      <c r="B51" s="129" t="s">
        <v>7579</v>
      </c>
      <c r="C51" s="130">
        <v>2018</v>
      </c>
      <c r="D51" s="135">
        <v>670</v>
      </c>
      <c r="E51" s="135">
        <v>971</v>
      </c>
      <c r="F51" s="135">
        <v>329</v>
      </c>
      <c r="G51" s="135">
        <v>645</v>
      </c>
      <c r="H51" s="135">
        <v>203</v>
      </c>
      <c r="I51" s="135">
        <v>16</v>
      </c>
      <c r="J51" s="135">
        <v>17</v>
      </c>
      <c r="K51" s="135" t="s">
        <v>6952</v>
      </c>
      <c r="L51" s="135">
        <v>22</v>
      </c>
      <c r="M51" s="135">
        <v>19</v>
      </c>
      <c r="N51" s="135">
        <v>3</v>
      </c>
      <c r="S51" s="133"/>
    </row>
    <row r="52" spans="1:19" s="131" customFormat="1" ht="17">
      <c r="A52" s="129" t="s">
        <v>7578</v>
      </c>
      <c r="B52" s="129" t="s">
        <v>7579</v>
      </c>
      <c r="C52" s="130">
        <v>2019</v>
      </c>
      <c r="D52" s="135">
        <v>637</v>
      </c>
      <c r="E52" s="135">
        <v>977.84459800000002</v>
      </c>
      <c r="F52" s="135">
        <v>334.35487499999999</v>
      </c>
      <c r="G52" s="135">
        <v>640.10334999999998</v>
      </c>
      <c r="H52" s="135">
        <v>195.11982</v>
      </c>
      <c r="I52" s="135">
        <v>21.212845000000002</v>
      </c>
      <c r="J52" s="135">
        <v>29.215492999999999</v>
      </c>
      <c r="K52" s="135">
        <v>8.0026489999999999</v>
      </c>
      <c r="L52" s="135">
        <v>18.574047</v>
      </c>
      <c r="M52" s="135">
        <v>21.779993000000001</v>
      </c>
      <c r="N52" s="135">
        <v>-3.205946</v>
      </c>
      <c r="S52" s="133"/>
    </row>
    <row r="53" spans="1:19" s="131" customFormat="1" ht="17">
      <c r="A53" s="130" t="s">
        <v>7578</v>
      </c>
      <c r="B53" s="130" t="s">
        <v>7579</v>
      </c>
      <c r="C53" s="130">
        <v>2020</v>
      </c>
      <c r="D53" s="135">
        <v>680</v>
      </c>
      <c r="E53" s="135">
        <v>942.65084100000001</v>
      </c>
      <c r="F53" s="135">
        <v>301.26612799999998</v>
      </c>
      <c r="G53" s="135">
        <v>641.55742699999996</v>
      </c>
      <c r="H53" s="135">
        <v>211.15428600000001</v>
      </c>
      <c r="I53" s="135">
        <v>22.415469999999999</v>
      </c>
      <c r="J53" s="135">
        <v>22.935884000000001</v>
      </c>
      <c r="K53" s="135">
        <v>0.52041400000000004</v>
      </c>
      <c r="L53" s="135">
        <v>19.193124999999998</v>
      </c>
      <c r="M53" s="135">
        <v>19.063454</v>
      </c>
      <c r="N53" s="135" t="s">
        <v>6952</v>
      </c>
      <c r="S53" s="133"/>
    </row>
    <row r="54" spans="1:19" s="131" customFormat="1" ht="17">
      <c r="A54" s="129" t="s">
        <v>7580</v>
      </c>
      <c r="B54" s="129" t="s">
        <v>7581</v>
      </c>
      <c r="C54" s="130">
        <v>2008</v>
      </c>
      <c r="D54" s="123">
        <v>3555</v>
      </c>
      <c r="E54" s="123">
        <v>1040</v>
      </c>
      <c r="F54" s="123">
        <v>429</v>
      </c>
      <c r="G54" s="123">
        <v>609</v>
      </c>
      <c r="H54" s="123">
        <v>191</v>
      </c>
      <c r="I54" s="123">
        <v>15</v>
      </c>
      <c r="J54" s="123">
        <v>19</v>
      </c>
      <c r="K54" s="123">
        <v>4</v>
      </c>
      <c r="L54" s="123">
        <v>6</v>
      </c>
      <c r="M54" s="123">
        <v>7</v>
      </c>
      <c r="N54" s="123">
        <v>-2</v>
      </c>
    </row>
    <row r="55" spans="1:19" s="131" customFormat="1" ht="17">
      <c r="A55" s="129" t="s">
        <v>7580</v>
      </c>
      <c r="B55" s="129" t="s">
        <v>7581</v>
      </c>
      <c r="C55" s="130">
        <v>2009</v>
      </c>
      <c r="D55" s="123">
        <v>3027</v>
      </c>
      <c r="E55" s="123">
        <v>660</v>
      </c>
      <c r="F55" s="123">
        <v>293</v>
      </c>
      <c r="G55" s="123">
        <v>366</v>
      </c>
      <c r="H55" s="123">
        <v>145</v>
      </c>
      <c r="I55" s="123">
        <v>8</v>
      </c>
      <c r="J55" s="123">
        <v>10</v>
      </c>
      <c r="K55" s="123">
        <v>1</v>
      </c>
      <c r="L55" s="123">
        <v>3</v>
      </c>
      <c r="M55" s="123">
        <v>3</v>
      </c>
      <c r="N55" s="123" t="s">
        <v>6952</v>
      </c>
      <c r="O55" s="132"/>
      <c r="S55" s="133"/>
    </row>
    <row r="56" spans="1:19" s="131" customFormat="1" ht="17">
      <c r="A56" s="129" t="s">
        <v>7580</v>
      </c>
      <c r="B56" s="129" t="s">
        <v>7581</v>
      </c>
      <c r="C56" s="130">
        <v>2010</v>
      </c>
      <c r="D56" s="123">
        <v>3095</v>
      </c>
      <c r="E56" s="123">
        <v>691</v>
      </c>
      <c r="F56" s="123">
        <v>298</v>
      </c>
      <c r="G56" s="123">
        <v>391</v>
      </c>
      <c r="H56" s="123">
        <v>146</v>
      </c>
      <c r="I56" s="123">
        <v>10</v>
      </c>
      <c r="J56" s="123">
        <v>13</v>
      </c>
      <c r="K56" s="123">
        <v>3</v>
      </c>
      <c r="L56" s="123">
        <v>10</v>
      </c>
      <c r="M56" s="123">
        <v>12</v>
      </c>
      <c r="N56" s="123">
        <v>-2</v>
      </c>
      <c r="O56" s="134"/>
      <c r="S56" s="133"/>
    </row>
    <row r="57" spans="1:19" s="131" customFormat="1" ht="17">
      <c r="A57" s="129" t="s">
        <v>7580</v>
      </c>
      <c r="B57" s="129" t="s">
        <v>7581</v>
      </c>
      <c r="C57" s="130">
        <v>2011</v>
      </c>
      <c r="D57" s="123">
        <v>3340</v>
      </c>
      <c r="E57" s="123">
        <v>696</v>
      </c>
      <c r="F57" s="123">
        <v>372</v>
      </c>
      <c r="G57" s="123">
        <v>324</v>
      </c>
      <c r="H57" s="123">
        <v>160</v>
      </c>
      <c r="I57" s="123">
        <v>7</v>
      </c>
      <c r="J57" s="123">
        <v>11</v>
      </c>
      <c r="K57" s="123">
        <v>4</v>
      </c>
      <c r="L57" s="123">
        <v>7</v>
      </c>
      <c r="M57" s="123">
        <v>7</v>
      </c>
      <c r="N57" s="123">
        <v>1</v>
      </c>
      <c r="S57" s="133"/>
    </row>
    <row r="58" spans="1:19" s="131" customFormat="1" ht="17">
      <c r="A58" s="129" t="s">
        <v>7580</v>
      </c>
      <c r="B58" s="129" t="s">
        <v>7581</v>
      </c>
      <c r="C58" s="130">
        <v>2012</v>
      </c>
      <c r="D58" s="135">
        <v>3367</v>
      </c>
      <c r="E58" s="135">
        <v>754</v>
      </c>
      <c r="F58" s="135">
        <v>392</v>
      </c>
      <c r="G58" s="135">
        <v>362</v>
      </c>
      <c r="H58" s="135">
        <v>166</v>
      </c>
      <c r="I58" s="135">
        <v>7</v>
      </c>
      <c r="J58" s="135">
        <v>11</v>
      </c>
      <c r="K58" s="135">
        <v>4</v>
      </c>
      <c r="L58" s="135">
        <v>12</v>
      </c>
      <c r="M58" s="135">
        <v>11</v>
      </c>
      <c r="N58" s="135" t="s">
        <v>6952</v>
      </c>
      <c r="S58" s="133"/>
    </row>
    <row r="59" spans="1:19" s="131" customFormat="1" ht="17">
      <c r="A59" s="129" t="s">
        <v>7580</v>
      </c>
      <c r="B59" s="129" t="s">
        <v>7581</v>
      </c>
      <c r="C59" s="130">
        <v>2013</v>
      </c>
      <c r="D59" s="135">
        <v>3573</v>
      </c>
      <c r="E59" s="135">
        <v>863</v>
      </c>
      <c r="F59" s="135">
        <v>478</v>
      </c>
      <c r="G59" s="135">
        <v>388</v>
      </c>
      <c r="H59" s="135">
        <v>180</v>
      </c>
      <c r="I59" s="135">
        <v>17</v>
      </c>
      <c r="J59" s="135">
        <v>21</v>
      </c>
      <c r="K59" s="135">
        <v>5</v>
      </c>
      <c r="L59" s="135">
        <v>11</v>
      </c>
      <c r="M59" s="135">
        <v>9</v>
      </c>
      <c r="N59" s="135">
        <v>2</v>
      </c>
    </row>
    <row r="60" spans="1:19" s="131" customFormat="1" ht="17">
      <c r="A60" s="129" t="s">
        <v>7580</v>
      </c>
      <c r="B60" s="129" t="s">
        <v>7581</v>
      </c>
      <c r="C60" s="130">
        <v>2014</v>
      </c>
      <c r="D60" s="123">
        <v>3623</v>
      </c>
      <c r="E60" s="123">
        <v>926</v>
      </c>
      <c r="F60" s="123">
        <v>461</v>
      </c>
      <c r="G60" s="123">
        <v>466</v>
      </c>
      <c r="H60" s="123">
        <v>189</v>
      </c>
      <c r="I60" s="123">
        <v>37</v>
      </c>
      <c r="J60" s="123">
        <v>41</v>
      </c>
      <c r="K60" s="123">
        <v>4</v>
      </c>
      <c r="L60" s="123">
        <v>21</v>
      </c>
      <c r="M60" s="123">
        <v>20</v>
      </c>
      <c r="N60" s="123">
        <v>1</v>
      </c>
    </row>
    <row r="61" spans="1:19" s="131" customFormat="1" ht="17">
      <c r="A61" s="129" t="s">
        <v>7580</v>
      </c>
      <c r="B61" s="129" t="s">
        <v>7581</v>
      </c>
      <c r="C61" s="130">
        <v>2015</v>
      </c>
      <c r="D61" s="135">
        <v>3786</v>
      </c>
      <c r="E61" s="135">
        <v>949</v>
      </c>
      <c r="F61" s="135">
        <v>476</v>
      </c>
      <c r="G61" s="135">
        <v>472</v>
      </c>
      <c r="H61" s="135">
        <v>213</v>
      </c>
      <c r="I61" s="135">
        <v>24</v>
      </c>
      <c r="J61" s="135">
        <v>29</v>
      </c>
      <c r="K61" s="135">
        <v>5</v>
      </c>
      <c r="L61" s="135">
        <v>13</v>
      </c>
      <c r="M61" s="135">
        <v>14</v>
      </c>
      <c r="N61" s="135">
        <v>-1</v>
      </c>
      <c r="S61" s="133"/>
    </row>
    <row r="62" spans="1:19" s="131" customFormat="1" ht="17">
      <c r="A62" s="129" t="s">
        <v>7580</v>
      </c>
      <c r="B62" s="129" t="s">
        <v>7581</v>
      </c>
      <c r="C62" s="130">
        <v>2016</v>
      </c>
      <c r="D62" s="135">
        <v>4078</v>
      </c>
      <c r="E62" s="135">
        <v>1109</v>
      </c>
      <c r="F62" s="135">
        <v>644</v>
      </c>
      <c r="G62" s="135">
        <v>477</v>
      </c>
      <c r="H62" s="135">
        <v>295</v>
      </c>
      <c r="I62" s="135">
        <v>28</v>
      </c>
      <c r="J62" s="135">
        <v>36</v>
      </c>
      <c r="K62" s="135">
        <v>8</v>
      </c>
      <c r="L62" s="135">
        <v>43</v>
      </c>
      <c r="M62" s="135">
        <v>35</v>
      </c>
      <c r="N62" s="135">
        <v>8</v>
      </c>
    </row>
    <row r="63" spans="1:19" s="131" customFormat="1" ht="17">
      <c r="A63" s="129" t="s">
        <v>7580</v>
      </c>
      <c r="B63" s="129" t="s">
        <v>7581</v>
      </c>
      <c r="C63" s="130">
        <v>2017</v>
      </c>
      <c r="D63" s="135">
        <v>4118</v>
      </c>
      <c r="E63" s="135">
        <v>1053</v>
      </c>
      <c r="F63" s="135">
        <v>508</v>
      </c>
      <c r="G63" s="135">
        <v>546</v>
      </c>
      <c r="H63" s="135">
        <v>250</v>
      </c>
      <c r="I63" s="135">
        <v>41</v>
      </c>
      <c r="J63" s="135">
        <v>44</v>
      </c>
      <c r="K63" s="135">
        <v>3</v>
      </c>
      <c r="L63" s="135">
        <v>26</v>
      </c>
      <c r="M63" s="135">
        <v>27</v>
      </c>
      <c r="N63" s="135">
        <v>-1</v>
      </c>
    </row>
    <row r="64" spans="1:19" s="131" customFormat="1" ht="17">
      <c r="A64" s="129" t="s">
        <v>7580</v>
      </c>
      <c r="B64" s="129" t="s">
        <v>7581</v>
      </c>
      <c r="C64" s="130">
        <v>2018</v>
      </c>
      <c r="D64" s="135">
        <v>4116</v>
      </c>
      <c r="E64" s="135">
        <v>1007</v>
      </c>
      <c r="F64" s="135">
        <v>597</v>
      </c>
      <c r="G64" s="135">
        <v>437</v>
      </c>
      <c r="H64" s="135">
        <v>255</v>
      </c>
      <c r="I64" s="135">
        <v>30</v>
      </c>
      <c r="J64" s="135">
        <v>34</v>
      </c>
      <c r="K64" s="135">
        <v>4</v>
      </c>
      <c r="L64" s="135">
        <v>64</v>
      </c>
      <c r="M64" s="135">
        <v>39</v>
      </c>
      <c r="N64" s="135">
        <v>26</v>
      </c>
      <c r="S64" s="133"/>
    </row>
    <row r="65" spans="1:19" s="131" customFormat="1" ht="17">
      <c r="A65" s="129" t="s">
        <v>7580</v>
      </c>
      <c r="B65" s="129" t="s">
        <v>7581</v>
      </c>
      <c r="C65" s="130">
        <v>2019</v>
      </c>
      <c r="D65" s="135">
        <v>4123</v>
      </c>
      <c r="E65" s="135">
        <v>1187.790894</v>
      </c>
      <c r="F65" s="135">
        <v>661.18775400000004</v>
      </c>
      <c r="G65" s="135">
        <v>538.37780599999996</v>
      </c>
      <c r="H65" s="135">
        <v>266.49056999999999</v>
      </c>
      <c r="I65" s="135">
        <v>119.647522</v>
      </c>
      <c r="J65" s="135">
        <v>131.280036</v>
      </c>
      <c r="K65" s="135">
        <v>11.632514</v>
      </c>
      <c r="L65" s="135">
        <v>51.492037000000003</v>
      </c>
      <c r="M65" s="135">
        <v>46.661267000000002</v>
      </c>
      <c r="N65" s="135">
        <v>4.8307700000000002</v>
      </c>
      <c r="S65" s="133"/>
    </row>
    <row r="66" spans="1:19" s="131" customFormat="1" ht="17">
      <c r="A66" s="130" t="s">
        <v>7580</v>
      </c>
      <c r="B66" s="130" t="s">
        <v>7581</v>
      </c>
      <c r="C66" s="130">
        <v>2020</v>
      </c>
      <c r="D66" s="135">
        <v>4186</v>
      </c>
      <c r="E66" s="135">
        <v>928.98833300000001</v>
      </c>
      <c r="F66" s="135">
        <v>490.02262200000001</v>
      </c>
      <c r="G66" s="135">
        <v>456.33247599999999</v>
      </c>
      <c r="H66" s="135">
        <v>261.54845699999998</v>
      </c>
      <c r="I66" s="135">
        <v>65.469294000000005</v>
      </c>
      <c r="J66" s="135">
        <v>69.084297000000007</v>
      </c>
      <c r="K66" s="135">
        <v>3.615002</v>
      </c>
      <c r="L66" s="135">
        <v>42.595789000000003</v>
      </c>
      <c r="M66" s="135">
        <v>39.282480999999997</v>
      </c>
      <c r="N66" s="135">
        <v>3.3133080000000001</v>
      </c>
      <c r="S66" s="133"/>
    </row>
    <row r="67" spans="1:19" s="131" customFormat="1" ht="17">
      <c r="A67" s="129" t="s">
        <v>7582</v>
      </c>
      <c r="B67" s="129" t="s">
        <v>7583</v>
      </c>
      <c r="C67" s="130">
        <v>2008</v>
      </c>
      <c r="D67" s="123">
        <v>724</v>
      </c>
      <c r="E67" s="123">
        <v>202</v>
      </c>
      <c r="F67" s="123">
        <v>77</v>
      </c>
      <c r="G67" s="123">
        <v>123</v>
      </c>
      <c r="H67" s="123">
        <v>43</v>
      </c>
      <c r="I67" s="123">
        <v>5</v>
      </c>
      <c r="J67" s="123">
        <v>8</v>
      </c>
      <c r="K67" s="123">
        <v>3</v>
      </c>
      <c r="L67" s="123">
        <v>4</v>
      </c>
      <c r="M67" s="123">
        <v>6</v>
      </c>
      <c r="N67" s="123">
        <v>-2</v>
      </c>
    </row>
    <row r="68" spans="1:19" s="131" customFormat="1" ht="17">
      <c r="A68" s="129" t="s">
        <v>7582</v>
      </c>
      <c r="B68" s="129" t="s">
        <v>7583</v>
      </c>
      <c r="C68" s="130">
        <v>2009</v>
      </c>
      <c r="D68" s="123">
        <v>854</v>
      </c>
      <c r="E68" s="123">
        <v>188</v>
      </c>
      <c r="F68" s="123">
        <v>87</v>
      </c>
      <c r="G68" s="123">
        <v>101</v>
      </c>
      <c r="H68" s="123">
        <v>43</v>
      </c>
      <c r="I68" s="123">
        <v>1</v>
      </c>
      <c r="J68" s="123">
        <v>1</v>
      </c>
      <c r="K68" s="123" t="s">
        <v>6952</v>
      </c>
      <c r="L68" s="123">
        <v>0</v>
      </c>
      <c r="M68" s="123">
        <v>0</v>
      </c>
      <c r="N68" s="123">
        <v>0</v>
      </c>
      <c r="O68" s="132"/>
      <c r="S68" s="133"/>
    </row>
    <row r="69" spans="1:19" s="131" customFormat="1" ht="17">
      <c r="A69" s="129" t="s">
        <v>7582</v>
      </c>
      <c r="B69" s="129" t="s">
        <v>7583</v>
      </c>
      <c r="C69" s="130">
        <v>2010</v>
      </c>
      <c r="D69" s="123">
        <v>818</v>
      </c>
      <c r="E69" s="123">
        <v>180</v>
      </c>
      <c r="F69" s="123">
        <v>98</v>
      </c>
      <c r="G69" s="123">
        <v>81</v>
      </c>
      <c r="H69" s="123">
        <v>33</v>
      </c>
      <c r="I69" s="123">
        <v>3</v>
      </c>
      <c r="J69" s="123">
        <v>4</v>
      </c>
      <c r="K69" s="123">
        <v>1</v>
      </c>
      <c r="L69" s="123">
        <v>3</v>
      </c>
      <c r="M69" s="123">
        <v>4</v>
      </c>
      <c r="N69" s="123">
        <v>-1</v>
      </c>
      <c r="O69" s="134"/>
      <c r="S69" s="133"/>
    </row>
    <row r="70" spans="1:19" s="131" customFormat="1" ht="17">
      <c r="A70" s="129" t="s">
        <v>7582</v>
      </c>
      <c r="B70" s="129" t="s">
        <v>7583</v>
      </c>
      <c r="C70" s="130">
        <v>2011</v>
      </c>
      <c r="D70" s="123">
        <v>823</v>
      </c>
      <c r="E70" s="123">
        <v>203</v>
      </c>
      <c r="F70" s="123">
        <v>109</v>
      </c>
      <c r="G70" s="123">
        <v>94</v>
      </c>
      <c r="H70" s="123">
        <v>54</v>
      </c>
      <c r="I70" s="123">
        <v>3</v>
      </c>
      <c r="J70" s="123">
        <v>3</v>
      </c>
      <c r="K70" s="123" t="s">
        <v>6952</v>
      </c>
      <c r="L70" s="123" t="s">
        <v>6952</v>
      </c>
      <c r="M70" s="123" t="s">
        <v>6952</v>
      </c>
      <c r="N70" s="123" t="s">
        <v>6952</v>
      </c>
      <c r="S70" s="133"/>
    </row>
    <row r="71" spans="1:19" s="131" customFormat="1" ht="17">
      <c r="A71" s="129" t="s">
        <v>7582</v>
      </c>
      <c r="B71" s="129" t="s">
        <v>7583</v>
      </c>
      <c r="C71" s="130">
        <v>2012</v>
      </c>
      <c r="D71" s="135">
        <v>784</v>
      </c>
      <c r="E71" s="135">
        <v>195</v>
      </c>
      <c r="F71" s="135">
        <v>97</v>
      </c>
      <c r="G71" s="135">
        <v>98</v>
      </c>
      <c r="H71" s="135">
        <v>56</v>
      </c>
      <c r="I71" s="135">
        <v>1</v>
      </c>
      <c r="J71" s="135">
        <v>2</v>
      </c>
      <c r="K71" s="135">
        <v>1</v>
      </c>
      <c r="L71" s="135">
        <v>1</v>
      </c>
      <c r="M71" s="135">
        <v>2</v>
      </c>
      <c r="N71" s="135">
        <v>-1</v>
      </c>
      <c r="S71" s="133"/>
    </row>
    <row r="72" spans="1:19" s="131" customFormat="1" ht="17">
      <c r="A72" s="129" t="s">
        <v>7582</v>
      </c>
      <c r="B72" s="129" t="s">
        <v>7583</v>
      </c>
      <c r="C72" s="130">
        <v>2013</v>
      </c>
      <c r="D72" s="135">
        <v>758</v>
      </c>
      <c r="E72" s="135">
        <v>232</v>
      </c>
      <c r="F72" s="135">
        <v>148</v>
      </c>
      <c r="G72" s="135">
        <v>85</v>
      </c>
      <c r="H72" s="135">
        <v>36</v>
      </c>
      <c r="I72" s="135">
        <v>2</v>
      </c>
      <c r="J72" s="135">
        <v>4</v>
      </c>
      <c r="K72" s="135">
        <v>2</v>
      </c>
      <c r="L72" s="135">
        <v>1</v>
      </c>
      <c r="M72" s="135">
        <v>1</v>
      </c>
      <c r="N72" s="135" t="s">
        <v>6952</v>
      </c>
    </row>
    <row r="73" spans="1:19" s="131" customFormat="1" ht="17">
      <c r="A73" s="129" t="s">
        <v>7582</v>
      </c>
      <c r="B73" s="129" t="s">
        <v>7583</v>
      </c>
      <c r="C73" s="130">
        <v>2014</v>
      </c>
      <c r="D73" s="123">
        <v>721</v>
      </c>
      <c r="E73" s="123">
        <v>211</v>
      </c>
      <c r="F73" s="123">
        <v>129</v>
      </c>
      <c r="G73" s="123">
        <v>84</v>
      </c>
      <c r="H73" s="123">
        <v>55</v>
      </c>
      <c r="I73" s="123">
        <v>6</v>
      </c>
      <c r="J73" s="123">
        <v>6</v>
      </c>
      <c r="K73" s="123">
        <v>1</v>
      </c>
      <c r="L73" s="123">
        <v>6</v>
      </c>
      <c r="M73" s="123">
        <v>5</v>
      </c>
      <c r="N73" s="123">
        <v>1</v>
      </c>
    </row>
    <row r="74" spans="1:19" s="131" customFormat="1" ht="17">
      <c r="A74" s="129" t="s">
        <v>7582</v>
      </c>
      <c r="B74" s="129" t="s">
        <v>7583</v>
      </c>
      <c r="C74" s="130">
        <v>2015</v>
      </c>
      <c r="D74" s="135">
        <v>679</v>
      </c>
      <c r="E74" s="135">
        <v>205</v>
      </c>
      <c r="F74" s="135">
        <v>84</v>
      </c>
      <c r="G74" s="135">
        <v>121</v>
      </c>
      <c r="H74" s="135">
        <v>34</v>
      </c>
      <c r="I74" s="135">
        <v>9</v>
      </c>
      <c r="J74" s="135">
        <v>10</v>
      </c>
      <c r="K74" s="135">
        <v>1</v>
      </c>
      <c r="L74" s="135" t="s">
        <v>6952</v>
      </c>
      <c r="M74" s="135" t="s">
        <v>6952</v>
      </c>
      <c r="N74" s="135">
        <v>0</v>
      </c>
      <c r="S74" s="133"/>
    </row>
    <row r="75" spans="1:19" s="131" customFormat="1" ht="17">
      <c r="A75" s="129" t="s">
        <v>7582</v>
      </c>
      <c r="B75" s="129" t="s">
        <v>7583</v>
      </c>
      <c r="C75" s="130">
        <v>2016</v>
      </c>
      <c r="D75" s="135">
        <v>659</v>
      </c>
      <c r="E75" s="135">
        <v>198</v>
      </c>
      <c r="F75" s="135">
        <v>132</v>
      </c>
      <c r="G75" s="135">
        <v>65</v>
      </c>
      <c r="H75" s="135">
        <v>102</v>
      </c>
      <c r="I75" s="135">
        <v>9</v>
      </c>
      <c r="J75" s="135">
        <v>9</v>
      </c>
      <c r="K75" s="135">
        <v>1</v>
      </c>
      <c r="L75" s="135">
        <v>4</v>
      </c>
      <c r="M75" s="135">
        <v>5</v>
      </c>
      <c r="N75" s="135">
        <v>-2</v>
      </c>
    </row>
    <row r="76" spans="1:19" s="131" customFormat="1" ht="17">
      <c r="A76" s="129" t="s">
        <v>7582</v>
      </c>
      <c r="B76" s="129" t="s">
        <v>7583</v>
      </c>
      <c r="C76" s="130">
        <v>2017</v>
      </c>
      <c r="D76" s="135">
        <v>668</v>
      </c>
      <c r="E76" s="135">
        <v>196</v>
      </c>
      <c r="F76" s="135">
        <v>112</v>
      </c>
      <c r="G76" s="135">
        <v>87</v>
      </c>
      <c r="H76" s="135">
        <v>39</v>
      </c>
      <c r="I76" s="135">
        <v>3</v>
      </c>
      <c r="J76" s="135">
        <v>4</v>
      </c>
      <c r="K76" s="135">
        <v>1</v>
      </c>
      <c r="L76" s="135">
        <v>6</v>
      </c>
      <c r="M76" s="135">
        <v>5</v>
      </c>
      <c r="N76" s="135">
        <v>1</v>
      </c>
    </row>
    <row r="77" spans="1:19" s="131" customFormat="1" ht="17">
      <c r="A77" s="129" t="s">
        <v>7582</v>
      </c>
      <c r="B77" s="129" t="s">
        <v>7583</v>
      </c>
      <c r="C77" s="130">
        <v>2018</v>
      </c>
      <c r="D77" s="135">
        <v>655</v>
      </c>
      <c r="E77" s="135">
        <v>181</v>
      </c>
      <c r="F77" s="135">
        <v>80</v>
      </c>
      <c r="G77" s="135">
        <v>102</v>
      </c>
      <c r="H77" s="135">
        <v>33</v>
      </c>
      <c r="I77" s="135">
        <v>3</v>
      </c>
      <c r="J77" s="135">
        <v>3</v>
      </c>
      <c r="K77" s="135" t="s">
        <v>6952</v>
      </c>
      <c r="L77" s="135">
        <v>2</v>
      </c>
      <c r="M77" s="135">
        <v>2</v>
      </c>
      <c r="N77" s="135" t="s">
        <v>6952</v>
      </c>
      <c r="S77" s="133"/>
    </row>
    <row r="78" spans="1:19" s="131" customFormat="1" ht="17">
      <c r="A78" s="129" t="s">
        <v>7582</v>
      </c>
      <c r="B78" s="129" t="s">
        <v>7583</v>
      </c>
      <c r="C78" s="130">
        <v>2019</v>
      </c>
      <c r="D78" s="135">
        <v>646</v>
      </c>
      <c r="E78" s="135">
        <v>193.753839</v>
      </c>
      <c r="F78" s="135">
        <v>107.01870099999999</v>
      </c>
      <c r="G78" s="135">
        <v>93.551767999999996</v>
      </c>
      <c r="H78" s="135">
        <v>39.740253000000003</v>
      </c>
      <c r="I78" s="135">
        <v>18.743856999999998</v>
      </c>
      <c r="J78" s="135">
        <v>20.69669</v>
      </c>
      <c r="K78" s="135">
        <v>1.952833</v>
      </c>
      <c r="L78" s="135">
        <v>8.7005579999999991</v>
      </c>
      <c r="M78" s="135">
        <v>6.8347709999999999</v>
      </c>
      <c r="N78" s="135">
        <v>1.8657870000000001</v>
      </c>
      <c r="S78" s="133"/>
    </row>
    <row r="79" spans="1:19" s="131" customFormat="1" ht="17">
      <c r="A79" s="130" t="s">
        <v>7582</v>
      </c>
      <c r="B79" s="130" t="s">
        <v>7583</v>
      </c>
      <c r="C79" s="130">
        <v>2020</v>
      </c>
      <c r="D79" s="135">
        <v>652</v>
      </c>
      <c r="E79" s="135">
        <v>195.711467</v>
      </c>
      <c r="F79" s="135">
        <v>88.587383000000003</v>
      </c>
      <c r="G79" s="135">
        <v>104.866336</v>
      </c>
      <c r="H79" s="135">
        <v>44.142975</v>
      </c>
      <c r="I79" s="135">
        <v>3.0422920000000002</v>
      </c>
      <c r="J79" s="135">
        <v>5.0216640000000003</v>
      </c>
      <c r="K79" s="135">
        <v>1.9793719999999999</v>
      </c>
      <c r="L79" s="135">
        <v>3.6121490000000001</v>
      </c>
      <c r="M79" s="135">
        <v>5.8632929999999996</v>
      </c>
      <c r="N79" s="135">
        <v>-2.251144</v>
      </c>
      <c r="S79" s="133"/>
    </row>
    <row r="80" spans="1:19" s="131" customFormat="1" ht="34">
      <c r="A80" s="129" t="s">
        <v>7584</v>
      </c>
      <c r="B80" s="129" t="s">
        <v>7585</v>
      </c>
      <c r="C80" s="136">
        <v>2008</v>
      </c>
      <c r="D80" s="123">
        <v>787</v>
      </c>
      <c r="E80" s="123">
        <v>423</v>
      </c>
      <c r="F80" s="123">
        <v>137</v>
      </c>
      <c r="G80" s="123">
        <v>285</v>
      </c>
      <c r="H80" s="123">
        <v>56</v>
      </c>
      <c r="I80" s="123">
        <v>6</v>
      </c>
      <c r="J80" s="123">
        <v>6</v>
      </c>
      <c r="K80" s="123" t="s">
        <v>6952</v>
      </c>
      <c r="L80" s="123">
        <v>0</v>
      </c>
      <c r="M80" s="123">
        <v>0</v>
      </c>
      <c r="N80" s="123">
        <v>0</v>
      </c>
    </row>
    <row r="81" spans="1:19" s="131" customFormat="1" ht="34">
      <c r="A81" s="129" t="s">
        <v>7584</v>
      </c>
      <c r="B81" s="129" t="s">
        <v>7585</v>
      </c>
      <c r="C81" s="136">
        <v>2009</v>
      </c>
      <c r="D81" s="123">
        <v>616</v>
      </c>
      <c r="E81" s="123">
        <v>163</v>
      </c>
      <c r="F81" s="123">
        <v>70</v>
      </c>
      <c r="G81" s="123">
        <v>93</v>
      </c>
      <c r="H81" s="123">
        <v>30</v>
      </c>
      <c r="I81" s="123">
        <v>1</v>
      </c>
      <c r="J81" s="123">
        <v>1</v>
      </c>
      <c r="K81" s="123" t="s">
        <v>6952</v>
      </c>
      <c r="L81" s="123" t="s">
        <v>6952</v>
      </c>
      <c r="M81" s="123">
        <v>1</v>
      </c>
      <c r="N81" s="123" t="s">
        <v>6952</v>
      </c>
      <c r="O81" s="132"/>
      <c r="S81" s="133"/>
    </row>
    <row r="82" spans="1:19" s="131" customFormat="1" ht="34">
      <c r="A82" s="129" t="s">
        <v>7584</v>
      </c>
      <c r="B82" s="129" t="s">
        <v>7585</v>
      </c>
      <c r="C82" s="136">
        <v>2010</v>
      </c>
      <c r="D82" s="123">
        <v>694</v>
      </c>
      <c r="E82" s="123">
        <v>183</v>
      </c>
      <c r="F82" s="123">
        <v>63</v>
      </c>
      <c r="G82" s="123">
        <v>120</v>
      </c>
      <c r="H82" s="123">
        <v>40</v>
      </c>
      <c r="I82" s="123">
        <v>1</v>
      </c>
      <c r="J82" s="123">
        <v>2</v>
      </c>
      <c r="K82" s="123" t="s">
        <v>6952</v>
      </c>
      <c r="L82" s="123" t="s">
        <v>6952</v>
      </c>
      <c r="M82" s="123" t="s">
        <v>6952</v>
      </c>
      <c r="N82" s="123" t="s">
        <v>6952</v>
      </c>
      <c r="O82" s="134"/>
      <c r="S82" s="133"/>
    </row>
    <row r="83" spans="1:19" s="131" customFormat="1" ht="34">
      <c r="A83" s="129" t="s">
        <v>7584</v>
      </c>
      <c r="B83" s="129" t="s">
        <v>7585</v>
      </c>
      <c r="C83" s="136">
        <v>2011</v>
      </c>
      <c r="D83" s="123">
        <v>822</v>
      </c>
      <c r="E83" s="123">
        <v>157</v>
      </c>
      <c r="F83" s="123">
        <v>81</v>
      </c>
      <c r="G83" s="123">
        <v>76</v>
      </c>
      <c r="H83" s="123">
        <v>37</v>
      </c>
      <c r="I83" s="123">
        <v>1</v>
      </c>
      <c r="J83" s="123">
        <v>1</v>
      </c>
      <c r="K83" s="123">
        <v>1</v>
      </c>
      <c r="L83" s="123">
        <v>1</v>
      </c>
      <c r="M83" s="123">
        <v>1</v>
      </c>
      <c r="N83" s="123" t="s">
        <v>6952</v>
      </c>
      <c r="S83" s="133"/>
    </row>
    <row r="84" spans="1:19" s="131" customFormat="1" ht="34">
      <c r="A84" s="129" t="s">
        <v>7584</v>
      </c>
      <c r="B84" s="129" t="s">
        <v>7585</v>
      </c>
      <c r="C84" s="136">
        <v>2012</v>
      </c>
      <c r="D84" s="135">
        <v>827</v>
      </c>
      <c r="E84" s="135">
        <v>185</v>
      </c>
      <c r="F84" s="135">
        <v>100</v>
      </c>
      <c r="G84" s="135">
        <v>85</v>
      </c>
      <c r="H84" s="135">
        <v>32</v>
      </c>
      <c r="I84" s="123" t="s">
        <v>6952</v>
      </c>
      <c r="J84" s="135">
        <v>2</v>
      </c>
      <c r="K84" s="135">
        <v>1</v>
      </c>
      <c r="L84" s="135">
        <v>3</v>
      </c>
      <c r="M84" s="135">
        <v>3</v>
      </c>
      <c r="N84" s="123" t="s">
        <v>6952</v>
      </c>
      <c r="S84" s="133"/>
    </row>
    <row r="85" spans="1:19" s="131" customFormat="1" ht="34">
      <c r="A85" s="129" t="s">
        <v>7584</v>
      </c>
      <c r="B85" s="129" t="s">
        <v>7585</v>
      </c>
      <c r="C85" s="130">
        <v>2013</v>
      </c>
      <c r="D85" s="135">
        <v>952</v>
      </c>
      <c r="E85" s="135">
        <v>227</v>
      </c>
      <c r="F85" s="135">
        <v>125</v>
      </c>
      <c r="G85" s="135">
        <v>101</v>
      </c>
      <c r="H85" s="135">
        <v>44</v>
      </c>
      <c r="I85" s="135">
        <v>6</v>
      </c>
      <c r="J85" s="135">
        <v>8</v>
      </c>
      <c r="K85" s="135">
        <v>1</v>
      </c>
      <c r="L85" s="135">
        <v>1</v>
      </c>
      <c r="M85" s="135">
        <v>1</v>
      </c>
      <c r="N85" s="123" t="s">
        <v>6952</v>
      </c>
    </row>
    <row r="86" spans="1:19" s="131" customFormat="1" ht="34">
      <c r="A86" s="129" t="s">
        <v>7584</v>
      </c>
      <c r="B86" s="129" t="s">
        <v>7585</v>
      </c>
      <c r="C86" s="130">
        <v>2014</v>
      </c>
      <c r="D86" s="123">
        <v>964</v>
      </c>
      <c r="E86" s="123">
        <v>275</v>
      </c>
      <c r="F86" s="123">
        <v>137</v>
      </c>
      <c r="G86" s="123">
        <v>138</v>
      </c>
      <c r="H86" s="123">
        <v>46</v>
      </c>
      <c r="I86" s="123">
        <v>16</v>
      </c>
      <c r="J86" s="123">
        <v>18</v>
      </c>
      <c r="K86" s="123">
        <v>2</v>
      </c>
      <c r="L86" s="123" t="s">
        <v>6952</v>
      </c>
      <c r="M86" s="123" t="s">
        <v>6952</v>
      </c>
      <c r="N86" s="123" t="s">
        <v>6952</v>
      </c>
    </row>
    <row r="87" spans="1:19" s="131" customFormat="1" ht="34">
      <c r="A87" s="129" t="s">
        <v>7584</v>
      </c>
      <c r="B87" s="129" t="s">
        <v>7585</v>
      </c>
      <c r="C87" s="130">
        <v>2015</v>
      </c>
      <c r="D87" s="135">
        <v>1009</v>
      </c>
      <c r="E87" s="135">
        <v>266</v>
      </c>
      <c r="F87" s="135">
        <v>142</v>
      </c>
      <c r="G87" s="135">
        <v>124</v>
      </c>
      <c r="H87" s="135">
        <v>46</v>
      </c>
      <c r="I87" s="135">
        <v>6</v>
      </c>
      <c r="J87" s="135">
        <v>7</v>
      </c>
      <c r="K87" s="135">
        <v>1</v>
      </c>
      <c r="L87" s="135">
        <v>4</v>
      </c>
      <c r="M87" s="135">
        <v>5</v>
      </c>
      <c r="N87" s="123" t="s">
        <v>6952</v>
      </c>
      <c r="S87" s="133"/>
    </row>
    <row r="88" spans="1:19" s="131" customFormat="1" ht="34">
      <c r="A88" s="129" t="s">
        <v>7584</v>
      </c>
      <c r="B88" s="129" t="s">
        <v>7585</v>
      </c>
      <c r="C88" s="130">
        <v>2016</v>
      </c>
      <c r="D88" s="135">
        <v>1096</v>
      </c>
      <c r="E88" s="135">
        <v>335</v>
      </c>
      <c r="F88" s="135">
        <v>208</v>
      </c>
      <c r="G88" s="135">
        <v>139</v>
      </c>
      <c r="H88" s="135">
        <v>59</v>
      </c>
      <c r="I88" s="135">
        <v>12</v>
      </c>
      <c r="J88" s="135">
        <v>14</v>
      </c>
      <c r="K88" s="135">
        <v>2</v>
      </c>
      <c r="L88" s="135">
        <v>23</v>
      </c>
      <c r="M88" s="135">
        <v>14</v>
      </c>
      <c r="N88" s="135">
        <v>10</v>
      </c>
    </row>
    <row r="89" spans="1:19" s="131" customFormat="1" ht="34">
      <c r="A89" s="129" t="s">
        <v>7584</v>
      </c>
      <c r="B89" s="129" t="s">
        <v>7585</v>
      </c>
      <c r="C89" s="130">
        <v>2017</v>
      </c>
      <c r="D89" s="135">
        <v>1124</v>
      </c>
      <c r="E89" s="135">
        <v>238</v>
      </c>
      <c r="F89" s="135">
        <v>139</v>
      </c>
      <c r="G89" s="135">
        <v>96</v>
      </c>
      <c r="H89" s="135">
        <v>62</v>
      </c>
      <c r="I89" s="135">
        <v>15</v>
      </c>
      <c r="J89" s="135">
        <v>16</v>
      </c>
      <c r="K89" s="135">
        <v>1</v>
      </c>
      <c r="L89" s="135">
        <v>7</v>
      </c>
      <c r="M89" s="135">
        <v>11</v>
      </c>
      <c r="N89" s="135">
        <v>-4</v>
      </c>
    </row>
    <row r="90" spans="1:19" s="131" customFormat="1" ht="34">
      <c r="A90" s="129" t="s">
        <v>7584</v>
      </c>
      <c r="B90" s="129" t="s">
        <v>7585</v>
      </c>
      <c r="C90" s="130">
        <v>2018</v>
      </c>
      <c r="D90" s="135">
        <v>1132</v>
      </c>
      <c r="E90" s="135">
        <v>312</v>
      </c>
      <c r="F90" s="135">
        <v>177</v>
      </c>
      <c r="G90" s="135">
        <v>136</v>
      </c>
      <c r="H90" s="135">
        <v>89</v>
      </c>
      <c r="I90" s="135">
        <v>15</v>
      </c>
      <c r="J90" s="135">
        <v>16</v>
      </c>
      <c r="K90" s="135">
        <v>1</v>
      </c>
      <c r="L90" s="135">
        <v>2</v>
      </c>
      <c r="M90" s="135">
        <v>2</v>
      </c>
      <c r="N90" s="123" t="s">
        <v>6952</v>
      </c>
      <c r="S90" s="133"/>
    </row>
    <row r="91" spans="1:19" s="131" customFormat="1" ht="34">
      <c r="A91" s="129" t="s">
        <v>7584</v>
      </c>
      <c r="B91" s="129" t="s">
        <v>7585</v>
      </c>
      <c r="C91" s="130">
        <v>2019</v>
      </c>
      <c r="D91" s="135">
        <v>1156</v>
      </c>
      <c r="E91" s="135">
        <v>307.65510499999999</v>
      </c>
      <c r="F91" s="135">
        <v>219.11656099999999</v>
      </c>
      <c r="G91" s="135">
        <v>86.541970000000006</v>
      </c>
      <c r="H91" s="135">
        <v>75.812669999999997</v>
      </c>
      <c r="I91" s="135">
        <v>80.28058</v>
      </c>
      <c r="J91" s="135">
        <v>87.018790999999993</v>
      </c>
      <c r="K91" s="135">
        <v>6.7382109999999997</v>
      </c>
      <c r="L91" s="135">
        <v>12.664344</v>
      </c>
      <c r="M91" s="135">
        <v>14.360398999999999</v>
      </c>
      <c r="N91" s="135">
        <v>-1.6960550000000001</v>
      </c>
      <c r="S91" s="133"/>
    </row>
    <row r="92" spans="1:19" s="131" customFormat="1" ht="34">
      <c r="A92" s="130" t="s">
        <v>7584</v>
      </c>
      <c r="B92" s="130" t="s">
        <v>7585</v>
      </c>
      <c r="C92" s="130">
        <v>2020</v>
      </c>
      <c r="D92" s="135">
        <v>1214</v>
      </c>
      <c r="E92" s="135">
        <v>297.88778300000001</v>
      </c>
      <c r="F92" s="135">
        <v>193.82152600000001</v>
      </c>
      <c r="G92" s="135">
        <v>107.331992</v>
      </c>
      <c r="H92" s="135">
        <v>72.220814000000004</v>
      </c>
      <c r="I92" s="135">
        <v>34.499533999999997</v>
      </c>
      <c r="J92" s="135">
        <v>35.123866999999997</v>
      </c>
      <c r="K92" s="135">
        <v>0.62433399999999994</v>
      </c>
      <c r="L92" s="135">
        <v>5.5632339999999996</v>
      </c>
      <c r="M92" s="135">
        <v>4.6472559999999996</v>
      </c>
      <c r="N92" s="135">
        <v>0.91597799999999996</v>
      </c>
      <c r="S92" s="133"/>
    </row>
    <row r="93" spans="1:19" s="131" customFormat="1" ht="17">
      <c r="A93" s="129" t="s">
        <v>7586</v>
      </c>
      <c r="B93" s="129" t="s">
        <v>7587</v>
      </c>
      <c r="C93" s="130">
        <v>2008</v>
      </c>
      <c r="D93" s="123">
        <v>517</v>
      </c>
      <c r="E93" s="123">
        <v>65</v>
      </c>
      <c r="F93" s="123">
        <v>37</v>
      </c>
      <c r="G93" s="123">
        <v>28</v>
      </c>
      <c r="H93" s="123">
        <v>10</v>
      </c>
      <c r="I93" s="123">
        <v>1</v>
      </c>
      <c r="J93" s="123">
        <v>1</v>
      </c>
      <c r="K93" s="123" t="s">
        <v>6952</v>
      </c>
      <c r="L93" s="123">
        <v>0</v>
      </c>
      <c r="M93" s="123">
        <v>0</v>
      </c>
      <c r="N93" s="123">
        <v>0</v>
      </c>
    </row>
    <row r="94" spans="1:19" s="131" customFormat="1" ht="17">
      <c r="A94" s="129" t="s">
        <v>7586</v>
      </c>
      <c r="B94" s="129" t="s">
        <v>7587</v>
      </c>
      <c r="C94" s="130">
        <v>2009</v>
      </c>
      <c r="D94" s="123">
        <v>485</v>
      </c>
      <c r="E94" s="123">
        <v>62</v>
      </c>
      <c r="F94" s="123">
        <v>25</v>
      </c>
      <c r="G94" s="123">
        <v>37</v>
      </c>
      <c r="H94" s="123">
        <v>12</v>
      </c>
      <c r="I94" s="123" t="s">
        <v>6952</v>
      </c>
      <c r="J94" s="123" t="s">
        <v>6952</v>
      </c>
      <c r="K94" s="123">
        <v>0</v>
      </c>
      <c r="L94" s="123">
        <v>0</v>
      </c>
      <c r="M94" s="123">
        <v>0</v>
      </c>
      <c r="N94" s="123">
        <v>0</v>
      </c>
      <c r="O94" s="132"/>
      <c r="S94" s="133"/>
    </row>
    <row r="95" spans="1:19" s="131" customFormat="1" ht="17">
      <c r="A95" s="129" t="s">
        <v>7586</v>
      </c>
      <c r="B95" s="129" t="s">
        <v>7587</v>
      </c>
      <c r="C95" s="130">
        <v>2010</v>
      </c>
      <c r="D95" s="123">
        <v>468</v>
      </c>
      <c r="E95" s="123">
        <v>75</v>
      </c>
      <c r="F95" s="123">
        <v>42</v>
      </c>
      <c r="G95" s="123">
        <v>33</v>
      </c>
      <c r="H95" s="123">
        <v>19</v>
      </c>
      <c r="I95" s="123">
        <v>2</v>
      </c>
      <c r="J95" s="123">
        <v>3</v>
      </c>
      <c r="K95" s="123" t="s">
        <v>6952</v>
      </c>
      <c r="L95" s="123" t="s">
        <v>6952</v>
      </c>
      <c r="M95" s="123">
        <v>0</v>
      </c>
      <c r="N95" s="123" t="s">
        <v>6952</v>
      </c>
      <c r="O95" s="134"/>
      <c r="S95" s="133"/>
    </row>
    <row r="96" spans="1:19" s="131" customFormat="1" ht="17">
      <c r="A96" s="129" t="s">
        <v>7586</v>
      </c>
      <c r="B96" s="129" t="s">
        <v>7587</v>
      </c>
      <c r="C96" s="130">
        <v>2011</v>
      </c>
      <c r="D96" s="123">
        <v>474</v>
      </c>
      <c r="E96" s="123">
        <v>54</v>
      </c>
      <c r="F96" s="123">
        <v>37</v>
      </c>
      <c r="G96" s="123">
        <v>17</v>
      </c>
      <c r="H96" s="123">
        <v>23</v>
      </c>
      <c r="I96" s="123" t="s">
        <v>6952</v>
      </c>
      <c r="J96" s="123" t="s">
        <v>6952</v>
      </c>
      <c r="K96" s="123" t="s">
        <v>6952</v>
      </c>
      <c r="L96" s="123" t="s">
        <v>6952</v>
      </c>
      <c r="M96" s="137" t="s">
        <v>6952</v>
      </c>
      <c r="N96" s="123">
        <v>0</v>
      </c>
      <c r="S96" s="133"/>
    </row>
    <row r="97" spans="1:19" s="131" customFormat="1" ht="17">
      <c r="A97" s="129" t="s">
        <v>7586</v>
      </c>
      <c r="B97" s="129" t="s">
        <v>7587</v>
      </c>
      <c r="C97" s="130">
        <v>2012</v>
      </c>
      <c r="D97" s="135">
        <v>474</v>
      </c>
      <c r="E97" s="135">
        <v>64</v>
      </c>
      <c r="F97" s="135">
        <v>41</v>
      </c>
      <c r="G97" s="135">
        <v>23</v>
      </c>
      <c r="H97" s="135">
        <v>20</v>
      </c>
      <c r="I97" s="135" t="s">
        <v>6952</v>
      </c>
      <c r="J97" s="135" t="s">
        <v>6952</v>
      </c>
      <c r="K97" s="123" t="s">
        <v>6952</v>
      </c>
      <c r="L97" s="123" t="s">
        <v>6952</v>
      </c>
      <c r="M97" s="135" t="s">
        <v>6952</v>
      </c>
      <c r="N97" s="135">
        <v>0</v>
      </c>
      <c r="S97" s="133"/>
    </row>
    <row r="98" spans="1:19" s="131" customFormat="1" ht="17">
      <c r="A98" s="129" t="s">
        <v>7586</v>
      </c>
      <c r="B98" s="129" t="s">
        <v>7587</v>
      </c>
      <c r="C98" s="130">
        <v>2013</v>
      </c>
      <c r="D98" s="135">
        <v>480</v>
      </c>
      <c r="E98" s="135">
        <v>68</v>
      </c>
      <c r="F98" s="135">
        <v>47</v>
      </c>
      <c r="G98" s="135">
        <v>21</v>
      </c>
      <c r="H98" s="135">
        <v>30</v>
      </c>
      <c r="I98" s="135">
        <v>1</v>
      </c>
      <c r="J98" s="135">
        <v>1</v>
      </c>
      <c r="K98" s="123" t="s">
        <v>6952</v>
      </c>
      <c r="L98" s="135">
        <v>1</v>
      </c>
      <c r="M98" s="135">
        <v>1</v>
      </c>
      <c r="N98" s="123" t="s">
        <v>6952</v>
      </c>
    </row>
    <row r="99" spans="1:19" s="131" customFormat="1" ht="17">
      <c r="A99" s="129" t="s">
        <v>7586</v>
      </c>
      <c r="B99" s="129" t="s">
        <v>7587</v>
      </c>
      <c r="C99" s="130">
        <v>2014</v>
      </c>
      <c r="D99" s="123">
        <v>485</v>
      </c>
      <c r="E99" s="123">
        <v>63</v>
      </c>
      <c r="F99" s="123">
        <v>44</v>
      </c>
      <c r="G99" s="123">
        <v>19</v>
      </c>
      <c r="H99" s="123">
        <v>15</v>
      </c>
      <c r="I99" s="123">
        <v>6</v>
      </c>
      <c r="J99" s="123">
        <v>6</v>
      </c>
      <c r="K99" s="123" t="s">
        <v>6952</v>
      </c>
      <c r="L99" s="123">
        <v>9</v>
      </c>
      <c r="M99" s="123">
        <v>9</v>
      </c>
      <c r="N99" s="123" t="s">
        <v>6952</v>
      </c>
    </row>
    <row r="100" spans="1:19" s="131" customFormat="1" ht="17">
      <c r="A100" s="129" t="s">
        <v>7586</v>
      </c>
      <c r="B100" s="129" t="s">
        <v>7587</v>
      </c>
      <c r="C100" s="130">
        <v>2015</v>
      </c>
      <c r="D100" s="135">
        <v>491</v>
      </c>
      <c r="E100" s="135">
        <v>68</v>
      </c>
      <c r="F100" s="135">
        <v>46</v>
      </c>
      <c r="G100" s="135">
        <v>22</v>
      </c>
      <c r="H100" s="135">
        <v>25</v>
      </c>
      <c r="I100" s="135">
        <v>1</v>
      </c>
      <c r="J100" s="135">
        <v>1</v>
      </c>
      <c r="K100" s="123" t="s">
        <v>6952</v>
      </c>
      <c r="L100" s="135">
        <v>1</v>
      </c>
      <c r="M100" s="135">
        <v>1</v>
      </c>
      <c r="N100" s="123" t="s">
        <v>6952</v>
      </c>
      <c r="S100" s="133"/>
    </row>
    <row r="101" spans="1:19" s="131" customFormat="1" ht="17">
      <c r="A101" s="129" t="s">
        <v>7586</v>
      </c>
      <c r="B101" s="129" t="s">
        <v>7587</v>
      </c>
      <c r="C101" s="130">
        <v>2016</v>
      </c>
      <c r="D101" s="135">
        <v>534</v>
      </c>
      <c r="E101" s="135">
        <v>74</v>
      </c>
      <c r="F101" s="135">
        <v>42</v>
      </c>
      <c r="G101" s="135">
        <v>33</v>
      </c>
      <c r="H101" s="135">
        <v>19</v>
      </c>
      <c r="I101" s="135" t="s">
        <v>6952</v>
      </c>
      <c r="J101" s="135">
        <v>3</v>
      </c>
      <c r="K101" s="135">
        <v>2</v>
      </c>
      <c r="L101" s="135">
        <v>1</v>
      </c>
      <c r="M101" s="135">
        <v>2</v>
      </c>
      <c r="N101" s="123" t="s">
        <v>6952</v>
      </c>
    </row>
    <row r="102" spans="1:19" s="131" customFormat="1" ht="17">
      <c r="A102" s="129" t="s">
        <v>7586</v>
      </c>
      <c r="B102" s="129" t="s">
        <v>7587</v>
      </c>
      <c r="C102" s="130">
        <v>2017</v>
      </c>
      <c r="D102" s="135">
        <v>497</v>
      </c>
      <c r="E102" s="135">
        <v>66</v>
      </c>
      <c r="F102" s="135">
        <v>29</v>
      </c>
      <c r="G102" s="135">
        <v>37</v>
      </c>
      <c r="H102" s="135">
        <v>19</v>
      </c>
      <c r="I102" s="135">
        <v>1</v>
      </c>
      <c r="J102" s="135">
        <v>1</v>
      </c>
      <c r="K102" s="123" t="s">
        <v>6952</v>
      </c>
      <c r="L102" s="135">
        <v>3</v>
      </c>
      <c r="M102" s="135">
        <v>3</v>
      </c>
      <c r="N102" s="123" t="s">
        <v>6952</v>
      </c>
    </row>
    <row r="103" spans="1:19" s="131" customFormat="1" ht="17">
      <c r="A103" s="129" t="s">
        <v>7586</v>
      </c>
      <c r="B103" s="129" t="s">
        <v>7587</v>
      </c>
      <c r="C103" s="130">
        <v>2018</v>
      </c>
      <c r="D103" s="135">
        <v>485</v>
      </c>
      <c r="E103" s="135">
        <v>35</v>
      </c>
      <c r="F103" s="135">
        <v>25</v>
      </c>
      <c r="G103" s="135">
        <v>10</v>
      </c>
      <c r="H103" s="135">
        <v>8</v>
      </c>
      <c r="I103" s="135" t="s">
        <v>6952</v>
      </c>
      <c r="J103" s="135" t="s">
        <v>6952</v>
      </c>
      <c r="K103" s="123" t="s">
        <v>6952</v>
      </c>
      <c r="L103" s="123" t="s">
        <v>6952</v>
      </c>
      <c r="M103" s="135">
        <v>1</v>
      </c>
      <c r="N103" s="123" t="s">
        <v>6952</v>
      </c>
      <c r="S103" s="133"/>
    </row>
    <row r="104" spans="1:19" s="131" customFormat="1" ht="17">
      <c r="A104" s="129" t="s">
        <v>7586</v>
      </c>
      <c r="B104" s="129" t="s">
        <v>7587</v>
      </c>
      <c r="C104" s="130">
        <v>2019</v>
      </c>
      <c r="D104" s="135">
        <v>459</v>
      </c>
      <c r="E104" s="135">
        <v>53.686687999999997</v>
      </c>
      <c r="F104" s="135">
        <v>33.534035000000003</v>
      </c>
      <c r="G104" s="135">
        <v>21.917769</v>
      </c>
      <c r="H104" s="135">
        <v>20.053412999999999</v>
      </c>
      <c r="I104" s="135" t="s">
        <v>6952</v>
      </c>
      <c r="J104" s="135">
        <v>0.68099299999999996</v>
      </c>
      <c r="K104" s="135" t="s">
        <v>6952</v>
      </c>
      <c r="L104" s="135">
        <v>5.4049319999999996</v>
      </c>
      <c r="M104" s="135">
        <v>5.6467169999999998</v>
      </c>
      <c r="N104" s="135" t="s">
        <v>6952</v>
      </c>
      <c r="S104" s="133"/>
    </row>
    <row r="105" spans="1:19" s="131" customFormat="1" ht="17">
      <c r="A105" s="130" t="s">
        <v>7586</v>
      </c>
      <c r="B105" s="130" t="s">
        <v>7587</v>
      </c>
      <c r="C105" s="130">
        <v>2020</v>
      </c>
      <c r="D105" s="135">
        <v>434</v>
      </c>
      <c r="E105" s="135">
        <v>45.182487999999999</v>
      </c>
      <c r="F105" s="135">
        <v>22.145938999999998</v>
      </c>
      <c r="G105" s="135">
        <v>23.019418999999999</v>
      </c>
      <c r="H105" s="135">
        <v>13.477743</v>
      </c>
      <c r="I105" s="135" t="s">
        <v>6952</v>
      </c>
      <c r="J105" s="135">
        <v>0.63852200000000003</v>
      </c>
      <c r="K105" s="135" t="s">
        <v>6952</v>
      </c>
      <c r="L105" s="135">
        <v>4.1015990000000002</v>
      </c>
      <c r="M105" s="135">
        <v>4.4783460000000002</v>
      </c>
      <c r="N105" s="135" t="s">
        <v>6952</v>
      </c>
      <c r="S105" s="133"/>
    </row>
    <row r="106" spans="1:19" s="131" customFormat="1" ht="17">
      <c r="A106" s="129" t="s">
        <v>7588</v>
      </c>
      <c r="B106" s="129" t="s">
        <v>7589</v>
      </c>
      <c r="C106" s="130">
        <v>2008</v>
      </c>
      <c r="D106" s="123">
        <v>629</v>
      </c>
      <c r="E106" s="123">
        <v>245</v>
      </c>
      <c r="F106" s="123">
        <v>123</v>
      </c>
      <c r="G106" s="123">
        <v>122</v>
      </c>
      <c r="H106" s="123">
        <v>61</v>
      </c>
      <c r="I106" s="123">
        <v>2</v>
      </c>
      <c r="J106" s="123">
        <v>2</v>
      </c>
      <c r="K106" s="123" t="s">
        <v>6952</v>
      </c>
      <c r="L106" s="123" t="s">
        <v>6952</v>
      </c>
      <c r="M106" s="123" t="s">
        <v>6952</v>
      </c>
      <c r="N106" s="123" t="s">
        <v>6952</v>
      </c>
    </row>
    <row r="107" spans="1:19" s="131" customFormat="1" ht="17">
      <c r="A107" s="129" t="s">
        <v>7588</v>
      </c>
      <c r="B107" s="129" t="s">
        <v>7589</v>
      </c>
      <c r="C107" s="130">
        <v>2009</v>
      </c>
      <c r="D107" s="123">
        <v>437</v>
      </c>
      <c r="E107" s="123">
        <v>154</v>
      </c>
      <c r="F107" s="123">
        <v>64</v>
      </c>
      <c r="G107" s="123">
        <v>91</v>
      </c>
      <c r="H107" s="123">
        <v>38</v>
      </c>
      <c r="I107" s="123">
        <v>3</v>
      </c>
      <c r="J107" s="123">
        <v>4</v>
      </c>
      <c r="K107" s="123" t="s">
        <v>6952</v>
      </c>
      <c r="L107" s="123">
        <v>2</v>
      </c>
      <c r="M107" s="123">
        <v>1</v>
      </c>
      <c r="N107" s="123" t="s">
        <v>6952</v>
      </c>
      <c r="O107" s="132"/>
      <c r="S107" s="133"/>
    </row>
    <row r="108" spans="1:19" s="131" customFormat="1" ht="17">
      <c r="A108" s="129" t="s">
        <v>7588</v>
      </c>
      <c r="B108" s="129" t="s">
        <v>7589</v>
      </c>
      <c r="C108" s="130">
        <v>2010</v>
      </c>
      <c r="D108" s="123">
        <v>443</v>
      </c>
      <c r="E108" s="123">
        <v>117</v>
      </c>
      <c r="F108" s="123">
        <v>48</v>
      </c>
      <c r="G108" s="123">
        <v>69</v>
      </c>
      <c r="H108" s="123">
        <v>25</v>
      </c>
      <c r="I108" s="123">
        <v>2</v>
      </c>
      <c r="J108" s="123">
        <v>2</v>
      </c>
      <c r="K108" s="123" t="s">
        <v>6952</v>
      </c>
      <c r="L108" s="123">
        <v>4</v>
      </c>
      <c r="M108" s="123">
        <v>4</v>
      </c>
      <c r="N108" s="123" t="s">
        <v>6952</v>
      </c>
      <c r="O108" s="134"/>
      <c r="S108" s="133"/>
    </row>
    <row r="109" spans="1:19" s="131" customFormat="1" ht="17">
      <c r="A109" s="129" t="s">
        <v>7588</v>
      </c>
      <c r="B109" s="129" t="s">
        <v>7589</v>
      </c>
      <c r="C109" s="130">
        <v>2011</v>
      </c>
      <c r="D109" s="123">
        <v>471</v>
      </c>
      <c r="E109" s="123">
        <v>129</v>
      </c>
      <c r="F109" s="123">
        <v>49</v>
      </c>
      <c r="G109" s="123">
        <v>80</v>
      </c>
      <c r="H109" s="123">
        <v>25</v>
      </c>
      <c r="I109" s="123" t="s">
        <v>6952</v>
      </c>
      <c r="J109" s="123">
        <v>3</v>
      </c>
      <c r="K109" s="123">
        <v>3</v>
      </c>
      <c r="L109" s="123">
        <v>6</v>
      </c>
      <c r="M109" s="123">
        <v>6</v>
      </c>
      <c r="N109" s="123" t="s">
        <v>6952</v>
      </c>
      <c r="S109" s="133"/>
    </row>
    <row r="110" spans="1:19" s="131" customFormat="1" ht="17">
      <c r="A110" s="129" t="s">
        <v>7588</v>
      </c>
      <c r="B110" s="129" t="s">
        <v>7589</v>
      </c>
      <c r="C110" s="130">
        <v>2012</v>
      </c>
      <c r="D110" s="135">
        <v>522</v>
      </c>
      <c r="E110" s="135">
        <v>142</v>
      </c>
      <c r="F110" s="135">
        <v>62</v>
      </c>
      <c r="G110" s="135">
        <v>81</v>
      </c>
      <c r="H110" s="135">
        <v>34</v>
      </c>
      <c r="I110" s="135">
        <v>1</v>
      </c>
      <c r="J110" s="135">
        <v>2</v>
      </c>
      <c r="K110" s="123" t="s">
        <v>6952</v>
      </c>
      <c r="L110" s="135">
        <v>6</v>
      </c>
      <c r="M110" s="135">
        <v>6</v>
      </c>
      <c r="N110" s="135">
        <v>1</v>
      </c>
      <c r="S110" s="133"/>
    </row>
    <row r="111" spans="1:19" s="131" customFormat="1" ht="17">
      <c r="A111" s="129" t="s">
        <v>7588</v>
      </c>
      <c r="B111" s="129" t="s">
        <v>7589</v>
      </c>
      <c r="C111" s="130">
        <v>2013</v>
      </c>
      <c r="D111" s="135">
        <v>556</v>
      </c>
      <c r="E111" s="135">
        <v>144</v>
      </c>
      <c r="F111" s="135">
        <v>61</v>
      </c>
      <c r="G111" s="135">
        <v>84</v>
      </c>
      <c r="H111" s="135">
        <v>33</v>
      </c>
      <c r="I111" s="135">
        <v>4</v>
      </c>
      <c r="J111" s="135">
        <v>4</v>
      </c>
      <c r="K111" s="123" t="s">
        <v>6952</v>
      </c>
      <c r="L111" s="135">
        <v>5</v>
      </c>
      <c r="M111" s="135">
        <v>5</v>
      </c>
      <c r="N111" s="123" t="s">
        <v>6952</v>
      </c>
    </row>
    <row r="112" spans="1:19" s="131" customFormat="1" ht="17">
      <c r="A112" s="129" t="s">
        <v>7588</v>
      </c>
      <c r="B112" s="129" t="s">
        <v>7589</v>
      </c>
      <c r="C112" s="130">
        <v>2014</v>
      </c>
      <c r="D112" s="123">
        <v>590</v>
      </c>
      <c r="E112" s="123">
        <v>193</v>
      </c>
      <c r="F112" s="123">
        <v>78</v>
      </c>
      <c r="G112" s="123">
        <v>116</v>
      </c>
      <c r="H112" s="123">
        <v>29</v>
      </c>
      <c r="I112" s="123">
        <v>2</v>
      </c>
      <c r="J112" s="123">
        <v>3</v>
      </c>
      <c r="K112" s="123" t="s">
        <v>6952</v>
      </c>
      <c r="L112" s="123">
        <v>1</v>
      </c>
      <c r="M112" s="123">
        <v>1</v>
      </c>
      <c r="N112" s="123" t="s">
        <v>6952</v>
      </c>
    </row>
    <row r="113" spans="1:19" s="131" customFormat="1" ht="17">
      <c r="A113" s="129" t="s">
        <v>7588</v>
      </c>
      <c r="B113" s="129" t="s">
        <v>7589</v>
      </c>
      <c r="C113" s="130">
        <v>2015</v>
      </c>
      <c r="D113" s="135">
        <v>670</v>
      </c>
      <c r="E113" s="135">
        <v>165</v>
      </c>
      <c r="F113" s="135">
        <v>104</v>
      </c>
      <c r="G113" s="135">
        <v>61</v>
      </c>
      <c r="H113" s="135">
        <v>40</v>
      </c>
      <c r="I113" s="135">
        <v>4</v>
      </c>
      <c r="J113" s="135">
        <v>5</v>
      </c>
      <c r="K113" s="135">
        <v>1</v>
      </c>
      <c r="L113" s="135">
        <v>1</v>
      </c>
      <c r="M113" s="135">
        <v>1</v>
      </c>
      <c r="N113" s="123" t="s">
        <v>6952</v>
      </c>
      <c r="S113" s="133"/>
    </row>
    <row r="114" spans="1:19" s="131" customFormat="1" ht="17">
      <c r="A114" s="129" t="s">
        <v>7588</v>
      </c>
      <c r="B114" s="129" t="s">
        <v>7589</v>
      </c>
      <c r="C114" s="130">
        <v>2016</v>
      </c>
      <c r="D114" s="135">
        <v>722</v>
      </c>
      <c r="E114" s="135">
        <v>207</v>
      </c>
      <c r="F114" s="135">
        <v>105</v>
      </c>
      <c r="G114" s="135">
        <v>102</v>
      </c>
      <c r="H114" s="135">
        <v>45</v>
      </c>
      <c r="I114" s="135">
        <v>3</v>
      </c>
      <c r="J114" s="135">
        <v>5</v>
      </c>
      <c r="K114" s="135">
        <v>2</v>
      </c>
      <c r="L114" s="135">
        <v>2</v>
      </c>
      <c r="M114" s="135">
        <v>2</v>
      </c>
      <c r="N114" s="123" t="s">
        <v>6952</v>
      </c>
    </row>
    <row r="115" spans="1:19" s="131" customFormat="1" ht="17">
      <c r="A115" s="129" t="s">
        <v>7588</v>
      </c>
      <c r="B115" s="129" t="s">
        <v>7589</v>
      </c>
      <c r="C115" s="130">
        <v>2017</v>
      </c>
      <c r="D115" s="135">
        <v>757</v>
      </c>
      <c r="E115" s="135">
        <v>220</v>
      </c>
      <c r="F115" s="135">
        <v>73</v>
      </c>
      <c r="G115" s="135">
        <v>147</v>
      </c>
      <c r="H115" s="135">
        <v>51</v>
      </c>
      <c r="I115" s="135">
        <v>9</v>
      </c>
      <c r="J115" s="135">
        <v>9</v>
      </c>
      <c r="K115" s="135">
        <v>1</v>
      </c>
      <c r="L115" s="135">
        <v>2</v>
      </c>
      <c r="M115" s="135">
        <v>2</v>
      </c>
      <c r="N115" s="123" t="s">
        <v>6952</v>
      </c>
    </row>
    <row r="116" spans="1:19" s="131" customFormat="1" ht="17">
      <c r="A116" s="129" t="s">
        <v>7588</v>
      </c>
      <c r="B116" s="129" t="s">
        <v>7589</v>
      </c>
      <c r="C116" s="130">
        <v>2018</v>
      </c>
      <c r="D116" s="135">
        <v>770</v>
      </c>
      <c r="E116" s="135">
        <v>186</v>
      </c>
      <c r="F116" s="135">
        <v>127</v>
      </c>
      <c r="G116" s="135">
        <v>59</v>
      </c>
      <c r="H116" s="135">
        <v>48</v>
      </c>
      <c r="I116" s="135">
        <v>4</v>
      </c>
      <c r="J116" s="135">
        <v>4</v>
      </c>
      <c r="K116" s="135">
        <v>1</v>
      </c>
      <c r="L116" s="135">
        <v>5</v>
      </c>
      <c r="M116" s="135">
        <v>5</v>
      </c>
      <c r="N116" s="123" t="s">
        <v>6952</v>
      </c>
      <c r="S116" s="133"/>
    </row>
    <row r="117" spans="1:19" s="131" customFormat="1" ht="17">
      <c r="A117" s="129" t="s">
        <v>7588</v>
      </c>
      <c r="B117" s="129" t="s">
        <v>7589</v>
      </c>
      <c r="C117" s="130">
        <v>2019</v>
      </c>
      <c r="D117" s="135">
        <v>787</v>
      </c>
      <c r="E117" s="135">
        <v>233.19055599999999</v>
      </c>
      <c r="F117" s="135">
        <v>115.364553</v>
      </c>
      <c r="G117" s="135">
        <v>118.05159399999999</v>
      </c>
      <c r="H117" s="135">
        <v>47.322439000000003</v>
      </c>
      <c r="I117" s="135">
        <v>2.0473650000000001</v>
      </c>
      <c r="J117" s="135">
        <v>3.4735130000000001</v>
      </c>
      <c r="K117" s="135">
        <v>1.4261470000000001</v>
      </c>
      <c r="L117" s="135">
        <v>4.4362740000000001</v>
      </c>
      <c r="M117" s="135">
        <v>3.8171529999999998</v>
      </c>
      <c r="N117" s="135">
        <v>0.61912100000000003</v>
      </c>
      <c r="S117" s="133"/>
    </row>
    <row r="118" spans="1:19" s="131" customFormat="1" ht="17">
      <c r="A118" s="130" t="s">
        <v>7588</v>
      </c>
      <c r="B118" s="130" t="s">
        <v>7589</v>
      </c>
      <c r="C118" s="130">
        <v>2020</v>
      </c>
      <c r="D118" s="135">
        <v>808</v>
      </c>
      <c r="E118" s="135">
        <v>149.06993399999999</v>
      </c>
      <c r="F118" s="135">
        <v>102.22976800000001</v>
      </c>
      <c r="G118" s="135">
        <v>50.025497999999999</v>
      </c>
      <c r="H118" s="135">
        <v>47.127211000000003</v>
      </c>
      <c r="I118" s="135">
        <v>12.845412</v>
      </c>
      <c r="J118" s="135">
        <v>13.181896</v>
      </c>
      <c r="K118" s="135" t="s">
        <v>6952</v>
      </c>
      <c r="L118" s="135">
        <v>9.5530639999999991</v>
      </c>
      <c r="M118" s="135">
        <v>10.850141000000001</v>
      </c>
      <c r="N118" s="135">
        <v>-1.297077</v>
      </c>
      <c r="S118" s="133"/>
    </row>
    <row r="119" spans="1:19" s="131" customFormat="1" ht="17">
      <c r="A119" s="129" t="s">
        <v>7590</v>
      </c>
      <c r="B119" s="129" t="s">
        <v>7591</v>
      </c>
      <c r="C119" s="130">
        <v>2008</v>
      </c>
      <c r="D119" s="123">
        <v>325</v>
      </c>
      <c r="E119" s="123">
        <v>49</v>
      </c>
      <c r="F119" s="123">
        <v>26</v>
      </c>
      <c r="G119" s="123">
        <v>23</v>
      </c>
      <c r="H119" s="123">
        <v>7</v>
      </c>
      <c r="I119" s="123">
        <v>1</v>
      </c>
      <c r="J119" s="123">
        <v>1</v>
      </c>
      <c r="K119" s="123">
        <v>0</v>
      </c>
      <c r="L119" s="123">
        <v>0</v>
      </c>
      <c r="M119" s="123">
        <v>0</v>
      </c>
      <c r="N119" s="123">
        <v>0</v>
      </c>
      <c r="S119" s="133"/>
    </row>
    <row r="120" spans="1:19" s="131" customFormat="1" ht="17">
      <c r="A120" s="129" t="s">
        <v>7590</v>
      </c>
      <c r="B120" s="129" t="s">
        <v>7591</v>
      </c>
      <c r="C120" s="130">
        <v>2009</v>
      </c>
      <c r="D120" s="123">
        <v>298</v>
      </c>
      <c r="E120" s="123">
        <v>48</v>
      </c>
      <c r="F120" s="123">
        <v>20</v>
      </c>
      <c r="G120" s="123">
        <v>27</v>
      </c>
      <c r="H120" s="123">
        <v>11</v>
      </c>
      <c r="I120" s="123" t="s">
        <v>6952</v>
      </c>
      <c r="J120" s="123" t="s">
        <v>6952</v>
      </c>
      <c r="K120" s="123" t="s">
        <v>6952</v>
      </c>
      <c r="L120" s="123" t="s">
        <v>6952</v>
      </c>
      <c r="M120" s="123">
        <v>1</v>
      </c>
      <c r="N120" s="123" t="s">
        <v>6952</v>
      </c>
      <c r="O120" s="132"/>
      <c r="S120" s="133"/>
    </row>
    <row r="121" spans="1:19" s="131" customFormat="1" ht="17">
      <c r="A121" s="129" t="s">
        <v>7590</v>
      </c>
      <c r="B121" s="129" t="s">
        <v>7591</v>
      </c>
      <c r="C121" s="130">
        <v>2010</v>
      </c>
      <c r="D121" s="123">
        <v>289</v>
      </c>
      <c r="E121" s="123">
        <v>63</v>
      </c>
      <c r="F121" s="123">
        <v>23</v>
      </c>
      <c r="G121" s="123">
        <v>39</v>
      </c>
      <c r="H121" s="123">
        <v>10</v>
      </c>
      <c r="I121" s="123">
        <v>2</v>
      </c>
      <c r="J121" s="123">
        <v>2</v>
      </c>
      <c r="K121" s="123" t="s">
        <v>6952</v>
      </c>
      <c r="L121" s="123">
        <v>1</v>
      </c>
      <c r="M121" s="123">
        <v>2</v>
      </c>
      <c r="N121" s="123">
        <v>-1</v>
      </c>
      <c r="O121" s="134"/>
      <c r="S121" s="133"/>
    </row>
    <row r="122" spans="1:19" s="131" customFormat="1" ht="17">
      <c r="A122" s="129" t="s">
        <v>7590</v>
      </c>
      <c r="B122" s="129" t="s">
        <v>7591</v>
      </c>
      <c r="C122" s="130">
        <v>2011</v>
      </c>
      <c r="D122" s="123">
        <v>299</v>
      </c>
      <c r="E122" s="123">
        <v>70</v>
      </c>
      <c r="F122" s="123">
        <v>54</v>
      </c>
      <c r="G122" s="123">
        <v>15</v>
      </c>
      <c r="H122" s="123">
        <v>10</v>
      </c>
      <c r="I122" s="123">
        <v>3</v>
      </c>
      <c r="J122" s="123">
        <v>3</v>
      </c>
      <c r="K122" s="123" t="s">
        <v>6952</v>
      </c>
      <c r="L122" s="123" t="s">
        <v>6952</v>
      </c>
      <c r="M122" s="123" t="s">
        <v>6952</v>
      </c>
      <c r="N122" s="123">
        <v>0</v>
      </c>
      <c r="S122" s="133"/>
    </row>
    <row r="123" spans="1:19" s="131" customFormat="1" ht="17">
      <c r="A123" s="129" t="s">
        <v>7590</v>
      </c>
      <c r="B123" s="129" t="s">
        <v>7591</v>
      </c>
      <c r="C123" s="130">
        <v>2012</v>
      </c>
      <c r="D123" s="135">
        <v>298</v>
      </c>
      <c r="E123" s="135">
        <v>77</v>
      </c>
      <c r="F123" s="135">
        <v>39</v>
      </c>
      <c r="G123" s="135">
        <v>38</v>
      </c>
      <c r="H123" s="135">
        <v>6</v>
      </c>
      <c r="I123" s="135">
        <v>1</v>
      </c>
      <c r="J123" s="135">
        <v>1</v>
      </c>
      <c r="K123" s="123" t="s">
        <v>6952</v>
      </c>
      <c r="L123" s="135">
        <v>0</v>
      </c>
      <c r="M123" s="135">
        <v>0</v>
      </c>
      <c r="N123" s="135">
        <v>0</v>
      </c>
      <c r="S123" s="133"/>
    </row>
    <row r="124" spans="1:19" s="131" customFormat="1" ht="17">
      <c r="A124" s="129" t="s">
        <v>7590</v>
      </c>
      <c r="B124" s="129" t="s">
        <v>7591</v>
      </c>
      <c r="C124" s="130">
        <v>2013</v>
      </c>
      <c r="D124" s="135">
        <v>303</v>
      </c>
      <c r="E124" s="135">
        <v>110</v>
      </c>
      <c r="F124" s="135">
        <v>58</v>
      </c>
      <c r="G124" s="135">
        <v>53</v>
      </c>
      <c r="H124" s="135">
        <v>12</v>
      </c>
      <c r="I124" s="135">
        <v>4</v>
      </c>
      <c r="J124" s="135">
        <v>4</v>
      </c>
      <c r="K124" s="123" t="s">
        <v>6952</v>
      </c>
      <c r="L124" s="135">
        <v>3</v>
      </c>
      <c r="M124" s="135">
        <v>2</v>
      </c>
      <c r="N124" s="135">
        <v>1</v>
      </c>
    </row>
    <row r="125" spans="1:19" s="131" customFormat="1" ht="17">
      <c r="A125" s="129" t="s">
        <v>7590</v>
      </c>
      <c r="B125" s="129" t="s">
        <v>7591</v>
      </c>
      <c r="C125" s="130">
        <v>2014</v>
      </c>
      <c r="D125" s="123">
        <v>319</v>
      </c>
      <c r="E125" s="123">
        <v>77</v>
      </c>
      <c r="F125" s="123">
        <v>43</v>
      </c>
      <c r="G125" s="123">
        <v>34</v>
      </c>
      <c r="H125" s="123">
        <v>17</v>
      </c>
      <c r="I125" s="123">
        <v>4</v>
      </c>
      <c r="J125" s="123">
        <v>4</v>
      </c>
      <c r="K125" s="123" t="s">
        <v>6952</v>
      </c>
      <c r="L125" s="123">
        <v>4</v>
      </c>
      <c r="M125" s="123">
        <v>4</v>
      </c>
      <c r="N125" s="123" t="s">
        <v>6952</v>
      </c>
    </row>
    <row r="126" spans="1:19" s="131" customFormat="1" ht="17">
      <c r="A126" s="129" t="s">
        <v>7590</v>
      </c>
      <c r="B126" s="129" t="s">
        <v>7591</v>
      </c>
      <c r="C126" s="130">
        <v>2015</v>
      </c>
      <c r="D126" s="135">
        <v>319</v>
      </c>
      <c r="E126" s="135">
        <v>99</v>
      </c>
      <c r="F126" s="135">
        <v>32</v>
      </c>
      <c r="G126" s="135">
        <v>66</v>
      </c>
      <c r="H126" s="135">
        <v>29</v>
      </c>
      <c r="I126" s="135">
        <v>1</v>
      </c>
      <c r="J126" s="135">
        <v>2</v>
      </c>
      <c r="K126" s="123" t="s">
        <v>6952</v>
      </c>
      <c r="L126" s="135">
        <v>6</v>
      </c>
      <c r="M126" s="135">
        <v>7</v>
      </c>
      <c r="N126" s="135">
        <v>-1</v>
      </c>
      <c r="S126" s="133"/>
    </row>
    <row r="127" spans="1:19" s="131" customFormat="1" ht="17">
      <c r="A127" s="129" t="s">
        <v>7590</v>
      </c>
      <c r="B127" s="129" t="s">
        <v>7591</v>
      </c>
      <c r="C127" s="130">
        <v>2016</v>
      </c>
      <c r="D127" s="135">
        <v>349</v>
      </c>
      <c r="E127" s="135">
        <v>118</v>
      </c>
      <c r="F127" s="135">
        <v>51</v>
      </c>
      <c r="G127" s="135">
        <v>67</v>
      </c>
      <c r="H127" s="135">
        <v>23</v>
      </c>
      <c r="I127" s="135">
        <v>1</v>
      </c>
      <c r="J127" s="135">
        <v>1</v>
      </c>
      <c r="K127" s="123" t="s">
        <v>6952</v>
      </c>
      <c r="L127" s="135">
        <v>10</v>
      </c>
      <c r="M127" s="135">
        <v>10</v>
      </c>
      <c r="N127" s="135">
        <v>-1</v>
      </c>
    </row>
    <row r="128" spans="1:19" s="131" customFormat="1" ht="17">
      <c r="A128" s="129" t="s">
        <v>7590</v>
      </c>
      <c r="B128" s="129" t="s">
        <v>7591</v>
      </c>
      <c r="C128" s="130">
        <v>2017</v>
      </c>
      <c r="D128" s="135">
        <v>353</v>
      </c>
      <c r="E128" s="135">
        <v>136</v>
      </c>
      <c r="F128" s="135">
        <v>75</v>
      </c>
      <c r="G128" s="135">
        <v>61</v>
      </c>
      <c r="H128" s="135">
        <v>23</v>
      </c>
      <c r="I128" s="135">
        <v>7</v>
      </c>
      <c r="J128" s="135">
        <v>7</v>
      </c>
      <c r="K128" s="123" t="s">
        <v>6952</v>
      </c>
      <c r="L128" s="135">
        <v>2</v>
      </c>
      <c r="M128" s="135">
        <v>2</v>
      </c>
      <c r="N128" s="135" t="s">
        <v>6952</v>
      </c>
    </row>
    <row r="129" spans="1:19" s="131" customFormat="1" ht="17">
      <c r="A129" s="129" t="s">
        <v>7590</v>
      </c>
      <c r="B129" s="129" t="s">
        <v>7591</v>
      </c>
      <c r="C129" s="130">
        <v>2018</v>
      </c>
      <c r="D129" s="135">
        <v>341</v>
      </c>
      <c r="E129" s="135">
        <v>127</v>
      </c>
      <c r="F129" s="135">
        <v>105</v>
      </c>
      <c r="G129" s="135">
        <v>49</v>
      </c>
      <c r="H129" s="135">
        <v>25</v>
      </c>
      <c r="I129" s="135">
        <v>4</v>
      </c>
      <c r="J129" s="135">
        <v>5</v>
      </c>
      <c r="K129" s="123" t="s">
        <v>6952</v>
      </c>
      <c r="L129" s="135">
        <v>54</v>
      </c>
      <c r="M129" s="135">
        <v>28</v>
      </c>
      <c r="N129" s="135">
        <v>27</v>
      </c>
      <c r="S129" s="133"/>
    </row>
    <row r="130" spans="1:19" s="131" customFormat="1" ht="17">
      <c r="A130" s="129" t="s">
        <v>7590</v>
      </c>
      <c r="B130" s="129" t="s">
        <v>7591</v>
      </c>
      <c r="C130" s="130">
        <v>2019</v>
      </c>
      <c r="D130" s="135">
        <v>347</v>
      </c>
      <c r="E130" s="135">
        <v>152.825728</v>
      </c>
      <c r="F130" s="135">
        <v>57.153953000000001</v>
      </c>
      <c r="G130" s="135">
        <v>97.552426999999994</v>
      </c>
      <c r="H130" s="135">
        <v>38.84046</v>
      </c>
      <c r="I130" s="135">
        <v>4.5299490000000002</v>
      </c>
      <c r="J130" s="135">
        <v>4.6230450000000003</v>
      </c>
      <c r="K130" s="135" t="s">
        <v>6952</v>
      </c>
      <c r="L130" s="135">
        <v>5.6567769999999999</v>
      </c>
      <c r="M130" s="135">
        <v>4.455381</v>
      </c>
      <c r="N130" s="135">
        <v>1.2013959999999999</v>
      </c>
      <c r="S130" s="133"/>
    </row>
    <row r="131" spans="1:19" s="131" customFormat="1" ht="17">
      <c r="A131" s="130" t="s">
        <v>7590</v>
      </c>
      <c r="B131" s="130" t="s">
        <v>7591</v>
      </c>
      <c r="C131" s="130">
        <v>2020</v>
      </c>
      <c r="D131" s="135">
        <v>339</v>
      </c>
      <c r="E131" s="135">
        <v>94.521101999999999</v>
      </c>
      <c r="F131" s="135">
        <v>31.781414000000002</v>
      </c>
      <c r="G131" s="135">
        <v>65.850668999999996</v>
      </c>
      <c r="H131" s="135">
        <v>23.281738000000001</v>
      </c>
      <c r="I131" s="135">
        <v>7.1402150000000004</v>
      </c>
      <c r="J131" s="135">
        <v>7.3194220000000003</v>
      </c>
      <c r="K131" s="135" t="s">
        <v>6952</v>
      </c>
      <c r="L131" s="135">
        <v>5.5949939999999998</v>
      </c>
      <c r="M131" s="135">
        <v>2.51681</v>
      </c>
      <c r="N131" s="135">
        <v>3.0781839999999998</v>
      </c>
      <c r="S131" s="133"/>
    </row>
    <row r="132" spans="1:19" s="131" customFormat="1" ht="17">
      <c r="A132" s="129" t="s">
        <v>7592</v>
      </c>
      <c r="B132" s="129" t="s">
        <v>7593</v>
      </c>
      <c r="C132" s="130">
        <v>2008</v>
      </c>
      <c r="D132" s="123">
        <v>573</v>
      </c>
      <c r="E132" s="123">
        <v>56</v>
      </c>
      <c r="F132" s="123">
        <v>29</v>
      </c>
      <c r="G132" s="123">
        <v>27</v>
      </c>
      <c r="H132" s="123">
        <v>14</v>
      </c>
      <c r="I132" s="123" t="s">
        <v>6952</v>
      </c>
      <c r="J132" s="123" t="s">
        <v>6952</v>
      </c>
      <c r="K132" s="123">
        <v>0</v>
      </c>
      <c r="L132" s="123">
        <v>1</v>
      </c>
      <c r="M132" s="123">
        <v>1</v>
      </c>
      <c r="N132" s="123" t="s">
        <v>6952</v>
      </c>
      <c r="S132" s="133"/>
    </row>
    <row r="133" spans="1:19" s="131" customFormat="1" ht="17">
      <c r="A133" s="129" t="s">
        <v>7592</v>
      </c>
      <c r="B133" s="129" t="s">
        <v>7593</v>
      </c>
      <c r="C133" s="130">
        <v>2009</v>
      </c>
      <c r="D133" s="123">
        <v>337</v>
      </c>
      <c r="E133" s="123">
        <v>45</v>
      </c>
      <c r="F133" s="123">
        <v>26</v>
      </c>
      <c r="G133" s="123">
        <v>18</v>
      </c>
      <c r="H133" s="123">
        <v>12</v>
      </c>
      <c r="I133" s="123">
        <v>3</v>
      </c>
      <c r="J133" s="123">
        <v>3</v>
      </c>
      <c r="K133" s="123" t="s">
        <v>6952</v>
      </c>
      <c r="L133" s="123" t="s">
        <v>6952</v>
      </c>
      <c r="M133" s="123" t="s">
        <v>6952</v>
      </c>
      <c r="N133" s="123" t="s">
        <v>6952</v>
      </c>
      <c r="O133" s="132"/>
      <c r="S133" s="133"/>
    </row>
    <row r="134" spans="1:19" s="131" customFormat="1" ht="17">
      <c r="A134" s="129" t="s">
        <v>7592</v>
      </c>
      <c r="B134" s="129" t="s">
        <v>7593</v>
      </c>
      <c r="C134" s="130">
        <v>2010</v>
      </c>
      <c r="D134" s="123">
        <v>383</v>
      </c>
      <c r="E134" s="123">
        <v>72</v>
      </c>
      <c r="F134" s="123">
        <v>23</v>
      </c>
      <c r="G134" s="123">
        <v>49</v>
      </c>
      <c r="H134" s="123">
        <v>18</v>
      </c>
      <c r="I134" s="123">
        <v>1</v>
      </c>
      <c r="J134" s="123">
        <v>1</v>
      </c>
      <c r="K134" s="123" t="s">
        <v>6952</v>
      </c>
      <c r="L134" s="123">
        <v>2</v>
      </c>
      <c r="M134" s="123">
        <v>2</v>
      </c>
      <c r="N134" s="123" t="s">
        <v>6952</v>
      </c>
      <c r="O134" s="134"/>
      <c r="S134" s="133"/>
    </row>
    <row r="135" spans="1:19" s="131" customFormat="1" ht="17">
      <c r="A135" s="129" t="s">
        <v>7592</v>
      </c>
      <c r="B135" s="129" t="s">
        <v>7593</v>
      </c>
      <c r="C135" s="130">
        <v>2011</v>
      </c>
      <c r="D135" s="123">
        <v>451</v>
      </c>
      <c r="E135" s="123">
        <v>84</v>
      </c>
      <c r="F135" s="123">
        <v>42</v>
      </c>
      <c r="G135" s="123">
        <v>42</v>
      </c>
      <c r="H135" s="123">
        <v>12</v>
      </c>
      <c r="I135" s="123" t="s">
        <v>6952</v>
      </c>
      <c r="J135" s="123" t="s">
        <v>6952</v>
      </c>
      <c r="K135" s="123" t="s">
        <v>6952</v>
      </c>
      <c r="L135" s="123" t="s">
        <v>6952</v>
      </c>
      <c r="M135" s="123" t="s">
        <v>6952</v>
      </c>
      <c r="N135" s="123" t="s">
        <v>6952</v>
      </c>
      <c r="S135" s="133"/>
    </row>
    <row r="136" spans="1:19" s="131" customFormat="1" ht="17">
      <c r="A136" s="129" t="s">
        <v>7592</v>
      </c>
      <c r="B136" s="129" t="s">
        <v>7593</v>
      </c>
      <c r="C136" s="130">
        <v>2012</v>
      </c>
      <c r="D136" s="135">
        <v>462</v>
      </c>
      <c r="E136" s="135">
        <v>90</v>
      </c>
      <c r="F136" s="135">
        <v>54</v>
      </c>
      <c r="G136" s="135">
        <v>37</v>
      </c>
      <c r="H136" s="135">
        <v>19</v>
      </c>
      <c r="I136" s="135">
        <v>3</v>
      </c>
      <c r="J136" s="135">
        <v>4</v>
      </c>
      <c r="K136" s="135">
        <v>1</v>
      </c>
      <c r="L136" s="123" t="s">
        <v>6952</v>
      </c>
      <c r="M136" s="123" t="s">
        <v>6952</v>
      </c>
      <c r="N136" s="123" t="s">
        <v>6952</v>
      </c>
      <c r="S136" s="133"/>
    </row>
    <row r="137" spans="1:19" s="131" customFormat="1" ht="17">
      <c r="A137" s="129" t="s">
        <v>7592</v>
      </c>
      <c r="B137" s="129" t="s">
        <v>7593</v>
      </c>
      <c r="C137" s="130">
        <v>2013</v>
      </c>
      <c r="D137" s="135">
        <v>524</v>
      </c>
      <c r="E137" s="135">
        <v>83</v>
      </c>
      <c r="F137" s="135">
        <v>40</v>
      </c>
      <c r="G137" s="135">
        <v>43</v>
      </c>
      <c r="H137" s="135">
        <v>25</v>
      </c>
      <c r="I137" s="123" t="s">
        <v>6952</v>
      </c>
      <c r="J137" s="135">
        <v>1</v>
      </c>
      <c r="K137" s="123" t="s">
        <v>6952</v>
      </c>
      <c r="L137" s="123" t="s">
        <v>6952</v>
      </c>
      <c r="M137" s="135">
        <v>1</v>
      </c>
      <c r="N137" s="123" t="s">
        <v>6952</v>
      </c>
    </row>
    <row r="138" spans="1:19" s="131" customFormat="1" ht="17">
      <c r="A138" s="129" t="s">
        <v>7592</v>
      </c>
      <c r="B138" s="129" t="s">
        <v>7593</v>
      </c>
      <c r="C138" s="130">
        <v>2014</v>
      </c>
      <c r="D138" s="123">
        <v>544</v>
      </c>
      <c r="E138" s="123">
        <v>107</v>
      </c>
      <c r="F138" s="123">
        <v>31</v>
      </c>
      <c r="G138" s="123">
        <v>76</v>
      </c>
      <c r="H138" s="123">
        <v>28</v>
      </c>
      <c r="I138" s="123">
        <v>3</v>
      </c>
      <c r="J138" s="123">
        <v>4</v>
      </c>
      <c r="K138" s="123">
        <v>1</v>
      </c>
      <c r="L138" s="123">
        <v>1</v>
      </c>
      <c r="M138" s="123">
        <v>1</v>
      </c>
      <c r="N138" s="123" t="s">
        <v>6952</v>
      </c>
    </row>
    <row r="139" spans="1:19" s="131" customFormat="1" ht="17">
      <c r="A139" s="129" t="s">
        <v>7592</v>
      </c>
      <c r="B139" s="129" t="s">
        <v>7593</v>
      </c>
      <c r="C139" s="130">
        <v>2015</v>
      </c>
      <c r="D139" s="135">
        <v>618</v>
      </c>
      <c r="E139" s="135">
        <v>146</v>
      </c>
      <c r="F139" s="135">
        <v>67</v>
      </c>
      <c r="G139" s="135">
        <v>79</v>
      </c>
      <c r="H139" s="135">
        <v>39</v>
      </c>
      <c r="I139" s="135">
        <v>2</v>
      </c>
      <c r="J139" s="135">
        <v>4</v>
      </c>
      <c r="K139" s="135">
        <v>2</v>
      </c>
      <c r="L139" s="123" t="s">
        <v>6952</v>
      </c>
      <c r="M139" s="123" t="s">
        <v>6952</v>
      </c>
      <c r="N139" s="123" t="s">
        <v>6952</v>
      </c>
      <c r="S139" s="133"/>
    </row>
    <row r="140" spans="1:19" s="131" customFormat="1" ht="17">
      <c r="A140" s="129" t="s">
        <v>7592</v>
      </c>
      <c r="B140" s="129" t="s">
        <v>7593</v>
      </c>
      <c r="C140" s="130">
        <v>2016</v>
      </c>
      <c r="D140" s="135">
        <v>718</v>
      </c>
      <c r="E140" s="135">
        <v>176</v>
      </c>
      <c r="F140" s="135">
        <v>107</v>
      </c>
      <c r="G140" s="135">
        <v>70</v>
      </c>
      <c r="H140" s="135">
        <v>48</v>
      </c>
      <c r="I140" s="135">
        <v>3</v>
      </c>
      <c r="J140" s="135">
        <v>4</v>
      </c>
      <c r="K140" s="135">
        <v>1</v>
      </c>
      <c r="L140" s="135">
        <v>3</v>
      </c>
      <c r="M140" s="135">
        <v>2</v>
      </c>
      <c r="N140" s="135">
        <v>1</v>
      </c>
    </row>
    <row r="141" spans="1:19" s="131" customFormat="1" ht="17">
      <c r="A141" s="129" t="s">
        <v>7592</v>
      </c>
      <c r="B141" s="129" t="s">
        <v>7593</v>
      </c>
      <c r="C141" s="130">
        <v>2017</v>
      </c>
      <c r="D141" s="135">
        <v>719</v>
      </c>
      <c r="E141" s="135">
        <v>196</v>
      </c>
      <c r="F141" s="135">
        <v>79</v>
      </c>
      <c r="G141" s="135">
        <v>119</v>
      </c>
      <c r="H141" s="135">
        <v>55</v>
      </c>
      <c r="I141" s="135">
        <v>6</v>
      </c>
      <c r="J141" s="135">
        <v>7</v>
      </c>
      <c r="K141" s="123" t="s">
        <v>6952</v>
      </c>
      <c r="L141" s="135">
        <v>6</v>
      </c>
      <c r="M141" s="135">
        <v>3</v>
      </c>
      <c r="N141" s="135">
        <v>2</v>
      </c>
    </row>
    <row r="142" spans="1:19" s="131" customFormat="1" ht="17">
      <c r="A142" s="129" t="s">
        <v>7592</v>
      </c>
      <c r="B142" s="129" t="s">
        <v>7593</v>
      </c>
      <c r="C142" s="130">
        <v>2018</v>
      </c>
      <c r="D142" s="135">
        <v>733</v>
      </c>
      <c r="E142" s="135">
        <v>164</v>
      </c>
      <c r="F142" s="135">
        <v>83</v>
      </c>
      <c r="G142" s="135">
        <v>81</v>
      </c>
      <c r="H142" s="135">
        <v>51</v>
      </c>
      <c r="I142" s="135">
        <v>5</v>
      </c>
      <c r="J142" s="135">
        <v>6</v>
      </c>
      <c r="K142" s="135">
        <v>2</v>
      </c>
      <c r="L142" s="135">
        <v>1</v>
      </c>
      <c r="M142" s="135">
        <v>1</v>
      </c>
      <c r="N142" s="135">
        <v>-1</v>
      </c>
      <c r="S142" s="133"/>
    </row>
    <row r="143" spans="1:19" s="131" customFormat="1" ht="17">
      <c r="A143" s="129" t="s">
        <v>7592</v>
      </c>
      <c r="B143" s="129" t="s">
        <v>7593</v>
      </c>
      <c r="C143" s="130">
        <v>2019</v>
      </c>
      <c r="D143" s="135">
        <v>728</v>
      </c>
      <c r="E143" s="135">
        <v>246.678979</v>
      </c>
      <c r="F143" s="135">
        <v>128.99995200000001</v>
      </c>
      <c r="G143" s="135">
        <v>120.762277</v>
      </c>
      <c r="H143" s="135">
        <v>44.721335000000003</v>
      </c>
      <c r="I143" s="135">
        <v>13.547589</v>
      </c>
      <c r="J143" s="135">
        <v>14.787004</v>
      </c>
      <c r="K143" s="135">
        <v>1.2394149999999999</v>
      </c>
      <c r="L143" s="135">
        <v>14.629151999999999</v>
      </c>
      <c r="M143" s="135">
        <v>11.546844999999999</v>
      </c>
      <c r="N143" s="135">
        <v>3.0823070000000001</v>
      </c>
      <c r="S143" s="133"/>
    </row>
    <row r="144" spans="1:19" s="131" customFormat="1" ht="17">
      <c r="A144" s="130" t="s">
        <v>7592</v>
      </c>
      <c r="B144" s="130" t="s">
        <v>7593</v>
      </c>
      <c r="C144" s="130">
        <v>2020</v>
      </c>
      <c r="D144" s="135">
        <v>739</v>
      </c>
      <c r="E144" s="135">
        <v>146.61555899999999</v>
      </c>
      <c r="F144" s="135">
        <v>51.456592999999998</v>
      </c>
      <c r="G144" s="135">
        <v>105.238562</v>
      </c>
      <c r="H144" s="135">
        <v>61.297975999999998</v>
      </c>
      <c r="I144" s="135">
        <v>7.4990399999999999</v>
      </c>
      <c r="J144" s="135">
        <v>7.7989259999999998</v>
      </c>
      <c r="K144" s="135" t="s">
        <v>6952</v>
      </c>
      <c r="L144" s="135">
        <v>14.170748</v>
      </c>
      <c r="M144" s="135">
        <v>10.926634999999999</v>
      </c>
      <c r="N144" s="135">
        <v>3.244113</v>
      </c>
      <c r="S144" s="133"/>
    </row>
    <row r="145" spans="1:14" ht="17">
      <c r="A145" s="130" t="s">
        <v>7594</v>
      </c>
      <c r="B145" s="130" t="s">
        <v>7595</v>
      </c>
      <c r="C145" s="130">
        <v>2008</v>
      </c>
      <c r="D145" s="123">
        <v>3627</v>
      </c>
      <c r="E145" s="123">
        <v>9934</v>
      </c>
      <c r="F145" s="123">
        <v>4696</v>
      </c>
      <c r="G145" s="123">
        <v>5232</v>
      </c>
      <c r="H145" s="123">
        <v>1086</v>
      </c>
      <c r="I145" s="123">
        <v>1051</v>
      </c>
      <c r="J145" s="123">
        <v>4345</v>
      </c>
      <c r="K145" s="123">
        <v>3294</v>
      </c>
      <c r="L145" s="123">
        <v>41</v>
      </c>
      <c r="M145" s="123">
        <v>47</v>
      </c>
      <c r="N145" s="138">
        <v>-5</v>
      </c>
    </row>
    <row r="146" spans="1:14" ht="17">
      <c r="A146" s="130" t="s">
        <v>7594</v>
      </c>
      <c r="B146" s="130" t="s">
        <v>7595</v>
      </c>
      <c r="C146" s="130">
        <v>2009</v>
      </c>
      <c r="D146" s="123">
        <v>3709</v>
      </c>
      <c r="E146" s="123">
        <v>9279</v>
      </c>
      <c r="F146" s="123">
        <v>4491</v>
      </c>
      <c r="G146" s="123">
        <v>4786</v>
      </c>
      <c r="H146" s="123">
        <v>1003</v>
      </c>
      <c r="I146" s="123">
        <v>1184</v>
      </c>
      <c r="J146" s="123">
        <v>3359</v>
      </c>
      <c r="K146" s="123">
        <v>2175</v>
      </c>
      <c r="L146" s="123">
        <v>44</v>
      </c>
      <c r="M146" s="123">
        <v>52</v>
      </c>
      <c r="N146" s="138">
        <v>-8</v>
      </c>
    </row>
    <row r="147" spans="1:14" ht="17">
      <c r="A147" s="130" t="s">
        <v>7594</v>
      </c>
      <c r="B147" s="130" t="s">
        <v>7595</v>
      </c>
      <c r="C147" s="130">
        <v>2010</v>
      </c>
      <c r="D147" s="123">
        <v>3684</v>
      </c>
      <c r="E147" s="123">
        <v>11197</v>
      </c>
      <c r="F147" s="123">
        <v>6096</v>
      </c>
      <c r="G147" s="123">
        <v>5112</v>
      </c>
      <c r="H147" s="123">
        <v>987</v>
      </c>
      <c r="I147" s="123">
        <v>1902</v>
      </c>
      <c r="J147" s="123">
        <v>5286</v>
      </c>
      <c r="K147" s="123">
        <v>3384</v>
      </c>
      <c r="L147" s="123">
        <v>21</v>
      </c>
      <c r="M147" s="123">
        <v>49</v>
      </c>
      <c r="N147" s="138">
        <v>-27</v>
      </c>
    </row>
    <row r="148" spans="1:14" ht="17">
      <c r="A148" s="130" t="s">
        <v>7594</v>
      </c>
      <c r="B148" s="130" t="s">
        <v>7595</v>
      </c>
      <c r="C148" s="130">
        <v>2011</v>
      </c>
      <c r="D148" s="123">
        <v>3699</v>
      </c>
      <c r="E148" s="123">
        <v>12349</v>
      </c>
      <c r="F148" s="123">
        <v>7410</v>
      </c>
      <c r="G148" s="123">
        <v>4973</v>
      </c>
      <c r="H148" s="123">
        <v>1042</v>
      </c>
      <c r="I148" s="123">
        <v>3424</v>
      </c>
      <c r="J148" s="123">
        <v>7216</v>
      </c>
      <c r="K148" s="123">
        <v>3792</v>
      </c>
      <c r="L148" s="123">
        <v>55</v>
      </c>
      <c r="M148" s="123">
        <v>53</v>
      </c>
      <c r="N148" s="138">
        <v>2</v>
      </c>
    </row>
    <row r="149" spans="1:14" ht="17">
      <c r="A149" s="130" t="s">
        <v>7594</v>
      </c>
      <c r="B149" s="130" t="s">
        <v>7595</v>
      </c>
      <c r="C149" s="130">
        <v>2012</v>
      </c>
      <c r="D149" s="135">
        <v>3761</v>
      </c>
      <c r="E149" s="135">
        <v>11964</v>
      </c>
      <c r="F149" s="135">
        <v>8155</v>
      </c>
      <c r="G149" s="135">
        <v>3819</v>
      </c>
      <c r="H149" s="135">
        <v>1053</v>
      </c>
      <c r="I149" s="135">
        <v>3666</v>
      </c>
      <c r="J149" s="135">
        <v>8473</v>
      </c>
      <c r="K149" s="135">
        <v>4807</v>
      </c>
      <c r="L149" s="135">
        <v>14</v>
      </c>
      <c r="M149" s="135">
        <v>17</v>
      </c>
      <c r="N149" s="139">
        <v>-3</v>
      </c>
    </row>
    <row r="150" spans="1:14" ht="17">
      <c r="A150" s="130" t="s">
        <v>7594</v>
      </c>
      <c r="B150" s="130" t="s">
        <v>7595</v>
      </c>
      <c r="C150" s="130">
        <v>2013</v>
      </c>
      <c r="D150" s="135">
        <v>3837</v>
      </c>
      <c r="E150" s="135">
        <v>12833</v>
      </c>
      <c r="F150" s="135">
        <v>9648</v>
      </c>
      <c r="G150" s="135">
        <v>3331</v>
      </c>
      <c r="H150" s="135">
        <v>1071</v>
      </c>
      <c r="I150" s="135">
        <v>4413</v>
      </c>
      <c r="J150" s="135">
        <v>10139</v>
      </c>
      <c r="K150" s="135">
        <v>5726</v>
      </c>
      <c r="L150" s="123" t="s">
        <v>6953</v>
      </c>
      <c r="M150" s="123" t="s">
        <v>6953</v>
      </c>
      <c r="N150" s="138" t="s">
        <v>6953</v>
      </c>
    </row>
    <row r="151" spans="1:14" ht="17">
      <c r="A151" s="130" t="s">
        <v>7594</v>
      </c>
      <c r="B151" s="130" t="s">
        <v>7595</v>
      </c>
      <c r="C151" s="130">
        <v>2014</v>
      </c>
      <c r="D151" s="123">
        <v>3830</v>
      </c>
      <c r="E151" s="123">
        <v>14552</v>
      </c>
      <c r="F151" s="123">
        <v>10276</v>
      </c>
      <c r="G151" s="123">
        <v>4418</v>
      </c>
      <c r="H151" s="123">
        <v>1204</v>
      </c>
      <c r="I151" s="123">
        <v>4541</v>
      </c>
      <c r="J151" s="123">
        <v>10652</v>
      </c>
      <c r="K151" s="123">
        <v>6111</v>
      </c>
      <c r="L151" s="123">
        <v>25</v>
      </c>
      <c r="M151" s="123">
        <v>23</v>
      </c>
      <c r="N151" s="138">
        <v>1</v>
      </c>
    </row>
    <row r="152" spans="1:14" ht="17">
      <c r="A152" s="130" t="s">
        <v>7594</v>
      </c>
      <c r="B152" s="130" t="s">
        <v>7595</v>
      </c>
      <c r="C152" s="130">
        <v>2015</v>
      </c>
      <c r="D152" s="135">
        <v>4023</v>
      </c>
      <c r="E152" s="135">
        <v>14977</v>
      </c>
      <c r="F152" s="135">
        <v>10484</v>
      </c>
      <c r="G152" s="135">
        <v>4605</v>
      </c>
      <c r="H152" s="135">
        <v>1360</v>
      </c>
      <c r="I152" s="135">
        <v>5724</v>
      </c>
      <c r="J152" s="135">
        <v>13597</v>
      </c>
      <c r="K152" s="135">
        <v>7872</v>
      </c>
      <c r="L152" s="135">
        <v>93</v>
      </c>
      <c r="M152" s="135">
        <v>78</v>
      </c>
      <c r="N152" s="139">
        <v>15</v>
      </c>
    </row>
    <row r="153" spans="1:14" ht="17">
      <c r="A153" s="130" t="s">
        <v>7594</v>
      </c>
      <c r="B153" s="130" t="s">
        <v>7595</v>
      </c>
      <c r="C153" s="130">
        <v>2016</v>
      </c>
      <c r="D153" s="135">
        <v>4284</v>
      </c>
      <c r="E153" s="135">
        <v>16121</v>
      </c>
      <c r="F153" s="135">
        <v>11196</v>
      </c>
      <c r="G153" s="135">
        <v>4972</v>
      </c>
      <c r="H153" s="135">
        <v>1378</v>
      </c>
      <c r="I153" s="135">
        <v>5963</v>
      </c>
      <c r="J153" s="135">
        <v>13470</v>
      </c>
      <c r="K153" s="135">
        <v>7508</v>
      </c>
      <c r="L153" s="135">
        <v>86</v>
      </c>
      <c r="M153" s="135">
        <v>81</v>
      </c>
      <c r="N153" s="139">
        <v>6</v>
      </c>
    </row>
    <row r="154" spans="1:14" ht="17">
      <c r="A154" s="130" t="s">
        <v>7594</v>
      </c>
      <c r="B154" s="130" t="s">
        <v>7595</v>
      </c>
      <c r="C154" s="130">
        <v>2017</v>
      </c>
      <c r="D154" s="135">
        <v>4364</v>
      </c>
      <c r="E154" s="135">
        <v>17990</v>
      </c>
      <c r="F154" s="135">
        <v>12422</v>
      </c>
      <c r="G154" s="135">
        <v>5796</v>
      </c>
      <c r="H154" s="135">
        <v>1538</v>
      </c>
      <c r="I154" s="135">
        <v>4994</v>
      </c>
      <c r="J154" s="135">
        <v>12652</v>
      </c>
      <c r="K154" s="135">
        <v>7658</v>
      </c>
      <c r="L154" s="135">
        <v>162</v>
      </c>
      <c r="M154" s="135">
        <v>133</v>
      </c>
      <c r="N154" s="139">
        <v>29</v>
      </c>
    </row>
    <row r="155" spans="1:14" ht="17">
      <c r="A155" s="130" t="s">
        <v>7594</v>
      </c>
      <c r="B155" s="130" t="s">
        <v>7595</v>
      </c>
      <c r="C155" s="130">
        <v>2018</v>
      </c>
      <c r="D155" s="135">
        <v>4419</v>
      </c>
      <c r="E155" s="135">
        <v>18501</v>
      </c>
      <c r="F155" s="135">
        <v>12058</v>
      </c>
      <c r="G155" s="135">
        <v>6503</v>
      </c>
      <c r="H155" s="135">
        <v>1715</v>
      </c>
      <c r="I155" s="135">
        <v>4893</v>
      </c>
      <c r="J155" s="135">
        <v>12074</v>
      </c>
      <c r="K155" s="135">
        <v>7181</v>
      </c>
      <c r="L155" s="135">
        <v>54</v>
      </c>
      <c r="M155" s="135">
        <v>55</v>
      </c>
      <c r="N155" s="138" t="s">
        <v>6952</v>
      </c>
    </row>
    <row r="156" spans="1:14" ht="17">
      <c r="A156" s="130" t="s">
        <v>7594</v>
      </c>
      <c r="B156" s="130" t="s">
        <v>7595</v>
      </c>
      <c r="C156" s="130">
        <v>2019</v>
      </c>
      <c r="D156" s="135">
        <v>4303</v>
      </c>
      <c r="E156" s="135">
        <v>18806.031937</v>
      </c>
      <c r="F156" s="135">
        <v>12424.277128</v>
      </c>
      <c r="G156" s="135">
        <v>6415.7566239999996</v>
      </c>
      <c r="H156" s="135">
        <v>1750.855673</v>
      </c>
      <c r="I156" s="135">
        <v>5087.0067179999996</v>
      </c>
      <c r="J156" s="135">
        <v>12436.662258</v>
      </c>
      <c r="K156" s="135">
        <v>7349.6555399999997</v>
      </c>
      <c r="L156" s="135">
        <v>150.28856099999999</v>
      </c>
      <c r="M156" s="135">
        <v>156.730358</v>
      </c>
      <c r="N156" s="139">
        <v>-6.4417970000000002</v>
      </c>
    </row>
    <row r="157" spans="1:14" ht="17">
      <c r="A157" s="130" t="s">
        <v>7594</v>
      </c>
      <c r="B157" s="130" t="s">
        <v>7595</v>
      </c>
      <c r="C157" s="130">
        <v>2020</v>
      </c>
      <c r="D157" s="135">
        <v>4455</v>
      </c>
      <c r="E157" s="135">
        <v>17552.864924000001</v>
      </c>
      <c r="F157" s="135">
        <v>11670.793715</v>
      </c>
      <c r="G157" s="135">
        <v>5988.2879560000001</v>
      </c>
      <c r="H157" s="135">
        <v>1644.427913</v>
      </c>
      <c r="I157" s="135">
        <v>5353.6575919999996</v>
      </c>
      <c r="J157" s="135">
        <v>12380.095907000001</v>
      </c>
      <c r="K157" s="135">
        <v>7026.4383150000003</v>
      </c>
      <c r="L157" s="135">
        <v>252.43496200000001</v>
      </c>
      <c r="M157" s="135">
        <v>282.18455999999998</v>
      </c>
      <c r="N157" s="139">
        <v>-29.749597999999999</v>
      </c>
    </row>
    <row r="158" spans="1:14" ht="34">
      <c r="A158" s="130" t="s">
        <v>7596</v>
      </c>
      <c r="B158" s="130" t="s">
        <v>7597</v>
      </c>
      <c r="C158" s="130">
        <v>2008</v>
      </c>
      <c r="D158" s="123">
        <v>2914</v>
      </c>
      <c r="E158" s="123">
        <v>8416</v>
      </c>
      <c r="F158" s="123">
        <v>3830</v>
      </c>
      <c r="G158" s="123">
        <v>4582</v>
      </c>
      <c r="H158" s="123">
        <v>821</v>
      </c>
      <c r="I158" s="123">
        <v>755</v>
      </c>
      <c r="J158" s="123">
        <v>3721</v>
      </c>
      <c r="K158" s="123">
        <v>2966</v>
      </c>
      <c r="L158" s="123">
        <v>41</v>
      </c>
      <c r="M158" s="123">
        <v>46</v>
      </c>
      <c r="N158" s="138">
        <v>-5</v>
      </c>
    </row>
    <row r="159" spans="1:14" ht="34">
      <c r="A159" s="130" t="s">
        <v>7596</v>
      </c>
      <c r="B159" s="130" t="s">
        <v>7597</v>
      </c>
      <c r="C159" s="130">
        <v>2009</v>
      </c>
      <c r="D159" s="123">
        <v>2972</v>
      </c>
      <c r="E159" s="123">
        <v>7503</v>
      </c>
      <c r="F159" s="123">
        <v>3501</v>
      </c>
      <c r="G159" s="123">
        <v>4000</v>
      </c>
      <c r="H159" s="123">
        <v>747</v>
      </c>
      <c r="I159" s="123">
        <v>1080</v>
      </c>
      <c r="J159" s="123">
        <v>3055</v>
      </c>
      <c r="K159" s="123">
        <v>1975</v>
      </c>
      <c r="L159" s="123">
        <v>42</v>
      </c>
      <c r="M159" s="123">
        <v>50</v>
      </c>
      <c r="N159" s="138">
        <v>-9</v>
      </c>
    </row>
    <row r="160" spans="1:14" ht="34">
      <c r="A160" s="130" t="s">
        <v>7596</v>
      </c>
      <c r="B160" s="130" t="s">
        <v>7597</v>
      </c>
      <c r="C160" s="130">
        <v>2010</v>
      </c>
      <c r="D160" s="123">
        <v>2923</v>
      </c>
      <c r="E160" s="123">
        <v>9530</v>
      </c>
      <c r="F160" s="123">
        <v>5179</v>
      </c>
      <c r="G160" s="123">
        <v>4334</v>
      </c>
      <c r="H160" s="123">
        <v>759</v>
      </c>
      <c r="I160" s="123">
        <v>1708</v>
      </c>
      <c r="J160" s="123">
        <v>4943</v>
      </c>
      <c r="K160" s="123">
        <v>3235</v>
      </c>
      <c r="L160" s="123">
        <v>19</v>
      </c>
      <c r="M160" s="123">
        <v>47</v>
      </c>
      <c r="N160" s="138">
        <v>-27</v>
      </c>
    </row>
    <row r="161" spans="1:14" ht="34">
      <c r="A161" s="130" t="s">
        <v>7596</v>
      </c>
      <c r="B161" s="130" t="s">
        <v>7597</v>
      </c>
      <c r="C161" s="130">
        <v>2011</v>
      </c>
      <c r="D161" s="123">
        <v>2904</v>
      </c>
      <c r="E161" s="123">
        <v>10865</v>
      </c>
      <c r="F161" s="123">
        <v>6624</v>
      </c>
      <c r="G161" s="123">
        <v>4251</v>
      </c>
      <c r="H161" s="123">
        <v>843</v>
      </c>
      <c r="I161" s="123">
        <v>3106</v>
      </c>
      <c r="J161" s="123">
        <v>6753</v>
      </c>
      <c r="K161" s="123">
        <v>3647</v>
      </c>
      <c r="L161" s="123">
        <v>17</v>
      </c>
      <c r="M161" s="123">
        <v>20</v>
      </c>
      <c r="N161" s="138">
        <v>-3</v>
      </c>
    </row>
    <row r="162" spans="1:14" ht="34">
      <c r="A162" s="130" t="s">
        <v>7596</v>
      </c>
      <c r="B162" s="130" t="s">
        <v>7597</v>
      </c>
      <c r="C162" s="130">
        <v>2012</v>
      </c>
      <c r="D162" s="135">
        <v>2935</v>
      </c>
      <c r="E162" s="135">
        <v>9996</v>
      </c>
      <c r="F162" s="135">
        <v>7170</v>
      </c>
      <c r="G162" s="135">
        <v>2827</v>
      </c>
      <c r="H162" s="135">
        <v>784</v>
      </c>
      <c r="I162" s="135">
        <v>2993</v>
      </c>
      <c r="J162" s="135">
        <v>7536</v>
      </c>
      <c r="K162" s="135">
        <v>4543</v>
      </c>
      <c r="L162" s="135">
        <v>13</v>
      </c>
      <c r="M162" s="135">
        <v>16</v>
      </c>
      <c r="N162" s="139">
        <v>-3</v>
      </c>
    </row>
    <row r="163" spans="1:14" ht="34">
      <c r="A163" s="130" t="s">
        <v>7596</v>
      </c>
      <c r="B163" s="130" t="s">
        <v>7597</v>
      </c>
      <c r="C163" s="130">
        <v>2013</v>
      </c>
      <c r="D163" s="135">
        <v>2986</v>
      </c>
      <c r="E163" s="135">
        <v>10733</v>
      </c>
      <c r="F163" s="135">
        <v>8397</v>
      </c>
      <c r="G163" s="135">
        <v>2475</v>
      </c>
      <c r="H163" s="135">
        <v>821</v>
      </c>
      <c r="I163" s="135">
        <v>3993</v>
      </c>
      <c r="J163" s="135">
        <v>9445</v>
      </c>
      <c r="K163" s="135">
        <v>5452</v>
      </c>
      <c r="L163" s="135">
        <v>13</v>
      </c>
      <c r="M163" s="135">
        <v>17</v>
      </c>
      <c r="N163" s="139">
        <v>-3</v>
      </c>
    </row>
    <row r="164" spans="1:14" ht="34">
      <c r="A164" s="130" t="s">
        <v>7596</v>
      </c>
      <c r="B164" s="130" t="s">
        <v>7597</v>
      </c>
      <c r="C164" s="130">
        <v>2014</v>
      </c>
      <c r="D164" s="123">
        <v>2967</v>
      </c>
      <c r="E164" s="123">
        <v>12149</v>
      </c>
      <c r="F164" s="123">
        <v>9035</v>
      </c>
      <c r="G164" s="123">
        <v>3250</v>
      </c>
      <c r="H164" s="123">
        <v>933</v>
      </c>
      <c r="I164" s="123">
        <v>3908</v>
      </c>
      <c r="J164" s="123">
        <v>9698</v>
      </c>
      <c r="K164" s="123">
        <v>5790</v>
      </c>
      <c r="L164" s="123">
        <v>24</v>
      </c>
      <c r="M164" s="123">
        <v>22</v>
      </c>
      <c r="N164" s="138">
        <v>1</v>
      </c>
    </row>
    <row r="165" spans="1:14" ht="34">
      <c r="A165" s="130" t="s">
        <v>7596</v>
      </c>
      <c r="B165" s="130" t="s">
        <v>7597</v>
      </c>
      <c r="C165" s="130">
        <v>2015</v>
      </c>
      <c r="D165" s="135">
        <v>3102</v>
      </c>
      <c r="E165" s="135">
        <v>12492</v>
      </c>
      <c r="F165" s="135">
        <v>9186</v>
      </c>
      <c r="G165" s="135">
        <v>3408</v>
      </c>
      <c r="H165" s="135">
        <v>1043</v>
      </c>
      <c r="I165" s="135">
        <v>4857</v>
      </c>
      <c r="J165" s="135">
        <v>12344</v>
      </c>
      <c r="K165" s="135">
        <v>7487</v>
      </c>
      <c r="L165" s="135">
        <v>93</v>
      </c>
      <c r="M165" s="135">
        <v>77</v>
      </c>
      <c r="N165" s="139">
        <v>16</v>
      </c>
    </row>
    <row r="166" spans="1:14" ht="34">
      <c r="A166" s="130" t="s">
        <v>7596</v>
      </c>
      <c r="B166" s="130" t="s">
        <v>7597</v>
      </c>
      <c r="C166" s="130">
        <v>2016</v>
      </c>
      <c r="D166" s="135">
        <v>3333</v>
      </c>
      <c r="E166" s="135">
        <v>13388</v>
      </c>
      <c r="F166" s="135">
        <v>9795</v>
      </c>
      <c r="G166" s="135">
        <v>3626</v>
      </c>
      <c r="H166" s="135">
        <v>1059</v>
      </c>
      <c r="I166" s="135">
        <v>5007</v>
      </c>
      <c r="J166" s="135">
        <v>12007</v>
      </c>
      <c r="K166" s="135">
        <v>7000</v>
      </c>
      <c r="L166" s="135">
        <v>76</v>
      </c>
      <c r="M166" s="135">
        <v>75</v>
      </c>
      <c r="N166" s="139">
        <v>1</v>
      </c>
    </row>
    <row r="167" spans="1:14" ht="34">
      <c r="A167" s="130" t="s">
        <v>7596</v>
      </c>
      <c r="B167" s="130" t="s">
        <v>7597</v>
      </c>
      <c r="C167" s="130">
        <v>2017</v>
      </c>
      <c r="D167" s="135">
        <v>3408</v>
      </c>
      <c r="E167" s="135">
        <v>15076</v>
      </c>
      <c r="F167" s="135">
        <v>11004</v>
      </c>
      <c r="G167" s="135">
        <v>4287</v>
      </c>
      <c r="H167" s="135">
        <v>1209</v>
      </c>
      <c r="I167" s="135">
        <v>4305</v>
      </c>
      <c r="J167" s="135">
        <v>11614</v>
      </c>
      <c r="K167" s="135">
        <v>7309</v>
      </c>
      <c r="L167" s="135">
        <v>156</v>
      </c>
      <c r="M167" s="135">
        <v>127</v>
      </c>
      <c r="N167" s="139">
        <v>28</v>
      </c>
    </row>
    <row r="168" spans="1:14" ht="34">
      <c r="A168" s="130" t="s">
        <v>7596</v>
      </c>
      <c r="B168" s="130" t="s">
        <v>7597</v>
      </c>
      <c r="C168" s="130">
        <v>2018</v>
      </c>
      <c r="D168" s="135">
        <v>3469</v>
      </c>
      <c r="E168" s="135">
        <v>15482</v>
      </c>
      <c r="F168" s="135">
        <v>10473</v>
      </c>
      <c r="G168" s="135">
        <v>5038</v>
      </c>
      <c r="H168" s="135">
        <v>1374</v>
      </c>
      <c r="I168" s="135">
        <v>4179</v>
      </c>
      <c r="J168" s="135">
        <v>11052</v>
      </c>
      <c r="K168" s="135">
        <v>6873</v>
      </c>
      <c r="L168" s="135">
        <v>47</v>
      </c>
      <c r="M168" s="135">
        <v>49</v>
      </c>
      <c r="N168" s="139">
        <v>-1</v>
      </c>
    </row>
    <row r="169" spans="1:14" ht="34">
      <c r="A169" s="130" t="s">
        <v>7596</v>
      </c>
      <c r="B169" s="130" t="s">
        <v>7597</v>
      </c>
      <c r="C169" s="130">
        <v>2019</v>
      </c>
      <c r="D169" s="135">
        <v>3388</v>
      </c>
      <c r="E169" s="135">
        <v>15843.278807000001</v>
      </c>
      <c r="F169" s="135">
        <v>10971.876812</v>
      </c>
      <c r="G169" s="135">
        <v>4900.203563</v>
      </c>
      <c r="H169" s="135">
        <v>1401.5156529999999</v>
      </c>
      <c r="I169" s="135">
        <v>4225.0845710000003</v>
      </c>
      <c r="J169" s="135">
        <v>11368.183012</v>
      </c>
      <c r="K169" s="135">
        <v>7143.0984399999998</v>
      </c>
      <c r="L169" s="135">
        <v>148.965082</v>
      </c>
      <c r="M169" s="135">
        <v>152.843749</v>
      </c>
      <c r="N169" s="139">
        <v>-3.8786670000000001</v>
      </c>
    </row>
    <row r="170" spans="1:14" ht="34">
      <c r="A170" s="130" t="s">
        <v>7596</v>
      </c>
      <c r="B170" s="130" t="s">
        <v>7597</v>
      </c>
      <c r="C170" s="130">
        <v>2020</v>
      </c>
      <c r="D170" s="135">
        <v>3517</v>
      </c>
      <c r="E170" s="135">
        <v>14935.245041</v>
      </c>
      <c r="F170" s="135">
        <v>10555.579136</v>
      </c>
      <c r="G170" s="135">
        <v>4491.6133120000004</v>
      </c>
      <c r="H170" s="135">
        <v>1383.3355309999999</v>
      </c>
      <c r="I170" s="135">
        <v>4928.5382090000003</v>
      </c>
      <c r="J170" s="135">
        <v>11671.827378</v>
      </c>
      <c r="K170" s="135">
        <v>6743.2891689999997</v>
      </c>
      <c r="L170" s="135">
        <v>180.00311099999999</v>
      </c>
      <c r="M170" s="135">
        <v>198.49388099999999</v>
      </c>
      <c r="N170" s="139">
        <v>-18.490770999999999</v>
      </c>
    </row>
    <row r="171" spans="1:14" ht="17">
      <c r="A171" s="129" t="s">
        <v>7598</v>
      </c>
      <c r="B171" s="129" t="s">
        <v>7599</v>
      </c>
      <c r="C171" s="136">
        <v>2008</v>
      </c>
      <c r="D171" s="123">
        <v>713</v>
      </c>
      <c r="E171" s="123">
        <v>1518</v>
      </c>
      <c r="F171" s="123">
        <v>866</v>
      </c>
      <c r="G171" s="123">
        <v>650</v>
      </c>
      <c r="H171" s="123">
        <v>265</v>
      </c>
      <c r="I171" s="123">
        <v>296</v>
      </c>
      <c r="J171" s="123">
        <v>624</v>
      </c>
      <c r="K171" s="123">
        <v>328</v>
      </c>
      <c r="L171" s="123">
        <v>0</v>
      </c>
      <c r="M171" s="123">
        <v>1</v>
      </c>
      <c r="N171" s="138">
        <v>-1</v>
      </c>
    </row>
    <row r="172" spans="1:14" ht="17">
      <c r="A172" s="129" t="s">
        <v>7598</v>
      </c>
      <c r="B172" s="129" t="s">
        <v>7599</v>
      </c>
      <c r="C172" s="136">
        <v>2009</v>
      </c>
      <c r="D172" s="123">
        <v>737</v>
      </c>
      <c r="E172" s="123">
        <v>1776</v>
      </c>
      <c r="F172" s="123">
        <v>990</v>
      </c>
      <c r="G172" s="123">
        <v>787</v>
      </c>
      <c r="H172" s="123">
        <v>257</v>
      </c>
      <c r="I172" s="123">
        <v>104</v>
      </c>
      <c r="J172" s="123">
        <v>304</v>
      </c>
      <c r="K172" s="123">
        <v>200</v>
      </c>
      <c r="L172" s="123">
        <v>2</v>
      </c>
      <c r="M172" s="123">
        <v>1</v>
      </c>
      <c r="N172" s="138">
        <v>1</v>
      </c>
    </row>
    <row r="173" spans="1:14" ht="17">
      <c r="A173" s="129" t="s">
        <v>7598</v>
      </c>
      <c r="B173" s="129" t="s">
        <v>7599</v>
      </c>
      <c r="C173" s="136">
        <v>2010</v>
      </c>
      <c r="D173" s="123">
        <v>761</v>
      </c>
      <c r="E173" s="123">
        <v>1667</v>
      </c>
      <c r="F173" s="123">
        <v>917</v>
      </c>
      <c r="G173" s="123">
        <v>778</v>
      </c>
      <c r="H173" s="123">
        <v>228</v>
      </c>
      <c r="I173" s="123">
        <v>194</v>
      </c>
      <c r="J173" s="123">
        <v>343</v>
      </c>
      <c r="K173" s="123">
        <v>149</v>
      </c>
      <c r="L173" s="123">
        <v>2</v>
      </c>
      <c r="M173" s="123">
        <v>2</v>
      </c>
      <c r="N173" s="138" t="s">
        <v>6952</v>
      </c>
    </row>
    <row r="174" spans="1:14" ht="17">
      <c r="A174" s="129" t="s">
        <v>7598</v>
      </c>
      <c r="B174" s="129" t="s">
        <v>7599</v>
      </c>
      <c r="C174" s="136">
        <v>2011</v>
      </c>
      <c r="D174" s="123">
        <v>795</v>
      </c>
      <c r="E174" s="123">
        <v>1484</v>
      </c>
      <c r="F174" s="123">
        <v>786</v>
      </c>
      <c r="G174" s="123">
        <v>722</v>
      </c>
      <c r="H174" s="123">
        <v>199</v>
      </c>
      <c r="I174" s="123">
        <v>318</v>
      </c>
      <c r="J174" s="123">
        <v>463</v>
      </c>
      <c r="K174" s="123">
        <v>145</v>
      </c>
      <c r="L174" s="123">
        <v>37</v>
      </c>
      <c r="M174" s="123">
        <v>33</v>
      </c>
      <c r="N174" s="138">
        <v>4</v>
      </c>
    </row>
    <row r="175" spans="1:14" ht="17">
      <c r="A175" s="129" t="s">
        <v>7598</v>
      </c>
      <c r="B175" s="129" t="s">
        <v>7599</v>
      </c>
      <c r="C175" s="136">
        <v>2012</v>
      </c>
      <c r="D175" s="135">
        <v>826</v>
      </c>
      <c r="E175" s="135">
        <v>1968</v>
      </c>
      <c r="F175" s="135">
        <v>984</v>
      </c>
      <c r="G175" s="135">
        <v>991</v>
      </c>
      <c r="H175" s="135">
        <v>269</v>
      </c>
      <c r="I175" s="135">
        <v>673</v>
      </c>
      <c r="J175" s="135">
        <v>937</v>
      </c>
      <c r="K175" s="135">
        <v>264</v>
      </c>
      <c r="L175" s="135">
        <v>1</v>
      </c>
      <c r="M175" s="135">
        <v>1</v>
      </c>
      <c r="N175" s="138" t="s">
        <v>6952</v>
      </c>
    </row>
    <row r="176" spans="1:14" ht="17">
      <c r="A176" s="129" t="s">
        <v>7598</v>
      </c>
      <c r="B176" s="129" t="s">
        <v>7599</v>
      </c>
      <c r="C176" s="130">
        <v>2013</v>
      </c>
      <c r="D176" s="135">
        <v>851</v>
      </c>
      <c r="E176" s="135">
        <v>2100</v>
      </c>
      <c r="F176" s="135">
        <v>1251</v>
      </c>
      <c r="G176" s="135">
        <v>856</v>
      </c>
      <c r="H176" s="135">
        <v>250</v>
      </c>
      <c r="I176" s="135">
        <v>419</v>
      </c>
      <c r="J176" s="135">
        <v>693</v>
      </c>
      <c r="K176" s="135">
        <v>274</v>
      </c>
      <c r="L176" s="123" t="s">
        <v>6953</v>
      </c>
      <c r="M176" s="123" t="s">
        <v>6953</v>
      </c>
      <c r="N176" s="138" t="s">
        <v>6953</v>
      </c>
    </row>
    <row r="177" spans="1:14" ht="17">
      <c r="A177" s="129" t="s">
        <v>7598</v>
      </c>
      <c r="B177" s="129" t="s">
        <v>7599</v>
      </c>
      <c r="C177" s="130">
        <v>2014</v>
      </c>
      <c r="D177" s="123">
        <v>863</v>
      </c>
      <c r="E177" s="123">
        <v>2403</v>
      </c>
      <c r="F177" s="123">
        <v>1241</v>
      </c>
      <c r="G177" s="123">
        <v>1168</v>
      </c>
      <c r="H177" s="123">
        <v>271</v>
      </c>
      <c r="I177" s="123">
        <v>633</v>
      </c>
      <c r="J177" s="123">
        <v>955</v>
      </c>
      <c r="K177" s="123">
        <v>321</v>
      </c>
      <c r="L177" s="123">
        <v>1</v>
      </c>
      <c r="M177" s="123">
        <v>1</v>
      </c>
      <c r="N177" s="138" t="s">
        <v>6952</v>
      </c>
    </row>
    <row r="178" spans="1:14" ht="17">
      <c r="A178" s="129" t="s">
        <v>7598</v>
      </c>
      <c r="B178" s="129" t="s">
        <v>7599</v>
      </c>
      <c r="C178" s="130">
        <v>2015</v>
      </c>
      <c r="D178" s="135">
        <v>921</v>
      </c>
      <c r="E178" s="135">
        <v>2485</v>
      </c>
      <c r="F178" s="135">
        <v>1298</v>
      </c>
      <c r="G178" s="135">
        <v>1197</v>
      </c>
      <c r="H178" s="135">
        <v>316</v>
      </c>
      <c r="I178" s="135">
        <v>867</v>
      </c>
      <c r="J178" s="135">
        <v>1252</v>
      </c>
      <c r="K178" s="135">
        <v>385</v>
      </c>
      <c r="L178" s="123" t="s">
        <v>6952</v>
      </c>
      <c r="M178" s="135">
        <v>1</v>
      </c>
      <c r="N178" s="138" t="s">
        <v>6952</v>
      </c>
    </row>
    <row r="179" spans="1:14" ht="17">
      <c r="A179" s="129" t="s">
        <v>7598</v>
      </c>
      <c r="B179" s="129" t="s">
        <v>7599</v>
      </c>
      <c r="C179" s="130">
        <v>2016</v>
      </c>
      <c r="D179" s="135">
        <v>951</v>
      </c>
      <c r="E179" s="135">
        <v>2733</v>
      </c>
      <c r="F179" s="135">
        <v>1401</v>
      </c>
      <c r="G179" s="135">
        <v>1347</v>
      </c>
      <c r="H179" s="135">
        <v>318</v>
      </c>
      <c r="I179" s="135">
        <v>956</v>
      </c>
      <c r="J179" s="135">
        <v>1464</v>
      </c>
      <c r="K179" s="135">
        <v>508</v>
      </c>
      <c r="L179" s="135">
        <v>10</v>
      </c>
      <c r="M179" s="135">
        <v>6</v>
      </c>
      <c r="N179" s="139">
        <v>4</v>
      </c>
    </row>
    <row r="180" spans="1:14" ht="17">
      <c r="A180" s="129" t="s">
        <v>7598</v>
      </c>
      <c r="B180" s="129" t="s">
        <v>7599</v>
      </c>
      <c r="C180" s="130">
        <v>2017</v>
      </c>
      <c r="D180" s="135">
        <v>956</v>
      </c>
      <c r="E180" s="135">
        <v>2914</v>
      </c>
      <c r="F180" s="135">
        <v>1417</v>
      </c>
      <c r="G180" s="135">
        <v>1510</v>
      </c>
      <c r="H180" s="135">
        <v>329</v>
      </c>
      <c r="I180" s="135">
        <v>689</v>
      </c>
      <c r="J180" s="135">
        <v>1038</v>
      </c>
      <c r="K180" s="135">
        <v>349</v>
      </c>
      <c r="L180" s="135">
        <v>6</v>
      </c>
      <c r="M180" s="135">
        <v>6</v>
      </c>
      <c r="N180" s="139">
        <v>1</v>
      </c>
    </row>
    <row r="181" spans="1:14" ht="17">
      <c r="A181" s="129" t="s">
        <v>7598</v>
      </c>
      <c r="B181" s="129" t="s">
        <v>7599</v>
      </c>
      <c r="C181" s="130">
        <v>2018</v>
      </c>
      <c r="D181" s="135">
        <v>950</v>
      </c>
      <c r="E181" s="135">
        <v>3020</v>
      </c>
      <c r="F181" s="135">
        <v>1585</v>
      </c>
      <c r="G181" s="135">
        <v>1465</v>
      </c>
      <c r="H181" s="135">
        <v>341</v>
      </c>
      <c r="I181" s="135">
        <v>714</v>
      </c>
      <c r="J181" s="135">
        <v>1023</v>
      </c>
      <c r="K181" s="135">
        <v>309</v>
      </c>
      <c r="L181" s="135">
        <v>7</v>
      </c>
      <c r="M181" s="135">
        <v>6</v>
      </c>
      <c r="N181" s="139">
        <v>1</v>
      </c>
    </row>
    <row r="182" spans="1:14" ht="17">
      <c r="A182" s="129" t="s">
        <v>7598</v>
      </c>
      <c r="B182" s="129" t="s">
        <v>7599</v>
      </c>
      <c r="C182" s="130">
        <v>2019</v>
      </c>
      <c r="D182" s="135">
        <v>915</v>
      </c>
      <c r="E182" s="135">
        <v>2962.7531300000001</v>
      </c>
      <c r="F182" s="135">
        <v>1452.4003150000001</v>
      </c>
      <c r="G182" s="135">
        <v>1515.5530610000001</v>
      </c>
      <c r="H182" s="135">
        <v>349.34001999999998</v>
      </c>
      <c r="I182" s="135">
        <v>861.922147</v>
      </c>
      <c r="J182" s="135">
        <v>1068.4792460000001</v>
      </c>
      <c r="K182" s="135">
        <v>206.55709999999999</v>
      </c>
      <c r="L182" s="135">
        <v>1.3234790000000001</v>
      </c>
      <c r="M182" s="135">
        <v>3.886609</v>
      </c>
      <c r="N182" s="139">
        <v>-2.563129</v>
      </c>
    </row>
    <row r="183" spans="1:14" ht="17">
      <c r="A183" s="130" t="s">
        <v>7598</v>
      </c>
      <c r="B183" s="130" t="s">
        <v>7599</v>
      </c>
      <c r="C183" s="130">
        <v>2020</v>
      </c>
      <c r="D183" s="135">
        <v>938</v>
      </c>
      <c r="E183" s="135">
        <v>2617.6198829999998</v>
      </c>
      <c r="F183" s="135">
        <v>1115.214579</v>
      </c>
      <c r="G183" s="135">
        <v>1496.6746450000001</v>
      </c>
      <c r="H183" s="135">
        <v>261.09238199999999</v>
      </c>
      <c r="I183" s="135">
        <v>425.11938300000003</v>
      </c>
      <c r="J183" s="135">
        <v>708.26852899999994</v>
      </c>
      <c r="K183" s="135">
        <v>283.14914599999997</v>
      </c>
      <c r="L183" s="135">
        <v>72.431852000000006</v>
      </c>
      <c r="M183" s="135">
        <v>83.690679000000003</v>
      </c>
      <c r="N183" s="139">
        <v>-11.258827</v>
      </c>
    </row>
    <row r="184" spans="1:14" ht="34">
      <c r="A184" s="129" t="s">
        <v>7600</v>
      </c>
      <c r="B184" s="129" t="s">
        <v>7601</v>
      </c>
      <c r="C184" s="136">
        <v>2008</v>
      </c>
      <c r="D184" s="123">
        <v>2057</v>
      </c>
      <c r="E184" s="123">
        <v>1426</v>
      </c>
      <c r="F184" s="123">
        <v>726</v>
      </c>
      <c r="G184" s="123">
        <v>703</v>
      </c>
      <c r="H184" s="123">
        <v>301</v>
      </c>
      <c r="I184" s="123">
        <v>79</v>
      </c>
      <c r="J184" s="123">
        <v>88</v>
      </c>
      <c r="K184" s="123">
        <v>9</v>
      </c>
      <c r="L184" s="123">
        <v>5</v>
      </c>
      <c r="M184" s="123">
        <v>2</v>
      </c>
      <c r="N184" s="138">
        <v>3</v>
      </c>
    </row>
    <row r="185" spans="1:14" ht="34">
      <c r="A185" s="129" t="s">
        <v>7600</v>
      </c>
      <c r="B185" s="129" t="s">
        <v>7601</v>
      </c>
      <c r="C185" s="136">
        <v>2009</v>
      </c>
      <c r="D185" s="123">
        <v>2061</v>
      </c>
      <c r="E185" s="123">
        <v>1337</v>
      </c>
      <c r="F185" s="123" t="s">
        <v>6953</v>
      </c>
      <c r="G185" s="123" t="s">
        <v>6953</v>
      </c>
      <c r="H185" s="123">
        <v>307</v>
      </c>
      <c r="I185" s="123" t="s">
        <v>6953</v>
      </c>
      <c r="J185" s="123" t="s">
        <v>6953</v>
      </c>
      <c r="K185" s="123" t="s">
        <v>6953</v>
      </c>
      <c r="L185" s="123" t="s">
        <v>6952</v>
      </c>
      <c r="M185" s="123" t="s">
        <v>6952</v>
      </c>
      <c r="N185" s="138" t="s">
        <v>6952</v>
      </c>
    </row>
    <row r="186" spans="1:14" ht="34">
      <c r="A186" s="129" t="s">
        <v>7600</v>
      </c>
      <c r="B186" s="129" t="s">
        <v>7601</v>
      </c>
      <c r="C186" s="136">
        <v>2010</v>
      </c>
      <c r="D186" s="123">
        <v>2028</v>
      </c>
      <c r="E186" s="123">
        <v>1437</v>
      </c>
      <c r="F186" s="123">
        <v>704</v>
      </c>
      <c r="G186" s="123">
        <v>715</v>
      </c>
      <c r="H186" s="123">
        <v>361</v>
      </c>
      <c r="I186" s="123" t="s">
        <v>6953</v>
      </c>
      <c r="J186" s="123" t="s">
        <v>6953</v>
      </c>
      <c r="K186" s="123">
        <v>21</v>
      </c>
      <c r="L186" s="123">
        <v>16</v>
      </c>
      <c r="M186" s="123">
        <v>23</v>
      </c>
      <c r="N186" s="138">
        <v>-8</v>
      </c>
    </row>
    <row r="187" spans="1:14" ht="34">
      <c r="A187" s="129" t="s">
        <v>7600</v>
      </c>
      <c r="B187" s="129" t="s">
        <v>7601</v>
      </c>
      <c r="C187" s="136">
        <v>2011</v>
      </c>
      <c r="D187" s="123">
        <v>2077</v>
      </c>
      <c r="E187" s="123">
        <v>1422</v>
      </c>
      <c r="F187" s="123">
        <v>763</v>
      </c>
      <c r="G187" s="123">
        <v>660</v>
      </c>
      <c r="H187" s="123">
        <v>364</v>
      </c>
      <c r="I187" s="123">
        <v>84</v>
      </c>
      <c r="J187" s="123">
        <v>128</v>
      </c>
      <c r="K187" s="123">
        <v>44</v>
      </c>
      <c r="L187" s="123">
        <v>1</v>
      </c>
      <c r="M187" s="123" t="s">
        <v>6952</v>
      </c>
      <c r="N187" s="138">
        <v>1</v>
      </c>
    </row>
    <row r="188" spans="1:14" ht="34">
      <c r="A188" s="129" t="s">
        <v>7600</v>
      </c>
      <c r="B188" s="129" t="s">
        <v>7601</v>
      </c>
      <c r="C188" s="136">
        <v>2012</v>
      </c>
      <c r="D188" s="135">
        <v>2157</v>
      </c>
      <c r="E188" s="135">
        <v>1794</v>
      </c>
      <c r="F188" s="135">
        <v>774</v>
      </c>
      <c r="G188" s="135">
        <v>1026</v>
      </c>
      <c r="H188" s="135">
        <v>339</v>
      </c>
      <c r="I188" s="123" t="s">
        <v>6953</v>
      </c>
      <c r="J188" s="123" t="s">
        <v>6953</v>
      </c>
      <c r="K188" s="135">
        <v>16</v>
      </c>
      <c r="L188" s="135">
        <v>14</v>
      </c>
      <c r="M188" s="135">
        <v>11</v>
      </c>
      <c r="N188" s="139">
        <v>3</v>
      </c>
    </row>
    <row r="189" spans="1:14" ht="34">
      <c r="A189" s="129" t="s">
        <v>7600</v>
      </c>
      <c r="B189" s="129" t="s">
        <v>7601</v>
      </c>
      <c r="C189" s="130">
        <v>2013</v>
      </c>
      <c r="D189" s="135">
        <v>2218</v>
      </c>
      <c r="E189" s="135">
        <v>1663</v>
      </c>
      <c r="F189" s="135">
        <v>754</v>
      </c>
      <c r="G189" s="135">
        <v>932</v>
      </c>
      <c r="H189" s="135">
        <v>351</v>
      </c>
      <c r="I189" s="135">
        <v>175</v>
      </c>
      <c r="J189" s="135">
        <v>212</v>
      </c>
      <c r="K189" s="135">
        <v>38</v>
      </c>
      <c r="L189" s="135">
        <v>42</v>
      </c>
      <c r="M189" s="135">
        <v>42</v>
      </c>
      <c r="N189" s="138" t="s">
        <v>6952</v>
      </c>
    </row>
    <row r="190" spans="1:14" ht="34">
      <c r="A190" s="129" t="s">
        <v>7600</v>
      </c>
      <c r="B190" s="129" t="s">
        <v>7601</v>
      </c>
      <c r="C190" s="130">
        <v>2014</v>
      </c>
      <c r="D190" s="123">
        <v>2223</v>
      </c>
      <c r="E190" s="123">
        <v>1584</v>
      </c>
      <c r="F190" s="123">
        <v>739</v>
      </c>
      <c r="G190" s="123">
        <v>842</v>
      </c>
      <c r="H190" s="123">
        <v>344</v>
      </c>
      <c r="I190" s="123">
        <v>262</v>
      </c>
      <c r="J190" s="123">
        <v>272</v>
      </c>
      <c r="K190" s="123">
        <v>11</v>
      </c>
      <c r="L190" s="123">
        <v>6</v>
      </c>
      <c r="M190" s="123">
        <v>10</v>
      </c>
      <c r="N190" s="138">
        <v>-4</v>
      </c>
    </row>
    <row r="191" spans="1:14" ht="34">
      <c r="A191" s="129" t="s">
        <v>7600</v>
      </c>
      <c r="B191" s="129" t="s">
        <v>7601</v>
      </c>
      <c r="C191" s="130">
        <v>2015</v>
      </c>
      <c r="D191" s="135">
        <v>2290</v>
      </c>
      <c r="E191" s="135">
        <v>1388</v>
      </c>
      <c r="F191" s="135">
        <v>696</v>
      </c>
      <c r="G191" s="135">
        <v>717</v>
      </c>
      <c r="H191" s="135">
        <v>357</v>
      </c>
      <c r="I191" s="135">
        <v>126</v>
      </c>
      <c r="J191" s="135">
        <v>136</v>
      </c>
      <c r="K191" s="135">
        <v>10</v>
      </c>
      <c r="L191" s="135">
        <v>7</v>
      </c>
      <c r="M191" s="135">
        <v>10</v>
      </c>
      <c r="N191" s="139">
        <v>-2</v>
      </c>
    </row>
    <row r="192" spans="1:14" ht="34">
      <c r="A192" s="129" t="s">
        <v>7600</v>
      </c>
      <c r="B192" s="129" t="s">
        <v>7601</v>
      </c>
      <c r="C192" s="130">
        <v>2016</v>
      </c>
      <c r="D192" s="135">
        <v>2451</v>
      </c>
      <c r="E192" s="135">
        <v>1553</v>
      </c>
      <c r="F192" s="135">
        <v>747</v>
      </c>
      <c r="G192" s="135">
        <v>809</v>
      </c>
      <c r="H192" s="135">
        <v>334</v>
      </c>
      <c r="I192" s="135">
        <v>206</v>
      </c>
      <c r="J192" s="135">
        <v>250</v>
      </c>
      <c r="K192" s="135">
        <v>44</v>
      </c>
      <c r="L192" s="135">
        <v>11</v>
      </c>
      <c r="M192" s="135">
        <v>12</v>
      </c>
      <c r="N192" s="139">
        <v>-1</v>
      </c>
    </row>
    <row r="193" spans="1:14" ht="34">
      <c r="A193" s="129" t="s">
        <v>7600</v>
      </c>
      <c r="B193" s="129" t="s">
        <v>7601</v>
      </c>
      <c r="C193" s="130">
        <v>2017</v>
      </c>
      <c r="D193" s="135">
        <v>2535</v>
      </c>
      <c r="E193" s="135">
        <v>1437</v>
      </c>
      <c r="F193" s="135">
        <v>930</v>
      </c>
      <c r="G193" s="135">
        <v>523</v>
      </c>
      <c r="H193" s="135">
        <v>332</v>
      </c>
      <c r="I193" s="135">
        <v>207</v>
      </c>
      <c r="J193" s="123" t="s">
        <v>6953</v>
      </c>
      <c r="K193" s="123" t="s">
        <v>6953</v>
      </c>
      <c r="L193" s="135">
        <v>33</v>
      </c>
      <c r="M193" s="135">
        <v>32</v>
      </c>
      <c r="N193" s="139">
        <v>1</v>
      </c>
    </row>
    <row r="194" spans="1:14" ht="34">
      <c r="A194" s="129" t="s">
        <v>7600</v>
      </c>
      <c r="B194" s="129" t="s">
        <v>7601</v>
      </c>
      <c r="C194" s="130">
        <v>2018</v>
      </c>
      <c r="D194" s="135">
        <v>2440</v>
      </c>
      <c r="E194" s="135">
        <v>1494</v>
      </c>
      <c r="F194" s="135">
        <v>907</v>
      </c>
      <c r="G194" s="135">
        <v>589</v>
      </c>
      <c r="H194" s="135">
        <v>378</v>
      </c>
      <c r="I194" s="135">
        <v>205</v>
      </c>
      <c r="J194" s="135">
        <v>218</v>
      </c>
      <c r="K194" s="135">
        <v>12</v>
      </c>
      <c r="L194" s="135">
        <v>24</v>
      </c>
      <c r="M194" s="135">
        <v>24</v>
      </c>
      <c r="N194" s="138" t="s">
        <v>6952</v>
      </c>
    </row>
    <row r="195" spans="1:14" ht="34">
      <c r="A195" s="129" t="s">
        <v>7600</v>
      </c>
      <c r="B195" s="129" t="s">
        <v>7601</v>
      </c>
      <c r="C195" s="130">
        <v>2019</v>
      </c>
      <c r="D195" s="135">
        <v>2491</v>
      </c>
      <c r="E195" s="135">
        <v>1829.638338</v>
      </c>
      <c r="F195" s="135">
        <v>1080.3251270000001</v>
      </c>
      <c r="G195" s="135">
        <v>754.42048799999998</v>
      </c>
      <c r="H195" s="135">
        <v>515.28567099999998</v>
      </c>
      <c r="I195" s="135">
        <v>260.30633799999998</v>
      </c>
      <c r="J195" s="135">
        <v>302.19304199999999</v>
      </c>
      <c r="K195" s="135">
        <v>41.886704000000002</v>
      </c>
      <c r="L195" s="135">
        <v>13.889841000000001</v>
      </c>
      <c r="M195" s="135">
        <v>14.530794999999999</v>
      </c>
      <c r="N195" s="139">
        <v>-0.64095400000000002</v>
      </c>
    </row>
    <row r="196" spans="1:14" ht="34">
      <c r="A196" s="130" t="s">
        <v>7600</v>
      </c>
      <c r="B196" s="129" t="s">
        <v>7601</v>
      </c>
      <c r="C196" s="130">
        <v>2020</v>
      </c>
      <c r="D196" s="135">
        <v>2540</v>
      </c>
      <c r="E196" s="135">
        <v>1474.116047</v>
      </c>
      <c r="F196" s="135">
        <v>910.911294</v>
      </c>
      <c r="G196" s="135">
        <v>575.08134600000005</v>
      </c>
      <c r="H196" s="135">
        <v>440.75015500000001</v>
      </c>
      <c r="I196" s="135">
        <v>220.97804500000001</v>
      </c>
      <c r="J196" s="135">
        <v>234.358845</v>
      </c>
      <c r="K196" s="135">
        <v>13.380801</v>
      </c>
      <c r="L196" s="135">
        <v>27.563845000000001</v>
      </c>
      <c r="M196" s="135">
        <v>38.409821999999998</v>
      </c>
      <c r="N196" s="139">
        <v>-10.845977</v>
      </c>
    </row>
    <row r="197" spans="1:14" ht="34">
      <c r="A197" s="129" t="s">
        <v>7602</v>
      </c>
      <c r="B197" s="130" t="s">
        <v>7603</v>
      </c>
      <c r="C197" s="136">
        <v>2008</v>
      </c>
      <c r="D197" s="123">
        <v>999</v>
      </c>
      <c r="E197" s="123">
        <v>348</v>
      </c>
      <c r="F197" s="123">
        <v>179</v>
      </c>
      <c r="G197" s="123">
        <v>172</v>
      </c>
      <c r="H197" s="123">
        <v>65</v>
      </c>
      <c r="I197" s="123">
        <v>14</v>
      </c>
      <c r="J197" s="123">
        <v>18</v>
      </c>
      <c r="K197" s="123">
        <v>4</v>
      </c>
      <c r="L197" s="123">
        <v>4</v>
      </c>
      <c r="M197" s="123">
        <v>1</v>
      </c>
      <c r="N197" s="138">
        <v>3</v>
      </c>
    </row>
    <row r="198" spans="1:14" ht="34">
      <c r="A198" s="129" t="s">
        <v>7602</v>
      </c>
      <c r="B198" s="130" t="s">
        <v>7603</v>
      </c>
      <c r="C198" s="136">
        <v>2009</v>
      </c>
      <c r="D198" s="123">
        <v>962</v>
      </c>
      <c r="E198" s="123">
        <v>244</v>
      </c>
      <c r="F198" s="123">
        <v>121</v>
      </c>
      <c r="G198" s="123">
        <v>124</v>
      </c>
      <c r="H198" s="123">
        <v>78</v>
      </c>
      <c r="I198" s="123">
        <v>9</v>
      </c>
      <c r="J198" s="123">
        <v>10</v>
      </c>
      <c r="K198" s="123">
        <v>1</v>
      </c>
      <c r="L198" s="123">
        <v>0</v>
      </c>
      <c r="M198" s="123">
        <v>0</v>
      </c>
      <c r="N198" s="138">
        <v>0</v>
      </c>
    </row>
    <row r="199" spans="1:14" ht="34">
      <c r="A199" s="129" t="s">
        <v>7602</v>
      </c>
      <c r="B199" s="130" t="s">
        <v>7603</v>
      </c>
      <c r="C199" s="136">
        <v>2010</v>
      </c>
      <c r="D199" s="123">
        <v>922</v>
      </c>
      <c r="E199" s="123">
        <v>294</v>
      </c>
      <c r="F199" s="123">
        <v>155</v>
      </c>
      <c r="G199" s="123">
        <v>143</v>
      </c>
      <c r="H199" s="123">
        <v>74</v>
      </c>
      <c r="I199" s="123">
        <v>10</v>
      </c>
      <c r="J199" s="123">
        <v>13</v>
      </c>
      <c r="K199" s="123">
        <v>3</v>
      </c>
      <c r="L199" s="123">
        <v>1</v>
      </c>
      <c r="M199" s="123">
        <v>1</v>
      </c>
      <c r="N199" s="138" t="s">
        <v>6952</v>
      </c>
    </row>
    <row r="200" spans="1:14" ht="34">
      <c r="A200" s="129" t="s">
        <v>7602</v>
      </c>
      <c r="B200" s="130" t="s">
        <v>7603</v>
      </c>
      <c r="C200" s="136">
        <v>2011</v>
      </c>
      <c r="D200" s="123">
        <v>873</v>
      </c>
      <c r="E200" s="123">
        <v>319</v>
      </c>
      <c r="F200" s="123">
        <v>168</v>
      </c>
      <c r="G200" s="123">
        <v>152</v>
      </c>
      <c r="H200" s="123">
        <v>92</v>
      </c>
      <c r="I200" s="123">
        <v>12</v>
      </c>
      <c r="J200" s="123">
        <v>21</v>
      </c>
      <c r="K200" s="123">
        <v>9</v>
      </c>
      <c r="L200" s="123">
        <v>1</v>
      </c>
      <c r="M200" s="123" t="s">
        <v>6952</v>
      </c>
      <c r="N200" s="138">
        <v>1</v>
      </c>
    </row>
    <row r="201" spans="1:14" ht="34">
      <c r="A201" s="129" t="s">
        <v>7602</v>
      </c>
      <c r="B201" s="130" t="s">
        <v>7603</v>
      </c>
      <c r="C201" s="136">
        <v>2012</v>
      </c>
      <c r="D201" s="135">
        <v>842</v>
      </c>
      <c r="E201" s="135">
        <v>468</v>
      </c>
      <c r="F201" s="135">
        <v>216</v>
      </c>
      <c r="G201" s="135">
        <v>256</v>
      </c>
      <c r="H201" s="123" t="s">
        <v>6953</v>
      </c>
      <c r="I201" s="135">
        <v>16</v>
      </c>
      <c r="J201" s="135">
        <v>24</v>
      </c>
      <c r="K201" s="135">
        <v>8</v>
      </c>
      <c r="L201" s="135">
        <v>14</v>
      </c>
      <c r="M201" s="135">
        <v>11</v>
      </c>
      <c r="N201" s="139">
        <v>3</v>
      </c>
    </row>
    <row r="202" spans="1:14" ht="34">
      <c r="A202" s="129" t="s">
        <v>7602</v>
      </c>
      <c r="B202" s="130" t="s">
        <v>7603</v>
      </c>
      <c r="C202" s="130">
        <v>2013</v>
      </c>
      <c r="D202" s="135">
        <v>913</v>
      </c>
      <c r="E202" s="135">
        <v>483</v>
      </c>
      <c r="F202" s="135">
        <v>281</v>
      </c>
      <c r="G202" s="135">
        <v>205</v>
      </c>
      <c r="H202" s="135">
        <v>116</v>
      </c>
      <c r="I202" s="135">
        <v>99</v>
      </c>
      <c r="J202" s="135">
        <v>109</v>
      </c>
      <c r="K202" s="135">
        <v>9</v>
      </c>
      <c r="L202" s="135">
        <v>41</v>
      </c>
      <c r="M202" s="135">
        <v>41</v>
      </c>
      <c r="N202" s="138" t="s">
        <v>6952</v>
      </c>
    </row>
    <row r="203" spans="1:14" ht="34">
      <c r="A203" s="129" t="s">
        <v>7602</v>
      </c>
      <c r="B203" s="130" t="s">
        <v>7603</v>
      </c>
      <c r="C203" s="130">
        <v>2014</v>
      </c>
      <c r="D203" s="123">
        <v>969</v>
      </c>
      <c r="E203" s="123">
        <v>495</v>
      </c>
      <c r="F203" s="123">
        <v>241</v>
      </c>
      <c r="G203" s="123">
        <v>253</v>
      </c>
      <c r="H203" s="123">
        <v>122</v>
      </c>
      <c r="I203" s="123">
        <v>105</v>
      </c>
      <c r="J203" s="123">
        <v>109</v>
      </c>
      <c r="K203" s="123">
        <v>5</v>
      </c>
      <c r="L203" s="123">
        <v>6</v>
      </c>
      <c r="M203" s="123">
        <v>9</v>
      </c>
      <c r="N203" s="138">
        <v>-3</v>
      </c>
    </row>
    <row r="204" spans="1:14" ht="34">
      <c r="A204" s="129" t="s">
        <v>7602</v>
      </c>
      <c r="B204" s="130" t="s">
        <v>7603</v>
      </c>
      <c r="C204" s="130">
        <v>2015</v>
      </c>
      <c r="D204" s="135">
        <v>1016</v>
      </c>
      <c r="E204" s="135">
        <v>400</v>
      </c>
      <c r="F204" s="135">
        <v>287</v>
      </c>
      <c r="G204" s="135">
        <v>136</v>
      </c>
      <c r="H204" s="135">
        <v>112</v>
      </c>
      <c r="I204" s="135">
        <v>35</v>
      </c>
      <c r="J204" s="135">
        <v>39</v>
      </c>
      <c r="K204" s="135">
        <v>5</v>
      </c>
      <c r="L204" s="135">
        <v>3</v>
      </c>
      <c r="M204" s="135">
        <v>6</v>
      </c>
      <c r="N204" s="139">
        <v>-4</v>
      </c>
    </row>
    <row r="205" spans="1:14" ht="34">
      <c r="A205" s="129" t="s">
        <v>7602</v>
      </c>
      <c r="B205" s="130" t="s">
        <v>7603</v>
      </c>
      <c r="C205" s="130">
        <v>2016</v>
      </c>
      <c r="D205" s="135">
        <v>1092</v>
      </c>
      <c r="E205" s="135">
        <v>519</v>
      </c>
      <c r="F205" s="135">
        <v>318</v>
      </c>
      <c r="G205" s="135">
        <v>206</v>
      </c>
      <c r="H205" s="135">
        <v>141</v>
      </c>
      <c r="I205" s="135">
        <v>101</v>
      </c>
      <c r="J205" s="135">
        <v>111</v>
      </c>
      <c r="K205" s="135">
        <v>10</v>
      </c>
      <c r="L205" s="135">
        <v>4</v>
      </c>
      <c r="M205" s="135">
        <v>3</v>
      </c>
      <c r="N205" s="139">
        <v>1</v>
      </c>
    </row>
    <row r="206" spans="1:14" ht="34">
      <c r="A206" s="129" t="s">
        <v>7602</v>
      </c>
      <c r="B206" s="130" t="s">
        <v>7603</v>
      </c>
      <c r="C206" s="130">
        <v>2017</v>
      </c>
      <c r="D206" s="135">
        <v>1124</v>
      </c>
      <c r="E206" s="135">
        <v>575</v>
      </c>
      <c r="F206" s="135">
        <v>390</v>
      </c>
      <c r="G206" s="135">
        <v>201</v>
      </c>
      <c r="H206" s="135">
        <v>147</v>
      </c>
      <c r="I206" s="135">
        <v>70</v>
      </c>
      <c r="J206" s="123" t="s">
        <v>6953</v>
      </c>
      <c r="K206" s="123" t="s">
        <v>6953</v>
      </c>
      <c r="L206" s="135">
        <v>26</v>
      </c>
      <c r="M206" s="135">
        <v>25</v>
      </c>
      <c r="N206" s="139">
        <v>2</v>
      </c>
    </row>
    <row r="207" spans="1:14" ht="34">
      <c r="A207" s="129" t="s">
        <v>7602</v>
      </c>
      <c r="B207" s="130" t="s">
        <v>7603</v>
      </c>
      <c r="C207" s="130">
        <v>2018</v>
      </c>
      <c r="D207" s="135">
        <v>1041</v>
      </c>
      <c r="E207" s="135">
        <v>534</v>
      </c>
      <c r="F207" s="135">
        <v>307</v>
      </c>
      <c r="G207" s="135">
        <v>234</v>
      </c>
      <c r="H207" s="135">
        <v>155</v>
      </c>
      <c r="I207" s="135">
        <v>119</v>
      </c>
      <c r="J207" s="135">
        <v>127</v>
      </c>
      <c r="K207" s="135">
        <v>8</v>
      </c>
      <c r="L207" s="135">
        <v>17</v>
      </c>
      <c r="M207" s="135">
        <v>12</v>
      </c>
      <c r="N207" s="139">
        <v>4</v>
      </c>
    </row>
    <row r="208" spans="1:14" ht="34">
      <c r="A208" s="129" t="s">
        <v>7602</v>
      </c>
      <c r="B208" s="130" t="s">
        <v>7603</v>
      </c>
      <c r="C208" s="130">
        <v>2019</v>
      </c>
      <c r="D208" s="135">
        <v>1055</v>
      </c>
      <c r="E208" s="135">
        <v>618.72254499999997</v>
      </c>
      <c r="F208" s="135">
        <v>325.85254099999997</v>
      </c>
      <c r="G208" s="135">
        <v>298.271908</v>
      </c>
      <c r="H208" s="135">
        <v>163.83008799999999</v>
      </c>
      <c r="I208" s="135">
        <v>146.085588</v>
      </c>
      <c r="J208" s="135">
        <v>174.845552</v>
      </c>
      <c r="K208" s="135">
        <v>28.759964</v>
      </c>
      <c r="L208" s="135">
        <v>9.5781329999999993</v>
      </c>
      <c r="M208" s="135">
        <v>10.646623</v>
      </c>
      <c r="N208" s="139">
        <v>-1.0684899999999999</v>
      </c>
    </row>
    <row r="209" spans="1:14" ht="34">
      <c r="A209" s="130" t="s">
        <v>7602</v>
      </c>
      <c r="B209" s="130" t="s">
        <v>7603</v>
      </c>
      <c r="C209" s="130">
        <v>2020</v>
      </c>
      <c r="D209" s="135" t="s">
        <v>6953</v>
      </c>
      <c r="E209" s="135" t="s">
        <v>6953</v>
      </c>
      <c r="F209" s="135" t="s">
        <v>6953</v>
      </c>
      <c r="G209" s="135" t="s">
        <v>6953</v>
      </c>
      <c r="H209" s="135" t="s">
        <v>6953</v>
      </c>
      <c r="I209" s="135" t="s">
        <v>6953</v>
      </c>
      <c r="J209" s="135" t="s">
        <v>6953</v>
      </c>
      <c r="K209" s="135" t="s">
        <v>6953</v>
      </c>
      <c r="L209" s="135" t="s">
        <v>6953</v>
      </c>
      <c r="M209" s="135" t="s">
        <v>6953</v>
      </c>
      <c r="N209" s="139" t="s">
        <v>6953</v>
      </c>
    </row>
    <row r="210" spans="1:14" ht="17">
      <c r="A210" s="129" t="s">
        <v>7604</v>
      </c>
      <c r="B210" s="129" t="s">
        <v>7605</v>
      </c>
      <c r="C210" s="136">
        <v>2008</v>
      </c>
      <c r="D210" s="123">
        <v>253</v>
      </c>
      <c r="E210" s="123">
        <v>453</v>
      </c>
      <c r="F210" s="123">
        <v>165</v>
      </c>
      <c r="G210" s="123">
        <v>288</v>
      </c>
      <c r="H210" s="123">
        <v>71</v>
      </c>
      <c r="I210" s="123">
        <v>16</v>
      </c>
      <c r="J210" s="123">
        <v>18</v>
      </c>
      <c r="K210" s="123">
        <v>2</v>
      </c>
      <c r="L210" s="123">
        <v>0</v>
      </c>
      <c r="M210" s="123">
        <v>0</v>
      </c>
      <c r="N210" s="138">
        <v>0</v>
      </c>
    </row>
    <row r="211" spans="1:14" ht="17">
      <c r="A211" s="129" t="s">
        <v>7604</v>
      </c>
      <c r="B211" s="129" t="s">
        <v>7605</v>
      </c>
      <c r="C211" s="136">
        <v>2009</v>
      </c>
      <c r="D211" s="123">
        <v>231</v>
      </c>
      <c r="E211" s="123">
        <v>406</v>
      </c>
      <c r="F211" s="123" t="s">
        <v>6953</v>
      </c>
      <c r="G211" s="123" t="s">
        <v>6953</v>
      </c>
      <c r="H211" s="123">
        <v>71</v>
      </c>
      <c r="I211" s="123" t="s">
        <v>6953</v>
      </c>
      <c r="J211" s="123" t="s">
        <v>6953</v>
      </c>
      <c r="K211" s="123" t="s">
        <v>6953</v>
      </c>
      <c r="L211" s="123" t="s">
        <v>6952</v>
      </c>
      <c r="M211" s="123" t="s">
        <v>6952</v>
      </c>
      <c r="N211" s="138" t="s">
        <v>6952</v>
      </c>
    </row>
    <row r="212" spans="1:14" ht="17">
      <c r="A212" s="129" t="s">
        <v>7604</v>
      </c>
      <c r="B212" s="129" t="s">
        <v>7605</v>
      </c>
      <c r="C212" s="136">
        <v>2010</v>
      </c>
      <c r="D212" s="123">
        <v>186</v>
      </c>
      <c r="E212" s="123">
        <v>428</v>
      </c>
      <c r="F212" s="123">
        <v>138</v>
      </c>
      <c r="G212" s="123">
        <v>294</v>
      </c>
      <c r="H212" s="123">
        <v>76</v>
      </c>
      <c r="I212" s="123" t="s">
        <v>6953</v>
      </c>
      <c r="J212" s="123" t="s">
        <v>6953</v>
      </c>
      <c r="K212" s="123">
        <v>6</v>
      </c>
      <c r="L212" s="123">
        <v>1</v>
      </c>
      <c r="M212" s="123">
        <v>1</v>
      </c>
      <c r="N212" s="138" t="s">
        <v>6952</v>
      </c>
    </row>
    <row r="213" spans="1:14" ht="17">
      <c r="A213" s="129" t="s">
        <v>7604</v>
      </c>
      <c r="B213" s="129" t="s">
        <v>7605</v>
      </c>
      <c r="C213" s="136">
        <v>2011</v>
      </c>
      <c r="D213" s="123">
        <v>158</v>
      </c>
      <c r="E213" s="123">
        <v>354</v>
      </c>
      <c r="F213" s="123" t="s">
        <v>6953</v>
      </c>
      <c r="G213" s="123" t="s">
        <v>6953</v>
      </c>
      <c r="H213" s="123">
        <v>66</v>
      </c>
      <c r="I213" s="123">
        <v>26</v>
      </c>
      <c r="J213" s="123" t="s">
        <v>6953</v>
      </c>
      <c r="K213" s="123" t="s">
        <v>6953</v>
      </c>
      <c r="L213" s="123">
        <v>0</v>
      </c>
      <c r="M213" s="123">
        <v>0</v>
      </c>
      <c r="N213" s="138">
        <v>0</v>
      </c>
    </row>
    <row r="214" spans="1:14" ht="17">
      <c r="A214" s="129" t="s">
        <v>7604</v>
      </c>
      <c r="B214" s="129" t="s">
        <v>7605</v>
      </c>
      <c r="C214" s="136">
        <v>2012</v>
      </c>
      <c r="D214" s="135">
        <v>140</v>
      </c>
      <c r="E214" s="135">
        <v>377</v>
      </c>
      <c r="F214" s="135">
        <v>1</v>
      </c>
      <c r="G214" s="135">
        <v>376</v>
      </c>
      <c r="H214" s="123" t="s">
        <v>6953</v>
      </c>
      <c r="I214" s="123" t="s">
        <v>6953</v>
      </c>
      <c r="J214" s="123" t="s">
        <v>6953</v>
      </c>
      <c r="K214" s="123" t="s">
        <v>6952</v>
      </c>
      <c r="L214" s="135">
        <v>0</v>
      </c>
      <c r="M214" s="135">
        <v>0</v>
      </c>
      <c r="N214" s="139">
        <v>0</v>
      </c>
    </row>
    <row r="215" spans="1:14" ht="17">
      <c r="A215" s="129" t="s">
        <v>7604</v>
      </c>
      <c r="B215" s="129" t="s">
        <v>7605</v>
      </c>
      <c r="C215" s="130">
        <v>2013</v>
      </c>
      <c r="D215" s="135">
        <v>116</v>
      </c>
      <c r="E215" s="123" t="s">
        <v>6953</v>
      </c>
      <c r="F215" s="123" t="s">
        <v>6953</v>
      </c>
      <c r="G215" s="123" t="s">
        <v>6953</v>
      </c>
      <c r="H215" s="135">
        <v>32</v>
      </c>
      <c r="I215" s="123" t="s">
        <v>6953</v>
      </c>
      <c r="J215" s="123" t="s">
        <v>6953</v>
      </c>
      <c r="K215" s="135">
        <v>1</v>
      </c>
      <c r="L215" s="135">
        <v>0</v>
      </c>
      <c r="M215" s="135">
        <v>0</v>
      </c>
      <c r="N215" s="139">
        <v>0</v>
      </c>
    </row>
    <row r="216" spans="1:14" ht="17">
      <c r="A216" s="129" t="s">
        <v>7604</v>
      </c>
      <c r="B216" s="129" t="s">
        <v>7605</v>
      </c>
      <c r="C216" s="130">
        <v>2014</v>
      </c>
      <c r="D216" s="123">
        <v>99</v>
      </c>
      <c r="E216" s="123">
        <v>147</v>
      </c>
      <c r="F216" s="123" t="s">
        <v>6953</v>
      </c>
      <c r="G216" s="123" t="s">
        <v>6953</v>
      </c>
      <c r="H216" s="123">
        <v>12</v>
      </c>
      <c r="I216" s="123">
        <v>40</v>
      </c>
      <c r="J216" s="123">
        <v>40</v>
      </c>
      <c r="K216" s="123" t="s">
        <v>6952</v>
      </c>
      <c r="L216" s="123" t="s">
        <v>6952</v>
      </c>
      <c r="M216" s="123" t="s">
        <v>6952</v>
      </c>
      <c r="N216" s="138" t="s">
        <v>6952</v>
      </c>
    </row>
    <row r="217" spans="1:14" ht="17">
      <c r="A217" s="129" t="s">
        <v>7604</v>
      </c>
      <c r="B217" s="129" t="s">
        <v>7605</v>
      </c>
      <c r="C217" s="130">
        <v>2015</v>
      </c>
      <c r="D217" s="135">
        <v>86</v>
      </c>
      <c r="E217" s="123" t="s">
        <v>6953</v>
      </c>
      <c r="F217" s="123" t="s">
        <v>6953</v>
      </c>
      <c r="G217" s="123" t="s">
        <v>6953</v>
      </c>
      <c r="H217" s="135">
        <v>11</v>
      </c>
      <c r="I217" s="123" t="s">
        <v>6953</v>
      </c>
      <c r="J217" s="123" t="s">
        <v>6953</v>
      </c>
      <c r="K217" s="123" t="s">
        <v>6952</v>
      </c>
      <c r="L217" s="135">
        <v>1</v>
      </c>
      <c r="M217" s="135">
        <v>1</v>
      </c>
      <c r="N217" s="138" t="s">
        <v>6952</v>
      </c>
    </row>
    <row r="218" spans="1:14" ht="17">
      <c r="A218" s="129" t="s">
        <v>7604</v>
      </c>
      <c r="B218" s="129" t="s">
        <v>7605</v>
      </c>
      <c r="C218" s="130">
        <v>2016</v>
      </c>
      <c r="D218" s="135">
        <v>79</v>
      </c>
      <c r="E218" s="123" t="s">
        <v>6953</v>
      </c>
      <c r="F218" s="123" t="s">
        <v>6953</v>
      </c>
      <c r="G218" s="123" t="s">
        <v>6953</v>
      </c>
      <c r="H218" s="135">
        <v>16</v>
      </c>
      <c r="I218" s="135">
        <v>10</v>
      </c>
      <c r="J218" s="135">
        <v>37</v>
      </c>
      <c r="K218" s="135">
        <v>27</v>
      </c>
      <c r="L218" s="123" t="s">
        <v>6952</v>
      </c>
      <c r="M218" s="123" t="s">
        <v>6952</v>
      </c>
      <c r="N218" s="138" t="s">
        <v>6952</v>
      </c>
    </row>
    <row r="219" spans="1:14" ht="17">
      <c r="A219" s="129" t="s">
        <v>7604</v>
      </c>
      <c r="B219" s="129" t="s">
        <v>7605</v>
      </c>
      <c r="C219" s="130">
        <v>2017</v>
      </c>
      <c r="D219" s="135">
        <v>70</v>
      </c>
      <c r="E219" s="135">
        <v>17</v>
      </c>
      <c r="F219" s="135">
        <v>6</v>
      </c>
      <c r="G219" s="135">
        <v>11</v>
      </c>
      <c r="H219" s="135">
        <v>2</v>
      </c>
      <c r="I219" s="123" t="s">
        <v>6952</v>
      </c>
      <c r="J219" s="123" t="s">
        <v>6952</v>
      </c>
      <c r="K219" s="123" t="s">
        <v>6952</v>
      </c>
      <c r="L219" s="123" t="s">
        <v>6952</v>
      </c>
      <c r="M219" s="123" t="s">
        <v>6952</v>
      </c>
      <c r="N219" s="138" t="s">
        <v>6952</v>
      </c>
    </row>
    <row r="220" spans="1:14" ht="17">
      <c r="A220" s="129" t="s">
        <v>7604</v>
      </c>
      <c r="B220" s="129" t="s">
        <v>7605</v>
      </c>
      <c r="C220" s="130">
        <v>2018</v>
      </c>
      <c r="D220" s="135">
        <v>62</v>
      </c>
      <c r="E220" s="135">
        <v>12</v>
      </c>
      <c r="F220" s="135">
        <v>7</v>
      </c>
      <c r="G220" s="135">
        <v>4</v>
      </c>
      <c r="H220" s="135">
        <v>3</v>
      </c>
      <c r="I220" s="135">
        <v>1</v>
      </c>
      <c r="J220" s="135">
        <v>1</v>
      </c>
      <c r="K220" s="123" t="s">
        <v>6952</v>
      </c>
      <c r="L220" s="135">
        <v>1</v>
      </c>
      <c r="M220" s="135">
        <v>2</v>
      </c>
      <c r="N220" s="138" t="s">
        <v>6952</v>
      </c>
    </row>
    <row r="221" spans="1:14" ht="17">
      <c r="A221" s="129" t="s">
        <v>7604</v>
      </c>
      <c r="B221" s="129" t="s">
        <v>7605</v>
      </c>
      <c r="C221" s="130">
        <v>2019</v>
      </c>
      <c r="D221" s="135">
        <v>57</v>
      </c>
      <c r="E221" s="135">
        <v>15.443488</v>
      </c>
      <c r="F221" s="135">
        <v>5.9736669999999998</v>
      </c>
      <c r="G221" s="135">
        <v>9.699306</v>
      </c>
      <c r="H221" s="135">
        <v>3.044</v>
      </c>
      <c r="I221" s="135" t="s">
        <v>6952</v>
      </c>
      <c r="J221" s="135" t="s">
        <v>6952</v>
      </c>
      <c r="K221" s="135" t="s">
        <v>6952</v>
      </c>
      <c r="L221" s="135">
        <v>1.5829869999999999</v>
      </c>
      <c r="M221" s="135">
        <v>1.3534999999999999</v>
      </c>
      <c r="N221" s="139" t="s">
        <v>6952</v>
      </c>
    </row>
    <row r="222" spans="1:14" ht="17">
      <c r="A222" s="130" t="s">
        <v>7604</v>
      </c>
      <c r="B222" s="130" t="s">
        <v>7605</v>
      </c>
      <c r="C222" s="130">
        <v>2020</v>
      </c>
      <c r="D222" s="135" t="s">
        <v>6953</v>
      </c>
      <c r="E222" s="135" t="s">
        <v>6953</v>
      </c>
      <c r="F222" s="135" t="s">
        <v>6953</v>
      </c>
      <c r="G222" s="135" t="s">
        <v>6953</v>
      </c>
      <c r="H222" s="135" t="s">
        <v>6953</v>
      </c>
      <c r="I222" s="135" t="s">
        <v>6953</v>
      </c>
      <c r="J222" s="135" t="s">
        <v>6953</v>
      </c>
      <c r="K222" s="135" t="s">
        <v>6953</v>
      </c>
      <c r="L222" s="135" t="s">
        <v>6953</v>
      </c>
      <c r="M222" s="135" t="s">
        <v>6953</v>
      </c>
      <c r="N222" s="139" t="s">
        <v>6953</v>
      </c>
    </row>
    <row r="223" spans="1:14" ht="34">
      <c r="A223" s="129" t="s">
        <v>7606</v>
      </c>
      <c r="B223" s="130" t="s">
        <v>7607</v>
      </c>
      <c r="C223" s="136">
        <v>2008</v>
      </c>
      <c r="D223" s="123">
        <v>805</v>
      </c>
      <c r="E223" s="123">
        <v>626</v>
      </c>
      <c r="F223" s="123">
        <v>382</v>
      </c>
      <c r="G223" s="123">
        <v>243</v>
      </c>
      <c r="H223" s="123">
        <v>166</v>
      </c>
      <c r="I223" s="123">
        <v>49</v>
      </c>
      <c r="J223" s="123">
        <v>52</v>
      </c>
      <c r="K223" s="123">
        <v>2</v>
      </c>
      <c r="L223" s="123">
        <v>1</v>
      </c>
      <c r="M223" s="123">
        <v>1</v>
      </c>
      <c r="N223" s="138" t="s">
        <v>6952</v>
      </c>
    </row>
    <row r="224" spans="1:14" ht="34">
      <c r="A224" s="129" t="s">
        <v>7606</v>
      </c>
      <c r="B224" s="130" t="s">
        <v>7607</v>
      </c>
      <c r="C224" s="136">
        <v>2009</v>
      </c>
      <c r="D224" s="123">
        <v>868</v>
      </c>
      <c r="E224" s="123">
        <v>686</v>
      </c>
      <c r="F224" s="123">
        <v>355</v>
      </c>
      <c r="G224" s="123">
        <v>332</v>
      </c>
      <c r="H224" s="123">
        <v>158</v>
      </c>
      <c r="I224" s="123">
        <v>24</v>
      </c>
      <c r="J224" s="123">
        <v>24</v>
      </c>
      <c r="K224" s="123">
        <v>1</v>
      </c>
      <c r="L224" s="123">
        <v>0</v>
      </c>
      <c r="M224" s="123">
        <v>0</v>
      </c>
      <c r="N224" s="138">
        <v>0</v>
      </c>
    </row>
    <row r="225" spans="1:14" ht="34">
      <c r="A225" s="129" t="s">
        <v>7606</v>
      </c>
      <c r="B225" s="130" t="s">
        <v>7607</v>
      </c>
      <c r="C225" s="136">
        <v>2010</v>
      </c>
      <c r="D225" s="123">
        <v>920</v>
      </c>
      <c r="E225" s="123">
        <v>716</v>
      </c>
      <c r="F225" s="123">
        <v>411</v>
      </c>
      <c r="G225" s="123">
        <v>279</v>
      </c>
      <c r="H225" s="123">
        <v>211</v>
      </c>
      <c r="I225" s="123">
        <v>36</v>
      </c>
      <c r="J225" s="123">
        <v>47</v>
      </c>
      <c r="K225" s="123">
        <v>12</v>
      </c>
      <c r="L225" s="123">
        <v>14</v>
      </c>
      <c r="M225" s="123">
        <v>22</v>
      </c>
      <c r="N225" s="138">
        <v>-8</v>
      </c>
    </row>
    <row r="226" spans="1:14" ht="34">
      <c r="A226" s="129" t="s">
        <v>7606</v>
      </c>
      <c r="B226" s="130" t="s">
        <v>7607</v>
      </c>
      <c r="C226" s="136">
        <v>2011</v>
      </c>
      <c r="D226" s="123">
        <v>1046</v>
      </c>
      <c r="E226" s="123">
        <v>749</v>
      </c>
      <c r="F226" s="123" t="s">
        <v>6953</v>
      </c>
      <c r="G226" s="123" t="s">
        <v>6953</v>
      </c>
      <c r="H226" s="123">
        <v>206</v>
      </c>
      <c r="I226" s="123">
        <v>46</v>
      </c>
      <c r="J226" s="123" t="s">
        <v>6953</v>
      </c>
      <c r="K226" s="123" t="s">
        <v>6953</v>
      </c>
      <c r="L226" s="123" t="s">
        <v>6952</v>
      </c>
      <c r="M226" s="123" t="s">
        <v>6952</v>
      </c>
      <c r="N226" s="138" t="s">
        <v>6952</v>
      </c>
    </row>
    <row r="227" spans="1:14" ht="34">
      <c r="A227" s="129" t="s">
        <v>7606</v>
      </c>
      <c r="B227" s="130" t="s">
        <v>7607</v>
      </c>
      <c r="C227" s="136">
        <v>2012</v>
      </c>
      <c r="D227" s="135">
        <v>1175</v>
      </c>
      <c r="E227" s="135">
        <v>948</v>
      </c>
      <c r="F227" s="135">
        <v>556</v>
      </c>
      <c r="G227" s="135">
        <v>394</v>
      </c>
      <c r="H227" s="135">
        <v>170</v>
      </c>
      <c r="I227" s="135">
        <v>109</v>
      </c>
      <c r="J227" s="135">
        <v>117</v>
      </c>
      <c r="K227" s="135">
        <v>7</v>
      </c>
      <c r="L227" s="123" t="s">
        <v>6952</v>
      </c>
      <c r="M227" s="123" t="s">
        <v>6952</v>
      </c>
      <c r="N227" s="138" t="s">
        <v>6952</v>
      </c>
    </row>
    <row r="228" spans="1:14" ht="34">
      <c r="A228" s="129" t="s">
        <v>7606</v>
      </c>
      <c r="B228" s="130" t="s">
        <v>7607</v>
      </c>
      <c r="C228" s="130">
        <v>2013</v>
      </c>
      <c r="D228" s="135">
        <v>1189</v>
      </c>
      <c r="E228" s="123" t="s">
        <v>6953</v>
      </c>
      <c r="F228" s="123" t="s">
        <v>6953</v>
      </c>
      <c r="G228" s="123" t="s">
        <v>6953</v>
      </c>
      <c r="H228" s="135">
        <v>204</v>
      </c>
      <c r="I228" s="123" t="s">
        <v>6953</v>
      </c>
      <c r="J228" s="123" t="s">
        <v>6953</v>
      </c>
      <c r="K228" s="135">
        <v>27</v>
      </c>
      <c r="L228" s="135">
        <v>1</v>
      </c>
      <c r="M228" s="135">
        <v>1</v>
      </c>
      <c r="N228" s="138" t="s">
        <v>6952</v>
      </c>
    </row>
    <row r="229" spans="1:14" ht="34">
      <c r="A229" s="129" t="s">
        <v>7606</v>
      </c>
      <c r="B229" s="130" t="s">
        <v>7607</v>
      </c>
      <c r="C229" s="130">
        <v>2014</v>
      </c>
      <c r="D229" s="123">
        <v>1155</v>
      </c>
      <c r="E229" s="123">
        <v>942</v>
      </c>
      <c r="F229" s="123" t="s">
        <v>6953</v>
      </c>
      <c r="G229" s="123" t="s">
        <v>6953</v>
      </c>
      <c r="H229" s="123">
        <v>211</v>
      </c>
      <c r="I229" s="123">
        <v>117</v>
      </c>
      <c r="J229" s="123">
        <v>123</v>
      </c>
      <c r="K229" s="123">
        <v>6</v>
      </c>
      <c r="L229" s="123">
        <v>0</v>
      </c>
      <c r="M229" s="123">
        <v>1</v>
      </c>
      <c r="N229" s="138">
        <v>-1</v>
      </c>
    </row>
    <row r="230" spans="1:14" ht="34">
      <c r="A230" s="129" t="s">
        <v>7606</v>
      </c>
      <c r="B230" s="130" t="s">
        <v>7607</v>
      </c>
      <c r="C230" s="130">
        <v>2015</v>
      </c>
      <c r="D230" s="135">
        <v>1188</v>
      </c>
      <c r="E230" s="123" t="s">
        <v>6953</v>
      </c>
      <c r="F230" s="123" t="s">
        <v>6953</v>
      </c>
      <c r="G230" s="123" t="s">
        <v>6953</v>
      </c>
      <c r="H230" s="135">
        <v>234</v>
      </c>
      <c r="I230" s="123" t="s">
        <v>6953</v>
      </c>
      <c r="J230" s="123" t="s">
        <v>6953</v>
      </c>
      <c r="K230" s="135">
        <v>5</v>
      </c>
      <c r="L230" s="135">
        <v>4</v>
      </c>
      <c r="M230" s="135">
        <v>2</v>
      </c>
      <c r="N230" s="139">
        <v>2</v>
      </c>
    </row>
    <row r="231" spans="1:14" ht="34">
      <c r="A231" s="129" t="s">
        <v>7606</v>
      </c>
      <c r="B231" s="130" t="s">
        <v>7607</v>
      </c>
      <c r="C231" s="130">
        <v>2016</v>
      </c>
      <c r="D231" s="135">
        <v>1280</v>
      </c>
      <c r="E231" s="123" t="s">
        <v>6953</v>
      </c>
      <c r="F231" s="123" t="s">
        <v>6953</v>
      </c>
      <c r="G231" s="123" t="s">
        <v>6953</v>
      </c>
      <c r="H231" s="135">
        <v>178</v>
      </c>
      <c r="I231" s="135">
        <v>95</v>
      </c>
      <c r="J231" s="135">
        <v>102</v>
      </c>
      <c r="K231" s="135">
        <v>7</v>
      </c>
      <c r="L231" s="135">
        <v>7</v>
      </c>
      <c r="M231" s="135">
        <v>8</v>
      </c>
      <c r="N231" s="139">
        <v>-1</v>
      </c>
    </row>
    <row r="232" spans="1:14" ht="34">
      <c r="A232" s="129" t="s">
        <v>7606</v>
      </c>
      <c r="B232" s="130" t="s">
        <v>7607</v>
      </c>
      <c r="C232" s="130">
        <v>2017</v>
      </c>
      <c r="D232" s="135">
        <v>1341</v>
      </c>
      <c r="E232" s="135">
        <v>845</v>
      </c>
      <c r="F232" s="135">
        <v>533</v>
      </c>
      <c r="G232" s="135">
        <v>311</v>
      </c>
      <c r="H232" s="135">
        <v>183</v>
      </c>
      <c r="I232" s="135">
        <v>137</v>
      </c>
      <c r="J232" s="135">
        <v>146</v>
      </c>
      <c r="K232" s="135">
        <v>9</v>
      </c>
      <c r="L232" s="135">
        <v>6</v>
      </c>
      <c r="M232" s="135">
        <v>7</v>
      </c>
      <c r="N232" s="138" t="s">
        <v>6952</v>
      </c>
    </row>
    <row r="233" spans="1:14" ht="34">
      <c r="A233" s="129" t="s">
        <v>7606</v>
      </c>
      <c r="B233" s="130" t="s">
        <v>7607</v>
      </c>
      <c r="C233" s="130">
        <v>2018</v>
      </c>
      <c r="D233" s="135">
        <v>1337</v>
      </c>
      <c r="E233" s="135">
        <v>948</v>
      </c>
      <c r="F233" s="135">
        <v>593</v>
      </c>
      <c r="G233" s="135">
        <v>350</v>
      </c>
      <c r="H233" s="135">
        <v>220</v>
      </c>
      <c r="I233" s="135">
        <v>86</v>
      </c>
      <c r="J233" s="135">
        <v>90</v>
      </c>
      <c r="K233" s="135">
        <v>4</v>
      </c>
      <c r="L233" s="135">
        <v>6</v>
      </c>
      <c r="M233" s="135">
        <v>10</v>
      </c>
      <c r="N233" s="139">
        <v>-4</v>
      </c>
    </row>
    <row r="234" spans="1:14" ht="34">
      <c r="A234" s="129" t="s">
        <v>7606</v>
      </c>
      <c r="B234" s="130" t="s">
        <v>7607</v>
      </c>
      <c r="C234" s="130">
        <v>2019</v>
      </c>
      <c r="D234" s="135">
        <v>1379</v>
      </c>
      <c r="E234" s="135">
        <v>1195.472305</v>
      </c>
      <c r="F234" s="135">
        <v>748.498919</v>
      </c>
      <c r="G234" s="135">
        <v>446.44927300000001</v>
      </c>
      <c r="H234" s="135">
        <v>348.41158300000001</v>
      </c>
      <c r="I234" s="135">
        <v>113.991263</v>
      </c>
      <c r="J234" s="135">
        <v>126.95408500000001</v>
      </c>
      <c r="K234" s="135">
        <v>12.962821</v>
      </c>
      <c r="L234" s="135">
        <v>2.7287219999999999</v>
      </c>
      <c r="M234" s="135">
        <v>2.530672</v>
      </c>
      <c r="N234" s="139" t="s">
        <v>6952</v>
      </c>
    </row>
    <row r="235" spans="1:14" ht="34">
      <c r="A235" s="130" t="s">
        <v>7606</v>
      </c>
      <c r="B235" s="130" t="s">
        <v>7607</v>
      </c>
      <c r="C235" s="130">
        <v>2020</v>
      </c>
      <c r="D235" s="135">
        <v>1416</v>
      </c>
      <c r="E235" s="135">
        <v>1039.6788140000001</v>
      </c>
      <c r="F235" s="135">
        <v>683.35683700000004</v>
      </c>
      <c r="G235" s="135">
        <v>357.35040600000002</v>
      </c>
      <c r="H235" s="135">
        <v>335.23676499999999</v>
      </c>
      <c r="I235" s="135">
        <v>164.701764</v>
      </c>
      <c r="J235" s="135">
        <v>171.06632300000001</v>
      </c>
      <c r="K235" s="135">
        <v>6.3645589999999999</v>
      </c>
      <c r="L235" s="135">
        <v>13.649435</v>
      </c>
      <c r="M235" s="135">
        <v>25.74775</v>
      </c>
      <c r="N235" s="139">
        <v>-12.098314999999999</v>
      </c>
    </row>
    <row r="236" spans="1:14" ht="34">
      <c r="A236" s="129" t="s">
        <v>7608</v>
      </c>
      <c r="B236" s="130" t="s">
        <v>7609</v>
      </c>
      <c r="C236" s="136">
        <v>2008</v>
      </c>
      <c r="D236" s="123" t="s">
        <v>6953</v>
      </c>
      <c r="E236" s="123" t="s">
        <v>6953</v>
      </c>
      <c r="F236" s="123" t="s">
        <v>6953</v>
      </c>
      <c r="G236" s="123" t="s">
        <v>6953</v>
      </c>
      <c r="H236" s="123" t="s">
        <v>6953</v>
      </c>
      <c r="I236" s="123" t="s">
        <v>6953</v>
      </c>
      <c r="J236" s="123" t="s">
        <v>6953</v>
      </c>
      <c r="K236" s="123" t="s">
        <v>6953</v>
      </c>
      <c r="L236" s="123" t="s">
        <v>6953</v>
      </c>
      <c r="M236" s="123" t="s">
        <v>6953</v>
      </c>
      <c r="N236" s="138" t="s">
        <v>6953</v>
      </c>
    </row>
    <row r="237" spans="1:14" ht="34">
      <c r="A237" s="129" t="s">
        <v>7608</v>
      </c>
      <c r="B237" s="130" t="s">
        <v>7609</v>
      </c>
      <c r="C237" s="136">
        <v>2009</v>
      </c>
      <c r="D237" s="123">
        <v>10193</v>
      </c>
      <c r="E237" s="123">
        <v>12342</v>
      </c>
      <c r="F237" s="123">
        <v>6277</v>
      </c>
      <c r="G237" s="123">
        <v>5978</v>
      </c>
      <c r="H237" s="123">
        <v>2099</v>
      </c>
      <c r="I237" s="123">
        <v>784</v>
      </c>
      <c r="J237" s="123">
        <v>1384</v>
      </c>
      <c r="K237" s="123">
        <v>601</v>
      </c>
      <c r="L237" s="123">
        <v>174</v>
      </c>
      <c r="M237" s="123">
        <v>255</v>
      </c>
      <c r="N237" s="138">
        <v>-81</v>
      </c>
    </row>
    <row r="238" spans="1:14" ht="34">
      <c r="A238" s="129" t="s">
        <v>7608</v>
      </c>
      <c r="B238" s="130" t="s">
        <v>7609</v>
      </c>
      <c r="C238" s="136">
        <v>2010</v>
      </c>
      <c r="D238" s="123">
        <v>9834</v>
      </c>
      <c r="E238" s="123">
        <v>10682</v>
      </c>
      <c r="F238" s="123">
        <v>5739</v>
      </c>
      <c r="G238" s="123">
        <v>4929</v>
      </c>
      <c r="H238" s="123">
        <v>2009</v>
      </c>
      <c r="I238" s="123">
        <v>1099</v>
      </c>
      <c r="J238" s="123">
        <v>1509</v>
      </c>
      <c r="K238" s="123">
        <v>410</v>
      </c>
      <c r="L238" s="123">
        <v>114</v>
      </c>
      <c r="M238" s="123">
        <v>126</v>
      </c>
      <c r="N238" s="138">
        <v>-11</v>
      </c>
    </row>
    <row r="239" spans="1:14" ht="34">
      <c r="A239" s="129" t="s">
        <v>7608</v>
      </c>
      <c r="B239" s="130" t="s">
        <v>7609</v>
      </c>
      <c r="C239" s="136">
        <v>2011</v>
      </c>
      <c r="D239" s="123">
        <v>9484</v>
      </c>
      <c r="E239" s="123">
        <v>12240</v>
      </c>
      <c r="F239" s="123">
        <v>6656</v>
      </c>
      <c r="G239" s="123">
        <v>5594</v>
      </c>
      <c r="H239" s="123">
        <v>2198</v>
      </c>
      <c r="I239" s="123">
        <v>1185</v>
      </c>
      <c r="J239" s="123">
        <v>1738</v>
      </c>
      <c r="K239" s="123">
        <v>553</v>
      </c>
      <c r="L239" s="123">
        <v>132</v>
      </c>
      <c r="M239" s="123">
        <v>158</v>
      </c>
      <c r="N239" s="138">
        <v>-26</v>
      </c>
    </row>
    <row r="240" spans="1:14" ht="34">
      <c r="A240" s="129" t="s">
        <v>7608</v>
      </c>
      <c r="B240" s="130" t="s">
        <v>7609</v>
      </c>
      <c r="C240" s="136">
        <v>2012</v>
      </c>
      <c r="D240" s="135">
        <v>9248</v>
      </c>
      <c r="E240" s="135">
        <v>12479</v>
      </c>
      <c r="F240" s="135">
        <v>6438</v>
      </c>
      <c r="G240" s="135">
        <v>6024</v>
      </c>
      <c r="H240" s="135">
        <v>2296</v>
      </c>
      <c r="I240" s="135">
        <v>1560</v>
      </c>
      <c r="J240" s="135">
        <v>2115</v>
      </c>
      <c r="K240" s="135">
        <v>556</v>
      </c>
      <c r="L240" s="135">
        <v>159</v>
      </c>
      <c r="M240" s="135">
        <v>185</v>
      </c>
      <c r="N240" s="139">
        <v>-26</v>
      </c>
    </row>
    <row r="241" spans="1:14" ht="34">
      <c r="A241" s="129" t="s">
        <v>7608</v>
      </c>
      <c r="B241" s="130" t="s">
        <v>7609</v>
      </c>
      <c r="C241" s="130">
        <v>2013</v>
      </c>
      <c r="D241" s="135">
        <v>9384</v>
      </c>
      <c r="E241" s="135">
        <v>13452</v>
      </c>
      <c r="F241" s="135">
        <v>7446</v>
      </c>
      <c r="G241" s="135">
        <v>6002</v>
      </c>
      <c r="H241" s="135">
        <v>2463</v>
      </c>
      <c r="I241" s="135">
        <v>1438</v>
      </c>
      <c r="J241" s="135">
        <v>2050</v>
      </c>
      <c r="K241" s="135">
        <v>612</v>
      </c>
      <c r="L241" s="135">
        <v>76</v>
      </c>
      <c r="M241" s="135">
        <v>86</v>
      </c>
      <c r="N241" s="139">
        <v>-9</v>
      </c>
    </row>
    <row r="242" spans="1:14" ht="34">
      <c r="A242" s="129" t="s">
        <v>7608</v>
      </c>
      <c r="B242" s="130" t="s">
        <v>7609</v>
      </c>
      <c r="C242" s="130">
        <v>2014</v>
      </c>
      <c r="D242" s="123">
        <v>9482</v>
      </c>
      <c r="E242" s="123">
        <v>13295</v>
      </c>
      <c r="F242" s="123">
        <v>7722</v>
      </c>
      <c r="G242" s="123">
        <v>5772</v>
      </c>
      <c r="H242" s="123">
        <v>2401</v>
      </c>
      <c r="I242" s="123">
        <v>2274</v>
      </c>
      <c r="J242" s="123">
        <v>2923</v>
      </c>
      <c r="K242" s="123">
        <v>650</v>
      </c>
      <c r="L242" s="123">
        <v>94</v>
      </c>
      <c r="M242" s="123">
        <v>65</v>
      </c>
      <c r="N242" s="138">
        <v>29</v>
      </c>
    </row>
    <row r="243" spans="1:14" ht="34">
      <c r="A243" s="129" t="s">
        <v>7608</v>
      </c>
      <c r="B243" s="130" t="s">
        <v>7609</v>
      </c>
      <c r="C243" s="130">
        <v>2015</v>
      </c>
      <c r="D243" s="135">
        <v>9595</v>
      </c>
      <c r="E243" s="135">
        <v>13743</v>
      </c>
      <c r="F243" s="135">
        <v>8079</v>
      </c>
      <c r="G243" s="135">
        <v>5854</v>
      </c>
      <c r="H243" s="135">
        <v>2607</v>
      </c>
      <c r="I243" s="135">
        <v>3157</v>
      </c>
      <c r="J243" s="135">
        <v>3738</v>
      </c>
      <c r="K243" s="135">
        <v>582</v>
      </c>
      <c r="L243" s="123" t="s">
        <v>6953</v>
      </c>
      <c r="M243" s="123" t="s">
        <v>6953</v>
      </c>
      <c r="N243" s="138" t="s">
        <v>6953</v>
      </c>
    </row>
    <row r="244" spans="1:14" ht="34">
      <c r="A244" s="129" t="s">
        <v>7608</v>
      </c>
      <c r="B244" s="130" t="s">
        <v>7609</v>
      </c>
      <c r="C244" s="130">
        <v>2016</v>
      </c>
      <c r="D244" s="135">
        <v>9820</v>
      </c>
      <c r="E244" s="135">
        <v>14219</v>
      </c>
      <c r="F244" s="135">
        <v>8592</v>
      </c>
      <c r="G244" s="135">
        <v>5788</v>
      </c>
      <c r="H244" s="135">
        <v>2747</v>
      </c>
      <c r="I244" s="135">
        <v>2545</v>
      </c>
      <c r="J244" s="135">
        <v>3152</v>
      </c>
      <c r="K244" s="135">
        <v>607</v>
      </c>
      <c r="L244" s="135">
        <v>105</v>
      </c>
      <c r="M244" s="135">
        <v>90</v>
      </c>
      <c r="N244" s="139">
        <v>15</v>
      </c>
    </row>
    <row r="245" spans="1:14" ht="34">
      <c r="A245" s="129" t="s">
        <v>7608</v>
      </c>
      <c r="B245" s="130" t="s">
        <v>7609</v>
      </c>
      <c r="C245" s="130">
        <v>2017</v>
      </c>
      <c r="D245" s="135">
        <v>9982</v>
      </c>
      <c r="E245" s="135">
        <v>15154</v>
      </c>
      <c r="F245" s="135">
        <v>8833</v>
      </c>
      <c r="G245" s="135">
        <v>6421</v>
      </c>
      <c r="H245" s="135">
        <v>2750</v>
      </c>
      <c r="I245" s="135">
        <v>2507</v>
      </c>
      <c r="J245" s="135">
        <v>3065</v>
      </c>
      <c r="K245" s="135">
        <v>558</v>
      </c>
      <c r="L245" s="135">
        <v>183</v>
      </c>
      <c r="M245" s="135">
        <v>174</v>
      </c>
      <c r="N245" s="139">
        <v>9</v>
      </c>
    </row>
    <row r="246" spans="1:14" ht="34">
      <c r="A246" s="129" t="s">
        <v>7608</v>
      </c>
      <c r="B246" s="130" t="s">
        <v>7609</v>
      </c>
      <c r="C246" s="130">
        <v>2018</v>
      </c>
      <c r="D246" s="135">
        <v>10129</v>
      </c>
      <c r="E246" s="135">
        <v>16748</v>
      </c>
      <c r="F246" s="135">
        <v>9514</v>
      </c>
      <c r="G246" s="135">
        <v>7348</v>
      </c>
      <c r="H246" s="135">
        <v>2962</v>
      </c>
      <c r="I246" s="135">
        <v>2701</v>
      </c>
      <c r="J246" s="135">
        <v>3500</v>
      </c>
      <c r="K246" s="135">
        <v>799</v>
      </c>
      <c r="L246" s="135">
        <v>292</v>
      </c>
      <c r="M246" s="135">
        <v>270</v>
      </c>
      <c r="N246" s="139">
        <v>22</v>
      </c>
    </row>
    <row r="247" spans="1:14" ht="34">
      <c r="A247" s="129" t="s">
        <v>7608</v>
      </c>
      <c r="B247" s="130" t="s">
        <v>7609</v>
      </c>
      <c r="C247" s="130">
        <v>2019</v>
      </c>
      <c r="D247" s="135">
        <v>10058</v>
      </c>
      <c r="E247" s="135">
        <v>17133.526313999999</v>
      </c>
      <c r="F247" s="135">
        <v>9790.2269109999997</v>
      </c>
      <c r="G247" s="135">
        <v>7374.2163639999999</v>
      </c>
      <c r="H247" s="135">
        <v>3379.1415019999999</v>
      </c>
      <c r="I247" s="135">
        <v>2659.9842779999999</v>
      </c>
      <c r="J247" s="135">
        <v>3477.0385030000002</v>
      </c>
      <c r="K247" s="135">
        <v>817.05422499999997</v>
      </c>
      <c r="L247" s="135">
        <v>424.41972299999998</v>
      </c>
      <c r="M247" s="135">
        <v>410.12969099999998</v>
      </c>
      <c r="N247" s="139">
        <v>14.290032</v>
      </c>
    </row>
    <row r="248" spans="1:14" ht="34">
      <c r="A248" s="130" t="s">
        <v>7608</v>
      </c>
      <c r="B248" s="130" t="s">
        <v>7609</v>
      </c>
      <c r="C248" s="130">
        <v>2020</v>
      </c>
      <c r="D248" s="135">
        <v>10175</v>
      </c>
      <c r="E248" s="135">
        <v>13884.934155999999</v>
      </c>
      <c r="F248" s="135">
        <v>8778.4687310000008</v>
      </c>
      <c r="G248" s="135">
        <v>5121.331983</v>
      </c>
      <c r="H248" s="135">
        <v>2932.7068530000001</v>
      </c>
      <c r="I248" s="135">
        <v>1862.517828</v>
      </c>
      <c r="J248" s="135">
        <v>3074.8229879999999</v>
      </c>
      <c r="K248" s="135">
        <v>1212.305161</v>
      </c>
      <c r="L248" s="135">
        <v>338.35573499999998</v>
      </c>
      <c r="M248" s="135">
        <v>360.50752399999999</v>
      </c>
      <c r="N248" s="139">
        <v>-22.151789000000001</v>
      </c>
    </row>
    <row r="249" spans="1:14" ht="34">
      <c r="A249" s="129" t="s">
        <v>7610</v>
      </c>
      <c r="B249" s="130" t="s">
        <v>7611</v>
      </c>
      <c r="C249" s="136">
        <v>2008</v>
      </c>
      <c r="D249" s="123">
        <v>428</v>
      </c>
      <c r="E249" s="123">
        <v>131</v>
      </c>
      <c r="F249" s="123">
        <v>65</v>
      </c>
      <c r="G249" s="123">
        <v>67</v>
      </c>
      <c r="H249" s="123">
        <v>28</v>
      </c>
      <c r="I249" s="123">
        <v>11</v>
      </c>
      <c r="J249" s="123">
        <v>33</v>
      </c>
      <c r="K249" s="123">
        <v>22</v>
      </c>
      <c r="L249" s="123">
        <v>1</v>
      </c>
      <c r="M249" s="123" t="s">
        <v>6952</v>
      </c>
      <c r="N249" s="138" t="s">
        <v>6952</v>
      </c>
    </row>
    <row r="250" spans="1:14" ht="34">
      <c r="A250" s="129" t="s">
        <v>7610</v>
      </c>
      <c r="B250" s="130" t="s">
        <v>7611</v>
      </c>
      <c r="C250" s="136">
        <v>2009</v>
      </c>
      <c r="D250" s="123">
        <v>424</v>
      </c>
      <c r="E250" s="123">
        <v>132</v>
      </c>
      <c r="F250" s="123">
        <v>78</v>
      </c>
      <c r="G250" s="123">
        <v>55</v>
      </c>
      <c r="H250" s="123">
        <v>23</v>
      </c>
      <c r="I250" s="123">
        <v>13</v>
      </c>
      <c r="J250" s="123">
        <v>26</v>
      </c>
      <c r="K250" s="123">
        <v>13</v>
      </c>
      <c r="L250" s="123">
        <v>1</v>
      </c>
      <c r="M250" s="123">
        <v>1</v>
      </c>
      <c r="N250" s="138" t="s">
        <v>6952</v>
      </c>
    </row>
    <row r="251" spans="1:14" ht="34">
      <c r="A251" s="129" t="s">
        <v>7610</v>
      </c>
      <c r="B251" s="130" t="s">
        <v>7611</v>
      </c>
      <c r="C251" s="136">
        <v>2010</v>
      </c>
      <c r="D251" s="123">
        <v>426</v>
      </c>
      <c r="E251" s="123">
        <v>162</v>
      </c>
      <c r="F251" s="123">
        <v>68</v>
      </c>
      <c r="G251" s="123">
        <v>96</v>
      </c>
      <c r="H251" s="123">
        <v>38</v>
      </c>
      <c r="I251" s="123">
        <v>23</v>
      </c>
      <c r="J251" s="123" t="s">
        <v>6953</v>
      </c>
      <c r="K251" s="123" t="s">
        <v>6953</v>
      </c>
      <c r="L251" s="123">
        <v>11</v>
      </c>
      <c r="M251" s="123">
        <v>10</v>
      </c>
      <c r="N251" s="138">
        <v>2</v>
      </c>
    </row>
    <row r="252" spans="1:14" ht="34">
      <c r="A252" s="129" t="s">
        <v>7610</v>
      </c>
      <c r="B252" s="130" t="s">
        <v>7611</v>
      </c>
      <c r="C252" s="136">
        <v>2011</v>
      </c>
      <c r="D252" s="123">
        <v>425</v>
      </c>
      <c r="E252" s="123">
        <v>92</v>
      </c>
      <c r="F252" s="123">
        <v>31</v>
      </c>
      <c r="G252" s="123">
        <v>61</v>
      </c>
      <c r="H252" s="123">
        <v>19</v>
      </c>
      <c r="I252" s="123">
        <v>18</v>
      </c>
      <c r="J252" s="123">
        <v>50</v>
      </c>
      <c r="K252" s="123">
        <v>32</v>
      </c>
      <c r="L252" s="123" t="s">
        <v>6952</v>
      </c>
      <c r="M252" s="123" t="s">
        <v>6952</v>
      </c>
      <c r="N252" s="138" t="s">
        <v>6952</v>
      </c>
    </row>
    <row r="253" spans="1:14" ht="34">
      <c r="A253" s="129" t="s">
        <v>7610</v>
      </c>
      <c r="B253" s="130" t="s">
        <v>7611</v>
      </c>
      <c r="C253" s="136">
        <v>2012</v>
      </c>
      <c r="D253" s="135">
        <v>434</v>
      </c>
      <c r="E253" s="135">
        <v>150</v>
      </c>
      <c r="F253" s="135">
        <v>76</v>
      </c>
      <c r="G253" s="135">
        <v>73</v>
      </c>
      <c r="H253" s="135">
        <v>16</v>
      </c>
      <c r="I253" s="135">
        <v>13</v>
      </c>
      <c r="J253" s="135">
        <v>20</v>
      </c>
      <c r="K253" s="135">
        <v>7</v>
      </c>
      <c r="L253" s="135">
        <v>6</v>
      </c>
      <c r="M253" s="135">
        <v>8</v>
      </c>
      <c r="N253" s="139">
        <v>-2</v>
      </c>
    </row>
    <row r="254" spans="1:14" ht="34">
      <c r="A254" s="129" t="s">
        <v>7610</v>
      </c>
      <c r="B254" s="130" t="s">
        <v>7611</v>
      </c>
      <c r="C254" s="130">
        <v>2013</v>
      </c>
      <c r="D254" s="135">
        <v>425</v>
      </c>
      <c r="E254" s="135">
        <v>198</v>
      </c>
      <c r="F254" s="135">
        <v>87</v>
      </c>
      <c r="G254" s="135">
        <v>111</v>
      </c>
      <c r="H254" s="135">
        <v>33</v>
      </c>
      <c r="I254" s="135">
        <v>14</v>
      </c>
      <c r="J254" s="135">
        <v>25</v>
      </c>
      <c r="K254" s="135">
        <v>10</v>
      </c>
      <c r="L254" s="135">
        <v>3</v>
      </c>
      <c r="M254" s="135">
        <v>3</v>
      </c>
      <c r="N254" s="139">
        <v>0</v>
      </c>
    </row>
    <row r="255" spans="1:14" ht="34">
      <c r="A255" s="129" t="s">
        <v>7610</v>
      </c>
      <c r="B255" s="130" t="s">
        <v>7611</v>
      </c>
      <c r="C255" s="130">
        <v>2014</v>
      </c>
      <c r="D255" s="123">
        <v>444</v>
      </c>
      <c r="E255" s="123">
        <v>209</v>
      </c>
      <c r="F255" s="123">
        <v>114</v>
      </c>
      <c r="G255" s="123">
        <v>94</v>
      </c>
      <c r="H255" s="123">
        <v>25</v>
      </c>
      <c r="I255" s="123">
        <v>37</v>
      </c>
      <c r="J255" s="123">
        <v>67</v>
      </c>
      <c r="K255" s="123">
        <v>30</v>
      </c>
      <c r="L255" s="123">
        <v>1</v>
      </c>
      <c r="M255" s="123">
        <v>1</v>
      </c>
      <c r="N255" s="138" t="s">
        <v>6952</v>
      </c>
    </row>
    <row r="256" spans="1:14" ht="34">
      <c r="A256" s="129" t="s">
        <v>7610</v>
      </c>
      <c r="B256" s="130" t="s">
        <v>7611</v>
      </c>
      <c r="C256" s="130">
        <v>2015</v>
      </c>
      <c r="D256" s="135">
        <v>434</v>
      </c>
      <c r="E256" s="135">
        <v>301</v>
      </c>
      <c r="F256" s="135">
        <v>159</v>
      </c>
      <c r="G256" s="135">
        <v>139</v>
      </c>
      <c r="H256" s="135">
        <v>39</v>
      </c>
      <c r="I256" s="135">
        <v>33</v>
      </c>
      <c r="J256" s="135">
        <v>45</v>
      </c>
      <c r="K256" s="135">
        <v>12</v>
      </c>
      <c r="L256" s="135">
        <v>9</v>
      </c>
      <c r="M256" s="135">
        <v>9</v>
      </c>
      <c r="N256" s="138" t="s">
        <v>6952</v>
      </c>
    </row>
    <row r="257" spans="1:14" ht="34">
      <c r="A257" s="129" t="s">
        <v>7610</v>
      </c>
      <c r="B257" s="130" t="s">
        <v>7611</v>
      </c>
      <c r="C257" s="130">
        <v>2016</v>
      </c>
      <c r="D257" s="135">
        <v>437</v>
      </c>
      <c r="E257" s="135">
        <v>219</v>
      </c>
      <c r="F257" s="135">
        <v>128</v>
      </c>
      <c r="G257" s="135">
        <v>93</v>
      </c>
      <c r="H257" s="135">
        <v>37</v>
      </c>
      <c r="I257" s="135">
        <v>26</v>
      </c>
      <c r="J257" s="135">
        <v>34</v>
      </c>
      <c r="K257" s="135">
        <v>7</v>
      </c>
      <c r="L257" s="135">
        <v>3</v>
      </c>
      <c r="M257" s="135">
        <v>4</v>
      </c>
      <c r="N257" s="139">
        <v>-1</v>
      </c>
    </row>
    <row r="258" spans="1:14" ht="34">
      <c r="A258" s="129" t="s">
        <v>7610</v>
      </c>
      <c r="B258" s="130" t="s">
        <v>7611</v>
      </c>
      <c r="C258" s="130">
        <v>2017</v>
      </c>
      <c r="D258" s="135">
        <v>446</v>
      </c>
      <c r="E258" s="135">
        <v>186</v>
      </c>
      <c r="F258" s="135">
        <v>87</v>
      </c>
      <c r="G258" s="135">
        <v>98</v>
      </c>
      <c r="H258" s="135">
        <v>32</v>
      </c>
      <c r="I258" s="135">
        <v>42</v>
      </c>
      <c r="J258" s="135">
        <v>48</v>
      </c>
      <c r="K258" s="135">
        <v>6</v>
      </c>
      <c r="L258" s="135">
        <v>3</v>
      </c>
      <c r="M258" s="135">
        <v>5</v>
      </c>
      <c r="N258" s="139">
        <v>-1</v>
      </c>
    </row>
    <row r="259" spans="1:14" ht="34">
      <c r="A259" s="129" t="s">
        <v>7610</v>
      </c>
      <c r="B259" s="130" t="s">
        <v>7611</v>
      </c>
      <c r="C259" s="130">
        <v>2018</v>
      </c>
      <c r="D259" s="135">
        <v>456</v>
      </c>
      <c r="E259" s="135">
        <v>261</v>
      </c>
      <c r="F259" s="135">
        <v>126</v>
      </c>
      <c r="G259" s="135">
        <v>173</v>
      </c>
      <c r="H259" s="135">
        <v>49</v>
      </c>
      <c r="I259" s="135">
        <v>66</v>
      </c>
      <c r="J259" s="135">
        <v>75</v>
      </c>
      <c r="K259" s="135">
        <v>9</v>
      </c>
      <c r="L259" s="135">
        <v>26</v>
      </c>
      <c r="M259" s="123" t="s">
        <v>6952</v>
      </c>
      <c r="N259" s="139">
        <v>26</v>
      </c>
    </row>
    <row r="260" spans="1:14" ht="34">
      <c r="A260" s="129" t="s">
        <v>7610</v>
      </c>
      <c r="B260" s="130" t="s">
        <v>7611</v>
      </c>
      <c r="C260" s="130">
        <v>2019</v>
      </c>
      <c r="D260" s="135">
        <v>443</v>
      </c>
      <c r="E260" s="135">
        <v>226.964763</v>
      </c>
      <c r="F260" s="135">
        <v>130.34979999999999</v>
      </c>
      <c r="G260" s="135">
        <v>111.433245</v>
      </c>
      <c r="H260" s="135">
        <v>32.575479000000001</v>
      </c>
      <c r="I260" s="135">
        <v>24.337437999999999</v>
      </c>
      <c r="J260" s="135">
        <v>33.396602000000001</v>
      </c>
      <c r="K260" s="135">
        <v>9.0591650000000001</v>
      </c>
      <c r="L260" s="135">
        <v>32.834465999999999</v>
      </c>
      <c r="M260" s="135">
        <v>18.860026999999999</v>
      </c>
      <c r="N260" s="139">
        <v>13.974439</v>
      </c>
    </row>
    <row r="261" spans="1:14" ht="34">
      <c r="A261" s="130" t="s">
        <v>7610</v>
      </c>
      <c r="B261" s="130" t="s">
        <v>7611</v>
      </c>
      <c r="C261" s="130">
        <v>2020</v>
      </c>
      <c r="D261" s="135">
        <v>440</v>
      </c>
      <c r="E261" s="135">
        <v>237.34506300000001</v>
      </c>
      <c r="F261" s="135">
        <v>128.83324400000001</v>
      </c>
      <c r="G261" s="135">
        <v>108.76825700000001</v>
      </c>
      <c r="H261" s="135">
        <v>37.767812999999997</v>
      </c>
      <c r="I261" s="135">
        <v>18.448304</v>
      </c>
      <c r="J261" s="135">
        <v>30.612318999999999</v>
      </c>
      <c r="K261" s="135">
        <v>12.164014999999999</v>
      </c>
      <c r="L261" s="135">
        <v>13.094965999999999</v>
      </c>
      <c r="M261" s="135">
        <v>12.870867000000001</v>
      </c>
      <c r="N261" s="139" t="s">
        <v>6952</v>
      </c>
    </row>
    <row r="262" spans="1:14" ht="34">
      <c r="A262" s="129" t="s">
        <v>7612</v>
      </c>
      <c r="B262" s="130" t="s">
        <v>7613</v>
      </c>
      <c r="C262" s="136">
        <v>2008</v>
      </c>
      <c r="D262" s="123">
        <v>3655</v>
      </c>
      <c r="E262" s="123">
        <v>4254</v>
      </c>
      <c r="F262" s="123">
        <v>2436</v>
      </c>
      <c r="G262" s="123">
        <v>1838</v>
      </c>
      <c r="H262" s="123">
        <v>1042</v>
      </c>
      <c r="I262" s="123">
        <v>334</v>
      </c>
      <c r="J262" s="123">
        <v>746</v>
      </c>
      <c r="K262" s="123">
        <v>413</v>
      </c>
      <c r="L262" s="123">
        <v>42</v>
      </c>
      <c r="M262" s="123">
        <v>23</v>
      </c>
      <c r="N262" s="138">
        <v>19</v>
      </c>
    </row>
    <row r="263" spans="1:14" ht="34">
      <c r="A263" s="129" t="s">
        <v>7612</v>
      </c>
      <c r="B263" s="130" t="s">
        <v>7613</v>
      </c>
      <c r="C263" s="136">
        <v>2009</v>
      </c>
      <c r="D263" s="123">
        <v>4088</v>
      </c>
      <c r="E263" s="123">
        <v>3699</v>
      </c>
      <c r="F263" s="123">
        <v>2188</v>
      </c>
      <c r="G263" s="123">
        <v>1527</v>
      </c>
      <c r="H263" s="123">
        <v>913</v>
      </c>
      <c r="I263" s="123">
        <v>226</v>
      </c>
      <c r="J263" s="123">
        <v>428</v>
      </c>
      <c r="K263" s="123">
        <v>201</v>
      </c>
      <c r="L263" s="123">
        <v>21</v>
      </c>
      <c r="M263" s="123">
        <v>21</v>
      </c>
      <c r="N263" s="138" t="s">
        <v>6952</v>
      </c>
    </row>
    <row r="264" spans="1:14" ht="34">
      <c r="A264" s="129" t="s">
        <v>7612</v>
      </c>
      <c r="B264" s="130" t="s">
        <v>7613</v>
      </c>
      <c r="C264" s="136">
        <v>2010</v>
      </c>
      <c r="D264" s="123">
        <v>4001</v>
      </c>
      <c r="E264" s="123">
        <v>4064</v>
      </c>
      <c r="F264" s="123">
        <v>2106</v>
      </c>
      <c r="G264" s="123">
        <v>1948</v>
      </c>
      <c r="H264" s="123">
        <v>962</v>
      </c>
      <c r="I264" s="123">
        <v>351</v>
      </c>
      <c r="J264" s="123">
        <v>542</v>
      </c>
      <c r="K264" s="123">
        <v>190</v>
      </c>
      <c r="L264" s="123">
        <v>17</v>
      </c>
      <c r="M264" s="123">
        <v>17</v>
      </c>
      <c r="N264" s="138">
        <v>1</v>
      </c>
    </row>
    <row r="265" spans="1:14" ht="34">
      <c r="A265" s="129" t="s">
        <v>7612</v>
      </c>
      <c r="B265" s="130" t="s">
        <v>7613</v>
      </c>
      <c r="C265" s="136">
        <v>2011</v>
      </c>
      <c r="D265" s="123">
        <v>3888</v>
      </c>
      <c r="E265" s="123">
        <v>4809</v>
      </c>
      <c r="F265" s="123">
        <v>2605</v>
      </c>
      <c r="G265" s="123">
        <v>2218</v>
      </c>
      <c r="H265" s="123">
        <v>1075</v>
      </c>
      <c r="I265" s="123">
        <v>504</v>
      </c>
      <c r="J265" s="123">
        <v>723</v>
      </c>
      <c r="K265" s="123">
        <v>219</v>
      </c>
      <c r="L265" s="123">
        <v>14</v>
      </c>
      <c r="M265" s="123">
        <v>15</v>
      </c>
      <c r="N265" s="138">
        <v>-2</v>
      </c>
    </row>
    <row r="266" spans="1:14" ht="34">
      <c r="A266" s="129" t="s">
        <v>7612</v>
      </c>
      <c r="B266" s="130" t="s">
        <v>7613</v>
      </c>
      <c r="C266" s="136">
        <v>2012</v>
      </c>
      <c r="D266" s="135">
        <v>3820</v>
      </c>
      <c r="E266" s="135">
        <v>4778</v>
      </c>
      <c r="F266" s="135">
        <v>2165</v>
      </c>
      <c r="G266" s="135">
        <v>2604</v>
      </c>
      <c r="H266" s="135">
        <v>1104</v>
      </c>
      <c r="I266" s="135">
        <v>571</v>
      </c>
      <c r="J266" s="135">
        <v>849</v>
      </c>
      <c r="K266" s="135">
        <v>279</v>
      </c>
      <c r="L266" s="135">
        <v>40</v>
      </c>
      <c r="M266" s="135">
        <v>50</v>
      </c>
      <c r="N266" s="139">
        <v>-10</v>
      </c>
    </row>
    <row r="267" spans="1:14" ht="34">
      <c r="A267" s="129" t="s">
        <v>7612</v>
      </c>
      <c r="B267" s="130" t="s">
        <v>7613</v>
      </c>
      <c r="C267" s="130">
        <v>2013</v>
      </c>
      <c r="D267" s="135">
        <v>3847</v>
      </c>
      <c r="E267" s="135">
        <v>5449</v>
      </c>
      <c r="F267" s="135">
        <v>3109</v>
      </c>
      <c r="G267" s="135">
        <v>2348</v>
      </c>
      <c r="H267" s="135">
        <v>1189</v>
      </c>
      <c r="I267" s="135">
        <v>717</v>
      </c>
      <c r="J267" s="135">
        <v>1083</v>
      </c>
      <c r="K267" s="135">
        <v>366</v>
      </c>
      <c r="L267" s="135">
        <v>43</v>
      </c>
      <c r="M267" s="135">
        <v>39</v>
      </c>
      <c r="N267" s="139">
        <v>5</v>
      </c>
    </row>
    <row r="268" spans="1:14" ht="34">
      <c r="A268" s="129" t="s">
        <v>7612</v>
      </c>
      <c r="B268" s="130" t="s">
        <v>7613</v>
      </c>
      <c r="C268" s="130">
        <v>2014</v>
      </c>
      <c r="D268" s="123">
        <v>3892</v>
      </c>
      <c r="E268" s="123">
        <v>5374</v>
      </c>
      <c r="F268" s="123">
        <v>3229</v>
      </c>
      <c r="G268" s="123">
        <v>2269</v>
      </c>
      <c r="H268" s="123">
        <v>1008</v>
      </c>
      <c r="I268" s="123">
        <v>1015</v>
      </c>
      <c r="J268" s="123">
        <v>1324</v>
      </c>
      <c r="K268" s="123">
        <v>308</v>
      </c>
      <c r="L268" s="123">
        <v>14</v>
      </c>
      <c r="M268" s="123">
        <v>21</v>
      </c>
      <c r="N268" s="138">
        <v>-6</v>
      </c>
    </row>
    <row r="269" spans="1:14" ht="34">
      <c r="A269" s="129" t="s">
        <v>7612</v>
      </c>
      <c r="B269" s="130" t="s">
        <v>7613</v>
      </c>
      <c r="C269" s="130">
        <v>2015</v>
      </c>
      <c r="D269" s="135">
        <v>3958</v>
      </c>
      <c r="E269" s="135">
        <v>5844</v>
      </c>
      <c r="F269" s="135">
        <v>3556</v>
      </c>
      <c r="G269" s="135">
        <v>2469</v>
      </c>
      <c r="H269" s="135">
        <v>1245</v>
      </c>
      <c r="I269" s="135">
        <v>1470</v>
      </c>
      <c r="J269" s="135">
        <v>1748</v>
      </c>
      <c r="K269" s="135">
        <v>279</v>
      </c>
      <c r="L269" s="135">
        <v>436</v>
      </c>
      <c r="M269" s="135">
        <v>366</v>
      </c>
      <c r="N269" s="139">
        <v>70</v>
      </c>
    </row>
    <row r="270" spans="1:14" ht="34">
      <c r="A270" s="129" t="s">
        <v>7612</v>
      </c>
      <c r="B270" s="130" t="s">
        <v>7613</v>
      </c>
      <c r="C270" s="130">
        <v>2016</v>
      </c>
      <c r="D270" s="135">
        <v>4052</v>
      </c>
      <c r="E270" s="135">
        <v>6054</v>
      </c>
      <c r="F270" s="135">
        <v>3870</v>
      </c>
      <c r="G270" s="135">
        <v>2252</v>
      </c>
      <c r="H270" s="135">
        <v>1355</v>
      </c>
      <c r="I270" s="135">
        <v>1215</v>
      </c>
      <c r="J270" s="135">
        <v>1652</v>
      </c>
      <c r="K270" s="135">
        <v>437</v>
      </c>
      <c r="L270" s="135">
        <v>39</v>
      </c>
      <c r="M270" s="135">
        <v>28</v>
      </c>
      <c r="N270" s="139">
        <v>12</v>
      </c>
    </row>
    <row r="271" spans="1:14" ht="34">
      <c r="A271" s="129" t="s">
        <v>7612</v>
      </c>
      <c r="B271" s="130" t="s">
        <v>7613</v>
      </c>
      <c r="C271" s="130">
        <v>2017</v>
      </c>
      <c r="D271" s="135">
        <v>4189</v>
      </c>
      <c r="E271" s="135">
        <v>6133</v>
      </c>
      <c r="F271" s="135">
        <v>3989</v>
      </c>
      <c r="G271" s="135">
        <v>2201</v>
      </c>
      <c r="H271" s="135">
        <v>1315</v>
      </c>
      <c r="I271" s="135">
        <v>957</v>
      </c>
      <c r="J271" s="135">
        <v>1304</v>
      </c>
      <c r="K271" s="135">
        <v>347</v>
      </c>
      <c r="L271" s="135">
        <v>85</v>
      </c>
      <c r="M271" s="135">
        <v>95</v>
      </c>
      <c r="N271" s="139">
        <v>-10</v>
      </c>
    </row>
    <row r="272" spans="1:14" ht="34">
      <c r="A272" s="129" t="s">
        <v>7612</v>
      </c>
      <c r="B272" s="130" t="s">
        <v>7613</v>
      </c>
      <c r="C272" s="130">
        <v>2018</v>
      </c>
      <c r="D272" s="135">
        <v>4205</v>
      </c>
      <c r="E272" s="135">
        <v>6566</v>
      </c>
      <c r="F272" s="135">
        <v>3788</v>
      </c>
      <c r="G272" s="135">
        <v>2841</v>
      </c>
      <c r="H272" s="135">
        <v>1291</v>
      </c>
      <c r="I272" s="135">
        <v>1069</v>
      </c>
      <c r="J272" s="135">
        <v>1595</v>
      </c>
      <c r="K272" s="135">
        <v>526</v>
      </c>
      <c r="L272" s="135">
        <v>89</v>
      </c>
      <c r="M272" s="135">
        <v>93</v>
      </c>
      <c r="N272" s="139">
        <v>-4</v>
      </c>
    </row>
    <row r="273" spans="1:14" ht="34">
      <c r="A273" s="129" t="s">
        <v>7612</v>
      </c>
      <c r="B273" s="130" t="s">
        <v>7613</v>
      </c>
      <c r="C273" s="130">
        <v>2019</v>
      </c>
      <c r="D273" s="135">
        <v>4187</v>
      </c>
      <c r="E273" s="135">
        <v>6879.4485059999997</v>
      </c>
      <c r="F273" s="135">
        <v>3919.048695</v>
      </c>
      <c r="G273" s="135">
        <v>2977.5191650000002</v>
      </c>
      <c r="H273" s="135">
        <v>1490.1247599999999</v>
      </c>
      <c r="I273" s="135">
        <v>1198.6321579999999</v>
      </c>
      <c r="J273" s="135">
        <v>1727.0467570000001</v>
      </c>
      <c r="K273" s="135">
        <v>528.41459899999995</v>
      </c>
      <c r="L273" s="135">
        <v>240.68637100000001</v>
      </c>
      <c r="M273" s="135">
        <v>230.85321999999999</v>
      </c>
      <c r="N273" s="139">
        <v>9.8331510000000009</v>
      </c>
    </row>
    <row r="274" spans="1:14" ht="34">
      <c r="A274" s="130" t="s">
        <v>7612</v>
      </c>
      <c r="B274" s="130" t="s">
        <v>7613</v>
      </c>
      <c r="C274" s="130">
        <v>2020</v>
      </c>
      <c r="D274" s="135">
        <v>4253</v>
      </c>
      <c r="E274" s="135">
        <v>6441.8288350000003</v>
      </c>
      <c r="F274" s="135">
        <v>4085.7811449999999</v>
      </c>
      <c r="G274" s="135">
        <v>2346.3930989999999</v>
      </c>
      <c r="H274" s="135">
        <v>1409.4470020000001</v>
      </c>
      <c r="I274" s="135">
        <v>1050.739707</v>
      </c>
      <c r="J274" s="135">
        <v>1488.3850689999999</v>
      </c>
      <c r="K274" s="135">
        <v>437.64536199999998</v>
      </c>
      <c r="L274" s="135">
        <v>171.48887099999999</v>
      </c>
      <c r="M274" s="135">
        <v>189.16004599999999</v>
      </c>
      <c r="N274" s="139">
        <v>-17.671174000000001</v>
      </c>
    </row>
    <row r="275" spans="1:14" ht="34">
      <c r="A275" s="129" t="s">
        <v>7614</v>
      </c>
      <c r="B275" s="130" t="s">
        <v>7615</v>
      </c>
      <c r="C275" s="136">
        <v>2008</v>
      </c>
      <c r="D275" s="123">
        <v>429</v>
      </c>
      <c r="E275" s="123">
        <v>896</v>
      </c>
      <c r="F275" s="123">
        <v>621</v>
      </c>
      <c r="G275" s="123">
        <v>270</v>
      </c>
      <c r="H275" s="123">
        <v>62</v>
      </c>
      <c r="I275" s="123">
        <v>35</v>
      </c>
      <c r="J275" s="123">
        <v>42</v>
      </c>
      <c r="K275" s="123">
        <v>7</v>
      </c>
      <c r="L275" s="123" t="s">
        <v>6952</v>
      </c>
      <c r="M275" s="123" t="s">
        <v>6952</v>
      </c>
      <c r="N275" s="138" t="s">
        <v>6952</v>
      </c>
    </row>
    <row r="276" spans="1:14" ht="34">
      <c r="A276" s="129" t="s">
        <v>7614</v>
      </c>
      <c r="B276" s="130" t="s">
        <v>7615</v>
      </c>
      <c r="C276" s="136">
        <v>2009</v>
      </c>
      <c r="D276" s="123">
        <v>431</v>
      </c>
      <c r="E276" s="123">
        <v>585</v>
      </c>
      <c r="F276" s="123">
        <v>368</v>
      </c>
      <c r="G276" s="123">
        <v>215</v>
      </c>
      <c r="H276" s="123">
        <v>58</v>
      </c>
      <c r="I276" s="123">
        <v>44</v>
      </c>
      <c r="J276" s="123">
        <v>50</v>
      </c>
      <c r="K276" s="123">
        <v>6</v>
      </c>
      <c r="L276" s="123" t="s">
        <v>6952</v>
      </c>
      <c r="M276" s="123" t="s">
        <v>6952</v>
      </c>
      <c r="N276" s="138" t="s">
        <v>6952</v>
      </c>
    </row>
    <row r="277" spans="1:14" ht="34">
      <c r="A277" s="129" t="s">
        <v>7614</v>
      </c>
      <c r="B277" s="130" t="s">
        <v>7615</v>
      </c>
      <c r="C277" s="136">
        <v>2010</v>
      </c>
      <c r="D277" s="123">
        <v>405</v>
      </c>
      <c r="E277" s="123">
        <v>720</v>
      </c>
      <c r="F277" s="123">
        <v>366</v>
      </c>
      <c r="G277" s="123">
        <v>355</v>
      </c>
      <c r="H277" s="123">
        <v>39</v>
      </c>
      <c r="I277" s="123">
        <v>25</v>
      </c>
      <c r="J277" s="123">
        <v>26</v>
      </c>
      <c r="K277" s="123">
        <v>1</v>
      </c>
      <c r="L277" s="123">
        <v>1</v>
      </c>
      <c r="M277" s="123">
        <v>1</v>
      </c>
      <c r="N277" s="138" t="s">
        <v>6952</v>
      </c>
    </row>
    <row r="278" spans="1:14" ht="34">
      <c r="A278" s="129" t="s">
        <v>7614</v>
      </c>
      <c r="B278" s="130" t="s">
        <v>7615</v>
      </c>
      <c r="C278" s="136">
        <v>2011</v>
      </c>
      <c r="D278" s="123">
        <v>378</v>
      </c>
      <c r="E278" s="123">
        <v>630</v>
      </c>
      <c r="F278" s="123">
        <v>356</v>
      </c>
      <c r="G278" s="123">
        <v>268</v>
      </c>
      <c r="H278" s="123">
        <v>75</v>
      </c>
      <c r="I278" s="123">
        <v>21</v>
      </c>
      <c r="J278" s="123" t="s">
        <v>6953</v>
      </c>
      <c r="K278" s="123" t="s">
        <v>6953</v>
      </c>
      <c r="L278" s="123">
        <v>5</v>
      </c>
      <c r="M278" s="123">
        <v>6</v>
      </c>
      <c r="N278" s="138">
        <v>-2</v>
      </c>
    </row>
    <row r="279" spans="1:14" ht="34">
      <c r="A279" s="129" t="s">
        <v>7614</v>
      </c>
      <c r="B279" s="130" t="s">
        <v>7615</v>
      </c>
      <c r="C279" s="136">
        <v>2012</v>
      </c>
      <c r="D279" s="135">
        <v>346</v>
      </c>
      <c r="E279" s="135">
        <v>732</v>
      </c>
      <c r="F279" s="135">
        <v>417</v>
      </c>
      <c r="G279" s="135">
        <v>316</v>
      </c>
      <c r="H279" s="135">
        <v>45</v>
      </c>
      <c r="I279" s="135">
        <v>17</v>
      </c>
      <c r="J279" s="135">
        <v>27</v>
      </c>
      <c r="K279" s="135">
        <v>10</v>
      </c>
      <c r="L279" s="135">
        <v>1</v>
      </c>
      <c r="M279" s="135">
        <v>3</v>
      </c>
      <c r="N279" s="139">
        <v>-2</v>
      </c>
    </row>
    <row r="280" spans="1:14" ht="34">
      <c r="A280" s="129" t="s">
        <v>7614</v>
      </c>
      <c r="B280" s="130" t="s">
        <v>7615</v>
      </c>
      <c r="C280" s="130">
        <v>2013</v>
      </c>
      <c r="D280" s="135">
        <v>396</v>
      </c>
      <c r="E280" s="135">
        <v>578</v>
      </c>
      <c r="F280" s="135">
        <v>353</v>
      </c>
      <c r="G280" s="135">
        <v>225</v>
      </c>
      <c r="H280" s="135">
        <v>67</v>
      </c>
      <c r="I280" s="135">
        <v>10</v>
      </c>
      <c r="J280" s="135">
        <v>12</v>
      </c>
      <c r="K280" s="135">
        <v>2</v>
      </c>
      <c r="L280" s="135">
        <v>1</v>
      </c>
      <c r="M280" s="135">
        <v>1</v>
      </c>
      <c r="N280" s="138" t="s">
        <v>6952</v>
      </c>
    </row>
    <row r="281" spans="1:14" ht="34">
      <c r="A281" s="129" t="s">
        <v>7614</v>
      </c>
      <c r="B281" s="130" t="s">
        <v>7615</v>
      </c>
      <c r="C281" s="130">
        <v>2014</v>
      </c>
      <c r="D281" s="123">
        <v>430</v>
      </c>
      <c r="E281" s="123">
        <v>602</v>
      </c>
      <c r="F281" s="123">
        <v>309</v>
      </c>
      <c r="G281" s="123">
        <v>298</v>
      </c>
      <c r="H281" s="123">
        <v>52</v>
      </c>
      <c r="I281" s="123">
        <v>27</v>
      </c>
      <c r="J281" s="123">
        <v>30</v>
      </c>
      <c r="K281" s="123">
        <v>3</v>
      </c>
      <c r="L281" s="123">
        <v>2</v>
      </c>
      <c r="M281" s="123">
        <v>1</v>
      </c>
      <c r="N281" s="138">
        <v>1</v>
      </c>
    </row>
    <row r="282" spans="1:14" ht="34">
      <c r="A282" s="129" t="s">
        <v>7614</v>
      </c>
      <c r="B282" s="130" t="s">
        <v>7615</v>
      </c>
      <c r="C282" s="130">
        <v>2015</v>
      </c>
      <c r="D282" s="135">
        <v>453</v>
      </c>
      <c r="E282" s="135">
        <v>564</v>
      </c>
      <c r="F282" s="135">
        <v>265</v>
      </c>
      <c r="G282" s="135">
        <v>299</v>
      </c>
      <c r="H282" s="135">
        <v>65</v>
      </c>
      <c r="I282" s="135">
        <v>5</v>
      </c>
      <c r="J282" s="135">
        <v>7</v>
      </c>
      <c r="K282" s="135">
        <v>2</v>
      </c>
      <c r="L282" s="135">
        <v>0</v>
      </c>
      <c r="M282" s="135">
        <v>0</v>
      </c>
      <c r="N282" s="139">
        <v>0</v>
      </c>
    </row>
    <row r="283" spans="1:14" ht="34">
      <c r="A283" s="129" t="s">
        <v>7614</v>
      </c>
      <c r="B283" s="130" t="s">
        <v>7615</v>
      </c>
      <c r="C283" s="130">
        <v>2016</v>
      </c>
      <c r="D283" s="135">
        <v>466</v>
      </c>
      <c r="E283" s="135">
        <v>758</v>
      </c>
      <c r="F283" s="135">
        <v>493</v>
      </c>
      <c r="G283" s="135">
        <v>268</v>
      </c>
      <c r="H283" s="135">
        <v>81</v>
      </c>
      <c r="I283" s="135">
        <v>46</v>
      </c>
      <c r="J283" s="135">
        <v>55</v>
      </c>
      <c r="K283" s="135">
        <v>9</v>
      </c>
      <c r="L283" s="135">
        <v>14</v>
      </c>
      <c r="M283" s="135">
        <v>11</v>
      </c>
      <c r="N283" s="139">
        <v>3</v>
      </c>
    </row>
    <row r="284" spans="1:14" ht="34">
      <c r="A284" s="129" t="s">
        <v>7614</v>
      </c>
      <c r="B284" s="130" t="s">
        <v>7615</v>
      </c>
      <c r="C284" s="130">
        <v>2017</v>
      </c>
      <c r="D284" s="135">
        <v>456</v>
      </c>
      <c r="E284" s="135">
        <v>727</v>
      </c>
      <c r="F284" s="135">
        <v>469</v>
      </c>
      <c r="G284" s="135">
        <v>264</v>
      </c>
      <c r="H284" s="135">
        <v>85</v>
      </c>
      <c r="I284" s="135">
        <v>40</v>
      </c>
      <c r="J284" s="135">
        <v>41</v>
      </c>
      <c r="K284" s="135">
        <v>1</v>
      </c>
      <c r="L284" s="135">
        <v>17</v>
      </c>
      <c r="M284" s="135">
        <v>13</v>
      </c>
      <c r="N284" s="139">
        <v>4</v>
      </c>
    </row>
    <row r="285" spans="1:14" ht="34">
      <c r="A285" s="129" t="s">
        <v>7614</v>
      </c>
      <c r="B285" s="130" t="s">
        <v>7615</v>
      </c>
      <c r="C285" s="130">
        <v>2018</v>
      </c>
      <c r="D285" s="135">
        <v>445</v>
      </c>
      <c r="E285" s="135">
        <v>597</v>
      </c>
      <c r="F285" s="135">
        <v>418</v>
      </c>
      <c r="G285" s="135">
        <v>180</v>
      </c>
      <c r="H285" s="135">
        <v>113</v>
      </c>
      <c r="I285" s="135">
        <v>31</v>
      </c>
      <c r="J285" s="135">
        <v>36</v>
      </c>
      <c r="K285" s="135">
        <v>5</v>
      </c>
      <c r="L285" s="135">
        <v>2</v>
      </c>
      <c r="M285" s="135">
        <v>4</v>
      </c>
      <c r="N285" s="139">
        <v>-2</v>
      </c>
    </row>
    <row r="286" spans="1:14" ht="34">
      <c r="A286" s="129" t="s">
        <v>7614</v>
      </c>
      <c r="B286" s="130" t="s">
        <v>7615</v>
      </c>
      <c r="C286" s="130">
        <v>2019</v>
      </c>
      <c r="D286" s="135">
        <v>430</v>
      </c>
      <c r="E286" s="135">
        <v>653.73443499999996</v>
      </c>
      <c r="F286" s="135">
        <v>396.17778499999997</v>
      </c>
      <c r="G286" s="135">
        <v>257.34650199999999</v>
      </c>
      <c r="H286" s="135">
        <v>163.06446299999999</v>
      </c>
      <c r="I286" s="135">
        <v>29.371310999999999</v>
      </c>
      <c r="J286" s="135">
        <v>29.900399</v>
      </c>
      <c r="K286" s="135">
        <v>0.529088</v>
      </c>
      <c r="L286" s="135">
        <v>1.679044</v>
      </c>
      <c r="M286" s="135">
        <v>1.993797</v>
      </c>
      <c r="N286" s="139" t="s">
        <v>6952</v>
      </c>
    </row>
    <row r="287" spans="1:14" ht="34">
      <c r="A287" s="130" t="s">
        <v>7614</v>
      </c>
      <c r="B287" s="130" t="s">
        <v>7615</v>
      </c>
      <c r="C287" s="130">
        <v>2020</v>
      </c>
      <c r="D287" s="135">
        <v>449</v>
      </c>
      <c r="E287" s="135">
        <v>651.23165600000004</v>
      </c>
      <c r="F287" s="135">
        <v>486.39909499999999</v>
      </c>
      <c r="G287" s="135">
        <v>164.46690100000001</v>
      </c>
      <c r="H287" s="135">
        <v>178.15305900000001</v>
      </c>
      <c r="I287" s="135">
        <v>67.268967000000004</v>
      </c>
      <c r="J287" s="135">
        <v>69.619152</v>
      </c>
      <c r="K287" s="135">
        <v>2.3501850000000002</v>
      </c>
      <c r="L287" s="135">
        <v>8.6251069999999999</v>
      </c>
      <c r="M287" s="135">
        <v>9.8124380000000002</v>
      </c>
      <c r="N287" s="139">
        <v>-1.1873309999999999</v>
      </c>
    </row>
    <row r="288" spans="1:14" ht="34">
      <c r="A288" s="129" t="s">
        <v>7616</v>
      </c>
      <c r="B288" s="129" t="s">
        <v>7617</v>
      </c>
      <c r="C288" s="136">
        <v>2008</v>
      </c>
      <c r="D288" s="123" t="s">
        <v>6953</v>
      </c>
      <c r="E288" s="123" t="s">
        <v>6953</v>
      </c>
      <c r="F288" s="123" t="s">
        <v>6953</v>
      </c>
      <c r="G288" s="123" t="s">
        <v>6953</v>
      </c>
      <c r="H288" s="123" t="s">
        <v>6953</v>
      </c>
      <c r="I288" s="123" t="s">
        <v>6953</v>
      </c>
      <c r="J288" s="123" t="s">
        <v>6953</v>
      </c>
      <c r="K288" s="123" t="s">
        <v>6953</v>
      </c>
      <c r="L288" s="123" t="s">
        <v>6953</v>
      </c>
      <c r="M288" s="123" t="s">
        <v>6953</v>
      </c>
      <c r="N288" s="138" t="s">
        <v>6953</v>
      </c>
    </row>
    <row r="289" spans="1:14" ht="34">
      <c r="A289" s="129" t="s">
        <v>7616</v>
      </c>
      <c r="B289" s="129" t="s">
        <v>7617</v>
      </c>
      <c r="C289" s="136">
        <v>2009</v>
      </c>
      <c r="D289" s="123">
        <v>349</v>
      </c>
      <c r="E289" s="123">
        <v>192</v>
      </c>
      <c r="F289" s="123">
        <v>94</v>
      </c>
      <c r="G289" s="123">
        <v>101</v>
      </c>
      <c r="H289" s="123">
        <v>8</v>
      </c>
      <c r="I289" s="123">
        <v>38</v>
      </c>
      <c r="J289" s="123">
        <v>39</v>
      </c>
      <c r="K289" s="123">
        <v>1</v>
      </c>
      <c r="L289" s="123">
        <v>2</v>
      </c>
      <c r="M289" s="123">
        <v>2</v>
      </c>
      <c r="N289" s="138" t="s">
        <v>6952</v>
      </c>
    </row>
    <row r="290" spans="1:14" ht="34">
      <c r="A290" s="129" t="s">
        <v>7616</v>
      </c>
      <c r="B290" s="129" t="s">
        <v>7617</v>
      </c>
      <c r="C290" s="136">
        <v>2010</v>
      </c>
      <c r="D290" s="123">
        <v>333</v>
      </c>
      <c r="E290" s="123">
        <v>187</v>
      </c>
      <c r="F290" s="123">
        <v>65</v>
      </c>
      <c r="G290" s="123">
        <v>121</v>
      </c>
      <c r="H290" s="123">
        <v>11</v>
      </c>
      <c r="I290" s="123">
        <v>11</v>
      </c>
      <c r="J290" s="123">
        <v>12</v>
      </c>
      <c r="K290" s="123" t="s">
        <v>6952</v>
      </c>
      <c r="L290" s="123" t="s">
        <v>6952</v>
      </c>
      <c r="M290" s="123" t="s">
        <v>6952</v>
      </c>
      <c r="N290" s="138" t="s">
        <v>6952</v>
      </c>
    </row>
    <row r="291" spans="1:14" ht="34">
      <c r="A291" s="129" t="s">
        <v>7616</v>
      </c>
      <c r="B291" s="129" t="s">
        <v>7617</v>
      </c>
      <c r="C291" s="136">
        <v>2011</v>
      </c>
      <c r="D291" s="123">
        <v>308</v>
      </c>
      <c r="E291" s="123">
        <v>55</v>
      </c>
      <c r="F291" s="123">
        <v>8</v>
      </c>
      <c r="G291" s="123">
        <v>47</v>
      </c>
      <c r="H291" s="123">
        <v>4</v>
      </c>
      <c r="I291" s="123">
        <v>3</v>
      </c>
      <c r="J291" s="123">
        <v>3</v>
      </c>
      <c r="K291" s="123" t="s">
        <v>6952</v>
      </c>
      <c r="L291" s="123" t="s">
        <v>6952</v>
      </c>
      <c r="M291" s="123" t="s">
        <v>6952</v>
      </c>
      <c r="N291" s="138" t="s">
        <v>6952</v>
      </c>
    </row>
    <row r="292" spans="1:14" ht="34">
      <c r="A292" s="129" t="s">
        <v>7616</v>
      </c>
      <c r="B292" s="129" t="s">
        <v>7617</v>
      </c>
      <c r="C292" s="136">
        <v>2012</v>
      </c>
      <c r="D292" s="135">
        <v>298</v>
      </c>
      <c r="E292" s="135">
        <v>202</v>
      </c>
      <c r="F292" s="135">
        <v>142</v>
      </c>
      <c r="G292" s="135">
        <v>61</v>
      </c>
      <c r="H292" s="135">
        <v>13</v>
      </c>
      <c r="I292" s="135">
        <v>16</v>
      </c>
      <c r="J292" s="135">
        <v>24</v>
      </c>
      <c r="K292" s="135">
        <v>9</v>
      </c>
      <c r="L292" s="135">
        <v>1</v>
      </c>
      <c r="M292" s="135">
        <v>1</v>
      </c>
      <c r="N292" s="138" t="s">
        <v>6952</v>
      </c>
    </row>
    <row r="293" spans="1:14" ht="34">
      <c r="A293" s="129" t="s">
        <v>7616</v>
      </c>
      <c r="B293" s="129" t="s">
        <v>7617</v>
      </c>
      <c r="C293" s="130">
        <v>2013</v>
      </c>
      <c r="D293" s="135">
        <v>278</v>
      </c>
      <c r="E293" s="135">
        <v>108</v>
      </c>
      <c r="F293" s="135">
        <v>69</v>
      </c>
      <c r="G293" s="135">
        <v>38</v>
      </c>
      <c r="H293" s="135">
        <v>7</v>
      </c>
      <c r="I293" s="135">
        <v>8</v>
      </c>
      <c r="J293" s="135">
        <v>9</v>
      </c>
      <c r="K293" s="135">
        <v>1</v>
      </c>
      <c r="L293" s="135">
        <v>0</v>
      </c>
      <c r="M293" s="135">
        <v>0</v>
      </c>
      <c r="N293" s="139">
        <v>0</v>
      </c>
    </row>
    <row r="294" spans="1:14" ht="34">
      <c r="A294" s="129" t="s">
        <v>7616</v>
      </c>
      <c r="B294" s="129" t="s">
        <v>7617</v>
      </c>
      <c r="C294" s="130">
        <v>2014</v>
      </c>
      <c r="D294" s="123">
        <v>269</v>
      </c>
      <c r="E294" s="123">
        <v>447</v>
      </c>
      <c r="F294" s="123">
        <v>218</v>
      </c>
      <c r="G294" s="123">
        <v>239</v>
      </c>
      <c r="H294" s="123">
        <v>54</v>
      </c>
      <c r="I294" s="123">
        <v>49</v>
      </c>
      <c r="J294" s="123">
        <v>49</v>
      </c>
      <c r="K294" s="123">
        <v>1</v>
      </c>
      <c r="L294" s="123" t="s">
        <v>6953</v>
      </c>
      <c r="M294" s="123" t="s">
        <v>6953</v>
      </c>
      <c r="N294" s="138" t="s">
        <v>6953</v>
      </c>
    </row>
    <row r="295" spans="1:14" ht="34">
      <c r="A295" s="129" t="s">
        <v>7616</v>
      </c>
      <c r="B295" s="129" t="s">
        <v>7617</v>
      </c>
      <c r="C295" s="130">
        <v>2015</v>
      </c>
      <c r="D295" s="135">
        <v>257</v>
      </c>
      <c r="E295" s="135">
        <v>396</v>
      </c>
      <c r="F295" s="135">
        <v>193</v>
      </c>
      <c r="G295" s="135">
        <v>202</v>
      </c>
      <c r="H295" s="135">
        <v>35</v>
      </c>
      <c r="I295" s="135">
        <v>79</v>
      </c>
      <c r="J295" s="135">
        <v>92</v>
      </c>
      <c r="K295" s="135">
        <v>14</v>
      </c>
      <c r="L295" s="123" t="s">
        <v>6953</v>
      </c>
      <c r="M295" s="123" t="s">
        <v>6953</v>
      </c>
      <c r="N295" s="138" t="s">
        <v>6953</v>
      </c>
    </row>
    <row r="296" spans="1:14" ht="34">
      <c r="A296" s="129" t="s">
        <v>7616</v>
      </c>
      <c r="B296" s="129" t="s">
        <v>7617</v>
      </c>
      <c r="C296" s="130">
        <v>2016</v>
      </c>
      <c r="D296" s="135">
        <v>252</v>
      </c>
      <c r="E296" s="135">
        <v>331</v>
      </c>
      <c r="F296" s="135">
        <v>139</v>
      </c>
      <c r="G296" s="135">
        <v>194</v>
      </c>
      <c r="H296" s="135">
        <v>26</v>
      </c>
      <c r="I296" s="135">
        <v>28</v>
      </c>
      <c r="J296" s="135">
        <v>33</v>
      </c>
      <c r="K296" s="135">
        <v>5</v>
      </c>
      <c r="L296" s="135">
        <v>4</v>
      </c>
      <c r="M296" s="135">
        <v>4</v>
      </c>
      <c r="N296" s="138" t="s">
        <v>6952</v>
      </c>
    </row>
    <row r="297" spans="1:14" ht="34">
      <c r="A297" s="129" t="s">
        <v>7616</v>
      </c>
      <c r="B297" s="129" t="s">
        <v>7617</v>
      </c>
      <c r="C297" s="130">
        <v>2017</v>
      </c>
      <c r="D297" s="135">
        <v>247</v>
      </c>
      <c r="E297" s="135">
        <v>454</v>
      </c>
      <c r="F297" s="135">
        <v>177</v>
      </c>
      <c r="G297" s="135">
        <v>278</v>
      </c>
      <c r="H297" s="135">
        <v>36</v>
      </c>
      <c r="I297" s="135">
        <v>56</v>
      </c>
      <c r="J297" s="135">
        <v>66</v>
      </c>
      <c r="K297" s="135">
        <v>10</v>
      </c>
      <c r="L297" s="135">
        <v>5</v>
      </c>
      <c r="M297" s="135">
        <v>4</v>
      </c>
      <c r="N297" s="138" t="s">
        <v>6952</v>
      </c>
    </row>
    <row r="298" spans="1:14" ht="34">
      <c r="A298" s="129" t="s">
        <v>7616</v>
      </c>
      <c r="B298" s="129" t="s">
        <v>7617</v>
      </c>
      <c r="C298" s="130">
        <v>2018</v>
      </c>
      <c r="D298" s="135">
        <v>234</v>
      </c>
      <c r="E298" s="135">
        <v>414</v>
      </c>
      <c r="F298" s="135">
        <v>156</v>
      </c>
      <c r="G298" s="135">
        <v>259</v>
      </c>
      <c r="H298" s="135">
        <v>31</v>
      </c>
      <c r="I298" s="135">
        <v>44</v>
      </c>
      <c r="J298" s="135">
        <v>44</v>
      </c>
      <c r="K298" s="123" t="s">
        <v>6952</v>
      </c>
      <c r="L298" s="123" t="s">
        <v>6953</v>
      </c>
      <c r="M298" s="123" t="s">
        <v>6953</v>
      </c>
      <c r="N298" s="138" t="s">
        <v>6952</v>
      </c>
    </row>
    <row r="299" spans="1:14" ht="34">
      <c r="A299" s="129" t="s">
        <v>7616</v>
      </c>
      <c r="B299" s="129" t="s">
        <v>7617</v>
      </c>
      <c r="C299" s="130">
        <v>2019</v>
      </c>
      <c r="D299" s="135">
        <v>231</v>
      </c>
      <c r="E299" s="135">
        <v>286.68744900000002</v>
      </c>
      <c r="F299" s="135">
        <v>113.3899</v>
      </c>
      <c r="G299" s="135">
        <v>172.15671</v>
      </c>
      <c r="H299" s="135">
        <v>21.676259000000002</v>
      </c>
      <c r="I299" s="135">
        <v>57.054631000000001</v>
      </c>
      <c r="J299" s="135">
        <v>57.556457000000002</v>
      </c>
      <c r="K299" s="135">
        <v>0.50182599999999999</v>
      </c>
      <c r="L299" s="135">
        <v>8.4979200000000006</v>
      </c>
      <c r="M299" s="135">
        <v>9.9511730000000007</v>
      </c>
      <c r="N299" s="139">
        <v>-1.4532529999999999</v>
      </c>
    </row>
    <row r="300" spans="1:14" ht="34">
      <c r="A300" s="130" t="s">
        <v>7616</v>
      </c>
      <c r="B300" s="130" t="s">
        <v>7617</v>
      </c>
      <c r="C300" s="130">
        <v>2020</v>
      </c>
      <c r="D300" s="135">
        <v>223</v>
      </c>
      <c r="E300" s="135">
        <v>362.60539599999998</v>
      </c>
      <c r="F300" s="135" t="s">
        <v>6953</v>
      </c>
      <c r="G300" s="135" t="s">
        <v>6953</v>
      </c>
      <c r="H300" s="135">
        <v>21.252362000000002</v>
      </c>
      <c r="I300" s="135">
        <v>54.635680999999998</v>
      </c>
      <c r="J300" s="135">
        <v>65.098206000000005</v>
      </c>
      <c r="K300" s="135">
        <v>10.462524999999999</v>
      </c>
      <c r="L300" s="135">
        <v>3.5503110000000002</v>
      </c>
      <c r="M300" s="135">
        <v>4.6823680000000003</v>
      </c>
      <c r="N300" s="139">
        <v>-1.132058</v>
      </c>
    </row>
    <row r="301" spans="1:14" ht="17">
      <c r="A301" s="129" t="s">
        <v>7618</v>
      </c>
      <c r="B301" s="129" t="s">
        <v>7619</v>
      </c>
      <c r="C301" s="136">
        <v>2008</v>
      </c>
      <c r="D301" s="123">
        <v>305</v>
      </c>
      <c r="E301" s="123">
        <v>250</v>
      </c>
      <c r="F301" s="123">
        <v>115</v>
      </c>
      <c r="G301" s="123">
        <v>135</v>
      </c>
      <c r="H301" s="123">
        <v>29</v>
      </c>
      <c r="I301" s="123">
        <v>33</v>
      </c>
      <c r="J301" s="123">
        <v>71</v>
      </c>
      <c r="K301" s="123">
        <v>38</v>
      </c>
      <c r="L301" s="123">
        <v>0</v>
      </c>
      <c r="M301" s="123" t="s">
        <v>6953</v>
      </c>
      <c r="N301" s="138" t="s">
        <v>6953</v>
      </c>
    </row>
    <row r="302" spans="1:14" ht="17">
      <c r="A302" s="129" t="s">
        <v>7618</v>
      </c>
      <c r="B302" s="129" t="s">
        <v>7619</v>
      </c>
      <c r="C302" s="136">
        <v>2009</v>
      </c>
      <c r="D302" s="123">
        <v>261</v>
      </c>
      <c r="E302" s="123">
        <v>380</v>
      </c>
      <c r="F302" s="123">
        <v>131</v>
      </c>
      <c r="G302" s="123">
        <v>254</v>
      </c>
      <c r="H302" s="123">
        <v>38</v>
      </c>
      <c r="I302" s="123">
        <v>9</v>
      </c>
      <c r="J302" s="123">
        <v>23</v>
      </c>
      <c r="K302" s="123">
        <v>15</v>
      </c>
      <c r="L302" s="123">
        <v>52</v>
      </c>
      <c r="M302" s="123">
        <v>46</v>
      </c>
      <c r="N302" s="138">
        <v>6</v>
      </c>
    </row>
    <row r="303" spans="1:14" ht="17">
      <c r="A303" s="129" t="s">
        <v>7618</v>
      </c>
      <c r="B303" s="129" t="s">
        <v>7619</v>
      </c>
      <c r="C303" s="136">
        <v>2010</v>
      </c>
      <c r="D303" s="123">
        <v>249</v>
      </c>
      <c r="E303" s="123">
        <v>221</v>
      </c>
      <c r="F303" s="123">
        <v>126</v>
      </c>
      <c r="G303" s="123">
        <v>95</v>
      </c>
      <c r="H303" s="123">
        <v>43</v>
      </c>
      <c r="I303" s="123">
        <v>43</v>
      </c>
      <c r="J303" s="123" t="s">
        <v>6953</v>
      </c>
      <c r="K303" s="123" t="s">
        <v>6953</v>
      </c>
      <c r="L303" s="123">
        <v>1</v>
      </c>
      <c r="M303" s="123">
        <v>1</v>
      </c>
      <c r="N303" s="138" t="s">
        <v>6952</v>
      </c>
    </row>
    <row r="304" spans="1:14" ht="17">
      <c r="A304" s="129" t="s">
        <v>7618</v>
      </c>
      <c r="B304" s="129" t="s">
        <v>7619</v>
      </c>
      <c r="C304" s="136">
        <v>2011</v>
      </c>
      <c r="D304" s="123">
        <v>241</v>
      </c>
      <c r="E304" s="123">
        <v>258</v>
      </c>
      <c r="F304" s="123">
        <v>73</v>
      </c>
      <c r="G304" s="123">
        <v>186</v>
      </c>
      <c r="H304" s="123" t="s">
        <v>6953</v>
      </c>
      <c r="I304" s="123">
        <v>19</v>
      </c>
      <c r="J304" s="123" t="s">
        <v>6953</v>
      </c>
      <c r="K304" s="123" t="s">
        <v>6953</v>
      </c>
      <c r="L304" s="123" t="s">
        <v>6953</v>
      </c>
      <c r="M304" s="123" t="s">
        <v>6953</v>
      </c>
      <c r="N304" s="138" t="s">
        <v>6953</v>
      </c>
    </row>
    <row r="305" spans="1:14" ht="17">
      <c r="A305" s="129" t="s">
        <v>7618</v>
      </c>
      <c r="B305" s="129" t="s">
        <v>7619</v>
      </c>
      <c r="C305" s="136">
        <v>2012</v>
      </c>
      <c r="D305" s="135">
        <v>248</v>
      </c>
      <c r="E305" s="135">
        <v>180</v>
      </c>
      <c r="F305" s="135">
        <v>50</v>
      </c>
      <c r="G305" s="135">
        <v>130</v>
      </c>
      <c r="H305" s="135">
        <v>26</v>
      </c>
      <c r="I305" s="135">
        <v>16</v>
      </c>
      <c r="J305" s="135">
        <v>17</v>
      </c>
      <c r="K305" s="123" t="s">
        <v>6952</v>
      </c>
      <c r="L305" s="135">
        <v>0</v>
      </c>
      <c r="M305" s="135">
        <v>0</v>
      </c>
      <c r="N305" s="139">
        <v>0</v>
      </c>
    </row>
    <row r="306" spans="1:14" ht="17">
      <c r="A306" s="129" t="s">
        <v>7618</v>
      </c>
      <c r="B306" s="129" t="s">
        <v>7619</v>
      </c>
      <c r="C306" s="130">
        <v>2013</v>
      </c>
      <c r="D306" s="135">
        <v>272</v>
      </c>
      <c r="E306" s="135">
        <v>196</v>
      </c>
      <c r="F306" s="135">
        <v>58</v>
      </c>
      <c r="G306" s="135">
        <v>138</v>
      </c>
      <c r="H306" s="135">
        <v>13</v>
      </c>
      <c r="I306" s="135">
        <v>1</v>
      </c>
      <c r="J306" s="135">
        <v>5</v>
      </c>
      <c r="K306" s="135">
        <v>3</v>
      </c>
      <c r="L306" s="135">
        <v>0</v>
      </c>
      <c r="M306" s="123" t="s">
        <v>6952</v>
      </c>
      <c r="N306" s="139">
        <v>0</v>
      </c>
    </row>
    <row r="307" spans="1:14" ht="17">
      <c r="A307" s="129" t="s">
        <v>7618</v>
      </c>
      <c r="B307" s="129" t="s">
        <v>7619</v>
      </c>
      <c r="C307" s="130">
        <v>2014</v>
      </c>
      <c r="D307" s="123">
        <v>275</v>
      </c>
      <c r="E307" s="123">
        <v>370</v>
      </c>
      <c r="F307" s="123">
        <v>128</v>
      </c>
      <c r="G307" s="123">
        <v>242</v>
      </c>
      <c r="H307" s="123">
        <v>47</v>
      </c>
      <c r="I307" s="123">
        <v>-7</v>
      </c>
      <c r="J307" s="123">
        <v>17</v>
      </c>
      <c r="K307" s="123">
        <v>24</v>
      </c>
      <c r="L307" s="123" t="s">
        <v>6953</v>
      </c>
      <c r="M307" s="123" t="s">
        <v>6953</v>
      </c>
      <c r="N307" s="138" t="s">
        <v>6953</v>
      </c>
    </row>
    <row r="308" spans="1:14" ht="17">
      <c r="A308" s="129" t="s">
        <v>7618</v>
      </c>
      <c r="B308" s="129" t="s">
        <v>7619</v>
      </c>
      <c r="C308" s="130">
        <v>2015</v>
      </c>
      <c r="D308" s="135">
        <v>267</v>
      </c>
      <c r="E308" s="135">
        <v>240</v>
      </c>
      <c r="F308" s="135">
        <v>103</v>
      </c>
      <c r="G308" s="135">
        <v>135</v>
      </c>
      <c r="H308" s="135">
        <v>11</v>
      </c>
      <c r="I308" s="135">
        <v>161</v>
      </c>
      <c r="J308" s="135">
        <v>255</v>
      </c>
      <c r="K308" s="135">
        <v>93</v>
      </c>
      <c r="L308" s="123" t="s">
        <v>6953</v>
      </c>
      <c r="M308" s="123" t="s">
        <v>6953</v>
      </c>
      <c r="N308" s="138" t="s">
        <v>6953</v>
      </c>
    </row>
    <row r="309" spans="1:14" ht="17">
      <c r="A309" s="129" t="s">
        <v>7618</v>
      </c>
      <c r="B309" s="129" t="s">
        <v>7619</v>
      </c>
      <c r="C309" s="130">
        <v>2016</v>
      </c>
      <c r="D309" s="135">
        <v>291</v>
      </c>
      <c r="E309" s="135">
        <v>317</v>
      </c>
      <c r="F309" s="135">
        <v>35</v>
      </c>
      <c r="G309" s="135">
        <v>284</v>
      </c>
      <c r="H309" s="135">
        <v>17</v>
      </c>
      <c r="I309" s="135">
        <v>2</v>
      </c>
      <c r="J309" s="135">
        <v>2</v>
      </c>
      <c r="K309" s="123" t="s">
        <v>6952</v>
      </c>
      <c r="L309" s="135">
        <v>7</v>
      </c>
      <c r="M309" s="135">
        <v>4</v>
      </c>
      <c r="N309" s="139">
        <v>2</v>
      </c>
    </row>
    <row r="310" spans="1:14" ht="17">
      <c r="A310" s="129" t="s">
        <v>7618</v>
      </c>
      <c r="B310" s="129" t="s">
        <v>7619</v>
      </c>
      <c r="C310" s="130">
        <v>2017</v>
      </c>
      <c r="D310" s="135">
        <v>308</v>
      </c>
      <c r="E310" s="135">
        <v>1008</v>
      </c>
      <c r="F310" s="135">
        <v>227</v>
      </c>
      <c r="G310" s="135">
        <v>780</v>
      </c>
      <c r="H310" s="135">
        <v>103</v>
      </c>
      <c r="I310" s="135">
        <v>373</v>
      </c>
      <c r="J310" s="135">
        <v>373</v>
      </c>
      <c r="K310" s="123" t="s">
        <v>6952</v>
      </c>
      <c r="L310" s="135">
        <v>2</v>
      </c>
      <c r="M310" s="135">
        <v>2</v>
      </c>
      <c r="N310" s="138" t="s">
        <v>6952</v>
      </c>
    </row>
    <row r="311" spans="1:14" ht="17">
      <c r="A311" s="129" t="s">
        <v>7618</v>
      </c>
      <c r="B311" s="129" t="s">
        <v>7619</v>
      </c>
      <c r="C311" s="130">
        <v>2018</v>
      </c>
      <c r="D311" s="135">
        <v>312</v>
      </c>
      <c r="E311" s="135">
        <v>1034</v>
      </c>
      <c r="F311" s="135">
        <v>272</v>
      </c>
      <c r="G311" s="135">
        <v>764</v>
      </c>
      <c r="H311" s="135">
        <v>31</v>
      </c>
      <c r="I311" s="135">
        <v>122</v>
      </c>
      <c r="J311" s="135">
        <v>185</v>
      </c>
      <c r="K311" s="135">
        <v>63</v>
      </c>
      <c r="L311" s="123" t="s">
        <v>6953</v>
      </c>
      <c r="M311" s="123" t="s">
        <v>6953</v>
      </c>
      <c r="N311" s="138" t="s">
        <v>6952</v>
      </c>
    </row>
    <row r="312" spans="1:14" ht="17">
      <c r="A312" s="129" t="s">
        <v>7618</v>
      </c>
      <c r="B312" s="129" t="s">
        <v>7619</v>
      </c>
      <c r="C312" s="130">
        <v>2019</v>
      </c>
      <c r="D312" s="135">
        <v>313</v>
      </c>
      <c r="E312" s="135">
        <v>973.09089100000006</v>
      </c>
      <c r="F312" s="135">
        <v>259.86711300000002</v>
      </c>
      <c r="G312" s="135">
        <v>714.50175300000001</v>
      </c>
      <c r="H312" s="135">
        <v>4.9809830000000002</v>
      </c>
      <c r="I312" s="135">
        <v>202.97005999999999</v>
      </c>
      <c r="J312" s="135">
        <v>203.25298799999999</v>
      </c>
      <c r="K312" s="135" t="s">
        <v>6952</v>
      </c>
      <c r="L312" s="135">
        <v>0.67844899999999997</v>
      </c>
      <c r="M312" s="135">
        <v>0.84806099999999995</v>
      </c>
      <c r="N312" s="139" t="s">
        <v>6952</v>
      </c>
    </row>
    <row r="313" spans="1:14" ht="17">
      <c r="A313" s="130" t="s">
        <v>7618</v>
      </c>
      <c r="B313" s="130" t="s">
        <v>7619</v>
      </c>
      <c r="C313" s="130">
        <v>2020</v>
      </c>
      <c r="D313" s="135">
        <v>314</v>
      </c>
      <c r="E313" s="135">
        <v>153.81953799999999</v>
      </c>
      <c r="F313" s="135" t="s">
        <v>6953</v>
      </c>
      <c r="G313" s="135" t="s">
        <v>6953</v>
      </c>
      <c r="H313" s="135">
        <v>8.4377139999999997</v>
      </c>
      <c r="I313" s="135">
        <v>-160.33843200000001</v>
      </c>
      <c r="J313" s="135">
        <v>1.375802</v>
      </c>
      <c r="K313" s="135">
        <v>161.714235</v>
      </c>
      <c r="L313" s="135">
        <v>0</v>
      </c>
      <c r="M313" s="135">
        <v>0</v>
      </c>
      <c r="N313" s="139">
        <v>0</v>
      </c>
    </row>
    <row r="314" spans="1:14" ht="51">
      <c r="A314" s="129" t="s">
        <v>7620</v>
      </c>
      <c r="B314" s="129" t="s">
        <v>7621</v>
      </c>
      <c r="C314" s="136">
        <v>2008</v>
      </c>
      <c r="D314" s="123">
        <v>5584</v>
      </c>
      <c r="E314" s="123">
        <v>6781</v>
      </c>
      <c r="F314" s="123">
        <v>3447</v>
      </c>
      <c r="G314" s="123">
        <v>3320</v>
      </c>
      <c r="H314" s="123">
        <v>1258</v>
      </c>
      <c r="I314" s="123">
        <v>575</v>
      </c>
      <c r="J314" s="123">
        <v>1134</v>
      </c>
      <c r="K314" s="123">
        <v>559</v>
      </c>
      <c r="L314" s="123">
        <v>17</v>
      </c>
      <c r="M314" s="123">
        <v>18</v>
      </c>
      <c r="N314" s="138">
        <v>-1</v>
      </c>
    </row>
    <row r="315" spans="1:14" ht="51">
      <c r="A315" s="129" t="s">
        <v>7620</v>
      </c>
      <c r="B315" s="129" t="s">
        <v>7621</v>
      </c>
      <c r="C315" s="136">
        <v>2009</v>
      </c>
      <c r="D315" s="123">
        <v>4640</v>
      </c>
      <c r="E315" s="123">
        <v>7354</v>
      </c>
      <c r="F315" s="123">
        <v>3419</v>
      </c>
      <c r="G315" s="123">
        <v>3826</v>
      </c>
      <c r="H315" s="123">
        <v>1059</v>
      </c>
      <c r="I315" s="123">
        <v>455</v>
      </c>
      <c r="J315" s="123">
        <v>819</v>
      </c>
      <c r="K315" s="123">
        <v>364</v>
      </c>
      <c r="L315" s="123">
        <v>98</v>
      </c>
      <c r="M315" s="123">
        <v>185</v>
      </c>
      <c r="N315" s="138">
        <v>-86</v>
      </c>
    </row>
    <row r="316" spans="1:14" ht="51">
      <c r="A316" s="129" t="s">
        <v>7620</v>
      </c>
      <c r="B316" s="129" t="s">
        <v>7621</v>
      </c>
      <c r="C316" s="136">
        <v>2010</v>
      </c>
      <c r="D316" s="123">
        <v>4420</v>
      </c>
      <c r="E316" s="123">
        <v>5328</v>
      </c>
      <c r="F316" s="123">
        <v>3008</v>
      </c>
      <c r="G316" s="123">
        <v>2314</v>
      </c>
      <c r="H316" s="123">
        <v>916</v>
      </c>
      <c r="I316" s="123">
        <v>646</v>
      </c>
      <c r="J316" s="123">
        <v>832</v>
      </c>
      <c r="K316" s="123">
        <v>186</v>
      </c>
      <c r="L316" s="123">
        <v>84</v>
      </c>
      <c r="M316" s="123">
        <v>98</v>
      </c>
      <c r="N316" s="138">
        <v>-14</v>
      </c>
    </row>
    <row r="317" spans="1:14" ht="51">
      <c r="A317" s="129" t="s">
        <v>7620</v>
      </c>
      <c r="B317" s="129" t="s">
        <v>7621</v>
      </c>
      <c r="C317" s="136">
        <v>2011</v>
      </c>
      <c r="D317" s="123">
        <v>4244</v>
      </c>
      <c r="E317" s="123">
        <v>6396</v>
      </c>
      <c r="F317" s="123">
        <v>3583</v>
      </c>
      <c r="G317" s="123">
        <v>2813</v>
      </c>
      <c r="H317" s="123">
        <v>998</v>
      </c>
      <c r="I317" s="123">
        <v>619</v>
      </c>
      <c r="J317" s="123">
        <v>904</v>
      </c>
      <c r="K317" s="123">
        <v>286</v>
      </c>
      <c r="L317" s="123">
        <v>110</v>
      </c>
      <c r="M317" s="123">
        <v>134</v>
      </c>
      <c r="N317" s="138">
        <v>-24</v>
      </c>
    </row>
    <row r="318" spans="1:14" ht="51">
      <c r="A318" s="129" t="s">
        <v>7620</v>
      </c>
      <c r="B318" s="129" t="s">
        <v>7621</v>
      </c>
      <c r="C318" s="136">
        <v>2012</v>
      </c>
      <c r="D318" s="135">
        <v>4102</v>
      </c>
      <c r="E318" s="135">
        <v>6436</v>
      </c>
      <c r="F318" s="135">
        <v>3590</v>
      </c>
      <c r="G318" s="135">
        <v>2841</v>
      </c>
      <c r="H318" s="135">
        <v>1092</v>
      </c>
      <c r="I318" s="135">
        <v>926</v>
      </c>
      <c r="J318" s="135">
        <v>1178</v>
      </c>
      <c r="K318" s="135">
        <v>252</v>
      </c>
      <c r="L318" s="135">
        <v>112</v>
      </c>
      <c r="M318" s="135">
        <v>123</v>
      </c>
      <c r="N318" s="139">
        <v>-12</v>
      </c>
    </row>
    <row r="319" spans="1:14" ht="51">
      <c r="A319" s="129" t="s">
        <v>7620</v>
      </c>
      <c r="B319" s="129" t="s">
        <v>7621</v>
      </c>
      <c r="C319" s="130">
        <v>2013</v>
      </c>
      <c r="D319" s="135">
        <v>4166</v>
      </c>
      <c r="E319" s="135">
        <v>6923</v>
      </c>
      <c r="F319" s="135">
        <v>3770</v>
      </c>
      <c r="G319" s="135">
        <v>3142</v>
      </c>
      <c r="H319" s="135">
        <v>1154</v>
      </c>
      <c r="I319" s="135">
        <v>686</v>
      </c>
      <c r="J319" s="135">
        <v>916</v>
      </c>
      <c r="K319" s="135">
        <v>230</v>
      </c>
      <c r="L319" s="135">
        <v>29</v>
      </c>
      <c r="M319" s="135">
        <v>43</v>
      </c>
      <c r="N319" s="139">
        <v>-14</v>
      </c>
    </row>
    <row r="320" spans="1:14" ht="51">
      <c r="A320" s="129" t="s">
        <v>7620</v>
      </c>
      <c r="B320" s="129" t="s">
        <v>7621</v>
      </c>
      <c r="C320" s="130">
        <v>2014</v>
      </c>
      <c r="D320" s="123">
        <v>4172</v>
      </c>
      <c r="E320" s="123">
        <v>6294</v>
      </c>
      <c r="F320" s="123">
        <v>3724</v>
      </c>
      <c r="G320" s="123">
        <v>2631</v>
      </c>
      <c r="H320" s="123">
        <v>1215</v>
      </c>
      <c r="I320" s="123">
        <v>1152</v>
      </c>
      <c r="J320" s="123">
        <v>1436</v>
      </c>
      <c r="K320" s="123">
        <v>284</v>
      </c>
      <c r="L320" s="123">
        <v>74</v>
      </c>
      <c r="M320" s="123">
        <v>38</v>
      </c>
      <c r="N320" s="138">
        <v>36</v>
      </c>
    </row>
    <row r="321" spans="1:14" ht="51">
      <c r="A321" s="129" t="s">
        <v>7620</v>
      </c>
      <c r="B321" s="129" t="s">
        <v>7621</v>
      </c>
      <c r="C321" s="130">
        <v>2015</v>
      </c>
      <c r="D321" s="135">
        <v>4226</v>
      </c>
      <c r="E321" s="135">
        <v>6399</v>
      </c>
      <c r="F321" s="135">
        <v>3803</v>
      </c>
      <c r="G321" s="135">
        <v>2611</v>
      </c>
      <c r="H321" s="135">
        <v>1211</v>
      </c>
      <c r="I321" s="135">
        <v>1409</v>
      </c>
      <c r="J321" s="135">
        <v>1592</v>
      </c>
      <c r="K321" s="135">
        <v>183</v>
      </c>
      <c r="L321" s="135">
        <v>64</v>
      </c>
      <c r="M321" s="135">
        <v>56</v>
      </c>
      <c r="N321" s="139">
        <v>7</v>
      </c>
    </row>
    <row r="322" spans="1:14" ht="51">
      <c r="A322" s="129" t="s">
        <v>7620</v>
      </c>
      <c r="B322" s="129" t="s">
        <v>7621</v>
      </c>
      <c r="C322" s="130">
        <v>2016</v>
      </c>
      <c r="D322" s="135">
        <v>4322</v>
      </c>
      <c r="E322" s="135">
        <v>6540</v>
      </c>
      <c r="F322" s="135">
        <v>3927</v>
      </c>
      <c r="G322" s="135">
        <v>2695</v>
      </c>
      <c r="H322" s="135">
        <v>1231</v>
      </c>
      <c r="I322" s="135">
        <v>1228</v>
      </c>
      <c r="J322" s="135">
        <v>1377</v>
      </c>
      <c r="K322" s="135">
        <v>149</v>
      </c>
      <c r="L322" s="135">
        <v>38</v>
      </c>
      <c r="M322" s="135">
        <v>39</v>
      </c>
      <c r="N322" s="139">
        <v>-2</v>
      </c>
    </row>
    <row r="323" spans="1:14" ht="51">
      <c r="A323" s="129" t="s">
        <v>7620</v>
      </c>
      <c r="B323" s="129" t="s">
        <v>7621</v>
      </c>
      <c r="C323" s="130">
        <v>2017</v>
      </c>
      <c r="D323" s="135">
        <v>4336</v>
      </c>
      <c r="E323" s="135">
        <v>6647</v>
      </c>
      <c r="F323" s="135">
        <v>3884</v>
      </c>
      <c r="G323" s="135">
        <v>2799</v>
      </c>
      <c r="H323" s="135">
        <v>1179</v>
      </c>
      <c r="I323" s="135">
        <v>1039</v>
      </c>
      <c r="J323" s="135">
        <v>1233</v>
      </c>
      <c r="K323" s="135">
        <v>194</v>
      </c>
      <c r="L323" s="135">
        <v>71</v>
      </c>
      <c r="M323" s="135">
        <v>55</v>
      </c>
      <c r="N323" s="139">
        <v>16</v>
      </c>
    </row>
    <row r="324" spans="1:14" ht="51">
      <c r="A324" s="129" t="s">
        <v>7620</v>
      </c>
      <c r="B324" s="129" t="s">
        <v>7621</v>
      </c>
      <c r="C324" s="130">
        <v>2018</v>
      </c>
      <c r="D324" s="135">
        <v>4477</v>
      </c>
      <c r="E324" s="135">
        <v>7876</v>
      </c>
      <c r="F324" s="135">
        <v>4753</v>
      </c>
      <c r="G324" s="135">
        <v>3132</v>
      </c>
      <c r="H324" s="135">
        <v>1447</v>
      </c>
      <c r="I324" s="135">
        <v>1369</v>
      </c>
      <c r="J324" s="135">
        <v>1566</v>
      </c>
      <c r="K324" s="135">
        <v>196</v>
      </c>
      <c r="L324" s="135">
        <v>170</v>
      </c>
      <c r="M324" s="135">
        <v>168</v>
      </c>
      <c r="N324" s="139">
        <v>2</v>
      </c>
    </row>
    <row r="325" spans="1:14" ht="51">
      <c r="A325" s="129" t="s">
        <v>7620</v>
      </c>
      <c r="B325" s="129" t="s">
        <v>7621</v>
      </c>
      <c r="C325" s="130">
        <v>2019</v>
      </c>
      <c r="D325" s="135">
        <v>4454</v>
      </c>
      <c r="E325" s="135">
        <v>8113.6002699999999</v>
      </c>
      <c r="F325" s="135">
        <v>4971.3936180000001</v>
      </c>
      <c r="G325" s="135">
        <v>3141.2589899999998</v>
      </c>
      <c r="H325" s="135">
        <v>1666.719558</v>
      </c>
      <c r="I325" s="135">
        <v>1147.6186809999999</v>
      </c>
      <c r="J325" s="135">
        <v>1425.885299</v>
      </c>
      <c r="K325" s="135">
        <v>278.26661799999999</v>
      </c>
      <c r="L325" s="135">
        <v>140.04347300000001</v>
      </c>
      <c r="M325" s="135">
        <v>147.623414</v>
      </c>
      <c r="N325" s="139">
        <v>-7.5799409999999998</v>
      </c>
    </row>
    <row r="326" spans="1:14" ht="51">
      <c r="A326" s="130" t="s">
        <v>7620</v>
      </c>
      <c r="B326" s="129" t="s">
        <v>7621</v>
      </c>
      <c r="C326" s="130">
        <v>2020</v>
      </c>
      <c r="D326" s="135">
        <v>4496</v>
      </c>
      <c r="E326" s="135">
        <v>6038.1036679999997</v>
      </c>
      <c r="F326" s="135">
        <v>3781.5943130000001</v>
      </c>
      <c r="G326" s="135">
        <v>2277.1598800000002</v>
      </c>
      <c r="H326" s="135">
        <v>1277.648903</v>
      </c>
      <c r="I326" s="135">
        <v>831.7636</v>
      </c>
      <c r="J326" s="135">
        <v>1419.73244</v>
      </c>
      <c r="K326" s="135">
        <v>587.968839</v>
      </c>
      <c r="L326" s="135">
        <v>141.59648100000001</v>
      </c>
      <c r="M326" s="135">
        <v>143.98180500000001</v>
      </c>
      <c r="N326" s="139">
        <v>-2.3853240000000002</v>
      </c>
    </row>
    <row r="327" spans="1:14" ht="17">
      <c r="A327" s="109" t="s">
        <v>7622</v>
      </c>
      <c r="B327" s="109" t="s">
        <v>7623</v>
      </c>
      <c r="C327" s="98">
        <v>2008</v>
      </c>
      <c r="D327" s="99">
        <v>34222</v>
      </c>
      <c r="E327" s="99">
        <v>16578</v>
      </c>
      <c r="F327" s="99">
        <v>5292</v>
      </c>
      <c r="G327" s="99">
        <v>11286</v>
      </c>
      <c r="H327" s="99">
        <v>3065</v>
      </c>
      <c r="I327" s="99">
        <v>183</v>
      </c>
      <c r="J327" s="99">
        <v>472</v>
      </c>
      <c r="K327" s="99">
        <v>289</v>
      </c>
      <c r="L327" s="99">
        <v>1280</v>
      </c>
      <c r="M327" s="99">
        <v>1225</v>
      </c>
      <c r="N327" s="140">
        <v>55</v>
      </c>
    </row>
    <row r="328" spans="1:14" ht="17">
      <c r="A328" s="109" t="s">
        <v>7622</v>
      </c>
      <c r="B328" s="109" t="s">
        <v>7623</v>
      </c>
      <c r="C328" s="98">
        <v>2009</v>
      </c>
      <c r="D328" s="99">
        <v>34528</v>
      </c>
      <c r="E328" s="99">
        <v>16871</v>
      </c>
      <c r="F328" s="99">
        <v>5935</v>
      </c>
      <c r="G328" s="99">
        <v>10926</v>
      </c>
      <c r="H328" s="99">
        <v>2937</v>
      </c>
      <c r="I328" s="99">
        <v>245</v>
      </c>
      <c r="J328" s="99">
        <v>364</v>
      </c>
      <c r="K328" s="99">
        <v>119</v>
      </c>
      <c r="L328" s="99">
        <v>982</v>
      </c>
      <c r="M328" s="99">
        <v>985</v>
      </c>
      <c r="N328" s="140">
        <v>-3</v>
      </c>
    </row>
    <row r="329" spans="1:14" ht="17">
      <c r="A329" s="109" t="s">
        <v>7622</v>
      </c>
      <c r="B329" s="109" t="s">
        <v>7623</v>
      </c>
      <c r="C329" s="98">
        <v>2010</v>
      </c>
      <c r="D329" s="99">
        <v>34918</v>
      </c>
      <c r="E329" s="99">
        <v>17188</v>
      </c>
      <c r="F329" s="99">
        <v>5987</v>
      </c>
      <c r="G329" s="99">
        <v>11276</v>
      </c>
      <c r="H329" s="99">
        <v>3154</v>
      </c>
      <c r="I329" s="99">
        <v>321</v>
      </c>
      <c r="J329" s="99">
        <v>439</v>
      </c>
      <c r="K329" s="99">
        <v>119</v>
      </c>
      <c r="L329" s="99">
        <v>1147</v>
      </c>
      <c r="M329" s="99">
        <v>1071</v>
      </c>
      <c r="N329" s="140">
        <v>76</v>
      </c>
    </row>
    <row r="330" spans="1:14" ht="17">
      <c r="A330" s="109" t="s">
        <v>7622</v>
      </c>
      <c r="B330" s="109" t="s">
        <v>7623</v>
      </c>
      <c r="C330" s="98">
        <v>2011</v>
      </c>
      <c r="D330" s="99">
        <v>35723</v>
      </c>
      <c r="E330" s="99">
        <v>21060</v>
      </c>
      <c r="F330" s="99">
        <v>6971</v>
      </c>
      <c r="G330" s="99">
        <v>14170</v>
      </c>
      <c r="H330" s="99">
        <v>3401</v>
      </c>
      <c r="I330" s="99">
        <v>366</v>
      </c>
      <c r="J330" s="99">
        <v>564</v>
      </c>
      <c r="K330" s="99">
        <v>199</v>
      </c>
      <c r="L330" s="99">
        <v>1364</v>
      </c>
      <c r="M330" s="99">
        <v>1281</v>
      </c>
      <c r="N330" s="140">
        <v>83</v>
      </c>
    </row>
    <row r="331" spans="1:14" ht="17">
      <c r="A331" s="109" t="s">
        <v>7622</v>
      </c>
      <c r="B331" s="109" t="s">
        <v>7623</v>
      </c>
      <c r="C331" s="111">
        <v>2012</v>
      </c>
      <c r="D331" s="112">
        <v>36104</v>
      </c>
      <c r="E331" s="112">
        <v>20259</v>
      </c>
      <c r="F331" s="112">
        <v>6562</v>
      </c>
      <c r="G331" s="112">
        <v>13734</v>
      </c>
      <c r="H331" s="112">
        <v>3312</v>
      </c>
      <c r="I331" s="112">
        <v>483</v>
      </c>
      <c r="J331" s="112">
        <v>664</v>
      </c>
      <c r="K331" s="112">
        <v>181</v>
      </c>
      <c r="L331" s="112">
        <v>1385</v>
      </c>
      <c r="M331" s="112">
        <v>1353</v>
      </c>
      <c r="N331" s="141">
        <v>32</v>
      </c>
    </row>
    <row r="332" spans="1:14" ht="17">
      <c r="A332" s="109" t="s">
        <v>7622</v>
      </c>
      <c r="B332" s="109" t="s">
        <v>7623</v>
      </c>
      <c r="C332" s="113">
        <v>2013</v>
      </c>
      <c r="D332" s="112">
        <v>36967</v>
      </c>
      <c r="E332" s="112">
        <v>21597</v>
      </c>
      <c r="F332" s="112">
        <v>7451</v>
      </c>
      <c r="G332" s="112">
        <v>14248</v>
      </c>
      <c r="H332" s="112">
        <v>3688</v>
      </c>
      <c r="I332" s="112">
        <v>546</v>
      </c>
      <c r="J332" s="112">
        <v>696</v>
      </c>
      <c r="K332" s="112">
        <v>149</v>
      </c>
      <c r="L332" s="112">
        <v>1342</v>
      </c>
      <c r="M332" s="112">
        <v>1253</v>
      </c>
      <c r="N332" s="141">
        <v>89</v>
      </c>
    </row>
    <row r="333" spans="1:14" ht="17">
      <c r="A333" s="109" t="s">
        <v>7622</v>
      </c>
      <c r="B333" s="109" t="s">
        <v>7623</v>
      </c>
      <c r="C333" s="113">
        <v>2014</v>
      </c>
      <c r="D333" s="99">
        <v>37733</v>
      </c>
      <c r="E333" s="99">
        <v>22412</v>
      </c>
      <c r="F333" s="99">
        <v>7373</v>
      </c>
      <c r="G333" s="99">
        <v>15220</v>
      </c>
      <c r="H333" s="99">
        <v>3901</v>
      </c>
      <c r="I333" s="99">
        <v>739</v>
      </c>
      <c r="J333" s="99">
        <v>872</v>
      </c>
      <c r="K333" s="99">
        <v>133</v>
      </c>
      <c r="L333" s="99">
        <v>1615</v>
      </c>
      <c r="M333" s="99">
        <v>1460</v>
      </c>
      <c r="N333" s="140">
        <v>155</v>
      </c>
    </row>
    <row r="334" spans="1:14" ht="17">
      <c r="A334" s="109" t="s">
        <v>7622</v>
      </c>
      <c r="B334" s="109" t="s">
        <v>7623</v>
      </c>
      <c r="C334" s="113">
        <v>2015</v>
      </c>
      <c r="D334" s="112">
        <v>40075</v>
      </c>
      <c r="E334" s="112">
        <v>23748</v>
      </c>
      <c r="F334" s="112">
        <v>8006</v>
      </c>
      <c r="G334" s="112">
        <v>15956</v>
      </c>
      <c r="H334" s="112">
        <v>3999</v>
      </c>
      <c r="I334" s="112">
        <v>958</v>
      </c>
      <c r="J334" s="112">
        <v>1154</v>
      </c>
      <c r="K334" s="112">
        <v>196</v>
      </c>
      <c r="L334" s="112">
        <v>2058</v>
      </c>
      <c r="M334" s="112">
        <v>1906</v>
      </c>
      <c r="N334" s="141">
        <v>152</v>
      </c>
    </row>
    <row r="335" spans="1:14" ht="17">
      <c r="A335" s="109" t="s">
        <v>7622</v>
      </c>
      <c r="B335" s="109" t="s">
        <v>7623</v>
      </c>
      <c r="C335" s="113">
        <v>2016</v>
      </c>
      <c r="D335" s="112">
        <v>43859</v>
      </c>
      <c r="E335" s="112">
        <v>24136</v>
      </c>
      <c r="F335" s="112">
        <v>8354</v>
      </c>
      <c r="G335" s="112">
        <v>15955</v>
      </c>
      <c r="H335" s="112">
        <v>4239</v>
      </c>
      <c r="I335" s="112">
        <v>821</v>
      </c>
      <c r="J335" s="112">
        <v>936</v>
      </c>
      <c r="K335" s="112">
        <v>115</v>
      </c>
      <c r="L335" s="112">
        <v>1823</v>
      </c>
      <c r="M335" s="112">
        <v>1689</v>
      </c>
      <c r="N335" s="141">
        <v>134</v>
      </c>
    </row>
    <row r="336" spans="1:14" ht="17">
      <c r="A336" s="109" t="s">
        <v>7622</v>
      </c>
      <c r="B336" s="109" t="s">
        <v>7623</v>
      </c>
      <c r="C336" s="113">
        <v>2017</v>
      </c>
      <c r="D336" s="112">
        <v>44753</v>
      </c>
      <c r="E336" s="112">
        <v>24863</v>
      </c>
      <c r="F336" s="112">
        <v>7745</v>
      </c>
      <c r="G336" s="112">
        <v>17172</v>
      </c>
      <c r="H336" s="112">
        <v>4355</v>
      </c>
      <c r="I336" s="112">
        <v>751</v>
      </c>
      <c r="J336" s="112">
        <v>927</v>
      </c>
      <c r="K336" s="112">
        <v>176</v>
      </c>
      <c r="L336" s="112">
        <v>1914</v>
      </c>
      <c r="M336" s="112">
        <v>1961</v>
      </c>
      <c r="N336" s="141">
        <v>-47</v>
      </c>
    </row>
    <row r="337" spans="1:14" ht="17">
      <c r="A337" s="109" t="s">
        <v>7622</v>
      </c>
      <c r="B337" s="109" t="s">
        <v>7623</v>
      </c>
      <c r="C337" s="113">
        <v>2018</v>
      </c>
      <c r="D337" s="112">
        <v>46034</v>
      </c>
      <c r="E337" s="112">
        <v>27358</v>
      </c>
      <c r="F337" s="112">
        <v>7903</v>
      </c>
      <c r="G337" s="112">
        <v>19603</v>
      </c>
      <c r="H337" s="112">
        <v>3945</v>
      </c>
      <c r="I337" s="112">
        <v>837</v>
      </c>
      <c r="J337" s="112">
        <v>956</v>
      </c>
      <c r="K337" s="112">
        <v>120</v>
      </c>
      <c r="L337" s="112">
        <v>2189</v>
      </c>
      <c r="M337" s="112">
        <v>2050</v>
      </c>
      <c r="N337" s="141">
        <v>139</v>
      </c>
    </row>
    <row r="338" spans="1:14" ht="17">
      <c r="A338" s="109" t="s">
        <v>7622</v>
      </c>
      <c r="B338" s="109" t="s">
        <v>7623</v>
      </c>
      <c r="C338" s="113">
        <v>2019</v>
      </c>
      <c r="D338" s="112">
        <v>45052</v>
      </c>
      <c r="E338" s="112">
        <v>28295.238893999998</v>
      </c>
      <c r="F338" s="112">
        <v>7831.2760580000004</v>
      </c>
      <c r="G338" s="112">
        <v>20662.436203000001</v>
      </c>
      <c r="H338" s="112">
        <v>4412.4314720000002</v>
      </c>
      <c r="I338" s="112">
        <v>653.54017999999996</v>
      </c>
      <c r="J338" s="112">
        <v>876.95982900000001</v>
      </c>
      <c r="K338" s="112">
        <v>223.41964999999999</v>
      </c>
      <c r="L338" s="112">
        <v>2438.7709439999999</v>
      </c>
      <c r="M338" s="112">
        <v>2266.9562270000001</v>
      </c>
      <c r="N338" s="141">
        <v>171.814717</v>
      </c>
    </row>
    <row r="339" spans="1:14" ht="17">
      <c r="A339" s="114" t="s">
        <v>7622</v>
      </c>
      <c r="B339" s="114" t="s">
        <v>7623</v>
      </c>
      <c r="C339" s="101">
        <v>2020</v>
      </c>
      <c r="D339" s="112">
        <v>45970</v>
      </c>
      <c r="E339" s="112">
        <v>26277.821185000001</v>
      </c>
      <c r="F339" s="112">
        <v>7793.3534929999996</v>
      </c>
      <c r="G339" s="112">
        <v>18398.523173000001</v>
      </c>
      <c r="H339" s="112">
        <v>4710.3283419999998</v>
      </c>
      <c r="I339" s="112">
        <v>840.74555299999997</v>
      </c>
      <c r="J339" s="112">
        <v>1014.9922800000001</v>
      </c>
      <c r="K339" s="112">
        <v>174.24672699999999</v>
      </c>
      <c r="L339" s="112">
        <v>2189.877277</v>
      </c>
      <c r="M339" s="112">
        <v>2353.6924020000001</v>
      </c>
      <c r="N339" s="141">
        <v>-163.81512499999999</v>
      </c>
    </row>
    <row r="340" spans="1:14" ht="34">
      <c r="A340" s="109" t="s">
        <v>7548</v>
      </c>
      <c r="B340" s="109" t="s">
        <v>7549</v>
      </c>
      <c r="C340" s="98">
        <v>2008</v>
      </c>
      <c r="D340" s="99">
        <v>4619</v>
      </c>
      <c r="E340" s="99">
        <v>14110</v>
      </c>
      <c r="F340" s="99">
        <v>5602</v>
      </c>
      <c r="G340" s="99">
        <v>8589</v>
      </c>
      <c r="H340" s="99">
        <v>3515</v>
      </c>
      <c r="I340" s="99">
        <v>457</v>
      </c>
      <c r="J340" s="99">
        <v>527</v>
      </c>
      <c r="K340" s="99">
        <v>69</v>
      </c>
      <c r="L340" s="99">
        <v>1872</v>
      </c>
      <c r="M340" s="99">
        <v>1784</v>
      </c>
      <c r="N340" s="142">
        <v>88</v>
      </c>
    </row>
    <row r="341" spans="1:14" ht="34">
      <c r="A341" s="109" t="s">
        <v>7548</v>
      </c>
      <c r="B341" s="109" t="s">
        <v>7549</v>
      </c>
      <c r="C341" s="98">
        <v>2009</v>
      </c>
      <c r="D341" s="99">
        <v>5276</v>
      </c>
      <c r="E341" s="99">
        <v>12054</v>
      </c>
      <c r="F341" s="99">
        <v>5134</v>
      </c>
      <c r="G341" s="99">
        <v>6884</v>
      </c>
      <c r="H341" s="99">
        <v>3201</v>
      </c>
      <c r="I341" s="99">
        <v>178</v>
      </c>
      <c r="J341" s="99">
        <v>258</v>
      </c>
      <c r="K341" s="99">
        <v>81</v>
      </c>
      <c r="L341" s="99">
        <v>1353</v>
      </c>
      <c r="M341" s="99">
        <v>1395</v>
      </c>
      <c r="N341" s="142">
        <v>-41</v>
      </c>
    </row>
    <row r="342" spans="1:14" ht="34">
      <c r="A342" s="109" t="s">
        <v>7548</v>
      </c>
      <c r="B342" s="109" t="s">
        <v>7549</v>
      </c>
      <c r="C342" s="98">
        <v>2010</v>
      </c>
      <c r="D342" s="99">
        <v>6226</v>
      </c>
      <c r="E342" s="99">
        <v>12191</v>
      </c>
      <c r="F342" s="99">
        <v>5364</v>
      </c>
      <c r="G342" s="99">
        <v>6938</v>
      </c>
      <c r="H342" s="99">
        <v>2854</v>
      </c>
      <c r="I342" s="99">
        <v>87</v>
      </c>
      <c r="J342" s="99">
        <v>221</v>
      </c>
      <c r="K342" s="99">
        <v>134</v>
      </c>
      <c r="L342" s="99">
        <v>1290</v>
      </c>
      <c r="M342" s="99">
        <v>1176</v>
      </c>
      <c r="N342" s="142">
        <v>114</v>
      </c>
    </row>
    <row r="343" spans="1:14" ht="34">
      <c r="A343" s="109" t="s">
        <v>7548</v>
      </c>
      <c r="B343" s="109" t="s">
        <v>7549</v>
      </c>
      <c r="C343" s="98">
        <v>2011</v>
      </c>
      <c r="D343" s="99">
        <v>7697</v>
      </c>
      <c r="E343" s="99">
        <v>12336</v>
      </c>
      <c r="F343" s="99">
        <v>5634</v>
      </c>
      <c r="G343" s="99">
        <v>6651</v>
      </c>
      <c r="H343" s="99">
        <v>2969</v>
      </c>
      <c r="I343" s="99">
        <v>198</v>
      </c>
      <c r="J343" s="99">
        <v>260</v>
      </c>
      <c r="K343" s="99">
        <v>62</v>
      </c>
      <c r="L343" s="99">
        <v>1138</v>
      </c>
      <c r="M343" s="99">
        <v>1187</v>
      </c>
      <c r="N343" s="142">
        <v>-50</v>
      </c>
    </row>
    <row r="344" spans="1:14" ht="34">
      <c r="A344" s="109" t="s">
        <v>7548</v>
      </c>
      <c r="B344" s="109" t="s">
        <v>7549</v>
      </c>
      <c r="C344" s="111">
        <v>2012</v>
      </c>
      <c r="D344" s="112">
        <v>11773</v>
      </c>
      <c r="E344" s="112">
        <v>14104</v>
      </c>
      <c r="F344" s="112">
        <v>6564</v>
      </c>
      <c r="G344" s="112">
        <v>7686</v>
      </c>
      <c r="H344" s="112">
        <v>3356</v>
      </c>
      <c r="I344" s="112">
        <v>193</v>
      </c>
      <c r="J344" s="112">
        <v>298</v>
      </c>
      <c r="K344" s="112">
        <v>105</v>
      </c>
      <c r="L344" s="112">
        <v>1448</v>
      </c>
      <c r="M344" s="112">
        <v>1304</v>
      </c>
      <c r="N344" s="143">
        <v>144</v>
      </c>
    </row>
    <row r="345" spans="1:14" ht="34">
      <c r="A345" s="109" t="s">
        <v>7548</v>
      </c>
      <c r="B345" s="109" t="s">
        <v>7549</v>
      </c>
      <c r="C345" s="113">
        <v>2013</v>
      </c>
      <c r="D345" s="112">
        <v>14280</v>
      </c>
      <c r="E345" s="112">
        <v>15604</v>
      </c>
      <c r="F345" s="112">
        <v>7761</v>
      </c>
      <c r="G345" s="112">
        <v>8025</v>
      </c>
      <c r="H345" s="112">
        <v>3817</v>
      </c>
      <c r="I345" s="112">
        <v>248</v>
      </c>
      <c r="J345" s="112">
        <v>317</v>
      </c>
      <c r="K345" s="112">
        <v>69</v>
      </c>
      <c r="L345" s="112">
        <v>1565</v>
      </c>
      <c r="M345" s="112">
        <v>1394</v>
      </c>
      <c r="N345" s="143">
        <v>170</v>
      </c>
    </row>
    <row r="346" spans="1:14" ht="34">
      <c r="A346" s="109" t="s">
        <v>7548</v>
      </c>
      <c r="B346" s="109" t="s">
        <v>7549</v>
      </c>
      <c r="C346" s="113">
        <v>2014</v>
      </c>
      <c r="D346" s="99">
        <v>11549</v>
      </c>
      <c r="E346" s="99">
        <v>16370</v>
      </c>
      <c r="F346" s="99">
        <v>7398</v>
      </c>
      <c r="G346" s="99">
        <v>9185</v>
      </c>
      <c r="H346" s="99">
        <v>3669</v>
      </c>
      <c r="I346" s="99">
        <v>392</v>
      </c>
      <c r="J346" s="99">
        <v>496</v>
      </c>
      <c r="K346" s="99">
        <v>104</v>
      </c>
      <c r="L346" s="99">
        <v>1768</v>
      </c>
      <c r="M346" s="99">
        <v>1577</v>
      </c>
      <c r="N346" s="142">
        <v>191</v>
      </c>
    </row>
    <row r="347" spans="1:14" ht="34">
      <c r="A347" s="109" t="s">
        <v>7548</v>
      </c>
      <c r="B347" s="109" t="s">
        <v>7549</v>
      </c>
      <c r="C347" s="113">
        <v>2015</v>
      </c>
      <c r="D347" s="112">
        <v>12742</v>
      </c>
      <c r="E347" s="112">
        <v>16966</v>
      </c>
      <c r="F347" s="112">
        <v>6889</v>
      </c>
      <c r="G347" s="112">
        <v>10085</v>
      </c>
      <c r="H347" s="112">
        <v>3674</v>
      </c>
      <c r="I347" s="112">
        <v>445</v>
      </c>
      <c r="J347" s="112">
        <v>470</v>
      </c>
      <c r="K347" s="112">
        <v>25</v>
      </c>
      <c r="L347" s="112">
        <v>1555</v>
      </c>
      <c r="M347" s="112">
        <v>1582</v>
      </c>
      <c r="N347" s="143">
        <v>-27</v>
      </c>
    </row>
    <row r="348" spans="1:14" ht="34">
      <c r="A348" s="109" t="s">
        <v>7548</v>
      </c>
      <c r="B348" s="109" t="s">
        <v>7549</v>
      </c>
      <c r="C348" s="113">
        <v>2016</v>
      </c>
      <c r="D348" s="112">
        <v>14036</v>
      </c>
      <c r="E348" s="112">
        <v>16629</v>
      </c>
      <c r="F348" s="112">
        <v>6562</v>
      </c>
      <c r="G348" s="112">
        <v>10390</v>
      </c>
      <c r="H348" s="112">
        <v>3735</v>
      </c>
      <c r="I348" s="112">
        <v>314</v>
      </c>
      <c r="J348" s="112">
        <v>361</v>
      </c>
      <c r="K348" s="112">
        <v>48</v>
      </c>
      <c r="L348" s="112">
        <v>1858</v>
      </c>
      <c r="M348" s="112">
        <v>1550</v>
      </c>
      <c r="N348" s="143">
        <v>308</v>
      </c>
    </row>
    <row r="349" spans="1:14" ht="34">
      <c r="A349" s="109" t="s">
        <v>7548</v>
      </c>
      <c r="B349" s="109" t="s">
        <v>7549</v>
      </c>
      <c r="C349" s="113">
        <v>2017</v>
      </c>
      <c r="D349" s="112">
        <v>13706</v>
      </c>
      <c r="E349" s="112">
        <v>18790</v>
      </c>
      <c r="F349" s="112">
        <v>7084</v>
      </c>
      <c r="G349" s="112">
        <v>11801</v>
      </c>
      <c r="H349" s="112">
        <v>4105</v>
      </c>
      <c r="I349" s="112">
        <v>450</v>
      </c>
      <c r="J349" s="112">
        <v>499</v>
      </c>
      <c r="K349" s="112">
        <v>49</v>
      </c>
      <c r="L349" s="112">
        <v>1977</v>
      </c>
      <c r="M349" s="112">
        <v>1899</v>
      </c>
      <c r="N349" s="143">
        <v>77</v>
      </c>
    </row>
    <row r="350" spans="1:14" ht="34">
      <c r="A350" s="109" t="s">
        <v>7548</v>
      </c>
      <c r="B350" s="109" t="s">
        <v>7549</v>
      </c>
      <c r="C350" s="113">
        <v>2018</v>
      </c>
      <c r="D350" s="112">
        <v>14176</v>
      </c>
      <c r="E350" s="112">
        <v>18420</v>
      </c>
      <c r="F350" s="112">
        <v>7105</v>
      </c>
      <c r="G350" s="112">
        <v>11372</v>
      </c>
      <c r="H350" s="112">
        <v>4040</v>
      </c>
      <c r="I350" s="112">
        <v>388</v>
      </c>
      <c r="J350" s="112">
        <v>428</v>
      </c>
      <c r="K350" s="112">
        <v>39</v>
      </c>
      <c r="L350" s="112">
        <v>1953</v>
      </c>
      <c r="M350" s="112">
        <v>1938</v>
      </c>
      <c r="N350" s="143">
        <v>15</v>
      </c>
    </row>
    <row r="351" spans="1:14" ht="34">
      <c r="A351" s="109" t="s">
        <v>7548</v>
      </c>
      <c r="B351" s="109" t="s">
        <v>7549</v>
      </c>
      <c r="C351" s="113">
        <v>2019</v>
      </c>
      <c r="D351" s="112">
        <v>15135</v>
      </c>
      <c r="E351" s="112">
        <v>17583.603985000002</v>
      </c>
      <c r="F351" s="112">
        <v>7407.2918300000001</v>
      </c>
      <c r="G351" s="112">
        <v>10331.6353</v>
      </c>
      <c r="H351" s="112">
        <v>4056.5261350000001</v>
      </c>
      <c r="I351" s="112">
        <v>484.52513699999997</v>
      </c>
      <c r="J351" s="112">
        <v>563.93289400000003</v>
      </c>
      <c r="K351" s="112">
        <v>79.407757000000004</v>
      </c>
      <c r="L351" s="112">
        <v>1764.41815</v>
      </c>
      <c r="M351" s="112">
        <v>1654.3996529999999</v>
      </c>
      <c r="N351" s="143">
        <v>110.018497</v>
      </c>
    </row>
    <row r="352" spans="1:14" ht="34">
      <c r="A352" s="114" t="s">
        <v>7548</v>
      </c>
      <c r="B352" s="114" t="s">
        <v>7549</v>
      </c>
      <c r="C352" s="113">
        <v>2020</v>
      </c>
      <c r="D352" s="112">
        <v>15410</v>
      </c>
      <c r="E352" s="112">
        <v>16471.01802</v>
      </c>
      <c r="F352" s="112">
        <v>7107.9515469999997</v>
      </c>
      <c r="G352" s="112">
        <v>9392.452045</v>
      </c>
      <c r="H352" s="112">
        <v>4087.9572589999998</v>
      </c>
      <c r="I352" s="112">
        <v>271.60725000000002</v>
      </c>
      <c r="J352" s="112">
        <v>380.730974</v>
      </c>
      <c r="K352" s="112">
        <v>109.123723</v>
      </c>
      <c r="L352" s="112">
        <v>1745.034881</v>
      </c>
      <c r="M352" s="112">
        <v>1767.5397390000001</v>
      </c>
      <c r="N352" s="143">
        <v>-22.504859</v>
      </c>
    </row>
    <row r="353" spans="1:14" ht="34">
      <c r="A353" s="109" t="s">
        <v>7550</v>
      </c>
      <c r="B353" s="109" t="s">
        <v>7551</v>
      </c>
      <c r="C353" s="98">
        <v>2008</v>
      </c>
      <c r="D353" s="99">
        <v>4053</v>
      </c>
      <c r="E353" s="99">
        <v>11754</v>
      </c>
      <c r="F353" s="99">
        <v>4706</v>
      </c>
      <c r="G353" s="99">
        <v>7108</v>
      </c>
      <c r="H353" s="99">
        <v>2890</v>
      </c>
      <c r="I353" s="99">
        <v>438</v>
      </c>
      <c r="J353" s="99">
        <v>502</v>
      </c>
      <c r="K353" s="99">
        <v>64</v>
      </c>
      <c r="L353" s="99">
        <v>1577</v>
      </c>
      <c r="M353" s="99">
        <v>1510</v>
      </c>
      <c r="N353" s="142">
        <v>68</v>
      </c>
    </row>
    <row r="354" spans="1:14" ht="34">
      <c r="A354" s="109" t="s">
        <v>7550</v>
      </c>
      <c r="B354" s="109" t="s">
        <v>7551</v>
      </c>
      <c r="C354" s="98">
        <v>2009</v>
      </c>
      <c r="D354" s="99">
        <v>4510</v>
      </c>
      <c r="E354" s="99">
        <v>9069</v>
      </c>
      <c r="F354" s="99">
        <v>3995</v>
      </c>
      <c r="G354" s="99">
        <v>5071</v>
      </c>
      <c r="H354" s="99">
        <v>2454</v>
      </c>
      <c r="I354" s="99">
        <v>168</v>
      </c>
      <c r="J354" s="99">
        <v>220</v>
      </c>
      <c r="K354" s="99">
        <v>52</v>
      </c>
      <c r="L354" s="99">
        <v>1119</v>
      </c>
      <c r="M354" s="99">
        <v>1127</v>
      </c>
      <c r="N354" s="142">
        <v>-8</v>
      </c>
    </row>
    <row r="355" spans="1:14" ht="34">
      <c r="A355" s="109" t="s">
        <v>7550</v>
      </c>
      <c r="B355" s="109" t="s">
        <v>7551</v>
      </c>
      <c r="C355" s="98">
        <v>2010</v>
      </c>
      <c r="D355" s="99">
        <v>5320</v>
      </c>
      <c r="E355" s="99">
        <v>8488</v>
      </c>
      <c r="F355" s="99">
        <v>3879</v>
      </c>
      <c r="G355" s="99">
        <v>4729</v>
      </c>
      <c r="H355" s="99">
        <v>2080</v>
      </c>
      <c r="I355" s="99">
        <v>60</v>
      </c>
      <c r="J355" s="99">
        <v>175</v>
      </c>
      <c r="K355" s="99">
        <v>115</v>
      </c>
      <c r="L355" s="99">
        <v>994</v>
      </c>
      <c r="M355" s="99">
        <v>876</v>
      </c>
      <c r="N355" s="142">
        <v>118</v>
      </c>
    </row>
    <row r="356" spans="1:14" ht="34">
      <c r="A356" s="109" t="s">
        <v>7550</v>
      </c>
      <c r="B356" s="109" t="s">
        <v>7551</v>
      </c>
      <c r="C356" s="98">
        <v>2011</v>
      </c>
      <c r="D356" s="99">
        <v>6607</v>
      </c>
      <c r="E356" s="99">
        <v>9502</v>
      </c>
      <c r="F356" s="99">
        <v>4258</v>
      </c>
      <c r="G356" s="99">
        <v>5197</v>
      </c>
      <c r="H356" s="99">
        <v>2295</v>
      </c>
      <c r="I356" s="99">
        <v>184</v>
      </c>
      <c r="J356" s="99">
        <v>230</v>
      </c>
      <c r="K356" s="99">
        <v>46</v>
      </c>
      <c r="L356" s="99">
        <v>961</v>
      </c>
      <c r="M356" s="99">
        <v>1006</v>
      </c>
      <c r="N356" s="142">
        <v>-45</v>
      </c>
    </row>
    <row r="357" spans="1:14" ht="34">
      <c r="A357" s="109" t="s">
        <v>7550</v>
      </c>
      <c r="B357" s="109" t="s">
        <v>7551</v>
      </c>
      <c r="C357" s="111">
        <v>2012</v>
      </c>
      <c r="D357" s="112">
        <v>10555</v>
      </c>
      <c r="E357" s="112">
        <v>11016</v>
      </c>
      <c r="F357" s="112">
        <v>5238</v>
      </c>
      <c r="G357" s="112">
        <v>5923</v>
      </c>
      <c r="H357" s="112">
        <v>2674</v>
      </c>
      <c r="I357" s="112">
        <v>180</v>
      </c>
      <c r="J357" s="112">
        <v>222</v>
      </c>
      <c r="K357" s="112">
        <v>42</v>
      </c>
      <c r="L357" s="112">
        <v>1292</v>
      </c>
      <c r="M357" s="112">
        <v>1145</v>
      </c>
      <c r="N357" s="143">
        <v>147</v>
      </c>
    </row>
    <row r="358" spans="1:14" ht="34">
      <c r="A358" s="109" t="s">
        <v>7550</v>
      </c>
      <c r="B358" s="109" t="s">
        <v>7551</v>
      </c>
      <c r="C358" s="113">
        <v>2013</v>
      </c>
      <c r="D358" s="112">
        <v>12770</v>
      </c>
      <c r="E358" s="112">
        <v>12446</v>
      </c>
      <c r="F358" s="112">
        <v>6351</v>
      </c>
      <c r="G358" s="112">
        <v>6233</v>
      </c>
      <c r="H358" s="112">
        <v>2965</v>
      </c>
      <c r="I358" s="112">
        <v>215</v>
      </c>
      <c r="J358" s="112">
        <v>263</v>
      </c>
      <c r="K358" s="112">
        <v>48</v>
      </c>
      <c r="L358" s="112">
        <v>1358</v>
      </c>
      <c r="M358" s="112">
        <v>1231</v>
      </c>
      <c r="N358" s="143">
        <v>127</v>
      </c>
    </row>
    <row r="359" spans="1:14" ht="34">
      <c r="A359" s="109" t="s">
        <v>7550</v>
      </c>
      <c r="B359" s="109" t="s">
        <v>7551</v>
      </c>
      <c r="C359" s="113">
        <v>2014</v>
      </c>
      <c r="D359" s="99">
        <v>9843</v>
      </c>
      <c r="E359" s="99">
        <v>13231</v>
      </c>
      <c r="F359" s="99">
        <v>5947</v>
      </c>
      <c r="G359" s="99">
        <v>7468</v>
      </c>
      <c r="H359" s="99">
        <v>2906</v>
      </c>
      <c r="I359" s="99">
        <v>326</v>
      </c>
      <c r="J359" s="99">
        <v>418</v>
      </c>
      <c r="K359" s="99">
        <v>92</v>
      </c>
      <c r="L359" s="99">
        <v>1499</v>
      </c>
      <c r="M359" s="99">
        <v>1330</v>
      </c>
      <c r="N359" s="142">
        <v>169</v>
      </c>
    </row>
    <row r="360" spans="1:14" ht="34">
      <c r="A360" s="109" t="s">
        <v>7550</v>
      </c>
      <c r="B360" s="109" t="s">
        <v>7551</v>
      </c>
      <c r="C360" s="113">
        <v>2015</v>
      </c>
      <c r="D360" s="112">
        <v>10765</v>
      </c>
      <c r="E360" s="112">
        <v>13796</v>
      </c>
      <c r="F360" s="112">
        <v>5490</v>
      </c>
      <c r="G360" s="112">
        <v>8264</v>
      </c>
      <c r="H360" s="112">
        <v>2893</v>
      </c>
      <c r="I360" s="112">
        <v>347</v>
      </c>
      <c r="J360" s="112">
        <v>369</v>
      </c>
      <c r="K360" s="112">
        <v>22</v>
      </c>
      <c r="L360" s="112">
        <v>1321</v>
      </c>
      <c r="M360" s="112">
        <v>1372</v>
      </c>
      <c r="N360" s="143">
        <v>-52</v>
      </c>
    </row>
    <row r="361" spans="1:14" ht="34">
      <c r="A361" s="109" t="s">
        <v>7550</v>
      </c>
      <c r="B361" s="109" t="s">
        <v>7551</v>
      </c>
      <c r="C361" s="113">
        <v>2016</v>
      </c>
      <c r="D361" s="112">
        <v>11861</v>
      </c>
      <c r="E361" s="112">
        <v>13522</v>
      </c>
      <c r="F361" s="112">
        <v>5242</v>
      </c>
      <c r="G361" s="112">
        <v>8553</v>
      </c>
      <c r="H361" s="112">
        <v>2925</v>
      </c>
      <c r="I361" s="112">
        <v>280</v>
      </c>
      <c r="J361" s="112">
        <v>323</v>
      </c>
      <c r="K361" s="112">
        <v>43</v>
      </c>
      <c r="L361" s="112">
        <v>1597</v>
      </c>
      <c r="M361" s="112">
        <v>1332</v>
      </c>
      <c r="N361" s="143">
        <v>265</v>
      </c>
    </row>
    <row r="362" spans="1:14" ht="34">
      <c r="A362" s="109" t="s">
        <v>7550</v>
      </c>
      <c r="B362" s="109" t="s">
        <v>7551</v>
      </c>
      <c r="C362" s="113">
        <v>2017</v>
      </c>
      <c r="D362" s="112">
        <v>11583</v>
      </c>
      <c r="E362" s="112">
        <v>15631</v>
      </c>
      <c r="F362" s="112">
        <v>5712</v>
      </c>
      <c r="G362" s="112">
        <v>9989</v>
      </c>
      <c r="H362" s="112">
        <v>3293</v>
      </c>
      <c r="I362" s="112">
        <v>313</v>
      </c>
      <c r="J362" s="112">
        <v>356</v>
      </c>
      <c r="K362" s="112">
        <v>43</v>
      </c>
      <c r="L362" s="112">
        <v>1788</v>
      </c>
      <c r="M362" s="112">
        <v>1729</v>
      </c>
      <c r="N362" s="143">
        <v>59</v>
      </c>
    </row>
    <row r="363" spans="1:14" ht="34">
      <c r="A363" s="109" t="s">
        <v>7550</v>
      </c>
      <c r="B363" s="109" t="s">
        <v>7551</v>
      </c>
      <c r="C363" s="113">
        <v>2018</v>
      </c>
      <c r="D363" s="112">
        <v>12006</v>
      </c>
      <c r="E363" s="112">
        <v>14207</v>
      </c>
      <c r="F363" s="112">
        <v>5662</v>
      </c>
      <c r="G363" s="112">
        <v>8724</v>
      </c>
      <c r="H363" s="112">
        <v>3131</v>
      </c>
      <c r="I363" s="112">
        <v>303</v>
      </c>
      <c r="J363" s="112">
        <v>337</v>
      </c>
      <c r="K363" s="112">
        <v>34</v>
      </c>
      <c r="L363" s="112">
        <v>1639</v>
      </c>
      <c r="M363" s="112">
        <v>1487</v>
      </c>
      <c r="N363" s="143">
        <v>152</v>
      </c>
    </row>
    <row r="364" spans="1:14" ht="34">
      <c r="A364" s="109" t="s">
        <v>7550</v>
      </c>
      <c r="B364" s="109" t="s">
        <v>7551</v>
      </c>
      <c r="C364" s="113">
        <v>2019</v>
      </c>
      <c r="D364" s="112">
        <v>12948</v>
      </c>
      <c r="E364" s="112">
        <v>13938.331203</v>
      </c>
      <c r="F364" s="112">
        <v>5981.2817990000003</v>
      </c>
      <c r="G364" s="112">
        <v>8085.1395169999996</v>
      </c>
      <c r="H364" s="112">
        <v>3183.0742449999998</v>
      </c>
      <c r="I364" s="112">
        <v>368.13067699999999</v>
      </c>
      <c r="J364" s="112">
        <v>420.78090300000002</v>
      </c>
      <c r="K364" s="112">
        <v>52.650226000000004</v>
      </c>
      <c r="L364" s="112">
        <v>1424.6883640000001</v>
      </c>
      <c r="M364" s="112">
        <v>1341.7367019999999</v>
      </c>
      <c r="N364" s="143">
        <v>82.951661999999999</v>
      </c>
    </row>
    <row r="365" spans="1:14" ht="34">
      <c r="A365" s="114" t="s">
        <v>7550</v>
      </c>
      <c r="B365" s="114" t="s">
        <v>7551</v>
      </c>
      <c r="C365" s="113">
        <v>2020</v>
      </c>
      <c r="D365" s="112">
        <v>13174</v>
      </c>
      <c r="E365" s="112">
        <v>12672.502904000001</v>
      </c>
      <c r="F365" s="112">
        <v>5659.2214219999996</v>
      </c>
      <c r="G365" s="112">
        <v>6994.8524589999997</v>
      </c>
      <c r="H365" s="112">
        <v>3181.706275</v>
      </c>
      <c r="I365" s="112">
        <v>237.25980999999999</v>
      </c>
      <c r="J365" s="112">
        <v>325.75522699999999</v>
      </c>
      <c r="K365" s="112">
        <v>88.495417000000003</v>
      </c>
      <c r="L365" s="112">
        <v>1373.460413</v>
      </c>
      <c r="M365" s="112">
        <v>1440.2658220000001</v>
      </c>
      <c r="N365" s="143">
        <v>-66.805408999999997</v>
      </c>
    </row>
    <row r="366" spans="1:14" ht="17">
      <c r="A366" s="109" t="s">
        <v>7552</v>
      </c>
      <c r="B366" s="109" t="s">
        <v>7553</v>
      </c>
      <c r="C366" s="98">
        <v>2008</v>
      </c>
      <c r="D366" s="99">
        <v>366</v>
      </c>
      <c r="E366" s="99">
        <v>1163</v>
      </c>
      <c r="F366" s="99">
        <v>552</v>
      </c>
      <c r="G366" s="99">
        <v>610</v>
      </c>
      <c r="H366" s="99">
        <v>416</v>
      </c>
      <c r="I366" s="99">
        <v>16</v>
      </c>
      <c r="J366" s="99">
        <v>20</v>
      </c>
      <c r="K366" s="99">
        <v>4</v>
      </c>
      <c r="L366" s="99">
        <v>82</v>
      </c>
      <c r="M366" s="99">
        <v>84</v>
      </c>
      <c r="N366" s="142">
        <v>-2</v>
      </c>
    </row>
    <row r="367" spans="1:14" ht="17">
      <c r="A367" s="109" t="s">
        <v>7552</v>
      </c>
      <c r="B367" s="109" t="s">
        <v>7553</v>
      </c>
      <c r="C367" s="98">
        <v>2009</v>
      </c>
      <c r="D367" s="99">
        <v>315</v>
      </c>
      <c r="E367" s="99">
        <v>1110</v>
      </c>
      <c r="F367" s="99">
        <v>582</v>
      </c>
      <c r="G367" s="99">
        <v>532</v>
      </c>
      <c r="H367" s="99">
        <v>429</v>
      </c>
      <c r="I367" s="99">
        <v>13</v>
      </c>
      <c r="J367" s="99">
        <v>14</v>
      </c>
      <c r="K367" s="99" t="s">
        <v>6952</v>
      </c>
      <c r="L367" s="99">
        <v>47</v>
      </c>
      <c r="M367" s="99">
        <v>43</v>
      </c>
      <c r="N367" s="142">
        <v>4</v>
      </c>
    </row>
    <row r="368" spans="1:14" ht="17">
      <c r="A368" s="109" t="s">
        <v>7552</v>
      </c>
      <c r="B368" s="109" t="s">
        <v>7553</v>
      </c>
      <c r="C368" s="98">
        <v>2010</v>
      </c>
      <c r="D368" s="99">
        <v>427</v>
      </c>
      <c r="E368" s="99">
        <v>787</v>
      </c>
      <c r="F368" s="99">
        <v>403</v>
      </c>
      <c r="G368" s="99">
        <v>394</v>
      </c>
      <c r="H368" s="99">
        <v>305</v>
      </c>
      <c r="I368" s="99">
        <v>11</v>
      </c>
      <c r="J368" s="99">
        <v>14</v>
      </c>
      <c r="K368" s="99">
        <v>3</v>
      </c>
      <c r="L368" s="99">
        <v>29</v>
      </c>
      <c r="M368" s="99">
        <v>19</v>
      </c>
      <c r="N368" s="142">
        <v>10</v>
      </c>
    </row>
    <row r="369" spans="1:14" ht="17">
      <c r="A369" s="109" t="s">
        <v>7552</v>
      </c>
      <c r="B369" s="109" t="s">
        <v>7553</v>
      </c>
      <c r="C369" s="98">
        <v>2011</v>
      </c>
      <c r="D369" s="99">
        <v>536</v>
      </c>
      <c r="E369" s="99">
        <v>691</v>
      </c>
      <c r="F369" s="99">
        <v>367</v>
      </c>
      <c r="G369" s="99">
        <v>320</v>
      </c>
      <c r="H369" s="99">
        <v>260</v>
      </c>
      <c r="I369" s="99">
        <v>11</v>
      </c>
      <c r="J369" s="99">
        <v>13</v>
      </c>
      <c r="K369" s="99">
        <v>2</v>
      </c>
      <c r="L369" s="99">
        <v>10</v>
      </c>
      <c r="M369" s="99">
        <v>15</v>
      </c>
      <c r="N369" s="142">
        <v>-5</v>
      </c>
    </row>
    <row r="370" spans="1:14" ht="17">
      <c r="A370" s="109" t="s">
        <v>7552</v>
      </c>
      <c r="B370" s="109" t="s">
        <v>7553</v>
      </c>
      <c r="C370" s="111">
        <v>2012</v>
      </c>
      <c r="D370" s="112">
        <v>655</v>
      </c>
      <c r="E370" s="112">
        <v>863</v>
      </c>
      <c r="F370" s="112">
        <v>421</v>
      </c>
      <c r="G370" s="112">
        <v>437</v>
      </c>
      <c r="H370" s="112">
        <v>228</v>
      </c>
      <c r="I370" s="112">
        <v>18</v>
      </c>
      <c r="J370" s="112">
        <v>19</v>
      </c>
      <c r="K370" s="112">
        <v>2</v>
      </c>
      <c r="L370" s="112">
        <v>44</v>
      </c>
      <c r="M370" s="112">
        <v>50</v>
      </c>
      <c r="N370" s="143">
        <v>-5</v>
      </c>
    </row>
    <row r="371" spans="1:14" ht="17">
      <c r="A371" s="109" t="s">
        <v>7552</v>
      </c>
      <c r="B371" s="109" t="s">
        <v>7553</v>
      </c>
      <c r="C371" s="113">
        <v>2013</v>
      </c>
      <c r="D371" s="112">
        <v>751</v>
      </c>
      <c r="E371" s="112">
        <v>844</v>
      </c>
      <c r="F371" s="112">
        <v>486</v>
      </c>
      <c r="G371" s="112">
        <v>358</v>
      </c>
      <c r="H371" s="112">
        <v>349</v>
      </c>
      <c r="I371" s="112">
        <v>16</v>
      </c>
      <c r="J371" s="112">
        <v>24</v>
      </c>
      <c r="K371" s="112">
        <v>8</v>
      </c>
      <c r="L371" s="112">
        <v>50</v>
      </c>
      <c r="M371" s="112">
        <v>57</v>
      </c>
      <c r="N371" s="143">
        <v>-7</v>
      </c>
    </row>
    <row r="372" spans="1:14" ht="17">
      <c r="A372" s="109" t="s">
        <v>7552</v>
      </c>
      <c r="B372" s="109" t="s">
        <v>7553</v>
      </c>
      <c r="C372" s="113">
        <v>2014</v>
      </c>
      <c r="D372" s="99">
        <v>845</v>
      </c>
      <c r="E372" s="99">
        <v>946</v>
      </c>
      <c r="F372" s="99">
        <v>557</v>
      </c>
      <c r="G372" s="99">
        <v>405</v>
      </c>
      <c r="H372" s="99">
        <v>305</v>
      </c>
      <c r="I372" s="99">
        <v>17</v>
      </c>
      <c r="J372" s="99">
        <v>18</v>
      </c>
      <c r="K372" s="99">
        <v>1</v>
      </c>
      <c r="L372" s="99">
        <v>51</v>
      </c>
      <c r="M372" s="99">
        <v>38</v>
      </c>
      <c r="N372" s="142">
        <v>13</v>
      </c>
    </row>
    <row r="373" spans="1:14" ht="17">
      <c r="A373" s="109" t="s">
        <v>7552</v>
      </c>
      <c r="B373" s="109" t="s">
        <v>7553</v>
      </c>
      <c r="C373" s="113">
        <v>2015</v>
      </c>
      <c r="D373" s="112">
        <v>941</v>
      </c>
      <c r="E373" s="112">
        <v>716</v>
      </c>
      <c r="F373" s="112">
        <v>440</v>
      </c>
      <c r="G373" s="112">
        <v>270</v>
      </c>
      <c r="H373" s="112">
        <v>281</v>
      </c>
      <c r="I373" s="112">
        <v>18</v>
      </c>
      <c r="J373" s="112">
        <v>19</v>
      </c>
      <c r="K373" s="112">
        <v>1</v>
      </c>
      <c r="L373" s="112">
        <v>13</v>
      </c>
      <c r="M373" s="112">
        <v>19</v>
      </c>
      <c r="N373" s="143">
        <v>-6</v>
      </c>
    </row>
    <row r="374" spans="1:14" ht="17">
      <c r="A374" s="109" t="s">
        <v>7552</v>
      </c>
      <c r="B374" s="109" t="s">
        <v>7553</v>
      </c>
      <c r="C374" s="113">
        <v>2016</v>
      </c>
      <c r="D374" s="112">
        <v>1013</v>
      </c>
      <c r="E374" s="112">
        <v>794</v>
      </c>
      <c r="F374" s="112">
        <v>407</v>
      </c>
      <c r="G374" s="112">
        <v>390</v>
      </c>
      <c r="H374" s="112">
        <v>292</v>
      </c>
      <c r="I374" s="112">
        <v>37</v>
      </c>
      <c r="J374" s="112">
        <v>40</v>
      </c>
      <c r="K374" s="112">
        <v>4</v>
      </c>
      <c r="L374" s="112">
        <v>13</v>
      </c>
      <c r="M374" s="112">
        <v>11</v>
      </c>
      <c r="N374" s="143">
        <v>2</v>
      </c>
    </row>
    <row r="375" spans="1:14" ht="17">
      <c r="A375" s="109" t="s">
        <v>7552</v>
      </c>
      <c r="B375" s="109" t="s">
        <v>7553</v>
      </c>
      <c r="C375" s="113">
        <v>2017</v>
      </c>
      <c r="D375" s="112">
        <v>987</v>
      </c>
      <c r="E375" s="112">
        <v>721</v>
      </c>
      <c r="F375" s="112">
        <v>384</v>
      </c>
      <c r="G375" s="112">
        <v>337</v>
      </c>
      <c r="H375" s="112">
        <v>250</v>
      </c>
      <c r="I375" s="112">
        <v>12</v>
      </c>
      <c r="J375" s="112">
        <v>14</v>
      </c>
      <c r="K375" s="112">
        <v>2</v>
      </c>
      <c r="L375" s="112">
        <v>16</v>
      </c>
      <c r="M375" s="112">
        <v>15</v>
      </c>
      <c r="N375" s="143">
        <v>1</v>
      </c>
    </row>
    <row r="376" spans="1:14" ht="17">
      <c r="A376" s="109" t="s">
        <v>7552</v>
      </c>
      <c r="B376" s="109" t="s">
        <v>7553</v>
      </c>
      <c r="C376" s="113">
        <v>2018</v>
      </c>
      <c r="D376" s="112">
        <v>1030</v>
      </c>
      <c r="E376" s="112">
        <v>682</v>
      </c>
      <c r="F376" s="112">
        <v>376</v>
      </c>
      <c r="G376" s="112">
        <v>308</v>
      </c>
      <c r="H376" s="112">
        <v>244</v>
      </c>
      <c r="I376" s="112">
        <v>13</v>
      </c>
      <c r="J376" s="112">
        <v>14</v>
      </c>
      <c r="K376" s="112">
        <v>1</v>
      </c>
      <c r="L376" s="112">
        <v>11</v>
      </c>
      <c r="M376" s="112">
        <v>10</v>
      </c>
      <c r="N376" s="143">
        <v>1</v>
      </c>
    </row>
    <row r="377" spans="1:14" ht="17">
      <c r="A377" s="109" t="s">
        <v>7552</v>
      </c>
      <c r="B377" s="109" t="s">
        <v>7553</v>
      </c>
      <c r="C377" s="113">
        <v>2019</v>
      </c>
      <c r="D377" s="112">
        <v>1099</v>
      </c>
      <c r="E377" s="112">
        <v>767.09345299999995</v>
      </c>
      <c r="F377" s="112">
        <v>491.16657600000002</v>
      </c>
      <c r="G377" s="112">
        <v>283.51419399999997</v>
      </c>
      <c r="H377" s="112">
        <v>181.77645999999999</v>
      </c>
      <c r="I377" s="112">
        <v>19.948848999999999</v>
      </c>
      <c r="J377" s="112">
        <v>20.762639</v>
      </c>
      <c r="K377" s="112">
        <v>0.81379000000000001</v>
      </c>
      <c r="L377" s="112">
        <v>21.596509999999999</v>
      </c>
      <c r="M377" s="112">
        <v>14.953339</v>
      </c>
      <c r="N377" s="143">
        <v>6.6431709999999997</v>
      </c>
    </row>
    <row r="378" spans="1:14" ht="17">
      <c r="A378" s="114" t="s">
        <v>7552</v>
      </c>
      <c r="B378" s="114" t="s">
        <v>7553</v>
      </c>
      <c r="C378" s="113">
        <v>2020</v>
      </c>
      <c r="D378" s="112">
        <v>1157</v>
      </c>
      <c r="E378" s="112">
        <v>670.70153000000005</v>
      </c>
      <c r="F378" s="112">
        <v>387.953937</v>
      </c>
      <c r="G378" s="112">
        <v>278.76075700000001</v>
      </c>
      <c r="H378" s="112">
        <v>173.44521</v>
      </c>
      <c r="I378" s="112">
        <v>7.3312520000000001</v>
      </c>
      <c r="J378" s="112">
        <v>10.940594000000001</v>
      </c>
      <c r="K378" s="112">
        <v>3.609343</v>
      </c>
      <c r="L378" s="112">
        <v>12.091626</v>
      </c>
      <c r="M378" s="112">
        <v>14.224192</v>
      </c>
      <c r="N378" s="143">
        <v>-2.1325660000000002</v>
      </c>
    </row>
    <row r="379" spans="1:14" ht="17">
      <c r="A379" s="109" t="s">
        <v>7554</v>
      </c>
      <c r="B379" s="109" t="s">
        <v>7555</v>
      </c>
      <c r="C379" s="98">
        <v>2008</v>
      </c>
      <c r="D379" s="99">
        <v>1869</v>
      </c>
      <c r="E379" s="99">
        <v>3429</v>
      </c>
      <c r="F379" s="99">
        <v>1618</v>
      </c>
      <c r="G379" s="99">
        <v>1835</v>
      </c>
      <c r="H379" s="99">
        <v>960</v>
      </c>
      <c r="I379" s="99">
        <v>68</v>
      </c>
      <c r="J379" s="99">
        <v>88</v>
      </c>
      <c r="K379" s="99">
        <v>20</v>
      </c>
      <c r="L379" s="99">
        <v>574</v>
      </c>
      <c r="M379" s="99">
        <v>548</v>
      </c>
      <c r="N379" s="142">
        <v>27</v>
      </c>
    </row>
    <row r="380" spans="1:14" ht="17">
      <c r="A380" s="109" t="s">
        <v>7554</v>
      </c>
      <c r="B380" s="109" t="s">
        <v>7555</v>
      </c>
      <c r="C380" s="98">
        <v>2009</v>
      </c>
      <c r="D380" s="99">
        <v>1969</v>
      </c>
      <c r="E380" s="99">
        <v>2757</v>
      </c>
      <c r="F380" s="99">
        <v>1236</v>
      </c>
      <c r="G380" s="99">
        <v>1496</v>
      </c>
      <c r="H380" s="99">
        <v>934</v>
      </c>
      <c r="I380" s="99">
        <v>30</v>
      </c>
      <c r="J380" s="99">
        <v>69</v>
      </c>
      <c r="K380" s="99">
        <v>40</v>
      </c>
      <c r="L380" s="99">
        <v>354</v>
      </c>
      <c r="M380" s="99">
        <v>379</v>
      </c>
      <c r="N380" s="142">
        <v>-25</v>
      </c>
    </row>
    <row r="381" spans="1:14" ht="17">
      <c r="A381" s="109" t="s">
        <v>7554</v>
      </c>
      <c r="B381" s="109" t="s">
        <v>7555</v>
      </c>
      <c r="C381" s="98">
        <v>2010</v>
      </c>
      <c r="D381" s="99">
        <v>2046</v>
      </c>
      <c r="E381" s="99">
        <v>2792</v>
      </c>
      <c r="F381" s="99">
        <v>1252</v>
      </c>
      <c r="G381" s="99">
        <v>1581</v>
      </c>
      <c r="H381" s="99">
        <v>818</v>
      </c>
      <c r="I381" s="99">
        <v>54</v>
      </c>
      <c r="J381" s="99">
        <v>78</v>
      </c>
      <c r="K381" s="99">
        <v>24</v>
      </c>
      <c r="L381" s="99">
        <v>365</v>
      </c>
      <c r="M381" s="99">
        <v>323</v>
      </c>
      <c r="N381" s="142">
        <v>42</v>
      </c>
    </row>
    <row r="382" spans="1:14" ht="17">
      <c r="A382" s="109" t="s">
        <v>7554</v>
      </c>
      <c r="B382" s="109" t="s">
        <v>7555</v>
      </c>
      <c r="C382" s="98">
        <v>2011</v>
      </c>
      <c r="D382" s="99">
        <v>2413</v>
      </c>
      <c r="E382" s="99">
        <v>3246</v>
      </c>
      <c r="F382" s="99">
        <v>1481</v>
      </c>
      <c r="G382" s="99">
        <v>1725</v>
      </c>
      <c r="H382" s="99">
        <v>907</v>
      </c>
      <c r="I382" s="99">
        <v>63</v>
      </c>
      <c r="J382" s="99">
        <v>98</v>
      </c>
      <c r="K382" s="99">
        <v>35</v>
      </c>
      <c r="L382" s="99">
        <v>378</v>
      </c>
      <c r="M382" s="99">
        <v>417</v>
      </c>
      <c r="N382" s="142">
        <v>-39</v>
      </c>
    </row>
    <row r="383" spans="1:14" ht="17">
      <c r="A383" s="109" t="s">
        <v>7554</v>
      </c>
      <c r="B383" s="109" t="s">
        <v>7555</v>
      </c>
      <c r="C383" s="111">
        <v>2012</v>
      </c>
      <c r="D383" s="112">
        <v>2704</v>
      </c>
      <c r="E383" s="112">
        <v>3525</v>
      </c>
      <c r="F383" s="112">
        <v>1623</v>
      </c>
      <c r="G383" s="112">
        <v>1955</v>
      </c>
      <c r="H383" s="112">
        <v>1002</v>
      </c>
      <c r="I383" s="112">
        <v>65</v>
      </c>
      <c r="J383" s="112">
        <v>86</v>
      </c>
      <c r="K383" s="112">
        <v>21</v>
      </c>
      <c r="L383" s="112">
        <v>372</v>
      </c>
      <c r="M383" s="112">
        <v>315</v>
      </c>
      <c r="N383" s="143">
        <v>57</v>
      </c>
    </row>
    <row r="384" spans="1:14" ht="17">
      <c r="A384" s="109" t="s">
        <v>7554</v>
      </c>
      <c r="B384" s="109" t="s">
        <v>7555</v>
      </c>
      <c r="C384" s="113">
        <v>2013</v>
      </c>
      <c r="D384" s="112">
        <v>3125</v>
      </c>
      <c r="E384" s="112">
        <v>3806</v>
      </c>
      <c r="F384" s="112">
        <v>1847</v>
      </c>
      <c r="G384" s="112">
        <v>2045</v>
      </c>
      <c r="H384" s="112">
        <v>994</v>
      </c>
      <c r="I384" s="112">
        <v>77</v>
      </c>
      <c r="J384" s="112">
        <v>101</v>
      </c>
      <c r="K384" s="112">
        <v>25</v>
      </c>
      <c r="L384" s="112">
        <v>436</v>
      </c>
      <c r="M384" s="112">
        <v>352</v>
      </c>
      <c r="N384" s="143">
        <v>84</v>
      </c>
    </row>
    <row r="385" spans="1:14" ht="17">
      <c r="A385" s="109" t="s">
        <v>7554</v>
      </c>
      <c r="B385" s="109" t="s">
        <v>7555</v>
      </c>
      <c r="C385" s="113">
        <v>2014</v>
      </c>
      <c r="D385" s="99">
        <v>3560</v>
      </c>
      <c r="E385" s="99">
        <v>4489</v>
      </c>
      <c r="F385" s="99">
        <v>2020</v>
      </c>
      <c r="G385" s="99">
        <v>2577</v>
      </c>
      <c r="H385" s="99">
        <v>1130</v>
      </c>
      <c r="I385" s="99">
        <v>112</v>
      </c>
      <c r="J385" s="99">
        <v>162</v>
      </c>
      <c r="K385" s="99">
        <v>50</v>
      </c>
      <c r="L385" s="99">
        <v>558</v>
      </c>
      <c r="M385" s="99">
        <v>451</v>
      </c>
      <c r="N385" s="142">
        <v>107</v>
      </c>
    </row>
    <row r="386" spans="1:14" ht="17">
      <c r="A386" s="109" t="s">
        <v>7554</v>
      </c>
      <c r="B386" s="109" t="s">
        <v>7555</v>
      </c>
      <c r="C386" s="113">
        <v>2015</v>
      </c>
      <c r="D386" s="112">
        <v>4005</v>
      </c>
      <c r="E386" s="112">
        <v>4749</v>
      </c>
      <c r="F386" s="112">
        <v>2238</v>
      </c>
      <c r="G386" s="112">
        <v>2430</v>
      </c>
      <c r="H386" s="112">
        <v>1100</v>
      </c>
      <c r="I386" s="112">
        <v>110</v>
      </c>
      <c r="J386" s="112">
        <v>115</v>
      </c>
      <c r="K386" s="112">
        <v>5</v>
      </c>
      <c r="L386" s="112">
        <v>354</v>
      </c>
      <c r="M386" s="112">
        <v>435</v>
      </c>
      <c r="N386" s="143">
        <v>-81</v>
      </c>
    </row>
    <row r="387" spans="1:14" ht="17">
      <c r="A387" s="109" t="s">
        <v>7554</v>
      </c>
      <c r="B387" s="109" t="s">
        <v>7555</v>
      </c>
      <c r="C387" s="113">
        <v>2016</v>
      </c>
      <c r="D387" s="112">
        <v>4389</v>
      </c>
      <c r="E387" s="112">
        <v>4651</v>
      </c>
      <c r="F387" s="112">
        <v>2036</v>
      </c>
      <c r="G387" s="112">
        <v>2620</v>
      </c>
      <c r="H387" s="112">
        <v>1186</v>
      </c>
      <c r="I387" s="112">
        <v>141</v>
      </c>
      <c r="J387" s="112">
        <v>166</v>
      </c>
      <c r="K387" s="112">
        <v>25</v>
      </c>
      <c r="L387" s="112">
        <v>526</v>
      </c>
      <c r="M387" s="112">
        <v>522</v>
      </c>
      <c r="N387" s="143">
        <v>4</v>
      </c>
    </row>
    <row r="388" spans="1:14" ht="17">
      <c r="A388" s="109" t="s">
        <v>7554</v>
      </c>
      <c r="B388" s="109" t="s">
        <v>7555</v>
      </c>
      <c r="C388" s="113">
        <v>2017</v>
      </c>
      <c r="D388" s="112">
        <v>4452</v>
      </c>
      <c r="E388" s="112">
        <v>5634</v>
      </c>
      <c r="F388" s="112">
        <v>2300</v>
      </c>
      <c r="G388" s="112">
        <v>3315</v>
      </c>
      <c r="H388" s="112">
        <v>1332</v>
      </c>
      <c r="I388" s="112">
        <v>91</v>
      </c>
      <c r="J388" s="112">
        <v>111</v>
      </c>
      <c r="K388" s="112">
        <v>20</v>
      </c>
      <c r="L388" s="112">
        <v>622</v>
      </c>
      <c r="M388" s="112">
        <v>643</v>
      </c>
      <c r="N388" s="143">
        <v>-21</v>
      </c>
    </row>
    <row r="389" spans="1:14" ht="17">
      <c r="A389" s="109" t="s">
        <v>7554</v>
      </c>
      <c r="B389" s="109" t="s">
        <v>7555</v>
      </c>
      <c r="C389" s="113">
        <v>2018</v>
      </c>
      <c r="D389" s="112">
        <v>4627</v>
      </c>
      <c r="E389" s="112">
        <v>4283</v>
      </c>
      <c r="F389" s="112">
        <v>2064</v>
      </c>
      <c r="G389" s="112">
        <v>2230</v>
      </c>
      <c r="H389" s="112">
        <v>1153</v>
      </c>
      <c r="I389" s="112">
        <v>81</v>
      </c>
      <c r="J389" s="112">
        <v>99</v>
      </c>
      <c r="K389" s="112">
        <v>18</v>
      </c>
      <c r="L389" s="112">
        <v>327</v>
      </c>
      <c r="M389" s="112">
        <v>318</v>
      </c>
      <c r="N389" s="143">
        <v>9</v>
      </c>
    </row>
    <row r="390" spans="1:14" ht="17">
      <c r="A390" s="109" t="s">
        <v>7554</v>
      </c>
      <c r="B390" s="109" t="s">
        <v>7555</v>
      </c>
      <c r="C390" s="113">
        <v>2019</v>
      </c>
      <c r="D390" s="112">
        <v>4728</v>
      </c>
      <c r="E390" s="112">
        <v>4138.0911120000001</v>
      </c>
      <c r="F390" s="112">
        <v>2208.1824510000001</v>
      </c>
      <c r="G390" s="112">
        <v>2010.6437800000001</v>
      </c>
      <c r="H390" s="112">
        <v>1142.5451210000001</v>
      </c>
      <c r="I390" s="112">
        <v>151.73383799999999</v>
      </c>
      <c r="J390" s="112">
        <v>181.80811199999999</v>
      </c>
      <c r="K390" s="112">
        <v>30.074273999999999</v>
      </c>
      <c r="L390" s="112">
        <v>476.24584299999998</v>
      </c>
      <c r="M390" s="112">
        <v>410.24860799999999</v>
      </c>
      <c r="N390" s="143">
        <v>65.997235000000003</v>
      </c>
    </row>
    <row r="391" spans="1:14" ht="17">
      <c r="A391" s="114" t="s">
        <v>7554</v>
      </c>
      <c r="B391" s="114" t="s">
        <v>7555</v>
      </c>
      <c r="C391" s="113">
        <v>2020</v>
      </c>
      <c r="D391" s="112">
        <v>4908</v>
      </c>
      <c r="E391" s="112">
        <v>4106.5590860000002</v>
      </c>
      <c r="F391" s="112">
        <v>2065.9166909999999</v>
      </c>
      <c r="G391" s="112">
        <v>2028.129694</v>
      </c>
      <c r="H391" s="112">
        <v>1142.733921</v>
      </c>
      <c r="I391" s="112">
        <v>101.72853000000001</v>
      </c>
      <c r="J391" s="112">
        <v>111.61689800000001</v>
      </c>
      <c r="K391" s="112">
        <v>9.8883690000000009</v>
      </c>
      <c r="L391" s="112">
        <v>408.72597400000001</v>
      </c>
      <c r="M391" s="112">
        <v>433.39805100000001</v>
      </c>
      <c r="N391" s="143">
        <v>-24.672077000000002</v>
      </c>
    </row>
    <row r="392" spans="1:14" ht="17">
      <c r="A392" s="109" t="s">
        <v>7556</v>
      </c>
      <c r="B392" s="109" t="s">
        <v>7557</v>
      </c>
      <c r="C392" s="98">
        <v>2008</v>
      </c>
      <c r="D392" s="99">
        <v>152</v>
      </c>
      <c r="E392" s="99">
        <v>434</v>
      </c>
      <c r="F392" s="99">
        <v>150</v>
      </c>
      <c r="G392" s="99">
        <v>285</v>
      </c>
      <c r="H392" s="99">
        <v>94</v>
      </c>
      <c r="I392" s="99">
        <v>-1</v>
      </c>
      <c r="J392" s="99">
        <v>3</v>
      </c>
      <c r="K392" s="99">
        <v>4</v>
      </c>
      <c r="L392" s="99">
        <v>102</v>
      </c>
      <c r="M392" s="99">
        <v>103</v>
      </c>
      <c r="N392" s="142">
        <v>-1</v>
      </c>
    </row>
    <row r="393" spans="1:14" ht="17">
      <c r="A393" s="109" t="s">
        <v>7556</v>
      </c>
      <c r="B393" s="109" t="s">
        <v>7557</v>
      </c>
      <c r="C393" s="98">
        <v>2009</v>
      </c>
      <c r="D393" s="99">
        <v>133</v>
      </c>
      <c r="E393" s="99">
        <v>326</v>
      </c>
      <c r="F393" s="99">
        <v>94</v>
      </c>
      <c r="G393" s="99">
        <v>223</v>
      </c>
      <c r="H393" s="99">
        <v>71</v>
      </c>
      <c r="I393" s="99" t="s">
        <v>6953</v>
      </c>
      <c r="J393" s="99">
        <v>2</v>
      </c>
      <c r="K393" s="99" t="s">
        <v>6953</v>
      </c>
      <c r="L393" s="99">
        <v>42</v>
      </c>
      <c r="M393" s="99">
        <v>51</v>
      </c>
      <c r="N393" s="142">
        <v>-10</v>
      </c>
    </row>
    <row r="394" spans="1:14" ht="17">
      <c r="A394" s="109" t="s">
        <v>7556</v>
      </c>
      <c r="B394" s="109" t="s">
        <v>7557</v>
      </c>
      <c r="C394" s="98">
        <v>2010</v>
      </c>
      <c r="D394" s="99">
        <v>163</v>
      </c>
      <c r="E394" s="99">
        <v>213</v>
      </c>
      <c r="F394" s="99">
        <v>100</v>
      </c>
      <c r="G394" s="99">
        <v>114</v>
      </c>
      <c r="H394" s="99">
        <v>58</v>
      </c>
      <c r="I394" s="99">
        <v>1</v>
      </c>
      <c r="J394" s="99">
        <v>4</v>
      </c>
      <c r="K394" s="99">
        <v>3</v>
      </c>
      <c r="L394" s="99">
        <v>18</v>
      </c>
      <c r="M394" s="99">
        <v>18</v>
      </c>
      <c r="N394" s="142">
        <v>1</v>
      </c>
    </row>
    <row r="395" spans="1:14" ht="17">
      <c r="A395" s="109" t="s">
        <v>7556</v>
      </c>
      <c r="B395" s="109" t="s">
        <v>7557</v>
      </c>
      <c r="C395" s="98">
        <v>2011</v>
      </c>
      <c r="D395" s="99">
        <v>189</v>
      </c>
      <c r="E395" s="99">
        <v>510</v>
      </c>
      <c r="F395" s="99">
        <v>189</v>
      </c>
      <c r="G395" s="99">
        <v>319</v>
      </c>
      <c r="H395" s="99">
        <v>106</v>
      </c>
      <c r="I395" s="99">
        <v>8</v>
      </c>
      <c r="J395" s="99">
        <v>9</v>
      </c>
      <c r="K395" s="99">
        <v>1</v>
      </c>
      <c r="L395" s="99">
        <v>42</v>
      </c>
      <c r="M395" s="99">
        <v>43</v>
      </c>
      <c r="N395" s="142">
        <v>-2</v>
      </c>
    </row>
    <row r="396" spans="1:14" ht="17">
      <c r="A396" s="109" t="s">
        <v>7556</v>
      </c>
      <c r="B396" s="109" t="s">
        <v>7557</v>
      </c>
      <c r="C396" s="111">
        <v>2012</v>
      </c>
      <c r="D396" s="112">
        <v>243</v>
      </c>
      <c r="E396" s="112">
        <v>652</v>
      </c>
      <c r="F396" s="112">
        <v>221</v>
      </c>
      <c r="G396" s="112">
        <v>429</v>
      </c>
      <c r="H396" s="112">
        <v>147</v>
      </c>
      <c r="I396" s="112">
        <v>5</v>
      </c>
      <c r="J396" s="112">
        <v>6</v>
      </c>
      <c r="K396" s="112">
        <v>1</v>
      </c>
      <c r="L396" s="112">
        <v>60</v>
      </c>
      <c r="M396" s="112">
        <v>63</v>
      </c>
      <c r="N396" s="143">
        <v>-3</v>
      </c>
    </row>
    <row r="397" spans="1:14" ht="17">
      <c r="A397" s="109" t="s">
        <v>7556</v>
      </c>
      <c r="B397" s="109" t="s">
        <v>7557</v>
      </c>
      <c r="C397" s="113">
        <v>2013</v>
      </c>
      <c r="D397" s="112">
        <v>307</v>
      </c>
      <c r="E397" s="112">
        <v>678</v>
      </c>
      <c r="F397" s="112">
        <v>292</v>
      </c>
      <c r="G397" s="112">
        <v>388</v>
      </c>
      <c r="H397" s="112">
        <v>153</v>
      </c>
      <c r="I397" s="112">
        <v>14</v>
      </c>
      <c r="J397" s="112">
        <v>15</v>
      </c>
      <c r="K397" s="112">
        <v>1</v>
      </c>
      <c r="L397" s="112">
        <v>46</v>
      </c>
      <c r="M397" s="112">
        <v>46</v>
      </c>
      <c r="N397" s="143" t="s">
        <v>6952</v>
      </c>
    </row>
    <row r="398" spans="1:14" ht="17">
      <c r="A398" s="109" t="s">
        <v>7556</v>
      </c>
      <c r="B398" s="109" t="s">
        <v>7557</v>
      </c>
      <c r="C398" s="113">
        <v>2014</v>
      </c>
      <c r="D398" s="99">
        <v>344</v>
      </c>
      <c r="E398" s="99">
        <v>893</v>
      </c>
      <c r="F398" s="99">
        <v>297</v>
      </c>
      <c r="G398" s="99">
        <v>600</v>
      </c>
      <c r="H398" s="99">
        <v>140</v>
      </c>
      <c r="I398" s="99">
        <v>31</v>
      </c>
      <c r="J398" s="99">
        <v>33</v>
      </c>
      <c r="K398" s="99">
        <v>2</v>
      </c>
      <c r="L398" s="99">
        <v>55</v>
      </c>
      <c r="M398" s="99">
        <v>50</v>
      </c>
      <c r="N398" s="142">
        <v>4</v>
      </c>
    </row>
    <row r="399" spans="1:14" ht="17">
      <c r="A399" s="109" t="s">
        <v>7556</v>
      </c>
      <c r="B399" s="109" t="s">
        <v>7557</v>
      </c>
      <c r="C399" s="113">
        <v>2015</v>
      </c>
      <c r="D399" s="112">
        <v>377</v>
      </c>
      <c r="E399" s="112">
        <v>856</v>
      </c>
      <c r="F399" s="112">
        <v>278</v>
      </c>
      <c r="G399" s="112">
        <v>573</v>
      </c>
      <c r="H399" s="112">
        <v>146</v>
      </c>
      <c r="I399" s="99" t="s">
        <v>6953</v>
      </c>
      <c r="J399" s="99" t="s">
        <v>6953</v>
      </c>
      <c r="K399" s="112">
        <v>1</v>
      </c>
      <c r="L399" s="112">
        <v>63</v>
      </c>
      <c r="M399" s="112">
        <v>68</v>
      </c>
      <c r="N399" s="143">
        <v>-5</v>
      </c>
    </row>
    <row r="400" spans="1:14" ht="17">
      <c r="A400" s="109" t="s">
        <v>7556</v>
      </c>
      <c r="B400" s="109" t="s">
        <v>7557</v>
      </c>
      <c r="C400" s="113">
        <v>2016</v>
      </c>
      <c r="D400" s="112">
        <v>403</v>
      </c>
      <c r="E400" s="112">
        <v>932</v>
      </c>
      <c r="F400" s="112">
        <v>287</v>
      </c>
      <c r="G400" s="112">
        <v>661</v>
      </c>
      <c r="H400" s="112">
        <v>180</v>
      </c>
      <c r="I400" s="112">
        <v>18</v>
      </c>
      <c r="J400" s="112">
        <v>20</v>
      </c>
      <c r="K400" s="112">
        <v>2</v>
      </c>
      <c r="L400" s="112">
        <v>86</v>
      </c>
      <c r="M400" s="112">
        <v>70</v>
      </c>
      <c r="N400" s="143">
        <v>16</v>
      </c>
    </row>
    <row r="401" spans="1:14" ht="17">
      <c r="A401" s="109" t="s">
        <v>7556</v>
      </c>
      <c r="B401" s="109" t="s">
        <v>7557</v>
      </c>
      <c r="C401" s="113">
        <v>2017</v>
      </c>
      <c r="D401" s="112">
        <v>394</v>
      </c>
      <c r="E401" s="112">
        <v>784</v>
      </c>
      <c r="F401" s="112">
        <v>289</v>
      </c>
      <c r="G401" s="112">
        <v>474</v>
      </c>
      <c r="H401" s="112">
        <v>164</v>
      </c>
      <c r="I401" s="112">
        <v>64</v>
      </c>
      <c r="J401" s="112">
        <v>68</v>
      </c>
      <c r="K401" s="112">
        <v>4</v>
      </c>
      <c r="L401" s="112">
        <v>65</v>
      </c>
      <c r="M401" s="112">
        <v>86</v>
      </c>
      <c r="N401" s="143">
        <v>-20</v>
      </c>
    </row>
    <row r="402" spans="1:14" ht="17">
      <c r="A402" s="109" t="s">
        <v>7556</v>
      </c>
      <c r="B402" s="109" t="s">
        <v>7557</v>
      </c>
      <c r="C402" s="113">
        <v>2018</v>
      </c>
      <c r="D402" s="112">
        <v>395</v>
      </c>
      <c r="E402" s="112">
        <v>762</v>
      </c>
      <c r="F402" s="112">
        <v>336</v>
      </c>
      <c r="G402" s="112">
        <v>458</v>
      </c>
      <c r="H402" s="112">
        <v>169</v>
      </c>
      <c r="I402" s="112">
        <v>22</v>
      </c>
      <c r="J402" s="112">
        <v>23</v>
      </c>
      <c r="K402" s="112" t="s">
        <v>6952</v>
      </c>
      <c r="L402" s="112">
        <v>90</v>
      </c>
      <c r="M402" s="112">
        <v>57</v>
      </c>
      <c r="N402" s="143">
        <v>32</v>
      </c>
    </row>
    <row r="403" spans="1:14" ht="17">
      <c r="A403" s="109" t="s">
        <v>7556</v>
      </c>
      <c r="B403" s="109" t="s">
        <v>7557</v>
      </c>
      <c r="C403" s="113">
        <v>2019</v>
      </c>
      <c r="D403" s="112">
        <v>407</v>
      </c>
      <c r="E403" s="112">
        <v>693.34768699999995</v>
      </c>
      <c r="F403" s="112">
        <v>340.35480799999999</v>
      </c>
      <c r="G403" s="112">
        <v>350.48282999999998</v>
      </c>
      <c r="H403" s="112">
        <v>166.36752899999999</v>
      </c>
      <c r="I403" s="112">
        <v>18.339231999999999</v>
      </c>
      <c r="J403" s="112">
        <v>18.785077999999999</v>
      </c>
      <c r="K403" s="112" t="s">
        <v>6952</v>
      </c>
      <c r="L403" s="112">
        <v>69.294470000000004</v>
      </c>
      <c r="M403" s="112">
        <v>80.936108000000004</v>
      </c>
      <c r="N403" s="143">
        <v>-11.641639</v>
      </c>
    </row>
    <row r="404" spans="1:14" ht="17">
      <c r="A404" s="114" t="s">
        <v>7556</v>
      </c>
      <c r="B404" s="114" t="s">
        <v>7557</v>
      </c>
      <c r="C404" s="113">
        <v>2020</v>
      </c>
      <c r="D404" s="112">
        <v>427</v>
      </c>
      <c r="E404" s="112">
        <v>764.31517099999996</v>
      </c>
      <c r="F404" s="112">
        <v>388.01481000000001</v>
      </c>
      <c r="G404" s="112">
        <v>392.68423899999999</v>
      </c>
      <c r="H404" s="112">
        <v>174.73839599999999</v>
      </c>
      <c r="I404" s="112">
        <v>30.031041999999999</v>
      </c>
      <c r="J404" s="112">
        <v>30.709206999999999</v>
      </c>
      <c r="K404" s="112">
        <v>0.67816399999999999</v>
      </c>
      <c r="L404" s="112">
        <v>64.597613999999993</v>
      </c>
      <c r="M404" s="112">
        <v>65.969329999999999</v>
      </c>
      <c r="N404" s="143">
        <v>-1.3717159999999999</v>
      </c>
    </row>
    <row r="405" spans="1:14" ht="17">
      <c r="A405" s="109" t="s">
        <v>7558</v>
      </c>
      <c r="B405" s="109" t="s">
        <v>7559</v>
      </c>
      <c r="C405" s="98">
        <v>2008</v>
      </c>
      <c r="D405" s="99">
        <v>560</v>
      </c>
      <c r="E405" s="99">
        <v>991</v>
      </c>
      <c r="F405" s="99">
        <v>469</v>
      </c>
      <c r="G405" s="99">
        <v>527</v>
      </c>
      <c r="H405" s="99">
        <v>218</v>
      </c>
      <c r="I405" s="99">
        <v>11</v>
      </c>
      <c r="J405" s="99">
        <v>17</v>
      </c>
      <c r="K405" s="99">
        <v>6</v>
      </c>
      <c r="L405" s="99">
        <v>102</v>
      </c>
      <c r="M405" s="99">
        <v>91</v>
      </c>
      <c r="N405" s="142">
        <v>11</v>
      </c>
    </row>
    <row r="406" spans="1:14" ht="17">
      <c r="A406" s="109" t="s">
        <v>7558</v>
      </c>
      <c r="B406" s="109" t="s">
        <v>7559</v>
      </c>
      <c r="C406" s="98">
        <v>2009</v>
      </c>
      <c r="D406" s="99">
        <v>660</v>
      </c>
      <c r="E406" s="99">
        <v>449</v>
      </c>
      <c r="F406" s="99">
        <v>197</v>
      </c>
      <c r="G406" s="99">
        <v>259</v>
      </c>
      <c r="H406" s="99">
        <v>117</v>
      </c>
      <c r="I406" s="99" t="s">
        <v>6953</v>
      </c>
      <c r="J406" s="99">
        <v>6</v>
      </c>
      <c r="K406" s="99" t="s">
        <v>6953</v>
      </c>
      <c r="L406" s="99">
        <v>51</v>
      </c>
      <c r="M406" s="99">
        <v>44</v>
      </c>
      <c r="N406" s="142">
        <v>7</v>
      </c>
    </row>
    <row r="407" spans="1:14" ht="17">
      <c r="A407" s="109" t="s">
        <v>7558</v>
      </c>
      <c r="B407" s="109" t="s">
        <v>7559</v>
      </c>
      <c r="C407" s="98">
        <v>2010</v>
      </c>
      <c r="D407" s="99">
        <v>687</v>
      </c>
      <c r="E407" s="99">
        <v>440</v>
      </c>
      <c r="F407" s="99">
        <v>287</v>
      </c>
      <c r="G407" s="99">
        <v>156</v>
      </c>
      <c r="H407" s="99">
        <v>114</v>
      </c>
      <c r="I407" s="99">
        <v>7</v>
      </c>
      <c r="J407" s="99">
        <v>8</v>
      </c>
      <c r="K407" s="99">
        <v>1</v>
      </c>
      <c r="L407" s="99">
        <v>19</v>
      </c>
      <c r="M407" s="99">
        <v>15</v>
      </c>
      <c r="N407" s="142">
        <v>4</v>
      </c>
    </row>
    <row r="408" spans="1:14" ht="17">
      <c r="A408" s="109" t="s">
        <v>7558</v>
      </c>
      <c r="B408" s="109" t="s">
        <v>7559</v>
      </c>
      <c r="C408" s="98">
        <v>2011</v>
      </c>
      <c r="D408" s="99">
        <v>769</v>
      </c>
      <c r="E408" s="99">
        <v>446</v>
      </c>
      <c r="F408" s="99">
        <v>235</v>
      </c>
      <c r="G408" s="99">
        <v>213</v>
      </c>
      <c r="H408" s="99">
        <v>123</v>
      </c>
      <c r="I408" s="99">
        <v>7</v>
      </c>
      <c r="J408" s="99">
        <v>11</v>
      </c>
      <c r="K408" s="99">
        <v>3</v>
      </c>
      <c r="L408" s="99">
        <v>27</v>
      </c>
      <c r="M408" s="99">
        <v>24</v>
      </c>
      <c r="N408" s="142">
        <v>2</v>
      </c>
    </row>
    <row r="409" spans="1:14" ht="17">
      <c r="A409" s="109" t="s">
        <v>7558</v>
      </c>
      <c r="B409" s="109" t="s">
        <v>7559</v>
      </c>
      <c r="C409" s="111">
        <v>2012</v>
      </c>
      <c r="D409" s="112">
        <v>954</v>
      </c>
      <c r="E409" s="112">
        <v>479</v>
      </c>
      <c r="F409" s="112">
        <v>222</v>
      </c>
      <c r="G409" s="112">
        <v>259</v>
      </c>
      <c r="H409" s="112">
        <v>161</v>
      </c>
      <c r="I409" s="112">
        <v>5</v>
      </c>
      <c r="J409" s="112">
        <v>5</v>
      </c>
      <c r="K409" s="112" t="s">
        <v>6952</v>
      </c>
      <c r="L409" s="112">
        <v>30</v>
      </c>
      <c r="M409" s="112">
        <v>28</v>
      </c>
      <c r="N409" s="143">
        <v>2</v>
      </c>
    </row>
    <row r="410" spans="1:14" ht="17">
      <c r="A410" s="109" t="s">
        <v>7558</v>
      </c>
      <c r="B410" s="109" t="s">
        <v>7559</v>
      </c>
      <c r="C410" s="113">
        <v>2013</v>
      </c>
      <c r="D410" s="112">
        <v>976</v>
      </c>
      <c r="E410" s="112">
        <v>623</v>
      </c>
      <c r="F410" s="112">
        <v>298</v>
      </c>
      <c r="G410" s="112">
        <v>326</v>
      </c>
      <c r="H410" s="112">
        <v>200</v>
      </c>
      <c r="I410" s="112">
        <v>9</v>
      </c>
      <c r="J410" s="112">
        <v>12</v>
      </c>
      <c r="K410" s="112">
        <v>3</v>
      </c>
      <c r="L410" s="112">
        <v>34</v>
      </c>
      <c r="M410" s="112">
        <v>34</v>
      </c>
      <c r="N410" s="143" t="s">
        <v>6952</v>
      </c>
    </row>
    <row r="411" spans="1:14" ht="17">
      <c r="A411" s="109" t="s">
        <v>7558</v>
      </c>
      <c r="B411" s="109" t="s">
        <v>7559</v>
      </c>
      <c r="C411" s="113">
        <v>2014</v>
      </c>
      <c r="D411" s="99">
        <v>958</v>
      </c>
      <c r="E411" s="99">
        <v>538</v>
      </c>
      <c r="F411" s="99">
        <v>268</v>
      </c>
      <c r="G411" s="99">
        <v>269</v>
      </c>
      <c r="H411" s="99">
        <v>146</v>
      </c>
      <c r="I411" s="99">
        <v>10</v>
      </c>
      <c r="J411" s="99">
        <v>11</v>
      </c>
      <c r="K411" s="99" t="s">
        <v>6952</v>
      </c>
      <c r="L411" s="99">
        <v>29</v>
      </c>
      <c r="M411" s="99">
        <v>30</v>
      </c>
      <c r="N411" s="142">
        <v>-1</v>
      </c>
    </row>
    <row r="412" spans="1:14" ht="17">
      <c r="A412" s="109" t="s">
        <v>7558</v>
      </c>
      <c r="B412" s="109" t="s">
        <v>7559</v>
      </c>
      <c r="C412" s="113">
        <v>2015</v>
      </c>
      <c r="D412" s="112">
        <v>981</v>
      </c>
      <c r="E412" s="112">
        <v>579</v>
      </c>
      <c r="F412" s="112">
        <v>269</v>
      </c>
      <c r="G412" s="112">
        <v>307</v>
      </c>
      <c r="H412" s="112">
        <v>152</v>
      </c>
      <c r="I412" s="99" t="s">
        <v>6953</v>
      </c>
      <c r="J412" s="99" t="s">
        <v>6953</v>
      </c>
      <c r="K412" s="112">
        <v>1</v>
      </c>
      <c r="L412" s="112">
        <v>38</v>
      </c>
      <c r="M412" s="112">
        <v>39</v>
      </c>
      <c r="N412" s="143">
        <v>-1</v>
      </c>
    </row>
    <row r="413" spans="1:14" ht="17">
      <c r="A413" s="109" t="s">
        <v>7558</v>
      </c>
      <c r="B413" s="109" t="s">
        <v>7559</v>
      </c>
      <c r="C413" s="113">
        <v>2016</v>
      </c>
      <c r="D413" s="112">
        <v>1032</v>
      </c>
      <c r="E413" s="112">
        <v>541</v>
      </c>
      <c r="F413" s="112">
        <v>290</v>
      </c>
      <c r="G413" s="112">
        <v>250</v>
      </c>
      <c r="H413" s="112">
        <v>179</v>
      </c>
      <c r="I413" s="112">
        <v>14</v>
      </c>
      <c r="J413" s="112">
        <v>15</v>
      </c>
      <c r="K413" s="112">
        <v>1</v>
      </c>
      <c r="L413" s="112">
        <v>33</v>
      </c>
      <c r="M413" s="112">
        <v>33</v>
      </c>
      <c r="N413" s="143" t="s">
        <v>6952</v>
      </c>
    </row>
    <row r="414" spans="1:14" ht="17">
      <c r="A414" s="109" t="s">
        <v>7558</v>
      </c>
      <c r="B414" s="109" t="s">
        <v>7559</v>
      </c>
      <c r="C414" s="113">
        <v>2017</v>
      </c>
      <c r="D414" s="112">
        <v>1090</v>
      </c>
      <c r="E414" s="112">
        <v>638</v>
      </c>
      <c r="F414" s="112">
        <v>366</v>
      </c>
      <c r="G414" s="112">
        <v>273</v>
      </c>
      <c r="H414" s="112">
        <v>192</v>
      </c>
      <c r="I414" s="112">
        <v>37</v>
      </c>
      <c r="J414" s="112">
        <v>38</v>
      </c>
      <c r="K414" s="112">
        <v>1</v>
      </c>
      <c r="L414" s="112">
        <v>28</v>
      </c>
      <c r="M414" s="112">
        <v>26</v>
      </c>
      <c r="N414" s="143">
        <v>2</v>
      </c>
    </row>
    <row r="415" spans="1:14" ht="17">
      <c r="A415" s="109" t="s">
        <v>7558</v>
      </c>
      <c r="B415" s="109" t="s">
        <v>7559</v>
      </c>
      <c r="C415" s="113">
        <v>2018</v>
      </c>
      <c r="D415" s="112">
        <v>1144</v>
      </c>
      <c r="E415" s="112">
        <v>615</v>
      </c>
      <c r="F415" s="112">
        <v>332</v>
      </c>
      <c r="G415" s="112">
        <v>287</v>
      </c>
      <c r="H415" s="112">
        <v>175</v>
      </c>
      <c r="I415" s="112">
        <v>28</v>
      </c>
      <c r="J415" s="112">
        <v>29</v>
      </c>
      <c r="K415" s="112">
        <v>1</v>
      </c>
      <c r="L415" s="112">
        <v>37</v>
      </c>
      <c r="M415" s="112">
        <v>32</v>
      </c>
      <c r="N415" s="143">
        <v>6</v>
      </c>
    </row>
    <row r="416" spans="1:14" ht="17">
      <c r="A416" s="109" t="s">
        <v>7558</v>
      </c>
      <c r="B416" s="109" t="s">
        <v>7559</v>
      </c>
      <c r="C416" s="113">
        <v>2019</v>
      </c>
      <c r="D416" s="112">
        <v>1303</v>
      </c>
      <c r="E416" s="112">
        <v>634.30069800000001</v>
      </c>
      <c r="F416" s="112">
        <v>379.21723400000002</v>
      </c>
      <c r="G416" s="112">
        <v>257.34133000000003</v>
      </c>
      <c r="H416" s="112">
        <v>168.76691099999999</v>
      </c>
      <c r="I416" s="112">
        <v>27.140307</v>
      </c>
      <c r="J416" s="112">
        <v>28.756343999999999</v>
      </c>
      <c r="K416" s="112">
        <v>1.6160369999999999</v>
      </c>
      <c r="L416" s="112">
        <v>34.309351999999997</v>
      </c>
      <c r="M416" s="112">
        <v>32.225718999999998</v>
      </c>
      <c r="N416" s="143">
        <v>2.083634</v>
      </c>
    </row>
    <row r="417" spans="1:14" ht="17">
      <c r="A417" s="114" t="s">
        <v>7558</v>
      </c>
      <c r="B417" s="114" t="s">
        <v>7559</v>
      </c>
      <c r="C417" s="113">
        <v>2020</v>
      </c>
      <c r="D417" s="112">
        <v>1328</v>
      </c>
      <c r="E417" s="112">
        <v>662.28985599999999</v>
      </c>
      <c r="F417" s="112">
        <v>352.93182000000002</v>
      </c>
      <c r="G417" s="112">
        <v>310.85636399999999</v>
      </c>
      <c r="H417" s="112">
        <v>199.61668</v>
      </c>
      <c r="I417" s="112">
        <v>29.418120999999999</v>
      </c>
      <c r="J417" s="112">
        <v>30.093070999999998</v>
      </c>
      <c r="K417" s="112">
        <v>0.67495000000000005</v>
      </c>
      <c r="L417" s="112">
        <v>36.225510999999997</v>
      </c>
      <c r="M417" s="112">
        <v>38.931164000000003</v>
      </c>
      <c r="N417" s="143">
        <v>-2.7056529999999999</v>
      </c>
    </row>
    <row r="418" spans="1:14" ht="17">
      <c r="A418" s="109" t="s">
        <v>7560</v>
      </c>
      <c r="B418" s="109" t="s">
        <v>7561</v>
      </c>
      <c r="C418" s="98">
        <v>2008</v>
      </c>
      <c r="D418" s="99">
        <v>426</v>
      </c>
      <c r="E418" s="99">
        <v>511</v>
      </c>
      <c r="F418" s="99">
        <v>203</v>
      </c>
      <c r="G418" s="99">
        <v>313</v>
      </c>
      <c r="H418" s="99">
        <v>108</v>
      </c>
      <c r="I418" s="99">
        <v>10</v>
      </c>
      <c r="J418" s="99">
        <v>11</v>
      </c>
      <c r="K418" s="99">
        <v>1</v>
      </c>
      <c r="L418" s="99">
        <v>25</v>
      </c>
      <c r="M418" s="99">
        <v>23</v>
      </c>
      <c r="N418" s="142">
        <v>2</v>
      </c>
    </row>
    <row r="419" spans="1:14" ht="17">
      <c r="A419" s="109" t="s">
        <v>7560</v>
      </c>
      <c r="B419" s="109" t="s">
        <v>7561</v>
      </c>
      <c r="C419" s="98">
        <v>2009</v>
      </c>
      <c r="D419" s="99">
        <v>334</v>
      </c>
      <c r="E419" s="99">
        <v>331</v>
      </c>
      <c r="F419" s="99">
        <v>154</v>
      </c>
      <c r="G419" s="99">
        <v>179</v>
      </c>
      <c r="H419" s="99">
        <v>92</v>
      </c>
      <c r="I419" s="99">
        <v>15</v>
      </c>
      <c r="J419" s="99">
        <v>15</v>
      </c>
      <c r="K419" s="99" t="s">
        <v>6952</v>
      </c>
      <c r="L419" s="99">
        <v>13</v>
      </c>
      <c r="M419" s="99">
        <v>11</v>
      </c>
      <c r="N419" s="142">
        <v>2</v>
      </c>
    </row>
    <row r="420" spans="1:14" ht="17">
      <c r="A420" s="109" t="s">
        <v>7560</v>
      </c>
      <c r="B420" s="109" t="s">
        <v>7561</v>
      </c>
      <c r="C420" s="98">
        <v>2010</v>
      </c>
      <c r="D420" s="99">
        <v>392</v>
      </c>
      <c r="E420" s="99">
        <v>335</v>
      </c>
      <c r="F420" s="99">
        <v>133</v>
      </c>
      <c r="G420" s="99">
        <v>204</v>
      </c>
      <c r="H420" s="99">
        <v>124</v>
      </c>
      <c r="I420" s="99">
        <v>8</v>
      </c>
      <c r="J420" s="99">
        <v>9</v>
      </c>
      <c r="K420" s="99" t="s">
        <v>6952</v>
      </c>
      <c r="L420" s="99">
        <v>15</v>
      </c>
      <c r="M420" s="99">
        <v>13</v>
      </c>
      <c r="N420" s="142">
        <v>2</v>
      </c>
    </row>
    <row r="421" spans="1:14" ht="17">
      <c r="A421" s="109" t="s">
        <v>7560</v>
      </c>
      <c r="B421" s="109" t="s">
        <v>7561</v>
      </c>
      <c r="C421" s="98">
        <v>2011</v>
      </c>
      <c r="D421" s="99">
        <v>422</v>
      </c>
      <c r="E421" s="99">
        <v>388</v>
      </c>
      <c r="F421" s="99">
        <v>202</v>
      </c>
      <c r="G421" s="99">
        <v>190</v>
      </c>
      <c r="H421" s="99">
        <v>119</v>
      </c>
      <c r="I421" s="99">
        <v>15</v>
      </c>
      <c r="J421" s="99">
        <v>16</v>
      </c>
      <c r="K421" s="99">
        <v>1</v>
      </c>
      <c r="L421" s="99">
        <v>22</v>
      </c>
      <c r="M421" s="99">
        <v>19</v>
      </c>
      <c r="N421" s="142">
        <v>3</v>
      </c>
    </row>
    <row r="422" spans="1:14" ht="17">
      <c r="A422" s="109" t="s">
        <v>7560</v>
      </c>
      <c r="B422" s="109" t="s">
        <v>7561</v>
      </c>
      <c r="C422" s="111">
        <v>2012</v>
      </c>
      <c r="D422" s="112">
        <v>449</v>
      </c>
      <c r="E422" s="112">
        <v>865</v>
      </c>
      <c r="F422" s="112">
        <v>490</v>
      </c>
      <c r="G422" s="112">
        <v>372</v>
      </c>
      <c r="H422" s="112">
        <v>210</v>
      </c>
      <c r="I422" s="112">
        <v>39</v>
      </c>
      <c r="J422" s="112">
        <v>45</v>
      </c>
      <c r="K422" s="112">
        <v>6</v>
      </c>
      <c r="L422" s="112">
        <v>57</v>
      </c>
      <c r="M422" s="112">
        <v>59</v>
      </c>
      <c r="N422" s="143">
        <v>-2</v>
      </c>
    </row>
    <row r="423" spans="1:14" ht="17">
      <c r="A423" s="109" t="s">
        <v>7560</v>
      </c>
      <c r="B423" s="109" t="s">
        <v>7561</v>
      </c>
      <c r="C423" s="113">
        <v>2013</v>
      </c>
      <c r="D423" s="112">
        <v>494</v>
      </c>
      <c r="E423" s="112">
        <v>969</v>
      </c>
      <c r="F423" s="112">
        <v>512</v>
      </c>
      <c r="G423" s="112">
        <v>469</v>
      </c>
      <c r="H423" s="112">
        <v>251</v>
      </c>
      <c r="I423" s="112">
        <v>26</v>
      </c>
      <c r="J423" s="112">
        <v>26</v>
      </c>
      <c r="K423" s="112" t="s">
        <v>6952</v>
      </c>
      <c r="L423" s="112">
        <v>67</v>
      </c>
      <c r="M423" s="112">
        <v>56</v>
      </c>
      <c r="N423" s="143">
        <v>11</v>
      </c>
    </row>
    <row r="424" spans="1:14" ht="17">
      <c r="A424" s="109" t="s">
        <v>7560</v>
      </c>
      <c r="B424" s="109" t="s">
        <v>7561</v>
      </c>
      <c r="C424" s="113">
        <v>2014</v>
      </c>
      <c r="D424" s="99">
        <v>506</v>
      </c>
      <c r="E424" s="99">
        <v>882</v>
      </c>
      <c r="F424" s="99">
        <v>459</v>
      </c>
      <c r="G424" s="99">
        <v>420</v>
      </c>
      <c r="H424" s="99">
        <v>246</v>
      </c>
      <c r="I424" s="99">
        <v>20</v>
      </c>
      <c r="J424" s="99" t="s">
        <v>6953</v>
      </c>
      <c r="K424" s="99" t="s">
        <v>6953</v>
      </c>
      <c r="L424" s="99">
        <v>75</v>
      </c>
      <c r="M424" s="99">
        <v>83</v>
      </c>
      <c r="N424" s="142">
        <v>-8</v>
      </c>
    </row>
    <row r="425" spans="1:14" ht="17">
      <c r="A425" s="109" t="s">
        <v>7560</v>
      </c>
      <c r="B425" s="109" t="s">
        <v>7561</v>
      </c>
      <c r="C425" s="113">
        <v>2015</v>
      </c>
      <c r="D425" s="112">
        <v>536</v>
      </c>
      <c r="E425" s="112">
        <v>936</v>
      </c>
      <c r="F425" s="112">
        <v>289</v>
      </c>
      <c r="G425" s="112">
        <v>647</v>
      </c>
      <c r="H425" s="112">
        <v>251</v>
      </c>
      <c r="I425" s="112">
        <v>31</v>
      </c>
      <c r="J425" s="112">
        <v>32</v>
      </c>
      <c r="K425" s="112">
        <v>1</v>
      </c>
      <c r="L425" s="112">
        <v>45</v>
      </c>
      <c r="M425" s="112">
        <v>54</v>
      </c>
      <c r="N425" s="143">
        <v>-9</v>
      </c>
    </row>
    <row r="426" spans="1:14" ht="17">
      <c r="A426" s="109" t="s">
        <v>7560</v>
      </c>
      <c r="B426" s="109" t="s">
        <v>7561</v>
      </c>
      <c r="C426" s="113">
        <v>2016</v>
      </c>
      <c r="D426" s="112">
        <v>570</v>
      </c>
      <c r="E426" s="112">
        <v>627</v>
      </c>
      <c r="F426" s="112">
        <v>193</v>
      </c>
      <c r="G426" s="112">
        <v>432</v>
      </c>
      <c r="H426" s="112">
        <v>132</v>
      </c>
      <c r="I426" s="112">
        <v>11</v>
      </c>
      <c r="J426" s="112">
        <v>12</v>
      </c>
      <c r="K426" s="112">
        <v>1</v>
      </c>
      <c r="L426" s="112">
        <v>25</v>
      </c>
      <c r="M426" s="112">
        <v>25</v>
      </c>
      <c r="N426" s="143" t="s">
        <v>6952</v>
      </c>
    </row>
    <row r="427" spans="1:14" ht="17">
      <c r="A427" s="109" t="s">
        <v>7560</v>
      </c>
      <c r="B427" s="109" t="s">
        <v>7561</v>
      </c>
      <c r="C427" s="113">
        <v>2017</v>
      </c>
      <c r="D427" s="112">
        <v>620</v>
      </c>
      <c r="E427" s="112">
        <v>1142</v>
      </c>
      <c r="F427" s="112">
        <v>543</v>
      </c>
      <c r="G427" s="112">
        <v>573</v>
      </c>
      <c r="H427" s="112">
        <v>329</v>
      </c>
      <c r="I427" s="112">
        <v>40</v>
      </c>
      <c r="J427" s="112">
        <v>41</v>
      </c>
      <c r="K427" s="112">
        <v>1</v>
      </c>
      <c r="L427" s="112">
        <v>36</v>
      </c>
      <c r="M427" s="112">
        <v>63</v>
      </c>
      <c r="N427" s="143">
        <v>-27</v>
      </c>
    </row>
    <row r="428" spans="1:14" ht="17">
      <c r="A428" s="109" t="s">
        <v>7560</v>
      </c>
      <c r="B428" s="109" t="s">
        <v>7561</v>
      </c>
      <c r="C428" s="113">
        <v>2018</v>
      </c>
      <c r="D428" s="112">
        <v>671</v>
      </c>
      <c r="E428" s="112">
        <v>1226</v>
      </c>
      <c r="F428" s="112">
        <v>540</v>
      </c>
      <c r="G428" s="112">
        <v>727</v>
      </c>
      <c r="H428" s="112">
        <v>338</v>
      </c>
      <c r="I428" s="112">
        <v>50</v>
      </c>
      <c r="J428" s="112">
        <v>51</v>
      </c>
      <c r="K428" s="112">
        <v>1</v>
      </c>
      <c r="L428" s="112">
        <v>73</v>
      </c>
      <c r="M428" s="112">
        <v>50</v>
      </c>
      <c r="N428" s="143">
        <v>23</v>
      </c>
    </row>
    <row r="429" spans="1:14" ht="17">
      <c r="A429" s="109" t="s">
        <v>7560</v>
      </c>
      <c r="B429" s="109" t="s">
        <v>7561</v>
      </c>
      <c r="C429" s="113">
        <v>2019</v>
      </c>
      <c r="D429" s="112">
        <v>740</v>
      </c>
      <c r="E429" s="112">
        <v>1095.2979740000001</v>
      </c>
      <c r="F429" s="112">
        <v>456.58315700000003</v>
      </c>
      <c r="G429" s="112">
        <v>641.82875100000001</v>
      </c>
      <c r="H429" s="112">
        <v>297.02359999999999</v>
      </c>
      <c r="I429" s="112">
        <v>47.567642999999997</v>
      </c>
      <c r="J429" s="112">
        <v>48.323642</v>
      </c>
      <c r="K429" s="112">
        <v>0.75599899999999998</v>
      </c>
      <c r="L429" s="112">
        <v>50.100951999999999</v>
      </c>
      <c r="M429" s="112">
        <v>49.128869000000002</v>
      </c>
      <c r="N429" s="143">
        <v>0.97208300000000003</v>
      </c>
    </row>
    <row r="430" spans="1:14" ht="17">
      <c r="A430" s="114" t="s">
        <v>7560</v>
      </c>
      <c r="B430" s="114" t="s">
        <v>7561</v>
      </c>
      <c r="C430" s="113">
        <v>2020</v>
      </c>
      <c r="D430" s="112">
        <v>779</v>
      </c>
      <c r="E430" s="112">
        <v>1139.620703</v>
      </c>
      <c r="F430" s="112">
        <v>506.39521500000001</v>
      </c>
      <c r="G430" s="112">
        <v>635.41013499999997</v>
      </c>
      <c r="H430" s="112">
        <v>323.84389499999997</v>
      </c>
      <c r="I430" s="112">
        <v>35.707993999999999</v>
      </c>
      <c r="J430" s="112">
        <v>36.077655</v>
      </c>
      <c r="K430" s="112" t="s">
        <v>6952</v>
      </c>
      <c r="L430" s="112">
        <v>61.672764999999998</v>
      </c>
      <c r="M430" s="112">
        <v>60.550136999999999</v>
      </c>
      <c r="N430" s="143">
        <v>1.122627</v>
      </c>
    </row>
    <row r="431" spans="1:14" ht="34">
      <c r="A431" s="109" t="s">
        <v>7562</v>
      </c>
      <c r="B431" s="109" t="s">
        <v>7563</v>
      </c>
      <c r="C431" s="98">
        <v>2008</v>
      </c>
      <c r="D431" s="99">
        <v>238</v>
      </c>
      <c r="E431" s="99">
        <v>3412</v>
      </c>
      <c r="F431" s="99">
        <v>995</v>
      </c>
      <c r="G431" s="99">
        <v>2486</v>
      </c>
      <c r="H431" s="99">
        <v>694</v>
      </c>
      <c r="I431" s="99" t="s">
        <v>6953</v>
      </c>
      <c r="J431" s="99" t="s">
        <v>6953</v>
      </c>
      <c r="K431" s="99">
        <v>24</v>
      </c>
      <c r="L431" s="99">
        <v>567</v>
      </c>
      <c r="M431" s="99">
        <v>498</v>
      </c>
      <c r="N431" s="142">
        <v>68</v>
      </c>
    </row>
    <row r="432" spans="1:14" ht="34">
      <c r="A432" s="109" t="s">
        <v>7562</v>
      </c>
      <c r="B432" s="109" t="s">
        <v>7563</v>
      </c>
      <c r="C432" s="98">
        <v>2009</v>
      </c>
      <c r="D432" s="99">
        <v>346</v>
      </c>
      <c r="E432" s="99">
        <v>3399</v>
      </c>
      <c r="F432" s="99">
        <v>1433</v>
      </c>
      <c r="G432" s="99">
        <v>1967</v>
      </c>
      <c r="H432" s="99">
        <v>640</v>
      </c>
      <c r="I432" s="99">
        <v>101</v>
      </c>
      <c r="J432" s="99">
        <v>104</v>
      </c>
      <c r="K432" s="99">
        <v>3</v>
      </c>
      <c r="L432" s="99">
        <v>467</v>
      </c>
      <c r="M432" s="99">
        <v>470</v>
      </c>
      <c r="N432" s="142">
        <v>-4</v>
      </c>
    </row>
    <row r="433" spans="1:14" ht="34">
      <c r="A433" s="109" t="s">
        <v>7562</v>
      </c>
      <c r="B433" s="109" t="s">
        <v>7563</v>
      </c>
      <c r="C433" s="98">
        <v>2010</v>
      </c>
      <c r="D433" s="99">
        <v>458</v>
      </c>
      <c r="E433" s="99">
        <v>3252</v>
      </c>
      <c r="F433" s="99">
        <v>1420</v>
      </c>
      <c r="G433" s="99">
        <v>1887</v>
      </c>
      <c r="H433" s="99">
        <v>504</v>
      </c>
      <c r="I433" s="99">
        <v>-34</v>
      </c>
      <c r="J433" s="99">
        <v>50</v>
      </c>
      <c r="K433" s="99">
        <v>84</v>
      </c>
      <c r="L433" s="99">
        <v>413</v>
      </c>
      <c r="M433" s="99">
        <v>358</v>
      </c>
      <c r="N433" s="142">
        <v>55</v>
      </c>
    </row>
    <row r="434" spans="1:14" ht="34">
      <c r="A434" s="109" t="s">
        <v>7562</v>
      </c>
      <c r="B434" s="109" t="s">
        <v>7563</v>
      </c>
      <c r="C434" s="98">
        <v>2011</v>
      </c>
      <c r="D434" s="99">
        <v>582</v>
      </c>
      <c r="E434" s="99">
        <v>3372</v>
      </c>
      <c r="F434" s="99">
        <v>1380</v>
      </c>
      <c r="G434" s="99">
        <v>1973</v>
      </c>
      <c r="H434" s="99">
        <v>579</v>
      </c>
      <c r="I434" s="99">
        <v>39</v>
      </c>
      <c r="J434" s="99">
        <v>41</v>
      </c>
      <c r="K434" s="99">
        <v>3</v>
      </c>
      <c r="L434" s="99">
        <v>373</v>
      </c>
      <c r="M434" s="99">
        <v>390</v>
      </c>
      <c r="N434" s="142">
        <v>-18</v>
      </c>
    </row>
    <row r="435" spans="1:14" ht="34">
      <c r="A435" s="109" t="s">
        <v>7562</v>
      </c>
      <c r="B435" s="109" t="s">
        <v>7563</v>
      </c>
      <c r="C435" s="111">
        <v>2012</v>
      </c>
      <c r="D435" s="112">
        <v>752</v>
      </c>
      <c r="E435" s="112">
        <v>3604</v>
      </c>
      <c r="F435" s="112">
        <v>1739</v>
      </c>
      <c r="G435" s="112">
        <v>1943</v>
      </c>
      <c r="H435" s="112">
        <v>659</v>
      </c>
      <c r="I435" s="112">
        <v>39</v>
      </c>
      <c r="J435" s="112">
        <v>49</v>
      </c>
      <c r="K435" s="112">
        <v>11</v>
      </c>
      <c r="L435" s="112">
        <v>555</v>
      </c>
      <c r="M435" s="112">
        <v>478</v>
      </c>
      <c r="N435" s="143">
        <v>77</v>
      </c>
    </row>
    <row r="436" spans="1:14" ht="34">
      <c r="A436" s="109" t="s">
        <v>7562</v>
      </c>
      <c r="B436" s="109" t="s">
        <v>7563</v>
      </c>
      <c r="C436" s="113">
        <v>2013</v>
      </c>
      <c r="D436" s="112">
        <v>925</v>
      </c>
      <c r="E436" s="112">
        <v>3975</v>
      </c>
      <c r="F436" s="112">
        <v>2058</v>
      </c>
      <c r="G436" s="112">
        <v>1934</v>
      </c>
      <c r="H436" s="112">
        <v>612</v>
      </c>
      <c r="I436" s="99" t="s">
        <v>6953</v>
      </c>
      <c r="J436" s="99" t="s">
        <v>6953</v>
      </c>
      <c r="K436" s="112">
        <v>7</v>
      </c>
      <c r="L436" s="112">
        <v>524</v>
      </c>
      <c r="M436" s="112">
        <v>507</v>
      </c>
      <c r="N436" s="143">
        <v>17</v>
      </c>
    </row>
    <row r="437" spans="1:14" ht="34">
      <c r="A437" s="109" t="s">
        <v>7562</v>
      </c>
      <c r="B437" s="109" t="s">
        <v>7563</v>
      </c>
      <c r="C437" s="113">
        <v>2014</v>
      </c>
      <c r="D437" s="99">
        <v>1272</v>
      </c>
      <c r="E437" s="99">
        <v>4227</v>
      </c>
      <c r="F437" s="99">
        <v>1798</v>
      </c>
      <c r="G437" s="99">
        <v>2433</v>
      </c>
      <c r="H437" s="99">
        <v>740</v>
      </c>
      <c r="I437" s="99" t="s">
        <v>6953</v>
      </c>
      <c r="J437" s="99" t="s">
        <v>6953</v>
      </c>
      <c r="K437" s="99" t="s">
        <v>6953</v>
      </c>
      <c r="L437" s="99">
        <v>524</v>
      </c>
      <c r="M437" s="99">
        <v>522</v>
      </c>
      <c r="N437" s="142">
        <v>3</v>
      </c>
    </row>
    <row r="438" spans="1:14" ht="34">
      <c r="A438" s="109" t="s">
        <v>7562</v>
      </c>
      <c r="B438" s="109" t="s">
        <v>7563</v>
      </c>
      <c r="C438" s="113">
        <v>2015</v>
      </c>
      <c r="D438" s="112">
        <v>1624</v>
      </c>
      <c r="E438" s="112">
        <v>4288</v>
      </c>
      <c r="F438" s="112">
        <v>1448</v>
      </c>
      <c r="G438" s="112">
        <v>2871</v>
      </c>
      <c r="H438" s="112">
        <v>702</v>
      </c>
      <c r="I438" s="112">
        <v>45</v>
      </c>
      <c r="J438" s="112">
        <v>58</v>
      </c>
      <c r="K438" s="112">
        <v>13</v>
      </c>
      <c r="L438" s="112">
        <v>587</v>
      </c>
      <c r="M438" s="112">
        <v>559</v>
      </c>
      <c r="N438" s="143">
        <v>27</v>
      </c>
    </row>
    <row r="439" spans="1:14" ht="34">
      <c r="A439" s="109" t="s">
        <v>7562</v>
      </c>
      <c r="B439" s="109" t="s">
        <v>7563</v>
      </c>
      <c r="C439" s="113">
        <v>2016</v>
      </c>
      <c r="D439" s="112">
        <v>2037</v>
      </c>
      <c r="E439" s="112">
        <v>4773</v>
      </c>
      <c r="F439" s="112">
        <v>1518</v>
      </c>
      <c r="G439" s="112">
        <v>3460</v>
      </c>
      <c r="H439" s="112">
        <v>677</v>
      </c>
      <c r="I439" s="112">
        <v>42</v>
      </c>
      <c r="J439" s="112">
        <v>50</v>
      </c>
      <c r="K439" s="112">
        <v>8</v>
      </c>
      <c r="L439" s="112">
        <v>728</v>
      </c>
      <c r="M439" s="112">
        <v>526</v>
      </c>
      <c r="N439" s="143">
        <v>202</v>
      </c>
    </row>
    <row r="440" spans="1:14" ht="34">
      <c r="A440" s="109" t="s">
        <v>7562</v>
      </c>
      <c r="B440" s="109" t="s">
        <v>7563</v>
      </c>
      <c r="C440" s="113">
        <v>2017</v>
      </c>
      <c r="D440" s="112">
        <v>1783</v>
      </c>
      <c r="E440" s="112">
        <v>5433</v>
      </c>
      <c r="F440" s="112">
        <v>1230</v>
      </c>
      <c r="G440" s="112">
        <v>4333</v>
      </c>
      <c r="H440" s="112">
        <v>714</v>
      </c>
      <c r="I440" s="112">
        <v>44</v>
      </c>
      <c r="J440" s="112">
        <v>54</v>
      </c>
      <c r="K440" s="112">
        <v>10</v>
      </c>
      <c r="L440" s="112">
        <v>850</v>
      </c>
      <c r="M440" s="112">
        <v>719</v>
      </c>
      <c r="N440" s="143">
        <v>131</v>
      </c>
    </row>
    <row r="441" spans="1:14" ht="34">
      <c r="A441" s="109" t="s">
        <v>7562</v>
      </c>
      <c r="B441" s="109" t="s">
        <v>7563</v>
      </c>
      <c r="C441" s="113">
        <v>2018</v>
      </c>
      <c r="D441" s="112">
        <v>1809</v>
      </c>
      <c r="E441" s="112">
        <v>5487</v>
      </c>
      <c r="F441" s="112">
        <v>1534</v>
      </c>
      <c r="G441" s="112">
        <v>4016</v>
      </c>
      <c r="H441" s="112">
        <v>778</v>
      </c>
      <c r="I441" s="112">
        <v>63</v>
      </c>
      <c r="J441" s="112">
        <v>74</v>
      </c>
      <c r="K441" s="112">
        <v>11</v>
      </c>
      <c r="L441" s="112">
        <v>929</v>
      </c>
      <c r="M441" s="112">
        <v>872</v>
      </c>
      <c r="N441" s="143">
        <v>57</v>
      </c>
    </row>
    <row r="442" spans="1:14" ht="34">
      <c r="A442" s="109" t="s">
        <v>7562</v>
      </c>
      <c r="B442" s="109" t="s">
        <v>7563</v>
      </c>
      <c r="C442" s="113">
        <v>2019</v>
      </c>
      <c r="D442" s="112">
        <v>2010</v>
      </c>
      <c r="E442" s="112">
        <v>5021.2023330000002</v>
      </c>
      <c r="F442" s="112">
        <v>1390.9725109999999</v>
      </c>
      <c r="G442" s="112">
        <v>3685.8437699999999</v>
      </c>
      <c r="H442" s="112">
        <v>821.438086</v>
      </c>
      <c r="I442" s="112">
        <v>73.644745999999998</v>
      </c>
      <c r="J442" s="112">
        <v>80.050449999999998</v>
      </c>
      <c r="K442" s="112">
        <v>6.4057029999999999</v>
      </c>
      <c r="L442" s="112">
        <v>490.18305900000001</v>
      </c>
      <c r="M442" s="112">
        <v>445.80027999999999</v>
      </c>
      <c r="N442" s="143">
        <v>44.382778000000002</v>
      </c>
    </row>
    <row r="443" spans="1:14" ht="34">
      <c r="A443" s="114" t="s">
        <v>7562</v>
      </c>
      <c r="B443" s="114" t="s">
        <v>7563</v>
      </c>
      <c r="C443" s="113">
        <v>2020</v>
      </c>
      <c r="D443" s="112">
        <v>1870</v>
      </c>
      <c r="E443" s="112">
        <v>3858.9641580000002</v>
      </c>
      <c r="F443" s="112">
        <v>1265.7359690000001</v>
      </c>
      <c r="G443" s="112">
        <v>2557.9338750000002</v>
      </c>
      <c r="H443" s="112">
        <v>779.62228000000005</v>
      </c>
      <c r="I443" s="112">
        <v>-15.466752</v>
      </c>
      <c r="J443" s="112">
        <v>56.131475000000002</v>
      </c>
      <c r="K443" s="112">
        <v>71.598226999999994</v>
      </c>
      <c r="L443" s="112">
        <v>504.62273599999997</v>
      </c>
      <c r="M443" s="112">
        <v>539.28390300000001</v>
      </c>
      <c r="N443" s="143">
        <v>-34.661166000000001</v>
      </c>
    </row>
    <row r="444" spans="1:14" ht="34">
      <c r="A444" s="109" t="s">
        <v>7564</v>
      </c>
      <c r="B444" s="109" t="s">
        <v>7565</v>
      </c>
      <c r="C444" s="98">
        <v>2008</v>
      </c>
      <c r="D444" s="99">
        <v>213</v>
      </c>
      <c r="E444" s="99">
        <v>1703</v>
      </c>
      <c r="F444" s="99">
        <v>672</v>
      </c>
      <c r="G444" s="99">
        <v>989</v>
      </c>
      <c r="H444" s="99">
        <v>374</v>
      </c>
      <c r="I444" s="99" t="s">
        <v>6953</v>
      </c>
      <c r="J444" s="99" t="s">
        <v>6953</v>
      </c>
      <c r="K444" s="99">
        <v>4</v>
      </c>
      <c r="L444" s="99">
        <v>115</v>
      </c>
      <c r="M444" s="99">
        <v>153</v>
      </c>
      <c r="N444" s="142">
        <v>-38</v>
      </c>
    </row>
    <row r="445" spans="1:14" ht="34">
      <c r="A445" s="109" t="s">
        <v>7564</v>
      </c>
      <c r="B445" s="109" t="s">
        <v>7565</v>
      </c>
      <c r="C445" s="98">
        <v>2009</v>
      </c>
      <c r="D445" s="99">
        <v>268</v>
      </c>
      <c r="E445" s="99">
        <v>585</v>
      </c>
      <c r="F445" s="99">
        <v>230</v>
      </c>
      <c r="G445" s="99">
        <v>374</v>
      </c>
      <c r="H445" s="99">
        <v>142</v>
      </c>
      <c r="I445" s="99">
        <v>6</v>
      </c>
      <c r="J445" s="99">
        <v>7</v>
      </c>
      <c r="K445" s="99" t="s">
        <v>6952</v>
      </c>
      <c r="L445" s="99">
        <v>141</v>
      </c>
      <c r="M445" s="99">
        <v>121</v>
      </c>
      <c r="N445" s="142">
        <v>20</v>
      </c>
    </row>
    <row r="446" spans="1:14" ht="34">
      <c r="A446" s="109" t="s">
        <v>7564</v>
      </c>
      <c r="B446" s="109" t="s">
        <v>7565</v>
      </c>
      <c r="C446" s="98">
        <v>2010</v>
      </c>
      <c r="D446" s="99">
        <v>408</v>
      </c>
      <c r="E446" s="99">
        <v>588</v>
      </c>
      <c r="F446" s="99">
        <v>257</v>
      </c>
      <c r="G446" s="99">
        <v>336</v>
      </c>
      <c r="H446" s="99">
        <v>143</v>
      </c>
      <c r="I446" s="99">
        <v>12</v>
      </c>
      <c r="J446" s="99">
        <v>13</v>
      </c>
      <c r="K446" s="99">
        <v>1</v>
      </c>
      <c r="L446" s="99">
        <v>133</v>
      </c>
      <c r="M446" s="99">
        <v>128</v>
      </c>
      <c r="N446" s="142">
        <v>5</v>
      </c>
    </row>
    <row r="447" spans="1:14" ht="34">
      <c r="A447" s="109" t="s">
        <v>7564</v>
      </c>
      <c r="B447" s="109" t="s">
        <v>7565</v>
      </c>
      <c r="C447" s="98">
        <v>2011</v>
      </c>
      <c r="D447" s="99">
        <v>545</v>
      </c>
      <c r="E447" s="99">
        <v>666</v>
      </c>
      <c r="F447" s="99">
        <v>320</v>
      </c>
      <c r="G447" s="99">
        <v>356</v>
      </c>
      <c r="H447" s="99">
        <v>172</v>
      </c>
      <c r="I447" s="99">
        <v>38</v>
      </c>
      <c r="J447" s="99">
        <v>38</v>
      </c>
      <c r="K447" s="99" t="s">
        <v>6952</v>
      </c>
      <c r="L447" s="99">
        <v>104</v>
      </c>
      <c r="M447" s="99">
        <v>95</v>
      </c>
      <c r="N447" s="142">
        <v>9</v>
      </c>
    </row>
    <row r="448" spans="1:14" ht="34">
      <c r="A448" s="109" t="s">
        <v>7564</v>
      </c>
      <c r="B448" s="109" t="s">
        <v>7565</v>
      </c>
      <c r="C448" s="111">
        <v>2012</v>
      </c>
      <c r="D448" s="112">
        <v>794</v>
      </c>
      <c r="E448" s="112">
        <v>649</v>
      </c>
      <c r="F448" s="112">
        <v>275</v>
      </c>
      <c r="G448" s="112">
        <v>382</v>
      </c>
      <c r="H448" s="112">
        <v>165</v>
      </c>
      <c r="I448" s="112">
        <v>6</v>
      </c>
      <c r="J448" s="112">
        <v>6</v>
      </c>
      <c r="K448" s="112" t="s">
        <v>6952</v>
      </c>
      <c r="L448" s="112">
        <v>125</v>
      </c>
      <c r="M448" s="112">
        <v>118</v>
      </c>
      <c r="N448" s="143">
        <v>7</v>
      </c>
    </row>
    <row r="449" spans="1:14" ht="34">
      <c r="A449" s="109" t="s">
        <v>7564</v>
      </c>
      <c r="B449" s="109" t="s">
        <v>7565</v>
      </c>
      <c r="C449" s="113">
        <v>2013</v>
      </c>
      <c r="D449" s="112">
        <v>857</v>
      </c>
      <c r="E449" s="112">
        <v>902</v>
      </c>
      <c r="F449" s="112">
        <v>432</v>
      </c>
      <c r="G449" s="112">
        <v>493</v>
      </c>
      <c r="H449" s="112">
        <v>210</v>
      </c>
      <c r="I449" s="99" t="s">
        <v>6953</v>
      </c>
      <c r="J449" s="99" t="s">
        <v>6953</v>
      </c>
      <c r="K449" s="112">
        <v>2</v>
      </c>
      <c r="L449" s="112">
        <v>188</v>
      </c>
      <c r="M449" s="112">
        <v>165</v>
      </c>
      <c r="N449" s="143">
        <v>23</v>
      </c>
    </row>
    <row r="450" spans="1:14" ht="34">
      <c r="A450" s="109" t="s">
        <v>7564</v>
      </c>
      <c r="B450" s="109" t="s">
        <v>7565</v>
      </c>
      <c r="C450" s="113">
        <v>2014</v>
      </c>
      <c r="D450" s="99">
        <v>957</v>
      </c>
      <c r="E450" s="99">
        <v>759</v>
      </c>
      <c r="F450" s="99">
        <v>312</v>
      </c>
      <c r="G450" s="99">
        <v>496</v>
      </c>
      <c r="H450" s="99">
        <v>160</v>
      </c>
      <c r="I450" s="99" t="s">
        <v>6953</v>
      </c>
      <c r="J450" s="99" t="s">
        <v>6953</v>
      </c>
      <c r="K450" s="99" t="s">
        <v>6952</v>
      </c>
      <c r="L450" s="99">
        <v>170</v>
      </c>
      <c r="M450" s="99">
        <v>120</v>
      </c>
      <c r="N450" s="142">
        <v>50</v>
      </c>
    </row>
    <row r="451" spans="1:14" ht="34">
      <c r="A451" s="109" t="s">
        <v>7564</v>
      </c>
      <c r="B451" s="109" t="s">
        <v>7565</v>
      </c>
      <c r="C451" s="113">
        <v>2015</v>
      </c>
      <c r="D451" s="112">
        <v>1099</v>
      </c>
      <c r="E451" s="112">
        <v>1494</v>
      </c>
      <c r="F451" s="112">
        <v>428</v>
      </c>
      <c r="G451" s="112">
        <v>1086</v>
      </c>
      <c r="H451" s="112">
        <v>244</v>
      </c>
      <c r="I451" s="112">
        <v>45</v>
      </c>
      <c r="J451" s="112">
        <v>46</v>
      </c>
      <c r="K451" s="112">
        <v>1</v>
      </c>
      <c r="L451" s="112">
        <v>208</v>
      </c>
      <c r="M451" s="112">
        <v>187</v>
      </c>
      <c r="N451" s="143">
        <v>20</v>
      </c>
    </row>
    <row r="452" spans="1:14" ht="34">
      <c r="A452" s="109" t="s">
        <v>7564</v>
      </c>
      <c r="B452" s="109" t="s">
        <v>7565</v>
      </c>
      <c r="C452" s="113">
        <v>2016</v>
      </c>
      <c r="D452" s="112">
        <v>1252</v>
      </c>
      <c r="E452" s="112">
        <v>870</v>
      </c>
      <c r="F452" s="112">
        <v>373</v>
      </c>
      <c r="G452" s="112">
        <v>540</v>
      </c>
      <c r="H452" s="112">
        <v>204</v>
      </c>
      <c r="I452" s="112">
        <v>9</v>
      </c>
      <c r="J452" s="112">
        <v>10</v>
      </c>
      <c r="K452" s="112">
        <v>1</v>
      </c>
      <c r="L452" s="112">
        <v>170</v>
      </c>
      <c r="M452" s="112">
        <v>130</v>
      </c>
      <c r="N452" s="143">
        <v>40</v>
      </c>
    </row>
    <row r="453" spans="1:14" ht="34">
      <c r="A453" s="109" t="s">
        <v>7564</v>
      </c>
      <c r="B453" s="109" t="s">
        <v>7565</v>
      </c>
      <c r="C453" s="113">
        <v>2017</v>
      </c>
      <c r="D453" s="112">
        <v>1048</v>
      </c>
      <c r="E453" s="112">
        <v>983</v>
      </c>
      <c r="F453" s="112">
        <v>445</v>
      </c>
      <c r="G453" s="112">
        <v>531</v>
      </c>
      <c r="H453" s="112">
        <v>263</v>
      </c>
      <c r="I453" s="112">
        <v>10</v>
      </c>
      <c r="J453" s="112">
        <v>11</v>
      </c>
      <c r="K453" s="112" t="s">
        <v>6952</v>
      </c>
      <c r="L453" s="112">
        <v>160</v>
      </c>
      <c r="M453" s="112">
        <v>168</v>
      </c>
      <c r="N453" s="143">
        <v>-8</v>
      </c>
    </row>
    <row r="454" spans="1:14" ht="34">
      <c r="A454" s="109" t="s">
        <v>7564</v>
      </c>
      <c r="B454" s="109" t="s">
        <v>7565</v>
      </c>
      <c r="C454" s="113">
        <v>2018</v>
      </c>
      <c r="D454" s="112">
        <v>1120</v>
      </c>
      <c r="E454" s="112">
        <v>806</v>
      </c>
      <c r="F454" s="112">
        <v>259</v>
      </c>
      <c r="G454" s="112">
        <v>550</v>
      </c>
      <c r="H454" s="112">
        <v>218</v>
      </c>
      <c r="I454" s="112">
        <v>23</v>
      </c>
      <c r="J454" s="112">
        <v>23</v>
      </c>
      <c r="K454" s="112">
        <v>1</v>
      </c>
      <c r="L454" s="112">
        <v>138</v>
      </c>
      <c r="M454" s="112">
        <v>136</v>
      </c>
      <c r="N454" s="143">
        <v>2</v>
      </c>
    </row>
    <row r="455" spans="1:14" ht="34">
      <c r="A455" s="109" t="s">
        <v>7564</v>
      </c>
      <c r="B455" s="109" t="s">
        <v>7565</v>
      </c>
      <c r="C455" s="113">
        <v>2019</v>
      </c>
      <c r="D455" s="112">
        <v>1375</v>
      </c>
      <c r="E455" s="112">
        <v>1232.300665</v>
      </c>
      <c r="F455" s="112">
        <v>508.82792899999998</v>
      </c>
      <c r="G455" s="112">
        <v>693.85020699999995</v>
      </c>
      <c r="H455" s="112">
        <v>320.07167700000002</v>
      </c>
      <c r="I455" s="112">
        <v>24.962334999999999</v>
      </c>
      <c r="J455" s="112">
        <v>30.191991999999999</v>
      </c>
      <c r="K455" s="112">
        <v>5.2296579999999997</v>
      </c>
      <c r="L455" s="112">
        <v>263.51187299999998</v>
      </c>
      <c r="M455" s="112">
        <v>292.09645</v>
      </c>
      <c r="N455" s="143">
        <v>-28.584576999999999</v>
      </c>
    </row>
    <row r="456" spans="1:14" ht="34">
      <c r="A456" s="114" t="s">
        <v>7564</v>
      </c>
      <c r="B456" s="109" t="s">
        <v>7565</v>
      </c>
      <c r="C456" s="113">
        <v>2020</v>
      </c>
      <c r="D456" s="112">
        <v>1424</v>
      </c>
      <c r="E456" s="112">
        <v>1053.6224689999999</v>
      </c>
      <c r="F456" s="112">
        <v>457.64912299999997</v>
      </c>
      <c r="G456" s="112">
        <v>601.08096899999998</v>
      </c>
      <c r="H456" s="112">
        <v>302.19153999999997</v>
      </c>
      <c r="I456" s="112">
        <v>24.972169000000001</v>
      </c>
      <c r="J456" s="112">
        <v>25.603802999999999</v>
      </c>
      <c r="K456" s="112">
        <v>0.63163400000000003</v>
      </c>
      <c r="L456" s="112">
        <v>257.37129700000003</v>
      </c>
      <c r="M456" s="112">
        <v>252.719098</v>
      </c>
      <c r="N456" s="143">
        <v>4.6521990000000004</v>
      </c>
    </row>
    <row r="457" spans="1:14" ht="17">
      <c r="A457" s="109" t="s">
        <v>7566</v>
      </c>
      <c r="B457" s="109" t="s">
        <v>7567</v>
      </c>
      <c r="C457" s="98">
        <v>2008</v>
      </c>
      <c r="D457" s="99">
        <v>229</v>
      </c>
      <c r="E457" s="99">
        <v>111</v>
      </c>
      <c r="F457" s="99">
        <v>48</v>
      </c>
      <c r="G457" s="99">
        <v>64</v>
      </c>
      <c r="H457" s="99">
        <v>25</v>
      </c>
      <c r="I457" s="99">
        <v>2</v>
      </c>
      <c r="J457" s="99">
        <v>3</v>
      </c>
      <c r="K457" s="99">
        <v>1</v>
      </c>
      <c r="L457" s="99">
        <v>11</v>
      </c>
      <c r="M457" s="99">
        <v>10</v>
      </c>
      <c r="N457" s="142">
        <v>1</v>
      </c>
    </row>
    <row r="458" spans="1:14" ht="17">
      <c r="A458" s="109" t="s">
        <v>7566</v>
      </c>
      <c r="B458" s="109" t="s">
        <v>7567</v>
      </c>
      <c r="C458" s="98">
        <v>2009</v>
      </c>
      <c r="D458" s="99">
        <v>485</v>
      </c>
      <c r="E458" s="99">
        <v>110</v>
      </c>
      <c r="F458" s="99">
        <v>69</v>
      </c>
      <c r="G458" s="99">
        <v>40</v>
      </c>
      <c r="H458" s="99">
        <v>30</v>
      </c>
      <c r="I458" s="99">
        <v>2</v>
      </c>
      <c r="J458" s="99">
        <v>3</v>
      </c>
      <c r="K458" s="99">
        <v>1</v>
      </c>
      <c r="L458" s="99">
        <v>5</v>
      </c>
      <c r="M458" s="99">
        <v>7</v>
      </c>
      <c r="N458" s="142">
        <v>-2</v>
      </c>
    </row>
    <row r="459" spans="1:14" ht="17">
      <c r="A459" s="109" t="s">
        <v>7566</v>
      </c>
      <c r="B459" s="109" t="s">
        <v>7567</v>
      </c>
      <c r="C459" s="98">
        <v>2010</v>
      </c>
      <c r="D459" s="99">
        <v>739</v>
      </c>
      <c r="E459" s="99">
        <v>81</v>
      </c>
      <c r="F459" s="99">
        <v>25</v>
      </c>
      <c r="G459" s="99">
        <v>56</v>
      </c>
      <c r="H459" s="99">
        <v>14</v>
      </c>
      <c r="I459" s="99" t="s">
        <v>6952</v>
      </c>
      <c r="J459" s="99">
        <v>1</v>
      </c>
      <c r="K459" s="99" t="s">
        <v>6952</v>
      </c>
      <c r="L459" s="99">
        <v>2</v>
      </c>
      <c r="M459" s="99">
        <v>2</v>
      </c>
      <c r="N459" s="142" t="s">
        <v>6952</v>
      </c>
    </row>
    <row r="460" spans="1:14" ht="17">
      <c r="A460" s="109" t="s">
        <v>7566</v>
      </c>
      <c r="B460" s="109" t="s">
        <v>7567</v>
      </c>
      <c r="C460" s="98">
        <v>2011</v>
      </c>
      <c r="D460" s="99">
        <v>1151</v>
      </c>
      <c r="E460" s="99">
        <v>183</v>
      </c>
      <c r="F460" s="99">
        <v>85</v>
      </c>
      <c r="G460" s="99">
        <v>101</v>
      </c>
      <c r="H460" s="99">
        <v>28</v>
      </c>
      <c r="I460" s="99">
        <v>3</v>
      </c>
      <c r="J460" s="99">
        <v>4</v>
      </c>
      <c r="K460" s="99">
        <v>1</v>
      </c>
      <c r="L460" s="99">
        <v>6</v>
      </c>
      <c r="M460" s="99">
        <v>3</v>
      </c>
      <c r="N460" s="142">
        <v>4</v>
      </c>
    </row>
    <row r="461" spans="1:14" ht="17">
      <c r="A461" s="109" t="s">
        <v>7566</v>
      </c>
      <c r="B461" s="109" t="s">
        <v>7567</v>
      </c>
      <c r="C461" s="111">
        <v>2012</v>
      </c>
      <c r="D461" s="112">
        <v>4004</v>
      </c>
      <c r="E461" s="112">
        <v>378</v>
      </c>
      <c r="F461" s="112">
        <v>248</v>
      </c>
      <c r="G461" s="112">
        <v>144</v>
      </c>
      <c r="H461" s="112">
        <v>102</v>
      </c>
      <c r="I461" s="112">
        <v>4</v>
      </c>
      <c r="J461" s="112">
        <v>5</v>
      </c>
      <c r="K461" s="112">
        <v>1</v>
      </c>
      <c r="L461" s="112">
        <v>48</v>
      </c>
      <c r="M461" s="112">
        <v>34</v>
      </c>
      <c r="N461" s="143">
        <v>14</v>
      </c>
    </row>
    <row r="462" spans="1:14" ht="17">
      <c r="A462" s="109" t="s">
        <v>7566</v>
      </c>
      <c r="B462" s="109" t="s">
        <v>7567</v>
      </c>
      <c r="C462" s="113">
        <v>2013</v>
      </c>
      <c r="D462" s="112">
        <v>5335</v>
      </c>
      <c r="E462" s="112">
        <v>649</v>
      </c>
      <c r="F462" s="112">
        <v>427</v>
      </c>
      <c r="G462" s="112">
        <v>220</v>
      </c>
      <c r="H462" s="112">
        <v>196</v>
      </c>
      <c r="I462" s="112">
        <v>8</v>
      </c>
      <c r="J462" s="112">
        <v>10</v>
      </c>
      <c r="K462" s="112">
        <v>2</v>
      </c>
      <c r="L462" s="112">
        <v>13</v>
      </c>
      <c r="M462" s="112">
        <v>15</v>
      </c>
      <c r="N462" s="143">
        <v>-2</v>
      </c>
    </row>
    <row r="463" spans="1:14" ht="17">
      <c r="A463" s="109" t="s">
        <v>7566</v>
      </c>
      <c r="B463" s="109" t="s">
        <v>7567</v>
      </c>
      <c r="C463" s="113">
        <v>2014</v>
      </c>
      <c r="D463" s="99">
        <v>1401</v>
      </c>
      <c r="E463" s="99">
        <v>497</v>
      </c>
      <c r="F463" s="99">
        <v>235</v>
      </c>
      <c r="G463" s="99">
        <v>267</v>
      </c>
      <c r="H463" s="99">
        <v>40</v>
      </c>
      <c r="I463" s="99">
        <v>53</v>
      </c>
      <c r="J463" s="99">
        <v>53</v>
      </c>
      <c r="K463" s="99" t="s">
        <v>6952</v>
      </c>
      <c r="L463" s="99">
        <v>37</v>
      </c>
      <c r="M463" s="99">
        <v>36</v>
      </c>
      <c r="N463" s="142">
        <v>1</v>
      </c>
    </row>
    <row r="464" spans="1:14" ht="17">
      <c r="A464" s="109" t="s">
        <v>7566</v>
      </c>
      <c r="B464" s="109" t="s">
        <v>7567</v>
      </c>
      <c r="C464" s="113">
        <v>2015</v>
      </c>
      <c r="D464" s="112">
        <v>1202</v>
      </c>
      <c r="E464" s="112">
        <v>178</v>
      </c>
      <c r="F464" s="112">
        <v>100</v>
      </c>
      <c r="G464" s="112">
        <v>81</v>
      </c>
      <c r="H464" s="112">
        <v>18</v>
      </c>
      <c r="I464" s="112">
        <v>45</v>
      </c>
      <c r="J464" s="112">
        <v>45</v>
      </c>
      <c r="K464" s="112">
        <v>1</v>
      </c>
      <c r="L464" s="112">
        <v>13</v>
      </c>
      <c r="M464" s="112">
        <v>11</v>
      </c>
      <c r="N464" s="143">
        <v>2</v>
      </c>
    </row>
    <row r="465" spans="1:14" ht="17">
      <c r="A465" s="109" t="s">
        <v>7566</v>
      </c>
      <c r="B465" s="109" t="s">
        <v>7567</v>
      </c>
      <c r="C465" s="113">
        <v>2016</v>
      </c>
      <c r="D465" s="112">
        <v>1165</v>
      </c>
      <c r="E465" s="112">
        <v>334</v>
      </c>
      <c r="F465" s="112">
        <v>140</v>
      </c>
      <c r="G465" s="112">
        <v>199</v>
      </c>
      <c r="H465" s="112">
        <v>75</v>
      </c>
      <c r="I465" s="112">
        <v>9</v>
      </c>
      <c r="J465" s="112">
        <v>11</v>
      </c>
      <c r="K465" s="112">
        <v>2</v>
      </c>
      <c r="L465" s="112">
        <v>16</v>
      </c>
      <c r="M465" s="112">
        <v>15</v>
      </c>
      <c r="N465" s="143">
        <v>1</v>
      </c>
    </row>
    <row r="466" spans="1:14" ht="17">
      <c r="A466" s="109" t="s">
        <v>7566</v>
      </c>
      <c r="B466" s="109" t="s">
        <v>7567</v>
      </c>
      <c r="C466" s="113">
        <v>2017</v>
      </c>
      <c r="D466" s="112">
        <v>1209</v>
      </c>
      <c r="E466" s="112">
        <v>295</v>
      </c>
      <c r="F466" s="112">
        <v>156</v>
      </c>
      <c r="G466" s="112">
        <v>153</v>
      </c>
      <c r="H466" s="112">
        <v>49</v>
      </c>
      <c r="I466" s="112">
        <v>14</v>
      </c>
      <c r="J466" s="112">
        <v>20</v>
      </c>
      <c r="K466" s="112">
        <v>6</v>
      </c>
      <c r="L466" s="112">
        <v>10</v>
      </c>
      <c r="M466" s="112">
        <v>8</v>
      </c>
      <c r="N466" s="143">
        <v>1</v>
      </c>
    </row>
    <row r="467" spans="1:14" ht="17">
      <c r="A467" s="109" t="s">
        <v>7566</v>
      </c>
      <c r="B467" s="109" t="s">
        <v>7567</v>
      </c>
      <c r="C467" s="113">
        <v>2018</v>
      </c>
      <c r="D467" s="112">
        <v>1210</v>
      </c>
      <c r="E467" s="112">
        <v>347</v>
      </c>
      <c r="F467" s="112">
        <v>221</v>
      </c>
      <c r="G467" s="112">
        <v>147</v>
      </c>
      <c r="H467" s="112">
        <v>56</v>
      </c>
      <c r="I467" s="112">
        <v>24</v>
      </c>
      <c r="J467" s="112">
        <v>25</v>
      </c>
      <c r="K467" s="112">
        <v>2</v>
      </c>
      <c r="L467" s="112">
        <v>34</v>
      </c>
      <c r="M467" s="112">
        <v>13</v>
      </c>
      <c r="N467" s="143">
        <v>21</v>
      </c>
    </row>
    <row r="468" spans="1:14" ht="17">
      <c r="A468" s="109" t="s">
        <v>7566</v>
      </c>
      <c r="B468" s="109" t="s">
        <v>7567</v>
      </c>
      <c r="C468" s="113">
        <v>2019</v>
      </c>
      <c r="D468" s="112">
        <v>1286</v>
      </c>
      <c r="E468" s="112">
        <v>356.69728199999997</v>
      </c>
      <c r="F468" s="112">
        <v>205.97713200000001</v>
      </c>
      <c r="G468" s="112">
        <v>161.63465400000001</v>
      </c>
      <c r="H468" s="112">
        <v>85.084862000000001</v>
      </c>
      <c r="I468" s="112">
        <v>4.7937269999999996</v>
      </c>
      <c r="J468" s="112">
        <v>12.102644</v>
      </c>
      <c r="K468" s="112">
        <v>7.3089180000000002</v>
      </c>
      <c r="L468" s="112">
        <v>19.446304999999999</v>
      </c>
      <c r="M468" s="112">
        <v>16.347328999999998</v>
      </c>
      <c r="N468" s="143">
        <v>3.098976</v>
      </c>
    </row>
    <row r="469" spans="1:14" ht="17">
      <c r="A469" s="114" t="s">
        <v>7566</v>
      </c>
      <c r="B469" s="114" t="s">
        <v>7567</v>
      </c>
      <c r="C469" s="113">
        <v>2020</v>
      </c>
      <c r="D469" s="112">
        <v>1281</v>
      </c>
      <c r="E469" s="112">
        <v>416.42993200000001</v>
      </c>
      <c r="F469" s="112">
        <v>234.62385699999999</v>
      </c>
      <c r="G469" s="112">
        <v>189.99642700000001</v>
      </c>
      <c r="H469" s="112">
        <v>85.514353</v>
      </c>
      <c r="I469" s="112">
        <v>23.537455000000001</v>
      </c>
      <c r="J469" s="112">
        <v>24.582523999999999</v>
      </c>
      <c r="K469" s="112">
        <v>1.045069</v>
      </c>
      <c r="L469" s="112">
        <v>28.152889999999999</v>
      </c>
      <c r="M469" s="112">
        <v>35.189946999999997</v>
      </c>
      <c r="N469" s="143">
        <v>-7.0370569999999999</v>
      </c>
    </row>
    <row r="470" spans="1:14" ht="34">
      <c r="A470" s="109" t="s">
        <v>7647</v>
      </c>
      <c r="B470" s="109" t="s">
        <v>7648</v>
      </c>
      <c r="C470" s="98">
        <v>2008</v>
      </c>
      <c r="D470" s="99">
        <v>2527</v>
      </c>
      <c r="E470" s="99">
        <v>2245</v>
      </c>
      <c r="F470" s="99">
        <v>405</v>
      </c>
      <c r="G470" s="99">
        <v>1870</v>
      </c>
      <c r="H470" s="99">
        <v>208</v>
      </c>
      <c r="I470" s="99">
        <v>2</v>
      </c>
      <c r="J470" s="99">
        <v>22</v>
      </c>
      <c r="K470" s="99">
        <v>20</v>
      </c>
      <c r="L470" s="99">
        <v>343</v>
      </c>
      <c r="M470" s="99">
        <v>300</v>
      </c>
      <c r="N470" s="140">
        <v>43</v>
      </c>
    </row>
    <row r="471" spans="1:14" ht="34">
      <c r="A471" s="109" t="s">
        <v>7647</v>
      </c>
      <c r="B471" s="109" t="s">
        <v>7648</v>
      </c>
      <c r="C471" s="98">
        <v>2009</v>
      </c>
      <c r="D471" s="99">
        <v>2378</v>
      </c>
      <c r="E471" s="99">
        <v>2296</v>
      </c>
      <c r="F471" s="99">
        <v>463</v>
      </c>
      <c r="G471" s="99">
        <v>1831</v>
      </c>
      <c r="H471" s="99">
        <v>192</v>
      </c>
      <c r="I471" s="99">
        <v>10</v>
      </c>
      <c r="J471" s="99">
        <v>18</v>
      </c>
      <c r="K471" s="99">
        <v>8</v>
      </c>
      <c r="L471" s="99">
        <v>362</v>
      </c>
      <c r="M471" s="99">
        <v>353</v>
      </c>
      <c r="N471" s="140">
        <v>8</v>
      </c>
    </row>
    <row r="472" spans="1:14" ht="34">
      <c r="A472" s="109" t="s">
        <v>7647</v>
      </c>
      <c r="B472" s="109" t="s">
        <v>7648</v>
      </c>
      <c r="C472" s="98">
        <v>2010</v>
      </c>
      <c r="D472" s="99">
        <v>2310</v>
      </c>
      <c r="E472" s="99">
        <v>2292</v>
      </c>
      <c r="F472" s="99">
        <v>420</v>
      </c>
      <c r="G472" s="99">
        <v>1898</v>
      </c>
      <c r="H472" s="99">
        <v>212</v>
      </c>
      <c r="I472" s="99">
        <v>14</v>
      </c>
      <c r="J472" s="99">
        <v>19</v>
      </c>
      <c r="K472" s="99">
        <v>5</v>
      </c>
      <c r="L472" s="99">
        <v>436</v>
      </c>
      <c r="M472" s="99">
        <v>403</v>
      </c>
      <c r="N472" s="140">
        <v>33</v>
      </c>
    </row>
    <row r="473" spans="1:14" ht="34">
      <c r="A473" s="109" t="s">
        <v>7647</v>
      </c>
      <c r="B473" s="109" t="s">
        <v>7648</v>
      </c>
      <c r="C473" s="98">
        <v>2011</v>
      </c>
      <c r="D473" s="99">
        <v>2317</v>
      </c>
      <c r="E473" s="99">
        <v>2286</v>
      </c>
      <c r="F473" s="99">
        <v>424</v>
      </c>
      <c r="G473" s="99">
        <v>1894</v>
      </c>
      <c r="H473" s="99">
        <v>183</v>
      </c>
      <c r="I473" s="99">
        <v>34</v>
      </c>
      <c r="J473" s="99">
        <v>36</v>
      </c>
      <c r="K473" s="99">
        <v>2</v>
      </c>
      <c r="L473" s="99">
        <v>526</v>
      </c>
      <c r="M473" s="99">
        <v>525</v>
      </c>
      <c r="N473" s="140">
        <v>1</v>
      </c>
    </row>
    <row r="474" spans="1:14" ht="34">
      <c r="A474" s="109" t="s">
        <v>7647</v>
      </c>
      <c r="B474" s="109" t="s">
        <v>7648</v>
      </c>
      <c r="C474" s="111">
        <v>2012</v>
      </c>
      <c r="D474" s="112">
        <v>2228</v>
      </c>
      <c r="E474" s="112">
        <v>1871</v>
      </c>
      <c r="F474" s="112">
        <v>379</v>
      </c>
      <c r="G474" s="112">
        <v>1473</v>
      </c>
      <c r="H474" s="112">
        <v>147</v>
      </c>
      <c r="I474" s="112">
        <v>7</v>
      </c>
      <c r="J474" s="112">
        <v>12</v>
      </c>
      <c r="K474" s="112">
        <v>5</v>
      </c>
      <c r="L474" s="112">
        <v>390</v>
      </c>
      <c r="M474" s="112">
        <v>397</v>
      </c>
      <c r="N474" s="141">
        <v>-7</v>
      </c>
    </row>
    <row r="475" spans="1:14" ht="34">
      <c r="A475" s="109" t="s">
        <v>7647</v>
      </c>
      <c r="B475" s="109" t="s">
        <v>7648</v>
      </c>
      <c r="C475" s="113">
        <v>2013</v>
      </c>
      <c r="D475" s="112">
        <v>2225</v>
      </c>
      <c r="E475" s="112">
        <v>1845</v>
      </c>
      <c r="F475" s="112">
        <v>383</v>
      </c>
      <c r="G475" s="112">
        <v>1444</v>
      </c>
      <c r="H475" s="112">
        <v>162</v>
      </c>
      <c r="I475" s="112">
        <v>9</v>
      </c>
      <c r="J475" s="112">
        <v>16</v>
      </c>
      <c r="K475" s="112">
        <v>7</v>
      </c>
      <c r="L475" s="112">
        <v>387</v>
      </c>
      <c r="M475" s="112">
        <v>405</v>
      </c>
      <c r="N475" s="141">
        <v>-18</v>
      </c>
    </row>
    <row r="476" spans="1:14" ht="34">
      <c r="A476" s="109" t="s">
        <v>7647</v>
      </c>
      <c r="B476" s="109" t="s">
        <v>7648</v>
      </c>
      <c r="C476" s="113">
        <v>2014</v>
      </c>
      <c r="D476" s="99">
        <v>2192</v>
      </c>
      <c r="E476" s="99">
        <v>1928</v>
      </c>
      <c r="F476" s="99">
        <v>455</v>
      </c>
      <c r="G476" s="99">
        <v>1530</v>
      </c>
      <c r="H476" s="99">
        <v>172</v>
      </c>
      <c r="I476" s="99">
        <v>38</v>
      </c>
      <c r="J476" s="99">
        <v>41</v>
      </c>
      <c r="K476" s="99">
        <v>3</v>
      </c>
      <c r="L476" s="99">
        <v>454</v>
      </c>
      <c r="M476" s="99">
        <v>397</v>
      </c>
      <c r="N476" s="140">
        <v>56</v>
      </c>
    </row>
    <row r="477" spans="1:14" ht="34">
      <c r="A477" s="109" t="s">
        <v>7647</v>
      </c>
      <c r="B477" s="109" t="s">
        <v>7648</v>
      </c>
      <c r="C477" s="113">
        <v>2015</v>
      </c>
      <c r="D477" s="112">
        <v>2093</v>
      </c>
      <c r="E477" s="112">
        <v>2264</v>
      </c>
      <c r="F477" s="112">
        <v>388</v>
      </c>
      <c r="G477" s="112">
        <v>1928</v>
      </c>
      <c r="H477" s="112">
        <v>182</v>
      </c>
      <c r="I477" s="112">
        <v>49</v>
      </c>
      <c r="J477" s="112">
        <v>52</v>
      </c>
      <c r="K477" s="112">
        <v>3</v>
      </c>
      <c r="L477" s="112">
        <v>438</v>
      </c>
      <c r="M477" s="112">
        <v>381</v>
      </c>
      <c r="N477" s="141">
        <v>56</v>
      </c>
    </row>
    <row r="478" spans="1:14" ht="34">
      <c r="A478" s="109" t="s">
        <v>7647</v>
      </c>
      <c r="B478" s="109" t="s">
        <v>7648</v>
      </c>
      <c r="C478" s="113">
        <v>2016</v>
      </c>
      <c r="D478" s="112">
        <v>2150</v>
      </c>
      <c r="E478" s="112">
        <v>2638</v>
      </c>
      <c r="F478" s="112">
        <v>531</v>
      </c>
      <c r="G478" s="112">
        <v>2158</v>
      </c>
      <c r="H478" s="112">
        <v>211</v>
      </c>
      <c r="I478" s="112">
        <v>51</v>
      </c>
      <c r="J478" s="112">
        <v>60</v>
      </c>
      <c r="K478" s="112">
        <v>9</v>
      </c>
      <c r="L478" s="112">
        <v>488</v>
      </c>
      <c r="M478" s="112">
        <v>434</v>
      </c>
      <c r="N478" s="141">
        <v>54</v>
      </c>
    </row>
    <row r="479" spans="1:14" ht="34">
      <c r="A479" s="109" t="s">
        <v>7647</v>
      </c>
      <c r="B479" s="109" t="s">
        <v>7648</v>
      </c>
      <c r="C479" s="113">
        <v>2017</v>
      </c>
      <c r="D479" s="112">
        <v>2164</v>
      </c>
      <c r="E479" s="112">
        <v>2219</v>
      </c>
      <c r="F479" s="112">
        <v>533</v>
      </c>
      <c r="G479" s="112">
        <v>1736</v>
      </c>
      <c r="H479" s="112">
        <v>185</v>
      </c>
      <c r="I479" s="112">
        <v>61</v>
      </c>
      <c r="J479" s="112">
        <v>67</v>
      </c>
      <c r="K479" s="112">
        <v>6</v>
      </c>
      <c r="L479" s="112">
        <v>513</v>
      </c>
      <c r="M479" s="112">
        <v>465</v>
      </c>
      <c r="N479" s="141">
        <v>47</v>
      </c>
    </row>
    <row r="480" spans="1:14" ht="34">
      <c r="A480" s="109" t="s">
        <v>7647</v>
      </c>
      <c r="B480" s="109" t="s">
        <v>7648</v>
      </c>
      <c r="C480" s="113">
        <v>2018</v>
      </c>
      <c r="D480" s="112">
        <v>2187</v>
      </c>
      <c r="E480" s="112">
        <v>2455</v>
      </c>
      <c r="F480" s="112">
        <v>461</v>
      </c>
      <c r="G480" s="112">
        <v>1981</v>
      </c>
      <c r="H480" s="112">
        <v>200</v>
      </c>
      <c r="I480" s="112">
        <v>59</v>
      </c>
      <c r="J480" s="112">
        <v>71</v>
      </c>
      <c r="K480" s="112">
        <v>13</v>
      </c>
      <c r="L480" s="112">
        <v>395</v>
      </c>
      <c r="M480" s="112">
        <v>406</v>
      </c>
      <c r="N480" s="141">
        <v>-12</v>
      </c>
    </row>
    <row r="481" spans="1:14" ht="34">
      <c r="A481" s="109" t="s">
        <v>7647</v>
      </c>
      <c r="B481" s="109" t="s">
        <v>7648</v>
      </c>
      <c r="C481" s="113">
        <v>2019</v>
      </c>
      <c r="D481" s="112">
        <v>2173</v>
      </c>
      <c r="E481" s="112">
        <v>2488.222667</v>
      </c>
      <c r="F481" s="112">
        <v>591.37941000000001</v>
      </c>
      <c r="G481" s="112">
        <v>1941.724031</v>
      </c>
      <c r="H481" s="112">
        <v>184.42531500000001</v>
      </c>
      <c r="I481" s="112">
        <v>93.871026999999998</v>
      </c>
      <c r="J481" s="112">
        <v>97.952093000000005</v>
      </c>
      <c r="K481" s="112">
        <v>4.0810659999999999</v>
      </c>
      <c r="L481" s="112">
        <v>479.40520500000002</v>
      </c>
      <c r="M481" s="112">
        <v>432.22032000000002</v>
      </c>
      <c r="N481" s="141">
        <v>47.184885000000001</v>
      </c>
    </row>
    <row r="482" spans="1:14" ht="34">
      <c r="A482" s="144" t="s">
        <v>7647</v>
      </c>
      <c r="B482" s="144" t="s">
        <v>7648</v>
      </c>
      <c r="C482" s="145">
        <v>2020</v>
      </c>
      <c r="D482" s="146">
        <v>2191</v>
      </c>
      <c r="E482" s="146">
        <v>2534.6495450000002</v>
      </c>
      <c r="F482" s="146">
        <v>396.54231299999998</v>
      </c>
      <c r="G482" s="146">
        <v>2060.0871299999999</v>
      </c>
      <c r="H482" s="146">
        <v>194.785766</v>
      </c>
      <c r="I482" s="146">
        <v>29.646799999999999</v>
      </c>
      <c r="J482" s="146">
        <v>33.624381999999997</v>
      </c>
      <c r="K482" s="146">
        <v>3.9775830000000001</v>
      </c>
      <c r="L482" s="146">
        <v>367.98616900000002</v>
      </c>
      <c r="M482" s="146">
        <v>443.609801</v>
      </c>
      <c r="N482" s="147">
        <v>-75.623632000000001</v>
      </c>
    </row>
    <row r="483" spans="1:14" ht="17">
      <c r="A483" s="109" t="s">
        <v>7649</v>
      </c>
      <c r="B483" s="109" t="s">
        <v>7650</v>
      </c>
      <c r="C483" s="98">
        <v>2008</v>
      </c>
      <c r="D483" s="99">
        <v>1502</v>
      </c>
      <c r="E483" s="99">
        <v>3171</v>
      </c>
      <c r="F483" s="99">
        <v>521</v>
      </c>
      <c r="G483" s="99">
        <v>2615</v>
      </c>
      <c r="H483" s="99">
        <v>281</v>
      </c>
      <c r="I483" s="99">
        <v>123</v>
      </c>
      <c r="J483" s="99">
        <v>134</v>
      </c>
      <c r="K483" s="99">
        <v>11</v>
      </c>
      <c r="L483" s="99">
        <v>109</v>
      </c>
      <c r="M483" s="99">
        <v>133</v>
      </c>
      <c r="N483" s="142">
        <v>-24</v>
      </c>
    </row>
    <row r="484" spans="1:14" ht="17">
      <c r="A484" s="109" t="s">
        <v>7649</v>
      </c>
      <c r="B484" s="109" t="s">
        <v>7650</v>
      </c>
      <c r="C484" s="98">
        <v>2009</v>
      </c>
      <c r="D484" s="99">
        <v>1490</v>
      </c>
      <c r="E484" s="99">
        <v>2067</v>
      </c>
      <c r="F484" s="99">
        <v>357</v>
      </c>
      <c r="G484" s="99">
        <v>1688</v>
      </c>
      <c r="H484" s="99">
        <v>262</v>
      </c>
      <c r="I484" s="99">
        <v>84</v>
      </c>
      <c r="J484" s="99">
        <v>116</v>
      </c>
      <c r="K484" s="99">
        <v>32</v>
      </c>
      <c r="L484" s="99">
        <v>81</v>
      </c>
      <c r="M484" s="99">
        <v>95</v>
      </c>
      <c r="N484" s="142">
        <v>-15</v>
      </c>
    </row>
    <row r="485" spans="1:14" ht="17">
      <c r="A485" s="109" t="s">
        <v>7649</v>
      </c>
      <c r="B485" s="109" t="s">
        <v>7650</v>
      </c>
      <c r="C485" s="98">
        <v>2010</v>
      </c>
      <c r="D485" s="99">
        <v>1470</v>
      </c>
      <c r="E485" s="99">
        <v>3344</v>
      </c>
      <c r="F485" s="99">
        <v>584</v>
      </c>
      <c r="G485" s="99">
        <v>2771</v>
      </c>
      <c r="H485" s="99">
        <v>198</v>
      </c>
      <c r="I485" s="99">
        <v>65</v>
      </c>
      <c r="J485" s="99">
        <v>81</v>
      </c>
      <c r="K485" s="99">
        <v>16</v>
      </c>
      <c r="L485" s="99">
        <v>121</v>
      </c>
      <c r="M485" s="99">
        <v>95</v>
      </c>
      <c r="N485" s="142">
        <v>26</v>
      </c>
    </row>
    <row r="486" spans="1:14" ht="17">
      <c r="A486" s="109" t="s">
        <v>7649</v>
      </c>
      <c r="B486" s="109" t="s">
        <v>7650</v>
      </c>
      <c r="C486" s="98">
        <v>2011</v>
      </c>
      <c r="D486" s="99">
        <v>1447</v>
      </c>
      <c r="E486" s="99">
        <v>3481</v>
      </c>
      <c r="F486" s="99">
        <v>611</v>
      </c>
      <c r="G486" s="99">
        <v>2851</v>
      </c>
      <c r="H486" s="99">
        <v>224</v>
      </c>
      <c r="I486" s="99">
        <v>46</v>
      </c>
      <c r="J486" s="99">
        <v>81</v>
      </c>
      <c r="K486" s="99">
        <v>35</v>
      </c>
      <c r="L486" s="99">
        <v>169</v>
      </c>
      <c r="M486" s="99">
        <v>185</v>
      </c>
      <c r="N486" s="142">
        <v>-15</v>
      </c>
    </row>
    <row r="487" spans="1:14" ht="17">
      <c r="A487" s="109" t="s">
        <v>7649</v>
      </c>
      <c r="B487" s="109" t="s">
        <v>7650</v>
      </c>
      <c r="C487" s="98">
        <v>2012</v>
      </c>
      <c r="D487" s="112">
        <v>1411</v>
      </c>
      <c r="E487" s="112">
        <v>3091</v>
      </c>
      <c r="F487" s="112">
        <v>398</v>
      </c>
      <c r="G487" s="112">
        <v>2699</v>
      </c>
      <c r="H487" s="112">
        <v>196</v>
      </c>
      <c r="I487" s="112">
        <v>48</v>
      </c>
      <c r="J487" s="112">
        <v>59</v>
      </c>
      <c r="K487" s="112">
        <v>11</v>
      </c>
      <c r="L487" s="112">
        <v>172</v>
      </c>
      <c r="M487" s="112">
        <v>166</v>
      </c>
      <c r="N487" s="143">
        <v>6</v>
      </c>
    </row>
    <row r="488" spans="1:14" ht="17">
      <c r="A488" s="109" t="s">
        <v>7649</v>
      </c>
      <c r="B488" s="109" t="s">
        <v>7650</v>
      </c>
      <c r="C488" s="101">
        <v>2013</v>
      </c>
      <c r="D488" s="112">
        <v>1608</v>
      </c>
      <c r="E488" s="112">
        <v>3533</v>
      </c>
      <c r="F488" s="112">
        <v>590</v>
      </c>
      <c r="G488" s="112">
        <v>2899</v>
      </c>
      <c r="H488" s="112">
        <v>231</v>
      </c>
      <c r="I488" s="112">
        <v>87</v>
      </c>
      <c r="J488" s="112">
        <v>96</v>
      </c>
      <c r="K488" s="112">
        <v>10</v>
      </c>
      <c r="L488" s="112">
        <v>254</v>
      </c>
      <c r="M488" s="112">
        <v>297</v>
      </c>
      <c r="N488" s="143">
        <v>-42</v>
      </c>
    </row>
    <row r="489" spans="1:14" ht="17">
      <c r="A489" s="109" t="s">
        <v>7649</v>
      </c>
      <c r="B489" s="109" t="s">
        <v>7650</v>
      </c>
      <c r="C489" s="101">
        <v>2014</v>
      </c>
      <c r="D489" s="99">
        <v>1682</v>
      </c>
      <c r="E489" s="99">
        <v>3001</v>
      </c>
      <c r="F489" s="99">
        <v>602</v>
      </c>
      <c r="G489" s="99">
        <v>2352</v>
      </c>
      <c r="H489" s="99">
        <v>216</v>
      </c>
      <c r="I489" s="99">
        <v>55</v>
      </c>
      <c r="J489" s="99">
        <v>65</v>
      </c>
      <c r="K489" s="99">
        <v>10</v>
      </c>
      <c r="L489" s="99">
        <v>122</v>
      </c>
      <c r="M489" s="99">
        <v>149</v>
      </c>
      <c r="N489" s="142">
        <v>-28</v>
      </c>
    </row>
    <row r="490" spans="1:14" ht="17">
      <c r="A490" s="109" t="s">
        <v>7649</v>
      </c>
      <c r="B490" s="109" t="s">
        <v>7650</v>
      </c>
      <c r="C490" s="101">
        <v>2015</v>
      </c>
      <c r="D490" s="112">
        <v>1685</v>
      </c>
      <c r="E490" s="112">
        <v>2386</v>
      </c>
      <c r="F490" s="112">
        <v>423</v>
      </c>
      <c r="G490" s="112">
        <v>1958</v>
      </c>
      <c r="H490" s="112">
        <v>189</v>
      </c>
      <c r="I490" s="112">
        <v>62</v>
      </c>
      <c r="J490" s="112">
        <v>71</v>
      </c>
      <c r="K490" s="112">
        <v>9</v>
      </c>
      <c r="L490" s="112">
        <v>168</v>
      </c>
      <c r="M490" s="112">
        <v>173</v>
      </c>
      <c r="N490" s="143">
        <v>-6</v>
      </c>
    </row>
    <row r="491" spans="1:14" ht="17">
      <c r="A491" s="109" t="s">
        <v>7649</v>
      </c>
      <c r="B491" s="109" t="s">
        <v>7650</v>
      </c>
      <c r="C491" s="101">
        <v>2016</v>
      </c>
      <c r="D491" s="112">
        <v>1678</v>
      </c>
      <c r="E491" s="112">
        <v>2747</v>
      </c>
      <c r="F491" s="112">
        <v>758</v>
      </c>
      <c r="G491" s="112">
        <v>1992</v>
      </c>
      <c r="H491" s="112">
        <v>224</v>
      </c>
      <c r="I491" s="112">
        <v>92</v>
      </c>
      <c r="J491" s="112">
        <v>110</v>
      </c>
      <c r="K491" s="112">
        <v>18</v>
      </c>
      <c r="L491" s="112">
        <v>158</v>
      </c>
      <c r="M491" s="112">
        <v>149</v>
      </c>
      <c r="N491" s="143">
        <v>9</v>
      </c>
    </row>
    <row r="492" spans="1:14" ht="17">
      <c r="A492" s="109" t="s">
        <v>7649</v>
      </c>
      <c r="B492" s="109" t="s">
        <v>7650</v>
      </c>
      <c r="C492" s="101">
        <v>2017</v>
      </c>
      <c r="D492" s="112">
        <v>1612</v>
      </c>
      <c r="E492" s="112">
        <v>2889</v>
      </c>
      <c r="F492" s="112">
        <v>589</v>
      </c>
      <c r="G492" s="112">
        <v>2290</v>
      </c>
      <c r="H492" s="112">
        <v>216</v>
      </c>
      <c r="I492" s="112">
        <v>161</v>
      </c>
      <c r="J492" s="112">
        <v>176</v>
      </c>
      <c r="K492" s="112">
        <v>15</v>
      </c>
      <c r="L492" s="112">
        <v>109</v>
      </c>
      <c r="M492" s="112">
        <v>127</v>
      </c>
      <c r="N492" s="143">
        <v>-18</v>
      </c>
    </row>
    <row r="493" spans="1:14" ht="17">
      <c r="A493" s="109" t="s">
        <v>7649</v>
      </c>
      <c r="B493" s="109" t="s">
        <v>7650</v>
      </c>
      <c r="C493" s="101">
        <v>2018</v>
      </c>
      <c r="D493" s="112">
        <v>1626</v>
      </c>
      <c r="E493" s="112">
        <v>3522</v>
      </c>
      <c r="F493" s="112">
        <v>479</v>
      </c>
      <c r="G493" s="112">
        <v>3072</v>
      </c>
      <c r="H493" s="112">
        <v>209</v>
      </c>
      <c r="I493" s="112">
        <v>83</v>
      </c>
      <c r="J493" s="112">
        <v>93</v>
      </c>
      <c r="K493" s="112">
        <v>10</v>
      </c>
      <c r="L493" s="112">
        <v>215</v>
      </c>
      <c r="M493" s="112">
        <v>188</v>
      </c>
      <c r="N493" s="143">
        <v>28</v>
      </c>
    </row>
    <row r="494" spans="1:14" ht="17">
      <c r="A494" s="109" t="s">
        <v>7649</v>
      </c>
      <c r="B494" s="109" t="s">
        <v>7650</v>
      </c>
      <c r="C494" s="101">
        <v>2019</v>
      </c>
      <c r="D494" s="112">
        <v>1597</v>
      </c>
      <c r="E494" s="112">
        <v>3278.7149869999998</v>
      </c>
      <c r="F494" s="112">
        <v>574.251623</v>
      </c>
      <c r="G494" s="112">
        <v>2697.8802059999998</v>
      </c>
      <c r="H494" s="112">
        <v>279.79696799999999</v>
      </c>
      <c r="I494" s="112">
        <v>137.554114</v>
      </c>
      <c r="J494" s="112">
        <v>152.63599199999999</v>
      </c>
      <c r="K494" s="112">
        <v>15.081879000000001</v>
      </c>
      <c r="L494" s="112">
        <v>185.76398900000001</v>
      </c>
      <c r="M494" s="112">
        <v>183.875113</v>
      </c>
      <c r="N494" s="143">
        <v>1.888876</v>
      </c>
    </row>
    <row r="495" spans="1:14" ht="17">
      <c r="A495" s="114" t="s">
        <v>7649</v>
      </c>
      <c r="B495" s="114" t="s">
        <v>7650</v>
      </c>
      <c r="C495" s="101">
        <v>2020</v>
      </c>
      <c r="D495" s="112">
        <v>1594</v>
      </c>
      <c r="E495" s="112">
        <v>3698.3475480000002</v>
      </c>
      <c r="F495" s="112">
        <v>744.75488099999995</v>
      </c>
      <c r="G495" s="112">
        <v>2955.0280520000001</v>
      </c>
      <c r="H495" s="112">
        <v>272.13952399999999</v>
      </c>
      <c r="I495" s="112">
        <v>141.55024599999999</v>
      </c>
      <c r="J495" s="112">
        <v>155.291572</v>
      </c>
      <c r="K495" s="112">
        <v>13.741327</v>
      </c>
      <c r="L495" s="112">
        <v>114.03965100000001</v>
      </c>
      <c r="M495" s="112">
        <v>113.317076</v>
      </c>
      <c r="N495" s="143">
        <v>0.72257499999999997</v>
      </c>
    </row>
  </sheetData>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44D45-F853-C24B-B50B-F390ED71B7B4}">
  <dimension ref="A1:C31"/>
  <sheetViews>
    <sheetView zoomScale="80" zoomScaleNormal="80" workbookViewId="0">
      <selection activeCell="G12" sqref="G12"/>
    </sheetView>
  </sheetViews>
  <sheetFormatPr baseColWidth="10" defaultRowHeight="16"/>
  <cols>
    <col min="1" max="1" width="22.83203125" customWidth="1"/>
    <col min="2" max="2" width="16.83203125" customWidth="1"/>
  </cols>
  <sheetData>
    <row r="1" spans="1:3">
      <c r="A1" s="4" t="s">
        <v>171</v>
      </c>
      <c r="B1" s="4" t="s">
        <v>169</v>
      </c>
      <c r="C1" s="4" t="s">
        <v>170</v>
      </c>
    </row>
    <row r="2" spans="1:3">
      <c r="A2" s="3" t="s">
        <v>24</v>
      </c>
      <c r="B2" s="3">
        <v>4</v>
      </c>
      <c r="C2" s="2">
        <v>0.5</v>
      </c>
    </row>
    <row r="3" spans="1:3">
      <c r="A3" s="3" t="s">
        <v>30</v>
      </c>
      <c r="B3" s="3">
        <v>5</v>
      </c>
      <c r="C3" s="2">
        <v>36.5</v>
      </c>
    </row>
    <row r="4" spans="1:3">
      <c r="A4" s="3" t="s">
        <v>37</v>
      </c>
      <c r="B4" s="3">
        <v>5</v>
      </c>
      <c r="C4" s="2">
        <v>100</v>
      </c>
    </row>
    <row r="5" spans="1:3">
      <c r="A5" s="2" t="s">
        <v>40</v>
      </c>
      <c r="B5" s="2">
        <v>5</v>
      </c>
      <c r="C5" s="2">
        <v>3.5</v>
      </c>
    </row>
    <row r="6" spans="1:3">
      <c r="A6" s="2" t="s">
        <v>16</v>
      </c>
      <c r="B6" s="2">
        <v>6</v>
      </c>
      <c r="C6" s="2">
        <v>9.5</v>
      </c>
    </row>
    <row r="7" spans="1:3">
      <c r="A7" s="3" t="s">
        <v>39</v>
      </c>
      <c r="B7" s="3">
        <v>6</v>
      </c>
      <c r="C7" s="2">
        <v>6</v>
      </c>
    </row>
    <row r="8" spans="1:3">
      <c r="A8" s="2" t="s">
        <v>45</v>
      </c>
      <c r="B8" s="2">
        <v>6</v>
      </c>
      <c r="C8" s="2">
        <v>17.5</v>
      </c>
    </row>
    <row r="9" spans="1:3">
      <c r="A9" s="2" t="s">
        <v>51</v>
      </c>
      <c r="B9" s="2">
        <v>7</v>
      </c>
      <c r="C9" s="2">
        <v>6.5</v>
      </c>
    </row>
    <row r="10" spans="1:3">
      <c r="A10" s="3" t="s">
        <v>52</v>
      </c>
      <c r="B10" s="3">
        <v>8</v>
      </c>
      <c r="C10" s="2">
        <v>75</v>
      </c>
    </row>
    <row r="11" spans="1:3">
      <c r="A11" s="2" t="s">
        <v>52</v>
      </c>
      <c r="B11" s="2">
        <v>8</v>
      </c>
      <c r="C11" s="2">
        <v>135</v>
      </c>
    </row>
    <row r="12" spans="1:3">
      <c r="A12" s="3" t="s">
        <v>15</v>
      </c>
      <c r="B12" s="3">
        <v>10</v>
      </c>
      <c r="C12" s="2">
        <v>9.5</v>
      </c>
    </row>
    <row r="13" spans="1:3">
      <c r="A13" s="2" t="s">
        <v>18</v>
      </c>
      <c r="B13" s="2">
        <v>10</v>
      </c>
      <c r="C13" s="2">
        <v>60</v>
      </c>
    </row>
    <row r="14" spans="1:3">
      <c r="A14" s="2" t="s">
        <v>45</v>
      </c>
      <c r="B14" s="2">
        <v>10</v>
      </c>
      <c r="C14" s="2">
        <v>120</v>
      </c>
    </row>
    <row r="15" spans="1:3">
      <c r="A15" s="3" t="s">
        <v>19</v>
      </c>
      <c r="B15" s="3">
        <v>11</v>
      </c>
      <c r="C15" s="2">
        <v>45</v>
      </c>
    </row>
    <row r="16" spans="1:3">
      <c r="A16" s="3" t="s">
        <v>35</v>
      </c>
      <c r="B16" s="3">
        <v>11</v>
      </c>
      <c r="C16" s="2">
        <v>54.5</v>
      </c>
    </row>
    <row r="17" spans="1:3">
      <c r="A17" s="2" t="s">
        <v>32</v>
      </c>
      <c r="B17" s="2">
        <v>12</v>
      </c>
      <c r="C17" s="2">
        <v>38.5</v>
      </c>
    </row>
    <row r="18" spans="1:3">
      <c r="A18" s="2" t="s">
        <v>44</v>
      </c>
      <c r="B18" s="2">
        <v>13</v>
      </c>
      <c r="C18" s="2">
        <v>205</v>
      </c>
    </row>
    <row r="19" spans="1:3">
      <c r="A19" s="2" t="s">
        <v>14</v>
      </c>
      <c r="B19" s="2">
        <v>14</v>
      </c>
      <c r="C19" s="2">
        <v>24.1</v>
      </c>
    </row>
    <row r="20" spans="1:3">
      <c r="A20" s="3" t="s">
        <v>13</v>
      </c>
      <c r="B20" s="3">
        <v>15</v>
      </c>
      <c r="C20" s="2">
        <v>345</v>
      </c>
    </row>
    <row r="21" spans="1:3">
      <c r="A21" s="3" t="s">
        <v>33</v>
      </c>
      <c r="B21" s="3">
        <v>17</v>
      </c>
      <c r="C21" s="2">
        <v>675</v>
      </c>
    </row>
    <row r="22" spans="1:3">
      <c r="A22" s="2" t="s">
        <v>34</v>
      </c>
      <c r="B22" s="2">
        <v>17</v>
      </c>
      <c r="C22" s="2">
        <v>28.25</v>
      </c>
    </row>
    <row r="23" spans="1:3">
      <c r="A23" s="3" t="s">
        <v>17</v>
      </c>
      <c r="B23" s="3">
        <v>8.5</v>
      </c>
      <c r="C23" s="2">
        <v>90</v>
      </c>
    </row>
    <row r="24" spans="1:3">
      <c r="A24" s="2" t="s">
        <v>21</v>
      </c>
      <c r="B24" s="3">
        <v>4</v>
      </c>
      <c r="C24" s="2">
        <v>0.3</v>
      </c>
    </row>
    <row r="25" spans="1:3">
      <c r="A25" s="3" t="s">
        <v>22</v>
      </c>
      <c r="B25" s="3">
        <v>5</v>
      </c>
      <c r="C25" s="2">
        <v>1.25</v>
      </c>
    </row>
    <row r="26" spans="1:3">
      <c r="A26" s="2" t="s">
        <v>23</v>
      </c>
      <c r="B26" s="3">
        <v>3.45</v>
      </c>
      <c r="C26" s="2">
        <v>0.2</v>
      </c>
    </row>
    <row r="27" spans="1:3">
      <c r="A27" s="2" t="s">
        <v>36</v>
      </c>
      <c r="B27" s="3">
        <v>35</v>
      </c>
      <c r="C27" s="2">
        <v>35</v>
      </c>
    </row>
    <row r="28" spans="1:3">
      <c r="A28" s="2" t="s">
        <v>38</v>
      </c>
      <c r="B28" s="3">
        <v>3.5</v>
      </c>
      <c r="C28" s="2">
        <v>0.22</v>
      </c>
    </row>
    <row r="29" spans="1:3">
      <c r="A29" s="3" t="s">
        <v>41</v>
      </c>
      <c r="B29" s="3">
        <v>10.5</v>
      </c>
      <c r="C29" s="2">
        <v>7.6</v>
      </c>
    </row>
    <row r="30" spans="1:3">
      <c r="A30" s="2" t="s">
        <v>42</v>
      </c>
      <c r="B30" s="3">
        <v>1.5</v>
      </c>
      <c r="C30" s="2">
        <v>1.375</v>
      </c>
    </row>
    <row r="31" spans="1:3">
      <c r="A31" s="3" t="s">
        <v>43</v>
      </c>
      <c r="B31" s="3">
        <v>13</v>
      </c>
      <c r="C31" s="2">
        <v>2.8</v>
      </c>
    </row>
  </sheetData>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FD468-FC64-8546-902F-8AA62C0A32CC}">
  <dimension ref="A1:E25"/>
  <sheetViews>
    <sheetView workbookViewId="0">
      <selection activeCell="D32" sqref="D32"/>
    </sheetView>
  </sheetViews>
  <sheetFormatPr baseColWidth="10" defaultRowHeight="16"/>
  <sheetData>
    <row r="1" spans="1:5" s="1" customFormat="1">
      <c r="A1" s="1" t="s">
        <v>168</v>
      </c>
    </row>
    <row r="2" spans="1:5">
      <c r="B2">
        <v>0.9</v>
      </c>
      <c r="C2">
        <v>2.2000000000000002</v>
      </c>
      <c r="D2">
        <f>SUM(B2:C2)</f>
        <v>3.1</v>
      </c>
      <c r="E2" t="s">
        <v>101</v>
      </c>
    </row>
    <row r="3" spans="1:5">
      <c r="B3">
        <v>0.7</v>
      </c>
      <c r="C3">
        <v>2.2000000000000002</v>
      </c>
      <c r="D3">
        <f t="shared" ref="D3:D25" si="0">SUM(B3:C3)</f>
        <v>2.9000000000000004</v>
      </c>
      <c r="E3" t="s">
        <v>103</v>
      </c>
    </row>
    <row r="4" spans="1:5">
      <c r="B4">
        <v>2.2000000000000002</v>
      </c>
      <c r="C4">
        <v>4</v>
      </c>
      <c r="D4">
        <f t="shared" si="0"/>
        <v>6.2</v>
      </c>
      <c r="E4" t="s">
        <v>104</v>
      </c>
    </row>
    <row r="5" spans="1:5">
      <c r="B5">
        <v>1.2</v>
      </c>
      <c r="C5">
        <v>3.5</v>
      </c>
      <c r="D5">
        <f t="shared" si="0"/>
        <v>4.7</v>
      </c>
      <c r="E5" t="s">
        <v>105</v>
      </c>
    </row>
    <row r="6" spans="1:5">
      <c r="B6">
        <v>1.8</v>
      </c>
      <c r="C6">
        <v>3.1</v>
      </c>
      <c r="D6">
        <f t="shared" si="0"/>
        <v>4.9000000000000004</v>
      </c>
      <c r="E6" t="s">
        <v>106</v>
      </c>
    </row>
    <row r="7" spans="1:5">
      <c r="B7">
        <v>2.2999999999999998</v>
      </c>
      <c r="C7">
        <v>4.2</v>
      </c>
      <c r="D7">
        <f t="shared" si="0"/>
        <v>6.5</v>
      </c>
      <c r="E7" t="s">
        <v>107</v>
      </c>
    </row>
    <row r="8" spans="1:5">
      <c r="B8">
        <v>1.3</v>
      </c>
      <c r="C8">
        <v>2.6</v>
      </c>
      <c r="D8">
        <f t="shared" si="0"/>
        <v>3.9000000000000004</v>
      </c>
      <c r="E8" t="s">
        <v>108</v>
      </c>
    </row>
    <row r="9" spans="1:5">
      <c r="B9">
        <v>1.5</v>
      </c>
      <c r="C9">
        <v>3</v>
      </c>
      <c r="D9">
        <f t="shared" si="0"/>
        <v>4.5</v>
      </c>
      <c r="E9" t="s">
        <v>166</v>
      </c>
    </row>
    <row r="10" spans="1:5">
      <c r="B10">
        <v>1</v>
      </c>
      <c r="C10">
        <v>2.2000000000000002</v>
      </c>
      <c r="D10">
        <f t="shared" si="0"/>
        <v>3.2</v>
      </c>
      <c r="E10" t="s">
        <v>109</v>
      </c>
    </row>
    <row r="11" spans="1:5">
      <c r="B11">
        <v>0.7</v>
      </c>
      <c r="C11">
        <v>1.5</v>
      </c>
      <c r="D11">
        <f t="shared" si="0"/>
        <v>2.2000000000000002</v>
      </c>
      <c r="E11" t="s">
        <v>110</v>
      </c>
    </row>
    <row r="12" spans="1:5">
      <c r="B12">
        <v>1.1000000000000001</v>
      </c>
      <c r="C12">
        <v>2.8</v>
      </c>
      <c r="D12">
        <f t="shared" si="0"/>
        <v>3.9</v>
      </c>
      <c r="E12" t="s">
        <v>111</v>
      </c>
    </row>
    <row r="13" spans="1:5">
      <c r="B13">
        <v>2.2000000000000002</v>
      </c>
      <c r="C13">
        <v>3.5</v>
      </c>
      <c r="D13">
        <f t="shared" si="0"/>
        <v>5.7</v>
      </c>
      <c r="E13" t="s">
        <v>112</v>
      </c>
    </row>
    <row r="14" spans="1:5">
      <c r="B14">
        <v>1.7</v>
      </c>
      <c r="C14">
        <v>3.2</v>
      </c>
      <c r="D14">
        <f t="shared" si="0"/>
        <v>4.9000000000000004</v>
      </c>
      <c r="E14" t="s">
        <v>113</v>
      </c>
    </row>
    <row r="15" spans="1:5">
      <c r="B15">
        <v>1.5</v>
      </c>
      <c r="C15">
        <v>2.8</v>
      </c>
      <c r="D15">
        <f t="shared" si="0"/>
        <v>4.3</v>
      </c>
      <c r="E15" t="s">
        <v>167</v>
      </c>
    </row>
    <row r="16" spans="1:5">
      <c r="B16">
        <v>1.6</v>
      </c>
      <c r="C16">
        <v>2.8</v>
      </c>
      <c r="D16">
        <f t="shared" si="0"/>
        <v>4.4000000000000004</v>
      </c>
      <c r="E16" t="s">
        <v>115</v>
      </c>
    </row>
    <row r="17" spans="2:5">
      <c r="B17">
        <v>1.7</v>
      </c>
      <c r="C17">
        <v>3.5</v>
      </c>
      <c r="D17">
        <f t="shared" si="0"/>
        <v>5.2</v>
      </c>
      <c r="E17" t="s">
        <v>116</v>
      </c>
    </row>
    <row r="18" spans="2:5">
      <c r="B18">
        <v>0.9</v>
      </c>
      <c r="C18">
        <v>1.5</v>
      </c>
      <c r="D18">
        <f t="shared" si="0"/>
        <v>2.4</v>
      </c>
      <c r="E18" t="s">
        <v>117</v>
      </c>
    </row>
    <row r="19" spans="2:5">
      <c r="B19">
        <v>1.7</v>
      </c>
      <c r="C19">
        <v>2.8</v>
      </c>
      <c r="D19">
        <f t="shared" si="0"/>
        <v>4.5</v>
      </c>
      <c r="E19" t="s">
        <v>118</v>
      </c>
    </row>
    <row r="20" spans="2:5">
      <c r="B20">
        <v>1.5</v>
      </c>
      <c r="C20">
        <v>3.1</v>
      </c>
      <c r="D20">
        <f t="shared" si="0"/>
        <v>4.5999999999999996</v>
      </c>
      <c r="E20" t="s">
        <v>119</v>
      </c>
    </row>
    <row r="21" spans="2:5">
      <c r="B21">
        <v>1.5</v>
      </c>
      <c r="C21">
        <v>2.8</v>
      </c>
      <c r="D21">
        <f t="shared" si="0"/>
        <v>4.3</v>
      </c>
      <c r="E21" t="s">
        <v>120</v>
      </c>
    </row>
    <row r="22" spans="2:5">
      <c r="B22">
        <v>3.2</v>
      </c>
      <c r="C22">
        <v>6.5</v>
      </c>
      <c r="D22">
        <f t="shared" si="0"/>
        <v>9.6999999999999993</v>
      </c>
      <c r="E22" t="s">
        <v>121</v>
      </c>
    </row>
    <row r="23" spans="2:5">
      <c r="B23">
        <v>1.2</v>
      </c>
      <c r="C23">
        <v>3.5</v>
      </c>
      <c r="D23">
        <f t="shared" si="0"/>
        <v>4.7</v>
      </c>
      <c r="E23" t="s">
        <v>122</v>
      </c>
    </row>
    <row r="24" spans="2:5">
      <c r="B24">
        <v>1.8</v>
      </c>
      <c r="C24">
        <v>3.5</v>
      </c>
      <c r="D24">
        <f t="shared" si="0"/>
        <v>5.3</v>
      </c>
      <c r="E24" t="s">
        <v>123</v>
      </c>
    </row>
    <row r="25" spans="2:5">
      <c r="B25">
        <v>1.5</v>
      </c>
      <c r="C25">
        <v>2.5</v>
      </c>
      <c r="D25">
        <f t="shared" si="0"/>
        <v>4</v>
      </c>
      <c r="E25" t="s">
        <v>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Sources</vt:lpstr>
      <vt:lpstr>Classifications</vt:lpstr>
      <vt:lpstr>UNU54_Extended</vt:lpstr>
      <vt:lpstr>Classification_trade</vt:lpstr>
      <vt:lpstr>Classification_dom</vt:lpstr>
      <vt:lpstr>Lookup</vt:lpstr>
      <vt:lpstr>YouGov</vt:lpstr>
      <vt:lpstr>Lifespan</vt:lpstr>
      <vt:lpstr>Trade_detail</vt:lpstr>
      <vt:lpstr>Classification_repair</vt:lpstr>
      <vt:lpstr>Lookup_2</vt:lpstr>
      <vt:lpstr>Data</vt:lpstr>
      <vt:lpstr>Inflows</vt:lpstr>
      <vt:lpstr>Stocks</vt:lpstr>
      <vt:lpstr>Dropdown</vt:lpstr>
      <vt:lpstr>Laptop_split</vt:lpstr>
      <vt:lpstr>Bill_of_materials</vt:lpstr>
      <vt:lpstr>Sheet3</vt:lpstr>
      <vt:lpstr>BoM</vt:lpstr>
      <vt:lpstr>Composition</vt:lpstr>
      <vt:lpstr>Lifespan_weibull</vt:lpstr>
      <vt:lpstr>Mass_trend</vt:lpstr>
      <vt:lpstr>BOM_average</vt:lpstr>
      <vt:lpstr>BOM_detail</vt:lpstr>
      <vt:lpstr>Outflow_route</vt:lpstr>
      <vt:lpstr>Outflow_routing</vt:lpstr>
      <vt:lpstr>Sector_emissions</vt:lpstr>
      <vt:lpstr>Energy_demand</vt:lpstr>
      <vt:lpstr>Emissions_factors</vt:lpstr>
      <vt:lpstr>eBay_data</vt:lpstr>
      <vt:lpstr>Sales_price</vt:lpstr>
      <vt:lpstr>Model</vt:lpstr>
      <vt:lpstr>Product_lifespan</vt:lpstr>
      <vt:lpstr>LOG</vt:lpstr>
      <vt:lpstr>Output</vt:lpstr>
      <vt:lpstr>Smartphone_B</vt:lpstr>
      <vt:lpstr>Scenario_comparison</vt:lpstr>
      <vt:lpstr>Scenario_comp_summary</vt:lpstr>
      <vt:lpstr>Smartphone_0</vt:lpstr>
      <vt:lpstr>Smartphone_1</vt:lpstr>
      <vt:lpstr>Smartphone_2</vt:lpstr>
      <vt:lpstr>Laptop_0</vt:lpstr>
      <vt:lpstr>Laptop_1</vt:lpstr>
      <vt:lpstr>Laptop_2</vt:lpstr>
      <vt:lpstr>Tablet_0</vt:lpstr>
      <vt:lpstr>Tablet_1</vt:lpstr>
      <vt:lpstr>Tablet_2</vt:lpstr>
      <vt:lpstr>GVA</vt:lpstr>
      <vt:lpstr>Sheet4</vt:lpstr>
      <vt:lpstr>Dummy</vt:lpstr>
      <vt:lpstr>Wrap_textiles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Oliver Lysaght</dc:creator>
  <cp:lastModifiedBy>Oliver Lysaght</cp:lastModifiedBy>
  <dcterms:created xsi:type="dcterms:W3CDTF">2022-08-02T00:09:07Z</dcterms:created>
  <dcterms:modified xsi:type="dcterms:W3CDTF">2023-05-04T13:36:25Z</dcterms:modified>
</cp:coreProperties>
</file>